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G:\My Drive\Financial\Budget\"/>
    </mc:Choice>
  </mc:AlternateContent>
  <xr:revisionPtr revIDLastSave="0" documentId="13_ncr:1_{CB0E2129-4DBD-4F8C-87E1-9CB653C07E38}" xr6:coauthVersionLast="47" xr6:coauthVersionMax="47" xr10:uidLastSave="{00000000-0000-0000-0000-000000000000}"/>
  <bookViews>
    <workbookView xWindow="-57720" yWindow="-120" windowWidth="29040" windowHeight="15840" activeTab="5" xr2:uid="{00000000-000D-0000-FFFF-FFFF00000000}"/>
  </bookViews>
  <sheets>
    <sheet name="Sheet1" sheetId="1" r:id="rId1"/>
    <sheet name="Share Count" sheetId="19" r:id="rId2"/>
    <sheet name="Net Worth" sheetId="2" r:id="rId3"/>
    <sheet name="50-30-20" sheetId="3" r:id="rId4"/>
    <sheet name="Proposed Budget" sheetId="4" r:id="rId5"/>
    <sheet name="Budget Breakdown" sheetId="5" r:id="rId6"/>
    <sheet name="Monthly Breakdown" sheetId="6" r:id="rId7"/>
    <sheet name="Checking Transaction Log" sheetId="7" r:id="rId8"/>
    <sheet name="Savings Transaction Log" sheetId="8" r:id="rId9"/>
    <sheet name="Rental Breakdown" sheetId="9" r:id="rId10"/>
    <sheet name="Retirement Calculator" sheetId="10" r:id="rId11"/>
    <sheet name="TSP-401K" sheetId="11" r:id="rId12"/>
    <sheet name="Combined Retirement" sheetId="12" r:id="rId13"/>
    <sheet name="Isaac 401k" sheetId="13" r:id="rId14"/>
    <sheet name="Lorri 401b" sheetId="14" r:id="rId15"/>
    <sheet name="Guard Ret Calc" sheetId="15" r:id="rId16"/>
    <sheet name="Accounts" sheetId="16" r:id="rId17"/>
    <sheet name="Electric-Gas" sheetId="17" r:id="rId18"/>
    <sheet name="Investment Tax" sheetId="18" r:id="rId19"/>
  </sheets>
  <definedNames>
    <definedName name="_xlnm._FilterDatabase" localSheetId="7" hidden="1">'Checking Transaction Log'!$A$1:$G$838</definedName>
    <definedName name="_xlnm._FilterDatabase" localSheetId="10" hidden="1">'Retirement Calculator'!$A$10:$P$10</definedName>
    <definedName name="Beg_Bal_2">#REF!</definedName>
    <definedName name="End_Bal_2">#REF!</definedName>
    <definedName name="Extra_Pay_2">#REF!</definedName>
    <definedName name="Int_2">#REF!</definedName>
    <definedName name="Interest_Rate_2">#REF!</definedName>
    <definedName name="Loan_Amount_2">#REF!</definedName>
    <definedName name="Loan_Start_2">#REF!</definedName>
    <definedName name="Loan_Years_2">#REF!</definedName>
    <definedName name="Num_Pmt_Per_Year_2">#REF!</definedName>
    <definedName name="Pay_Num_2">#REF!</definedName>
    <definedName name="Princ_2">#REF!</definedName>
    <definedName name="Sched_Pay_2">#REF!</definedName>
    <definedName name="Scheduled_Extra_Payments_2">#REF!</definedName>
    <definedName name="Scheduled_Monthly_Payment_2">#REF!</definedName>
    <definedName name="Total_Pay_2">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22" roundtripDataChecksum="Y7TaH1PThT+ZCliwonASg/22YyCMOV95qK6S+0OPPNc="/>
    </ext>
  </extLst>
</workbook>
</file>

<file path=xl/calcChain.xml><?xml version="1.0" encoding="utf-8"?>
<calcChain xmlns="http://schemas.openxmlformats.org/spreadsheetml/2006/main">
  <c r="B9" i="8" l="1"/>
  <c r="B8" i="8"/>
  <c r="B12" i="8"/>
  <c r="B11" i="8"/>
  <c r="B7" i="8"/>
  <c r="J34" i="5"/>
  <c r="E34" i="5"/>
  <c r="O16" i="5"/>
  <c r="J16" i="5"/>
  <c r="E16" i="5"/>
  <c r="F14" i="2"/>
  <c r="F2" i="2" s="1"/>
  <c r="B10" i="8"/>
  <c r="R24" i="18"/>
  <c r="P22" i="18"/>
  <c r="O22" i="18"/>
  <c r="N22" i="18"/>
  <c r="M22" i="18"/>
  <c r="L22" i="18"/>
  <c r="R22" i="18" s="1"/>
  <c r="K22" i="18"/>
  <c r="J22" i="18"/>
  <c r="I22" i="18"/>
  <c r="H22" i="18"/>
  <c r="G22" i="18"/>
  <c r="F22" i="18"/>
  <c r="E22" i="18"/>
  <c r="C22" i="18"/>
  <c r="P16" i="18"/>
  <c r="O16" i="18"/>
  <c r="N16" i="18"/>
  <c r="M16" i="18"/>
  <c r="L16" i="18"/>
  <c r="R16" i="18" s="1"/>
  <c r="K16" i="18"/>
  <c r="J16" i="18"/>
  <c r="I16" i="18"/>
  <c r="H16" i="18"/>
  <c r="G16" i="18"/>
  <c r="F16" i="18"/>
  <c r="E16" i="18"/>
  <c r="D16" i="18"/>
  <c r="C16" i="18"/>
  <c r="P11" i="18"/>
  <c r="O11" i="18"/>
  <c r="N11" i="18"/>
  <c r="M11" i="18"/>
  <c r="L11" i="18"/>
  <c r="R11" i="18" s="1"/>
  <c r="K11" i="18"/>
  <c r="J11" i="18"/>
  <c r="I11" i="18"/>
  <c r="H11" i="18"/>
  <c r="G11" i="18"/>
  <c r="F11" i="18"/>
  <c r="E11" i="18"/>
  <c r="D11" i="18"/>
  <c r="C11" i="18"/>
  <c r="R6" i="18"/>
  <c r="P6" i="18"/>
  <c r="O6" i="18"/>
  <c r="N6" i="18"/>
  <c r="M6" i="18"/>
  <c r="L6" i="18"/>
  <c r="K6" i="18"/>
  <c r="J6" i="18"/>
  <c r="I6" i="18"/>
  <c r="H6" i="18"/>
  <c r="F6" i="18"/>
  <c r="E6" i="18"/>
  <c r="D6" i="18"/>
  <c r="C6" i="18"/>
  <c r="K27" i="15"/>
  <c r="I27" i="15"/>
  <c r="G27" i="15"/>
  <c r="E27" i="15"/>
  <c r="K26" i="15"/>
  <c r="I26" i="15"/>
  <c r="G26" i="15"/>
  <c r="E26" i="15"/>
  <c r="K25" i="15"/>
  <c r="I25" i="15"/>
  <c r="G25" i="15"/>
  <c r="E25" i="15"/>
  <c r="K24" i="15"/>
  <c r="I24" i="15"/>
  <c r="G24" i="15"/>
  <c r="E24" i="15"/>
  <c r="K23" i="15"/>
  <c r="I23" i="15"/>
  <c r="G23" i="15"/>
  <c r="E23" i="15"/>
  <c r="K22" i="15"/>
  <c r="I22" i="15"/>
  <c r="G22" i="15"/>
  <c r="E22" i="15"/>
  <c r="K21" i="15"/>
  <c r="I21" i="15"/>
  <c r="G21" i="15"/>
  <c r="E21" i="15"/>
  <c r="K20" i="15"/>
  <c r="I20" i="15"/>
  <c r="G20" i="15"/>
  <c r="E20" i="15"/>
  <c r="K19" i="15"/>
  <c r="I19" i="15"/>
  <c r="G19" i="15"/>
  <c r="E19" i="15"/>
  <c r="K18" i="15"/>
  <c r="I18" i="15"/>
  <c r="G18" i="15"/>
  <c r="E18" i="15"/>
  <c r="K17" i="15"/>
  <c r="I17" i="15"/>
  <c r="G17" i="15"/>
  <c r="E17" i="15"/>
  <c r="K16" i="15"/>
  <c r="I16" i="15"/>
  <c r="G16" i="15"/>
  <c r="E16" i="15"/>
  <c r="K15" i="15"/>
  <c r="I15" i="15"/>
  <c r="G15" i="15"/>
  <c r="E15" i="15"/>
  <c r="K14" i="15"/>
  <c r="I14" i="15"/>
  <c r="G14" i="15"/>
  <c r="E14" i="15"/>
  <c r="K13" i="15"/>
  <c r="I13" i="15"/>
  <c r="G13" i="15"/>
  <c r="E13" i="15"/>
  <c r="K12" i="15"/>
  <c r="I12" i="15"/>
  <c r="G12" i="15"/>
  <c r="E12" i="15"/>
  <c r="K11" i="15"/>
  <c r="I11" i="15"/>
  <c r="G11" i="15"/>
  <c r="E11" i="15"/>
  <c r="K10" i="15"/>
  <c r="I10" i="15"/>
  <c r="G10" i="15"/>
  <c r="E10" i="15"/>
  <c r="K9" i="15"/>
  <c r="I9" i="15"/>
  <c r="G9" i="15"/>
  <c r="E9" i="15"/>
  <c r="K8" i="15"/>
  <c r="I8" i="15"/>
  <c r="G8" i="15"/>
  <c r="E8" i="15"/>
  <c r="K7" i="15"/>
  <c r="I7" i="15"/>
  <c r="G7" i="15"/>
  <c r="E7" i="15"/>
  <c r="D3" i="15"/>
  <c r="G56" i="14"/>
  <c r="G57" i="14" s="1"/>
  <c r="M8" i="14"/>
  <c r="M9" i="14" s="1"/>
  <c r="M10" i="14" s="1"/>
  <c r="G56" i="13"/>
  <c r="G57" i="13" s="1"/>
  <c r="M8" i="13"/>
  <c r="M9" i="13" s="1"/>
  <c r="E35" i="12"/>
  <c r="I33" i="12"/>
  <c r="J32" i="12"/>
  <c r="E32" i="12"/>
  <c r="J31" i="12"/>
  <c r="J29" i="12"/>
  <c r="E29" i="12"/>
  <c r="J28" i="12"/>
  <c r="I27" i="12"/>
  <c r="J26" i="12"/>
  <c r="J24" i="12"/>
  <c r="C24" i="12"/>
  <c r="J23" i="12"/>
  <c r="C22" i="12"/>
  <c r="J21" i="12"/>
  <c r="I20" i="12"/>
  <c r="J19" i="12"/>
  <c r="C17" i="12"/>
  <c r="L14" i="12"/>
  <c r="K14" i="12"/>
  <c r="K29" i="12" s="1"/>
  <c r="J14" i="12"/>
  <c r="J33" i="12" s="1"/>
  <c r="I14" i="12"/>
  <c r="I32" i="12" s="1"/>
  <c r="L13" i="12"/>
  <c r="K13" i="12"/>
  <c r="J13" i="12"/>
  <c r="I13" i="12"/>
  <c r="D13" i="12"/>
  <c r="I2" i="12" s="1"/>
  <c r="K2" i="12" s="1"/>
  <c r="C13" i="12"/>
  <c r="B13" i="12"/>
  <c r="E13" i="12" s="1"/>
  <c r="C18" i="12" s="1"/>
  <c r="O9" i="12"/>
  <c r="O8" i="12"/>
  <c r="O7" i="12"/>
  <c r="O6" i="12"/>
  <c r="O5" i="12"/>
  <c r="O4" i="12"/>
  <c r="G2" i="12"/>
  <c r="C1" i="12"/>
  <c r="B82" i="11"/>
  <c r="E81" i="11"/>
  <c r="D81" i="11"/>
  <c r="E80" i="11"/>
  <c r="D80" i="11"/>
  <c r="E79" i="11"/>
  <c r="D79" i="11"/>
  <c r="E78" i="11"/>
  <c r="D78" i="11"/>
  <c r="E77" i="11"/>
  <c r="D77" i="11"/>
  <c r="E76" i="11"/>
  <c r="D76" i="11"/>
  <c r="E75" i="11"/>
  <c r="D75" i="11"/>
  <c r="E74" i="11"/>
  <c r="D74" i="11"/>
  <c r="E73" i="11"/>
  <c r="D73" i="11"/>
  <c r="E72" i="11"/>
  <c r="D72" i="11"/>
  <c r="E71" i="11"/>
  <c r="D71" i="11"/>
  <c r="E70" i="11"/>
  <c r="D70" i="11"/>
  <c r="E69" i="11"/>
  <c r="D69" i="11"/>
  <c r="E68" i="11"/>
  <c r="D68" i="11"/>
  <c r="E67" i="11"/>
  <c r="D67" i="11"/>
  <c r="E66" i="11"/>
  <c r="D66" i="11"/>
  <c r="E65" i="11"/>
  <c r="D65" i="11"/>
  <c r="E64" i="11"/>
  <c r="D64" i="11"/>
  <c r="E63" i="11"/>
  <c r="D63" i="11"/>
  <c r="E62" i="11"/>
  <c r="D62" i="11"/>
  <c r="E61" i="11"/>
  <c r="D61" i="11"/>
  <c r="E60" i="11"/>
  <c r="D60" i="11"/>
  <c r="E59" i="11"/>
  <c r="D59" i="11"/>
  <c r="E58" i="11"/>
  <c r="D58" i="11"/>
  <c r="E57" i="11"/>
  <c r="D57" i="11"/>
  <c r="E56" i="11"/>
  <c r="D56" i="11"/>
  <c r="E55" i="11"/>
  <c r="D55" i="11"/>
  <c r="E54" i="11"/>
  <c r="D54" i="11"/>
  <c r="E53" i="11"/>
  <c r="D53" i="11"/>
  <c r="E52" i="11"/>
  <c r="D52" i="11"/>
  <c r="E51" i="11"/>
  <c r="D51" i="11"/>
  <c r="E50" i="11"/>
  <c r="D50" i="11"/>
  <c r="E49" i="11"/>
  <c r="D49" i="11"/>
  <c r="E48" i="11"/>
  <c r="D48" i="11"/>
  <c r="E47" i="11"/>
  <c r="D47" i="11"/>
  <c r="E46" i="11"/>
  <c r="D46" i="11"/>
  <c r="E45" i="11"/>
  <c r="D45" i="11"/>
  <c r="E44" i="11"/>
  <c r="D44" i="11"/>
  <c r="E43" i="11"/>
  <c r="D43" i="11"/>
  <c r="E42" i="11"/>
  <c r="D42" i="11"/>
  <c r="E41" i="11"/>
  <c r="D41" i="11"/>
  <c r="E40" i="11"/>
  <c r="D40" i="11"/>
  <c r="E39" i="11"/>
  <c r="D39" i="11"/>
  <c r="E38" i="11"/>
  <c r="D38" i="11"/>
  <c r="E37" i="11"/>
  <c r="D37" i="11"/>
  <c r="E36" i="11"/>
  <c r="D36" i="11"/>
  <c r="E35" i="11"/>
  <c r="D35" i="11"/>
  <c r="E34" i="11"/>
  <c r="D34" i="11"/>
  <c r="E33" i="11"/>
  <c r="D33" i="11"/>
  <c r="E32" i="11"/>
  <c r="D32" i="11"/>
  <c r="E31" i="11"/>
  <c r="D31" i="11"/>
  <c r="E30" i="11"/>
  <c r="D30" i="11"/>
  <c r="E29" i="11"/>
  <c r="D29" i="11"/>
  <c r="E28" i="11"/>
  <c r="D28" i="11"/>
  <c r="E27" i="11"/>
  <c r="D27" i="11"/>
  <c r="E26" i="11"/>
  <c r="D26" i="11"/>
  <c r="E25" i="11"/>
  <c r="D25" i="11"/>
  <c r="E24" i="11"/>
  <c r="D24" i="11"/>
  <c r="E23" i="11"/>
  <c r="D23" i="11"/>
  <c r="E22" i="11"/>
  <c r="D22" i="11"/>
  <c r="E21" i="11"/>
  <c r="D21" i="11"/>
  <c r="E20" i="11"/>
  <c r="D20" i="11"/>
  <c r="T19" i="11"/>
  <c r="T20" i="11" s="1"/>
  <c r="E19" i="11"/>
  <c r="D19" i="11"/>
  <c r="U18" i="11"/>
  <c r="T18" i="11"/>
  <c r="U19" i="11" s="1"/>
  <c r="E18" i="11"/>
  <c r="D18" i="11"/>
  <c r="Y17" i="11"/>
  <c r="Y18" i="11" s="1"/>
  <c r="E17" i="11"/>
  <c r="D17" i="11"/>
  <c r="Z16" i="11"/>
  <c r="Y16" i="11"/>
  <c r="Z17" i="11" s="1"/>
  <c r="E16" i="11"/>
  <c r="D16" i="11"/>
  <c r="E15" i="11"/>
  <c r="D15" i="11"/>
  <c r="E14" i="11"/>
  <c r="D14" i="11"/>
  <c r="E13" i="11"/>
  <c r="D13" i="11"/>
  <c r="E12" i="11"/>
  <c r="D12" i="11"/>
  <c r="E11" i="11"/>
  <c r="D11" i="11"/>
  <c r="K10" i="11"/>
  <c r="E10" i="11"/>
  <c r="A86" i="11" s="1"/>
  <c r="D10" i="11"/>
  <c r="O9" i="11"/>
  <c r="O10" i="11" s="1"/>
  <c r="K9" i="11"/>
  <c r="J9" i="11"/>
  <c r="J10" i="11" s="1"/>
  <c r="F9" i="11"/>
  <c r="E9" i="11"/>
  <c r="G9" i="11" s="1"/>
  <c r="D9" i="11"/>
  <c r="P8" i="11"/>
  <c r="O8" i="11"/>
  <c r="P9" i="11" s="1"/>
  <c r="K8" i="11"/>
  <c r="F8" i="11"/>
  <c r="E8" i="11"/>
  <c r="G8" i="11" s="1"/>
  <c r="D8" i="11"/>
  <c r="P7" i="11"/>
  <c r="F7" i="11"/>
  <c r="E7" i="11"/>
  <c r="D7" i="11"/>
  <c r="C2" i="11"/>
  <c r="A2" i="11" s="1"/>
  <c r="V1" i="11"/>
  <c r="Q1" i="11"/>
  <c r="H1171" i="10"/>
  <c r="G1171" i="10"/>
  <c r="C1171" i="10"/>
  <c r="B1171" i="10"/>
  <c r="I1170" i="10"/>
  <c r="G1170" i="10"/>
  <c r="E1170" i="10"/>
  <c r="C1170" i="10"/>
  <c r="B1170" i="10"/>
  <c r="H1170" i="10" s="1"/>
  <c r="H1169" i="10"/>
  <c r="G1169" i="10"/>
  <c r="C1169" i="10"/>
  <c r="B1169" i="10"/>
  <c r="I1168" i="10"/>
  <c r="G1168" i="10"/>
  <c r="E1168" i="10"/>
  <c r="C1168" i="10"/>
  <c r="B1168" i="10"/>
  <c r="H1168" i="10" s="1"/>
  <c r="H1167" i="10"/>
  <c r="G1167" i="10"/>
  <c r="C1167" i="10"/>
  <c r="B1167" i="10"/>
  <c r="I1166" i="10"/>
  <c r="G1166" i="10"/>
  <c r="E1166" i="10"/>
  <c r="C1166" i="10"/>
  <c r="B1166" i="10"/>
  <c r="H1166" i="10" s="1"/>
  <c r="H1165" i="10"/>
  <c r="G1165" i="10"/>
  <c r="C1165" i="10"/>
  <c r="B1165" i="10"/>
  <c r="I1164" i="10"/>
  <c r="G1164" i="10"/>
  <c r="E1164" i="10"/>
  <c r="C1164" i="10"/>
  <c r="B1164" i="10"/>
  <c r="H1164" i="10" s="1"/>
  <c r="H1163" i="10"/>
  <c r="G1163" i="10"/>
  <c r="C1163" i="10"/>
  <c r="B1163" i="10"/>
  <c r="I1162" i="10"/>
  <c r="G1162" i="10"/>
  <c r="E1162" i="10"/>
  <c r="C1162" i="10"/>
  <c r="B1162" i="10"/>
  <c r="H1162" i="10" s="1"/>
  <c r="H1161" i="10"/>
  <c r="G1161" i="10"/>
  <c r="C1161" i="10"/>
  <c r="B1161" i="10"/>
  <c r="I1160" i="10"/>
  <c r="G1160" i="10"/>
  <c r="E1160" i="10"/>
  <c r="C1160" i="10"/>
  <c r="B1160" i="10"/>
  <c r="H1160" i="10" s="1"/>
  <c r="H1159" i="10"/>
  <c r="G1159" i="10"/>
  <c r="C1159" i="10"/>
  <c r="B1159" i="10"/>
  <c r="I1158" i="10"/>
  <c r="G1158" i="10"/>
  <c r="E1158" i="10"/>
  <c r="C1158" i="10"/>
  <c r="B1158" i="10"/>
  <c r="H1158" i="10" s="1"/>
  <c r="H1157" i="10"/>
  <c r="G1157" i="10"/>
  <c r="C1157" i="10"/>
  <c r="B1157" i="10"/>
  <c r="I1156" i="10"/>
  <c r="G1156" i="10"/>
  <c r="E1156" i="10"/>
  <c r="C1156" i="10"/>
  <c r="B1156" i="10"/>
  <c r="H1156" i="10" s="1"/>
  <c r="H1155" i="10"/>
  <c r="G1155" i="10"/>
  <c r="C1155" i="10"/>
  <c r="B1155" i="10"/>
  <c r="I1154" i="10"/>
  <c r="G1154" i="10"/>
  <c r="E1154" i="10"/>
  <c r="C1154" i="10"/>
  <c r="B1154" i="10"/>
  <c r="H1154" i="10" s="1"/>
  <c r="H1153" i="10"/>
  <c r="G1153" i="10"/>
  <c r="C1153" i="10"/>
  <c r="B1153" i="10"/>
  <c r="I1152" i="10"/>
  <c r="G1152" i="10"/>
  <c r="E1152" i="10"/>
  <c r="C1152" i="10"/>
  <c r="B1152" i="10"/>
  <c r="H1152" i="10" s="1"/>
  <c r="H1151" i="10"/>
  <c r="G1151" i="10"/>
  <c r="C1151" i="10"/>
  <c r="B1151" i="10"/>
  <c r="I1150" i="10"/>
  <c r="G1150" i="10"/>
  <c r="E1150" i="10"/>
  <c r="C1150" i="10"/>
  <c r="B1150" i="10"/>
  <c r="H1150" i="10" s="1"/>
  <c r="H1149" i="10"/>
  <c r="G1149" i="10"/>
  <c r="C1149" i="10"/>
  <c r="B1149" i="10"/>
  <c r="I1148" i="10"/>
  <c r="G1148" i="10"/>
  <c r="E1148" i="10"/>
  <c r="C1148" i="10"/>
  <c r="B1148" i="10"/>
  <c r="H1148" i="10" s="1"/>
  <c r="H1147" i="10"/>
  <c r="G1147" i="10"/>
  <c r="C1147" i="10"/>
  <c r="B1147" i="10"/>
  <c r="I1146" i="10"/>
  <c r="G1146" i="10"/>
  <c r="E1146" i="10"/>
  <c r="C1146" i="10"/>
  <c r="B1146" i="10"/>
  <c r="H1146" i="10" s="1"/>
  <c r="H1145" i="10"/>
  <c r="G1145" i="10"/>
  <c r="C1145" i="10"/>
  <c r="B1145" i="10"/>
  <c r="I1144" i="10"/>
  <c r="G1144" i="10"/>
  <c r="E1144" i="10"/>
  <c r="C1144" i="10"/>
  <c r="B1144" i="10"/>
  <c r="H1144" i="10" s="1"/>
  <c r="H1143" i="10"/>
  <c r="G1143" i="10"/>
  <c r="C1143" i="10"/>
  <c r="B1143" i="10"/>
  <c r="I1142" i="10"/>
  <c r="G1142" i="10"/>
  <c r="E1142" i="10"/>
  <c r="C1142" i="10"/>
  <c r="B1142" i="10"/>
  <c r="H1142" i="10" s="1"/>
  <c r="H1141" i="10"/>
  <c r="G1141" i="10"/>
  <c r="C1141" i="10"/>
  <c r="B1141" i="10"/>
  <c r="I1140" i="10"/>
  <c r="G1140" i="10"/>
  <c r="E1140" i="10"/>
  <c r="C1140" i="10"/>
  <c r="B1140" i="10"/>
  <c r="H1140" i="10" s="1"/>
  <c r="H1139" i="10"/>
  <c r="G1139" i="10"/>
  <c r="C1139" i="10"/>
  <c r="B1139" i="10"/>
  <c r="I1138" i="10"/>
  <c r="G1138" i="10"/>
  <c r="E1138" i="10"/>
  <c r="C1138" i="10"/>
  <c r="B1138" i="10"/>
  <c r="H1138" i="10" s="1"/>
  <c r="H1137" i="10"/>
  <c r="G1137" i="10"/>
  <c r="C1137" i="10"/>
  <c r="B1137" i="10"/>
  <c r="I1136" i="10"/>
  <c r="G1136" i="10"/>
  <c r="E1136" i="10"/>
  <c r="C1136" i="10"/>
  <c r="B1136" i="10"/>
  <c r="H1136" i="10" s="1"/>
  <c r="H1135" i="10"/>
  <c r="G1135" i="10"/>
  <c r="C1135" i="10"/>
  <c r="B1135" i="10"/>
  <c r="I1134" i="10"/>
  <c r="G1134" i="10"/>
  <c r="E1134" i="10"/>
  <c r="C1134" i="10"/>
  <c r="B1134" i="10"/>
  <c r="H1134" i="10" s="1"/>
  <c r="H1133" i="10"/>
  <c r="G1133" i="10"/>
  <c r="C1133" i="10"/>
  <c r="B1133" i="10"/>
  <c r="I1132" i="10"/>
  <c r="G1132" i="10"/>
  <c r="E1132" i="10"/>
  <c r="C1132" i="10"/>
  <c r="B1132" i="10"/>
  <c r="H1132" i="10" s="1"/>
  <c r="H1131" i="10"/>
  <c r="G1131" i="10"/>
  <c r="C1131" i="10"/>
  <c r="B1131" i="10"/>
  <c r="I1130" i="10"/>
  <c r="G1130" i="10"/>
  <c r="E1130" i="10"/>
  <c r="C1130" i="10"/>
  <c r="B1130" i="10"/>
  <c r="H1130" i="10" s="1"/>
  <c r="H1129" i="10"/>
  <c r="G1129" i="10"/>
  <c r="C1129" i="10"/>
  <c r="B1129" i="10"/>
  <c r="I1128" i="10"/>
  <c r="G1128" i="10"/>
  <c r="E1128" i="10"/>
  <c r="C1128" i="10"/>
  <c r="B1128" i="10"/>
  <c r="H1128" i="10" s="1"/>
  <c r="H1127" i="10"/>
  <c r="G1127" i="10"/>
  <c r="C1127" i="10"/>
  <c r="B1127" i="10"/>
  <c r="I1126" i="10"/>
  <c r="G1126" i="10"/>
  <c r="E1126" i="10"/>
  <c r="C1126" i="10"/>
  <c r="B1126" i="10"/>
  <c r="H1126" i="10" s="1"/>
  <c r="N1125" i="10"/>
  <c r="H1125" i="10"/>
  <c r="G1125" i="10"/>
  <c r="C1125" i="10"/>
  <c r="B1125" i="10"/>
  <c r="I1124" i="10"/>
  <c r="G1124" i="10"/>
  <c r="E1124" i="10"/>
  <c r="C1124" i="10"/>
  <c r="B1124" i="10"/>
  <c r="H1124" i="10" s="1"/>
  <c r="H1123" i="10"/>
  <c r="G1123" i="10"/>
  <c r="C1123" i="10"/>
  <c r="B1123" i="10"/>
  <c r="I1122" i="10"/>
  <c r="G1122" i="10"/>
  <c r="E1122" i="10"/>
  <c r="C1122" i="10"/>
  <c r="B1122" i="10"/>
  <c r="H1122" i="10" s="1"/>
  <c r="N1121" i="10"/>
  <c r="H1121" i="10"/>
  <c r="G1121" i="10"/>
  <c r="C1121" i="10"/>
  <c r="B1121" i="10"/>
  <c r="I1120" i="10"/>
  <c r="G1120" i="10"/>
  <c r="E1120" i="10"/>
  <c r="C1120" i="10"/>
  <c r="B1120" i="10"/>
  <c r="H1120" i="10" s="1"/>
  <c r="N1119" i="10"/>
  <c r="H1119" i="10"/>
  <c r="G1119" i="10"/>
  <c r="C1119" i="10"/>
  <c r="B1119" i="10"/>
  <c r="I1118" i="10"/>
  <c r="G1118" i="10"/>
  <c r="E1118" i="10"/>
  <c r="C1118" i="10"/>
  <c r="B1118" i="10"/>
  <c r="H1118" i="10" s="1"/>
  <c r="N1117" i="10"/>
  <c r="I1117" i="10"/>
  <c r="G1117" i="10"/>
  <c r="E1117" i="10"/>
  <c r="C1117" i="10"/>
  <c r="B1117" i="10"/>
  <c r="H1117" i="10" s="1"/>
  <c r="N1116" i="10"/>
  <c r="H1116" i="10"/>
  <c r="G1116" i="10"/>
  <c r="C1116" i="10"/>
  <c r="I1116" i="10" s="1"/>
  <c r="B1116" i="10"/>
  <c r="N1115" i="10"/>
  <c r="I1115" i="10"/>
  <c r="G1115" i="10"/>
  <c r="E1115" i="10"/>
  <c r="C1115" i="10"/>
  <c r="B1115" i="10"/>
  <c r="H1115" i="10" s="1"/>
  <c r="N1114" i="10"/>
  <c r="H1114" i="10"/>
  <c r="G1114" i="10"/>
  <c r="C1114" i="10"/>
  <c r="B1114" i="10"/>
  <c r="N1113" i="10"/>
  <c r="I1113" i="10"/>
  <c r="G1113" i="10"/>
  <c r="E1113" i="10"/>
  <c r="C1113" i="10"/>
  <c r="B1113" i="10"/>
  <c r="H1113" i="10" s="1"/>
  <c r="N1112" i="10"/>
  <c r="H1112" i="10"/>
  <c r="G1112" i="10"/>
  <c r="C1112" i="10"/>
  <c r="I1112" i="10" s="1"/>
  <c r="B1112" i="10"/>
  <c r="N1111" i="10"/>
  <c r="I1111" i="10"/>
  <c r="G1111" i="10"/>
  <c r="E1111" i="10"/>
  <c r="C1111" i="10"/>
  <c r="B1111" i="10"/>
  <c r="H1111" i="10" s="1"/>
  <c r="N1110" i="10"/>
  <c r="H1110" i="10"/>
  <c r="G1110" i="10"/>
  <c r="C1110" i="10"/>
  <c r="B1110" i="10"/>
  <c r="N1109" i="10"/>
  <c r="I1109" i="10"/>
  <c r="G1109" i="10"/>
  <c r="E1109" i="10"/>
  <c r="C1109" i="10"/>
  <c r="B1109" i="10"/>
  <c r="H1109" i="10" s="1"/>
  <c r="N1108" i="10"/>
  <c r="H1108" i="10"/>
  <c r="G1108" i="10"/>
  <c r="C1108" i="10"/>
  <c r="I1108" i="10" s="1"/>
  <c r="B1108" i="10"/>
  <c r="N1107" i="10"/>
  <c r="I1107" i="10"/>
  <c r="G1107" i="10"/>
  <c r="E1107" i="10"/>
  <c r="C1107" i="10"/>
  <c r="B1107" i="10"/>
  <c r="H1107" i="10" s="1"/>
  <c r="N1106" i="10"/>
  <c r="H1106" i="10"/>
  <c r="G1106" i="10"/>
  <c r="C1106" i="10"/>
  <c r="B1106" i="10"/>
  <c r="N1105" i="10"/>
  <c r="I1105" i="10"/>
  <c r="G1105" i="10"/>
  <c r="E1105" i="10"/>
  <c r="C1105" i="10"/>
  <c r="B1105" i="10"/>
  <c r="H1105" i="10" s="1"/>
  <c r="N1104" i="10"/>
  <c r="H1104" i="10"/>
  <c r="G1104" i="10"/>
  <c r="C1104" i="10"/>
  <c r="I1104" i="10" s="1"/>
  <c r="B1104" i="10"/>
  <c r="N1103" i="10"/>
  <c r="G1103" i="10"/>
  <c r="C1103" i="10"/>
  <c r="B1103" i="10"/>
  <c r="H1103" i="10" s="1"/>
  <c r="N1102" i="10"/>
  <c r="H1102" i="10"/>
  <c r="G1102" i="10"/>
  <c r="C1102" i="10"/>
  <c r="B1102" i="10"/>
  <c r="N1101" i="10"/>
  <c r="I1101" i="10"/>
  <c r="G1101" i="10"/>
  <c r="E1101" i="10"/>
  <c r="C1101" i="10"/>
  <c r="B1101" i="10"/>
  <c r="H1101" i="10" s="1"/>
  <c r="N1100" i="10"/>
  <c r="G1100" i="10"/>
  <c r="C1100" i="10"/>
  <c r="I1100" i="10" s="1"/>
  <c r="B1100" i="10"/>
  <c r="H1100" i="10" s="1"/>
  <c r="N1099" i="10"/>
  <c r="G1099" i="10"/>
  <c r="C1099" i="10"/>
  <c r="B1099" i="10"/>
  <c r="H1099" i="10" s="1"/>
  <c r="N1098" i="10"/>
  <c r="H1098" i="10"/>
  <c r="G1098" i="10"/>
  <c r="C1098" i="10"/>
  <c r="B1098" i="10"/>
  <c r="N1097" i="10"/>
  <c r="I1097" i="10"/>
  <c r="G1097" i="10"/>
  <c r="E1097" i="10"/>
  <c r="C1097" i="10"/>
  <c r="B1097" i="10"/>
  <c r="H1097" i="10" s="1"/>
  <c r="N1096" i="10"/>
  <c r="G1096" i="10"/>
  <c r="C1096" i="10"/>
  <c r="I1096" i="10" s="1"/>
  <c r="B1096" i="10"/>
  <c r="H1096" i="10" s="1"/>
  <c r="N1095" i="10"/>
  <c r="G1095" i="10"/>
  <c r="C1095" i="10"/>
  <c r="B1095" i="10"/>
  <c r="H1095" i="10" s="1"/>
  <c r="N1094" i="10"/>
  <c r="H1094" i="10"/>
  <c r="G1094" i="10"/>
  <c r="C1094" i="10"/>
  <c r="B1094" i="10"/>
  <c r="N1093" i="10"/>
  <c r="I1093" i="10"/>
  <c r="G1093" i="10"/>
  <c r="E1093" i="10"/>
  <c r="C1093" i="10"/>
  <c r="B1093" i="10"/>
  <c r="H1093" i="10" s="1"/>
  <c r="N1092" i="10"/>
  <c r="G1092" i="10"/>
  <c r="C1092" i="10"/>
  <c r="I1092" i="10" s="1"/>
  <c r="B1092" i="10"/>
  <c r="H1092" i="10" s="1"/>
  <c r="N1091" i="10"/>
  <c r="G1091" i="10"/>
  <c r="C1091" i="10"/>
  <c r="B1091" i="10"/>
  <c r="H1091" i="10" s="1"/>
  <c r="N1090" i="10"/>
  <c r="H1090" i="10"/>
  <c r="G1090" i="10"/>
  <c r="C1090" i="10"/>
  <c r="B1090" i="10"/>
  <c r="N1089" i="10"/>
  <c r="I1089" i="10"/>
  <c r="G1089" i="10"/>
  <c r="E1089" i="10"/>
  <c r="C1089" i="10"/>
  <c r="B1089" i="10"/>
  <c r="H1089" i="10" s="1"/>
  <c r="N1088" i="10"/>
  <c r="G1088" i="10"/>
  <c r="C1088" i="10"/>
  <c r="I1088" i="10" s="1"/>
  <c r="B1088" i="10"/>
  <c r="H1088" i="10" s="1"/>
  <c r="N1087" i="10"/>
  <c r="G1087" i="10"/>
  <c r="C1087" i="10"/>
  <c r="B1087" i="10"/>
  <c r="H1087" i="10" s="1"/>
  <c r="N1086" i="10"/>
  <c r="H1086" i="10"/>
  <c r="G1086" i="10"/>
  <c r="C1086" i="10"/>
  <c r="B1086" i="10"/>
  <c r="N1085" i="10"/>
  <c r="I1085" i="10"/>
  <c r="G1085" i="10"/>
  <c r="E1085" i="10"/>
  <c r="C1085" i="10"/>
  <c r="B1085" i="10"/>
  <c r="H1085" i="10" s="1"/>
  <c r="N1084" i="10"/>
  <c r="G1084" i="10"/>
  <c r="C1084" i="10"/>
  <c r="I1084" i="10" s="1"/>
  <c r="B1084" i="10"/>
  <c r="H1084" i="10" s="1"/>
  <c r="N1083" i="10"/>
  <c r="G1083" i="10"/>
  <c r="C1083" i="10"/>
  <c r="B1083" i="10"/>
  <c r="H1083" i="10" s="1"/>
  <c r="N1082" i="10"/>
  <c r="H1082" i="10"/>
  <c r="G1082" i="10"/>
  <c r="C1082" i="10"/>
  <c r="B1082" i="10"/>
  <c r="N1081" i="10"/>
  <c r="I1081" i="10"/>
  <c r="H1081" i="10"/>
  <c r="G1081" i="10"/>
  <c r="E1081" i="10"/>
  <c r="C1081" i="10"/>
  <c r="B1081" i="10"/>
  <c r="N1080" i="10"/>
  <c r="I1080" i="10"/>
  <c r="G1080" i="10"/>
  <c r="E1080" i="10"/>
  <c r="C1080" i="10"/>
  <c r="B1080" i="10"/>
  <c r="H1080" i="10" s="1"/>
  <c r="N1079" i="10"/>
  <c r="G1079" i="10"/>
  <c r="C1079" i="10"/>
  <c r="B1079" i="10"/>
  <c r="H1079" i="10" s="1"/>
  <c r="N1078" i="10"/>
  <c r="H1078" i="10"/>
  <c r="G1078" i="10"/>
  <c r="C1078" i="10"/>
  <c r="B1078" i="10"/>
  <c r="N1077" i="10"/>
  <c r="I1077" i="10"/>
  <c r="H1077" i="10"/>
  <c r="G1077" i="10"/>
  <c r="E1077" i="10"/>
  <c r="C1077" i="10"/>
  <c r="B1077" i="10"/>
  <c r="N1076" i="10"/>
  <c r="I1076" i="10"/>
  <c r="G1076" i="10"/>
  <c r="E1076" i="10"/>
  <c r="C1076" i="10"/>
  <c r="B1076" i="10"/>
  <c r="H1076" i="10" s="1"/>
  <c r="N1075" i="10"/>
  <c r="G1075" i="10"/>
  <c r="C1075" i="10"/>
  <c r="B1075" i="10"/>
  <c r="H1075" i="10" s="1"/>
  <c r="N1074" i="10"/>
  <c r="H1074" i="10"/>
  <c r="G1074" i="10"/>
  <c r="C1074" i="10"/>
  <c r="B1074" i="10"/>
  <c r="N1073" i="10"/>
  <c r="I1073" i="10"/>
  <c r="H1073" i="10"/>
  <c r="G1073" i="10"/>
  <c r="E1073" i="10"/>
  <c r="C1073" i="10"/>
  <c r="B1073" i="10"/>
  <c r="N1072" i="10"/>
  <c r="I1072" i="10"/>
  <c r="G1072" i="10"/>
  <c r="E1072" i="10"/>
  <c r="C1072" i="10"/>
  <c r="B1072" i="10"/>
  <c r="H1072" i="10" s="1"/>
  <c r="N1071" i="10"/>
  <c r="G1071" i="10"/>
  <c r="C1071" i="10"/>
  <c r="B1071" i="10"/>
  <c r="H1071" i="10" s="1"/>
  <c r="N1070" i="10"/>
  <c r="H1070" i="10"/>
  <c r="G1070" i="10"/>
  <c r="C1070" i="10"/>
  <c r="B1070" i="10"/>
  <c r="N1069" i="10"/>
  <c r="I1069" i="10"/>
  <c r="H1069" i="10"/>
  <c r="G1069" i="10"/>
  <c r="E1069" i="10"/>
  <c r="C1069" i="10"/>
  <c r="B1069" i="10"/>
  <c r="N1068" i="10"/>
  <c r="I1068" i="10"/>
  <c r="G1068" i="10"/>
  <c r="E1068" i="10"/>
  <c r="C1068" i="10"/>
  <c r="B1068" i="10"/>
  <c r="H1068" i="10" s="1"/>
  <c r="N1067" i="10"/>
  <c r="G1067" i="10"/>
  <c r="C1067" i="10"/>
  <c r="B1067" i="10"/>
  <c r="H1067" i="10" s="1"/>
  <c r="N1066" i="10"/>
  <c r="H1066" i="10"/>
  <c r="G1066" i="10"/>
  <c r="C1066" i="10"/>
  <c r="B1066" i="10"/>
  <c r="N1065" i="10"/>
  <c r="I1065" i="10"/>
  <c r="H1065" i="10"/>
  <c r="G1065" i="10"/>
  <c r="E1065" i="10"/>
  <c r="C1065" i="10"/>
  <c r="B1065" i="10"/>
  <c r="N1064" i="10"/>
  <c r="I1064" i="10"/>
  <c r="G1064" i="10"/>
  <c r="E1064" i="10"/>
  <c r="C1064" i="10"/>
  <c r="B1064" i="10"/>
  <c r="H1064" i="10" s="1"/>
  <c r="N1063" i="10"/>
  <c r="G1063" i="10"/>
  <c r="C1063" i="10"/>
  <c r="B1063" i="10"/>
  <c r="H1063" i="10" s="1"/>
  <c r="N1062" i="10"/>
  <c r="H1062" i="10"/>
  <c r="G1062" i="10"/>
  <c r="C1062" i="10"/>
  <c r="B1062" i="10"/>
  <c r="N1061" i="10"/>
  <c r="I1061" i="10"/>
  <c r="H1061" i="10"/>
  <c r="G1061" i="10"/>
  <c r="E1061" i="10"/>
  <c r="C1061" i="10"/>
  <c r="B1061" i="10"/>
  <c r="N1060" i="10"/>
  <c r="I1060" i="10"/>
  <c r="G1060" i="10"/>
  <c r="E1060" i="10"/>
  <c r="C1060" i="10"/>
  <c r="B1060" i="10"/>
  <c r="H1060" i="10" s="1"/>
  <c r="N1059" i="10"/>
  <c r="G1059" i="10"/>
  <c r="C1059" i="10"/>
  <c r="B1059" i="10"/>
  <c r="H1059" i="10" s="1"/>
  <c r="N1058" i="10"/>
  <c r="H1058" i="10"/>
  <c r="G1058" i="10"/>
  <c r="C1058" i="10"/>
  <c r="B1058" i="10"/>
  <c r="N1057" i="10"/>
  <c r="I1057" i="10"/>
  <c r="H1057" i="10"/>
  <c r="G1057" i="10"/>
  <c r="E1057" i="10"/>
  <c r="C1057" i="10"/>
  <c r="B1057" i="10"/>
  <c r="N1056" i="10"/>
  <c r="I1056" i="10"/>
  <c r="G1056" i="10"/>
  <c r="E1056" i="10"/>
  <c r="C1056" i="10"/>
  <c r="B1056" i="10"/>
  <c r="H1056" i="10" s="1"/>
  <c r="N1055" i="10"/>
  <c r="G1055" i="10"/>
  <c r="C1055" i="10"/>
  <c r="B1055" i="10"/>
  <c r="H1055" i="10" s="1"/>
  <c r="N1054" i="10"/>
  <c r="H1054" i="10"/>
  <c r="G1054" i="10"/>
  <c r="C1054" i="10"/>
  <c r="B1054" i="10"/>
  <c r="N1053" i="10"/>
  <c r="I1053" i="10"/>
  <c r="H1053" i="10"/>
  <c r="G1053" i="10"/>
  <c r="E1053" i="10"/>
  <c r="C1053" i="10"/>
  <c r="B1053" i="10"/>
  <c r="N1052" i="10"/>
  <c r="I1052" i="10"/>
  <c r="G1052" i="10"/>
  <c r="E1052" i="10"/>
  <c r="C1052" i="10"/>
  <c r="B1052" i="10"/>
  <c r="H1052" i="10" s="1"/>
  <c r="N1051" i="10"/>
  <c r="G1051" i="10"/>
  <c r="C1051" i="10"/>
  <c r="B1051" i="10"/>
  <c r="H1051" i="10" s="1"/>
  <c r="N1050" i="10"/>
  <c r="H1050" i="10"/>
  <c r="G1050" i="10"/>
  <c r="C1050" i="10"/>
  <c r="B1050" i="10"/>
  <c r="N1049" i="10"/>
  <c r="I1049" i="10"/>
  <c r="H1049" i="10"/>
  <c r="G1049" i="10"/>
  <c r="E1049" i="10"/>
  <c r="C1049" i="10"/>
  <c r="B1049" i="10"/>
  <c r="N1048" i="10"/>
  <c r="I1048" i="10"/>
  <c r="G1048" i="10"/>
  <c r="E1048" i="10"/>
  <c r="C1048" i="10"/>
  <c r="B1048" i="10"/>
  <c r="H1048" i="10" s="1"/>
  <c r="N1047" i="10"/>
  <c r="G1047" i="10"/>
  <c r="C1047" i="10"/>
  <c r="B1047" i="10"/>
  <c r="H1047" i="10" s="1"/>
  <c r="N1046" i="10"/>
  <c r="H1046" i="10"/>
  <c r="G1046" i="10"/>
  <c r="C1046" i="10"/>
  <c r="B1046" i="10"/>
  <c r="N1045" i="10"/>
  <c r="I1045" i="10"/>
  <c r="H1045" i="10"/>
  <c r="G1045" i="10"/>
  <c r="E1045" i="10"/>
  <c r="C1045" i="10"/>
  <c r="B1045" i="10"/>
  <c r="N1044" i="10"/>
  <c r="I1044" i="10"/>
  <c r="G1044" i="10"/>
  <c r="E1044" i="10"/>
  <c r="C1044" i="10"/>
  <c r="B1044" i="10"/>
  <c r="H1044" i="10" s="1"/>
  <c r="N1043" i="10"/>
  <c r="G1043" i="10"/>
  <c r="C1043" i="10"/>
  <c r="B1043" i="10"/>
  <c r="H1043" i="10" s="1"/>
  <c r="N1042" i="10"/>
  <c r="H1042" i="10"/>
  <c r="G1042" i="10"/>
  <c r="C1042" i="10"/>
  <c r="B1042" i="10"/>
  <c r="N1041" i="10"/>
  <c r="I1041" i="10"/>
  <c r="H1041" i="10"/>
  <c r="G1041" i="10"/>
  <c r="E1041" i="10"/>
  <c r="C1041" i="10"/>
  <c r="B1041" i="10"/>
  <c r="N1040" i="10"/>
  <c r="G1040" i="10"/>
  <c r="C1040" i="10"/>
  <c r="I1040" i="10" s="1"/>
  <c r="B1040" i="10"/>
  <c r="H1040" i="10" s="1"/>
  <c r="N1039" i="10"/>
  <c r="G1039" i="10"/>
  <c r="C1039" i="10"/>
  <c r="B1039" i="10"/>
  <c r="H1039" i="10" s="1"/>
  <c r="N1038" i="10"/>
  <c r="H1038" i="10"/>
  <c r="G1038" i="10"/>
  <c r="C1038" i="10"/>
  <c r="B1038" i="10"/>
  <c r="N1037" i="10"/>
  <c r="I1037" i="10"/>
  <c r="H1037" i="10"/>
  <c r="G1037" i="10"/>
  <c r="E1037" i="10"/>
  <c r="C1037" i="10"/>
  <c r="B1037" i="10"/>
  <c r="N1036" i="10"/>
  <c r="G1036" i="10"/>
  <c r="C1036" i="10"/>
  <c r="I1036" i="10" s="1"/>
  <c r="B1036" i="10"/>
  <c r="H1036" i="10" s="1"/>
  <c r="N1035" i="10"/>
  <c r="G1035" i="10"/>
  <c r="C1035" i="10"/>
  <c r="B1035" i="10"/>
  <c r="H1035" i="10" s="1"/>
  <c r="N1034" i="10"/>
  <c r="H1034" i="10"/>
  <c r="G1034" i="10"/>
  <c r="C1034" i="10"/>
  <c r="B1034" i="10"/>
  <c r="N1033" i="10"/>
  <c r="I1033" i="10"/>
  <c r="G1033" i="10"/>
  <c r="E1033" i="10"/>
  <c r="C1033" i="10"/>
  <c r="B1033" i="10"/>
  <c r="H1033" i="10" s="1"/>
  <c r="N1032" i="10"/>
  <c r="G1032" i="10"/>
  <c r="C1032" i="10"/>
  <c r="I1032" i="10" s="1"/>
  <c r="B1032" i="10"/>
  <c r="H1032" i="10" s="1"/>
  <c r="N1031" i="10"/>
  <c r="G1031" i="10"/>
  <c r="C1031" i="10"/>
  <c r="B1031" i="10"/>
  <c r="H1031" i="10" s="1"/>
  <c r="N1030" i="10"/>
  <c r="H1030" i="10"/>
  <c r="G1030" i="10"/>
  <c r="C1030" i="10"/>
  <c r="B1030" i="10"/>
  <c r="N1029" i="10"/>
  <c r="I1029" i="10"/>
  <c r="H1029" i="10"/>
  <c r="G1029" i="10"/>
  <c r="E1029" i="10"/>
  <c r="C1029" i="10"/>
  <c r="B1029" i="10"/>
  <c r="N1028" i="10"/>
  <c r="I1028" i="10"/>
  <c r="G1028" i="10"/>
  <c r="E1028" i="10"/>
  <c r="C1028" i="10"/>
  <c r="B1028" i="10"/>
  <c r="H1028" i="10" s="1"/>
  <c r="N1027" i="10"/>
  <c r="G1027" i="10"/>
  <c r="C1027" i="10"/>
  <c r="B1027" i="10"/>
  <c r="H1027" i="10" s="1"/>
  <c r="N1026" i="10"/>
  <c r="H1026" i="10"/>
  <c r="G1026" i="10"/>
  <c r="C1026" i="10"/>
  <c r="B1026" i="10"/>
  <c r="N1025" i="10"/>
  <c r="I1025" i="10"/>
  <c r="H1025" i="10"/>
  <c r="G1025" i="10"/>
  <c r="E1025" i="10"/>
  <c r="C1025" i="10"/>
  <c r="B1025" i="10"/>
  <c r="N1024" i="10"/>
  <c r="G1024" i="10"/>
  <c r="E1024" i="10"/>
  <c r="C1024" i="10"/>
  <c r="I1024" i="10" s="1"/>
  <c r="B1024" i="10"/>
  <c r="H1024" i="10" s="1"/>
  <c r="N1023" i="10"/>
  <c r="G1023" i="10"/>
  <c r="C1023" i="10"/>
  <c r="B1023" i="10"/>
  <c r="H1023" i="10" s="1"/>
  <c r="N1022" i="10"/>
  <c r="H1022" i="10"/>
  <c r="G1022" i="10"/>
  <c r="C1022" i="10"/>
  <c r="B1022" i="10"/>
  <c r="N1021" i="10"/>
  <c r="I1021" i="10"/>
  <c r="H1021" i="10"/>
  <c r="G1021" i="10"/>
  <c r="E1021" i="10"/>
  <c r="C1021" i="10"/>
  <c r="B1021" i="10"/>
  <c r="N1020" i="10"/>
  <c r="G1020" i="10"/>
  <c r="C1020" i="10"/>
  <c r="I1020" i="10" s="1"/>
  <c r="B1020" i="10"/>
  <c r="H1020" i="10" s="1"/>
  <c r="N1019" i="10"/>
  <c r="G1019" i="10"/>
  <c r="C1019" i="10"/>
  <c r="B1019" i="10"/>
  <c r="H1019" i="10" s="1"/>
  <c r="N1018" i="10"/>
  <c r="H1018" i="10"/>
  <c r="G1018" i="10"/>
  <c r="C1018" i="10"/>
  <c r="B1018" i="10"/>
  <c r="N1017" i="10"/>
  <c r="I1017" i="10"/>
  <c r="G1017" i="10"/>
  <c r="E1017" i="10"/>
  <c r="C1017" i="10"/>
  <c r="B1017" i="10"/>
  <c r="H1017" i="10" s="1"/>
  <c r="N1016" i="10"/>
  <c r="G1016" i="10"/>
  <c r="C1016" i="10"/>
  <c r="I1016" i="10" s="1"/>
  <c r="B1016" i="10"/>
  <c r="H1016" i="10" s="1"/>
  <c r="N1015" i="10"/>
  <c r="G1015" i="10"/>
  <c r="C1015" i="10"/>
  <c r="B1015" i="10"/>
  <c r="H1015" i="10" s="1"/>
  <c r="N1014" i="10"/>
  <c r="H1014" i="10"/>
  <c r="G1014" i="10"/>
  <c r="C1014" i="10"/>
  <c r="B1014" i="10"/>
  <c r="N1013" i="10"/>
  <c r="I1013" i="10"/>
  <c r="G1013" i="10"/>
  <c r="E1013" i="10"/>
  <c r="C1013" i="10"/>
  <c r="B1013" i="10"/>
  <c r="H1013" i="10" s="1"/>
  <c r="N1012" i="10"/>
  <c r="G1012" i="10"/>
  <c r="C1012" i="10"/>
  <c r="I1012" i="10" s="1"/>
  <c r="B1012" i="10"/>
  <c r="H1012" i="10" s="1"/>
  <c r="N1011" i="10"/>
  <c r="G1011" i="10"/>
  <c r="C1011" i="10"/>
  <c r="B1011" i="10"/>
  <c r="H1011" i="10" s="1"/>
  <c r="N1010" i="10"/>
  <c r="H1010" i="10"/>
  <c r="G1010" i="10"/>
  <c r="C1010" i="10"/>
  <c r="B1010" i="10"/>
  <c r="N1009" i="10"/>
  <c r="I1009" i="10"/>
  <c r="H1009" i="10"/>
  <c r="G1009" i="10"/>
  <c r="E1009" i="10"/>
  <c r="C1009" i="10"/>
  <c r="B1009" i="10"/>
  <c r="N1008" i="10"/>
  <c r="G1008" i="10"/>
  <c r="C1008" i="10"/>
  <c r="I1008" i="10" s="1"/>
  <c r="B1008" i="10"/>
  <c r="H1008" i="10" s="1"/>
  <c r="N1007" i="10"/>
  <c r="G1007" i="10"/>
  <c r="C1007" i="10"/>
  <c r="B1007" i="10"/>
  <c r="H1007" i="10" s="1"/>
  <c r="N1006" i="10"/>
  <c r="H1006" i="10"/>
  <c r="G1006" i="10"/>
  <c r="C1006" i="10"/>
  <c r="B1006" i="10"/>
  <c r="N1005" i="10"/>
  <c r="I1005" i="10"/>
  <c r="G1005" i="10"/>
  <c r="E1005" i="10"/>
  <c r="C1005" i="10"/>
  <c r="B1005" i="10"/>
  <c r="H1005" i="10" s="1"/>
  <c r="N1004" i="10"/>
  <c r="G1004" i="10"/>
  <c r="C1004" i="10"/>
  <c r="I1004" i="10" s="1"/>
  <c r="B1004" i="10"/>
  <c r="H1004" i="10" s="1"/>
  <c r="N1003" i="10"/>
  <c r="G1003" i="10"/>
  <c r="C1003" i="10"/>
  <c r="B1003" i="10"/>
  <c r="H1003" i="10" s="1"/>
  <c r="N1002" i="10"/>
  <c r="H1002" i="10"/>
  <c r="G1002" i="10"/>
  <c r="C1002" i="10"/>
  <c r="B1002" i="10"/>
  <c r="N1001" i="10"/>
  <c r="I1001" i="10"/>
  <c r="G1001" i="10"/>
  <c r="E1001" i="10"/>
  <c r="C1001" i="10"/>
  <c r="B1001" i="10"/>
  <c r="H1001" i="10" s="1"/>
  <c r="N1000" i="10"/>
  <c r="G1000" i="10"/>
  <c r="C1000" i="10"/>
  <c r="I1000" i="10" s="1"/>
  <c r="B1000" i="10"/>
  <c r="H1000" i="10" s="1"/>
  <c r="N999" i="10"/>
  <c r="G999" i="10"/>
  <c r="C999" i="10"/>
  <c r="B999" i="10"/>
  <c r="H999" i="10" s="1"/>
  <c r="N998" i="10"/>
  <c r="H998" i="10"/>
  <c r="G998" i="10"/>
  <c r="C998" i="10"/>
  <c r="B998" i="10"/>
  <c r="N997" i="10"/>
  <c r="I997" i="10"/>
  <c r="G997" i="10"/>
  <c r="E997" i="10"/>
  <c r="C997" i="10"/>
  <c r="B997" i="10"/>
  <c r="H997" i="10" s="1"/>
  <c r="N996" i="10"/>
  <c r="G996" i="10"/>
  <c r="C996" i="10"/>
  <c r="I996" i="10" s="1"/>
  <c r="B996" i="10"/>
  <c r="H996" i="10" s="1"/>
  <c r="N995" i="10"/>
  <c r="G995" i="10"/>
  <c r="C995" i="10"/>
  <c r="B995" i="10"/>
  <c r="H995" i="10" s="1"/>
  <c r="N994" i="10"/>
  <c r="H994" i="10"/>
  <c r="G994" i="10"/>
  <c r="C994" i="10"/>
  <c r="B994" i="10"/>
  <c r="N993" i="10"/>
  <c r="I993" i="10"/>
  <c r="G993" i="10"/>
  <c r="E993" i="10"/>
  <c r="C993" i="10"/>
  <c r="B993" i="10"/>
  <c r="H993" i="10" s="1"/>
  <c r="N992" i="10"/>
  <c r="G992" i="10"/>
  <c r="C992" i="10"/>
  <c r="I992" i="10" s="1"/>
  <c r="B992" i="10"/>
  <c r="H992" i="10" s="1"/>
  <c r="N991" i="10"/>
  <c r="G991" i="10"/>
  <c r="C991" i="10"/>
  <c r="B991" i="10"/>
  <c r="H991" i="10" s="1"/>
  <c r="N990" i="10"/>
  <c r="H990" i="10"/>
  <c r="G990" i="10"/>
  <c r="C990" i="10"/>
  <c r="B990" i="10"/>
  <c r="N989" i="10"/>
  <c r="I989" i="10"/>
  <c r="G989" i="10"/>
  <c r="E989" i="10"/>
  <c r="C989" i="10"/>
  <c r="B989" i="10"/>
  <c r="H989" i="10" s="1"/>
  <c r="N988" i="10"/>
  <c r="G988" i="10"/>
  <c r="C988" i="10"/>
  <c r="I988" i="10" s="1"/>
  <c r="B988" i="10"/>
  <c r="H988" i="10" s="1"/>
  <c r="N987" i="10"/>
  <c r="G987" i="10"/>
  <c r="C987" i="10"/>
  <c r="B987" i="10"/>
  <c r="H987" i="10" s="1"/>
  <c r="N986" i="10"/>
  <c r="H986" i="10"/>
  <c r="G986" i="10"/>
  <c r="C986" i="10"/>
  <c r="B986" i="10"/>
  <c r="N985" i="10"/>
  <c r="I985" i="10"/>
  <c r="G985" i="10"/>
  <c r="E985" i="10"/>
  <c r="C985" i="10"/>
  <c r="B985" i="10"/>
  <c r="H985" i="10" s="1"/>
  <c r="N984" i="10"/>
  <c r="G984" i="10"/>
  <c r="C984" i="10"/>
  <c r="I984" i="10" s="1"/>
  <c r="B984" i="10"/>
  <c r="H984" i="10" s="1"/>
  <c r="N983" i="10"/>
  <c r="G983" i="10"/>
  <c r="C983" i="10"/>
  <c r="B983" i="10"/>
  <c r="H983" i="10" s="1"/>
  <c r="N982" i="10"/>
  <c r="H982" i="10"/>
  <c r="G982" i="10"/>
  <c r="C982" i="10"/>
  <c r="B982" i="10"/>
  <c r="N981" i="10"/>
  <c r="I981" i="10"/>
  <c r="G981" i="10"/>
  <c r="E981" i="10"/>
  <c r="C981" i="10"/>
  <c r="B981" i="10"/>
  <c r="H981" i="10" s="1"/>
  <c r="N980" i="10"/>
  <c r="G980" i="10"/>
  <c r="C980" i="10"/>
  <c r="I980" i="10" s="1"/>
  <c r="B980" i="10"/>
  <c r="H980" i="10" s="1"/>
  <c r="N979" i="10"/>
  <c r="G979" i="10"/>
  <c r="C979" i="10"/>
  <c r="B979" i="10"/>
  <c r="H979" i="10" s="1"/>
  <c r="N978" i="10"/>
  <c r="H978" i="10"/>
  <c r="G978" i="10"/>
  <c r="C978" i="10"/>
  <c r="B978" i="10"/>
  <c r="N977" i="10"/>
  <c r="I977" i="10"/>
  <c r="G977" i="10"/>
  <c r="E977" i="10"/>
  <c r="C977" i="10"/>
  <c r="B977" i="10"/>
  <c r="H977" i="10" s="1"/>
  <c r="N976" i="10"/>
  <c r="G976" i="10"/>
  <c r="C976" i="10"/>
  <c r="I976" i="10" s="1"/>
  <c r="B976" i="10"/>
  <c r="H976" i="10" s="1"/>
  <c r="N975" i="10"/>
  <c r="G975" i="10"/>
  <c r="C975" i="10"/>
  <c r="B975" i="10"/>
  <c r="H975" i="10" s="1"/>
  <c r="N974" i="10"/>
  <c r="H974" i="10"/>
  <c r="G974" i="10"/>
  <c r="C974" i="10"/>
  <c r="B974" i="10"/>
  <c r="N973" i="10"/>
  <c r="I973" i="10"/>
  <c r="G973" i="10"/>
  <c r="E973" i="10"/>
  <c r="C973" i="10"/>
  <c r="B973" i="10"/>
  <c r="H973" i="10" s="1"/>
  <c r="N972" i="10"/>
  <c r="G972" i="10"/>
  <c r="C972" i="10"/>
  <c r="I972" i="10" s="1"/>
  <c r="B972" i="10"/>
  <c r="H972" i="10" s="1"/>
  <c r="N971" i="10"/>
  <c r="G971" i="10"/>
  <c r="C971" i="10"/>
  <c r="B971" i="10"/>
  <c r="H971" i="10" s="1"/>
  <c r="N970" i="10"/>
  <c r="H970" i="10"/>
  <c r="G970" i="10"/>
  <c r="C970" i="10"/>
  <c r="B970" i="10"/>
  <c r="N969" i="10"/>
  <c r="I969" i="10"/>
  <c r="G969" i="10"/>
  <c r="E969" i="10"/>
  <c r="C969" i="10"/>
  <c r="B969" i="10"/>
  <c r="H969" i="10" s="1"/>
  <c r="N968" i="10"/>
  <c r="G968" i="10"/>
  <c r="C968" i="10"/>
  <c r="I968" i="10" s="1"/>
  <c r="B968" i="10"/>
  <c r="H968" i="10" s="1"/>
  <c r="N967" i="10"/>
  <c r="G967" i="10"/>
  <c r="C967" i="10"/>
  <c r="B967" i="10"/>
  <c r="H967" i="10" s="1"/>
  <c r="N966" i="10"/>
  <c r="H966" i="10"/>
  <c r="G966" i="10"/>
  <c r="C966" i="10"/>
  <c r="B966" i="10"/>
  <c r="N965" i="10"/>
  <c r="I965" i="10"/>
  <c r="G965" i="10"/>
  <c r="E965" i="10"/>
  <c r="C965" i="10"/>
  <c r="B965" i="10"/>
  <c r="H965" i="10" s="1"/>
  <c r="N964" i="10"/>
  <c r="G964" i="10"/>
  <c r="C964" i="10"/>
  <c r="I964" i="10" s="1"/>
  <c r="B964" i="10"/>
  <c r="H964" i="10" s="1"/>
  <c r="N963" i="10"/>
  <c r="G963" i="10"/>
  <c r="C963" i="10"/>
  <c r="B963" i="10"/>
  <c r="H963" i="10" s="1"/>
  <c r="N962" i="10"/>
  <c r="H962" i="10"/>
  <c r="G962" i="10"/>
  <c r="C962" i="10"/>
  <c r="B962" i="10"/>
  <c r="N961" i="10"/>
  <c r="I961" i="10"/>
  <c r="G961" i="10"/>
  <c r="E961" i="10"/>
  <c r="C961" i="10"/>
  <c r="B961" i="10"/>
  <c r="H961" i="10" s="1"/>
  <c r="N960" i="10"/>
  <c r="G960" i="10"/>
  <c r="C960" i="10"/>
  <c r="I960" i="10" s="1"/>
  <c r="B960" i="10"/>
  <c r="H960" i="10" s="1"/>
  <c r="N959" i="10"/>
  <c r="G959" i="10"/>
  <c r="C959" i="10"/>
  <c r="B959" i="10"/>
  <c r="H959" i="10" s="1"/>
  <c r="N958" i="10"/>
  <c r="H958" i="10"/>
  <c r="G958" i="10"/>
  <c r="C958" i="10"/>
  <c r="B958" i="10"/>
  <c r="N957" i="10"/>
  <c r="I957" i="10"/>
  <c r="G957" i="10"/>
  <c r="E957" i="10"/>
  <c r="C957" i="10"/>
  <c r="B957" i="10"/>
  <c r="H957" i="10" s="1"/>
  <c r="N956" i="10"/>
  <c r="G956" i="10"/>
  <c r="C956" i="10"/>
  <c r="I956" i="10" s="1"/>
  <c r="B956" i="10"/>
  <c r="H956" i="10" s="1"/>
  <c r="N955" i="10"/>
  <c r="G955" i="10"/>
  <c r="C955" i="10"/>
  <c r="B955" i="10"/>
  <c r="H955" i="10" s="1"/>
  <c r="N954" i="10"/>
  <c r="H954" i="10"/>
  <c r="G954" i="10"/>
  <c r="C954" i="10"/>
  <c r="B954" i="10"/>
  <c r="N953" i="10"/>
  <c r="I953" i="10"/>
  <c r="G953" i="10"/>
  <c r="E953" i="10"/>
  <c r="C953" i="10"/>
  <c r="B953" i="10"/>
  <c r="H953" i="10" s="1"/>
  <c r="N952" i="10"/>
  <c r="G952" i="10"/>
  <c r="C952" i="10"/>
  <c r="I952" i="10" s="1"/>
  <c r="B952" i="10"/>
  <c r="H952" i="10" s="1"/>
  <c r="N951" i="10"/>
  <c r="G951" i="10"/>
  <c r="C951" i="10"/>
  <c r="B951" i="10"/>
  <c r="H951" i="10" s="1"/>
  <c r="N950" i="10"/>
  <c r="H950" i="10"/>
  <c r="G950" i="10"/>
  <c r="C950" i="10"/>
  <c r="B950" i="10"/>
  <c r="N949" i="10"/>
  <c r="I949" i="10"/>
  <c r="G949" i="10"/>
  <c r="E949" i="10"/>
  <c r="C949" i="10"/>
  <c r="B949" i="10"/>
  <c r="H949" i="10" s="1"/>
  <c r="N948" i="10"/>
  <c r="G948" i="10"/>
  <c r="C948" i="10"/>
  <c r="I948" i="10" s="1"/>
  <c r="B948" i="10"/>
  <c r="H948" i="10" s="1"/>
  <c r="N947" i="10"/>
  <c r="G947" i="10"/>
  <c r="C947" i="10"/>
  <c r="B947" i="10"/>
  <c r="H947" i="10" s="1"/>
  <c r="N946" i="10"/>
  <c r="H946" i="10"/>
  <c r="G946" i="10"/>
  <c r="C946" i="10"/>
  <c r="B946" i="10"/>
  <c r="N945" i="10"/>
  <c r="I945" i="10"/>
  <c r="G945" i="10"/>
  <c r="E945" i="10"/>
  <c r="C945" i="10"/>
  <c r="B945" i="10"/>
  <c r="H945" i="10" s="1"/>
  <c r="N944" i="10"/>
  <c r="G944" i="10"/>
  <c r="C944" i="10"/>
  <c r="I944" i="10" s="1"/>
  <c r="B944" i="10"/>
  <c r="H944" i="10" s="1"/>
  <c r="N943" i="10"/>
  <c r="G943" i="10"/>
  <c r="C943" i="10"/>
  <c r="B943" i="10"/>
  <c r="H943" i="10" s="1"/>
  <c r="N942" i="10"/>
  <c r="H942" i="10"/>
  <c r="G942" i="10"/>
  <c r="C942" i="10"/>
  <c r="B942" i="10"/>
  <c r="N941" i="10"/>
  <c r="I941" i="10"/>
  <c r="G941" i="10"/>
  <c r="E941" i="10"/>
  <c r="C941" i="10"/>
  <c r="B941" i="10"/>
  <c r="H941" i="10" s="1"/>
  <c r="N940" i="10"/>
  <c r="G940" i="10"/>
  <c r="C940" i="10"/>
  <c r="I940" i="10" s="1"/>
  <c r="B940" i="10"/>
  <c r="H940" i="10" s="1"/>
  <c r="N939" i="10"/>
  <c r="G939" i="10"/>
  <c r="C939" i="10"/>
  <c r="B939" i="10"/>
  <c r="H939" i="10" s="1"/>
  <c r="N938" i="10"/>
  <c r="H938" i="10"/>
  <c r="G938" i="10"/>
  <c r="C938" i="10"/>
  <c r="B938" i="10"/>
  <c r="N937" i="10"/>
  <c r="I937" i="10"/>
  <c r="H937" i="10"/>
  <c r="G937" i="10"/>
  <c r="E937" i="10"/>
  <c r="C937" i="10"/>
  <c r="B937" i="10"/>
  <c r="N936" i="10"/>
  <c r="G936" i="10"/>
  <c r="C936" i="10"/>
  <c r="I936" i="10" s="1"/>
  <c r="B936" i="10"/>
  <c r="H936" i="10" s="1"/>
  <c r="N935" i="10"/>
  <c r="G935" i="10"/>
  <c r="C935" i="10"/>
  <c r="B935" i="10"/>
  <c r="H935" i="10" s="1"/>
  <c r="N934" i="10"/>
  <c r="H934" i="10"/>
  <c r="G934" i="10"/>
  <c r="C934" i="10"/>
  <c r="B934" i="10"/>
  <c r="N933" i="10"/>
  <c r="I933" i="10"/>
  <c r="G933" i="10"/>
  <c r="E933" i="10"/>
  <c r="C933" i="10"/>
  <c r="B933" i="10"/>
  <c r="H933" i="10" s="1"/>
  <c r="N932" i="10"/>
  <c r="G932" i="10"/>
  <c r="C932" i="10"/>
  <c r="I932" i="10" s="1"/>
  <c r="B932" i="10"/>
  <c r="H932" i="10" s="1"/>
  <c r="N931" i="10"/>
  <c r="G931" i="10"/>
  <c r="C931" i="10"/>
  <c r="B931" i="10"/>
  <c r="H931" i="10" s="1"/>
  <c r="N930" i="10"/>
  <c r="H930" i="10"/>
  <c r="G930" i="10"/>
  <c r="C930" i="10"/>
  <c r="B930" i="10"/>
  <c r="N929" i="10"/>
  <c r="I929" i="10"/>
  <c r="G929" i="10"/>
  <c r="E929" i="10"/>
  <c r="C929" i="10"/>
  <c r="B929" i="10"/>
  <c r="H929" i="10" s="1"/>
  <c r="N928" i="10"/>
  <c r="G928" i="10"/>
  <c r="C928" i="10"/>
  <c r="I928" i="10" s="1"/>
  <c r="B928" i="10"/>
  <c r="H928" i="10" s="1"/>
  <c r="N927" i="10"/>
  <c r="G927" i="10"/>
  <c r="C927" i="10"/>
  <c r="B927" i="10"/>
  <c r="H927" i="10" s="1"/>
  <c r="N926" i="10"/>
  <c r="H926" i="10"/>
  <c r="G926" i="10"/>
  <c r="C926" i="10"/>
  <c r="B926" i="10"/>
  <c r="N925" i="10"/>
  <c r="I925" i="10"/>
  <c r="G925" i="10"/>
  <c r="E925" i="10"/>
  <c r="C925" i="10"/>
  <c r="B925" i="10"/>
  <c r="H925" i="10" s="1"/>
  <c r="N924" i="10"/>
  <c r="G924" i="10"/>
  <c r="C924" i="10"/>
  <c r="I924" i="10" s="1"/>
  <c r="B924" i="10"/>
  <c r="H924" i="10" s="1"/>
  <c r="N923" i="10"/>
  <c r="G923" i="10"/>
  <c r="C923" i="10"/>
  <c r="B923" i="10"/>
  <c r="H923" i="10" s="1"/>
  <c r="N922" i="10"/>
  <c r="H922" i="10"/>
  <c r="G922" i="10"/>
  <c r="C922" i="10"/>
  <c r="B922" i="10"/>
  <c r="N921" i="10"/>
  <c r="I921" i="10"/>
  <c r="G921" i="10"/>
  <c r="E921" i="10"/>
  <c r="C921" i="10"/>
  <c r="B921" i="10"/>
  <c r="H921" i="10" s="1"/>
  <c r="N920" i="10"/>
  <c r="G920" i="10"/>
  <c r="C920" i="10"/>
  <c r="I920" i="10" s="1"/>
  <c r="B920" i="10"/>
  <c r="H920" i="10" s="1"/>
  <c r="N919" i="10"/>
  <c r="G919" i="10"/>
  <c r="C919" i="10"/>
  <c r="B919" i="10"/>
  <c r="H919" i="10" s="1"/>
  <c r="N918" i="10"/>
  <c r="H918" i="10"/>
  <c r="G918" i="10"/>
  <c r="C918" i="10"/>
  <c r="B918" i="10"/>
  <c r="N917" i="10"/>
  <c r="I917" i="10"/>
  <c r="G917" i="10"/>
  <c r="E917" i="10"/>
  <c r="C917" i="10"/>
  <c r="B917" i="10"/>
  <c r="H917" i="10" s="1"/>
  <c r="N916" i="10"/>
  <c r="G916" i="10"/>
  <c r="C916" i="10"/>
  <c r="I916" i="10" s="1"/>
  <c r="B916" i="10"/>
  <c r="H916" i="10" s="1"/>
  <c r="N915" i="10"/>
  <c r="G915" i="10"/>
  <c r="C915" i="10"/>
  <c r="B915" i="10"/>
  <c r="H915" i="10" s="1"/>
  <c r="N914" i="10"/>
  <c r="H914" i="10"/>
  <c r="G914" i="10"/>
  <c r="C914" i="10"/>
  <c r="B914" i="10"/>
  <c r="N913" i="10"/>
  <c r="I913" i="10"/>
  <c r="G913" i="10"/>
  <c r="E913" i="10"/>
  <c r="C913" i="10"/>
  <c r="B913" i="10"/>
  <c r="H913" i="10" s="1"/>
  <c r="N912" i="10"/>
  <c r="G912" i="10"/>
  <c r="C912" i="10"/>
  <c r="I912" i="10" s="1"/>
  <c r="B912" i="10"/>
  <c r="H912" i="10" s="1"/>
  <c r="N911" i="10"/>
  <c r="G911" i="10"/>
  <c r="C911" i="10"/>
  <c r="B911" i="10"/>
  <c r="H911" i="10" s="1"/>
  <c r="N910" i="10"/>
  <c r="H910" i="10"/>
  <c r="G910" i="10"/>
  <c r="C910" i="10"/>
  <c r="B910" i="10"/>
  <c r="N909" i="10"/>
  <c r="I909" i="10"/>
  <c r="G909" i="10"/>
  <c r="E909" i="10"/>
  <c r="C909" i="10"/>
  <c r="B909" i="10"/>
  <c r="H909" i="10" s="1"/>
  <c r="N908" i="10"/>
  <c r="G908" i="10"/>
  <c r="C908" i="10"/>
  <c r="I908" i="10" s="1"/>
  <c r="B908" i="10"/>
  <c r="H908" i="10" s="1"/>
  <c r="N907" i="10"/>
  <c r="G907" i="10"/>
  <c r="C907" i="10"/>
  <c r="B907" i="10"/>
  <c r="H907" i="10" s="1"/>
  <c r="N906" i="10"/>
  <c r="H906" i="10"/>
  <c r="G906" i="10"/>
  <c r="C906" i="10"/>
  <c r="B906" i="10"/>
  <c r="N905" i="10"/>
  <c r="I905" i="10"/>
  <c r="G905" i="10"/>
  <c r="E905" i="10"/>
  <c r="C905" i="10"/>
  <c r="B905" i="10"/>
  <c r="H905" i="10" s="1"/>
  <c r="N904" i="10"/>
  <c r="G904" i="10"/>
  <c r="C904" i="10"/>
  <c r="I904" i="10" s="1"/>
  <c r="B904" i="10"/>
  <c r="H904" i="10" s="1"/>
  <c r="N903" i="10"/>
  <c r="G903" i="10"/>
  <c r="C903" i="10"/>
  <c r="B903" i="10"/>
  <c r="H903" i="10" s="1"/>
  <c r="N902" i="10"/>
  <c r="H902" i="10"/>
  <c r="G902" i="10"/>
  <c r="C902" i="10"/>
  <c r="B902" i="10"/>
  <c r="N901" i="10"/>
  <c r="I901" i="10"/>
  <c r="G901" i="10"/>
  <c r="E901" i="10"/>
  <c r="C901" i="10"/>
  <c r="B901" i="10"/>
  <c r="H901" i="10" s="1"/>
  <c r="N900" i="10"/>
  <c r="G900" i="10"/>
  <c r="C900" i="10"/>
  <c r="I900" i="10" s="1"/>
  <c r="B900" i="10"/>
  <c r="H900" i="10" s="1"/>
  <c r="N899" i="10"/>
  <c r="G899" i="10"/>
  <c r="C899" i="10"/>
  <c r="B899" i="10"/>
  <c r="H899" i="10" s="1"/>
  <c r="N898" i="10"/>
  <c r="H898" i="10"/>
  <c r="G898" i="10"/>
  <c r="C898" i="10"/>
  <c r="B898" i="10"/>
  <c r="N897" i="10"/>
  <c r="I897" i="10"/>
  <c r="G897" i="10"/>
  <c r="E897" i="10"/>
  <c r="C897" i="10"/>
  <c r="B897" i="10"/>
  <c r="H897" i="10" s="1"/>
  <c r="N896" i="10"/>
  <c r="G896" i="10"/>
  <c r="C896" i="10"/>
  <c r="I896" i="10" s="1"/>
  <c r="B896" i="10"/>
  <c r="H896" i="10" s="1"/>
  <c r="N895" i="10"/>
  <c r="G895" i="10"/>
  <c r="C895" i="10"/>
  <c r="B895" i="10"/>
  <c r="H895" i="10" s="1"/>
  <c r="N894" i="10"/>
  <c r="H894" i="10"/>
  <c r="G894" i="10"/>
  <c r="C894" i="10"/>
  <c r="B894" i="10"/>
  <c r="N893" i="10"/>
  <c r="I893" i="10"/>
  <c r="G893" i="10"/>
  <c r="E893" i="10"/>
  <c r="C893" i="10"/>
  <c r="B893" i="10"/>
  <c r="H893" i="10" s="1"/>
  <c r="N892" i="10"/>
  <c r="G892" i="10"/>
  <c r="C892" i="10"/>
  <c r="I892" i="10" s="1"/>
  <c r="B892" i="10"/>
  <c r="H892" i="10" s="1"/>
  <c r="N891" i="10"/>
  <c r="G891" i="10"/>
  <c r="C891" i="10"/>
  <c r="B891" i="10"/>
  <c r="H891" i="10" s="1"/>
  <c r="N890" i="10"/>
  <c r="H890" i="10"/>
  <c r="G890" i="10"/>
  <c r="C890" i="10"/>
  <c r="B890" i="10"/>
  <c r="N889" i="10"/>
  <c r="I889" i="10"/>
  <c r="G889" i="10"/>
  <c r="E889" i="10"/>
  <c r="C889" i="10"/>
  <c r="B889" i="10"/>
  <c r="H889" i="10" s="1"/>
  <c r="N888" i="10"/>
  <c r="G888" i="10"/>
  <c r="C888" i="10"/>
  <c r="I888" i="10" s="1"/>
  <c r="B888" i="10"/>
  <c r="H888" i="10" s="1"/>
  <c r="N887" i="10"/>
  <c r="G887" i="10"/>
  <c r="C887" i="10"/>
  <c r="B887" i="10"/>
  <c r="H887" i="10" s="1"/>
  <c r="N886" i="10"/>
  <c r="H886" i="10"/>
  <c r="G886" i="10"/>
  <c r="C886" i="10"/>
  <c r="B886" i="10"/>
  <c r="N885" i="10"/>
  <c r="I885" i="10"/>
  <c r="G885" i="10"/>
  <c r="E885" i="10"/>
  <c r="C885" i="10"/>
  <c r="B885" i="10"/>
  <c r="H885" i="10" s="1"/>
  <c r="N884" i="10"/>
  <c r="G884" i="10"/>
  <c r="C884" i="10"/>
  <c r="I884" i="10" s="1"/>
  <c r="B884" i="10"/>
  <c r="H884" i="10" s="1"/>
  <c r="N883" i="10"/>
  <c r="G883" i="10"/>
  <c r="C883" i="10"/>
  <c r="B883" i="10"/>
  <c r="H883" i="10" s="1"/>
  <c r="N882" i="10"/>
  <c r="H882" i="10"/>
  <c r="G882" i="10"/>
  <c r="C882" i="10"/>
  <c r="B882" i="10"/>
  <c r="N881" i="10"/>
  <c r="I881" i="10"/>
  <c r="G881" i="10"/>
  <c r="E881" i="10"/>
  <c r="C881" i="10"/>
  <c r="B881" i="10"/>
  <c r="H881" i="10" s="1"/>
  <c r="N880" i="10"/>
  <c r="G880" i="10"/>
  <c r="C880" i="10"/>
  <c r="I880" i="10" s="1"/>
  <c r="B880" i="10"/>
  <c r="H880" i="10" s="1"/>
  <c r="N879" i="10"/>
  <c r="G879" i="10"/>
  <c r="C879" i="10"/>
  <c r="B879" i="10"/>
  <c r="H879" i="10" s="1"/>
  <c r="N878" i="10"/>
  <c r="H878" i="10"/>
  <c r="G878" i="10"/>
  <c r="C878" i="10"/>
  <c r="B878" i="10"/>
  <c r="N877" i="10"/>
  <c r="I877" i="10"/>
  <c r="G877" i="10"/>
  <c r="E877" i="10"/>
  <c r="C877" i="10"/>
  <c r="B877" i="10"/>
  <c r="H877" i="10" s="1"/>
  <c r="N876" i="10"/>
  <c r="G876" i="10"/>
  <c r="C876" i="10"/>
  <c r="I876" i="10" s="1"/>
  <c r="B876" i="10"/>
  <c r="H876" i="10" s="1"/>
  <c r="N875" i="10"/>
  <c r="G875" i="10"/>
  <c r="C875" i="10"/>
  <c r="B875" i="10"/>
  <c r="H875" i="10" s="1"/>
  <c r="N874" i="10"/>
  <c r="H874" i="10"/>
  <c r="G874" i="10"/>
  <c r="C874" i="10"/>
  <c r="B874" i="10"/>
  <c r="N873" i="10"/>
  <c r="I873" i="10"/>
  <c r="G873" i="10"/>
  <c r="E873" i="10"/>
  <c r="C873" i="10"/>
  <c r="B873" i="10"/>
  <c r="H873" i="10" s="1"/>
  <c r="N872" i="10"/>
  <c r="G872" i="10"/>
  <c r="C872" i="10"/>
  <c r="I872" i="10" s="1"/>
  <c r="B872" i="10"/>
  <c r="H872" i="10" s="1"/>
  <c r="N871" i="10"/>
  <c r="G871" i="10"/>
  <c r="C871" i="10"/>
  <c r="B871" i="10"/>
  <c r="H871" i="10" s="1"/>
  <c r="N870" i="10"/>
  <c r="H870" i="10"/>
  <c r="G870" i="10"/>
  <c r="C870" i="10"/>
  <c r="B870" i="10"/>
  <c r="N869" i="10"/>
  <c r="I869" i="10"/>
  <c r="G869" i="10"/>
  <c r="E869" i="10"/>
  <c r="C869" i="10"/>
  <c r="B869" i="10"/>
  <c r="H869" i="10" s="1"/>
  <c r="N868" i="10"/>
  <c r="G868" i="10"/>
  <c r="C868" i="10"/>
  <c r="I868" i="10" s="1"/>
  <c r="B868" i="10"/>
  <c r="H868" i="10" s="1"/>
  <c r="N867" i="10"/>
  <c r="G867" i="10"/>
  <c r="C867" i="10"/>
  <c r="B867" i="10"/>
  <c r="H867" i="10" s="1"/>
  <c r="N866" i="10"/>
  <c r="H866" i="10"/>
  <c r="G866" i="10"/>
  <c r="C866" i="10"/>
  <c r="B866" i="10"/>
  <c r="N865" i="10"/>
  <c r="I865" i="10"/>
  <c r="G865" i="10"/>
  <c r="E865" i="10"/>
  <c r="C865" i="10"/>
  <c r="B865" i="10"/>
  <c r="H865" i="10" s="1"/>
  <c r="N864" i="10"/>
  <c r="G864" i="10"/>
  <c r="C864" i="10"/>
  <c r="I864" i="10" s="1"/>
  <c r="B864" i="10"/>
  <c r="H864" i="10" s="1"/>
  <c r="N863" i="10"/>
  <c r="G863" i="10"/>
  <c r="C863" i="10"/>
  <c r="B863" i="10"/>
  <c r="H863" i="10" s="1"/>
  <c r="N862" i="10"/>
  <c r="H862" i="10"/>
  <c r="G862" i="10"/>
  <c r="C862" i="10"/>
  <c r="B862" i="10"/>
  <c r="N861" i="10"/>
  <c r="I861" i="10"/>
  <c r="G861" i="10"/>
  <c r="E861" i="10"/>
  <c r="C861" i="10"/>
  <c r="B861" i="10"/>
  <c r="H861" i="10" s="1"/>
  <c r="N860" i="10"/>
  <c r="G860" i="10"/>
  <c r="C860" i="10"/>
  <c r="I860" i="10" s="1"/>
  <c r="B860" i="10"/>
  <c r="H860" i="10" s="1"/>
  <c r="N859" i="10"/>
  <c r="G859" i="10"/>
  <c r="C859" i="10"/>
  <c r="B859" i="10"/>
  <c r="H859" i="10" s="1"/>
  <c r="N858" i="10"/>
  <c r="H858" i="10"/>
  <c r="G858" i="10"/>
  <c r="C858" i="10"/>
  <c r="B858" i="10"/>
  <c r="N857" i="10"/>
  <c r="I857" i="10"/>
  <c r="G857" i="10"/>
  <c r="E857" i="10"/>
  <c r="C857" i="10"/>
  <c r="B857" i="10"/>
  <c r="H857" i="10" s="1"/>
  <c r="N856" i="10"/>
  <c r="G856" i="10"/>
  <c r="C856" i="10"/>
  <c r="I856" i="10" s="1"/>
  <c r="B856" i="10"/>
  <c r="H856" i="10" s="1"/>
  <c r="N855" i="10"/>
  <c r="G855" i="10"/>
  <c r="C855" i="10"/>
  <c r="B855" i="10"/>
  <c r="H855" i="10" s="1"/>
  <c r="N854" i="10"/>
  <c r="H854" i="10"/>
  <c r="G854" i="10"/>
  <c r="C854" i="10"/>
  <c r="B854" i="10"/>
  <c r="N853" i="10"/>
  <c r="I853" i="10"/>
  <c r="G853" i="10"/>
  <c r="E853" i="10"/>
  <c r="C853" i="10"/>
  <c r="B853" i="10"/>
  <c r="H853" i="10" s="1"/>
  <c r="N852" i="10"/>
  <c r="G852" i="10"/>
  <c r="C852" i="10"/>
  <c r="I852" i="10" s="1"/>
  <c r="B852" i="10"/>
  <c r="H852" i="10" s="1"/>
  <c r="N851" i="10"/>
  <c r="G851" i="10"/>
  <c r="C851" i="10"/>
  <c r="B851" i="10"/>
  <c r="H851" i="10" s="1"/>
  <c r="N850" i="10"/>
  <c r="H850" i="10"/>
  <c r="G850" i="10"/>
  <c r="C850" i="10"/>
  <c r="B850" i="10"/>
  <c r="N849" i="10"/>
  <c r="I849" i="10"/>
  <c r="G849" i="10"/>
  <c r="E849" i="10"/>
  <c r="C849" i="10"/>
  <c r="B849" i="10"/>
  <c r="H849" i="10" s="1"/>
  <c r="N848" i="10"/>
  <c r="G848" i="10"/>
  <c r="C848" i="10"/>
  <c r="I848" i="10" s="1"/>
  <c r="B848" i="10"/>
  <c r="H848" i="10" s="1"/>
  <c r="N847" i="10"/>
  <c r="G847" i="10"/>
  <c r="C847" i="10"/>
  <c r="B847" i="10"/>
  <c r="H847" i="10" s="1"/>
  <c r="N846" i="10"/>
  <c r="H846" i="10"/>
  <c r="G846" i="10"/>
  <c r="C846" i="10"/>
  <c r="B846" i="10"/>
  <c r="N845" i="10"/>
  <c r="I845" i="10"/>
  <c r="G845" i="10"/>
  <c r="E845" i="10"/>
  <c r="C845" i="10"/>
  <c r="B845" i="10"/>
  <c r="H845" i="10" s="1"/>
  <c r="N844" i="10"/>
  <c r="G844" i="10"/>
  <c r="C844" i="10"/>
  <c r="I844" i="10" s="1"/>
  <c r="B844" i="10"/>
  <c r="H844" i="10" s="1"/>
  <c r="N843" i="10"/>
  <c r="G843" i="10"/>
  <c r="C843" i="10"/>
  <c r="B843" i="10"/>
  <c r="H843" i="10" s="1"/>
  <c r="N842" i="10"/>
  <c r="H842" i="10"/>
  <c r="G842" i="10"/>
  <c r="C842" i="10"/>
  <c r="B842" i="10"/>
  <c r="N841" i="10"/>
  <c r="I841" i="10"/>
  <c r="G841" i="10"/>
  <c r="E841" i="10"/>
  <c r="C841" i="10"/>
  <c r="B841" i="10"/>
  <c r="H841" i="10" s="1"/>
  <c r="N840" i="10"/>
  <c r="G840" i="10"/>
  <c r="C840" i="10"/>
  <c r="I840" i="10" s="1"/>
  <c r="B840" i="10"/>
  <c r="H840" i="10" s="1"/>
  <c r="N839" i="10"/>
  <c r="G839" i="10"/>
  <c r="C839" i="10"/>
  <c r="B839" i="10"/>
  <c r="H839" i="10" s="1"/>
  <c r="N838" i="10"/>
  <c r="H838" i="10"/>
  <c r="G838" i="10"/>
  <c r="C838" i="10"/>
  <c r="B838" i="10"/>
  <c r="N837" i="10"/>
  <c r="I837" i="10"/>
  <c r="G837" i="10"/>
  <c r="E837" i="10"/>
  <c r="C837" i="10"/>
  <c r="B837" i="10"/>
  <c r="H837" i="10" s="1"/>
  <c r="N836" i="10"/>
  <c r="G836" i="10"/>
  <c r="C836" i="10"/>
  <c r="I836" i="10" s="1"/>
  <c r="B836" i="10"/>
  <c r="H836" i="10" s="1"/>
  <c r="N835" i="10"/>
  <c r="G835" i="10"/>
  <c r="C835" i="10"/>
  <c r="B835" i="10"/>
  <c r="H835" i="10" s="1"/>
  <c r="N834" i="10"/>
  <c r="H834" i="10"/>
  <c r="G834" i="10"/>
  <c r="C834" i="10"/>
  <c r="B834" i="10"/>
  <c r="N833" i="10"/>
  <c r="I833" i="10"/>
  <c r="G833" i="10"/>
  <c r="E833" i="10"/>
  <c r="C833" i="10"/>
  <c r="B833" i="10"/>
  <c r="H833" i="10" s="1"/>
  <c r="N832" i="10"/>
  <c r="G832" i="10"/>
  <c r="C832" i="10"/>
  <c r="I832" i="10" s="1"/>
  <c r="B832" i="10"/>
  <c r="H832" i="10" s="1"/>
  <c r="N831" i="10"/>
  <c r="G831" i="10"/>
  <c r="C831" i="10"/>
  <c r="B831" i="10"/>
  <c r="H831" i="10" s="1"/>
  <c r="N830" i="10"/>
  <c r="H830" i="10"/>
  <c r="G830" i="10"/>
  <c r="C830" i="10"/>
  <c r="B830" i="10"/>
  <c r="N829" i="10"/>
  <c r="I829" i="10"/>
  <c r="G829" i="10"/>
  <c r="E829" i="10"/>
  <c r="C829" i="10"/>
  <c r="B829" i="10"/>
  <c r="H829" i="10" s="1"/>
  <c r="N828" i="10"/>
  <c r="G828" i="10"/>
  <c r="C828" i="10"/>
  <c r="I828" i="10" s="1"/>
  <c r="B828" i="10"/>
  <c r="H828" i="10" s="1"/>
  <c r="N827" i="10"/>
  <c r="G827" i="10"/>
  <c r="C827" i="10"/>
  <c r="B827" i="10"/>
  <c r="H827" i="10" s="1"/>
  <c r="N826" i="10"/>
  <c r="H826" i="10"/>
  <c r="G826" i="10"/>
  <c r="C826" i="10"/>
  <c r="B826" i="10"/>
  <c r="N825" i="10"/>
  <c r="I825" i="10"/>
  <c r="G825" i="10"/>
  <c r="E825" i="10"/>
  <c r="C825" i="10"/>
  <c r="B825" i="10"/>
  <c r="H825" i="10" s="1"/>
  <c r="N824" i="10"/>
  <c r="G824" i="10"/>
  <c r="C824" i="10"/>
  <c r="I824" i="10" s="1"/>
  <c r="B824" i="10"/>
  <c r="H824" i="10" s="1"/>
  <c r="N823" i="10"/>
  <c r="G823" i="10"/>
  <c r="C823" i="10"/>
  <c r="B823" i="10"/>
  <c r="H823" i="10" s="1"/>
  <c r="N822" i="10"/>
  <c r="H822" i="10"/>
  <c r="G822" i="10"/>
  <c r="C822" i="10"/>
  <c r="B822" i="10"/>
  <c r="N821" i="10"/>
  <c r="I821" i="10"/>
  <c r="G821" i="10"/>
  <c r="E821" i="10"/>
  <c r="C821" i="10"/>
  <c r="B821" i="10"/>
  <c r="H821" i="10" s="1"/>
  <c r="N820" i="10"/>
  <c r="G820" i="10"/>
  <c r="C820" i="10"/>
  <c r="I820" i="10" s="1"/>
  <c r="B820" i="10"/>
  <c r="H820" i="10" s="1"/>
  <c r="N819" i="10"/>
  <c r="G819" i="10"/>
  <c r="C819" i="10"/>
  <c r="B819" i="10"/>
  <c r="H819" i="10" s="1"/>
  <c r="N818" i="10"/>
  <c r="H818" i="10"/>
  <c r="G818" i="10"/>
  <c r="C818" i="10"/>
  <c r="B818" i="10"/>
  <c r="N817" i="10"/>
  <c r="I817" i="10"/>
  <c r="H817" i="10"/>
  <c r="G817" i="10"/>
  <c r="E817" i="10"/>
  <c r="C817" i="10"/>
  <c r="B817" i="10"/>
  <c r="N816" i="10"/>
  <c r="G816" i="10"/>
  <c r="C816" i="10"/>
  <c r="I816" i="10" s="1"/>
  <c r="B816" i="10"/>
  <c r="H816" i="10" s="1"/>
  <c r="N815" i="10"/>
  <c r="G815" i="10"/>
  <c r="C815" i="10"/>
  <c r="B815" i="10"/>
  <c r="H815" i="10" s="1"/>
  <c r="N814" i="10"/>
  <c r="H814" i="10"/>
  <c r="G814" i="10"/>
  <c r="C814" i="10"/>
  <c r="B814" i="10"/>
  <c r="N813" i="10"/>
  <c r="I813" i="10"/>
  <c r="G813" i="10"/>
  <c r="E813" i="10"/>
  <c r="C813" i="10"/>
  <c r="B813" i="10"/>
  <c r="H813" i="10" s="1"/>
  <c r="N812" i="10"/>
  <c r="G812" i="10"/>
  <c r="C812" i="10"/>
  <c r="I812" i="10" s="1"/>
  <c r="B812" i="10"/>
  <c r="H812" i="10" s="1"/>
  <c r="N811" i="10"/>
  <c r="G811" i="10"/>
  <c r="C811" i="10"/>
  <c r="B811" i="10"/>
  <c r="H811" i="10" s="1"/>
  <c r="N810" i="10"/>
  <c r="H810" i="10"/>
  <c r="G810" i="10"/>
  <c r="C810" i="10"/>
  <c r="B810" i="10"/>
  <c r="N809" i="10"/>
  <c r="I809" i="10"/>
  <c r="G809" i="10"/>
  <c r="E809" i="10"/>
  <c r="C809" i="10"/>
  <c r="B809" i="10"/>
  <c r="H809" i="10" s="1"/>
  <c r="N808" i="10"/>
  <c r="G808" i="10"/>
  <c r="C808" i="10"/>
  <c r="I808" i="10" s="1"/>
  <c r="B808" i="10"/>
  <c r="H808" i="10" s="1"/>
  <c r="N807" i="10"/>
  <c r="G807" i="10"/>
  <c r="C807" i="10"/>
  <c r="B807" i="10"/>
  <c r="H807" i="10" s="1"/>
  <c r="N806" i="10"/>
  <c r="H806" i="10"/>
  <c r="G806" i="10"/>
  <c r="C806" i="10"/>
  <c r="B806" i="10"/>
  <c r="N805" i="10"/>
  <c r="I805" i="10"/>
  <c r="H805" i="10"/>
  <c r="G805" i="10"/>
  <c r="E805" i="10"/>
  <c r="C805" i="10"/>
  <c r="B805" i="10"/>
  <c r="N804" i="10"/>
  <c r="G804" i="10"/>
  <c r="C804" i="10"/>
  <c r="I804" i="10" s="1"/>
  <c r="B804" i="10"/>
  <c r="H804" i="10" s="1"/>
  <c r="N803" i="10"/>
  <c r="G803" i="10"/>
  <c r="C803" i="10"/>
  <c r="B803" i="10"/>
  <c r="H803" i="10" s="1"/>
  <c r="N802" i="10"/>
  <c r="H802" i="10"/>
  <c r="G802" i="10"/>
  <c r="C802" i="10"/>
  <c r="B802" i="10"/>
  <c r="N801" i="10"/>
  <c r="I801" i="10"/>
  <c r="H801" i="10"/>
  <c r="G801" i="10"/>
  <c r="E801" i="10"/>
  <c r="C801" i="10"/>
  <c r="B801" i="10"/>
  <c r="N800" i="10"/>
  <c r="G800" i="10"/>
  <c r="C800" i="10"/>
  <c r="I800" i="10" s="1"/>
  <c r="B800" i="10"/>
  <c r="H800" i="10" s="1"/>
  <c r="N799" i="10"/>
  <c r="G799" i="10"/>
  <c r="C799" i="10"/>
  <c r="B799" i="10"/>
  <c r="H799" i="10" s="1"/>
  <c r="N798" i="10"/>
  <c r="H798" i="10"/>
  <c r="G798" i="10"/>
  <c r="C798" i="10"/>
  <c r="B798" i="10"/>
  <c r="N797" i="10"/>
  <c r="I797" i="10"/>
  <c r="G797" i="10"/>
  <c r="E797" i="10"/>
  <c r="C797" i="10"/>
  <c r="B797" i="10"/>
  <c r="H797" i="10" s="1"/>
  <c r="N796" i="10"/>
  <c r="G796" i="10"/>
  <c r="C796" i="10"/>
  <c r="I796" i="10" s="1"/>
  <c r="B796" i="10"/>
  <c r="H796" i="10" s="1"/>
  <c r="N795" i="10"/>
  <c r="G795" i="10"/>
  <c r="C795" i="10"/>
  <c r="B795" i="10"/>
  <c r="H795" i="10" s="1"/>
  <c r="N794" i="10"/>
  <c r="H794" i="10"/>
  <c r="G794" i="10"/>
  <c r="C794" i="10"/>
  <c r="B794" i="10"/>
  <c r="N793" i="10"/>
  <c r="I793" i="10"/>
  <c r="H793" i="10"/>
  <c r="G793" i="10"/>
  <c r="E793" i="10"/>
  <c r="C793" i="10"/>
  <c r="B793" i="10"/>
  <c r="N792" i="10"/>
  <c r="G792" i="10"/>
  <c r="C792" i="10"/>
  <c r="I792" i="10" s="1"/>
  <c r="B792" i="10"/>
  <c r="H792" i="10" s="1"/>
  <c r="N791" i="10"/>
  <c r="G791" i="10"/>
  <c r="C791" i="10"/>
  <c r="B791" i="10"/>
  <c r="H791" i="10" s="1"/>
  <c r="N790" i="10"/>
  <c r="H790" i="10"/>
  <c r="G790" i="10"/>
  <c r="C790" i="10"/>
  <c r="B790" i="10"/>
  <c r="N789" i="10"/>
  <c r="I789" i="10"/>
  <c r="H789" i="10"/>
  <c r="G789" i="10"/>
  <c r="E789" i="10"/>
  <c r="C789" i="10"/>
  <c r="B789" i="10"/>
  <c r="N788" i="10"/>
  <c r="G788" i="10"/>
  <c r="C788" i="10"/>
  <c r="I788" i="10" s="1"/>
  <c r="B788" i="10"/>
  <c r="H788" i="10" s="1"/>
  <c r="G787" i="10"/>
  <c r="C787" i="10"/>
  <c r="B787" i="10"/>
  <c r="H787" i="10" s="1"/>
  <c r="H786" i="10"/>
  <c r="G786" i="10"/>
  <c r="C786" i="10"/>
  <c r="B786" i="10"/>
  <c r="I785" i="10"/>
  <c r="H785" i="10"/>
  <c r="G785" i="10"/>
  <c r="E785" i="10"/>
  <c r="C785" i="10"/>
  <c r="B785" i="10"/>
  <c r="G784" i="10"/>
  <c r="C784" i="10"/>
  <c r="I784" i="10" s="1"/>
  <c r="B784" i="10"/>
  <c r="H784" i="10" s="1"/>
  <c r="G783" i="10"/>
  <c r="C783" i="10"/>
  <c r="B783" i="10"/>
  <c r="H783" i="10" s="1"/>
  <c r="H782" i="10"/>
  <c r="G782" i="10"/>
  <c r="C782" i="10"/>
  <c r="B782" i="10"/>
  <c r="N781" i="10"/>
  <c r="I781" i="10"/>
  <c r="G781" i="10"/>
  <c r="E781" i="10"/>
  <c r="C781" i="10"/>
  <c r="B781" i="10"/>
  <c r="H781" i="10" s="1"/>
  <c r="N780" i="10"/>
  <c r="G780" i="10"/>
  <c r="C780" i="10"/>
  <c r="I780" i="10" s="1"/>
  <c r="B780" i="10"/>
  <c r="H780" i="10" s="1"/>
  <c r="N779" i="10"/>
  <c r="G779" i="10"/>
  <c r="C779" i="10"/>
  <c r="B779" i="10"/>
  <c r="H779" i="10" s="1"/>
  <c r="N778" i="10"/>
  <c r="H778" i="10"/>
  <c r="G778" i="10"/>
  <c r="C778" i="10"/>
  <c r="B778" i="10"/>
  <c r="N777" i="10"/>
  <c r="I777" i="10"/>
  <c r="G777" i="10"/>
  <c r="E777" i="10"/>
  <c r="C777" i="10"/>
  <c r="B777" i="10"/>
  <c r="H777" i="10" s="1"/>
  <c r="N776" i="10"/>
  <c r="G776" i="10"/>
  <c r="C776" i="10"/>
  <c r="I776" i="10" s="1"/>
  <c r="B776" i="10"/>
  <c r="H776" i="10" s="1"/>
  <c r="N775" i="10"/>
  <c r="G775" i="10"/>
  <c r="C775" i="10"/>
  <c r="B775" i="10"/>
  <c r="H775" i="10" s="1"/>
  <c r="N774" i="10"/>
  <c r="H774" i="10"/>
  <c r="G774" i="10"/>
  <c r="C774" i="10"/>
  <c r="B774" i="10"/>
  <c r="N773" i="10"/>
  <c r="I773" i="10"/>
  <c r="G773" i="10"/>
  <c r="E773" i="10"/>
  <c r="C773" i="10"/>
  <c r="B773" i="10"/>
  <c r="H773" i="10" s="1"/>
  <c r="N772" i="10"/>
  <c r="G772" i="10"/>
  <c r="C772" i="10"/>
  <c r="I772" i="10" s="1"/>
  <c r="B772" i="10"/>
  <c r="H772" i="10" s="1"/>
  <c r="N771" i="10"/>
  <c r="G771" i="10"/>
  <c r="C771" i="10"/>
  <c r="B771" i="10"/>
  <c r="H771" i="10" s="1"/>
  <c r="N770" i="10"/>
  <c r="H770" i="10"/>
  <c r="G770" i="10"/>
  <c r="C770" i="10"/>
  <c r="B770" i="10"/>
  <c r="N769" i="10"/>
  <c r="I769" i="10"/>
  <c r="G769" i="10"/>
  <c r="E769" i="10"/>
  <c r="C769" i="10"/>
  <c r="B769" i="10"/>
  <c r="H769" i="10" s="1"/>
  <c r="N768" i="10"/>
  <c r="G768" i="10"/>
  <c r="C768" i="10"/>
  <c r="I768" i="10" s="1"/>
  <c r="B768" i="10"/>
  <c r="H768" i="10" s="1"/>
  <c r="N767" i="10"/>
  <c r="G767" i="10"/>
  <c r="C767" i="10"/>
  <c r="B767" i="10"/>
  <c r="H767" i="10" s="1"/>
  <c r="N766" i="10"/>
  <c r="H766" i="10"/>
  <c r="G766" i="10"/>
  <c r="C766" i="10"/>
  <c r="B766" i="10"/>
  <c r="N765" i="10"/>
  <c r="I765" i="10"/>
  <c r="G765" i="10"/>
  <c r="E765" i="10"/>
  <c r="C765" i="10"/>
  <c r="B765" i="10"/>
  <c r="H765" i="10" s="1"/>
  <c r="N764" i="10"/>
  <c r="G764" i="10"/>
  <c r="C764" i="10"/>
  <c r="I764" i="10" s="1"/>
  <c r="B764" i="10"/>
  <c r="H764" i="10" s="1"/>
  <c r="N763" i="10"/>
  <c r="G763" i="10"/>
  <c r="C763" i="10"/>
  <c r="B763" i="10"/>
  <c r="H763" i="10" s="1"/>
  <c r="N762" i="10"/>
  <c r="H762" i="10"/>
  <c r="G762" i="10"/>
  <c r="C762" i="10"/>
  <c r="B762" i="10"/>
  <c r="N761" i="10"/>
  <c r="I761" i="10"/>
  <c r="G761" i="10"/>
  <c r="E761" i="10"/>
  <c r="C761" i="10"/>
  <c r="B761" i="10"/>
  <c r="H761" i="10" s="1"/>
  <c r="N760" i="10"/>
  <c r="G760" i="10"/>
  <c r="C760" i="10"/>
  <c r="I760" i="10" s="1"/>
  <c r="B760" i="10"/>
  <c r="H760" i="10" s="1"/>
  <c r="N759" i="10"/>
  <c r="G759" i="10"/>
  <c r="C759" i="10"/>
  <c r="B759" i="10"/>
  <c r="H759" i="10" s="1"/>
  <c r="N758" i="10"/>
  <c r="H758" i="10"/>
  <c r="G758" i="10"/>
  <c r="C758" i="10"/>
  <c r="B758" i="10"/>
  <c r="N757" i="10"/>
  <c r="I757" i="10"/>
  <c r="G757" i="10"/>
  <c r="E757" i="10"/>
  <c r="C757" i="10"/>
  <c r="B757" i="10"/>
  <c r="H757" i="10" s="1"/>
  <c r="N756" i="10"/>
  <c r="G756" i="10"/>
  <c r="C756" i="10"/>
  <c r="I756" i="10" s="1"/>
  <c r="B756" i="10"/>
  <c r="H756" i="10" s="1"/>
  <c r="N755" i="10"/>
  <c r="G755" i="10"/>
  <c r="C755" i="10"/>
  <c r="B755" i="10"/>
  <c r="H755" i="10" s="1"/>
  <c r="N754" i="10"/>
  <c r="H754" i="10"/>
  <c r="G754" i="10"/>
  <c r="C754" i="10"/>
  <c r="B754" i="10"/>
  <c r="N753" i="10"/>
  <c r="I753" i="10"/>
  <c r="G753" i="10"/>
  <c r="E753" i="10"/>
  <c r="C753" i="10"/>
  <c r="B753" i="10"/>
  <c r="H753" i="10" s="1"/>
  <c r="N752" i="10"/>
  <c r="G752" i="10"/>
  <c r="C752" i="10"/>
  <c r="I752" i="10" s="1"/>
  <c r="B752" i="10"/>
  <c r="H752" i="10" s="1"/>
  <c r="N751" i="10"/>
  <c r="G751" i="10"/>
  <c r="C751" i="10"/>
  <c r="B751" i="10"/>
  <c r="H751" i="10" s="1"/>
  <c r="N750" i="10"/>
  <c r="H750" i="10"/>
  <c r="G750" i="10"/>
  <c r="C750" i="10"/>
  <c r="B750" i="10"/>
  <c r="N749" i="10"/>
  <c r="I749" i="10"/>
  <c r="G749" i="10"/>
  <c r="E749" i="10"/>
  <c r="C749" i="10"/>
  <c r="B749" i="10"/>
  <c r="H749" i="10" s="1"/>
  <c r="N748" i="10"/>
  <c r="G748" i="10"/>
  <c r="C748" i="10"/>
  <c r="I748" i="10" s="1"/>
  <c r="B748" i="10"/>
  <c r="H748" i="10" s="1"/>
  <c r="N747" i="10"/>
  <c r="G747" i="10"/>
  <c r="C747" i="10"/>
  <c r="B747" i="10"/>
  <c r="H747" i="10" s="1"/>
  <c r="N746" i="10"/>
  <c r="H746" i="10"/>
  <c r="G746" i="10"/>
  <c r="C746" i="10"/>
  <c r="B746" i="10"/>
  <c r="N745" i="10"/>
  <c r="I745" i="10"/>
  <c r="G745" i="10"/>
  <c r="E745" i="10"/>
  <c r="C745" i="10"/>
  <c r="B745" i="10"/>
  <c r="H745" i="10" s="1"/>
  <c r="N744" i="10"/>
  <c r="G744" i="10"/>
  <c r="C744" i="10"/>
  <c r="I744" i="10" s="1"/>
  <c r="B744" i="10"/>
  <c r="H744" i="10" s="1"/>
  <c r="N743" i="10"/>
  <c r="G743" i="10"/>
  <c r="C743" i="10"/>
  <c r="B743" i="10"/>
  <c r="H743" i="10" s="1"/>
  <c r="N742" i="10"/>
  <c r="H742" i="10"/>
  <c r="G742" i="10"/>
  <c r="C742" i="10"/>
  <c r="B742" i="10"/>
  <c r="N741" i="10"/>
  <c r="I741" i="10"/>
  <c r="G741" i="10"/>
  <c r="E741" i="10"/>
  <c r="C741" i="10"/>
  <c r="B741" i="10"/>
  <c r="H741" i="10" s="1"/>
  <c r="N740" i="10"/>
  <c r="G740" i="10"/>
  <c r="C740" i="10"/>
  <c r="I740" i="10" s="1"/>
  <c r="B740" i="10"/>
  <c r="H740" i="10" s="1"/>
  <c r="N739" i="10"/>
  <c r="G739" i="10"/>
  <c r="C739" i="10"/>
  <c r="B739" i="10"/>
  <c r="H739" i="10" s="1"/>
  <c r="N738" i="10"/>
  <c r="H738" i="10"/>
  <c r="G738" i="10"/>
  <c r="C738" i="10"/>
  <c r="B738" i="10"/>
  <c r="N737" i="10"/>
  <c r="I737" i="10"/>
  <c r="G737" i="10"/>
  <c r="E737" i="10"/>
  <c r="C737" i="10"/>
  <c r="B737" i="10"/>
  <c r="H737" i="10" s="1"/>
  <c r="N736" i="10"/>
  <c r="G736" i="10"/>
  <c r="C736" i="10"/>
  <c r="I736" i="10" s="1"/>
  <c r="B736" i="10"/>
  <c r="H736" i="10" s="1"/>
  <c r="N735" i="10"/>
  <c r="G735" i="10"/>
  <c r="C735" i="10"/>
  <c r="B735" i="10"/>
  <c r="H735" i="10" s="1"/>
  <c r="N734" i="10"/>
  <c r="H734" i="10"/>
  <c r="G734" i="10"/>
  <c r="C734" i="10"/>
  <c r="B734" i="10"/>
  <c r="N733" i="10"/>
  <c r="I733" i="10"/>
  <c r="G733" i="10"/>
  <c r="E733" i="10"/>
  <c r="C733" i="10"/>
  <c r="B733" i="10"/>
  <c r="H733" i="10" s="1"/>
  <c r="N732" i="10"/>
  <c r="G732" i="10"/>
  <c r="C732" i="10"/>
  <c r="I732" i="10" s="1"/>
  <c r="B732" i="10"/>
  <c r="H732" i="10" s="1"/>
  <c r="N731" i="10"/>
  <c r="G731" i="10"/>
  <c r="C731" i="10"/>
  <c r="B731" i="10"/>
  <c r="H731" i="10" s="1"/>
  <c r="N730" i="10"/>
  <c r="H730" i="10"/>
  <c r="G730" i="10"/>
  <c r="C730" i="10"/>
  <c r="B730" i="10"/>
  <c r="N729" i="10"/>
  <c r="I729" i="10"/>
  <c r="G729" i="10"/>
  <c r="E729" i="10"/>
  <c r="C729" i="10"/>
  <c r="B729" i="10"/>
  <c r="H729" i="10" s="1"/>
  <c r="N728" i="10"/>
  <c r="G728" i="10"/>
  <c r="C728" i="10"/>
  <c r="I728" i="10" s="1"/>
  <c r="B728" i="10"/>
  <c r="H728" i="10" s="1"/>
  <c r="N727" i="10"/>
  <c r="G727" i="10"/>
  <c r="C727" i="10"/>
  <c r="B727" i="10"/>
  <c r="H727" i="10" s="1"/>
  <c r="N726" i="10"/>
  <c r="H726" i="10"/>
  <c r="G726" i="10"/>
  <c r="C726" i="10"/>
  <c r="B726" i="10"/>
  <c r="N725" i="10"/>
  <c r="I725" i="10"/>
  <c r="G725" i="10"/>
  <c r="E725" i="10"/>
  <c r="C725" i="10"/>
  <c r="B725" i="10"/>
  <c r="H725" i="10" s="1"/>
  <c r="N724" i="10"/>
  <c r="G724" i="10"/>
  <c r="C724" i="10"/>
  <c r="I724" i="10" s="1"/>
  <c r="B724" i="10"/>
  <c r="H724" i="10" s="1"/>
  <c r="N723" i="10"/>
  <c r="G723" i="10"/>
  <c r="C723" i="10"/>
  <c r="B723" i="10"/>
  <c r="H723" i="10" s="1"/>
  <c r="N722" i="10"/>
  <c r="H722" i="10"/>
  <c r="G722" i="10"/>
  <c r="C722" i="10"/>
  <c r="B722" i="10"/>
  <c r="N721" i="10"/>
  <c r="I721" i="10"/>
  <c r="G721" i="10"/>
  <c r="E721" i="10"/>
  <c r="C721" i="10"/>
  <c r="B721" i="10"/>
  <c r="H721" i="10" s="1"/>
  <c r="N720" i="10"/>
  <c r="G720" i="10"/>
  <c r="C720" i="10"/>
  <c r="I720" i="10" s="1"/>
  <c r="B720" i="10"/>
  <c r="H720" i="10" s="1"/>
  <c r="N719" i="10"/>
  <c r="G719" i="10"/>
  <c r="C719" i="10"/>
  <c r="B719" i="10"/>
  <c r="H719" i="10" s="1"/>
  <c r="N718" i="10"/>
  <c r="H718" i="10"/>
  <c r="G718" i="10"/>
  <c r="C718" i="10"/>
  <c r="B718" i="10"/>
  <c r="N717" i="10"/>
  <c r="I717" i="10"/>
  <c r="G717" i="10"/>
  <c r="E717" i="10"/>
  <c r="C717" i="10"/>
  <c r="B717" i="10"/>
  <c r="H717" i="10" s="1"/>
  <c r="N716" i="10"/>
  <c r="G716" i="10"/>
  <c r="C716" i="10"/>
  <c r="I716" i="10" s="1"/>
  <c r="B716" i="10"/>
  <c r="H716" i="10" s="1"/>
  <c r="N715" i="10"/>
  <c r="G715" i="10"/>
  <c r="C715" i="10"/>
  <c r="B715" i="10"/>
  <c r="H715" i="10" s="1"/>
  <c r="N714" i="10"/>
  <c r="H714" i="10"/>
  <c r="G714" i="10"/>
  <c r="C714" i="10"/>
  <c r="B714" i="10"/>
  <c r="N713" i="10"/>
  <c r="I713" i="10"/>
  <c r="G713" i="10"/>
  <c r="E713" i="10"/>
  <c r="C713" i="10"/>
  <c r="B713" i="10"/>
  <c r="H713" i="10" s="1"/>
  <c r="N712" i="10"/>
  <c r="G712" i="10"/>
  <c r="C712" i="10"/>
  <c r="I712" i="10" s="1"/>
  <c r="B712" i="10"/>
  <c r="H712" i="10" s="1"/>
  <c r="N711" i="10"/>
  <c r="G711" i="10"/>
  <c r="C711" i="10"/>
  <c r="B711" i="10"/>
  <c r="H711" i="10" s="1"/>
  <c r="N710" i="10"/>
  <c r="H710" i="10"/>
  <c r="G710" i="10"/>
  <c r="C710" i="10"/>
  <c r="B710" i="10"/>
  <c r="N709" i="10"/>
  <c r="I709" i="10"/>
  <c r="G709" i="10"/>
  <c r="E709" i="10"/>
  <c r="C709" i="10"/>
  <c r="B709" i="10"/>
  <c r="H709" i="10" s="1"/>
  <c r="N708" i="10"/>
  <c r="G708" i="10"/>
  <c r="C708" i="10"/>
  <c r="I708" i="10" s="1"/>
  <c r="B708" i="10"/>
  <c r="H708" i="10" s="1"/>
  <c r="N707" i="10"/>
  <c r="G707" i="10"/>
  <c r="C707" i="10"/>
  <c r="B707" i="10"/>
  <c r="H707" i="10" s="1"/>
  <c r="N706" i="10"/>
  <c r="H706" i="10"/>
  <c r="G706" i="10"/>
  <c r="C706" i="10"/>
  <c r="B706" i="10"/>
  <c r="N705" i="10"/>
  <c r="I705" i="10"/>
  <c r="G705" i="10"/>
  <c r="E705" i="10"/>
  <c r="C705" i="10"/>
  <c r="B705" i="10"/>
  <c r="H705" i="10" s="1"/>
  <c r="N704" i="10"/>
  <c r="G704" i="10"/>
  <c r="C704" i="10"/>
  <c r="I704" i="10" s="1"/>
  <c r="B704" i="10"/>
  <c r="H704" i="10" s="1"/>
  <c r="N703" i="10"/>
  <c r="G703" i="10"/>
  <c r="C703" i="10"/>
  <c r="B703" i="10"/>
  <c r="H703" i="10" s="1"/>
  <c r="N702" i="10"/>
  <c r="H702" i="10"/>
  <c r="G702" i="10"/>
  <c r="C702" i="10"/>
  <c r="B702" i="10"/>
  <c r="N701" i="10"/>
  <c r="I701" i="10"/>
  <c r="G701" i="10"/>
  <c r="E701" i="10"/>
  <c r="C701" i="10"/>
  <c r="B701" i="10"/>
  <c r="H701" i="10" s="1"/>
  <c r="N700" i="10"/>
  <c r="G700" i="10"/>
  <c r="C700" i="10"/>
  <c r="I700" i="10" s="1"/>
  <c r="B700" i="10"/>
  <c r="H700" i="10" s="1"/>
  <c r="N699" i="10"/>
  <c r="G699" i="10"/>
  <c r="C699" i="10"/>
  <c r="B699" i="10"/>
  <c r="H699" i="10" s="1"/>
  <c r="N698" i="10"/>
  <c r="H698" i="10"/>
  <c r="G698" i="10"/>
  <c r="C698" i="10"/>
  <c r="B698" i="10"/>
  <c r="N697" i="10"/>
  <c r="I697" i="10"/>
  <c r="G697" i="10"/>
  <c r="E697" i="10"/>
  <c r="C697" i="10"/>
  <c r="B697" i="10"/>
  <c r="H697" i="10" s="1"/>
  <c r="N696" i="10"/>
  <c r="G696" i="10"/>
  <c r="C696" i="10"/>
  <c r="I696" i="10" s="1"/>
  <c r="B696" i="10"/>
  <c r="H696" i="10" s="1"/>
  <c r="N695" i="10"/>
  <c r="G695" i="10"/>
  <c r="C695" i="10"/>
  <c r="B695" i="10"/>
  <c r="H695" i="10" s="1"/>
  <c r="N694" i="10"/>
  <c r="H694" i="10"/>
  <c r="G694" i="10"/>
  <c r="C694" i="10"/>
  <c r="B694" i="10"/>
  <c r="N693" i="10"/>
  <c r="I693" i="10"/>
  <c r="G693" i="10"/>
  <c r="E693" i="10"/>
  <c r="C693" i="10"/>
  <c r="B693" i="10"/>
  <c r="H693" i="10" s="1"/>
  <c r="N692" i="10"/>
  <c r="G692" i="10"/>
  <c r="C692" i="10"/>
  <c r="I692" i="10" s="1"/>
  <c r="B692" i="10"/>
  <c r="H692" i="10" s="1"/>
  <c r="N691" i="10"/>
  <c r="G691" i="10"/>
  <c r="C691" i="10"/>
  <c r="B691" i="10"/>
  <c r="H691" i="10" s="1"/>
  <c r="N690" i="10"/>
  <c r="H690" i="10"/>
  <c r="G690" i="10"/>
  <c r="C690" i="10"/>
  <c r="B690" i="10"/>
  <c r="N689" i="10"/>
  <c r="I689" i="10"/>
  <c r="G689" i="10"/>
  <c r="E689" i="10"/>
  <c r="C689" i="10"/>
  <c r="B689" i="10"/>
  <c r="H689" i="10" s="1"/>
  <c r="N688" i="10"/>
  <c r="G688" i="10"/>
  <c r="C688" i="10"/>
  <c r="I688" i="10" s="1"/>
  <c r="B688" i="10"/>
  <c r="H688" i="10" s="1"/>
  <c r="N687" i="10"/>
  <c r="G687" i="10"/>
  <c r="C687" i="10"/>
  <c r="B687" i="10"/>
  <c r="H687" i="10" s="1"/>
  <c r="N686" i="10"/>
  <c r="H686" i="10"/>
  <c r="G686" i="10"/>
  <c r="C686" i="10"/>
  <c r="B686" i="10"/>
  <c r="N685" i="10"/>
  <c r="I685" i="10"/>
  <c r="G685" i="10"/>
  <c r="E685" i="10"/>
  <c r="C685" i="10"/>
  <c r="B685" i="10"/>
  <c r="H685" i="10" s="1"/>
  <c r="N684" i="10"/>
  <c r="G684" i="10"/>
  <c r="C684" i="10"/>
  <c r="I684" i="10" s="1"/>
  <c r="B684" i="10"/>
  <c r="H684" i="10" s="1"/>
  <c r="N683" i="10"/>
  <c r="G683" i="10"/>
  <c r="C683" i="10"/>
  <c r="B683" i="10"/>
  <c r="H683" i="10" s="1"/>
  <c r="N682" i="10"/>
  <c r="H682" i="10"/>
  <c r="G682" i="10"/>
  <c r="C682" i="10"/>
  <c r="B682" i="10"/>
  <c r="N681" i="10"/>
  <c r="I681" i="10"/>
  <c r="G681" i="10"/>
  <c r="E681" i="10"/>
  <c r="C681" i="10"/>
  <c r="B681" i="10"/>
  <c r="H681" i="10" s="1"/>
  <c r="N680" i="10"/>
  <c r="G680" i="10"/>
  <c r="C680" i="10"/>
  <c r="I680" i="10" s="1"/>
  <c r="B680" i="10"/>
  <c r="H680" i="10" s="1"/>
  <c r="N679" i="10"/>
  <c r="G679" i="10"/>
  <c r="C679" i="10"/>
  <c r="B679" i="10"/>
  <c r="H679" i="10" s="1"/>
  <c r="N678" i="10"/>
  <c r="H678" i="10"/>
  <c r="G678" i="10"/>
  <c r="C678" i="10"/>
  <c r="B678" i="10"/>
  <c r="N677" i="10"/>
  <c r="I677" i="10"/>
  <c r="G677" i="10"/>
  <c r="E677" i="10"/>
  <c r="C677" i="10"/>
  <c r="B677" i="10"/>
  <c r="H677" i="10" s="1"/>
  <c r="N676" i="10"/>
  <c r="G676" i="10"/>
  <c r="C676" i="10"/>
  <c r="I676" i="10" s="1"/>
  <c r="B676" i="10"/>
  <c r="H676" i="10" s="1"/>
  <c r="N675" i="10"/>
  <c r="G675" i="10"/>
  <c r="C675" i="10"/>
  <c r="B675" i="10"/>
  <c r="H675" i="10" s="1"/>
  <c r="N674" i="10"/>
  <c r="H674" i="10"/>
  <c r="G674" i="10"/>
  <c r="C674" i="10"/>
  <c r="B674" i="10"/>
  <c r="N673" i="10"/>
  <c r="I673" i="10"/>
  <c r="G673" i="10"/>
  <c r="E673" i="10"/>
  <c r="C673" i="10"/>
  <c r="B673" i="10"/>
  <c r="H673" i="10" s="1"/>
  <c r="N672" i="10"/>
  <c r="G672" i="10"/>
  <c r="C672" i="10"/>
  <c r="I672" i="10" s="1"/>
  <c r="B672" i="10"/>
  <c r="H672" i="10" s="1"/>
  <c r="N671" i="10"/>
  <c r="G671" i="10"/>
  <c r="C671" i="10"/>
  <c r="B671" i="10"/>
  <c r="H671" i="10" s="1"/>
  <c r="N670" i="10"/>
  <c r="H670" i="10"/>
  <c r="G670" i="10"/>
  <c r="C670" i="10"/>
  <c r="B670" i="10"/>
  <c r="N669" i="10"/>
  <c r="I669" i="10"/>
  <c r="G669" i="10"/>
  <c r="E669" i="10"/>
  <c r="C669" i="10"/>
  <c r="B669" i="10"/>
  <c r="H669" i="10" s="1"/>
  <c r="N668" i="10"/>
  <c r="G668" i="10"/>
  <c r="C668" i="10"/>
  <c r="I668" i="10" s="1"/>
  <c r="B668" i="10"/>
  <c r="H668" i="10" s="1"/>
  <c r="N667" i="10"/>
  <c r="G667" i="10"/>
  <c r="C667" i="10"/>
  <c r="B667" i="10"/>
  <c r="H667" i="10" s="1"/>
  <c r="N666" i="10"/>
  <c r="H666" i="10"/>
  <c r="G666" i="10"/>
  <c r="C666" i="10"/>
  <c r="B666" i="10"/>
  <c r="N665" i="10"/>
  <c r="I665" i="10"/>
  <c r="G665" i="10"/>
  <c r="E665" i="10"/>
  <c r="C665" i="10"/>
  <c r="B665" i="10"/>
  <c r="H665" i="10" s="1"/>
  <c r="N664" i="10"/>
  <c r="G664" i="10"/>
  <c r="C664" i="10"/>
  <c r="I664" i="10" s="1"/>
  <c r="B664" i="10"/>
  <c r="H664" i="10" s="1"/>
  <c r="N663" i="10"/>
  <c r="G663" i="10"/>
  <c r="C663" i="10"/>
  <c r="B663" i="10"/>
  <c r="H663" i="10" s="1"/>
  <c r="N662" i="10"/>
  <c r="H662" i="10"/>
  <c r="G662" i="10"/>
  <c r="C662" i="10"/>
  <c r="B662" i="10"/>
  <c r="N661" i="10"/>
  <c r="I661" i="10"/>
  <c r="G661" i="10"/>
  <c r="E661" i="10"/>
  <c r="C661" i="10"/>
  <c r="B661" i="10"/>
  <c r="H661" i="10" s="1"/>
  <c r="N660" i="10"/>
  <c r="G660" i="10"/>
  <c r="C660" i="10"/>
  <c r="I660" i="10" s="1"/>
  <c r="B660" i="10"/>
  <c r="H660" i="10" s="1"/>
  <c r="N659" i="10"/>
  <c r="G659" i="10"/>
  <c r="C659" i="10"/>
  <c r="B659" i="10"/>
  <c r="H659" i="10" s="1"/>
  <c r="N658" i="10"/>
  <c r="H658" i="10"/>
  <c r="G658" i="10"/>
  <c r="C658" i="10"/>
  <c r="B658" i="10"/>
  <c r="N657" i="10"/>
  <c r="I657" i="10"/>
  <c r="G657" i="10"/>
  <c r="E657" i="10"/>
  <c r="C657" i="10"/>
  <c r="B657" i="10"/>
  <c r="H657" i="10" s="1"/>
  <c r="N656" i="10"/>
  <c r="G656" i="10"/>
  <c r="C656" i="10"/>
  <c r="I656" i="10" s="1"/>
  <c r="B656" i="10"/>
  <c r="H656" i="10" s="1"/>
  <c r="N655" i="10"/>
  <c r="G655" i="10"/>
  <c r="C655" i="10"/>
  <c r="B655" i="10"/>
  <c r="H655" i="10" s="1"/>
  <c r="N654" i="10"/>
  <c r="H654" i="10"/>
  <c r="G654" i="10"/>
  <c r="C654" i="10"/>
  <c r="B654" i="10"/>
  <c r="N653" i="10"/>
  <c r="I653" i="10"/>
  <c r="G653" i="10"/>
  <c r="E653" i="10"/>
  <c r="C653" i="10"/>
  <c r="B653" i="10"/>
  <c r="H653" i="10" s="1"/>
  <c r="N652" i="10"/>
  <c r="G652" i="10"/>
  <c r="C652" i="10"/>
  <c r="I652" i="10" s="1"/>
  <c r="B652" i="10"/>
  <c r="H652" i="10" s="1"/>
  <c r="N651" i="10"/>
  <c r="G651" i="10"/>
  <c r="C651" i="10"/>
  <c r="B651" i="10"/>
  <c r="H651" i="10" s="1"/>
  <c r="N650" i="10"/>
  <c r="H650" i="10"/>
  <c r="G650" i="10"/>
  <c r="C650" i="10"/>
  <c r="B650" i="10"/>
  <c r="N649" i="10"/>
  <c r="I649" i="10"/>
  <c r="G649" i="10"/>
  <c r="E649" i="10"/>
  <c r="C649" i="10"/>
  <c r="B649" i="10"/>
  <c r="H649" i="10" s="1"/>
  <c r="N648" i="10"/>
  <c r="G648" i="10"/>
  <c r="C648" i="10"/>
  <c r="I648" i="10" s="1"/>
  <c r="B648" i="10"/>
  <c r="H648" i="10" s="1"/>
  <c r="N647" i="10"/>
  <c r="G647" i="10"/>
  <c r="C647" i="10"/>
  <c r="B647" i="10"/>
  <c r="H647" i="10" s="1"/>
  <c r="N646" i="10"/>
  <c r="H646" i="10"/>
  <c r="G646" i="10"/>
  <c r="C646" i="10"/>
  <c r="B646" i="10"/>
  <c r="N645" i="10"/>
  <c r="I645" i="10"/>
  <c r="G645" i="10"/>
  <c r="E645" i="10"/>
  <c r="C645" i="10"/>
  <c r="B645" i="10"/>
  <c r="H645" i="10" s="1"/>
  <c r="N644" i="10"/>
  <c r="G644" i="10"/>
  <c r="C644" i="10"/>
  <c r="I644" i="10" s="1"/>
  <c r="B644" i="10"/>
  <c r="H644" i="10" s="1"/>
  <c r="N643" i="10"/>
  <c r="G643" i="10"/>
  <c r="C643" i="10"/>
  <c r="B643" i="10"/>
  <c r="H643" i="10" s="1"/>
  <c r="N642" i="10"/>
  <c r="H642" i="10"/>
  <c r="G642" i="10"/>
  <c r="C642" i="10"/>
  <c r="B642" i="10"/>
  <c r="N641" i="10"/>
  <c r="I641" i="10"/>
  <c r="G641" i="10"/>
  <c r="E641" i="10"/>
  <c r="C641" i="10"/>
  <c r="B641" i="10"/>
  <c r="H641" i="10" s="1"/>
  <c r="N640" i="10"/>
  <c r="G640" i="10"/>
  <c r="C640" i="10"/>
  <c r="I640" i="10" s="1"/>
  <c r="B640" i="10"/>
  <c r="H640" i="10" s="1"/>
  <c r="N639" i="10"/>
  <c r="G639" i="10"/>
  <c r="C639" i="10"/>
  <c r="B639" i="10"/>
  <c r="H639" i="10" s="1"/>
  <c r="N638" i="10"/>
  <c r="H638" i="10"/>
  <c r="G638" i="10"/>
  <c r="C638" i="10"/>
  <c r="B638" i="10"/>
  <c r="N637" i="10"/>
  <c r="I637" i="10"/>
  <c r="G637" i="10"/>
  <c r="E637" i="10"/>
  <c r="C637" i="10"/>
  <c r="B637" i="10"/>
  <c r="H637" i="10" s="1"/>
  <c r="N636" i="10"/>
  <c r="G636" i="10"/>
  <c r="C636" i="10"/>
  <c r="I636" i="10" s="1"/>
  <c r="B636" i="10"/>
  <c r="H636" i="10" s="1"/>
  <c r="N635" i="10"/>
  <c r="G635" i="10"/>
  <c r="C635" i="10"/>
  <c r="B635" i="10"/>
  <c r="H635" i="10" s="1"/>
  <c r="N634" i="10"/>
  <c r="H634" i="10"/>
  <c r="G634" i="10"/>
  <c r="C634" i="10"/>
  <c r="B634" i="10"/>
  <c r="N633" i="10"/>
  <c r="I633" i="10"/>
  <c r="G633" i="10"/>
  <c r="E633" i="10"/>
  <c r="C633" i="10"/>
  <c r="B633" i="10"/>
  <c r="H633" i="10" s="1"/>
  <c r="N632" i="10"/>
  <c r="G632" i="10"/>
  <c r="C632" i="10"/>
  <c r="I632" i="10" s="1"/>
  <c r="B632" i="10"/>
  <c r="H632" i="10" s="1"/>
  <c r="N631" i="10"/>
  <c r="G631" i="10"/>
  <c r="C631" i="10"/>
  <c r="B631" i="10"/>
  <c r="H631" i="10" s="1"/>
  <c r="N630" i="10"/>
  <c r="H630" i="10"/>
  <c r="G630" i="10"/>
  <c r="C630" i="10"/>
  <c r="B630" i="10"/>
  <c r="N629" i="10"/>
  <c r="I629" i="10"/>
  <c r="G629" i="10"/>
  <c r="E629" i="10"/>
  <c r="C629" i="10"/>
  <c r="B629" i="10"/>
  <c r="H629" i="10" s="1"/>
  <c r="N628" i="10"/>
  <c r="G628" i="10"/>
  <c r="C628" i="10"/>
  <c r="I628" i="10" s="1"/>
  <c r="B628" i="10"/>
  <c r="H628" i="10" s="1"/>
  <c r="N627" i="10"/>
  <c r="G627" i="10"/>
  <c r="C627" i="10"/>
  <c r="B627" i="10"/>
  <c r="H627" i="10" s="1"/>
  <c r="N626" i="10"/>
  <c r="H626" i="10"/>
  <c r="G626" i="10"/>
  <c r="C626" i="10"/>
  <c r="B626" i="10"/>
  <c r="N625" i="10"/>
  <c r="I625" i="10"/>
  <c r="G625" i="10"/>
  <c r="E625" i="10"/>
  <c r="C625" i="10"/>
  <c r="B625" i="10"/>
  <c r="H625" i="10" s="1"/>
  <c r="N624" i="10"/>
  <c r="G624" i="10"/>
  <c r="C624" i="10"/>
  <c r="I624" i="10" s="1"/>
  <c r="B624" i="10"/>
  <c r="H624" i="10" s="1"/>
  <c r="N623" i="10"/>
  <c r="G623" i="10"/>
  <c r="C623" i="10"/>
  <c r="B623" i="10"/>
  <c r="H623" i="10" s="1"/>
  <c r="N622" i="10"/>
  <c r="H622" i="10"/>
  <c r="G622" i="10"/>
  <c r="C622" i="10"/>
  <c r="B622" i="10"/>
  <c r="N621" i="10"/>
  <c r="I621" i="10"/>
  <c r="G621" i="10"/>
  <c r="E621" i="10"/>
  <c r="C621" i="10"/>
  <c r="B621" i="10"/>
  <c r="H621" i="10" s="1"/>
  <c r="N620" i="10"/>
  <c r="G620" i="10"/>
  <c r="C620" i="10"/>
  <c r="I620" i="10" s="1"/>
  <c r="B620" i="10"/>
  <c r="H620" i="10" s="1"/>
  <c r="N619" i="10"/>
  <c r="G619" i="10"/>
  <c r="C619" i="10"/>
  <c r="B619" i="10"/>
  <c r="H619" i="10" s="1"/>
  <c r="N618" i="10"/>
  <c r="H618" i="10"/>
  <c r="G618" i="10"/>
  <c r="C618" i="10"/>
  <c r="B618" i="10"/>
  <c r="N617" i="10"/>
  <c r="I617" i="10"/>
  <c r="G617" i="10"/>
  <c r="E617" i="10"/>
  <c r="C617" i="10"/>
  <c r="B617" i="10"/>
  <c r="H617" i="10" s="1"/>
  <c r="N616" i="10"/>
  <c r="G616" i="10"/>
  <c r="C616" i="10"/>
  <c r="I616" i="10" s="1"/>
  <c r="B616" i="10"/>
  <c r="H616" i="10" s="1"/>
  <c r="N615" i="10"/>
  <c r="G615" i="10"/>
  <c r="C615" i="10"/>
  <c r="B615" i="10"/>
  <c r="H615" i="10" s="1"/>
  <c r="N614" i="10"/>
  <c r="H614" i="10"/>
  <c r="G614" i="10"/>
  <c r="C614" i="10"/>
  <c r="B614" i="10"/>
  <c r="N613" i="10"/>
  <c r="I613" i="10"/>
  <c r="G613" i="10"/>
  <c r="E613" i="10"/>
  <c r="C613" i="10"/>
  <c r="B613" i="10"/>
  <c r="H613" i="10" s="1"/>
  <c r="N612" i="10"/>
  <c r="G612" i="10"/>
  <c r="C612" i="10"/>
  <c r="I612" i="10" s="1"/>
  <c r="B612" i="10"/>
  <c r="H612" i="10" s="1"/>
  <c r="N611" i="10"/>
  <c r="G611" i="10"/>
  <c r="C611" i="10"/>
  <c r="B611" i="10"/>
  <c r="H611" i="10" s="1"/>
  <c r="N610" i="10"/>
  <c r="H610" i="10"/>
  <c r="G610" i="10"/>
  <c r="C610" i="10"/>
  <c r="B610" i="10"/>
  <c r="N609" i="10"/>
  <c r="I609" i="10"/>
  <c r="G609" i="10"/>
  <c r="E609" i="10"/>
  <c r="C609" i="10"/>
  <c r="B609" i="10"/>
  <c r="H609" i="10" s="1"/>
  <c r="N608" i="10"/>
  <c r="G608" i="10"/>
  <c r="C608" i="10"/>
  <c r="I608" i="10" s="1"/>
  <c r="B608" i="10"/>
  <c r="H608" i="10" s="1"/>
  <c r="N607" i="10"/>
  <c r="G607" i="10"/>
  <c r="C607" i="10"/>
  <c r="B607" i="10"/>
  <c r="H607" i="10" s="1"/>
  <c r="N606" i="10"/>
  <c r="H606" i="10"/>
  <c r="G606" i="10"/>
  <c r="C606" i="10"/>
  <c r="B606" i="10"/>
  <c r="N605" i="10"/>
  <c r="I605" i="10"/>
  <c r="G605" i="10"/>
  <c r="E605" i="10"/>
  <c r="C605" i="10"/>
  <c r="B605" i="10"/>
  <c r="H605" i="10" s="1"/>
  <c r="N604" i="10"/>
  <c r="G604" i="10"/>
  <c r="C604" i="10"/>
  <c r="I604" i="10" s="1"/>
  <c r="B604" i="10"/>
  <c r="H604" i="10" s="1"/>
  <c r="N603" i="10"/>
  <c r="G603" i="10"/>
  <c r="C603" i="10"/>
  <c r="B603" i="10"/>
  <c r="H603" i="10" s="1"/>
  <c r="N602" i="10"/>
  <c r="H602" i="10"/>
  <c r="G602" i="10"/>
  <c r="C602" i="10"/>
  <c r="B602" i="10"/>
  <c r="N601" i="10"/>
  <c r="I601" i="10"/>
  <c r="G601" i="10"/>
  <c r="E601" i="10"/>
  <c r="C601" i="10"/>
  <c r="B601" i="10"/>
  <c r="H601" i="10" s="1"/>
  <c r="N600" i="10"/>
  <c r="G600" i="10"/>
  <c r="C600" i="10"/>
  <c r="I600" i="10" s="1"/>
  <c r="B600" i="10"/>
  <c r="H600" i="10" s="1"/>
  <c r="N599" i="10"/>
  <c r="G599" i="10"/>
  <c r="C599" i="10"/>
  <c r="B599" i="10"/>
  <c r="H599" i="10" s="1"/>
  <c r="N598" i="10"/>
  <c r="H598" i="10"/>
  <c r="G598" i="10"/>
  <c r="C598" i="10"/>
  <c r="B598" i="10"/>
  <c r="N597" i="10"/>
  <c r="I597" i="10"/>
  <c r="G597" i="10"/>
  <c r="E597" i="10"/>
  <c r="C597" i="10"/>
  <c r="B597" i="10"/>
  <c r="H597" i="10" s="1"/>
  <c r="N596" i="10"/>
  <c r="G596" i="10"/>
  <c r="C596" i="10"/>
  <c r="I596" i="10" s="1"/>
  <c r="B596" i="10"/>
  <c r="H596" i="10" s="1"/>
  <c r="N595" i="10"/>
  <c r="G595" i="10"/>
  <c r="C595" i="10"/>
  <c r="B595" i="10"/>
  <c r="H595" i="10" s="1"/>
  <c r="N594" i="10"/>
  <c r="H594" i="10"/>
  <c r="G594" i="10"/>
  <c r="C594" i="10"/>
  <c r="B594" i="10"/>
  <c r="N593" i="10"/>
  <c r="I593" i="10"/>
  <c r="G593" i="10"/>
  <c r="E593" i="10"/>
  <c r="C593" i="10"/>
  <c r="B593" i="10"/>
  <c r="H593" i="10" s="1"/>
  <c r="N592" i="10"/>
  <c r="G592" i="10"/>
  <c r="C592" i="10"/>
  <c r="I592" i="10" s="1"/>
  <c r="B592" i="10"/>
  <c r="H592" i="10" s="1"/>
  <c r="N591" i="10"/>
  <c r="G591" i="10"/>
  <c r="C591" i="10"/>
  <c r="B591" i="10"/>
  <c r="H591" i="10" s="1"/>
  <c r="N590" i="10"/>
  <c r="H590" i="10"/>
  <c r="G590" i="10"/>
  <c r="C590" i="10"/>
  <c r="B590" i="10"/>
  <c r="N589" i="10"/>
  <c r="I589" i="10"/>
  <c r="G589" i="10"/>
  <c r="E589" i="10"/>
  <c r="C589" i="10"/>
  <c r="B589" i="10"/>
  <c r="H589" i="10" s="1"/>
  <c r="N588" i="10"/>
  <c r="G588" i="10"/>
  <c r="C588" i="10"/>
  <c r="I588" i="10" s="1"/>
  <c r="B588" i="10"/>
  <c r="H588" i="10" s="1"/>
  <c r="N587" i="10"/>
  <c r="G587" i="10"/>
  <c r="C587" i="10"/>
  <c r="B587" i="10"/>
  <c r="H587" i="10" s="1"/>
  <c r="N586" i="10"/>
  <c r="H586" i="10"/>
  <c r="G586" i="10"/>
  <c r="C586" i="10"/>
  <c r="B586" i="10"/>
  <c r="N585" i="10"/>
  <c r="I585" i="10"/>
  <c r="G585" i="10"/>
  <c r="E585" i="10"/>
  <c r="C585" i="10"/>
  <c r="B585" i="10"/>
  <c r="H585" i="10" s="1"/>
  <c r="N584" i="10"/>
  <c r="G584" i="10"/>
  <c r="C584" i="10"/>
  <c r="I584" i="10" s="1"/>
  <c r="B584" i="10"/>
  <c r="H584" i="10" s="1"/>
  <c r="N583" i="10"/>
  <c r="G583" i="10"/>
  <c r="C583" i="10"/>
  <c r="B583" i="10"/>
  <c r="H583" i="10" s="1"/>
  <c r="N582" i="10"/>
  <c r="H582" i="10"/>
  <c r="G582" i="10"/>
  <c r="C582" i="10"/>
  <c r="B582" i="10"/>
  <c r="N581" i="10"/>
  <c r="I581" i="10"/>
  <c r="G581" i="10"/>
  <c r="E581" i="10"/>
  <c r="C581" i="10"/>
  <c r="B581" i="10"/>
  <c r="H581" i="10" s="1"/>
  <c r="N580" i="10"/>
  <c r="G580" i="10"/>
  <c r="C580" i="10"/>
  <c r="I580" i="10" s="1"/>
  <c r="B580" i="10"/>
  <c r="H580" i="10" s="1"/>
  <c r="N579" i="10"/>
  <c r="G579" i="10"/>
  <c r="C579" i="10"/>
  <c r="B579" i="10"/>
  <c r="H579" i="10" s="1"/>
  <c r="N578" i="10"/>
  <c r="H578" i="10"/>
  <c r="G578" i="10"/>
  <c r="C578" i="10"/>
  <c r="B578" i="10"/>
  <c r="N577" i="10"/>
  <c r="I577" i="10"/>
  <c r="G577" i="10"/>
  <c r="E577" i="10"/>
  <c r="C577" i="10"/>
  <c r="B577" i="10"/>
  <c r="H577" i="10" s="1"/>
  <c r="N576" i="10"/>
  <c r="G576" i="10"/>
  <c r="C576" i="10"/>
  <c r="I576" i="10" s="1"/>
  <c r="B576" i="10"/>
  <c r="H576" i="10" s="1"/>
  <c r="N575" i="10"/>
  <c r="G575" i="10"/>
  <c r="C575" i="10"/>
  <c r="B575" i="10"/>
  <c r="H575" i="10" s="1"/>
  <c r="N574" i="10"/>
  <c r="H574" i="10"/>
  <c r="G574" i="10"/>
  <c r="C574" i="10"/>
  <c r="B574" i="10"/>
  <c r="N573" i="10"/>
  <c r="I573" i="10"/>
  <c r="G573" i="10"/>
  <c r="E573" i="10"/>
  <c r="C573" i="10"/>
  <c r="B573" i="10"/>
  <c r="H573" i="10" s="1"/>
  <c r="N572" i="10"/>
  <c r="G572" i="10"/>
  <c r="C572" i="10"/>
  <c r="I572" i="10" s="1"/>
  <c r="B572" i="10"/>
  <c r="H572" i="10" s="1"/>
  <c r="N571" i="10"/>
  <c r="G571" i="10"/>
  <c r="C571" i="10"/>
  <c r="B571" i="10"/>
  <c r="H571" i="10" s="1"/>
  <c r="N570" i="10"/>
  <c r="H570" i="10"/>
  <c r="G570" i="10"/>
  <c r="C570" i="10"/>
  <c r="B570" i="10"/>
  <c r="N569" i="10"/>
  <c r="I569" i="10"/>
  <c r="G569" i="10"/>
  <c r="E569" i="10"/>
  <c r="C569" i="10"/>
  <c r="B569" i="10"/>
  <c r="H569" i="10" s="1"/>
  <c r="N568" i="10"/>
  <c r="G568" i="10"/>
  <c r="C568" i="10"/>
  <c r="I568" i="10" s="1"/>
  <c r="B568" i="10"/>
  <c r="H568" i="10" s="1"/>
  <c r="N567" i="10"/>
  <c r="G567" i="10"/>
  <c r="C567" i="10"/>
  <c r="B567" i="10"/>
  <c r="H567" i="10" s="1"/>
  <c r="N566" i="10"/>
  <c r="H566" i="10"/>
  <c r="G566" i="10"/>
  <c r="C566" i="10"/>
  <c r="B566" i="10"/>
  <c r="N565" i="10"/>
  <c r="I565" i="10"/>
  <c r="G565" i="10"/>
  <c r="E565" i="10"/>
  <c r="C565" i="10"/>
  <c r="B565" i="10"/>
  <c r="H565" i="10" s="1"/>
  <c r="N564" i="10"/>
  <c r="G564" i="10"/>
  <c r="C564" i="10"/>
  <c r="I564" i="10" s="1"/>
  <c r="B564" i="10"/>
  <c r="H564" i="10" s="1"/>
  <c r="N563" i="10"/>
  <c r="G563" i="10"/>
  <c r="C563" i="10"/>
  <c r="B563" i="10"/>
  <c r="H563" i="10" s="1"/>
  <c r="N562" i="10"/>
  <c r="H562" i="10"/>
  <c r="G562" i="10"/>
  <c r="C562" i="10"/>
  <c r="B562" i="10"/>
  <c r="N561" i="10"/>
  <c r="I561" i="10"/>
  <c r="G561" i="10"/>
  <c r="E561" i="10"/>
  <c r="C561" i="10"/>
  <c r="B561" i="10"/>
  <c r="H561" i="10" s="1"/>
  <c r="N560" i="10"/>
  <c r="G560" i="10"/>
  <c r="C560" i="10"/>
  <c r="I560" i="10" s="1"/>
  <c r="B560" i="10"/>
  <c r="H560" i="10" s="1"/>
  <c r="N559" i="10"/>
  <c r="G559" i="10"/>
  <c r="C559" i="10"/>
  <c r="B559" i="10"/>
  <c r="H559" i="10" s="1"/>
  <c r="N558" i="10"/>
  <c r="H558" i="10"/>
  <c r="G558" i="10"/>
  <c r="C558" i="10"/>
  <c r="B558" i="10"/>
  <c r="N557" i="10"/>
  <c r="I557" i="10"/>
  <c r="G557" i="10"/>
  <c r="E557" i="10"/>
  <c r="C557" i="10"/>
  <c r="B557" i="10"/>
  <c r="H557" i="10" s="1"/>
  <c r="N556" i="10"/>
  <c r="G556" i="10"/>
  <c r="C556" i="10"/>
  <c r="I556" i="10" s="1"/>
  <c r="B556" i="10"/>
  <c r="H556" i="10" s="1"/>
  <c r="N555" i="10"/>
  <c r="G555" i="10"/>
  <c r="C555" i="10"/>
  <c r="B555" i="10"/>
  <c r="H555" i="10" s="1"/>
  <c r="N554" i="10"/>
  <c r="H554" i="10"/>
  <c r="G554" i="10"/>
  <c r="C554" i="10"/>
  <c r="B554" i="10"/>
  <c r="N553" i="10"/>
  <c r="I553" i="10"/>
  <c r="G553" i="10"/>
  <c r="E553" i="10"/>
  <c r="C553" i="10"/>
  <c r="B553" i="10"/>
  <c r="H553" i="10" s="1"/>
  <c r="N552" i="10"/>
  <c r="G552" i="10"/>
  <c r="C552" i="10"/>
  <c r="I552" i="10" s="1"/>
  <c r="B552" i="10"/>
  <c r="H552" i="10" s="1"/>
  <c r="N551" i="10"/>
  <c r="G551" i="10"/>
  <c r="C551" i="10"/>
  <c r="B551" i="10"/>
  <c r="H551" i="10" s="1"/>
  <c r="N550" i="10"/>
  <c r="H550" i="10"/>
  <c r="G550" i="10"/>
  <c r="C550" i="10"/>
  <c r="B550" i="10"/>
  <c r="N549" i="10"/>
  <c r="I549" i="10"/>
  <c r="G549" i="10"/>
  <c r="E549" i="10"/>
  <c r="C549" i="10"/>
  <c r="B549" i="10"/>
  <c r="H549" i="10" s="1"/>
  <c r="N548" i="10"/>
  <c r="G548" i="10"/>
  <c r="C548" i="10"/>
  <c r="I548" i="10" s="1"/>
  <c r="B548" i="10"/>
  <c r="H548" i="10" s="1"/>
  <c r="N547" i="10"/>
  <c r="G547" i="10"/>
  <c r="C547" i="10"/>
  <c r="B547" i="10"/>
  <c r="H547" i="10" s="1"/>
  <c r="N546" i="10"/>
  <c r="H546" i="10"/>
  <c r="G546" i="10"/>
  <c r="C546" i="10"/>
  <c r="B546" i="10"/>
  <c r="N545" i="10"/>
  <c r="I545" i="10"/>
  <c r="G545" i="10"/>
  <c r="E545" i="10"/>
  <c r="C545" i="10"/>
  <c r="B545" i="10"/>
  <c r="H545" i="10" s="1"/>
  <c r="N544" i="10"/>
  <c r="G544" i="10"/>
  <c r="C544" i="10"/>
  <c r="I544" i="10" s="1"/>
  <c r="B544" i="10"/>
  <c r="H544" i="10" s="1"/>
  <c r="N543" i="10"/>
  <c r="G543" i="10"/>
  <c r="C543" i="10"/>
  <c r="B543" i="10"/>
  <c r="H543" i="10" s="1"/>
  <c r="N542" i="10"/>
  <c r="H542" i="10"/>
  <c r="G542" i="10"/>
  <c r="C542" i="10"/>
  <c r="B542" i="10"/>
  <c r="N541" i="10"/>
  <c r="I541" i="10"/>
  <c r="G541" i="10"/>
  <c r="E541" i="10"/>
  <c r="C541" i="10"/>
  <c r="B541" i="10"/>
  <c r="H541" i="10" s="1"/>
  <c r="N540" i="10"/>
  <c r="G540" i="10"/>
  <c r="C540" i="10"/>
  <c r="I540" i="10" s="1"/>
  <c r="B540" i="10"/>
  <c r="H540" i="10" s="1"/>
  <c r="N539" i="10"/>
  <c r="G539" i="10"/>
  <c r="C539" i="10"/>
  <c r="B539" i="10"/>
  <c r="H539" i="10" s="1"/>
  <c r="N538" i="10"/>
  <c r="H538" i="10"/>
  <c r="G538" i="10"/>
  <c r="C538" i="10"/>
  <c r="B538" i="10"/>
  <c r="N537" i="10"/>
  <c r="I537" i="10"/>
  <c r="G537" i="10"/>
  <c r="E537" i="10"/>
  <c r="C537" i="10"/>
  <c r="B537" i="10"/>
  <c r="H537" i="10" s="1"/>
  <c r="N536" i="10"/>
  <c r="G536" i="10"/>
  <c r="C536" i="10"/>
  <c r="I536" i="10" s="1"/>
  <c r="B536" i="10"/>
  <c r="H536" i="10" s="1"/>
  <c r="N535" i="10"/>
  <c r="G535" i="10"/>
  <c r="C535" i="10"/>
  <c r="B535" i="10"/>
  <c r="H535" i="10" s="1"/>
  <c r="N534" i="10"/>
  <c r="H534" i="10"/>
  <c r="G534" i="10"/>
  <c r="C534" i="10"/>
  <c r="B534" i="10"/>
  <c r="N533" i="10"/>
  <c r="I533" i="10"/>
  <c r="H533" i="10"/>
  <c r="G533" i="10"/>
  <c r="E533" i="10"/>
  <c r="C533" i="10"/>
  <c r="B533" i="10"/>
  <c r="N532" i="10"/>
  <c r="G532" i="10"/>
  <c r="C532" i="10"/>
  <c r="I532" i="10" s="1"/>
  <c r="B532" i="10"/>
  <c r="H532" i="10" s="1"/>
  <c r="N531" i="10"/>
  <c r="G531" i="10"/>
  <c r="C531" i="10"/>
  <c r="B531" i="10"/>
  <c r="H531" i="10" s="1"/>
  <c r="N530" i="10"/>
  <c r="H530" i="10"/>
  <c r="G530" i="10"/>
  <c r="C530" i="10"/>
  <c r="B530" i="10"/>
  <c r="N529" i="10"/>
  <c r="I529" i="10"/>
  <c r="H529" i="10"/>
  <c r="G529" i="10"/>
  <c r="E529" i="10"/>
  <c r="C529" i="10"/>
  <c r="B529" i="10"/>
  <c r="N528" i="10"/>
  <c r="G528" i="10"/>
  <c r="C528" i="10"/>
  <c r="I528" i="10" s="1"/>
  <c r="B528" i="10"/>
  <c r="H528" i="10" s="1"/>
  <c r="N527" i="10"/>
  <c r="G527" i="10"/>
  <c r="C527" i="10"/>
  <c r="B527" i="10"/>
  <c r="H527" i="10" s="1"/>
  <c r="N526" i="10"/>
  <c r="H526" i="10"/>
  <c r="G526" i="10"/>
  <c r="C526" i="10"/>
  <c r="B526" i="10"/>
  <c r="N525" i="10"/>
  <c r="I525" i="10"/>
  <c r="H525" i="10"/>
  <c r="G525" i="10"/>
  <c r="E525" i="10"/>
  <c r="C525" i="10"/>
  <c r="B525" i="10"/>
  <c r="N524" i="10"/>
  <c r="G524" i="10"/>
  <c r="C524" i="10"/>
  <c r="I524" i="10" s="1"/>
  <c r="B524" i="10"/>
  <c r="H524" i="10" s="1"/>
  <c r="N523" i="10"/>
  <c r="G523" i="10"/>
  <c r="C523" i="10"/>
  <c r="B523" i="10"/>
  <c r="H523" i="10" s="1"/>
  <c r="N522" i="10"/>
  <c r="H522" i="10"/>
  <c r="G522" i="10"/>
  <c r="C522" i="10"/>
  <c r="B522" i="10"/>
  <c r="N521" i="10"/>
  <c r="I521" i="10"/>
  <c r="G521" i="10"/>
  <c r="E521" i="10"/>
  <c r="C521" i="10"/>
  <c r="B521" i="10"/>
  <c r="H521" i="10" s="1"/>
  <c r="N520" i="10"/>
  <c r="G520" i="10"/>
  <c r="C520" i="10"/>
  <c r="I520" i="10" s="1"/>
  <c r="B520" i="10"/>
  <c r="H520" i="10" s="1"/>
  <c r="N519" i="10"/>
  <c r="G519" i="10"/>
  <c r="C519" i="10"/>
  <c r="B519" i="10"/>
  <c r="H519" i="10" s="1"/>
  <c r="N518" i="10"/>
  <c r="H518" i="10"/>
  <c r="G518" i="10"/>
  <c r="C518" i="10"/>
  <c r="B518" i="10"/>
  <c r="N517" i="10"/>
  <c r="I517" i="10"/>
  <c r="H517" i="10"/>
  <c r="G517" i="10"/>
  <c r="E517" i="10"/>
  <c r="C517" i="10"/>
  <c r="B517" i="10"/>
  <c r="N516" i="10"/>
  <c r="G516" i="10"/>
  <c r="C516" i="10"/>
  <c r="I516" i="10" s="1"/>
  <c r="B516" i="10"/>
  <c r="H516" i="10" s="1"/>
  <c r="N515" i="10"/>
  <c r="G515" i="10"/>
  <c r="C515" i="10"/>
  <c r="B515" i="10"/>
  <c r="H515" i="10" s="1"/>
  <c r="N514" i="10"/>
  <c r="H514" i="10"/>
  <c r="G514" i="10"/>
  <c r="C514" i="10"/>
  <c r="B514" i="10"/>
  <c r="N513" i="10"/>
  <c r="I513" i="10"/>
  <c r="H513" i="10"/>
  <c r="G513" i="10"/>
  <c r="E513" i="10"/>
  <c r="C513" i="10"/>
  <c r="B513" i="10"/>
  <c r="N512" i="10"/>
  <c r="G512" i="10"/>
  <c r="C512" i="10"/>
  <c r="I512" i="10" s="1"/>
  <c r="B512" i="10"/>
  <c r="H512" i="10" s="1"/>
  <c r="N511" i="10"/>
  <c r="G511" i="10"/>
  <c r="C511" i="10"/>
  <c r="B511" i="10"/>
  <c r="H511" i="10" s="1"/>
  <c r="N510" i="10"/>
  <c r="H510" i="10"/>
  <c r="G510" i="10"/>
  <c r="C510" i="10"/>
  <c r="B510" i="10"/>
  <c r="N509" i="10"/>
  <c r="I509" i="10"/>
  <c r="H509" i="10"/>
  <c r="G509" i="10"/>
  <c r="E509" i="10"/>
  <c r="C509" i="10"/>
  <c r="B509" i="10"/>
  <c r="N508" i="10"/>
  <c r="I508" i="10"/>
  <c r="G508" i="10"/>
  <c r="E508" i="10"/>
  <c r="C508" i="10"/>
  <c r="B508" i="10"/>
  <c r="H508" i="10" s="1"/>
  <c r="N507" i="10"/>
  <c r="G507" i="10"/>
  <c r="C507" i="10"/>
  <c r="B507" i="10"/>
  <c r="H507" i="10" s="1"/>
  <c r="N506" i="10"/>
  <c r="H506" i="10"/>
  <c r="G506" i="10"/>
  <c r="C506" i="10"/>
  <c r="B506" i="10"/>
  <c r="N505" i="10"/>
  <c r="I505" i="10"/>
  <c r="H505" i="10"/>
  <c r="G505" i="10"/>
  <c r="E505" i="10"/>
  <c r="C505" i="10"/>
  <c r="B505" i="10"/>
  <c r="N504" i="10"/>
  <c r="I504" i="10"/>
  <c r="G504" i="10"/>
  <c r="E504" i="10"/>
  <c r="C504" i="10"/>
  <c r="B504" i="10"/>
  <c r="H504" i="10" s="1"/>
  <c r="N503" i="10"/>
  <c r="G503" i="10"/>
  <c r="C503" i="10"/>
  <c r="B503" i="10"/>
  <c r="H503" i="10" s="1"/>
  <c r="N502" i="10"/>
  <c r="H502" i="10"/>
  <c r="G502" i="10"/>
  <c r="C502" i="10"/>
  <c r="B502" i="10"/>
  <c r="N501" i="10"/>
  <c r="I501" i="10"/>
  <c r="H501" i="10"/>
  <c r="G501" i="10"/>
  <c r="E501" i="10"/>
  <c r="C501" i="10"/>
  <c r="B501" i="10"/>
  <c r="N500" i="10"/>
  <c r="I500" i="10"/>
  <c r="G500" i="10"/>
  <c r="E500" i="10"/>
  <c r="C500" i="10"/>
  <c r="B500" i="10"/>
  <c r="H500" i="10" s="1"/>
  <c r="N499" i="10"/>
  <c r="G499" i="10"/>
  <c r="C499" i="10"/>
  <c r="B499" i="10"/>
  <c r="H499" i="10" s="1"/>
  <c r="N498" i="10"/>
  <c r="H498" i="10"/>
  <c r="G498" i="10"/>
  <c r="C498" i="10"/>
  <c r="B498" i="10"/>
  <c r="N497" i="10"/>
  <c r="I497" i="10"/>
  <c r="H497" i="10"/>
  <c r="G497" i="10"/>
  <c r="E497" i="10"/>
  <c r="C497" i="10"/>
  <c r="B497" i="10"/>
  <c r="N496" i="10"/>
  <c r="I496" i="10"/>
  <c r="G496" i="10"/>
  <c r="E496" i="10"/>
  <c r="C496" i="10"/>
  <c r="B496" i="10"/>
  <c r="H496" i="10" s="1"/>
  <c r="N495" i="10"/>
  <c r="G495" i="10"/>
  <c r="C495" i="10"/>
  <c r="B495" i="10"/>
  <c r="H495" i="10" s="1"/>
  <c r="N494" i="10"/>
  <c r="H494" i="10"/>
  <c r="G494" i="10"/>
  <c r="C494" i="10"/>
  <c r="B494" i="10"/>
  <c r="N493" i="10"/>
  <c r="I493" i="10"/>
  <c r="H493" i="10"/>
  <c r="G493" i="10"/>
  <c r="E493" i="10"/>
  <c r="C493" i="10"/>
  <c r="B493" i="10"/>
  <c r="N492" i="10"/>
  <c r="I492" i="10"/>
  <c r="G492" i="10"/>
  <c r="E492" i="10"/>
  <c r="C492" i="10"/>
  <c r="B492" i="10"/>
  <c r="H492" i="10" s="1"/>
  <c r="N491" i="10"/>
  <c r="G491" i="10"/>
  <c r="C491" i="10"/>
  <c r="B491" i="10"/>
  <c r="H491" i="10" s="1"/>
  <c r="N490" i="10"/>
  <c r="H490" i="10"/>
  <c r="G490" i="10"/>
  <c r="C490" i="10"/>
  <c r="B490" i="10"/>
  <c r="N489" i="10"/>
  <c r="I489" i="10"/>
  <c r="H489" i="10"/>
  <c r="G489" i="10"/>
  <c r="E489" i="10"/>
  <c r="C489" i="10"/>
  <c r="B489" i="10"/>
  <c r="N488" i="10"/>
  <c r="I488" i="10"/>
  <c r="G488" i="10"/>
  <c r="E488" i="10"/>
  <c r="C488" i="10"/>
  <c r="B488" i="10"/>
  <c r="H488" i="10" s="1"/>
  <c r="N487" i="10"/>
  <c r="G487" i="10"/>
  <c r="C487" i="10"/>
  <c r="B487" i="10"/>
  <c r="H487" i="10" s="1"/>
  <c r="N486" i="10"/>
  <c r="H486" i="10"/>
  <c r="G486" i="10"/>
  <c r="C486" i="10"/>
  <c r="B486" i="10"/>
  <c r="N485" i="10"/>
  <c r="I485" i="10"/>
  <c r="H485" i="10"/>
  <c r="G485" i="10"/>
  <c r="E485" i="10"/>
  <c r="C485" i="10"/>
  <c r="B485" i="10"/>
  <c r="N484" i="10"/>
  <c r="I484" i="10"/>
  <c r="G484" i="10"/>
  <c r="E484" i="10"/>
  <c r="C484" i="10"/>
  <c r="B484" i="10"/>
  <c r="H484" i="10" s="1"/>
  <c r="N483" i="10"/>
  <c r="G483" i="10"/>
  <c r="C483" i="10"/>
  <c r="B483" i="10"/>
  <c r="H483" i="10" s="1"/>
  <c r="N482" i="10"/>
  <c r="H482" i="10"/>
  <c r="G482" i="10"/>
  <c r="C482" i="10"/>
  <c r="B482" i="10"/>
  <c r="N481" i="10"/>
  <c r="I481" i="10"/>
  <c r="H481" i="10"/>
  <c r="G481" i="10"/>
  <c r="E481" i="10"/>
  <c r="C481" i="10"/>
  <c r="B481" i="10"/>
  <c r="N480" i="10"/>
  <c r="I480" i="10"/>
  <c r="G480" i="10"/>
  <c r="E480" i="10"/>
  <c r="C480" i="10"/>
  <c r="B480" i="10"/>
  <c r="H480" i="10" s="1"/>
  <c r="N479" i="10"/>
  <c r="G479" i="10"/>
  <c r="C479" i="10"/>
  <c r="B479" i="10"/>
  <c r="H479" i="10" s="1"/>
  <c r="N478" i="10"/>
  <c r="H478" i="10"/>
  <c r="G478" i="10"/>
  <c r="C478" i="10"/>
  <c r="B478" i="10"/>
  <c r="N477" i="10"/>
  <c r="I477" i="10"/>
  <c r="H477" i="10"/>
  <c r="G477" i="10"/>
  <c r="E477" i="10"/>
  <c r="C477" i="10"/>
  <c r="B477" i="10"/>
  <c r="N476" i="10"/>
  <c r="I476" i="10"/>
  <c r="G476" i="10"/>
  <c r="E476" i="10"/>
  <c r="C476" i="10"/>
  <c r="B476" i="10"/>
  <c r="H476" i="10" s="1"/>
  <c r="N475" i="10"/>
  <c r="G475" i="10"/>
  <c r="C475" i="10"/>
  <c r="B475" i="10"/>
  <c r="H475" i="10" s="1"/>
  <c r="N474" i="10"/>
  <c r="H474" i="10"/>
  <c r="G474" i="10"/>
  <c r="C474" i="10"/>
  <c r="B474" i="10"/>
  <c r="N473" i="10"/>
  <c r="I473" i="10"/>
  <c r="H473" i="10"/>
  <c r="G473" i="10"/>
  <c r="E473" i="10"/>
  <c r="C473" i="10"/>
  <c r="B473" i="10"/>
  <c r="N472" i="10"/>
  <c r="I472" i="10"/>
  <c r="G472" i="10"/>
  <c r="E472" i="10"/>
  <c r="C472" i="10"/>
  <c r="B472" i="10"/>
  <c r="H472" i="10" s="1"/>
  <c r="N471" i="10"/>
  <c r="G471" i="10"/>
  <c r="C471" i="10"/>
  <c r="B471" i="10"/>
  <c r="H471" i="10" s="1"/>
  <c r="N470" i="10"/>
  <c r="H470" i="10"/>
  <c r="G470" i="10"/>
  <c r="C470" i="10"/>
  <c r="B470" i="10"/>
  <c r="N469" i="10"/>
  <c r="I469" i="10"/>
  <c r="H469" i="10"/>
  <c r="G469" i="10"/>
  <c r="E469" i="10"/>
  <c r="C469" i="10"/>
  <c r="B469" i="10"/>
  <c r="N468" i="10"/>
  <c r="I468" i="10"/>
  <c r="G468" i="10"/>
  <c r="E468" i="10"/>
  <c r="C468" i="10"/>
  <c r="B468" i="10"/>
  <c r="H468" i="10" s="1"/>
  <c r="N467" i="10"/>
  <c r="G467" i="10"/>
  <c r="C467" i="10"/>
  <c r="B467" i="10"/>
  <c r="H467" i="10" s="1"/>
  <c r="N466" i="10"/>
  <c r="H466" i="10"/>
  <c r="G466" i="10"/>
  <c r="C466" i="10"/>
  <c r="B466" i="10"/>
  <c r="N465" i="10"/>
  <c r="I465" i="10"/>
  <c r="H465" i="10"/>
  <c r="G465" i="10"/>
  <c r="E465" i="10"/>
  <c r="C465" i="10"/>
  <c r="B465" i="10"/>
  <c r="N464" i="10"/>
  <c r="I464" i="10"/>
  <c r="G464" i="10"/>
  <c r="E464" i="10"/>
  <c r="C464" i="10"/>
  <c r="B464" i="10"/>
  <c r="H464" i="10" s="1"/>
  <c r="N463" i="10"/>
  <c r="G463" i="10"/>
  <c r="C463" i="10"/>
  <c r="B463" i="10"/>
  <c r="H463" i="10" s="1"/>
  <c r="N462" i="10"/>
  <c r="H462" i="10"/>
  <c r="G462" i="10"/>
  <c r="C462" i="10"/>
  <c r="B462" i="10"/>
  <c r="N461" i="10"/>
  <c r="I461" i="10"/>
  <c r="H461" i="10"/>
  <c r="G461" i="10"/>
  <c r="E461" i="10"/>
  <c r="C461" i="10"/>
  <c r="B461" i="10"/>
  <c r="N460" i="10"/>
  <c r="I460" i="10"/>
  <c r="G460" i="10"/>
  <c r="E460" i="10"/>
  <c r="C460" i="10"/>
  <c r="B460" i="10"/>
  <c r="H460" i="10" s="1"/>
  <c r="N459" i="10"/>
  <c r="G459" i="10"/>
  <c r="C459" i="10"/>
  <c r="B459" i="10"/>
  <c r="H459" i="10" s="1"/>
  <c r="N458" i="10"/>
  <c r="H458" i="10"/>
  <c r="G458" i="10"/>
  <c r="C458" i="10"/>
  <c r="B458" i="10"/>
  <c r="N457" i="10"/>
  <c r="I457" i="10"/>
  <c r="H457" i="10"/>
  <c r="G457" i="10"/>
  <c r="E457" i="10"/>
  <c r="C457" i="10"/>
  <c r="B457" i="10"/>
  <c r="N456" i="10"/>
  <c r="I456" i="10"/>
  <c r="G456" i="10"/>
  <c r="E456" i="10"/>
  <c r="C456" i="10"/>
  <c r="B456" i="10"/>
  <c r="H456" i="10" s="1"/>
  <c r="N455" i="10"/>
  <c r="G455" i="10"/>
  <c r="C455" i="10"/>
  <c r="B455" i="10"/>
  <c r="H455" i="10" s="1"/>
  <c r="N454" i="10"/>
  <c r="H454" i="10"/>
  <c r="G454" i="10"/>
  <c r="C454" i="10"/>
  <c r="B454" i="10"/>
  <c r="N453" i="10"/>
  <c r="I453" i="10"/>
  <c r="H453" i="10"/>
  <c r="G453" i="10"/>
  <c r="E453" i="10"/>
  <c r="C453" i="10"/>
  <c r="B453" i="10"/>
  <c r="N452" i="10"/>
  <c r="I452" i="10"/>
  <c r="G452" i="10"/>
  <c r="E452" i="10"/>
  <c r="C452" i="10"/>
  <c r="B452" i="10"/>
  <c r="H452" i="10" s="1"/>
  <c r="N451" i="10"/>
  <c r="G451" i="10"/>
  <c r="C451" i="10"/>
  <c r="B451" i="10"/>
  <c r="H451" i="10" s="1"/>
  <c r="N450" i="10"/>
  <c r="H450" i="10"/>
  <c r="G450" i="10"/>
  <c r="C450" i="10"/>
  <c r="B450" i="10"/>
  <c r="N449" i="10"/>
  <c r="I449" i="10"/>
  <c r="H449" i="10"/>
  <c r="G449" i="10"/>
  <c r="E449" i="10"/>
  <c r="C449" i="10"/>
  <c r="B449" i="10"/>
  <c r="N448" i="10"/>
  <c r="I448" i="10"/>
  <c r="G448" i="10"/>
  <c r="E448" i="10"/>
  <c r="C448" i="10"/>
  <c r="B448" i="10"/>
  <c r="H448" i="10" s="1"/>
  <c r="N447" i="10"/>
  <c r="G447" i="10"/>
  <c r="C447" i="10"/>
  <c r="B447" i="10"/>
  <c r="H447" i="10" s="1"/>
  <c r="N446" i="10"/>
  <c r="H446" i="10"/>
  <c r="G446" i="10"/>
  <c r="C446" i="10"/>
  <c r="B446" i="10"/>
  <c r="N445" i="10"/>
  <c r="I445" i="10"/>
  <c r="H445" i="10"/>
  <c r="G445" i="10"/>
  <c r="E445" i="10"/>
  <c r="C445" i="10"/>
  <c r="B445" i="10"/>
  <c r="N444" i="10"/>
  <c r="G444" i="10"/>
  <c r="C444" i="10"/>
  <c r="I444" i="10" s="1"/>
  <c r="B444" i="10"/>
  <c r="H444" i="10" s="1"/>
  <c r="N443" i="10"/>
  <c r="G443" i="10"/>
  <c r="C443" i="10"/>
  <c r="B443" i="10"/>
  <c r="H443" i="10" s="1"/>
  <c r="N442" i="10"/>
  <c r="H442" i="10"/>
  <c r="G442" i="10"/>
  <c r="C442" i="10"/>
  <c r="B442" i="10"/>
  <c r="N441" i="10"/>
  <c r="I441" i="10"/>
  <c r="H441" i="10"/>
  <c r="G441" i="10"/>
  <c r="E441" i="10"/>
  <c r="C441" i="10"/>
  <c r="B441" i="10"/>
  <c r="N440" i="10"/>
  <c r="G440" i="10"/>
  <c r="C440" i="10"/>
  <c r="I440" i="10" s="1"/>
  <c r="B440" i="10"/>
  <c r="H440" i="10" s="1"/>
  <c r="N439" i="10"/>
  <c r="G439" i="10"/>
  <c r="C439" i="10"/>
  <c r="B439" i="10"/>
  <c r="H439" i="10" s="1"/>
  <c r="N438" i="10"/>
  <c r="H438" i="10"/>
  <c r="G438" i="10"/>
  <c r="C438" i="10"/>
  <c r="B438" i="10"/>
  <c r="N437" i="10"/>
  <c r="I437" i="10"/>
  <c r="H437" i="10"/>
  <c r="G437" i="10"/>
  <c r="E437" i="10"/>
  <c r="C437" i="10"/>
  <c r="B437" i="10"/>
  <c r="N436" i="10"/>
  <c r="H436" i="10"/>
  <c r="G436" i="10"/>
  <c r="C436" i="10"/>
  <c r="I436" i="10" s="1"/>
  <c r="B436" i="10"/>
  <c r="N435" i="10"/>
  <c r="I435" i="10"/>
  <c r="G435" i="10"/>
  <c r="E435" i="10"/>
  <c r="C435" i="10"/>
  <c r="B435" i="10"/>
  <c r="H435" i="10" s="1"/>
  <c r="N434" i="10"/>
  <c r="H434" i="10"/>
  <c r="G434" i="10"/>
  <c r="C434" i="10"/>
  <c r="B434" i="10"/>
  <c r="N433" i="10"/>
  <c r="I433" i="10"/>
  <c r="G433" i="10"/>
  <c r="E433" i="10"/>
  <c r="C433" i="10"/>
  <c r="B433" i="10"/>
  <c r="H433" i="10" s="1"/>
  <c r="N432" i="10"/>
  <c r="H432" i="10"/>
  <c r="G432" i="10"/>
  <c r="C432" i="10"/>
  <c r="I432" i="10" s="1"/>
  <c r="B432" i="10"/>
  <c r="N431" i="10"/>
  <c r="I431" i="10"/>
  <c r="G431" i="10"/>
  <c r="E431" i="10"/>
  <c r="C431" i="10"/>
  <c r="B431" i="10"/>
  <c r="H431" i="10" s="1"/>
  <c r="N430" i="10"/>
  <c r="H430" i="10"/>
  <c r="G430" i="10"/>
  <c r="C430" i="10"/>
  <c r="B430" i="10"/>
  <c r="N429" i="10"/>
  <c r="I429" i="10"/>
  <c r="G429" i="10"/>
  <c r="E429" i="10"/>
  <c r="C429" i="10"/>
  <c r="B429" i="10"/>
  <c r="H429" i="10" s="1"/>
  <c r="N428" i="10"/>
  <c r="H428" i="10"/>
  <c r="G428" i="10"/>
  <c r="C428" i="10"/>
  <c r="I428" i="10" s="1"/>
  <c r="B428" i="10"/>
  <c r="N427" i="10"/>
  <c r="I427" i="10"/>
  <c r="G427" i="10"/>
  <c r="E427" i="10"/>
  <c r="C427" i="10"/>
  <c r="B427" i="10"/>
  <c r="H427" i="10" s="1"/>
  <c r="N426" i="10"/>
  <c r="H426" i="10"/>
  <c r="G426" i="10"/>
  <c r="C426" i="10"/>
  <c r="B426" i="10"/>
  <c r="N425" i="10"/>
  <c r="I425" i="10"/>
  <c r="G425" i="10"/>
  <c r="E425" i="10"/>
  <c r="C425" i="10"/>
  <c r="B425" i="10"/>
  <c r="H425" i="10" s="1"/>
  <c r="N424" i="10"/>
  <c r="H424" i="10"/>
  <c r="G424" i="10"/>
  <c r="C424" i="10"/>
  <c r="I424" i="10" s="1"/>
  <c r="B424" i="10"/>
  <c r="N423" i="10"/>
  <c r="I423" i="10"/>
  <c r="G423" i="10"/>
  <c r="E423" i="10"/>
  <c r="C423" i="10"/>
  <c r="B423" i="10"/>
  <c r="H423" i="10" s="1"/>
  <c r="N422" i="10"/>
  <c r="H422" i="10"/>
  <c r="G422" i="10"/>
  <c r="C422" i="10"/>
  <c r="B422" i="10"/>
  <c r="N421" i="10"/>
  <c r="I421" i="10"/>
  <c r="G421" i="10"/>
  <c r="E421" i="10"/>
  <c r="C421" i="10"/>
  <c r="B421" i="10"/>
  <c r="H421" i="10" s="1"/>
  <c r="N420" i="10"/>
  <c r="H420" i="10"/>
  <c r="G420" i="10"/>
  <c r="C420" i="10"/>
  <c r="I420" i="10" s="1"/>
  <c r="B420" i="10"/>
  <c r="N419" i="10"/>
  <c r="I419" i="10"/>
  <c r="G419" i="10"/>
  <c r="E419" i="10"/>
  <c r="C419" i="10"/>
  <c r="B419" i="10"/>
  <c r="H419" i="10" s="1"/>
  <c r="N418" i="10"/>
  <c r="H418" i="10"/>
  <c r="G418" i="10"/>
  <c r="C418" i="10"/>
  <c r="B418" i="10"/>
  <c r="N417" i="10"/>
  <c r="I417" i="10"/>
  <c r="G417" i="10"/>
  <c r="E417" i="10"/>
  <c r="C417" i="10"/>
  <c r="B417" i="10"/>
  <c r="H417" i="10" s="1"/>
  <c r="N416" i="10"/>
  <c r="H416" i="10"/>
  <c r="G416" i="10"/>
  <c r="C416" i="10"/>
  <c r="I416" i="10" s="1"/>
  <c r="B416" i="10"/>
  <c r="N415" i="10"/>
  <c r="I415" i="10"/>
  <c r="G415" i="10"/>
  <c r="E415" i="10"/>
  <c r="C415" i="10"/>
  <c r="B415" i="10"/>
  <c r="H415" i="10" s="1"/>
  <c r="N414" i="10"/>
  <c r="H414" i="10"/>
  <c r="G414" i="10"/>
  <c r="C414" i="10"/>
  <c r="B414" i="10"/>
  <c r="N413" i="10"/>
  <c r="I413" i="10"/>
  <c r="G413" i="10"/>
  <c r="E413" i="10"/>
  <c r="C413" i="10"/>
  <c r="B413" i="10"/>
  <c r="H413" i="10" s="1"/>
  <c r="N412" i="10"/>
  <c r="H412" i="10"/>
  <c r="G412" i="10"/>
  <c r="C412" i="10"/>
  <c r="I412" i="10" s="1"/>
  <c r="B412" i="10"/>
  <c r="N411" i="10"/>
  <c r="I411" i="10"/>
  <c r="G411" i="10"/>
  <c r="E411" i="10"/>
  <c r="C411" i="10"/>
  <c r="B411" i="10"/>
  <c r="H411" i="10" s="1"/>
  <c r="N410" i="10"/>
  <c r="H410" i="10"/>
  <c r="G410" i="10"/>
  <c r="C410" i="10"/>
  <c r="B410" i="10"/>
  <c r="N409" i="10"/>
  <c r="I409" i="10"/>
  <c r="G409" i="10"/>
  <c r="E409" i="10"/>
  <c r="C409" i="10"/>
  <c r="B409" i="10"/>
  <c r="H409" i="10" s="1"/>
  <c r="N408" i="10"/>
  <c r="H408" i="10"/>
  <c r="G408" i="10"/>
  <c r="C408" i="10"/>
  <c r="I408" i="10" s="1"/>
  <c r="B408" i="10"/>
  <c r="N407" i="10"/>
  <c r="I407" i="10"/>
  <c r="G407" i="10"/>
  <c r="E407" i="10"/>
  <c r="C407" i="10"/>
  <c r="B407" i="10"/>
  <c r="H407" i="10" s="1"/>
  <c r="N406" i="10"/>
  <c r="H406" i="10"/>
  <c r="G406" i="10"/>
  <c r="C406" i="10"/>
  <c r="B406" i="10"/>
  <c r="N405" i="10"/>
  <c r="I405" i="10"/>
  <c r="G405" i="10"/>
  <c r="E405" i="10"/>
  <c r="C405" i="10"/>
  <c r="B405" i="10"/>
  <c r="H405" i="10" s="1"/>
  <c r="N404" i="10"/>
  <c r="H404" i="10"/>
  <c r="G404" i="10"/>
  <c r="C404" i="10"/>
  <c r="I404" i="10" s="1"/>
  <c r="B404" i="10"/>
  <c r="N403" i="10"/>
  <c r="I403" i="10"/>
  <c r="G403" i="10"/>
  <c r="E403" i="10"/>
  <c r="C403" i="10"/>
  <c r="B403" i="10"/>
  <c r="H403" i="10" s="1"/>
  <c r="N402" i="10"/>
  <c r="H402" i="10"/>
  <c r="G402" i="10"/>
  <c r="C402" i="10"/>
  <c r="B402" i="10"/>
  <c r="N401" i="10"/>
  <c r="I401" i="10"/>
  <c r="G401" i="10"/>
  <c r="E401" i="10"/>
  <c r="C401" i="10"/>
  <c r="B401" i="10"/>
  <c r="H401" i="10" s="1"/>
  <c r="N400" i="10"/>
  <c r="H400" i="10"/>
  <c r="G400" i="10"/>
  <c r="C400" i="10"/>
  <c r="I400" i="10" s="1"/>
  <c r="B400" i="10"/>
  <c r="N399" i="10"/>
  <c r="I399" i="10"/>
  <c r="G399" i="10"/>
  <c r="E399" i="10"/>
  <c r="C399" i="10"/>
  <c r="B399" i="10"/>
  <c r="H399" i="10" s="1"/>
  <c r="N398" i="10"/>
  <c r="H398" i="10"/>
  <c r="G398" i="10"/>
  <c r="C398" i="10"/>
  <c r="B398" i="10"/>
  <c r="N397" i="10"/>
  <c r="I397" i="10"/>
  <c r="G397" i="10"/>
  <c r="E397" i="10"/>
  <c r="C397" i="10"/>
  <c r="B397" i="10"/>
  <c r="H397" i="10" s="1"/>
  <c r="N396" i="10"/>
  <c r="H396" i="10"/>
  <c r="G396" i="10"/>
  <c r="C396" i="10"/>
  <c r="I396" i="10" s="1"/>
  <c r="B396" i="10"/>
  <c r="N395" i="10"/>
  <c r="I395" i="10"/>
  <c r="G395" i="10"/>
  <c r="E395" i="10"/>
  <c r="C395" i="10"/>
  <c r="B395" i="10"/>
  <c r="H395" i="10" s="1"/>
  <c r="N394" i="10"/>
  <c r="H394" i="10"/>
  <c r="G394" i="10"/>
  <c r="C394" i="10"/>
  <c r="B394" i="10"/>
  <c r="N393" i="10"/>
  <c r="I393" i="10"/>
  <c r="G393" i="10"/>
  <c r="E393" i="10"/>
  <c r="C393" i="10"/>
  <c r="B393" i="10"/>
  <c r="H393" i="10" s="1"/>
  <c r="N392" i="10"/>
  <c r="H392" i="10"/>
  <c r="G392" i="10"/>
  <c r="C392" i="10"/>
  <c r="I392" i="10" s="1"/>
  <c r="B392" i="10"/>
  <c r="N391" i="10"/>
  <c r="I391" i="10"/>
  <c r="G391" i="10"/>
  <c r="E391" i="10"/>
  <c r="C391" i="10"/>
  <c r="B391" i="10"/>
  <c r="H391" i="10" s="1"/>
  <c r="N390" i="10"/>
  <c r="H390" i="10"/>
  <c r="G390" i="10"/>
  <c r="C390" i="10"/>
  <c r="B390" i="10"/>
  <c r="N389" i="10"/>
  <c r="I389" i="10"/>
  <c r="G389" i="10"/>
  <c r="E389" i="10"/>
  <c r="C389" i="10"/>
  <c r="B389" i="10"/>
  <c r="H389" i="10" s="1"/>
  <c r="N388" i="10"/>
  <c r="H388" i="10"/>
  <c r="G388" i="10"/>
  <c r="C388" i="10"/>
  <c r="I388" i="10" s="1"/>
  <c r="B388" i="10"/>
  <c r="N387" i="10"/>
  <c r="I387" i="10"/>
  <c r="G387" i="10"/>
  <c r="E387" i="10"/>
  <c r="C387" i="10"/>
  <c r="B387" i="10"/>
  <c r="H387" i="10" s="1"/>
  <c r="N386" i="10"/>
  <c r="H386" i="10"/>
  <c r="G386" i="10"/>
  <c r="C386" i="10"/>
  <c r="B386" i="10"/>
  <c r="N385" i="10"/>
  <c r="I385" i="10"/>
  <c r="G385" i="10"/>
  <c r="E385" i="10"/>
  <c r="C385" i="10"/>
  <c r="B385" i="10"/>
  <c r="H385" i="10" s="1"/>
  <c r="N384" i="10"/>
  <c r="H384" i="10"/>
  <c r="G384" i="10"/>
  <c r="C384" i="10"/>
  <c r="I384" i="10" s="1"/>
  <c r="B384" i="10"/>
  <c r="N383" i="10"/>
  <c r="I383" i="10"/>
  <c r="G383" i="10"/>
  <c r="E383" i="10"/>
  <c r="C383" i="10"/>
  <c r="B383" i="10"/>
  <c r="H383" i="10" s="1"/>
  <c r="N382" i="10"/>
  <c r="H382" i="10"/>
  <c r="G382" i="10"/>
  <c r="C382" i="10"/>
  <c r="B382" i="10"/>
  <c r="N381" i="10"/>
  <c r="I381" i="10"/>
  <c r="G381" i="10"/>
  <c r="E381" i="10"/>
  <c r="C381" i="10"/>
  <c r="B381" i="10"/>
  <c r="H381" i="10" s="1"/>
  <c r="N380" i="10"/>
  <c r="H380" i="10"/>
  <c r="G380" i="10"/>
  <c r="C380" i="10"/>
  <c r="I380" i="10" s="1"/>
  <c r="B380" i="10"/>
  <c r="N379" i="10"/>
  <c r="I379" i="10"/>
  <c r="G379" i="10"/>
  <c r="E379" i="10"/>
  <c r="C379" i="10"/>
  <c r="B379" i="10"/>
  <c r="H379" i="10" s="1"/>
  <c r="N378" i="10"/>
  <c r="H378" i="10"/>
  <c r="G378" i="10"/>
  <c r="C378" i="10"/>
  <c r="B378" i="10"/>
  <c r="N377" i="10"/>
  <c r="I377" i="10"/>
  <c r="G377" i="10"/>
  <c r="E377" i="10"/>
  <c r="C377" i="10"/>
  <c r="B377" i="10"/>
  <c r="H377" i="10" s="1"/>
  <c r="N376" i="10"/>
  <c r="H376" i="10"/>
  <c r="G376" i="10"/>
  <c r="C376" i="10"/>
  <c r="I376" i="10" s="1"/>
  <c r="B376" i="10"/>
  <c r="N375" i="10"/>
  <c r="I375" i="10"/>
  <c r="G375" i="10"/>
  <c r="E375" i="10"/>
  <c r="C375" i="10"/>
  <c r="B375" i="10"/>
  <c r="H375" i="10" s="1"/>
  <c r="N374" i="10"/>
  <c r="H374" i="10"/>
  <c r="G374" i="10"/>
  <c r="C374" i="10"/>
  <c r="B374" i="10"/>
  <c r="N373" i="10"/>
  <c r="I373" i="10"/>
  <c r="G373" i="10"/>
  <c r="E373" i="10"/>
  <c r="C373" i="10"/>
  <c r="B373" i="10"/>
  <c r="H373" i="10" s="1"/>
  <c r="N372" i="10"/>
  <c r="H372" i="10"/>
  <c r="G372" i="10"/>
  <c r="C372" i="10"/>
  <c r="I372" i="10" s="1"/>
  <c r="B372" i="10"/>
  <c r="N371" i="10"/>
  <c r="I371" i="10"/>
  <c r="G371" i="10"/>
  <c r="E371" i="10"/>
  <c r="C371" i="10"/>
  <c r="B371" i="10"/>
  <c r="H371" i="10" s="1"/>
  <c r="N370" i="10"/>
  <c r="H370" i="10"/>
  <c r="G370" i="10"/>
  <c r="C370" i="10"/>
  <c r="B370" i="10"/>
  <c r="N369" i="10"/>
  <c r="I369" i="10"/>
  <c r="G369" i="10"/>
  <c r="E369" i="10"/>
  <c r="C369" i="10"/>
  <c r="B369" i="10"/>
  <c r="H369" i="10" s="1"/>
  <c r="N368" i="10"/>
  <c r="H368" i="10"/>
  <c r="G368" i="10"/>
  <c r="C368" i="10"/>
  <c r="I368" i="10" s="1"/>
  <c r="B368" i="10"/>
  <c r="N367" i="10"/>
  <c r="I367" i="10"/>
  <c r="G367" i="10"/>
  <c r="E367" i="10"/>
  <c r="C367" i="10"/>
  <c r="B367" i="10"/>
  <c r="H367" i="10" s="1"/>
  <c r="N366" i="10"/>
  <c r="H366" i="10"/>
  <c r="G366" i="10"/>
  <c r="C366" i="10"/>
  <c r="B366" i="10"/>
  <c r="N365" i="10"/>
  <c r="I365" i="10"/>
  <c r="G365" i="10"/>
  <c r="E365" i="10"/>
  <c r="C365" i="10"/>
  <c r="B365" i="10"/>
  <c r="H365" i="10" s="1"/>
  <c r="N364" i="10"/>
  <c r="H364" i="10"/>
  <c r="G364" i="10"/>
  <c r="C364" i="10"/>
  <c r="I364" i="10" s="1"/>
  <c r="B364" i="10"/>
  <c r="N363" i="10"/>
  <c r="I363" i="10"/>
  <c r="G363" i="10"/>
  <c r="E363" i="10"/>
  <c r="C363" i="10"/>
  <c r="B363" i="10"/>
  <c r="H363" i="10" s="1"/>
  <c r="N362" i="10"/>
  <c r="H362" i="10"/>
  <c r="G362" i="10"/>
  <c r="C362" i="10"/>
  <c r="B362" i="10"/>
  <c r="N361" i="10"/>
  <c r="I361" i="10"/>
  <c r="G361" i="10"/>
  <c r="E361" i="10"/>
  <c r="C361" i="10"/>
  <c r="B361" i="10"/>
  <c r="H361" i="10" s="1"/>
  <c r="N360" i="10"/>
  <c r="H360" i="10"/>
  <c r="G360" i="10"/>
  <c r="C360" i="10"/>
  <c r="I360" i="10" s="1"/>
  <c r="B360" i="10"/>
  <c r="N359" i="10"/>
  <c r="I359" i="10"/>
  <c r="G359" i="10"/>
  <c r="E359" i="10"/>
  <c r="C359" i="10"/>
  <c r="B359" i="10"/>
  <c r="H359" i="10" s="1"/>
  <c r="N358" i="10"/>
  <c r="H358" i="10"/>
  <c r="G358" i="10"/>
  <c r="C358" i="10"/>
  <c r="B358" i="10"/>
  <c r="N357" i="10"/>
  <c r="I357" i="10"/>
  <c r="G357" i="10"/>
  <c r="E357" i="10"/>
  <c r="C357" i="10"/>
  <c r="B357" i="10"/>
  <c r="H357" i="10" s="1"/>
  <c r="N356" i="10"/>
  <c r="H356" i="10"/>
  <c r="G356" i="10"/>
  <c r="C356" i="10"/>
  <c r="I356" i="10" s="1"/>
  <c r="B356" i="10"/>
  <c r="N355" i="10"/>
  <c r="I355" i="10"/>
  <c r="G355" i="10"/>
  <c r="E355" i="10"/>
  <c r="C355" i="10"/>
  <c r="B355" i="10"/>
  <c r="H355" i="10" s="1"/>
  <c r="N354" i="10"/>
  <c r="H354" i="10"/>
  <c r="G354" i="10"/>
  <c r="C354" i="10"/>
  <c r="B354" i="10"/>
  <c r="N353" i="10"/>
  <c r="I353" i="10"/>
  <c r="G353" i="10"/>
  <c r="E353" i="10"/>
  <c r="C353" i="10"/>
  <c r="B353" i="10"/>
  <c r="H353" i="10" s="1"/>
  <c r="N352" i="10"/>
  <c r="H352" i="10"/>
  <c r="G352" i="10"/>
  <c r="C352" i="10"/>
  <c r="I352" i="10" s="1"/>
  <c r="B352" i="10"/>
  <c r="N351" i="10"/>
  <c r="I351" i="10"/>
  <c r="G351" i="10"/>
  <c r="E351" i="10"/>
  <c r="C351" i="10"/>
  <c r="B351" i="10"/>
  <c r="H351" i="10" s="1"/>
  <c r="N350" i="10"/>
  <c r="H350" i="10"/>
  <c r="G350" i="10"/>
  <c r="C350" i="10"/>
  <c r="B350" i="10"/>
  <c r="N349" i="10"/>
  <c r="I349" i="10"/>
  <c r="G349" i="10"/>
  <c r="E349" i="10"/>
  <c r="C349" i="10"/>
  <c r="B349" i="10"/>
  <c r="H349" i="10" s="1"/>
  <c r="N348" i="10"/>
  <c r="H348" i="10"/>
  <c r="G348" i="10"/>
  <c r="C348" i="10"/>
  <c r="I348" i="10" s="1"/>
  <c r="B348" i="10"/>
  <c r="N347" i="10"/>
  <c r="I347" i="10"/>
  <c r="G347" i="10"/>
  <c r="E347" i="10"/>
  <c r="C347" i="10"/>
  <c r="B347" i="10"/>
  <c r="H347" i="10" s="1"/>
  <c r="H346" i="10"/>
  <c r="G346" i="10"/>
  <c r="C346" i="10"/>
  <c r="B346" i="10"/>
  <c r="I345" i="10"/>
  <c r="G345" i="10"/>
  <c r="E345" i="10"/>
  <c r="C345" i="10"/>
  <c r="B345" i="10"/>
  <c r="H345" i="10" s="1"/>
  <c r="H344" i="10"/>
  <c r="G344" i="10"/>
  <c r="C344" i="10"/>
  <c r="I344" i="10" s="1"/>
  <c r="B344" i="10"/>
  <c r="I343" i="10"/>
  <c r="G343" i="10"/>
  <c r="E343" i="10"/>
  <c r="C343" i="10"/>
  <c r="B343" i="10"/>
  <c r="H343" i="10" s="1"/>
  <c r="H342" i="10"/>
  <c r="G342" i="10"/>
  <c r="C342" i="10"/>
  <c r="B342" i="10"/>
  <c r="I341" i="10"/>
  <c r="G341" i="10"/>
  <c r="E341" i="10"/>
  <c r="C341" i="10"/>
  <c r="B341" i="10"/>
  <c r="H341" i="10" s="1"/>
  <c r="H340" i="10"/>
  <c r="G340" i="10"/>
  <c r="C340" i="10"/>
  <c r="I340" i="10" s="1"/>
  <c r="B340" i="10"/>
  <c r="I339" i="10"/>
  <c r="G339" i="10"/>
  <c r="E339" i="10"/>
  <c r="C339" i="10"/>
  <c r="B339" i="10"/>
  <c r="H339" i="10" s="1"/>
  <c r="H338" i="10"/>
  <c r="G338" i="10"/>
  <c r="C338" i="10"/>
  <c r="B338" i="10"/>
  <c r="I337" i="10"/>
  <c r="G337" i="10"/>
  <c r="E337" i="10"/>
  <c r="C337" i="10"/>
  <c r="B337" i="10"/>
  <c r="H337" i="10" s="1"/>
  <c r="H336" i="10"/>
  <c r="G336" i="10"/>
  <c r="C336" i="10"/>
  <c r="I336" i="10" s="1"/>
  <c r="B336" i="10"/>
  <c r="I335" i="10"/>
  <c r="G335" i="10"/>
  <c r="E335" i="10"/>
  <c r="C335" i="10"/>
  <c r="B335" i="10"/>
  <c r="H335" i="10" s="1"/>
  <c r="H334" i="10"/>
  <c r="G334" i="10"/>
  <c r="C334" i="10"/>
  <c r="B334" i="10"/>
  <c r="I333" i="10"/>
  <c r="G333" i="10"/>
  <c r="E333" i="10"/>
  <c r="C333" i="10"/>
  <c r="B333" i="10"/>
  <c r="H333" i="10" s="1"/>
  <c r="H332" i="10"/>
  <c r="G332" i="10"/>
  <c r="C332" i="10"/>
  <c r="I332" i="10" s="1"/>
  <c r="B332" i="10"/>
  <c r="I331" i="10"/>
  <c r="G331" i="10"/>
  <c r="E331" i="10"/>
  <c r="C331" i="10"/>
  <c r="B331" i="10"/>
  <c r="H331" i="10" s="1"/>
  <c r="H330" i="10"/>
  <c r="G330" i="10"/>
  <c r="C330" i="10"/>
  <c r="B330" i="10"/>
  <c r="I329" i="10"/>
  <c r="G329" i="10"/>
  <c r="E329" i="10"/>
  <c r="C329" i="10"/>
  <c r="B329" i="10"/>
  <c r="H329" i="10" s="1"/>
  <c r="H328" i="10"/>
  <c r="G328" i="10"/>
  <c r="C328" i="10"/>
  <c r="I328" i="10" s="1"/>
  <c r="B328" i="10"/>
  <c r="I327" i="10"/>
  <c r="G327" i="10"/>
  <c r="E327" i="10"/>
  <c r="C327" i="10"/>
  <c r="B327" i="10"/>
  <c r="H327" i="10" s="1"/>
  <c r="H326" i="10"/>
  <c r="G326" i="10"/>
  <c r="C326" i="10"/>
  <c r="B326" i="10"/>
  <c r="I325" i="10"/>
  <c r="G325" i="10"/>
  <c r="E325" i="10"/>
  <c r="C325" i="10"/>
  <c r="B325" i="10"/>
  <c r="H325" i="10" s="1"/>
  <c r="H324" i="10"/>
  <c r="G324" i="10"/>
  <c r="C324" i="10"/>
  <c r="I324" i="10" s="1"/>
  <c r="B324" i="10"/>
  <c r="I323" i="10"/>
  <c r="G323" i="10"/>
  <c r="E323" i="10"/>
  <c r="C323" i="10"/>
  <c r="B323" i="10"/>
  <c r="H323" i="10" s="1"/>
  <c r="H322" i="10"/>
  <c r="G322" i="10"/>
  <c r="C322" i="10"/>
  <c r="B322" i="10"/>
  <c r="I321" i="10"/>
  <c r="G321" i="10"/>
  <c r="E321" i="10"/>
  <c r="C321" i="10"/>
  <c r="B321" i="10"/>
  <c r="H321" i="10" s="1"/>
  <c r="H320" i="10"/>
  <c r="G320" i="10"/>
  <c r="C320" i="10"/>
  <c r="I320" i="10" s="1"/>
  <c r="B320" i="10"/>
  <c r="I319" i="10"/>
  <c r="G319" i="10"/>
  <c r="E319" i="10"/>
  <c r="C319" i="10"/>
  <c r="B319" i="10"/>
  <c r="H319" i="10" s="1"/>
  <c r="H318" i="10"/>
  <c r="G318" i="10"/>
  <c r="C318" i="10"/>
  <c r="B318" i="10"/>
  <c r="I317" i="10"/>
  <c r="G317" i="10"/>
  <c r="E317" i="10"/>
  <c r="C317" i="10"/>
  <c r="B317" i="10"/>
  <c r="H317" i="10" s="1"/>
  <c r="H316" i="10"/>
  <c r="G316" i="10"/>
  <c r="C316" i="10"/>
  <c r="I316" i="10" s="1"/>
  <c r="B316" i="10"/>
  <c r="I315" i="10"/>
  <c r="G315" i="10"/>
  <c r="E315" i="10"/>
  <c r="C315" i="10"/>
  <c r="B315" i="10"/>
  <c r="H315" i="10" s="1"/>
  <c r="H314" i="10"/>
  <c r="G314" i="10"/>
  <c r="C314" i="10"/>
  <c r="B314" i="10"/>
  <c r="I313" i="10"/>
  <c r="G313" i="10"/>
  <c r="E313" i="10"/>
  <c r="C313" i="10"/>
  <c r="B313" i="10"/>
  <c r="H313" i="10" s="1"/>
  <c r="H312" i="10"/>
  <c r="G312" i="10"/>
  <c r="C312" i="10"/>
  <c r="I312" i="10" s="1"/>
  <c r="B312" i="10"/>
  <c r="I311" i="10"/>
  <c r="G311" i="10"/>
  <c r="E311" i="10"/>
  <c r="C311" i="10"/>
  <c r="B311" i="10"/>
  <c r="H311" i="10" s="1"/>
  <c r="H310" i="10"/>
  <c r="G310" i="10"/>
  <c r="C310" i="10"/>
  <c r="B310" i="10"/>
  <c r="I309" i="10"/>
  <c r="G309" i="10"/>
  <c r="E309" i="10"/>
  <c r="C309" i="10"/>
  <c r="B309" i="10"/>
  <c r="H309" i="10" s="1"/>
  <c r="H308" i="10"/>
  <c r="G308" i="10"/>
  <c r="C308" i="10"/>
  <c r="I308" i="10" s="1"/>
  <c r="B308" i="10"/>
  <c r="I307" i="10"/>
  <c r="G307" i="10"/>
  <c r="E307" i="10"/>
  <c r="C307" i="10"/>
  <c r="B307" i="10"/>
  <c r="H307" i="10" s="1"/>
  <c r="H306" i="10"/>
  <c r="G306" i="10"/>
  <c r="C306" i="10"/>
  <c r="B306" i="10"/>
  <c r="I305" i="10"/>
  <c r="G305" i="10"/>
  <c r="E305" i="10"/>
  <c r="C305" i="10"/>
  <c r="B305" i="10"/>
  <c r="H305" i="10" s="1"/>
  <c r="H304" i="10"/>
  <c r="G304" i="10"/>
  <c r="C304" i="10"/>
  <c r="I304" i="10" s="1"/>
  <c r="B304" i="10"/>
  <c r="I303" i="10"/>
  <c r="G303" i="10"/>
  <c r="E303" i="10"/>
  <c r="C303" i="10"/>
  <c r="B303" i="10"/>
  <c r="H303" i="10" s="1"/>
  <c r="H302" i="10"/>
  <c r="G302" i="10"/>
  <c r="C302" i="10"/>
  <c r="B302" i="10"/>
  <c r="I301" i="10"/>
  <c r="G301" i="10"/>
  <c r="E301" i="10"/>
  <c r="C301" i="10"/>
  <c r="B301" i="10"/>
  <c r="H301" i="10" s="1"/>
  <c r="H300" i="10"/>
  <c r="G300" i="10"/>
  <c r="C300" i="10"/>
  <c r="I300" i="10" s="1"/>
  <c r="B300" i="10"/>
  <c r="N299" i="10"/>
  <c r="I299" i="10"/>
  <c r="G299" i="10"/>
  <c r="E299" i="10"/>
  <c r="C299" i="10"/>
  <c r="B299" i="10"/>
  <c r="H299" i="10" s="1"/>
  <c r="N298" i="10"/>
  <c r="H298" i="10"/>
  <c r="G298" i="10"/>
  <c r="C298" i="10"/>
  <c r="B298" i="10"/>
  <c r="N297" i="10"/>
  <c r="I297" i="10"/>
  <c r="G297" i="10"/>
  <c r="E297" i="10"/>
  <c r="C297" i="10"/>
  <c r="B297" i="10"/>
  <c r="H297" i="10" s="1"/>
  <c r="N296" i="10"/>
  <c r="H296" i="10"/>
  <c r="G296" i="10"/>
  <c r="C296" i="10"/>
  <c r="I296" i="10" s="1"/>
  <c r="B296" i="10"/>
  <c r="N295" i="10"/>
  <c r="I295" i="10"/>
  <c r="G295" i="10"/>
  <c r="E295" i="10"/>
  <c r="C295" i="10"/>
  <c r="B295" i="10"/>
  <c r="H295" i="10" s="1"/>
  <c r="N294" i="10"/>
  <c r="H294" i="10"/>
  <c r="G294" i="10"/>
  <c r="C294" i="10"/>
  <c r="B294" i="10"/>
  <c r="N293" i="10"/>
  <c r="I293" i="10"/>
  <c r="G293" i="10"/>
  <c r="E293" i="10"/>
  <c r="C293" i="10"/>
  <c r="B293" i="10"/>
  <c r="H293" i="10" s="1"/>
  <c r="N292" i="10"/>
  <c r="H292" i="10"/>
  <c r="G292" i="10"/>
  <c r="C292" i="10"/>
  <c r="I292" i="10" s="1"/>
  <c r="B292" i="10"/>
  <c r="N291" i="10"/>
  <c r="I291" i="10"/>
  <c r="G291" i="10"/>
  <c r="E291" i="10"/>
  <c r="C291" i="10"/>
  <c r="B291" i="10"/>
  <c r="H291" i="10" s="1"/>
  <c r="N290" i="10"/>
  <c r="H290" i="10"/>
  <c r="G290" i="10"/>
  <c r="C290" i="10"/>
  <c r="B290" i="10"/>
  <c r="N289" i="10"/>
  <c r="I289" i="10"/>
  <c r="G289" i="10"/>
  <c r="E289" i="10"/>
  <c r="C289" i="10"/>
  <c r="B289" i="10"/>
  <c r="H289" i="10" s="1"/>
  <c r="N288" i="10"/>
  <c r="H288" i="10"/>
  <c r="G288" i="10"/>
  <c r="C288" i="10"/>
  <c r="I288" i="10" s="1"/>
  <c r="B288" i="10"/>
  <c r="N287" i="10"/>
  <c r="I287" i="10"/>
  <c r="G287" i="10"/>
  <c r="E287" i="10"/>
  <c r="C287" i="10"/>
  <c r="B287" i="10"/>
  <c r="H287" i="10" s="1"/>
  <c r="N286" i="10"/>
  <c r="H286" i="10"/>
  <c r="G286" i="10"/>
  <c r="C286" i="10"/>
  <c r="B286" i="10"/>
  <c r="N285" i="10"/>
  <c r="I285" i="10"/>
  <c r="G285" i="10"/>
  <c r="E285" i="10"/>
  <c r="C285" i="10"/>
  <c r="B285" i="10"/>
  <c r="H285" i="10" s="1"/>
  <c r="N284" i="10"/>
  <c r="H284" i="10"/>
  <c r="G284" i="10"/>
  <c r="C284" i="10"/>
  <c r="I284" i="10" s="1"/>
  <c r="B284" i="10"/>
  <c r="N283" i="10"/>
  <c r="I283" i="10"/>
  <c r="G283" i="10"/>
  <c r="E283" i="10"/>
  <c r="C283" i="10"/>
  <c r="B283" i="10"/>
  <c r="H283" i="10" s="1"/>
  <c r="N282" i="10"/>
  <c r="H282" i="10"/>
  <c r="G282" i="10"/>
  <c r="C282" i="10"/>
  <c r="B282" i="10"/>
  <c r="N281" i="10"/>
  <c r="I281" i="10"/>
  <c r="G281" i="10"/>
  <c r="E281" i="10"/>
  <c r="C281" i="10"/>
  <c r="B281" i="10"/>
  <c r="H281" i="10" s="1"/>
  <c r="N280" i="10"/>
  <c r="H280" i="10"/>
  <c r="G280" i="10"/>
  <c r="C280" i="10"/>
  <c r="I280" i="10" s="1"/>
  <c r="B280" i="10"/>
  <c r="N279" i="10"/>
  <c r="I279" i="10"/>
  <c r="G279" i="10"/>
  <c r="E279" i="10"/>
  <c r="C279" i="10"/>
  <c r="B279" i="10"/>
  <c r="H279" i="10" s="1"/>
  <c r="N278" i="10"/>
  <c r="H278" i="10"/>
  <c r="G278" i="10"/>
  <c r="C278" i="10"/>
  <c r="B278" i="10"/>
  <c r="N277" i="10"/>
  <c r="I277" i="10"/>
  <c r="G277" i="10"/>
  <c r="E277" i="10"/>
  <c r="C277" i="10"/>
  <c r="B277" i="10"/>
  <c r="H277" i="10" s="1"/>
  <c r="N276" i="10"/>
  <c r="H276" i="10"/>
  <c r="G276" i="10"/>
  <c r="C276" i="10"/>
  <c r="I276" i="10" s="1"/>
  <c r="B276" i="10"/>
  <c r="N275" i="10"/>
  <c r="I275" i="10"/>
  <c r="G275" i="10"/>
  <c r="E275" i="10"/>
  <c r="C275" i="10"/>
  <c r="B275" i="10"/>
  <c r="H275" i="10" s="1"/>
  <c r="N274" i="10"/>
  <c r="H274" i="10"/>
  <c r="G274" i="10"/>
  <c r="C274" i="10"/>
  <c r="B274" i="10"/>
  <c r="N273" i="10"/>
  <c r="I273" i="10"/>
  <c r="G273" i="10"/>
  <c r="E273" i="10"/>
  <c r="C273" i="10"/>
  <c r="B273" i="10"/>
  <c r="H273" i="10" s="1"/>
  <c r="N272" i="10"/>
  <c r="H272" i="10"/>
  <c r="G272" i="10"/>
  <c r="C272" i="10"/>
  <c r="I272" i="10" s="1"/>
  <c r="B272" i="10"/>
  <c r="N271" i="10"/>
  <c r="I271" i="10"/>
  <c r="G271" i="10"/>
  <c r="E271" i="10"/>
  <c r="C271" i="10"/>
  <c r="B271" i="10"/>
  <c r="H271" i="10" s="1"/>
  <c r="N270" i="10"/>
  <c r="H270" i="10"/>
  <c r="G270" i="10"/>
  <c r="C270" i="10"/>
  <c r="B270" i="10"/>
  <c r="N269" i="10"/>
  <c r="I269" i="10"/>
  <c r="G269" i="10"/>
  <c r="E269" i="10"/>
  <c r="C269" i="10"/>
  <c r="B269" i="10"/>
  <c r="H269" i="10" s="1"/>
  <c r="N268" i="10"/>
  <c r="H268" i="10"/>
  <c r="G268" i="10"/>
  <c r="C268" i="10"/>
  <c r="I268" i="10" s="1"/>
  <c r="B268" i="10"/>
  <c r="N267" i="10"/>
  <c r="I267" i="10"/>
  <c r="G267" i="10"/>
  <c r="E267" i="10"/>
  <c r="C267" i="10"/>
  <c r="B267" i="10"/>
  <c r="H267" i="10" s="1"/>
  <c r="N266" i="10"/>
  <c r="H266" i="10"/>
  <c r="G266" i="10"/>
  <c r="C266" i="10"/>
  <c r="B266" i="10"/>
  <c r="N265" i="10"/>
  <c r="I265" i="10"/>
  <c r="G265" i="10"/>
  <c r="E265" i="10"/>
  <c r="C265" i="10"/>
  <c r="B265" i="10"/>
  <c r="H265" i="10" s="1"/>
  <c r="N264" i="10"/>
  <c r="H264" i="10"/>
  <c r="G264" i="10"/>
  <c r="C264" i="10"/>
  <c r="I264" i="10" s="1"/>
  <c r="B264" i="10"/>
  <c r="N263" i="10"/>
  <c r="I263" i="10"/>
  <c r="G263" i="10"/>
  <c r="E263" i="10"/>
  <c r="C263" i="10"/>
  <c r="B263" i="10"/>
  <c r="H263" i="10" s="1"/>
  <c r="N262" i="10"/>
  <c r="H262" i="10"/>
  <c r="G262" i="10"/>
  <c r="C262" i="10"/>
  <c r="B262" i="10"/>
  <c r="N261" i="10"/>
  <c r="I261" i="10"/>
  <c r="G261" i="10"/>
  <c r="E261" i="10"/>
  <c r="C261" i="10"/>
  <c r="B261" i="10"/>
  <c r="H261" i="10" s="1"/>
  <c r="N260" i="10"/>
  <c r="H260" i="10"/>
  <c r="G260" i="10"/>
  <c r="C260" i="10"/>
  <c r="I260" i="10" s="1"/>
  <c r="B260" i="10"/>
  <c r="N259" i="10"/>
  <c r="I259" i="10"/>
  <c r="G259" i="10"/>
  <c r="E259" i="10"/>
  <c r="C259" i="10"/>
  <c r="B259" i="10"/>
  <c r="H259" i="10" s="1"/>
  <c r="N258" i="10"/>
  <c r="H258" i="10"/>
  <c r="G258" i="10"/>
  <c r="C258" i="10"/>
  <c r="B258" i="10"/>
  <c r="N257" i="10"/>
  <c r="I257" i="10"/>
  <c r="G257" i="10"/>
  <c r="E257" i="10"/>
  <c r="C257" i="10"/>
  <c r="B257" i="10"/>
  <c r="H257" i="10" s="1"/>
  <c r="N256" i="10"/>
  <c r="H256" i="10"/>
  <c r="G256" i="10"/>
  <c r="C256" i="10"/>
  <c r="I256" i="10" s="1"/>
  <c r="B256" i="10"/>
  <c r="N255" i="10"/>
  <c r="I255" i="10"/>
  <c r="G255" i="10"/>
  <c r="E255" i="10"/>
  <c r="C255" i="10"/>
  <c r="B255" i="10"/>
  <c r="H255" i="10" s="1"/>
  <c r="N254" i="10"/>
  <c r="H254" i="10"/>
  <c r="G254" i="10"/>
  <c r="C254" i="10"/>
  <c r="B254" i="10"/>
  <c r="N253" i="10"/>
  <c r="I253" i="10"/>
  <c r="G253" i="10"/>
  <c r="E253" i="10"/>
  <c r="C253" i="10"/>
  <c r="B253" i="10"/>
  <c r="H253" i="10" s="1"/>
  <c r="N252" i="10"/>
  <c r="H252" i="10"/>
  <c r="G252" i="10"/>
  <c r="C252" i="10"/>
  <c r="I252" i="10" s="1"/>
  <c r="B252" i="10"/>
  <c r="N251" i="10"/>
  <c r="I251" i="10"/>
  <c r="G251" i="10"/>
  <c r="E251" i="10"/>
  <c r="C251" i="10"/>
  <c r="B251" i="10"/>
  <c r="H251" i="10" s="1"/>
  <c r="N250" i="10"/>
  <c r="H250" i="10"/>
  <c r="G250" i="10"/>
  <c r="C250" i="10"/>
  <c r="B250" i="10"/>
  <c r="N249" i="10"/>
  <c r="I249" i="10"/>
  <c r="G249" i="10"/>
  <c r="E249" i="10"/>
  <c r="C249" i="10"/>
  <c r="B249" i="10"/>
  <c r="H249" i="10" s="1"/>
  <c r="N248" i="10"/>
  <c r="H248" i="10"/>
  <c r="G248" i="10"/>
  <c r="C248" i="10"/>
  <c r="I248" i="10" s="1"/>
  <c r="B248" i="10"/>
  <c r="N247" i="10"/>
  <c r="I247" i="10"/>
  <c r="G247" i="10"/>
  <c r="E247" i="10"/>
  <c r="C247" i="10"/>
  <c r="B247" i="10"/>
  <c r="H247" i="10" s="1"/>
  <c r="N246" i="10"/>
  <c r="H246" i="10"/>
  <c r="G246" i="10"/>
  <c r="C246" i="10"/>
  <c r="B246" i="10"/>
  <c r="N245" i="10"/>
  <c r="I245" i="10"/>
  <c r="G245" i="10"/>
  <c r="E245" i="10"/>
  <c r="C245" i="10"/>
  <c r="B245" i="10"/>
  <c r="H245" i="10" s="1"/>
  <c r="N244" i="10"/>
  <c r="H244" i="10"/>
  <c r="G244" i="10"/>
  <c r="C244" i="10"/>
  <c r="I244" i="10" s="1"/>
  <c r="B244" i="10"/>
  <c r="N243" i="10"/>
  <c r="I243" i="10"/>
  <c r="G243" i="10"/>
  <c r="E243" i="10"/>
  <c r="C243" i="10"/>
  <c r="B243" i="10"/>
  <c r="H243" i="10" s="1"/>
  <c r="N242" i="10"/>
  <c r="H242" i="10"/>
  <c r="G242" i="10"/>
  <c r="C242" i="10"/>
  <c r="B242" i="10"/>
  <c r="N241" i="10"/>
  <c r="I241" i="10"/>
  <c r="G241" i="10"/>
  <c r="E241" i="10"/>
  <c r="C241" i="10"/>
  <c r="B241" i="10"/>
  <c r="H241" i="10" s="1"/>
  <c r="N240" i="10"/>
  <c r="H240" i="10"/>
  <c r="G240" i="10"/>
  <c r="C240" i="10"/>
  <c r="I240" i="10" s="1"/>
  <c r="B240" i="10"/>
  <c r="N239" i="10"/>
  <c r="I239" i="10"/>
  <c r="G239" i="10"/>
  <c r="E239" i="10"/>
  <c r="C239" i="10"/>
  <c r="B239" i="10"/>
  <c r="H239" i="10" s="1"/>
  <c r="N238" i="10"/>
  <c r="H238" i="10"/>
  <c r="G238" i="10"/>
  <c r="C238" i="10"/>
  <c r="B238" i="10"/>
  <c r="N237" i="10"/>
  <c r="I237" i="10"/>
  <c r="G237" i="10"/>
  <c r="E237" i="10"/>
  <c r="C237" i="10"/>
  <c r="B237" i="10"/>
  <c r="H237" i="10" s="1"/>
  <c r="N236" i="10"/>
  <c r="H236" i="10"/>
  <c r="G236" i="10"/>
  <c r="C236" i="10"/>
  <c r="I236" i="10" s="1"/>
  <c r="B236" i="10"/>
  <c r="N235" i="10"/>
  <c r="I235" i="10"/>
  <c r="G235" i="10"/>
  <c r="E235" i="10"/>
  <c r="C235" i="10"/>
  <c r="B235" i="10"/>
  <c r="H235" i="10" s="1"/>
  <c r="N234" i="10"/>
  <c r="H234" i="10"/>
  <c r="G234" i="10"/>
  <c r="C234" i="10"/>
  <c r="B234" i="10"/>
  <c r="N233" i="10"/>
  <c r="I233" i="10"/>
  <c r="G233" i="10"/>
  <c r="E233" i="10"/>
  <c r="C233" i="10"/>
  <c r="B233" i="10"/>
  <c r="H233" i="10" s="1"/>
  <c r="N232" i="10"/>
  <c r="H232" i="10"/>
  <c r="G232" i="10"/>
  <c r="C232" i="10"/>
  <c r="I232" i="10" s="1"/>
  <c r="B232" i="10"/>
  <c r="N231" i="10"/>
  <c r="I231" i="10"/>
  <c r="G231" i="10"/>
  <c r="E231" i="10"/>
  <c r="C231" i="10"/>
  <c r="B231" i="10"/>
  <c r="H231" i="10" s="1"/>
  <c r="N230" i="10"/>
  <c r="H230" i="10"/>
  <c r="G230" i="10"/>
  <c r="C230" i="10"/>
  <c r="B230" i="10"/>
  <c r="N229" i="10"/>
  <c r="I229" i="10"/>
  <c r="G229" i="10"/>
  <c r="E229" i="10"/>
  <c r="C229" i="10"/>
  <c r="B229" i="10"/>
  <c r="H229" i="10" s="1"/>
  <c r="N228" i="10"/>
  <c r="H228" i="10"/>
  <c r="G228" i="10"/>
  <c r="C228" i="10"/>
  <c r="I228" i="10" s="1"/>
  <c r="B228" i="10"/>
  <c r="N227" i="10"/>
  <c r="I227" i="10"/>
  <c r="G227" i="10"/>
  <c r="E227" i="10"/>
  <c r="C227" i="10"/>
  <c r="B227" i="10"/>
  <c r="H227" i="10" s="1"/>
  <c r="N226" i="10"/>
  <c r="H226" i="10"/>
  <c r="G226" i="10"/>
  <c r="C226" i="10"/>
  <c r="B226" i="10"/>
  <c r="N225" i="10"/>
  <c r="I225" i="10"/>
  <c r="G225" i="10"/>
  <c r="E225" i="10"/>
  <c r="C225" i="10"/>
  <c r="B225" i="10"/>
  <c r="H225" i="10" s="1"/>
  <c r="N224" i="10"/>
  <c r="H224" i="10"/>
  <c r="G224" i="10"/>
  <c r="C224" i="10"/>
  <c r="I224" i="10" s="1"/>
  <c r="B224" i="10"/>
  <c r="N223" i="10"/>
  <c r="I223" i="10"/>
  <c r="G223" i="10"/>
  <c r="E223" i="10"/>
  <c r="C223" i="10"/>
  <c r="B223" i="10"/>
  <c r="H223" i="10" s="1"/>
  <c r="N222" i="10"/>
  <c r="H222" i="10"/>
  <c r="G222" i="10"/>
  <c r="C222" i="10"/>
  <c r="B222" i="10"/>
  <c r="N221" i="10"/>
  <c r="I221" i="10"/>
  <c r="G221" i="10"/>
  <c r="E221" i="10"/>
  <c r="C221" i="10"/>
  <c r="B221" i="10"/>
  <c r="H221" i="10" s="1"/>
  <c r="N220" i="10"/>
  <c r="H220" i="10"/>
  <c r="G220" i="10"/>
  <c r="C220" i="10"/>
  <c r="I220" i="10" s="1"/>
  <c r="B220" i="10"/>
  <c r="N219" i="10"/>
  <c r="I219" i="10"/>
  <c r="G219" i="10"/>
  <c r="E219" i="10"/>
  <c r="C219" i="10"/>
  <c r="B219" i="10"/>
  <c r="H219" i="10" s="1"/>
  <c r="N218" i="10"/>
  <c r="H218" i="10"/>
  <c r="G218" i="10"/>
  <c r="C218" i="10"/>
  <c r="B218" i="10"/>
  <c r="N217" i="10"/>
  <c r="I217" i="10"/>
  <c r="G217" i="10"/>
  <c r="E217" i="10"/>
  <c r="C217" i="10"/>
  <c r="B217" i="10"/>
  <c r="H217" i="10" s="1"/>
  <c r="N216" i="10"/>
  <c r="H216" i="10"/>
  <c r="G216" i="10"/>
  <c r="C216" i="10"/>
  <c r="I216" i="10" s="1"/>
  <c r="B216" i="10"/>
  <c r="N215" i="10"/>
  <c r="I215" i="10"/>
  <c r="G215" i="10"/>
  <c r="E215" i="10"/>
  <c r="C215" i="10"/>
  <c r="B215" i="10"/>
  <c r="H215" i="10" s="1"/>
  <c r="N214" i="10"/>
  <c r="H214" i="10"/>
  <c r="G214" i="10"/>
  <c r="C214" i="10"/>
  <c r="B214" i="10"/>
  <c r="N213" i="10"/>
  <c r="I213" i="10"/>
  <c r="G213" i="10"/>
  <c r="E213" i="10"/>
  <c r="C213" i="10"/>
  <c r="B213" i="10"/>
  <c r="H213" i="10" s="1"/>
  <c r="N212" i="10"/>
  <c r="H212" i="10"/>
  <c r="G212" i="10"/>
  <c r="C212" i="10"/>
  <c r="I212" i="10" s="1"/>
  <c r="B212" i="10"/>
  <c r="N211" i="10"/>
  <c r="I211" i="10"/>
  <c r="G211" i="10"/>
  <c r="E211" i="10"/>
  <c r="C211" i="10"/>
  <c r="B211" i="10"/>
  <c r="H211" i="10" s="1"/>
  <c r="N210" i="10"/>
  <c r="H210" i="10"/>
  <c r="G210" i="10"/>
  <c r="C210" i="10"/>
  <c r="B210" i="10"/>
  <c r="N209" i="10"/>
  <c r="I209" i="10"/>
  <c r="G209" i="10"/>
  <c r="E209" i="10"/>
  <c r="C209" i="10"/>
  <c r="B209" i="10"/>
  <c r="H209" i="10" s="1"/>
  <c r="N208" i="10"/>
  <c r="H208" i="10"/>
  <c r="G208" i="10"/>
  <c r="C208" i="10"/>
  <c r="I208" i="10" s="1"/>
  <c r="B208" i="10"/>
  <c r="N207" i="10"/>
  <c r="I207" i="10"/>
  <c r="G207" i="10"/>
  <c r="E207" i="10"/>
  <c r="C207" i="10"/>
  <c r="B207" i="10"/>
  <c r="H207" i="10" s="1"/>
  <c r="N206" i="10"/>
  <c r="H206" i="10"/>
  <c r="G206" i="10"/>
  <c r="C206" i="10"/>
  <c r="B206" i="10"/>
  <c r="N205" i="10"/>
  <c r="I205" i="10"/>
  <c r="G205" i="10"/>
  <c r="E205" i="10"/>
  <c r="C205" i="10"/>
  <c r="B205" i="10"/>
  <c r="H205" i="10" s="1"/>
  <c r="N204" i="10"/>
  <c r="H204" i="10"/>
  <c r="G204" i="10"/>
  <c r="C204" i="10"/>
  <c r="I204" i="10" s="1"/>
  <c r="B204" i="10"/>
  <c r="N203" i="10"/>
  <c r="I203" i="10"/>
  <c r="G203" i="10"/>
  <c r="E203" i="10"/>
  <c r="C203" i="10"/>
  <c r="B203" i="10"/>
  <c r="H203" i="10" s="1"/>
  <c r="N202" i="10"/>
  <c r="H202" i="10"/>
  <c r="G202" i="10"/>
  <c r="C202" i="10"/>
  <c r="B202" i="10"/>
  <c r="N201" i="10"/>
  <c r="I201" i="10"/>
  <c r="G201" i="10"/>
  <c r="E201" i="10"/>
  <c r="C201" i="10"/>
  <c r="B201" i="10"/>
  <c r="H201" i="10" s="1"/>
  <c r="N200" i="10"/>
  <c r="H200" i="10"/>
  <c r="G200" i="10"/>
  <c r="C200" i="10"/>
  <c r="I200" i="10" s="1"/>
  <c r="B200" i="10"/>
  <c r="N199" i="10"/>
  <c r="I199" i="10"/>
  <c r="G199" i="10"/>
  <c r="E199" i="10"/>
  <c r="C199" i="10"/>
  <c r="B199" i="10"/>
  <c r="H199" i="10" s="1"/>
  <c r="N198" i="10"/>
  <c r="H198" i="10"/>
  <c r="G198" i="10"/>
  <c r="C198" i="10"/>
  <c r="B198" i="10"/>
  <c r="N197" i="10"/>
  <c r="I197" i="10"/>
  <c r="G197" i="10"/>
  <c r="E197" i="10"/>
  <c r="C197" i="10"/>
  <c r="B197" i="10"/>
  <c r="H197" i="10" s="1"/>
  <c r="N196" i="10"/>
  <c r="H196" i="10"/>
  <c r="G196" i="10"/>
  <c r="C196" i="10"/>
  <c r="I196" i="10" s="1"/>
  <c r="B196" i="10"/>
  <c r="N195" i="10"/>
  <c r="I195" i="10"/>
  <c r="G195" i="10"/>
  <c r="E195" i="10"/>
  <c r="C195" i="10"/>
  <c r="B195" i="10"/>
  <c r="H195" i="10" s="1"/>
  <c r="N194" i="10"/>
  <c r="H194" i="10"/>
  <c r="G194" i="10"/>
  <c r="C194" i="10"/>
  <c r="B194" i="10"/>
  <c r="N193" i="10"/>
  <c r="I193" i="10"/>
  <c r="G193" i="10"/>
  <c r="E193" i="10"/>
  <c r="C193" i="10"/>
  <c r="B193" i="10"/>
  <c r="H193" i="10" s="1"/>
  <c r="N192" i="10"/>
  <c r="H192" i="10"/>
  <c r="G192" i="10"/>
  <c r="C192" i="10"/>
  <c r="I192" i="10" s="1"/>
  <c r="B192" i="10"/>
  <c r="N191" i="10"/>
  <c r="I191" i="10"/>
  <c r="G191" i="10"/>
  <c r="E191" i="10"/>
  <c r="C191" i="10"/>
  <c r="B191" i="10"/>
  <c r="H191" i="10" s="1"/>
  <c r="N190" i="10"/>
  <c r="H190" i="10"/>
  <c r="G190" i="10"/>
  <c r="C190" i="10"/>
  <c r="B190" i="10"/>
  <c r="N189" i="10"/>
  <c r="I189" i="10"/>
  <c r="G189" i="10"/>
  <c r="E189" i="10"/>
  <c r="C189" i="10"/>
  <c r="B189" i="10"/>
  <c r="H189" i="10" s="1"/>
  <c r="N188" i="10"/>
  <c r="H188" i="10"/>
  <c r="G188" i="10"/>
  <c r="C188" i="10"/>
  <c r="I188" i="10" s="1"/>
  <c r="B188" i="10"/>
  <c r="N187" i="10"/>
  <c r="I187" i="10"/>
  <c r="G187" i="10"/>
  <c r="E187" i="10"/>
  <c r="C187" i="10"/>
  <c r="B187" i="10"/>
  <c r="H187" i="10" s="1"/>
  <c r="N186" i="10"/>
  <c r="H186" i="10"/>
  <c r="G186" i="10"/>
  <c r="C186" i="10"/>
  <c r="B186" i="10"/>
  <c r="N185" i="10"/>
  <c r="I185" i="10"/>
  <c r="G185" i="10"/>
  <c r="E185" i="10"/>
  <c r="C185" i="10"/>
  <c r="B185" i="10"/>
  <c r="H185" i="10" s="1"/>
  <c r="N184" i="10"/>
  <c r="H184" i="10"/>
  <c r="G184" i="10"/>
  <c r="C184" i="10"/>
  <c r="I184" i="10" s="1"/>
  <c r="B184" i="10"/>
  <c r="N183" i="10"/>
  <c r="I183" i="10"/>
  <c r="G183" i="10"/>
  <c r="E183" i="10"/>
  <c r="C183" i="10"/>
  <c r="B183" i="10"/>
  <c r="H183" i="10" s="1"/>
  <c r="N182" i="10"/>
  <c r="H182" i="10"/>
  <c r="G182" i="10"/>
  <c r="C182" i="10"/>
  <c r="B182" i="10"/>
  <c r="N181" i="10"/>
  <c r="I181" i="10"/>
  <c r="G181" i="10"/>
  <c r="E181" i="10"/>
  <c r="C181" i="10"/>
  <c r="B181" i="10"/>
  <c r="H181" i="10" s="1"/>
  <c r="N180" i="10"/>
  <c r="H180" i="10"/>
  <c r="G180" i="10"/>
  <c r="C180" i="10"/>
  <c r="I180" i="10" s="1"/>
  <c r="B180" i="10"/>
  <c r="N179" i="10"/>
  <c r="I179" i="10"/>
  <c r="G179" i="10"/>
  <c r="E179" i="10"/>
  <c r="C179" i="10"/>
  <c r="B179" i="10"/>
  <c r="H179" i="10" s="1"/>
  <c r="N178" i="10"/>
  <c r="H178" i="10"/>
  <c r="G178" i="10"/>
  <c r="C178" i="10"/>
  <c r="B178" i="10"/>
  <c r="N177" i="10"/>
  <c r="I177" i="10"/>
  <c r="G177" i="10"/>
  <c r="E177" i="10"/>
  <c r="C177" i="10"/>
  <c r="B177" i="10"/>
  <c r="H177" i="10" s="1"/>
  <c r="N176" i="10"/>
  <c r="H176" i="10"/>
  <c r="G176" i="10"/>
  <c r="C176" i="10"/>
  <c r="I176" i="10" s="1"/>
  <c r="B176" i="10"/>
  <c r="N175" i="10"/>
  <c r="I175" i="10"/>
  <c r="G175" i="10"/>
  <c r="E175" i="10"/>
  <c r="C175" i="10"/>
  <c r="B175" i="10"/>
  <c r="H175" i="10" s="1"/>
  <c r="N174" i="10"/>
  <c r="H174" i="10"/>
  <c r="G174" i="10"/>
  <c r="C174" i="10"/>
  <c r="B174" i="10"/>
  <c r="N173" i="10"/>
  <c r="I173" i="10"/>
  <c r="G173" i="10"/>
  <c r="E173" i="10"/>
  <c r="C173" i="10"/>
  <c r="B173" i="10"/>
  <c r="H173" i="10" s="1"/>
  <c r="N172" i="10"/>
  <c r="H172" i="10"/>
  <c r="G172" i="10"/>
  <c r="C172" i="10"/>
  <c r="I172" i="10" s="1"/>
  <c r="B172" i="10"/>
  <c r="N171" i="10"/>
  <c r="I171" i="10"/>
  <c r="G171" i="10"/>
  <c r="E171" i="10"/>
  <c r="C171" i="10"/>
  <c r="B171" i="10"/>
  <c r="H171" i="10" s="1"/>
  <c r="N170" i="10"/>
  <c r="H170" i="10"/>
  <c r="G170" i="10"/>
  <c r="C170" i="10"/>
  <c r="B170" i="10"/>
  <c r="N169" i="10"/>
  <c r="I169" i="10"/>
  <c r="G169" i="10"/>
  <c r="E169" i="10"/>
  <c r="C169" i="10"/>
  <c r="B169" i="10"/>
  <c r="H169" i="10" s="1"/>
  <c r="N168" i="10"/>
  <c r="H168" i="10"/>
  <c r="G168" i="10"/>
  <c r="C168" i="10"/>
  <c r="I168" i="10" s="1"/>
  <c r="B168" i="10"/>
  <c r="N167" i="10"/>
  <c r="I167" i="10"/>
  <c r="G167" i="10"/>
  <c r="E167" i="10"/>
  <c r="C167" i="10"/>
  <c r="B167" i="10"/>
  <c r="H167" i="10" s="1"/>
  <c r="N166" i="10"/>
  <c r="H166" i="10"/>
  <c r="G166" i="10"/>
  <c r="C166" i="10"/>
  <c r="B166" i="10"/>
  <c r="N165" i="10"/>
  <c r="I165" i="10"/>
  <c r="G165" i="10"/>
  <c r="E165" i="10"/>
  <c r="C165" i="10"/>
  <c r="B165" i="10"/>
  <c r="H165" i="10" s="1"/>
  <c r="N164" i="10"/>
  <c r="H164" i="10"/>
  <c r="G164" i="10"/>
  <c r="C164" i="10"/>
  <c r="I164" i="10" s="1"/>
  <c r="B164" i="10"/>
  <c r="N163" i="10"/>
  <c r="I163" i="10"/>
  <c r="G163" i="10"/>
  <c r="E163" i="10"/>
  <c r="C163" i="10"/>
  <c r="B163" i="10"/>
  <c r="H163" i="10" s="1"/>
  <c r="N162" i="10"/>
  <c r="H162" i="10"/>
  <c r="G162" i="10"/>
  <c r="C162" i="10"/>
  <c r="B162" i="10"/>
  <c r="N161" i="10"/>
  <c r="I161" i="10"/>
  <c r="G161" i="10"/>
  <c r="E161" i="10"/>
  <c r="C161" i="10"/>
  <c r="B161" i="10"/>
  <c r="H161" i="10" s="1"/>
  <c r="N160" i="10"/>
  <c r="H160" i="10"/>
  <c r="G160" i="10"/>
  <c r="C160" i="10"/>
  <c r="I160" i="10" s="1"/>
  <c r="B160" i="10"/>
  <c r="N159" i="10"/>
  <c r="I159" i="10"/>
  <c r="G159" i="10"/>
  <c r="E159" i="10"/>
  <c r="C159" i="10"/>
  <c r="B159" i="10"/>
  <c r="H159" i="10" s="1"/>
  <c r="N158" i="10"/>
  <c r="H158" i="10"/>
  <c r="G158" i="10"/>
  <c r="C158" i="10"/>
  <c r="B158" i="10"/>
  <c r="N157" i="10"/>
  <c r="I157" i="10"/>
  <c r="G157" i="10"/>
  <c r="E157" i="10"/>
  <c r="C157" i="10"/>
  <c r="B157" i="10"/>
  <c r="H157" i="10" s="1"/>
  <c r="N156" i="10"/>
  <c r="H156" i="10"/>
  <c r="G156" i="10"/>
  <c r="C156" i="10"/>
  <c r="I156" i="10" s="1"/>
  <c r="B156" i="10"/>
  <c r="N155" i="10"/>
  <c r="I155" i="10"/>
  <c r="G155" i="10"/>
  <c r="E155" i="10"/>
  <c r="C155" i="10"/>
  <c r="B155" i="10"/>
  <c r="H155" i="10" s="1"/>
  <c r="N154" i="10"/>
  <c r="H154" i="10"/>
  <c r="G154" i="10"/>
  <c r="C154" i="10"/>
  <c r="B154" i="10"/>
  <c r="N153" i="10"/>
  <c r="I153" i="10"/>
  <c r="G153" i="10"/>
  <c r="E153" i="10"/>
  <c r="C153" i="10"/>
  <c r="B153" i="10"/>
  <c r="H153" i="10" s="1"/>
  <c r="N152" i="10"/>
  <c r="H152" i="10"/>
  <c r="G152" i="10"/>
  <c r="C152" i="10"/>
  <c r="I152" i="10" s="1"/>
  <c r="B152" i="10"/>
  <c r="N151" i="10"/>
  <c r="I151" i="10"/>
  <c r="G151" i="10"/>
  <c r="E151" i="10"/>
  <c r="C151" i="10"/>
  <c r="B151" i="10"/>
  <c r="H151" i="10" s="1"/>
  <c r="N150" i="10"/>
  <c r="H150" i="10"/>
  <c r="G150" i="10"/>
  <c r="C150" i="10"/>
  <c r="B150" i="10"/>
  <c r="N149" i="10"/>
  <c r="I149" i="10"/>
  <c r="G149" i="10"/>
  <c r="E149" i="10"/>
  <c r="C149" i="10"/>
  <c r="B149" i="10"/>
  <c r="H149" i="10" s="1"/>
  <c r="N148" i="10"/>
  <c r="H148" i="10"/>
  <c r="G148" i="10"/>
  <c r="C148" i="10"/>
  <c r="I148" i="10" s="1"/>
  <c r="B148" i="10"/>
  <c r="N147" i="10"/>
  <c r="I147" i="10"/>
  <c r="G147" i="10"/>
  <c r="E147" i="10"/>
  <c r="C147" i="10"/>
  <c r="B147" i="10"/>
  <c r="H147" i="10" s="1"/>
  <c r="N146" i="10"/>
  <c r="H146" i="10"/>
  <c r="G146" i="10"/>
  <c r="C146" i="10"/>
  <c r="B146" i="10"/>
  <c r="N145" i="10"/>
  <c r="I145" i="10"/>
  <c r="G145" i="10"/>
  <c r="E145" i="10"/>
  <c r="C145" i="10"/>
  <c r="B145" i="10"/>
  <c r="H145" i="10" s="1"/>
  <c r="N144" i="10"/>
  <c r="H144" i="10"/>
  <c r="G144" i="10"/>
  <c r="C144" i="10"/>
  <c r="I144" i="10" s="1"/>
  <c r="B144" i="10"/>
  <c r="N143" i="10"/>
  <c r="I143" i="10"/>
  <c r="G143" i="10"/>
  <c r="E143" i="10"/>
  <c r="C143" i="10"/>
  <c r="B143" i="10"/>
  <c r="H143" i="10" s="1"/>
  <c r="N142" i="10"/>
  <c r="H142" i="10"/>
  <c r="G142" i="10"/>
  <c r="C142" i="10"/>
  <c r="B142" i="10"/>
  <c r="N141" i="10"/>
  <c r="I141" i="10"/>
  <c r="G141" i="10"/>
  <c r="E141" i="10"/>
  <c r="C141" i="10"/>
  <c r="B141" i="10"/>
  <c r="H141" i="10" s="1"/>
  <c r="N140" i="10"/>
  <c r="H140" i="10"/>
  <c r="G140" i="10"/>
  <c r="C140" i="10"/>
  <c r="I140" i="10" s="1"/>
  <c r="B140" i="10"/>
  <c r="N139" i="10"/>
  <c r="I139" i="10"/>
  <c r="G139" i="10"/>
  <c r="E139" i="10"/>
  <c r="C139" i="10"/>
  <c r="B139" i="10"/>
  <c r="H139" i="10" s="1"/>
  <c r="N138" i="10"/>
  <c r="H138" i="10"/>
  <c r="G138" i="10"/>
  <c r="C138" i="10"/>
  <c r="B138" i="10"/>
  <c r="N137" i="10"/>
  <c r="I137" i="10"/>
  <c r="G137" i="10"/>
  <c r="E137" i="10"/>
  <c r="C137" i="10"/>
  <c r="B137" i="10"/>
  <c r="H137" i="10" s="1"/>
  <c r="N136" i="10"/>
  <c r="H136" i="10"/>
  <c r="G136" i="10"/>
  <c r="C136" i="10"/>
  <c r="I136" i="10" s="1"/>
  <c r="B136" i="10"/>
  <c r="N135" i="10"/>
  <c r="I135" i="10"/>
  <c r="G135" i="10"/>
  <c r="E135" i="10"/>
  <c r="C135" i="10"/>
  <c r="B135" i="10"/>
  <c r="H135" i="10" s="1"/>
  <c r="N134" i="10"/>
  <c r="H134" i="10"/>
  <c r="G134" i="10"/>
  <c r="C134" i="10"/>
  <c r="B134" i="10"/>
  <c r="N133" i="10"/>
  <c r="I133" i="10"/>
  <c r="G133" i="10"/>
  <c r="E133" i="10"/>
  <c r="C133" i="10"/>
  <c r="B133" i="10"/>
  <c r="H133" i="10" s="1"/>
  <c r="N132" i="10"/>
  <c r="H132" i="10"/>
  <c r="G132" i="10"/>
  <c r="C132" i="10"/>
  <c r="I132" i="10" s="1"/>
  <c r="B132" i="10"/>
  <c r="N131" i="10"/>
  <c r="I131" i="10"/>
  <c r="G131" i="10"/>
  <c r="E131" i="10"/>
  <c r="C131" i="10"/>
  <c r="B131" i="10"/>
  <c r="H131" i="10" s="1"/>
  <c r="N130" i="10"/>
  <c r="H130" i="10"/>
  <c r="G130" i="10"/>
  <c r="C130" i="10"/>
  <c r="B130" i="10"/>
  <c r="N129" i="10"/>
  <c r="I129" i="10"/>
  <c r="G129" i="10"/>
  <c r="E129" i="10"/>
  <c r="C129" i="10"/>
  <c r="B129" i="10"/>
  <c r="H129" i="10" s="1"/>
  <c r="N128" i="10"/>
  <c r="H128" i="10"/>
  <c r="G128" i="10"/>
  <c r="C128" i="10"/>
  <c r="I128" i="10" s="1"/>
  <c r="B128" i="10"/>
  <c r="N127" i="10"/>
  <c r="I127" i="10"/>
  <c r="G127" i="10"/>
  <c r="E127" i="10"/>
  <c r="C127" i="10"/>
  <c r="B127" i="10"/>
  <c r="H127" i="10" s="1"/>
  <c r="N126" i="10"/>
  <c r="H126" i="10"/>
  <c r="G126" i="10"/>
  <c r="C126" i="10"/>
  <c r="B126" i="10"/>
  <c r="N125" i="10"/>
  <c r="I125" i="10"/>
  <c r="G125" i="10"/>
  <c r="E125" i="10"/>
  <c r="C125" i="10"/>
  <c r="B125" i="10"/>
  <c r="H125" i="10" s="1"/>
  <c r="N124" i="10"/>
  <c r="H124" i="10"/>
  <c r="G124" i="10"/>
  <c r="C124" i="10"/>
  <c r="I124" i="10" s="1"/>
  <c r="B124" i="10"/>
  <c r="N123" i="10"/>
  <c r="I123" i="10"/>
  <c r="G123" i="10"/>
  <c r="E123" i="10"/>
  <c r="C123" i="10"/>
  <c r="B123" i="10"/>
  <c r="H123" i="10" s="1"/>
  <c r="N122" i="10"/>
  <c r="H122" i="10"/>
  <c r="G122" i="10"/>
  <c r="C122" i="10"/>
  <c r="B122" i="10"/>
  <c r="N121" i="10"/>
  <c r="I121" i="10"/>
  <c r="G121" i="10"/>
  <c r="E121" i="10"/>
  <c r="C121" i="10"/>
  <c r="B121" i="10"/>
  <c r="H121" i="10" s="1"/>
  <c r="N120" i="10"/>
  <c r="H120" i="10"/>
  <c r="G120" i="10"/>
  <c r="C120" i="10"/>
  <c r="I120" i="10" s="1"/>
  <c r="B120" i="10"/>
  <c r="N119" i="10"/>
  <c r="I119" i="10"/>
  <c r="G119" i="10"/>
  <c r="E119" i="10"/>
  <c r="C119" i="10"/>
  <c r="B119" i="10"/>
  <c r="H119" i="10" s="1"/>
  <c r="N118" i="10"/>
  <c r="H118" i="10"/>
  <c r="G118" i="10"/>
  <c r="C118" i="10"/>
  <c r="B118" i="10"/>
  <c r="N117" i="10"/>
  <c r="I117" i="10"/>
  <c r="G117" i="10"/>
  <c r="E117" i="10"/>
  <c r="C117" i="10"/>
  <c r="B117" i="10"/>
  <c r="H117" i="10" s="1"/>
  <c r="N116" i="10"/>
  <c r="H116" i="10"/>
  <c r="G116" i="10"/>
  <c r="C116" i="10"/>
  <c r="I116" i="10" s="1"/>
  <c r="B116" i="10"/>
  <c r="N115" i="10"/>
  <c r="I115" i="10"/>
  <c r="G115" i="10"/>
  <c r="E115" i="10"/>
  <c r="C115" i="10"/>
  <c r="B115" i="10"/>
  <c r="H115" i="10" s="1"/>
  <c r="N114" i="10"/>
  <c r="H114" i="10"/>
  <c r="G114" i="10"/>
  <c r="C114" i="10"/>
  <c r="B114" i="10"/>
  <c r="N113" i="10"/>
  <c r="I113" i="10"/>
  <c r="G113" i="10"/>
  <c r="E113" i="10"/>
  <c r="C113" i="10"/>
  <c r="B113" i="10"/>
  <c r="H113" i="10" s="1"/>
  <c r="N112" i="10"/>
  <c r="H112" i="10"/>
  <c r="G112" i="10"/>
  <c r="C112" i="10"/>
  <c r="I112" i="10" s="1"/>
  <c r="B112" i="10"/>
  <c r="N111" i="10"/>
  <c r="I111" i="10"/>
  <c r="G111" i="10"/>
  <c r="E111" i="10"/>
  <c r="C111" i="10"/>
  <c r="B111" i="10"/>
  <c r="H111" i="10" s="1"/>
  <c r="N110" i="10"/>
  <c r="H110" i="10"/>
  <c r="G110" i="10"/>
  <c r="C110" i="10"/>
  <c r="B110" i="10"/>
  <c r="N109" i="10"/>
  <c r="I109" i="10"/>
  <c r="G109" i="10"/>
  <c r="E109" i="10"/>
  <c r="C109" i="10"/>
  <c r="B109" i="10"/>
  <c r="H109" i="10" s="1"/>
  <c r="N108" i="10"/>
  <c r="H108" i="10"/>
  <c r="G108" i="10"/>
  <c r="C108" i="10"/>
  <c r="I108" i="10" s="1"/>
  <c r="B108" i="10"/>
  <c r="N107" i="10"/>
  <c r="I107" i="10"/>
  <c r="G107" i="10"/>
  <c r="E107" i="10"/>
  <c r="C107" i="10"/>
  <c r="B107" i="10"/>
  <c r="H107" i="10" s="1"/>
  <c r="N106" i="10"/>
  <c r="H106" i="10"/>
  <c r="G106" i="10"/>
  <c r="C106" i="10"/>
  <c r="B106" i="10"/>
  <c r="N105" i="10"/>
  <c r="I105" i="10"/>
  <c r="G105" i="10"/>
  <c r="E105" i="10"/>
  <c r="C105" i="10"/>
  <c r="B105" i="10"/>
  <c r="H105" i="10" s="1"/>
  <c r="N104" i="10"/>
  <c r="H104" i="10"/>
  <c r="G104" i="10"/>
  <c r="C104" i="10"/>
  <c r="I104" i="10" s="1"/>
  <c r="B104" i="10"/>
  <c r="N103" i="10"/>
  <c r="I103" i="10"/>
  <c r="G103" i="10"/>
  <c r="E103" i="10"/>
  <c r="C103" i="10"/>
  <c r="B103" i="10"/>
  <c r="H103" i="10" s="1"/>
  <c r="N102" i="10"/>
  <c r="H102" i="10"/>
  <c r="G102" i="10"/>
  <c r="C102" i="10"/>
  <c r="B102" i="10"/>
  <c r="N101" i="10"/>
  <c r="I101" i="10"/>
  <c r="G101" i="10"/>
  <c r="E101" i="10"/>
  <c r="C101" i="10"/>
  <c r="B101" i="10"/>
  <c r="H101" i="10" s="1"/>
  <c r="N100" i="10"/>
  <c r="H100" i="10"/>
  <c r="G100" i="10"/>
  <c r="C100" i="10"/>
  <c r="I100" i="10" s="1"/>
  <c r="B100" i="10"/>
  <c r="N99" i="10"/>
  <c r="I99" i="10"/>
  <c r="G99" i="10"/>
  <c r="E99" i="10"/>
  <c r="C99" i="10"/>
  <c r="B99" i="10"/>
  <c r="H99" i="10" s="1"/>
  <c r="N98" i="10"/>
  <c r="H98" i="10"/>
  <c r="G98" i="10"/>
  <c r="C98" i="10"/>
  <c r="B98" i="10"/>
  <c r="N97" i="10"/>
  <c r="I97" i="10"/>
  <c r="G97" i="10"/>
  <c r="E97" i="10"/>
  <c r="C97" i="10"/>
  <c r="B97" i="10"/>
  <c r="H97" i="10" s="1"/>
  <c r="N96" i="10"/>
  <c r="H96" i="10"/>
  <c r="G96" i="10"/>
  <c r="C96" i="10"/>
  <c r="I96" i="10" s="1"/>
  <c r="B96" i="10"/>
  <c r="N95" i="10"/>
  <c r="I95" i="10"/>
  <c r="G95" i="10"/>
  <c r="E95" i="10"/>
  <c r="C95" i="10"/>
  <c r="B95" i="10"/>
  <c r="H95" i="10" s="1"/>
  <c r="N94" i="10"/>
  <c r="H94" i="10"/>
  <c r="G94" i="10"/>
  <c r="C94" i="10"/>
  <c r="B94" i="10"/>
  <c r="N93" i="10"/>
  <c r="I93" i="10"/>
  <c r="G93" i="10"/>
  <c r="E93" i="10"/>
  <c r="C93" i="10"/>
  <c r="B93" i="10"/>
  <c r="H93" i="10" s="1"/>
  <c r="N92" i="10"/>
  <c r="H92" i="10"/>
  <c r="G92" i="10"/>
  <c r="C92" i="10"/>
  <c r="I92" i="10" s="1"/>
  <c r="B92" i="10"/>
  <c r="N91" i="10"/>
  <c r="I91" i="10"/>
  <c r="G91" i="10"/>
  <c r="E91" i="10"/>
  <c r="C91" i="10"/>
  <c r="B91" i="10"/>
  <c r="H91" i="10" s="1"/>
  <c r="N90" i="10"/>
  <c r="H90" i="10"/>
  <c r="G90" i="10"/>
  <c r="C90" i="10"/>
  <c r="B90" i="10"/>
  <c r="N89" i="10"/>
  <c r="I89" i="10"/>
  <c r="G89" i="10"/>
  <c r="E89" i="10"/>
  <c r="C89" i="10"/>
  <c r="B89" i="10"/>
  <c r="H89" i="10" s="1"/>
  <c r="N88" i="10"/>
  <c r="H88" i="10"/>
  <c r="G88" i="10"/>
  <c r="C88" i="10"/>
  <c r="I88" i="10" s="1"/>
  <c r="B88" i="10"/>
  <c r="N87" i="10"/>
  <c r="I87" i="10"/>
  <c r="G87" i="10"/>
  <c r="E87" i="10"/>
  <c r="C87" i="10"/>
  <c r="B87" i="10"/>
  <c r="H87" i="10" s="1"/>
  <c r="N86" i="10"/>
  <c r="H86" i="10"/>
  <c r="G86" i="10"/>
  <c r="C86" i="10"/>
  <c r="B86" i="10"/>
  <c r="N85" i="10"/>
  <c r="I85" i="10"/>
  <c r="G85" i="10"/>
  <c r="E85" i="10"/>
  <c r="C85" i="10"/>
  <c r="B85" i="10"/>
  <c r="H85" i="10" s="1"/>
  <c r="N84" i="10"/>
  <c r="H84" i="10"/>
  <c r="G84" i="10"/>
  <c r="C84" i="10"/>
  <c r="I84" i="10" s="1"/>
  <c r="B84" i="10"/>
  <c r="N83" i="10"/>
  <c r="I83" i="10"/>
  <c r="G83" i="10"/>
  <c r="E83" i="10"/>
  <c r="C83" i="10"/>
  <c r="B83" i="10"/>
  <c r="H83" i="10" s="1"/>
  <c r="N82" i="10"/>
  <c r="H82" i="10"/>
  <c r="G82" i="10"/>
  <c r="C82" i="10"/>
  <c r="B82" i="10"/>
  <c r="N81" i="10"/>
  <c r="I81" i="10"/>
  <c r="G81" i="10"/>
  <c r="E81" i="10"/>
  <c r="C81" i="10"/>
  <c r="B81" i="10"/>
  <c r="H81" i="10" s="1"/>
  <c r="N80" i="10"/>
  <c r="H80" i="10"/>
  <c r="G80" i="10"/>
  <c r="C80" i="10"/>
  <c r="I80" i="10" s="1"/>
  <c r="B80" i="10"/>
  <c r="N79" i="10"/>
  <c r="I79" i="10"/>
  <c r="G79" i="10"/>
  <c r="E79" i="10"/>
  <c r="C79" i="10"/>
  <c r="B79" i="10"/>
  <c r="H79" i="10" s="1"/>
  <c r="N78" i="10"/>
  <c r="H78" i="10"/>
  <c r="G78" i="10"/>
  <c r="C78" i="10"/>
  <c r="B78" i="10"/>
  <c r="N77" i="10"/>
  <c r="K77" i="10"/>
  <c r="I77" i="10"/>
  <c r="G77" i="10"/>
  <c r="E77" i="10"/>
  <c r="C77" i="10"/>
  <c r="B77" i="10"/>
  <c r="H77" i="10" s="1"/>
  <c r="N76" i="10"/>
  <c r="H76" i="10"/>
  <c r="G76" i="10"/>
  <c r="C76" i="10"/>
  <c r="I76" i="10" s="1"/>
  <c r="B76" i="10"/>
  <c r="N75" i="10"/>
  <c r="K75" i="10"/>
  <c r="I75" i="10"/>
  <c r="G75" i="10"/>
  <c r="E75" i="10"/>
  <c r="C75" i="10"/>
  <c r="B75" i="10"/>
  <c r="H75" i="10" s="1"/>
  <c r="N74" i="10"/>
  <c r="H74" i="10"/>
  <c r="G74" i="10"/>
  <c r="C74" i="10"/>
  <c r="K74" i="10" s="1"/>
  <c r="B74" i="10"/>
  <c r="N73" i="10"/>
  <c r="K73" i="10"/>
  <c r="I73" i="10"/>
  <c r="G73" i="10"/>
  <c r="E73" i="10"/>
  <c r="C73" i="10"/>
  <c r="B73" i="10"/>
  <c r="H73" i="10" s="1"/>
  <c r="N72" i="10"/>
  <c r="H72" i="10"/>
  <c r="G72" i="10"/>
  <c r="C72" i="10"/>
  <c r="I72" i="10" s="1"/>
  <c r="B72" i="10"/>
  <c r="N71" i="10"/>
  <c r="K71" i="10"/>
  <c r="I71" i="10"/>
  <c r="G71" i="10"/>
  <c r="E71" i="10"/>
  <c r="C71" i="10"/>
  <c r="B71" i="10"/>
  <c r="H71" i="10" s="1"/>
  <c r="N70" i="10"/>
  <c r="H70" i="10"/>
  <c r="G70" i="10"/>
  <c r="C70" i="10"/>
  <c r="K70" i="10" s="1"/>
  <c r="B70" i="10"/>
  <c r="N69" i="10"/>
  <c r="K69" i="10"/>
  <c r="I69" i="10"/>
  <c r="G69" i="10"/>
  <c r="E69" i="10"/>
  <c r="C69" i="10"/>
  <c r="B69" i="10"/>
  <c r="H69" i="10" s="1"/>
  <c r="N68" i="10"/>
  <c r="H68" i="10"/>
  <c r="G68" i="10"/>
  <c r="C68" i="10"/>
  <c r="I68" i="10" s="1"/>
  <c r="B68" i="10"/>
  <c r="N67" i="10"/>
  <c r="K67" i="10"/>
  <c r="I67" i="10"/>
  <c r="G67" i="10"/>
  <c r="E67" i="10"/>
  <c r="C67" i="10"/>
  <c r="B67" i="10"/>
  <c r="H67" i="10" s="1"/>
  <c r="N66" i="10"/>
  <c r="H66" i="10"/>
  <c r="G66" i="10"/>
  <c r="C66" i="10"/>
  <c r="K66" i="10" s="1"/>
  <c r="B66" i="10"/>
  <c r="N65" i="10"/>
  <c r="K65" i="10"/>
  <c r="I65" i="10"/>
  <c r="G65" i="10"/>
  <c r="E65" i="10"/>
  <c r="C65" i="10"/>
  <c r="B65" i="10"/>
  <c r="H65" i="10" s="1"/>
  <c r="N64" i="10"/>
  <c r="H64" i="10"/>
  <c r="G64" i="10"/>
  <c r="C64" i="10"/>
  <c r="I64" i="10" s="1"/>
  <c r="B64" i="10"/>
  <c r="N63" i="10"/>
  <c r="K63" i="10"/>
  <c r="I63" i="10"/>
  <c r="G63" i="10"/>
  <c r="E63" i="10"/>
  <c r="C63" i="10"/>
  <c r="B63" i="10"/>
  <c r="H63" i="10" s="1"/>
  <c r="N62" i="10"/>
  <c r="H62" i="10"/>
  <c r="G62" i="10"/>
  <c r="C62" i="10"/>
  <c r="K62" i="10" s="1"/>
  <c r="B62" i="10"/>
  <c r="N61" i="10"/>
  <c r="K61" i="10"/>
  <c r="I61" i="10"/>
  <c r="G61" i="10"/>
  <c r="E61" i="10"/>
  <c r="C61" i="10"/>
  <c r="B61" i="10"/>
  <c r="H61" i="10" s="1"/>
  <c r="N60" i="10"/>
  <c r="H60" i="10"/>
  <c r="G60" i="10"/>
  <c r="C60" i="10"/>
  <c r="I60" i="10" s="1"/>
  <c r="B60" i="10"/>
  <c r="N59" i="10"/>
  <c r="K59" i="10"/>
  <c r="I59" i="10"/>
  <c r="G59" i="10"/>
  <c r="E59" i="10"/>
  <c r="C59" i="10"/>
  <c r="B59" i="10"/>
  <c r="H59" i="10" s="1"/>
  <c r="N58" i="10"/>
  <c r="H58" i="10"/>
  <c r="G58" i="10"/>
  <c r="C58" i="10"/>
  <c r="K58" i="10" s="1"/>
  <c r="B58" i="10"/>
  <c r="N57" i="10"/>
  <c r="K57" i="10"/>
  <c r="I57" i="10"/>
  <c r="G57" i="10"/>
  <c r="E57" i="10"/>
  <c r="C57" i="10"/>
  <c r="B57" i="10"/>
  <c r="H57" i="10" s="1"/>
  <c r="N56" i="10"/>
  <c r="H56" i="10"/>
  <c r="G56" i="10"/>
  <c r="C56" i="10"/>
  <c r="I56" i="10" s="1"/>
  <c r="B56" i="10"/>
  <c r="N55" i="10"/>
  <c r="K55" i="10"/>
  <c r="I55" i="10"/>
  <c r="G55" i="10"/>
  <c r="E55" i="10"/>
  <c r="C55" i="10"/>
  <c r="B55" i="10"/>
  <c r="H55" i="10" s="1"/>
  <c r="N54" i="10"/>
  <c r="H54" i="10"/>
  <c r="G54" i="10"/>
  <c r="C54" i="10"/>
  <c r="K54" i="10" s="1"/>
  <c r="B54" i="10"/>
  <c r="N53" i="10"/>
  <c r="K53" i="10"/>
  <c r="I53" i="10"/>
  <c r="G53" i="10"/>
  <c r="E53" i="10"/>
  <c r="C53" i="10"/>
  <c r="B53" i="10"/>
  <c r="H53" i="10" s="1"/>
  <c r="N52" i="10"/>
  <c r="H52" i="10"/>
  <c r="G52" i="10"/>
  <c r="C52" i="10"/>
  <c r="I52" i="10" s="1"/>
  <c r="B52" i="10"/>
  <c r="N51" i="10"/>
  <c r="K51" i="10"/>
  <c r="I51" i="10"/>
  <c r="G51" i="10"/>
  <c r="E51" i="10"/>
  <c r="C51" i="10"/>
  <c r="B51" i="10"/>
  <c r="H51" i="10" s="1"/>
  <c r="N50" i="10"/>
  <c r="H50" i="10"/>
  <c r="G50" i="10"/>
  <c r="C50" i="10"/>
  <c r="K50" i="10" s="1"/>
  <c r="B50" i="10"/>
  <c r="N49" i="10"/>
  <c r="K49" i="10"/>
  <c r="I49" i="10"/>
  <c r="G49" i="10"/>
  <c r="E49" i="10"/>
  <c r="C49" i="10"/>
  <c r="B49" i="10"/>
  <c r="H49" i="10" s="1"/>
  <c r="N48" i="10"/>
  <c r="H48" i="10"/>
  <c r="G48" i="10"/>
  <c r="C48" i="10"/>
  <c r="I48" i="10" s="1"/>
  <c r="B48" i="10"/>
  <c r="N47" i="10"/>
  <c r="K47" i="10"/>
  <c r="I47" i="10"/>
  <c r="G47" i="10"/>
  <c r="E47" i="10"/>
  <c r="C47" i="10"/>
  <c r="B47" i="10"/>
  <c r="H47" i="10" s="1"/>
  <c r="N46" i="10"/>
  <c r="H46" i="10"/>
  <c r="G46" i="10"/>
  <c r="C46" i="10"/>
  <c r="K46" i="10" s="1"/>
  <c r="B46" i="10"/>
  <c r="N45" i="10"/>
  <c r="K45" i="10"/>
  <c r="I45" i="10"/>
  <c r="G45" i="10"/>
  <c r="E45" i="10"/>
  <c r="C45" i="10"/>
  <c r="B45" i="10"/>
  <c r="H45" i="10" s="1"/>
  <c r="N44" i="10"/>
  <c r="H44" i="10"/>
  <c r="G44" i="10"/>
  <c r="C44" i="10"/>
  <c r="I44" i="10" s="1"/>
  <c r="B44" i="10"/>
  <c r="N43" i="10"/>
  <c r="K43" i="10"/>
  <c r="I43" i="10"/>
  <c r="G43" i="10"/>
  <c r="E43" i="10"/>
  <c r="C43" i="10"/>
  <c r="B43" i="10"/>
  <c r="H43" i="10" s="1"/>
  <c r="N42" i="10"/>
  <c r="H42" i="10"/>
  <c r="G42" i="10"/>
  <c r="C42" i="10"/>
  <c r="K42" i="10" s="1"/>
  <c r="B42" i="10"/>
  <c r="N41" i="10"/>
  <c r="K41" i="10"/>
  <c r="I41" i="10"/>
  <c r="G41" i="10"/>
  <c r="E41" i="10"/>
  <c r="C41" i="10"/>
  <c r="B41" i="10"/>
  <c r="H41" i="10" s="1"/>
  <c r="N40" i="10"/>
  <c r="H40" i="10"/>
  <c r="G40" i="10"/>
  <c r="C40" i="10"/>
  <c r="I40" i="10" s="1"/>
  <c r="B40" i="10"/>
  <c r="N39" i="10"/>
  <c r="K39" i="10"/>
  <c r="I39" i="10"/>
  <c r="G39" i="10"/>
  <c r="E39" i="10"/>
  <c r="C39" i="10"/>
  <c r="B39" i="10"/>
  <c r="H39" i="10" s="1"/>
  <c r="N38" i="10"/>
  <c r="H38" i="10"/>
  <c r="G38" i="10"/>
  <c r="C38" i="10"/>
  <c r="K38" i="10" s="1"/>
  <c r="B38" i="10"/>
  <c r="N37" i="10"/>
  <c r="K37" i="10"/>
  <c r="I37" i="10"/>
  <c r="G37" i="10"/>
  <c r="E37" i="10"/>
  <c r="C37" i="10"/>
  <c r="B37" i="10"/>
  <c r="H37" i="10" s="1"/>
  <c r="N36" i="10"/>
  <c r="H36" i="10"/>
  <c r="G36" i="10"/>
  <c r="C36" i="10"/>
  <c r="I36" i="10" s="1"/>
  <c r="B36" i="10"/>
  <c r="N35" i="10"/>
  <c r="K35" i="10"/>
  <c r="I35" i="10"/>
  <c r="G35" i="10"/>
  <c r="E35" i="10"/>
  <c r="C35" i="10"/>
  <c r="B35" i="10"/>
  <c r="H35" i="10" s="1"/>
  <c r="N34" i="10"/>
  <c r="H34" i="10"/>
  <c r="G34" i="10"/>
  <c r="C34" i="10"/>
  <c r="K34" i="10" s="1"/>
  <c r="B34" i="10"/>
  <c r="N33" i="10"/>
  <c r="K33" i="10"/>
  <c r="I33" i="10"/>
  <c r="G33" i="10"/>
  <c r="E33" i="10"/>
  <c r="C33" i="10"/>
  <c r="B33" i="10"/>
  <c r="H33" i="10" s="1"/>
  <c r="N32" i="10"/>
  <c r="H32" i="10"/>
  <c r="G32" i="10"/>
  <c r="C32" i="10"/>
  <c r="I32" i="10" s="1"/>
  <c r="B32" i="10"/>
  <c r="N31" i="10"/>
  <c r="K31" i="10"/>
  <c r="I31" i="10"/>
  <c r="G31" i="10"/>
  <c r="E31" i="10"/>
  <c r="C31" i="10"/>
  <c r="B31" i="10"/>
  <c r="H31" i="10" s="1"/>
  <c r="N30" i="10"/>
  <c r="H30" i="10"/>
  <c r="G30" i="10"/>
  <c r="C30" i="10"/>
  <c r="K30" i="10" s="1"/>
  <c r="B30" i="10"/>
  <c r="N29" i="10"/>
  <c r="K29" i="10"/>
  <c r="I29" i="10"/>
  <c r="G29" i="10"/>
  <c r="E29" i="10"/>
  <c r="C29" i="10"/>
  <c r="B29" i="10"/>
  <c r="H29" i="10" s="1"/>
  <c r="N28" i="10"/>
  <c r="H28" i="10"/>
  <c r="G28" i="10"/>
  <c r="C28" i="10"/>
  <c r="I28" i="10" s="1"/>
  <c r="B28" i="10"/>
  <c r="N27" i="10"/>
  <c r="K27" i="10"/>
  <c r="I27" i="10"/>
  <c r="G27" i="10"/>
  <c r="E27" i="10"/>
  <c r="C27" i="10"/>
  <c r="B27" i="10"/>
  <c r="H27" i="10" s="1"/>
  <c r="N26" i="10"/>
  <c r="H26" i="10"/>
  <c r="G26" i="10"/>
  <c r="C26" i="10"/>
  <c r="K26" i="10" s="1"/>
  <c r="B26" i="10"/>
  <c r="N25" i="10"/>
  <c r="K25" i="10"/>
  <c r="I25" i="10"/>
  <c r="G25" i="10"/>
  <c r="E25" i="10"/>
  <c r="C25" i="10"/>
  <c r="B25" i="10"/>
  <c r="H25" i="10" s="1"/>
  <c r="N24" i="10"/>
  <c r="H24" i="10"/>
  <c r="G24" i="10"/>
  <c r="C24" i="10"/>
  <c r="I24" i="10" s="1"/>
  <c r="B24" i="10"/>
  <c r="N23" i="10"/>
  <c r="K23" i="10"/>
  <c r="I23" i="10"/>
  <c r="G23" i="10"/>
  <c r="E23" i="10"/>
  <c r="C23" i="10"/>
  <c r="B23" i="10"/>
  <c r="H23" i="10" s="1"/>
  <c r="N22" i="10"/>
  <c r="H22" i="10"/>
  <c r="G22" i="10"/>
  <c r="C22" i="10"/>
  <c r="K22" i="10" s="1"/>
  <c r="B22" i="10"/>
  <c r="N21" i="10"/>
  <c r="K21" i="10"/>
  <c r="I21" i="10"/>
  <c r="G21" i="10"/>
  <c r="E21" i="10"/>
  <c r="C21" i="10"/>
  <c r="B21" i="10"/>
  <c r="H21" i="10" s="1"/>
  <c r="N20" i="10"/>
  <c r="H20" i="10"/>
  <c r="G20" i="10"/>
  <c r="C20" i="10"/>
  <c r="I20" i="10" s="1"/>
  <c r="B20" i="10"/>
  <c r="N19" i="10"/>
  <c r="K19" i="10"/>
  <c r="I19" i="10"/>
  <c r="G19" i="10"/>
  <c r="E19" i="10"/>
  <c r="C19" i="10"/>
  <c r="B19" i="10"/>
  <c r="H19" i="10" s="1"/>
  <c r="N18" i="10"/>
  <c r="H18" i="10"/>
  <c r="G18" i="10"/>
  <c r="C18" i="10"/>
  <c r="K18" i="10" s="1"/>
  <c r="B18" i="10"/>
  <c r="N17" i="10"/>
  <c r="K17" i="10"/>
  <c r="I17" i="10"/>
  <c r="G17" i="10"/>
  <c r="E17" i="10"/>
  <c r="C17" i="10"/>
  <c r="B17" i="10"/>
  <c r="H17" i="10" s="1"/>
  <c r="N16" i="10"/>
  <c r="H16" i="10"/>
  <c r="G16" i="10"/>
  <c r="C16" i="10"/>
  <c r="I16" i="10" s="1"/>
  <c r="B16" i="10"/>
  <c r="N15" i="10"/>
  <c r="K15" i="10"/>
  <c r="I15" i="10"/>
  <c r="G15" i="10"/>
  <c r="E15" i="10"/>
  <c r="C15" i="10"/>
  <c r="B15" i="10"/>
  <c r="H15" i="10" s="1"/>
  <c r="N14" i="10"/>
  <c r="H14" i="10"/>
  <c r="G14" i="10"/>
  <c r="C14" i="10"/>
  <c r="K14" i="10" s="1"/>
  <c r="B14" i="10"/>
  <c r="N13" i="10"/>
  <c r="K13" i="10"/>
  <c r="I13" i="10"/>
  <c r="G13" i="10"/>
  <c r="E13" i="10"/>
  <c r="C13" i="10"/>
  <c r="B13" i="10"/>
  <c r="H13" i="10" s="1"/>
  <c r="N12" i="10"/>
  <c r="H12" i="10"/>
  <c r="G12" i="10"/>
  <c r="C12" i="10"/>
  <c r="I12" i="10" s="1"/>
  <c r="B12" i="10"/>
  <c r="N11" i="10"/>
  <c r="K11" i="10"/>
  <c r="I11" i="10"/>
  <c r="G11" i="10"/>
  <c r="E11" i="10"/>
  <c r="C11" i="10"/>
  <c r="B11" i="10"/>
  <c r="H11" i="10" s="1"/>
  <c r="K7" i="10"/>
  <c r="C6" i="10" a="1"/>
  <c r="C6" i="10" s="1"/>
  <c r="D6" i="10" s="1" a="1"/>
  <c r="D6" i="10" s="1"/>
  <c r="N5" i="10"/>
  <c r="O5" i="10" s="1"/>
  <c r="L3" i="10"/>
  <c r="K3" i="10"/>
  <c r="B1" i="10"/>
  <c r="B3" i="10" s="1"/>
  <c r="Q1" i="12" s="1"/>
  <c r="D16" i="9"/>
  <c r="D11" i="9"/>
  <c r="E11" i="9" s="1"/>
  <c r="D7" i="9"/>
  <c r="E7" i="9" s="1"/>
  <c r="D6" i="9"/>
  <c r="E6" i="9" s="1"/>
  <c r="D5" i="9"/>
  <c r="E5" i="9" s="1"/>
  <c r="D4" i="9"/>
  <c r="E4" i="9" s="1"/>
  <c r="D3" i="9"/>
  <c r="D9" i="9" s="1"/>
  <c r="B64" i="8"/>
  <c r="B63" i="8"/>
  <c r="B62" i="8"/>
  <c r="B61" i="8"/>
  <c r="B60" i="8"/>
  <c r="B59" i="8"/>
  <c r="B58" i="8"/>
  <c r="B57" i="8"/>
  <c r="B56" i="8"/>
  <c r="B55" i="8"/>
  <c r="B54" i="8"/>
  <c r="B53" i="8"/>
  <c r="B52" i="8"/>
  <c r="B51" i="8"/>
  <c r="B50" i="8"/>
  <c r="B49" i="8"/>
  <c r="B48" i="8"/>
  <c r="B47" i="8"/>
  <c r="B46" i="8"/>
  <c r="B45" i="8"/>
  <c r="B44" i="8"/>
  <c r="B43" i="8"/>
  <c r="B42" i="8"/>
  <c r="B41" i="8"/>
  <c r="B40" i="8"/>
  <c r="B39" i="8"/>
  <c r="B38" i="8"/>
  <c r="B37" i="8"/>
  <c r="B36" i="8"/>
  <c r="B35" i="8"/>
  <c r="B34" i="8"/>
  <c r="B33" i="8"/>
  <c r="B32" i="8"/>
  <c r="B31" i="8"/>
  <c r="B30" i="8"/>
  <c r="B29" i="8"/>
  <c r="B28" i="8"/>
  <c r="B27" i="8"/>
  <c r="B26" i="8"/>
  <c r="B25" i="8"/>
  <c r="B24" i="8"/>
  <c r="B23" i="8"/>
  <c r="B22" i="8"/>
  <c r="B21" i="8"/>
  <c r="B20" i="8"/>
  <c r="B19" i="8"/>
  <c r="B18" i="8"/>
  <c r="B17" i="8"/>
  <c r="B16" i="8"/>
  <c r="B15" i="8"/>
  <c r="B14" i="8"/>
  <c r="B13" i="8"/>
  <c r="AC5" i="8"/>
  <c r="AB5" i="8"/>
  <c r="J23" i="3" s="1"/>
  <c r="AA5" i="8"/>
  <c r="Z5" i="8"/>
  <c r="J19" i="3" s="1"/>
  <c r="Y5" i="8"/>
  <c r="X5" i="8"/>
  <c r="J21" i="3" s="1"/>
  <c r="W5" i="8"/>
  <c r="V5" i="8"/>
  <c r="J20" i="3" s="1"/>
  <c r="U5" i="8"/>
  <c r="T5" i="8"/>
  <c r="J10" i="3" s="1"/>
  <c r="S5" i="8"/>
  <c r="R5" i="8"/>
  <c r="P7" i="3" s="1"/>
  <c r="Q5" i="8"/>
  <c r="P5" i="8"/>
  <c r="J17" i="3" s="1"/>
  <c r="O5" i="8"/>
  <c r="N5" i="8"/>
  <c r="J18" i="3" s="1"/>
  <c r="M5" i="8"/>
  <c r="L5" i="8"/>
  <c r="J24" i="3" s="1"/>
  <c r="K5" i="8"/>
  <c r="J5" i="8"/>
  <c r="J12" i="3" s="1"/>
  <c r="I5" i="8"/>
  <c r="H5" i="8"/>
  <c r="J11" i="3" s="1"/>
  <c r="G5" i="8"/>
  <c r="F5" i="8"/>
  <c r="E5" i="8"/>
  <c r="D5" i="8"/>
  <c r="AC3" i="8"/>
  <c r="AC2" i="8" s="1"/>
  <c r="AA3" i="8"/>
  <c r="AA2" i="8" s="1"/>
  <c r="Y3" i="8"/>
  <c r="W3" i="8"/>
  <c r="U3" i="8"/>
  <c r="U2" i="8" s="1"/>
  <c r="S3" i="8"/>
  <c r="S2" i="8" s="1"/>
  <c r="Q3" i="8"/>
  <c r="O3" i="8"/>
  <c r="M3" i="8"/>
  <c r="M2" i="8" s="1"/>
  <c r="K3" i="8"/>
  <c r="K2" i="8" s="1"/>
  <c r="I3" i="8"/>
  <c r="I2" i="8" s="1"/>
  <c r="G3" i="8"/>
  <c r="G2" i="8" s="1"/>
  <c r="E3" i="8"/>
  <c r="E2" i="8" s="1"/>
  <c r="Y2" i="8"/>
  <c r="W2" i="8"/>
  <c r="O2" i="8"/>
  <c r="AB1" i="8"/>
  <c r="Z1" i="8"/>
  <c r="X1" i="8"/>
  <c r="V1" i="8"/>
  <c r="T1" i="8"/>
  <c r="R1" i="8"/>
  <c r="N1" i="8"/>
  <c r="L1" i="8"/>
  <c r="J1" i="8"/>
  <c r="H1" i="8"/>
  <c r="G837" i="7"/>
  <c r="G836" i="7" s="1"/>
  <c r="G835" i="7" s="1"/>
  <c r="G834" i="7" s="1"/>
  <c r="G833" i="7" s="1"/>
  <c r="G832" i="7" s="1"/>
  <c r="G831" i="7" s="1"/>
  <c r="G830" i="7" s="1"/>
  <c r="G829" i="7" s="1"/>
  <c r="G828" i="7" s="1"/>
  <c r="G827" i="7" s="1"/>
  <c r="G826" i="7" s="1"/>
  <c r="G825" i="7" s="1"/>
  <c r="G824" i="7" s="1"/>
  <c r="G823" i="7" s="1"/>
  <c r="G822" i="7" s="1"/>
  <c r="G821" i="7" s="1"/>
  <c r="G820" i="7" s="1"/>
  <c r="G819" i="7" s="1"/>
  <c r="G818" i="7" s="1"/>
  <c r="G817" i="7" s="1"/>
  <c r="G816" i="7" s="1"/>
  <c r="G815" i="7" s="1"/>
  <c r="G814" i="7" s="1"/>
  <c r="G813" i="7" s="1"/>
  <c r="G812" i="7" s="1"/>
  <c r="G811" i="7" s="1"/>
  <c r="G810" i="7" s="1"/>
  <c r="G809" i="7" s="1"/>
  <c r="G808" i="7" s="1"/>
  <c r="G807" i="7" s="1"/>
  <c r="G806" i="7" s="1"/>
  <c r="G805" i="7" s="1"/>
  <c r="G804" i="7" s="1"/>
  <c r="G803" i="7" s="1"/>
  <c r="G802" i="7" s="1"/>
  <c r="G801" i="7" s="1"/>
  <c r="G800" i="7" s="1"/>
  <c r="G799" i="7" s="1"/>
  <c r="G798" i="7" s="1"/>
  <c r="G797" i="7" s="1"/>
  <c r="G796" i="7" s="1"/>
  <c r="G795" i="7" s="1"/>
  <c r="G794" i="7" s="1"/>
  <c r="G793" i="7" s="1"/>
  <c r="G792" i="7" s="1"/>
  <c r="G791" i="7" s="1"/>
  <c r="G790" i="7" s="1"/>
  <c r="G789" i="7" s="1"/>
  <c r="G788" i="7" s="1"/>
  <c r="G787" i="7" s="1"/>
  <c r="G786" i="7" s="1"/>
  <c r="G785" i="7" s="1"/>
  <c r="G784" i="7" s="1"/>
  <c r="G783" i="7" s="1"/>
  <c r="G782" i="7" s="1"/>
  <c r="G781" i="7" s="1"/>
  <c r="G780" i="7" s="1"/>
  <c r="G779" i="7" s="1"/>
  <c r="G778" i="7" s="1"/>
  <c r="G777" i="7" s="1"/>
  <c r="G776" i="7" s="1"/>
  <c r="G775" i="7" s="1"/>
  <c r="G774" i="7" s="1"/>
  <c r="G773" i="7" s="1"/>
  <c r="G772" i="7" s="1"/>
  <c r="G771" i="7" s="1"/>
  <c r="G770" i="7" s="1"/>
  <c r="G769" i="7" s="1"/>
  <c r="G768" i="7" s="1"/>
  <c r="G767" i="7" s="1"/>
  <c r="G766" i="7" s="1"/>
  <c r="G765" i="7" s="1"/>
  <c r="G764" i="7" s="1"/>
  <c r="G763" i="7" s="1"/>
  <c r="G762" i="7" s="1"/>
  <c r="G761" i="7" s="1"/>
  <c r="G760" i="7" s="1"/>
  <c r="G759" i="7" s="1"/>
  <c r="G758" i="7" s="1"/>
  <c r="G757" i="7" s="1"/>
  <c r="G756" i="7" s="1"/>
  <c r="G755" i="7" s="1"/>
  <c r="G754" i="7" s="1"/>
  <c r="G753" i="7" s="1"/>
  <c r="G752" i="7" s="1"/>
  <c r="G751" i="7" s="1"/>
  <c r="G750" i="7" s="1"/>
  <c r="G749" i="7" s="1"/>
  <c r="G748" i="7" s="1"/>
  <c r="G747" i="7" s="1"/>
  <c r="G746" i="7" s="1"/>
  <c r="G745" i="7" s="1"/>
  <c r="G744" i="7" s="1"/>
  <c r="G743" i="7" s="1"/>
  <c r="G742" i="7" s="1"/>
  <c r="G741" i="7" s="1"/>
  <c r="G740" i="7" s="1"/>
  <c r="G739" i="7" s="1"/>
  <c r="G738" i="7" s="1"/>
  <c r="G737" i="7" s="1"/>
  <c r="G736" i="7" s="1"/>
  <c r="G735" i="7" s="1"/>
  <c r="G734" i="7" s="1"/>
  <c r="G733" i="7" s="1"/>
  <c r="G732" i="7" s="1"/>
  <c r="G731" i="7" s="1"/>
  <c r="G730" i="7" s="1"/>
  <c r="G729" i="7" s="1"/>
  <c r="G728" i="7" s="1"/>
  <c r="G727" i="7" s="1"/>
  <c r="G726" i="7" s="1"/>
  <c r="G725" i="7" s="1"/>
  <c r="G724" i="7" s="1"/>
  <c r="G723" i="7" s="1"/>
  <c r="G722" i="7" s="1"/>
  <c r="G721" i="7" s="1"/>
  <c r="G720" i="7" s="1"/>
  <c r="G719" i="7" s="1"/>
  <c r="G718" i="7" s="1"/>
  <c r="G717" i="7" s="1"/>
  <c r="G716" i="7" s="1"/>
  <c r="G715" i="7" s="1"/>
  <c r="G714" i="7" s="1"/>
  <c r="G713" i="7" s="1"/>
  <c r="G712" i="7" s="1"/>
  <c r="G711" i="7" s="1"/>
  <c r="G710" i="7" s="1"/>
  <c r="G709" i="7" s="1"/>
  <c r="G708" i="7" s="1"/>
  <c r="G707" i="7" s="1"/>
  <c r="G706" i="7" s="1"/>
  <c r="G705" i="7" s="1"/>
  <c r="G704" i="7" s="1"/>
  <c r="G703" i="7" s="1"/>
  <c r="G702" i="7" s="1"/>
  <c r="G701" i="7" s="1"/>
  <c r="G700" i="7" s="1"/>
  <c r="G699" i="7" s="1"/>
  <c r="G698" i="7" s="1"/>
  <c r="G697" i="7" s="1"/>
  <c r="G696" i="7" s="1"/>
  <c r="G695" i="7" s="1"/>
  <c r="G694" i="7" s="1"/>
  <c r="G693" i="7" s="1"/>
  <c r="G692" i="7" s="1"/>
  <c r="G691" i="7" s="1"/>
  <c r="G690" i="7" s="1"/>
  <c r="G689" i="7" s="1"/>
  <c r="G688" i="7" s="1"/>
  <c r="G687" i="7" s="1"/>
  <c r="G686" i="7" s="1"/>
  <c r="G685" i="7" s="1"/>
  <c r="G684" i="7" s="1"/>
  <c r="G683" i="7" s="1"/>
  <c r="G682" i="7" s="1"/>
  <c r="G681" i="7" s="1"/>
  <c r="G680" i="7" s="1"/>
  <c r="G679" i="7" s="1"/>
  <c r="G678" i="7" s="1"/>
  <c r="G677" i="7" s="1"/>
  <c r="G676" i="7" s="1"/>
  <c r="G675" i="7" s="1"/>
  <c r="G674" i="7" s="1"/>
  <c r="G673" i="7" s="1"/>
  <c r="G672" i="7" s="1"/>
  <c r="G671" i="7" s="1"/>
  <c r="G670" i="7" s="1"/>
  <c r="G669" i="7" s="1"/>
  <c r="G668" i="7" s="1"/>
  <c r="G667" i="7" s="1"/>
  <c r="G666" i="7" s="1"/>
  <c r="G665" i="7" s="1"/>
  <c r="G664" i="7" s="1"/>
  <c r="G663" i="7" s="1"/>
  <c r="G662" i="7" s="1"/>
  <c r="G661" i="7" s="1"/>
  <c r="G660" i="7" s="1"/>
  <c r="G659" i="7" s="1"/>
  <c r="G658" i="7" s="1"/>
  <c r="G657" i="7" s="1"/>
  <c r="G656" i="7" s="1"/>
  <c r="G655" i="7" s="1"/>
  <c r="G654" i="7" s="1"/>
  <c r="G653" i="7" s="1"/>
  <c r="G652" i="7" s="1"/>
  <c r="G651" i="7" s="1"/>
  <c r="G650" i="7" s="1"/>
  <c r="G649" i="7" s="1"/>
  <c r="G648" i="7" s="1"/>
  <c r="G647" i="7" s="1"/>
  <c r="G646" i="7" s="1"/>
  <c r="G645" i="7" s="1"/>
  <c r="G644" i="7" s="1"/>
  <c r="G643" i="7" s="1"/>
  <c r="G642" i="7" s="1"/>
  <c r="G641" i="7" s="1"/>
  <c r="G640" i="7" s="1"/>
  <c r="G639" i="7" s="1"/>
  <c r="G638" i="7" s="1"/>
  <c r="G637" i="7" s="1"/>
  <c r="G636" i="7" s="1"/>
  <c r="G635" i="7" s="1"/>
  <c r="G634" i="7" s="1"/>
  <c r="G633" i="7" s="1"/>
  <c r="G632" i="7" s="1"/>
  <c r="G631" i="7" s="1"/>
  <c r="G630" i="7" s="1"/>
  <c r="G629" i="7" s="1"/>
  <c r="G628" i="7" s="1"/>
  <c r="G627" i="7" s="1"/>
  <c r="G626" i="7" s="1"/>
  <c r="G625" i="7" s="1"/>
  <c r="G624" i="7" s="1"/>
  <c r="G623" i="7" s="1"/>
  <c r="G622" i="7" s="1"/>
  <c r="G621" i="7" s="1"/>
  <c r="G620" i="7" s="1"/>
  <c r="G619" i="7" s="1"/>
  <c r="G618" i="7" s="1"/>
  <c r="G617" i="7" s="1"/>
  <c r="G616" i="7" s="1"/>
  <c r="G615" i="7" s="1"/>
  <c r="G614" i="7" s="1"/>
  <c r="G613" i="7" s="1"/>
  <c r="G612" i="7" s="1"/>
  <c r="G611" i="7" s="1"/>
  <c r="G610" i="7" s="1"/>
  <c r="G609" i="7" s="1"/>
  <c r="G608" i="7" s="1"/>
  <c r="G607" i="7" s="1"/>
  <c r="G606" i="7" s="1"/>
  <c r="G605" i="7" s="1"/>
  <c r="G604" i="7" s="1"/>
  <c r="G603" i="7" s="1"/>
  <c r="G602" i="7" s="1"/>
  <c r="G601" i="7" s="1"/>
  <c r="G600" i="7" s="1"/>
  <c r="G599" i="7" s="1"/>
  <c r="G598" i="7" s="1"/>
  <c r="G597" i="7" s="1"/>
  <c r="G596" i="7" s="1"/>
  <c r="G595" i="7" s="1"/>
  <c r="G594" i="7" s="1"/>
  <c r="G593" i="7" s="1"/>
  <c r="G592" i="7" s="1"/>
  <c r="G591" i="7" s="1"/>
  <c r="G590" i="7" s="1"/>
  <c r="G589" i="7" s="1"/>
  <c r="G588" i="7" s="1"/>
  <c r="G587" i="7" s="1"/>
  <c r="G586" i="7" s="1"/>
  <c r="G585" i="7" s="1"/>
  <c r="G584" i="7" s="1"/>
  <c r="G583" i="7" s="1"/>
  <c r="G582" i="7" s="1"/>
  <c r="G581" i="7" s="1"/>
  <c r="G580" i="7" s="1"/>
  <c r="G579" i="7" s="1"/>
  <c r="G578" i="7" s="1"/>
  <c r="G577" i="7" s="1"/>
  <c r="G576" i="7" s="1"/>
  <c r="G575" i="7" s="1"/>
  <c r="G574" i="7" s="1"/>
  <c r="G573" i="7" s="1"/>
  <c r="G572" i="7" s="1"/>
  <c r="G571" i="7" s="1"/>
  <c r="G570" i="7" s="1"/>
  <c r="G569" i="7" s="1"/>
  <c r="G568" i="7" s="1"/>
  <c r="G567" i="7" s="1"/>
  <c r="G566" i="7" s="1"/>
  <c r="G565" i="7" s="1"/>
  <c r="G564" i="7" s="1"/>
  <c r="G563" i="7" s="1"/>
  <c r="G562" i="7" s="1"/>
  <c r="G561" i="7" s="1"/>
  <c r="G560" i="7" s="1"/>
  <c r="G559" i="7" s="1"/>
  <c r="G558" i="7" s="1"/>
  <c r="G557" i="7" s="1"/>
  <c r="G556" i="7" s="1"/>
  <c r="G555" i="7" s="1"/>
  <c r="G554" i="7" s="1"/>
  <c r="G553" i="7" s="1"/>
  <c r="G552" i="7" s="1"/>
  <c r="G551" i="7" s="1"/>
  <c r="G550" i="7" s="1"/>
  <c r="G549" i="7" s="1"/>
  <c r="G548" i="7" s="1"/>
  <c r="G547" i="7" s="1"/>
  <c r="G546" i="7" s="1"/>
  <c r="G545" i="7" s="1"/>
  <c r="G544" i="7" s="1"/>
  <c r="G543" i="7" s="1"/>
  <c r="G542" i="7" s="1"/>
  <c r="G541" i="7" s="1"/>
  <c r="G540" i="7" s="1"/>
  <c r="G539" i="7" s="1"/>
  <c r="G538" i="7" s="1"/>
  <c r="G537" i="7" s="1"/>
  <c r="G536" i="7" s="1"/>
  <c r="G535" i="7" s="1"/>
  <c r="G534" i="7" s="1"/>
  <c r="G533" i="7" s="1"/>
  <c r="G532" i="7" s="1"/>
  <c r="G531" i="7" s="1"/>
  <c r="G530" i="7" s="1"/>
  <c r="G529" i="7" s="1"/>
  <c r="G528" i="7" s="1"/>
  <c r="G527" i="7" s="1"/>
  <c r="G526" i="7" s="1"/>
  <c r="G525" i="7" s="1"/>
  <c r="G524" i="7" s="1"/>
  <c r="G523" i="7" s="1"/>
  <c r="G522" i="7" s="1"/>
  <c r="G521" i="7" s="1"/>
  <c r="G520" i="7" s="1"/>
  <c r="G519" i="7" s="1"/>
  <c r="G518" i="7" s="1"/>
  <c r="G517" i="7" s="1"/>
  <c r="G516" i="7" s="1"/>
  <c r="G515" i="7" s="1"/>
  <c r="G514" i="7" s="1"/>
  <c r="G513" i="7" s="1"/>
  <c r="G512" i="7" s="1"/>
  <c r="G511" i="7" s="1"/>
  <c r="G510" i="7" s="1"/>
  <c r="G509" i="7" s="1"/>
  <c r="G508" i="7" s="1"/>
  <c r="G507" i="7" s="1"/>
  <c r="G506" i="7" s="1"/>
  <c r="G505" i="7" s="1"/>
  <c r="G504" i="7" s="1"/>
  <c r="G503" i="7" s="1"/>
  <c r="G502" i="7" s="1"/>
  <c r="G501" i="7" s="1"/>
  <c r="G500" i="7" s="1"/>
  <c r="G499" i="7" s="1"/>
  <c r="G498" i="7" s="1"/>
  <c r="G497" i="7" s="1"/>
  <c r="G496" i="7" s="1"/>
  <c r="G495" i="7" s="1"/>
  <c r="G494" i="7" s="1"/>
  <c r="G493" i="7" s="1"/>
  <c r="G492" i="7" s="1"/>
  <c r="G491" i="7" s="1"/>
  <c r="G490" i="7" s="1"/>
  <c r="G489" i="7" s="1"/>
  <c r="G488" i="7" s="1"/>
  <c r="G487" i="7" s="1"/>
  <c r="G486" i="7" s="1"/>
  <c r="G485" i="7" s="1"/>
  <c r="G484" i="7" s="1"/>
  <c r="G483" i="7" s="1"/>
  <c r="G482" i="7" s="1"/>
  <c r="G481" i="7" s="1"/>
  <c r="G480" i="7" s="1"/>
  <c r="G479" i="7" s="1"/>
  <c r="G478" i="7" s="1"/>
  <c r="G477" i="7" s="1"/>
  <c r="G476" i="7" s="1"/>
  <c r="G475" i="7" s="1"/>
  <c r="G474" i="7" s="1"/>
  <c r="G473" i="7" s="1"/>
  <c r="G472" i="7" s="1"/>
  <c r="G471" i="7" s="1"/>
  <c r="G470" i="7" s="1"/>
  <c r="G469" i="7" s="1"/>
  <c r="G468" i="7" s="1"/>
  <c r="G467" i="7" s="1"/>
  <c r="G466" i="7" s="1"/>
  <c r="G465" i="7" s="1"/>
  <c r="G464" i="7" s="1"/>
  <c r="G463" i="7" s="1"/>
  <c r="G462" i="7" s="1"/>
  <c r="G461" i="7" s="1"/>
  <c r="G460" i="7" s="1"/>
  <c r="G459" i="7" s="1"/>
  <c r="G458" i="7" s="1"/>
  <c r="G457" i="7" s="1"/>
  <c r="G456" i="7" s="1"/>
  <c r="G455" i="7" s="1"/>
  <c r="G454" i="7" s="1"/>
  <c r="G453" i="7" s="1"/>
  <c r="G452" i="7" s="1"/>
  <c r="G451" i="7" s="1"/>
  <c r="G450" i="7" s="1"/>
  <c r="G449" i="7" s="1"/>
  <c r="G448" i="7" s="1"/>
  <c r="G447" i="7" s="1"/>
  <c r="G446" i="7" s="1"/>
  <c r="G445" i="7" s="1"/>
  <c r="G444" i="7" s="1"/>
  <c r="G443" i="7" s="1"/>
  <c r="G442" i="7" s="1"/>
  <c r="G441" i="7" s="1"/>
  <c r="G440" i="7" s="1"/>
  <c r="G439" i="7" s="1"/>
  <c r="G438" i="7" s="1"/>
  <c r="G437" i="7" s="1"/>
  <c r="G436" i="7" s="1"/>
  <c r="G435" i="7" s="1"/>
  <c r="G434" i="7" s="1"/>
  <c r="G433" i="7" s="1"/>
  <c r="G432" i="7" s="1"/>
  <c r="G431" i="7" s="1"/>
  <c r="G430" i="7" s="1"/>
  <c r="G429" i="7" s="1"/>
  <c r="G428" i="7" s="1"/>
  <c r="G427" i="7" s="1"/>
  <c r="G426" i="7" s="1"/>
  <c r="G425" i="7" s="1"/>
  <c r="G424" i="7" s="1"/>
  <c r="G423" i="7" s="1"/>
  <c r="G422" i="7" s="1"/>
  <c r="G421" i="7" s="1"/>
  <c r="G420" i="7" s="1"/>
  <c r="G419" i="7" s="1"/>
  <c r="G418" i="7" s="1"/>
  <c r="G417" i="7" s="1"/>
  <c r="G416" i="7" s="1"/>
  <c r="G415" i="7" s="1"/>
  <c r="G414" i="7" s="1"/>
  <c r="G413" i="7" s="1"/>
  <c r="G412" i="7" s="1"/>
  <c r="G411" i="7" s="1"/>
  <c r="G410" i="7" s="1"/>
  <c r="G409" i="7" s="1"/>
  <c r="G408" i="7" s="1"/>
  <c r="G407" i="7" s="1"/>
  <c r="G406" i="7" s="1"/>
  <c r="G405" i="7" s="1"/>
  <c r="G404" i="7" s="1"/>
  <c r="G403" i="7" s="1"/>
  <c r="G402" i="7" s="1"/>
  <c r="G401" i="7" s="1"/>
  <c r="G400" i="7" s="1"/>
  <c r="G399" i="7" s="1"/>
  <c r="G398" i="7" s="1"/>
  <c r="G397" i="7" s="1"/>
  <c r="G396" i="7" s="1"/>
  <c r="G395" i="7" s="1"/>
  <c r="G394" i="7" s="1"/>
  <c r="G393" i="7" s="1"/>
  <c r="G392" i="7" s="1"/>
  <c r="G391" i="7" s="1"/>
  <c r="G390" i="7" s="1"/>
  <c r="G389" i="7" s="1"/>
  <c r="G388" i="7" s="1"/>
  <c r="G387" i="7" s="1"/>
  <c r="G386" i="7" s="1"/>
  <c r="G385" i="7" s="1"/>
  <c r="G384" i="7" s="1"/>
  <c r="G383" i="7" s="1"/>
  <c r="G382" i="7" s="1"/>
  <c r="G381" i="7" s="1"/>
  <c r="G380" i="7" s="1"/>
  <c r="G379" i="7" s="1"/>
  <c r="G378" i="7" s="1"/>
  <c r="G377" i="7" s="1"/>
  <c r="G376" i="7" s="1"/>
  <c r="G375" i="7" s="1"/>
  <c r="G374" i="7" s="1"/>
  <c r="G373" i="7" s="1"/>
  <c r="G372" i="7" s="1"/>
  <c r="G371" i="7" s="1"/>
  <c r="G370" i="7" s="1"/>
  <c r="G369" i="7" s="1"/>
  <c r="G368" i="7" s="1"/>
  <c r="G367" i="7" s="1"/>
  <c r="G366" i="7" s="1"/>
  <c r="G365" i="7" s="1"/>
  <c r="G364" i="7" s="1"/>
  <c r="G363" i="7" s="1"/>
  <c r="G362" i="7" s="1"/>
  <c r="G361" i="7" s="1"/>
  <c r="G360" i="7" s="1"/>
  <c r="G359" i="7" s="1"/>
  <c r="G358" i="7" s="1"/>
  <c r="G357" i="7" s="1"/>
  <c r="G356" i="7" s="1"/>
  <c r="G355" i="7" s="1"/>
  <c r="G354" i="7" s="1"/>
  <c r="G353" i="7" s="1"/>
  <c r="G352" i="7" s="1"/>
  <c r="G351" i="7" s="1"/>
  <c r="G350" i="7" s="1"/>
  <c r="G349" i="7" s="1"/>
  <c r="G348" i="7" s="1"/>
  <c r="G347" i="7" s="1"/>
  <c r="G346" i="7" s="1"/>
  <c r="G345" i="7" s="1"/>
  <c r="G344" i="7" s="1"/>
  <c r="G343" i="7" s="1"/>
  <c r="G342" i="7" s="1"/>
  <c r="G341" i="7" s="1"/>
  <c r="G340" i="7" s="1"/>
  <c r="G339" i="7" s="1"/>
  <c r="G338" i="7" s="1"/>
  <c r="G337" i="7" s="1"/>
  <c r="G336" i="7" s="1"/>
  <c r="G335" i="7" s="1"/>
  <c r="G334" i="7" s="1"/>
  <c r="G333" i="7" s="1"/>
  <c r="G332" i="7" s="1"/>
  <c r="G331" i="7" s="1"/>
  <c r="G330" i="7" s="1"/>
  <c r="G329" i="7" s="1"/>
  <c r="G328" i="7" s="1"/>
  <c r="G327" i="7" s="1"/>
  <c r="G326" i="7" s="1"/>
  <c r="G325" i="7" s="1"/>
  <c r="G324" i="7" s="1"/>
  <c r="G323" i="7" s="1"/>
  <c r="G322" i="7" s="1"/>
  <c r="G321" i="7" s="1"/>
  <c r="G320" i="7" s="1"/>
  <c r="G319" i="7" s="1"/>
  <c r="G318" i="7" s="1"/>
  <c r="G317" i="7" s="1"/>
  <c r="G316" i="7" s="1"/>
  <c r="G315" i="7" s="1"/>
  <c r="G314" i="7" s="1"/>
  <c r="G313" i="7" s="1"/>
  <c r="G312" i="7" s="1"/>
  <c r="G311" i="7" s="1"/>
  <c r="G310" i="7" s="1"/>
  <c r="G309" i="7" s="1"/>
  <c r="G308" i="7" s="1"/>
  <c r="G307" i="7" s="1"/>
  <c r="G306" i="7" s="1"/>
  <c r="G305" i="7" s="1"/>
  <c r="G304" i="7" s="1"/>
  <c r="G303" i="7" s="1"/>
  <c r="G302" i="7" s="1"/>
  <c r="G301" i="7" s="1"/>
  <c r="G300" i="7" s="1"/>
  <c r="G299" i="7" s="1"/>
  <c r="G298" i="7" s="1"/>
  <c r="G297" i="7" s="1"/>
  <c r="G296" i="7" s="1"/>
  <c r="G295" i="7" s="1"/>
  <c r="G294" i="7" s="1"/>
  <c r="G293" i="7" s="1"/>
  <c r="G292" i="7" s="1"/>
  <c r="G291" i="7" s="1"/>
  <c r="G290" i="7" s="1"/>
  <c r="G289" i="7" s="1"/>
  <c r="G288" i="7" s="1"/>
  <c r="G287" i="7" s="1"/>
  <c r="G286" i="7" s="1"/>
  <c r="G285" i="7" s="1"/>
  <c r="G284" i="7" s="1"/>
  <c r="G283" i="7" s="1"/>
  <c r="G282" i="7" s="1"/>
  <c r="G281" i="7" s="1"/>
  <c r="G280" i="7" s="1"/>
  <c r="G279" i="7" s="1"/>
  <c r="G278" i="7" s="1"/>
  <c r="G277" i="7" s="1"/>
  <c r="G276" i="7" s="1"/>
  <c r="G275" i="7" s="1"/>
  <c r="G274" i="7" s="1"/>
  <c r="G273" i="7" s="1"/>
  <c r="G272" i="7" s="1"/>
  <c r="G271" i="7" s="1"/>
  <c r="G270" i="7" s="1"/>
  <c r="G269" i="7" s="1"/>
  <c r="G268" i="7" s="1"/>
  <c r="G267" i="7" s="1"/>
  <c r="G266" i="7" s="1"/>
  <c r="G265" i="7" s="1"/>
  <c r="G264" i="7" s="1"/>
  <c r="G263" i="7" s="1"/>
  <c r="G262" i="7" s="1"/>
  <c r="G261" i="7" s="1"/>
  <c r="G260" i="7" s="1"/>
  <c r="G259" i="7" s="1"/>
  <c r="G258" i="7" s="1"/>
  <c r="G257" i="7" s="1"/>
  <c r="G256" i="7" s="1"/>
  <c r="G255" i="7" s="1"/>
  <c r="G254" i="7" s="1"/>
  <c r="G253" i="7" s="1"/>
  <c r="G252" i="7" s="1"/>
  <c r="G251" i="7" s="1"/>
  <c r="G250" i="7" s="1"/>
  <c r="G249" i="7" s="1"/>
  <c r="G248" i="7" s="1"/>
  <c r="G247" i="7" s="1"/>
  <c r="G246" i="7" s="1"/>
  <c r="G245" i="7" s="1"/>
  <c r="G244" i="7" s="1"/>
  <c r="G243" i="7" s="1"/>
  <c r="G242" i="7" s="1"/>
  <c r="G241" i="7" s="1"/>
  <c r="G240" i="7" s="1"/>
  <c r="G239" i="7" s="1"/>
  <c r="G238" i="7" s="1"/>
  <c r="G237" i="7" s="1"/>
  <c r="G236" i="7" s="1"/>
  <c r="G235" i="7" s="1"/>
  <c r="G234" i="7" s="1"/>
  <c r="G233" i="7" s="1"/>
  <c r="G232" i="7" s="1"/>
  <c r="G231" i="7" s="1"/>
  <c r="G230" i="7" s="1"/>
  <c r="G229" i="7" s="1"/>
  <c r="G228" i="7" s="1"/>
  <c r="G227" i="7" s="1"/>
  <c r="G226" i="7" s="1"/>
  <c r="G225" i="7" s="1"/>
  <c r="G224" i="7" s="1"/>
  <c r="G223" i="7" s="1"/>
  <c r="G222" i="7" s="1"/>
  <c r="G221" i="7" s="1"/>
  <c r="G220" i="7" s="1"/>
  <c r="G219" i="7" s="1"/>
  <c r="G218" i="7" s="1"/>
  <c r="G217" i="7" s="1"/>
  <c r="G216" i="7" s="1"/>
  <c r="G215" i="7" s="1"/>
  <c r="G214" i="7" s="1"/>
  <c r="G213" i="7" s="1"/>
  <c r="G212" i="7" s="1"/>
  <c r="G211" i="7" s="1"/>
  <c r="G210" i="7" s="1"/>
  <c r="G209" i="7" s="1"/>
  <c r="G208" i="7" s="1"/>
  <c r="G207" i="7" s="1"/>
  <c r="G206" i="7" s="1"/>
  <c r="G205" i="7" s="1"/>
  <c r="G204" i="7" s="1"/>
  <c r="G203" i="7" s="1"/>
  <c r="G202" i="7" s="1"/>
  <c r="G201" i="7" s="1"/>
  <c r="G200" i="7" s="1"/>
  <c r="G199" i="7" s="1"/>
  <c r="G198" i="7" s="1"/>
  <c r="G197" i="7" s="1"/>
  <c r="G196" i="7" s="1"/>
  <c r="G195" i="7" s="1"/>
  <c r="G194" i="7" s="1"/>
  <c r="G193" i="7" s="1"/>
  <c r="G192" i="7" s="1"/>
  <c r="G191" i="7" s="1"/>
  <c r="G190" i="7" s="1"/>
  <c r="G189" i="7" s="1"/>
  <c r="G188" i="7" s="1"/>
  <c r="G187" i="7" s="1"/>
  <c r="G186" i="7" s="1"/>
  <c r="G185" i="7" s="1"/>
  <c r="G184" i="7" s="1"/>
  <c r="G183" i="7" s="1"/>
  <c r="G182" i="7" s="1"/>
  <c r="G181" i="7" s="1"/>
  <c r="G180" i="7" s="1"/>
  <c r="G179" i="7" s="1"/>
  <c r="G178" i="7" s="1"/>
  <c r="G177" i="7" s="1"/>
  <c r="G176" i="7" s="1"/>
  <c r="G175" i="7" s="1"/>
  <c r="G174" i="7" s="1"/>
  <c r="G173" i="7" s="1"/>
  <c r="G172" i="7" s="1"/>
  <c r="G171" i="7" s="1"/>
  <c r="G170" i="7" s="1"/>
  <c r="G169" i="7" s="1"/>
  <c r="G168" i="7" s="1"/>
  <c r="G167" i="7" s="1"/>
  <c r="G166" i="7" s="1"/>
  <c r="G165" i="7" s="1"/>
  <c r="G164" i="7" s="1"/>
  <c r="G163" i="7" s="1"/>
  <c r="G162" i="7" s="1"/>
  <c r="G161" i="7" s="1"/>
  <c r="G160" i="7" s="1"/>
  <c r="G159" i="7" s="1"/>
  <c r="G158" i="7" s="1"/>
  <c r="G157" i="7" s="1"/>
  <c r="G156" i="7" s="1"/>
  <c r="G155" i="7" s="1"/>
  <c r="G154" i="7" s="1"/>
  <c r="G153" i="7" s="1"/>
  <c r="G152" i="7" s="1"/>
  <c r="G151" i="7" s="1"/>
  <c r="G150" i="7" s="1"/>
  <c r="G149" i="7" s="1"/>
  <c r="G148" i="7" s="1"/>
  <c r="G147" i="7" s="1"/>
  <c r="G146" i="7" s="1"/>
  <c r="G145" i="7" s="1"/>
  <c r="G144" i="7" s="1"/>
  <c r="G143" i="7" s="1"/>
  <c r="G142" i="7" s="1"/>
  <c r="G141" i="7" s="1"/>
  <c r="G140" i="7" s="1"/>
  <c r="G139" i="7" s="1"/>
  <c r="G138" i="7" s="1"/>
  <c r="G137" i="7" s="1"/>
  <c r="G136" i="7" s="1"/>
  <c r="G135" i="7" s="1"/>
  <c r="G134" i="7" s="1"/>
  <c r="G133" i="7" s="1"/>
  <c r="G132" i="7" s="1"/>
  <c r="G131" i="7" s="1"/>
  <c r="G130" i="7" s="1"/>
  <c r="G129" i="7" s="1"/>
  <c r="G128" i="7" s="1"/>
  <c r="G127" i="7" s="1"/>
  <c r="G126" i="7" s="1"/>
  <c r="G125" i="7" s="1"/>
  <c r="G124" i="7" s="1"/>
  <c r="G123" i="7" s="1"/>
  <c r="G122" i="7" s="1"/>
  <c r="G121" i="7" s="1"/>
  <c r="G120" i="7" s="1"/>
  <c r="G119" i="7" s="1"/>
  <c r="G118" i="7" s="1"/>
  <c r="G117" i="7" s="1"/>
  <c r="G116" i="7" s="1"/>
  <c r="G115" i="7" s="1"/>
  <c r="G114" i="7" s="1"/>
  <c r="G113" i="7" s="1"/>
  <c r="G112" i="7" s="1"/>
  <c r="G111" i="7" s="1"/>
  <c r="G110" i="7" s="1"/>
  <c r="G109" i="7" s="1"/>
  <c r="G108" i="7" s="1"/>
  <c r="G107" i="7" s="1"/>
  <c r="G106" i="7" s="1"/>
  <c r="G105" i="7" s="1"/>
  <c r="G104" i="7" s="1"/>
  <c r="G103" i="7" s="1"/>
  <c r="G102" i="7" s="1"/>
  <c r="G101" i="7" s="1"/>
  <c r="G100" i="7" s="1"/>
  <c r="G99" i="7" s="1"/>
  <c r="G98" i="7" s="1"/>
  <c r="G97" i="7" s="1"/>
  <c r="G96" i="7" s="1"/>
  <c r="G95" i="7" s="1"/>
  <c r="G94" i="7" s="1"/>
  <c r="G93" i="7" s="1"/>
  <c r="G92" i="7" s="1"/>
  <c r="G91" i="7" s="1"/>
  <c r="G90" i="7" s="1"/>
  <c r="G89" i="7" s="1"/>
  <c r="G88" i="7" s="1"/>
  <c r="G87" i="7" s="1"/>
  <c r="G86" i="7" s="1"/>
  <c r="G85" i="7" s="1"/>
  <c r="G84" i="7" s="1"/>
  <c r="G83" i="7" s="1"/>
  <c r="T2" i="7"/>
  <c r="T1" i="7" s="1"/>
  <c r="R2" i="7"/>
  <c r="G2" i="7" s="1"/>
  <c r="B2" i="2" s="1"/>
  <c r="P2" i="7"/>
  <c r="P1" i="7" s="1"/>
  <c r="N2" i="7"/>
  <c r="N1" i="7" s="1"/>
  <c r="L2" i="7"/>
  <c r="J2" i="7"/>
  <c r="AE52" i="6"/>
  <c r="AC52" i="6"/>
  <c r="AA52" i="6"/>
  <c r="Y52" i="6"/>
  <c r="W52" i="6"/>
  <c r="U52" i="6"/>
  <c r="S52" i="6"/>
  <c r="Q52" i="6"/>
  <c r="O52" i="6"/>
  <c r="M52" i="6"/>
  <c r="K52" i="6"/>
  <c r="I52" i="6"/>
  <c r="AE51" i="6"/>
  <c r="AC51" i="6"/>
  <c r="AA51" i="6"/>
  <c r="Y51" i="6"/>
  <c r="W51" i="6"/>
  <c r="U51" i="6"/>
  <c r="S51" i="6"/>
  <c r="Q51" i="6"/>
  <c r="O51" i="6"/>
  <c r="M51" i="6"/>
  <c r="K51" i="6"/>
  <c r="I51" i="6"/>
  <c r="AE50" i="6"/>
  <c r="AC50" i="6"/>
  <c r="AA50" i="6"/>
  <c r="Y50" i="6"/>
  <c r="W50" i="6"/>
  <c r="U50" i="6"/>
  <c r="S50" i="6"/>
  <c r="Q50" i="6"/>
  <c r="O50" i="6"/>
  <c r="M50" i="6"/>
  <c r="K50" i="6"/>
  <c r="I50" i="6"/>
  <c r="AE49" i="6"/>
  <c r="AC49" i="6"/>
  <c r="AA49" i="6"/>
  <c r="Y49" i="6"/>
  <c r="W49" i="6"/>
  <c r="U49" i="6"/>
  <c r="S49" i="6"/>
  <c r="Q49" i="6"/>
  <c r="O49" i="6"/>
  <c r="M49" i="6"/>
  <c r="K49" i="6"/>
  <c r="I49" i="6"/>
  <c r="AE46" i="6"/>
  <c r="AC46" i="6"/>
  <c r="AA46" i="6"/>
  <c r="Y46" i="6"/>
  <c r="W46" i="6"/>
  <c r="U46" i="6"/>
  <c r="S46" i="6"/>
  <c r="Q46" i="6"/>
  <c r="O46" i="6"/>
  <c r="M46" i="6"/>
  <c r="K46" i="6"/>
  <c r="I46" i="6"/>
  <c r="C46" i="6"/>
  <c r="B46" i="6"/>
  <c r="A46" i="6"/>
  <c r="AE45" i="6"/>
  <c r="AC45" i="6"/>
  <c r="AA45" i="6"/>
  <c r="Y45" i="6"/>
  <c r="W45" i="6"/>
  <c r="U45" i="6"/>
  <c r="S45" i="6"/>
  <c r="Q45" i="6"/>
  <c r="O45" i="6"/>
  <c r="M45" i="6"/>
  <c r="K45" i="6"/>
  <c r="I45" i="6"/>
  <c r="C45" i="6"/>
  <c r="B45" i="6"/>
  <c r="A45" i="6"/>
  <c r="AE43" i="6"/>
  <c r="AC43" i="6"/>
  <c r="AD43" i="6" s="1"/>
  <c r="AA43" i="6"/>
  <c r="Y43" i="6"/>
  <c r="Z43" i="6" s="1"/>
  <c r="W43" i="6"/>
  <c r="U43" i="6"/>
  <c r="V43" i="6" s="1"/>
  <c r="S43" i="6"/>
  <c r="Q43" i="6"/>
  <c r="R43" i="6" s="1"/>
  <c r="O43" i="6"/>
  <c r="M43" i="6"/>
  <c r="N43" i="6" s="1"/>
  <c r="K43" i="6"/>
  <c r="I43" i="6"/>
  <c r="J43" i="6" s="1"/>
  <c r="H43" i="6"/>
  <c r="C43" i="6"/>
  <c r="B43" i="6"/>
  <c r="A43" i="6"/>
  <c r="AE42" i="6"/>
  <c r="AC42" i="6"/>
  <c r="AD42" i="6" s="1"/>
  <c r="AA42" i="6"/>
  <c r="Y42" i="6"/>
  <c r="Z42" i="6" s="1"/>
  <c r="W42" i="6"/>
  <c r="U42" i="6"/>
  <c r="V42" i="6" s="1"/>
  <c r="S42" i="6"/>
  <c r="Q42" i="6"/>
  <c r="R42" i="6" s="1"/>
  <c r="O42" i="6"/>
  <c r="M42" i="6"/>
  <c r="N42" i="6" s="1"/>
  <c r="K42" i="6"/>
  <c r="I42" i="6"/>
  <c r="J42" i="6" s="1"/>
  <c r="H42" i="6"/>
  <c r="C42" i="6"/>
  <c r="B42" i="6"/>
  <c r="A42" i="6"/>
  <c r="AE41" i="6"/>
  <c r="AC41" i="6"/>
  <c r="AD41" i="6" s="1"/>
  <c r="AA41" i="6"/>
  <c r="Y41" i="6"/>
  <c r="Z41" i="6" s="1"/>
  <c r="W41" i="6"/>
  <c r="U41" i="6"/>
  <c r="V41" i="6" s="1"/>
  <c r="S41" i="6"/>
  <c r="Q41" i="6"/>
  <c r="R41" i="6" s="1"/>
  <c r="O41" i="6"/>
  <c r="M41" i="6"/>
  <c r="N41" i="6" s="1"/>
  <c r="K41" i="6"/>
  <c r="I41" i="6"/>
  <c r="J41" i="6" s="1"/>
  <c r="H41" i="6"/>
  <c r="C41" i="6"/>
  <c r="B41" i="6"/>
  <c r="A41" i="6"/>
  <c r="AE40" i="6"/>
  <c r="AC40" i="6"/>
  <c r="AD40" i="6" s="1"/>
  <c r="AA40" i="6"/>
  <c r="Y40" i="6"/>
  <c r="Z40" i="6" s="1"/>
  <c r="W40" i="6"/>
  <c r="U40" i="6"/>
  <c r="V40" i="6" s="1"/>
  <c r="S40" i="6"/>
  <c r="Q40" i="6"/>
  <c r="R40" i="6" s="1"/>
  <c r="O40" i="6"/>
  <c r="M40" i="6"/>
  <c r="N40" i="6" s="1"/>
  <c r="K40" i="6"/>
  <c r="I40" i="6"/>
  <c r="J40" i="6" s="1"/>
  <c r="H40" i="6"/>
  <c r="C40" i="6"/>
  <c r="B40" i="6"/>
  <c r="A40" i="6"/>
  <c r="AE39" i="6"/>
  <c r="AC39" i="6"/>
  <c r="AD39" i="6" s="1"/>
  <c r="AA39" i="6"/>
  <c r="Y39" i="6"/>
  <c r="Z39" i="6" s="1"/>
  <c r="W39" i="6"/>
  <c r="U39" i="6"/>
  <c r="V39" i="6" s="1"/>
  <c r="S39" i="6"/>
  <c r="Q39" i="6"/>
  <c r="R39" i="6" s="1"/>
  <c r="O39" i="6"/>
  <c r="M39" i="6"/>
  <c r="N39" i="6" s="1"/>
  <c r="K39" i="6"/>
  <c r="I39" i="6"/>
  <c r="J39" i="6" s="1"/>
  <c r="H39" i="6"/>
  <c r="C39" i="6"/>
  <c r="B39" i="6"/>
  <c r="A39" i="6"/>
  <c r="AE38" i="6"/>
  <c r="AC38" i="6"/>
  <c r="AD38" i="6" s="1"/>
  <c r="AA38" i="6"/>
  <c r="Y38" i="6"/>
  <c r="Z38" i="6" s="1"/>
  <c r="W38" i="6"/>
  <c r="U38" i="6"/>
  <c r="V38" i="6" s="1"/>
  <c r="S38" i="6"/>
  <c r="Q38" i="6"/>
  <c r="R38" i="6" s="1"/>
  <c r="O38" i="6"/>
  <c r="M38" i="6"/>
  <c r="N38" i="6" s="1"/>
  <c r="K38" i="6"/>
  <c r="I38" i="6"/>
  <c r="J38" i="6" s="1"/>
  <c r="H38" i="6"/>
  <c r="C38" i="6"/>
  <c r="B38" i="6"/>
  <c r="A38" i="6"/>
  <c r="AE37" i="6"/>
  <c r="AC37" i="6"/>
  <c r="AD37" i="6" s="1"/>
  <c r="AA37" i="6"/>
  <c r="Y37" i="6"/>
  <c r="Z37" i="6" s="1"/>
  <c r="W37" i="6"/>
  <c r="U37" i="6"/>
  <c r="V37" i="6" s="1"/>
  <c r="S37" i="6"/>
  <c r="Q37" i="6"/>
  <c r="R37" i="6" s="1"/>
  <c r="O37" i="6"/>
  <c r="M37" i="6"/>
  <c r="N37" i="6" s="1"/>
  <c r="K37" i="6"/>
  <c r="I37" i="6"/>
  <c r="J37" i="6" s="1"/>
  <c r="H37" i="6"/>
  <c r="C37" i="6"/>
  <c r="P1" i="8" s="1"/>
  <c r="B37" i="6"/>
  <c r="A37" i="6"/>
  <c r="AE36" i="6"/>
  <c r="AC36" i="6"/>
  <c r="AD36" i="6" s="1"/>
  <c r="AA36" i="6"/>
  <c r="Y36" i="6"/>
  <c r="Z36" i="6" s="1"/>
  <c r="W36" i="6"/>
  <c r="U36" i="6"/>
  <c r="V36" i="6" s="1"/>
  <c r="S36" i="6"/>
  <c r="Q36" i="6"/>
  <c r="R36" i="6" s="1"/>
  <c r="O36" i="6"/>
  <c r="M36" i="6"/>
  <c r="N36" i="6" s="1"/>
  <c r="K36" i="6"/>
  <c r="I36" i="6"/>
  <c r="H36" i="6"/>
  <c r="AF36" i="6" s="1"/>
  <c r="C36" i="6"/>
  <c r="B36" i="6"/>
  <c r="A36" i="6"/>
  <c r="AE35" i="6"/>
  <c r="AC35" i="6"/>
  <c r="AD35" i="6" s="1"/>
  <c r="AA35" i="6"/>
  <c r="Y35" i="6"/>
  <c r="Z35" i="6" s="1"/>
  <c r="W35" i="6"/>
  <c r="U35" i="6"/>
  <c r="V35" i="6" s="1"/>
  <c r="S35" i="6"/>
  <c r="Q35" i="6"/>
  <c r="R35" i="6" s="1"/>
  <c r="O35" i="6"/>
  <c r="M35" i="6"/>
  <c r="N35" i="6" s="1"/>
  <c r="K35" i="6"/>
  <c r="I35" i="6"/>
  <c r="J35" i="6" s="1"/>
  <c r="H35" i="6"/>
  <c r="C35" i="6"/>
  <c r="B35" i="6"/>
  <c r="A35" i="6"/>
  <c r="AE34" i="6"/>
  <c r="AC34" i="6"/>
  <c r="AD34" i="6" s="1"/>
  <c r="AA34" i="6"/>
  <c r="Y34" i="6"/>
  <c r="Z34" i="6" s="1"/>
  <c r="W34" i="6"/>
  <c r="U34" i="6"/>
  <c r="V34" i="6" s="1"/>
  <c r="S34" i="6"/>
  <c r="Q34" i="6"/>
  <c r="O34" i="6"/>
  <c r="M34" i="6"/>
  <c r="N34" i="6" s="1"/>
  <c r="K34" i="6"/>
  <c r="I34" i="6"/>
  <c r="J34" i="6" s="1"/>
  <c r="H34" i="6"/>
  <c r="C34" i="6"/>
  <c r="B34" i="6"/>
  <c r="A34" i="6"/>
  <c r="AE33" i="6"/>
  <c r="AC33" i="6"/>
  <c r="AD33" i="6" s="1"/>
  <c r="AA33" i="6"/>
  <c r="Y33" i="6"/>
  <c r="Z33" i="6" s="1"/>
  <c r="W33" i="6"/>
  <c r="U33" i="6"/>
  <c r="S33" i="6"/>
  <c r="Q33" i="6"/>
  <c r="R33" i="6" s="1"/>
  <c r="O33" i="6"/>
  <c r="M33" i="6"/>
  <c r="N33" i="6" s="1"/>
  <c r="K33" i="6"/>
  <c r="I33" i="6"/>
  <c r="J33" i="6" s="1"/>
  <c r="H33" i="6"/>
  <c r="C33" i="6"/>
  <c r="B33" i="6"/>
  <c r="A33" i="6"/>
  <c r="AE31" i="6"/>
  <c r="AC31" i="6"/>
  <c r="AD31" i="6" s="1"/>
  <c r="AA31" i="6"/>
  <c r="Y31" i="6"/>
  <c r="Z31" i="6" s="1"/>
  <c r="W31" i="6"/>
  <c r="U31" i="6"/>
  <c r="V31" i="6" s="1"/>
  <c r="S31" i="6"/>
  <c r="Q31" i="6"/>
  <c r="R31" i="6" s="1"/>
  <c r="O31" i="6"/>
  <c r="M31" i="6"/>
  <c r="N31" i="6" s="1"/>
  <c r="K31" i="6"/>
  <c r="I31" i="6"/>
  <c r="J31" i="6" s="1"/>
  <c r="H31" i="6"/>
  <c r="C31" i="6"/>
  <c r="B31" i="6"/>
  <c r="A31" i="6"/>
  <c r="AE30" i="6"/>
  <c r="AC30" i="6"/>
  <c r="AD30" i="6" s="1"/>
  <c r="AA30" i="6"/>
  <c r="Y30" i="6"/>
  <c r="Z30" i="6" s="1"/>
  <c r="W30" i="6"/>
  <c r="U30" i="6"/>
  <c r="V30" i="6" s="1"/>
  <c r="S30" i="6"/>
  <c r="Q30" i="6"/>
  <c r="R30" i="6" s="1"/>
  <c r="O30" i="6"/>
  <c r="M30" i="6"/>
  <c r="N30" i="6" s="1"/>
  <c r="K30" i="6"/>
  <c r="I30" i="6"/>
  <c r="J30" i="6" s="1"/>
  <c r="H30" i="6"/>
  <c r="C30" i="6"/>
  <c r="B30" i="6"/>
  <c r="A30" i="6"/>
  <c r="AE29" i="6"/>
  <c r="AC29" i="6"/>
  <c r="AD29" i="6" s="1"/>
  <c r="AA29" i="6"/>
  <c r="Y29" i="6"/>
  <c r="Z29" i="6" s="1"/>
  <c r="W29" i="6"/>
  <c r="U29" i="6"/>
  <c r="V29" i="6" s="1"/>
  <c r="S29" i="6"/>
  <c r="Q29" i="6"/>
  <c r="O29" i="6"/>
  <c r="M29" i="6"/>
  <c r="N29" i="6" s="1"/>
  <c r="K29" i="6"/>
  <c r="I29" i="6"/>
  <c r="J29" i="6" s="1"/>
  <c r="H29" i="6"/>
  <c r="AF29" i="6" s="1"/>
  <c r="C29" i="6"/>
  <c r="B29" i="6"/>
  <c r="A29" i="6"/>
  <c r="AE28" i="6"/>
  <c r="AC28" i="6"/>
  <c r="AD28" i="6" s="1"/>
  <c r="AA28" i="6"/>
  <c r="Y28" i="6"/>
  <c r="Z28" i="6" s="1"/>
  <c r="W28" i="6"/>
  <c r="U28" i="6"/>
  <c r="V28" i="6" s="1"/>
  <c r="S28" i="6"/>
  <c r="Q28" i="6"/>
  <c r="R28" i="6" s="1"/>
  <c r="O28" i="6"/>
  <c r="M28" i="6"/>
  <c r="N28" i="6" s="1"/>
  <c r="K28" i="6"/>
  <c r="I28" i="6"/>
  <c r="J28" i="6" s="1"/>
  <c r="H28" i="6"/>
  <c r="C28" i="6"/>
  <c r="B28" i="6"/>
  <c r="A28" i="6"/>
  <c r="AE27" i="6"/>
  <c r="AC27" i="6"/>
  <c r="AD27" i="6" s="1"/>
  <c r="AA27" i="6"/>
  <c r="Y27" i="6"/>
  <c r="Z27" i="6" s="1"/>
  <c r="W27" i="6"/>
  <c r="U27" i="6"/>
  <c r="V27" i="6" s="1"/>
  <c r="S27" i="6"/>
  <c r="Q27" i="6"/>
  <c r="R27" i="6" s="1"/>
  <c r="O27" i="6"/>
  <c r="M27" i="6"/>
  <c r="N27" i="6" s="1"/>
  <c r="K27" i="6"/>
  <c r="I27" i="6"/>
  <c r="J27" i="6" s="1"/>
  <c r="H27" i="6"/>
  <c r="C27" i="6"/>
  <c r="B27" i="6"/>
  <c r="A27" i="6"/>
  <c r="AE26" i="6"/>
  <c r="AC26" i="6"/>
  <c r="AD26" i="6" s="1"/>
  <c r="AA26" i="6"/>
  <c r="Y26" i="6"/>
  <c r="Z26" i="6" s="1"/>
  <c r="W26" i="6"/>
  <c r="U26" i="6"/>
  <c r="V26" i="6" s="1"/>
  <c r="S26" i="6"/>
  <c r="Q26" i="6"/>
  <c r="R26" i="6" s="1"/>
  <c r="O26" i="6"/>
  <c r="M26" i="6"/>
  <c r="N26" i="6" s="1"/>
  <c r="K26" i="6"/>
  <c r="I26" i="6"/>
  <c r="J26" i="6" s="1"/>
  <c r="H26" i="6"/>
  <c r="AF26" i="6" s="1"/>
  <c r="C26" i="6"/>
  <c r="B26" i="6"/>
  <c r="A26" i="6"/>
  <c r="AE25" i="6"/>
  <c r="AC25" i="6"/>
  <c r="AD25" i="6" s="1"/>
  <c r="AA25" i="6"/>
  <c r="Y25" i="6"/>
  <c r="Z25" i="6" s="1"/>
  <c r="W25" i="6"/>
  <c r="U25" i="6"/>
  <c r="V25" i="6" s="1"/>
  <c r="S25" i="6"/>
  <c r="Q25" i="6"/>
  <c r="R25" i="6" s="1"/>
  <c r="O25" i="6"/>
  <c r="M25" i="6"/>
  <c r="N25" i="6" s="1"/>
  <c r="K25" i="6"/>
  <c r="I25" i="6"/>
  <c r="J25" i="6" s="1"/>
  <c r="H25" i="6"/>
  <c r="C25" i="6"/>
  <c r="B25" i="6"/>
  <c r="A25" i="6"/>
  <c r="AE24" i="6"/>
  <c r="AC24" i="6"/>
  <c r="AD24" i="6" s="1"/>
  <c r="AA24" i="6"/>
  <c r="Y24" i="6"/>
  <c r="Z24" i="6" s="1"/>
  <c r="W24" i="6"/>
  <c r="U24" i="6"/>
  <c r="V24" i="6" s="1"/>
  <c r="S24" i="6"/>
  <c r="Q24" i="6"/>
  <c r="R24" i="6" s="1"/>
  <c r="O24" i="6"/>
  <c r="M24" i="6"/>
  <c r="N24" i="6" s="1"/>
  <c r="K24" i="6"/>
  <c r="I24" i="6"/>
  <c r="J24" i="6" s="1"/>
  <c r="H24" i="6"/>
  <c r="C24" i="6"/>
  <c r="B24" i="6"/>
  <c r="A24" i="6"/>
  <c r="AE23" i="6"/>
  <c r="AC23" i="6"/>
  <c r="AD23" i="6" s="1"/>
  <c r="AA23" i="6"/>
  <c r="Y23" i="6"/>
  <c r="Z23" i="6" s="1"/>
  <c r="W23" i="6"/>
  <c r="U23" i="6"/>
  <c r="V23" i="6" s="1"/>
  <c r="S23" i="6"/>
  <c r="Q23" i="6"/>
  <c r="R23" i="6" s="1"/>
  <c r="O23" i="6"/>
  <c r="M23" i="6"/>
  <c r="N23" i="6" s="1"/>
  <c r="K23" i="6"/>
  <c r="I23" i="6"/>
  <c r="J23" i="6" s="1"/>
  <c r="H23" i="6"/>
  <c r="AF23" i="6" s="1"/>
  <c r="C23" i="6"/>
  <c r="B23" i="6"/>
  <c r="A23" i="6"/>
  <c r="AE22" i="6"/>
  <c r="AC22" i="6"/>
  <c r="AD22" i="6" s="1"/>
  <c r="AA22" i="6"/>
  <c r="Y22" i="6"/>
  <c r="Z22" i="6" s="1"/>
  <c r="W22" i="6"/>
  <c r="U22" i="6"/>
  <c r="V22" i="6" s="1"/>
  <c r="S22" i="6"/>
  <c r="Q22" i="6"/>
  <c r="R22" i="6" s="1"/>
  <c r="O22" i="6"/>
  <c r="M22" i="6"/>
  <c r="N22" i="6" s="1"/>
  <c r="K22" i="6"/>
  <c r="I22" i="6"/>
  <c r="J22" i="6" s="1"/>
  <c r="H22" i="6"/>
  <c r="AF22" i="6" s="1"/>
  <c r="C22" i="6"/>
  <c r="B22" i="6"/>
  <c r="A22" i="6"/>
  <c r="AE21" i="6"/>
  <c r="AC21" i="6"/>
  <c r="AD21" i="6" s="1"/>
  <c r="AA21" i="6"/>
  <c r="Y21" i="6"/>
  <c r="Z21" i="6" s="1"/>
  <c r="W21" i="6"/>
  <c r="U21" i="6"/>
  <c r="V21" i="6" s="1"/>
  <c r="S21" i="6"/>
  <c r="Q21" i="6"/>
  <c r="R21" i="6" s="1"/>
  <c r="O21" i="6"/>
  <c r="M21" i="6"/>
  <c r="N21" i="6" s="1"/>
  <c r="K21" i="6"/>
  <c r="I21" i="6"/>
  <c r="J21" i="6" s="1"/>
  <c r="H21" i="6"/>
  <c r="C21" i="6"/>
  <c r="B21" i="6"/>
  <c r="A21" i="6"/>
  <c r="AE20" i="6"/>
  <c r="AC20" i="6"/>
  <c r="AD20" i="6" s="1"/>
  <c r="AA20" i="6"/>
  <c r="Y20" i="6"/>
  <c r="Z20" i="6" s="1"/>
  <c r="W20" i="6"/>
  <c r="U20" i="6"/>
  <c r="V20" i="6" s="1"/>
  <c r="S20" i="6"/>
  <c r="Q20" i="6"/>
  <c r="R20" i="6" s="1"/>
  <c r="O20" i="6"/>
  <c r="M20" i="6"/>
  <c r="N20" i="6" s="1"/>
  <c r="K20" i="6"/>
  <c r="I20" i="6"/>
  <c r="J20" i="6" s="1"/>
  <c r="H20" i="6"/>
  <c r="AF20" i="6" s="1"/>
  <c r="C20" i="6"/>
  <c r="B20" i="6"/>
  <c r="A20" i="6"/>
  <c r="AE19" i="6"/>
  <c r="AC19" i="6"/>
  <c r="AD19" i="6" s="1"/>
  <c r="AA19" i="6"/>
  <c r="Y19" i="6"/>
  <c r="Z19" i="6" s="1"/>
  <c r="W19" i="6"/>
  <c r="U19" i="6"/>
  <c r="V19" i="6" s="1"/>
  <c r="S19" i="6"/>
  <c r="Q19" i="6"/>
  <c r="R19" i="6" s="1"/>
  <c r="O19" i="6"/>
  <c r="M19" i="6"/>
  <c r="N19" i="6" s="1"/>
  <c r="K19" i="6"/>
  <c r="I19" i="6"/>
  <c r="J19" i="6" s="1"/>
  <c r="H19" i="6"/>
  <c r="C19" i="6"/>
  <c r="B19" i="6"/>
  <c r="A19" i="6"/>
  <c r="AE18" i="6"/>
  <c r="AC18" i="6"/>
  <c r="AD18" i="6" s="1"/>
  <c r="AA18" i="6"/>
  <c r="Y18" i="6"/>
  <c r="Z18" i="6" s="1"/>
  <c r="W18" i="6"/>
  <c r="U18" i="6"/>
  <c r="V18" i="6" s="1"/>
  <c r="S18" i="6"/>
  <c r="Q18" i="6"/>
  <c r="R18" i="6" s="1"/>
  <c r="O18" i="6"/>
  <c r="M18" i="6"/>
  <c r="N18" i="6" s="1"/>
  <c r="K18" i="6"/>
  <c r="I18" i="6"/>
  <c r="J18" i="6" s="1"/>
  <c r="H18" i="6"/>
  <c r="C18" i="6"/>
  <c r="B18" i="6"/>
  <c r="A18" i="6"/>
  <c r="AE17" i="6"/>
  <c r="AC17" i="6"/>
  <c r="AD17" i="6" s="1"/>
  <c r="AA17" i="6"/>
  <c r="Y17" i="6"/>
  <c r="Z17" i="6" s="1"/>
  <c r="W17" i="6"/>
  <c r="U17" i="6"/>
  <c r="V17" i="6" s="1"/>
  <c r="S17" i="6"/>
  <c r="Q17" i="6"/>
  <c r="R17" i="6" s="1"/>
  <c r="O17" i="6"/>
  <c r="M17" i="6"/>
  <c r="N17" i="6" s="1"/>
  <c r="K17" i="6"/>
  <c r="I17" i="6"/>
  <c r="J17" i="6" s="1"/>
  <c r="H17" i="6"/>
  <c r="C17" i="6"/>
  <c r="B17" i="6"/>
  <c r="A17" i="6"/>
  <c r="AE16" i="6"/>
  <c r="AC16" i="6"/>
  <c r="AD16" i="6" s="1"/>
  <c r="AA16" i="6"/>
  <c r="Y16" i="6"/>
  <c r="Z16" i="6" s="1"/>
  <c r="W16" i="6"/>
  <c r="U16" i="6"/>
  <c r="V16" i="6" s="1"/>
  <c r="S16" i="6"/>
  <c r="Q16" i="6"/>
  <c r="R16" i="6" s="1"/>
  <c r="O16" i="6"/>
  <c r="M16" i="6"/>
  <c r="N16" i="6" s="1"/>
  <c r="K16" i="6"/>
  <c r="I16" i="6"/>
  <c r="J16" i="6" s="1"/>
  <c r="H16" i="6"/>
  <c r="C16" i="6"/>
  <c r="B16" i="6"/>
  <c r="A16" i="6"/>
  <c r="AE15" i="6"/>
  <c r="AC15" i="6"/>
  <c r="AD15" i="6" s="1"/>
  <c r="AA15" i="6"/>
  <c r="Y15" i="6"/>
  <c r="Z15" i="6" s="1"/>
  <c r="W15" i="6"/>
  <c r="U15" i="6"/>
  <c r="V15" i="6" s="1"/>
  <c r="S15" i="6"/>
  <c r="Q15" i="6"/>
  <c r="R15" i="6" s="1"/>
  <c r="O15" i="6"/>
  <c r="M15" i="6"/>
  <c r="N15" i="6" s="1"/>
  <c r="K15" i="6"/>
  <c r="I15" i="6"/>
  <c r="J15" i="6" s="1"/>
  <c r="H15" i="6"/>
  <c r="AF15" i="6" s="1"/>
  <c r="C15" i="6"/>
  <c r="B15" i="6"/>
  <c r="A15" i="6"/>
  <c r="AE14" i="6"/>
  <c r="AC14" i="6"/>
  <c r="AD14" i="6" s="1"/>
  <c r="AA14" i="6"/>
  <c r="Y14" i="6"/>
  <c r="Z14" i="6" s="1"/>
  <c r="W14" i="6"/>
  <c r="U14" i="6"/>
  <c r="V14" i="6" s="1"/>
  <c r="S14" i="6"/>
  <c r="Q14" i="6"/>
  <c r="R14" i="6" s="1"/>
  <c r="O14" i="6"/>
  <c r="M14" i="6"/>
  <c r="N14" i="6" s="1"/>
  <c r="K14" i="6"/>
  <c r="I14" i="6"/>
  <c r="J14" i="6" s="1"/>
  <c r="H14" i="6"/>
  <c r="AF14" i="6" s="1"/>
  <c r="C14" i="6"/>
  <c r="B14" i="6"/>
  <c r="A14" i="6"/>
  <c r="AE12" i="6"/>
  <c r="AC12" i="6"/>
  <c r="AD12" i="6" s="1"/>
  <c r="AA12" i="6"/>
  <c r="Y12" i="6"/>
  <c r="Z12" i="6" s="1"/>
  <c r="W12" i="6"/>
  <c r="U12" i="6"/>
  <c r="V12" i="6" s="1"/>
  <c r="S12" i="6"/>
  <c r="Q12" i="6"/>
  <c r="R12" i="6" s="1"/>
  <c r="O12" i="6"/>
  <c r="M12" i="6"/>
  <c r="N12" i="6" s="1"/>
  <c r="K12" i="6"/>
  <c r="I12" i="6"/>
  <c r="J12" i="6" s="1"/>
  <c r="H12" i="6"/>
  <c r="C12" i="6"/>
  <c r="B12" i="6"/>
  <c r="A12" i="6"/>
  <c r="AE11" i="6"/>
  <c r="AC11" i="6"/>
  <c r="AD11" i="6" s="1"/>
  <c r="AA11" i="6"/>
  <c r="Y11" i="6"/>
  <c r="Z11" i="6" s="1"/>
  <c r="W11" i="6"/>
  <c r="U11" i="6"/>
  <c r="V11" i="6" s="1"/>
  <c r="S11" i="6"/>
  <c r="Q11" i="6"/>
  <c r="R11" i="6" s="1"/>
  <c r="O11" i="6"/>
  <c r="M11" i="6"/>
  <c r="N11" i="6" s="1"/>
  <c r="K11" i="6"/>
  <c r="I11" i="6"/>
  <c r="J11" i="6" s="1"/>
  <c r="H11" i="6"/>
  <c r="C11" i="6"/>
  <c r="B11" i="6"/>
  <c r="A11" i="6"/>
  <c r="AE10" i="6"/>
  <c r="AC10" i="6"/>
  <c r="AD10" i="6" s="1"/>
  <c r="AA10" i="6"/>
  <c r="Y10" i="6"/>
  <c r="Z10" i="6" s="1"/>
  <c r="W10" i="6"/>
  <c r="U10" i="6"/>
  <c r="V10" i="6" s="1"/>
  <c r="S10" i="6"/>
  <c r="Q10" i="6"/>
  <c r="R10" i="6" s="1"/>
  <c r="O10" i="6"/>
  <c r="M10" i="6"/>
  <c r="N10" i="6" s="1"/>
  <c r="K10" i="6"/>
  <c r="I10" i="6"/>
  <c r="J10" i="6" s="1"/>
  <c r="H10" i="6"/>
  <c r="C10" i="6"/>
  <c r="B10" i="6"/>
  <c r="A10" i="6"/>
  <c r="AE9" i="6"/>
  <c r="AC9" i="6"/>
  <c r="AD9" i="6" s="1"/>
  <c r="AA9" i="6"/>
  <c r="Y9" i="6"/>
  <c r="Z9" i="6" s="1"/>
  <c r="W9" i="6"/>
  <c r="U9" i="6"/>
  <c r="V9" i="6" s="1"/>
  <c r="S9" i="6"/>
  <c r="Q9" i="6"/>
  <c r="R9" i="6" s="1"/>
  <c r="O9" i="6"/>
  <c r="M9" i="6"/>
  <c r="N9" i="6" s="1"/>
  <c r="K9" i="6"/>
  <c r="I9" i="6"/>
  <c r="J9" i="6" s="1"/>
  <c r="H9" i="6"/>
  <c r="C9" i="6"/>
  <c r="B9" i="6"/>
  <c r="A9" i="6"/>
  <c r="AE8" i="6"/>
  <c r="AC8" i="6"/>
  <c r="AD8" i="6" s="1"/>
  <c r="AA8" i="6"/>
  <c r="Y8" i="6"/>
  <c r="Z8" i="6" s="1"/>
  <c r="W8" i="6"/>
  <c r="U8" i="6"/>
  <c r="V8" i="6" s="1"/>
  <c r="S8" i="6"/>
  <c r="Q8" i="6"/>
  <c r="R8" i="6" s="1"/>
  <c r="O8" i="6"/>
  <c r="M8" i="6"/>
  <c r="N8" i="6" s="1"/>
  <c r="K8" i="6"/>
  <c r="I8" i="6"/>
  <c r="J8" i="6" s="1"/>
  <c r="H8" i="6"/>
  <c r="C8" i="6"/>
  <c r="B8" i="6"/>
  <c r="A8" i="6"/>
  <c r="AE7" i="6"/>
  <c r="AC7" i="6"/>
  <c r="AD7" i="6" s="1"/>
  <c r="AA7" i="6"/>
  <c r="Y7" i="6"/>
  <c r="Z7" i="6" s="1"/>
  <c r="W7" i="6"/>
  <c r="U7" i="6"/>
  <c r="V7" i="6" s="1"/>
  <c r="S7" i="6"/>
  <c r="Q7" i="6"/>
  <c r="R7" i="6" s="1"/>
  <c r="O7" i="6"/>
  <c r="M7" i="6"/>
  <c r="N7" i="6" s="1"/>
  <c r="K7" i="6"/>
  <c r="I7" i="6"/>
  <c r="J7" i="6" s="1"/>
  <c r="H7" i="6"/>
  <c r="AF7" i="6" s="1"/>
  <c r="C7" i="6"/>
  <c r="B7" i="6"/>
  <c r="A7" i="6"/>
  <c r="AE6" i="6"/>
  <c r="AC6" i="6"/>
  <c r="AD6" i="6" s="1"/>
  <c r="AA6" i="6"/>
  <c r="Y6" i="6"/>
  <c r="Z6" i="6" s="1"/>
  <c r="W6" i="6"/>
  <c r="U6" i="6"/>
  <c r="V6" i="6" s="1"/>
  <c r="S6" i="6"/>
  <c r="Q6" i="6"/>
  <c r="R6" i="6" s="1"/>
  <c r="O6" i="6"/>
  <c r="M6" i="6"/>
  <c r="N6" i="6" s="1"/>
  <c r="K6" i="6"/>
  <c r="I6" i="6"/>
  <c r="J6" i="6" s="1"/>
  <c r="H6" i="6"/>
  <c r="C6" i="6"/>
  <c r="B6" i="6"/>
  <c r="A6" i="6"/>
  <c r="AE5" i="6"/>
  <c r="AC5" i="6"/>
  <c r="AD5" i="6" s="1"/>
  <c r="AA5" i="6"/>
  <c r="Y5" i="6"/>
  <c r="Z5" i="6" s="1"/>
  <c r="W5" i="6"/>
  <c r="U5" i="6"/>
  <c r="V5" i="6" s="1"/>
  <c r="S5" i="6"/>
  <c r="Q5" i="6"/>
  <c r="R5" i="6" s="1"/>
  <c r="O5" i="6"/>
  <c r="M5" i="6"/>
  <c r="N5" i="6" s="1"/>
  <c r="K5" i="6"/>
  <c r="I5" i="6"/>
  <c r="J5" i="6" s="1"/>
  <c r="H5" i="6"/>
  <c r="AF5" i="6" s="1"/>
  <c r="C5" i="6"/>
  <c r="B5" i="6"/>
  <c r="A5" i="6"/>
  <c r="O31" i="5"/>
  <c r="J31" i="5"/>
  <c r="E31" i="5"/>
  <c r="O30" i="5"/>
  <c r="J30" i="5"/>
  <c r="E30" i="5"/>
  <c r="O29" i="5"/>
  <c r="J29" i="5"/>
  <c r="E29" i="5"/>
  <c r="O28" i="5"/>
  <c r="J28" i="5"/>
  <c r="E28" i="5"/>
  <c r="O27" i="5"/>
  <c r="J27" i="5"/>
  <c r="E27" i="5"/>
  <c r="O26" i="5"/>
  <c r="J26" i="5"/>
  <c r="E26" i="5"/>
  <c r="O25" i="5"/>
  <c r="J25" i="5"/>
  <c r="E25" i="5"/>
  <c r="O24" i="5"/>
  <c r="J24" i="5"/>
  <c r="E24" i="5"/>
  <c r="O23" i="5"/>
  <c r="J23" i="5"/>
  <c r="E23" i="5"/>
  <c r="O22" i="5"/>
  <c r="J22" i="5"/>
  <c r="E22" i="5"/>
  <c r="O21" i="5"/>
  <c r="J21" i="5"/>
  <c r="E21" i="5"/>
  <c r="O20" i="5"/>
  <c r="O34" i="5" s="1"/>
  <c r="J20" i="5"/>
  <c r="E20" i="5"/>
  <c r="J13" i="5"/>
  <c r="J12" i="5"/>
  <c r="J11" i="5"/>
  <c r="J10" i="5"/>
  <c r="J9" i="5"/>
  <c r="J8" i="5"/>
  <c r="J7" i="5"/>
  <c r="J6" i="5"/>
  <c r="J5" i="5"/>
  <c r="J4" i="5"/>
  <c r="J3" i="5"/>
  <c r="J2" i="5"/>
  <c r="J66" i="4"/>
  <c r="K66" i="4" s="1"/>
  <c r="L65" i="4"/>
  <c r="J16" i="4" s="1"/>
  <c r="M64" i="4"/>
  <c r="L64" i="4"/>
  <c r="L63" i="4"/>
  <c r="M63" i="4" s="1"/>
  <c r="M62" i="4"/>
  <c r="L62" i="4"/>
  <c r="L61" i="4"/>
  <c r="M61" i="4" s="1"/>
  <c r="J56" i="4"/>
  <c r="J57" i="4" s="1"/>
  <c r="J68" i="4" s="1"/>
  <c r="L55" i="4"/>
  <c r="M55" i="4" s="1"/>
  <c r="M54" i="4"/>
  <c r="L54" i="4"/>
  <c r="K54" i="4"/>
  <c r="L53" i="4"/>
  <c r="J5" i="4" s="1"/>
  <c r="J51" i="4"/>
  <c r="K65" i="4" s="1"/>
  <c r="L49" i="4"/>
  <c r="M49" i="4" s="1"/>
  <c r="J49" i="4"/>
  <c r="K53" i="4" s="1"/>
  <c r="G45" i="4"/>
  <c r="F45" i="4"/>
  <c r="D45" i="4"/>
  <c r="H45" i="6" s="1"/>
  <c r="G43" i="4"/>
  <c r="F43" i="4"/>
  <c r="H23" i="3" s="1"/>
  <c r="F42" i="4"/>
  <c r="G42" i="4" s="1"/>
  <c r="J41" i="4"/>
  <c r="L41" i="4" s="1"/>
  <c r="F41" i="4"/>
  <c r="H21" i="3" s="1"/>
  <c r="F40" i="4"/>
  <c r="G40" i="4" s="1"/>
  <c r="F39" i="4"/>
  <c r="G39" i="4" s="1"/>
  <c r="M38" i="4"/>
  <c r="L38" i="4"/>
  <c r="F38" i="4"/>
  <c r="G38" i="4" s="1"/>
  <c r="M37" i="4"/>
  <c r="L37" i="4"/>
  <c r="F37" i="4"/>
  <c r="G37" i="4" s="1"/>
  <c r="G36" i="4"/>
  <c r="F36" i="4"/>
  <c r="F35" i="4"/>
  <c r="G35" i="4" s="1"/>
  <c r="G34" i="4"/>
  <c r="F34" i="4"/>
  <c r="G33" i="4"/>
  <c r="F33" i="4"/>
  <c r="M31" i="4"/>
  <c r="L31" i="4"/>
  <c r="K31" i="4"/>
  <c r="F31" i="4"/>
  <c r="G31" i="4" s="1"/>
  <c r="G30" i="4"/>
  <c r="F30" i="4"/>
  <c r="L29" i="4"/>
  <c r="M29" i="4" s="1"/>
  <c r="J29" i="4"/>
  <c r="J32" i="4" s="1"/>
  <c r="G29" i="4"/>
  <c r="F29" i="4"/>
  <c r="F28" i="4"/>
  <c r="G28" i="4" s="1"/>
  <c r="G27" i="4"/>
  <c r="F27" i="4"/>
  <c r="F26" i="4"/>
  <c r="G26" i="4" s="1"/>
  <c r="G25" i="4"/>
  <c r="F25" i="4"/>
  <c r="G24" i="4"/>
  <c r="F24" i="4"/>
  <c r="F23" i="4"/>
  <c r="G23" i="4" s="1"/>
  <c r="L22" i="4"/>
  <c r="M22" i="4" s="1"/>
  <c r="N22" i="4" s="1"/>
  <c r="F22" i="4"/>
  <c r="N16" i="3" s="1"/>
  <c r="L21" i="4"/>
  <c r="F21" i="4"/>
  <c r="N18" i="3" s="1"/>
  <c r="G20" i="4"/>
  <c r="F20" i="4"/>
  <c r="F19" i="4"/>
  <c r="G19" i="4" s="1"/>
  <c r="G18" i="4"/>
  <c r="F18" i="4"/>
  <c r="G17" i="4"/>
  <c r="F17" i="4"/>
  <c r="G16" i="4"/>
  <c r="F16" i="4"/>
  <c r="G15" i="4"/>
  <c r="F15" i="4"/>
  <c r="N17" i="3" s="1"/>
  <c r="G14" i="4"/>
  <c r="F14" i="4"/>
  <c r="J12" i="4"/>
  <c r="F12" i="4"/>
  <c r="N6" i="3" s="1"/>
  <c r="L11" i="4"/>
  <c r="J11" i="4"/>
  <c r="F11" i="4"/>
  <c r="G11" i="4" s="1"/>
  <c r="G10" i="4"/>
  <c r="F10" i="4"/>
  <c r="F9" i="4"/>
  <c r="G9" i="4" s="1"/>
  <c r="G8" i="4"/>
  <c r="F8" i="4"/>
  <c r="G7" i="4"/>
  <c r="F7" i="4"/>
  <c r="G6" i="4"/>
  <c r="F6" i="4"/>
  <c r="N4" i="3" s="1"/>
  <c r="G5" i="4"/>
  <c r="F5" i="4"/>
  <c r="J3" i="4"/>
  <c r="L3" i="4" s="1"/>
  <c r="H24" i="3"/>
  <c r="G24" i="3"/>
  <c r="G23" i="3"/>
  <c r="G22" i="3"/>
  <c r="G21" i="3"/>
  <c r="H20" i="3"/>
  <c r="G20" i="3"/>
  <c r="N19" i="3"/>
  <c r="M19" i="3"/>
  <c r="G19" i="3"/>
  <c r="M18" i="3"/>
  <c r="H18" i="3"/>
  <c r="G18" i="3"/>
  <c r="M17" i="3"/>
  <c r="H17" i="3"/>
  <c r="G17" i="3"/>
  <c r="M16" i="3"/>
  <c r="H16" i="3"/>
  <c r="G16" i="3"/>
  <c r="M15" i="3"/>
  <c r="H15" i="3"/>
  <c r="G15" i="3"/>
  <c r="N14" i="3"/>
  <c r="M14" i="3"/>
  <c r="H14" i="3"/>
  <c r="G14" i="3"/>
  <c r="M13" i="3"/>
  <c r="H13" i="3"/>
  <c r="G13" i="3"/>
  <c r="N12" i="3"/>
  <c r="M12" i="3"/>
  <c r="H12" i="3"/>
  <c r="G12" i="3"/>
  <c r="N11" i="3"/>
  <c r="M11" i="3"/>
  <c r="H11" i="3"/>
  <c r="G11" i="3"/>
  <c r="N10" i="3"/>
  <c r="M10" i="3"/>
  <c r="H10" i="3"/>
  <c r="G10" i="3"/>
  <c r="N9" i="3"/>
  <c r="M9" i="3"/>
  <c r="G9" i="3"/>
  <c r="M8" i="3"/>
  <c r="H8" i="3"/>
  <c r="G8" i="3"/>
  <c r="M7" i="3"/>
  <c r="H7" i="3"/>
  <c r="G7" i="3"/>
  <c r="B7" i="3"/>
  <c r="M6" i="3"/>
  <c r="H6" i="3"/>
  <c r="G6" i="3"/>
  <c r="B6" i="3"/>
  <c r="T5" i="3"/>
  <c r="S5" i="3"/>
  <c r="M5" i="3"/>
  <c r="H5" i="3"/>
  <c r="G5" i="3"/>
  <c r="S4" i="3"/>
  <c r="M4" i="3"/>
  <c r="H4" i="3"/>
  <c r="G4" i="3"/>
  <c r="B38" i="2"/>
  <c r="F31" i="2" s="1"/>
  <c r="O32" i="2"/>
  <c r="O39" i="2" s="1"/>
  <c r="O31" i="2"/>
  <c r="B31" i="2"/>
  <c r="O29" i="2"/>
  <c r="O28" i="2"/>
  <c r="O25" i="2"/>
  <c r="C25" i="2"/>
  <c r="O24" i="2"/>
  <c r="C24" i="2"/>
  <c r="F28" i="2"/>
  <c r="C23" i="2"/>
  <c r="F27" i="2"/>
  <c r="O21" i="2"/>
  <c r="F26" i="2"/>
  <c r="B19" i="2"/>
  <c r="K17" i="2"/>
  <c r="K16" i="2"/>
  <c r="K15" i="2"/>
  <c r="O14" i="2"/>
  <c r="O15" i="2" s="1"/>
  <c r="O7" i="2"/>
  <c r="K6" i="2"/>
  <c r="C6" i="2"/>
  <c r="K5" i="2"/>
  <c r="C5" i="2"/>
  <c r="O4" i="2"/>
  <c r="C4" i="2"/>
  <c r="L3" i="2"/>
  <c r="C3" i="2"/>
  <c r="O2" i="2"/>
  <c r="O8" i="2" s="1"/>
  <c r="C2" i="2"/>
  <c r="N787" i="10" l="1"/>
  <c r="N786" i="10"/>
  <c r="N784" i="10"/>
  <c r="N783" i="10"/>
  <c r="N782" i="10"/>
  <c r="N785" i="10"/>
  <c r="N346" i="10"/>
  <c r="N345" i="10"/>
  <c r="N344" i="10"/>
  <c r="N343" i="10"/>
  <c r="N342" i="10"/>
  <c r="N341" i="10"/>
  <c r="N340" i="10"/>
  <c r="N339" i="10"/>
  <c r="N338" i="10"/>
  <c r="N337" i="10"/>
  <c r="N336" i="10"/>
  <c r="N335" i="10"/>
  <c r="N334" i="10"/>
  <c r="N333" i="10"/>
  <c r="N332" i="10"/>
  <c r="N331" i="10"/>
  <c r="N330" i="10"/>
  <c r="N329" i="10"/>
  <c r="N328" i="10"/>
  <c r="N327" i="10"/>
  <c r="N326" i="10"/>
  <c r="N325" i="10"/>
  <c r="N324" i="10"/>
  <c r="N323" i="10"/>
  <c r="N322" i="10"/>
  <c r="N321" i="10"/>
  <c r="N320" i="10"/>
  <c r="N319" i="10"/>
  <c r="N318" i="10"/>
  <c r="N317" i="10"/>
  <c r="N316" i="10"/>
  <c r="N315" i="10"/>
  <c r="N314" i="10"/>
  <c r="N313" i="10"/>
  <c r="N312" i="10"/>
  <c r="N311" i="10"/>
  <c r="N310" i="10"/>
  <c r="N309" i="10"/>
  <c r="N308" i="10"/>
  <c r="N307" i="10"/>
  <c r="N306" i="10"/>
  <c r="N305" i="10"/>
  <c r="N304" i="10"/>
  <c r="N303" i="10"/>
  <c r="N302" i="10"/>
  <c r="N301" i="10"/>
  <c r="N300" i="10"/>
  <c r="AF8" i="6"/>
  <c r="F21" i="5"/>
  <c r="H21" i="5" s="1"/>
  <c r="F9" i="5"/>
  <c r="L2" i="2"/>
  <c r="O30" i="2"/>
  <c r="O38" i="2" s="1"/>
  <c r="F30" i="2"/>
  <c r="Q2" i="8"/>
  <c r="A3" i="8"/>
  <c r="B6" i="2" s="1"/>
  <c r="K7" i="2" s="1"/>
  <c r="K8" i="2" s="1"/>
  <c r="G82" i="7"/>
  <c r="G81" i="7" s="1"/>
  <c r="G80" i="7" s="1"/>
  <c r="G79" i="7" s="1"/>
  <c r="G78" i="7" s="1"/>
  <c r="G77" i="7" s="1"/>
  <c r="G76" i="7" s="1"/>
  <c r="G75" i="7" s="1"/>
  <c r="G74" i="7" s="1"/>
  <c r="G73" i="7" s="1"/>
  <c r="G72" i="7" s="1"/>
  <c r="G71" i="7" s="1"/>
  <c r="G70" i="7" s="1"/>
  <c r="G69" i="7" s="1"/>
  <c r="G68" i="7" s="1"/>
  <c r="G67" i="7" s="1"/>
  <c r="G66" i="7" s="1"/>
  <c r="G65" i="7" s="1"/>
  <c r="G64" i="7" s="1"/>
  <c r="G63" i="7" s="1"/>
  <c r="G62" i="7" s="1"/>
  <c r="G61" i="7" s="1"/>
  <c r="G60" i="7" s="1"/>
  <c r="G59" i="7" s="1"/>
  <c r="G58" i="7" s="1"/>
  <c r="G57" i="7" s="1"/>
  <c r="G56" i="7" s="1"/>
  <c r="G55" i="7" s="1"/>
  <c r="F23" i="5"/>
  <c r="AF40" i="6"/>
  <c r="K54" i="6"/>
  <c r="F4" i="5"/>
  <c r="F2" i="5"/>
  <c r="F5" i="5"/>
  <c r="S54" i="6"/>
  <c r="F6" i="5"/>
  <c r="F8" i="5"/>
  <c r="P5" i="5"/>
  <c r="P9" i="5"/>
  <c r="P13" i="5"/>
  <c r="AF27" i="6"/>
  <c r="F31" i="5"/>
  <c r="P8" i="5"/>
  <c r="AF11" i="6"/>
  <c r="AA54" i="6"/>
  <c r="F3" i="5"/>
  <c r="AF16" i="6"/>
  <c r="AF17" i="6"/>
  <c r="AF18" i="6"/>
  <c r="AF10" i="6"/>
  <c r="AF12" i="6"/>
  <c r="F10" i="5"/>
  <c r="P2" i="5"/>
  <c r="P6" i="5"/>
  <c r="P10" i="5"/>
  <c r="F11" i="5"/>
  <c r="P4" i="5"/>
  <c r="P12" i="5"/>
  <c r="F7" i="5"/>
  <c r="P25" i="5"/>
  <c r="Q25" i="5" s="1"/>
  <c r="F12" i="5"/>
  <c r="F13" i="5"/>
  <c r="P30" i="5"/>
  <c r="Q30" i="5" s="1"/>
  <c r="Q3" i="6"/>
  <c r="E38" i="6"/>
  <c r="D38" i="6" s="1"/>
  <c r="AC54" i="6"/>
  <c r="P29" i="5"/>
  <c r="Q29" i="5" s="1"/>
  <c r="P3" i="5"/>
  <c r="P7" i="5"/>
  <c r="P11" i="5"/>
  <c r="AF24" i="6"/>
  <c r="AF43" i="6"/>
  <c r="G3" i="7"/>
  <c r="AF9" i="6"/>
  <c r="AF21" i="6"/>
  <c r="E42" i="6"/>
  <c r="D42" i="6" s="1"/>
  <c r="P22" i="5"/>
  <c r="Q22" i="5" s="1"/>
  <c r="F25" i="5"/>
  <c r="H25" i="5" s="1"/>
  <c r="AF31" i="6"/>
  <c r="AF35" i="6"/>
  <c r="AF39" i="6"/>
  <c r="P20" i="5"/>
  <c r="Q20" i="5" s="1"/>
  <c r="E37" i="6"/>
  <c r="D37" i="6" s="1"/>
  <c r="E43" i="6"/>
  <c r="D43" i="6" s="1"/>
  <c r="E46" i="6"/>
  <c r="D46" i="6" s="1"/>
  <c r="E51" i="6"/>
  <c r="D6" i="3" s="1"/>
  <c r="AF6" i="6"/>
  <c r="AF19" i="6"/>
  <c r="AF25" i="6"/>
  <c r="K26" i="5"/>
  <c r="L26" i="5" s="1"/>
  <c r="F30" i="5"/>
  <c r="G30" i="5" s="1"/>
  <c r="E29" i="6"/>
  <c r="D29" i="6" s="1"/>
  <c r="E31" i="6"/>
  <c r="D31" i="6" s="1"/>
  <c r="P21" i="5"/>
  <c r="Q21" i="5" s="1"/>
  <c r="P24" i="5"/>
  <c r="Q24" i="5" s="1"/>
  <c r="E39" i="6"/>
  <c r="D39" i="6" s="1"/>
  <c r="E45" i="6"/>
  <c r="V5" i="3" s="1"/>
  <c r="AF28" i="6"/>
  <c r="F29" i="5"/>
  <c r="H29" i="5" s="1"/>
  <c r="AF30" i="6"/>
  <c r="E33" i="6"/>
  <c r="D33" i="6" s="1"/>
  <c r="P31" i="5"/>
  <c r="Q31" i="5" s="1"/>
  <c r="E35" i="6"/>
  <c r="D35" i="6" s="1"/>
  <c r="E40" i="6"/>
  <c r="D40" i="6" s="1"/>
  <c r="P23" i="5"/>
  <c r="Q23" i="5" s="1"/>
  <c r="P26" i="5"/>
  <c r="Q26" i="5" s="1"/>
  <c r="E36" i="6"/>
  <c r="D36" i="6" s="1"/>
  <c r="E41" i="6"/>
  <c r="D41" i="6" s="1"/>
  <c r="F22" i="5"/>
  <c r="G22" i="5" s="1"/>
  <c r="P28" i="5"/>
  <c r="Q28" i="5" s="1"/>
  <c r="Y3" i="6"/>
  <c r="O3" i="6"/>
  <c r="W3" i="6"/>
  <c r="AE3" i="6"/>
  <c r="F27" i="5"/>
  <c r="G27" i="5" s="1"/>
  <c r="E28" i="6"/>
  <c r="R29" i="6"/>
  <c r="V33" i="6"/>
  <c r="AF34" i="6"/>
  <c r="R34" i="6"/>
  <c r="J36" i="6"/>
  <c r="AF38" i="6"/>
  <c r="AF42" i="6"/>
  <c r="M54" i="6"/>
  <c r="U54" i="6"/>
  <c r="AF33" i="6"/>
  <c r="P27" i="5"/>
  <c r="Q27" i="5" s="1"/>
  <c r="AF37" i="6"/>
  <c r="AF41" i="6"/>
  <c r="O54" i="6"/>
  <c r="W54" i="6"/>
  <c r="AE54" i="6"/>
  <c r="E34" i="6"/>
  <c r="D34" i="6" s="1"/>
  <c r="F26" i="5"/>
  <c r="G26" i="5" s="1"/>
  <c r="K30" i="5"/>
  <c r="L30" i="5" s="1"/>
  <c r="G21" i="5"/>
  <c r="K3" i="6"/>
  <c r="S3" i="6"/>
  <c r="AA3" i="6"/>
  <c r="E30" i="6"/>
  <c r="I54" i="6"/>
  <c r="Q54" i="6"/>
  <c r="Y54" i="6"/>
  <c r="E50" i="6"/>
  <c r="D5" i="3" s="1"/>
  <c r="E49" i="6"/>
  <c r="F49" i="6" s="1"/>
  <c r="G49" i="6" s="1"/>
  <c r="E52" i="6"/>
  <c r="D7" i="3" s="1"/>
  <c r="L16" i="4"/>
  <c r="H23" i="5"/>
  <c r="G23" i="5"/>
  <c r="H31" i="5"/>
  <c r="G31" i="5"/>
  <c r="K68" i="4"/>
  <c r="L68" i="4"/>
  <c r="A2" i="8"/>
  <c r="L5" i="4"/>
  <c r="K5" i="4"/>
  <c r="J33" i="4"/>
  <c r="L32" i="4"/>
  <c r="J35" i="4"/>
  <c r="J15" i="4"/>
  <c r="M41" i="4"/>
  <c r="AD45" i="6"/>
  <c r="Z45" i="6"/>
  <c r="V45" i="6"/>
  <c r="R45" i="6"/>
  <c r="N45" i="6"/>
  <c r="J45" i="6"/>
  <c r="AF45" i="6"/>
  <c r="AB45" i="6"/>
  <c r="X45" i="6"/>
  <c r="T45" i="6"/>
  <c r="P45" i="6"/>
  <c r="L45" i="6"/>
  <c r="Q3" i="12"/>
  <c r="R3" i="12" s="1"/>
  <c r="C2" i="12"/>
  <c r="N8" i="13"/>
  <c r="V7" i="3"/>
  <c r="E9" i="9"/>
  <c r="D13" i="9"/>
  <c r="E13" i="9" s="1"/>
  <c r="K22" i="5"/>
  <c r="I3" i="6"/>
  <c r="E8" i="6"/>
  <c r="E11" i="6"/>
  <c r="E18" i="6"/>
  <c r="E19" i="6"/>
  <c r="E20" i="6"/>
  <c r="E21" i="6"/>
  <c r="E23" i="6"/>
  <c r="H9" i="3"/>
  <c r="H22" i="3"/>
  <c r="F24" i="5"/>
  <c r="H24" i="5" s="1"/>
  <c r="K24" i="5"/>
  <c r="M24" i="5" s="1"/>
  <c r="F28" i="5"/>
  <c r="H28" i="5" s="1"/>
  <c r="M3" i="6"/>
  <c r="AC3" i="6"/>
  <c r="E3" i="9"/>
  <c r="E16" i="9"/>
  <c r="E19" i="9" s="1"/>
  <c r="C7" i="10" a="1"/>
  <c r="C7" i="10" s="1"/>
  <c r="D7" i="10" s="1" a="1"/>
  <c r="D7" i="10" s="1"/>
  <c r="K12" i="10"/>
  <c r="E14" i="10"/>
  <c r="I14" i="10"/>
  <c r="K16" i="10"/>
  <c r="E18" i="10"/>
  <c r="I18" i="10"/>
  <c r="K20" i="10"/>
  <c r="E22" i="10"/>
  <c r="I22" i="10"/>
  <c r="K24" i="10"/>
  <c r="E26" i="10"/>
  <c r="I26" i="10"/>
  <c r="K28" i="10"/>
  <c r="E30" i="10"/>
  <c r="I30" i="10"/>
  <c r="K32" i="10"/>
  <c r="E34" i="10"/>
  <c r="I34" i="10"/>
  <c r="K36" i="10"/>
  <c r="E38" i="10"/>
  <c r="I38" i="10"/>
  <c r="K40" i="10"/>
  <c r="E42" i="10"/>
  <c r="I42" i="10"/>
  <c r="K44" i="10"/>
  <c r="E46" i="10"/>
  <c r="I46" i="10"/>
  <c r="K48" i="10"/>
  <c r="E50" i="10"/>
  <c r="I50" i="10"/>
  <c r="K52" i="10"/>
  <c r="E54" i="10"/>
  <c r="I54" i="10"/>
  <c r="K56" i="10"/>
  <c r="E58" i="10"/>
  <c r="I58" i="10"/>
  <c r="K60" i="10"/>
  <c r="E62" i="10"/>
  <c r="I62" i="10"/>
  <c r="K64" i="10"/>
  <c r="E66" i="10"/>
  <c r="I66" i="10"/>
  <c r="K68" i="10"/>
  <c r="E70" i="10"/>
  <c r="I70" i="10"/>
  <c r="K72" i="10"/>
  <c r="E74" i="10"/>
  <c r="I74" i="10"/>
  <c r="K76" i="10"/>
  <c r="E78" i="10"/>
  <c r="I78" i="10"/>
  <c r="E82" i="10"/>
  <c r="I82" i="10"/>
  <c r="E86" i="10"/>
  <c r="I86" i="10"/>
  <c r="E90" i="10"/>
  <c r="I90" i="10"/>
  <c r="E94" i="10"/>
  <c r="I94" i="10"/>
  <c r="E98" i="10"/>
  <c r="I98" i="10"/>
  <c r="E102" i="10"/>
  <c r="I102" i="10"/>
  <c r="E106" i="10"/>
  <c r="I106" i="10"/>
  <c r="E110" i="10"/>
  <c r="I110" i="10"/>
  <c r="E114" i="10"/>
  <c r="I114" i="10"/>
  <c r="E118" i="10"/>
  <c r="I118" i="10"/>
  <c r="E122" i="10"/>
  <c r="I122" i="10"/>
  <c r="E126" i="10"/>
  <c r="I126" i="10"/>
  <c r="E130" i="10"/>
  <c r="I130" i="10"/>
  <c r="E134" i="10"/>
  <c r="I134" i="10"/>
  <c r="E138" i="10"/>
  <c r="I138" i="10"/>
  <c r="E142" i="10"/>
  <c r="I142" i="10"/>
  <c r="E146" i="10"/>
  <c r="I146" i="10"/>
  <c r="E150" i="10"/>
  <c r="I150" i="10"/>
  <c r="E154" i="10"/>
  <c r="I154" i="10"/>
  <c r="E158" i="10"/>
  <c r="I158" i="10"/>
  <c r="E162" i="10"/>
  <c r="I162" i="10"/>
  <c r="E166" i="10"/>
  <c r="I166" i="10"/>
  <c r="E170" i="10"/>
  <c r="I170" i="10"/>
  <c r="E174" i="10"/>
  <c r="I174" i="10"/>
  <c r="E178" i="10"/>
  <c r="I178" i="10"/>
  <c r="E182" i="10"/>
  <c r="I182" i="10"/>
  <c r="E186" i="10"/>
  <c r="I186" i="10"/>
  <c r="E190" i="10"/>
  <c r="I190" i="10"/>
  <c r="E194" i="10"/>
  <c r="I194" i="10"/>
  <c r="E198" i="10"/>
  <c r="I198" i="10"/>
  <c r="E202" i="10"/>
  <c r="I202" i="10"/>
  <c r="E206" i="10"/>
  <c r="I206" i="10"/>
  <c r="E210" i="10"/>
  <c r="I210" i="10"/>
  <c r="E214" i="10"/>
  <c r="I214" i="10"/>
  <c r="E218" i="10"/>
  <c r="I218" i="10"/>
  <c r="E222" i="10"/>
  <c r="I222" i="10"/>
  <c r="E226" i="10"/>
  <c r="I226" i="10"/>
  <c r="E230" i="10"/>
  <c r="I230" i="10"/>
  <c r="E234" i="10"/>
  <c r="I234" i="10"/>
  <c r="E238" i="10"/>
  <c r="I238" i="10"/>
  <c r="E242" i="10"/>
  <c r="I242" i="10"/>
  <c r="E246" i="10"/>
  <c r="I246" i="10"/>
  <c r="E250" i="10"/>
  <c r="I250" i="10"/>
  <c r="E254" i="10"/>
  <c r="I254" i="10"/>
  <c r="E258" i="10"/>
  <c r="I258" i="10"/>
  <c r="E262" i="10"/>
  <c r="I262" i="10"/>
  <c r="E266" i="10"/>
  <c r="I266" i="10"/>
  <c r="E270" i="10"/>
  <c r="I270" i="10"/>
  <c r="E274" i="10"/>
  <c r="I274" i="10"/>
  <c r="E278" i="10"/>
  <c r="I278" i="10"/>
  <c r="E282" i="10"/>
  <c r="I282" i="10"/>
  <c r="E286" i="10"/>
  <c r="I286" i="10"/>
  <c r="E290" i="10"/>
  <c r="I290" i="10"/>
  <c r="E294" i="10"/>
  <c r="I294" i="10"/>
  <c r="E298" i="10"/>
  <c r="I298" i="10"/>
  <c r="E302" i="10"/>
  <c r="I302" i="10"/>
  <c r="E306" i="10"/>
  <c r="I306" i="10"/>
  <c r="E310" i="10"/>
  <c r="I310" i="10"/>
  <c r="E314" i="10"/>
  <c r="I314" i="10"/>
  <c r="E318" i="10"/>
  <c r="I318" i="10"/>
  <c r="E322" i="10"/>
  <c r="I322" i="10"/>
  <c r="E326" i="10"/>
  <c r="I326" i="10"/>
  <c r="E330" i="10"/>
  <c r="I330" i="10"/>
  <c r="E334" i="10"/>
  <c r="I334" i="10"/>
  <c r="E338" i="10"/>
  <c r="I338" i="10"/>
  <c r="E342" i="10"/>
  <c r="I342" i="10"/>
  <c r="E346" i="10"/>
  <c r="I346" i="10"/>
  <c r="E350" i="10"/>
  <c r="I350" i="10"/>
  <c r="E354" i="10"/>
  <c r="I354" i="10"/>
  <c r="E358" i="10"/>
  <c r="I358" i="10"/>
  <c r="E362" i="10"/>
  <c r="I362" i="10"/>
  <c r="E366" i="10"/>
  <c r="I366" i="10"/>
  <c r="E370" i="10"/>
  <c r="I370" i="10"/>
  <c r="E374" i="10"/>
  <c r="I374" i="10"/>
  <c r="E378" i="10"/>
  <c r="I378" i="10"/>
  <c r="E382" i="10"/>
  <c r="I382" i="10"/>
  <c r="E386" i="10"/>
  <c r="I386" i="10"/>
  <c r="E390" i="10"/>
  <c r="I390" i="10"/>
  <c r="E394" i="10"/>
  <c r="I394" i="10"/>
  <c r="E398" i="10"/>
  <c r="I398" i="10"/>
  <c r="E402" i="10"/>
  <c r="I402" i="10"/>
  <c r="E406" i="10"/>
  <c r="I406" i="10"/>
  <c r="E410" i="10"/>
  <c r="I410" i="10"/>
  <c r="E414" i="10"/>
  <c r="I414" i="10"/>
  <c r="E418" i="10"/>
  <c r="I418" i="10"/>
  <c r="E422" i="10"/>
  <c r="I422" i="10"/>
  <c r="E426" i="10"/>
  <c r="I426" i="10"/>
  <c r="E430" i="10"/>
  <c r="I430" i="10"/>
  <c r="E434" i="10"/>
  <c r="I434" i="10"/>
  <c r="E438" i="10"/>
  <c r="I438" i="10"/>
  <c r="E442" i="10"/>
  <c r="I442" i="10"/>
  <c r="E446" i="10"/>
  <c r="I446" i="10"/>
  <c r="E450" i="10"/>
  <c r="I450" i="10"/>
  <c r="E454" i="10"/>
  <c r="I454" i="10"/>
  <c r="E458" i="10"/>
  <c r="I458" i="10"/>
  <c r="E462" i="10"/>
  <c r="I462" i="10"/>
  <c r="E466" i="10"/>
  <c r="I466" i="10"/>
  <c r="E470" i="10"/>
  <c r="I470" i="10"/>
  <c r="E474" i="10"/>
  <c r="I474" i="10"/>
  <c r="E478" i="10"/>
  <c r="I478" i="10"/>
  <c r="E482" i="10"/>
  <c r="I482" i="10"/>
  <c r="E486" i="10"/>
  <c r="I486" i="10"/>
  <c r="E490" i="10"/>
  <c r="I490" i="10"/>
  <c r="E494" i="10"/>
  <c r="I494" i="10"/>
  <c r="E498" i="10"/>
  <c r="I498" i="10"/>
  <c r="E502" i="10"/>
  <c r="I502" i="10"/>
  <c r="E506" i="10"/>
  <c r="I506" i="10"/>
  <c r="E510" i="10"/>
  <c r="I510" i="10"/>
  <c r="E514" i="10"/>
  <c r="I514" i="10"/>
  <c r="E518" i="10"/>
  <c r="I518" i="10"/>
  <c r="E522" i="10"/>
  <c r="I522" i="10"/>
  <c r="E526" i="10"/>
  <c r="I526" i="10"/>
  <c r="E530" i="10"/>
  <c r="I530" i="10"/>
  <c r="E534" i="10"/>
  <c r="I534" i="10"/>
  <c r="E538" i="10"/>
  <c r="I538" i="10"/>
  <c r="E542" i="10"/>
  <c r="I542" i="10"/>
  <c r="E546" i="10"/>
  <c r="I546" i="10"/>
  <c r="E550" i="10"/>
  <c r="I550" i="10"/>
  <c r="E554" i="10"/>
  <c r="I554" i="10"/>
  <c r="E558" i="10"/>
  <c r="I558" i="10"/>
  <c r="E562" i="10"/>
  <c r="I562" i="10"/>
  <c r="E566" i="10"/>
  <c r="I566" i="10"/>
  <c r="E570" i="10"/>
  <c r="I570" i="10"/>
  <c r="E574" i="10"/>
  <c r="I574" i="10"/>
  <c r="E578" i="10"/>
  <c r="I578" i="10"/>
  <c r="E582" i="10"/>
  <c r="I582" i="10"/>
  <c r="E586" i="10"/>
  <c r="I586" i="10"/>
  <c r="E590" i="10"/>
  <c r="I590" i="10"/>
  <c r="E594" i="10"/>
  <c r="I594" i="10"/>
  <c r="E598" i="10"/>
  <c r="I598" i="10"/>
  <c r="E602" i="10"/>
  <c r="I602" i="10"/>
  <c r="E606" i="10"/>
  <c r="I606" i="10"/>
  <c r="E610" i="10"/>
  <c r="I610" i="10"/>
  <c r="E614" i="10"/>
  <c r="I614" i="10"/>
  <c r="E618" i="10"/>
  <c r="I618" i="10"/>
  <c r="E622" i="10"/>
  <c r="I622" i="10"/>
  <c r="E626" i="10"/>
  <c r="I626" i="10"/>
  <c r="E630" i="10"/>
  <c r="I630" i="10"/>
  <c r="E634" i="10"/>
  <c r="I634" i="10"/>
  <c r="E638" i="10"/>
  <c r="I638" i="10"/>
  <c r="E642" i="10"/>
  <c r="I642" i="10"/>
  <c r="E646" i="10"/>
  <c r="I646" i="10"/>
  <c r="E650" i="10"/>
  <c r="I650" i="10"/>
  <c r="E654" i="10"/>
  <c r="I654" i="10"/>
  <c r="E658" i="10"/>
  <c r="I658" i="10"/>
  <c r="E662" i="10"/>
  <c r="I662" i="10"/>
  <c r="E666" i="10"/>
  <c r="I666" i="10"/>
  <c r="E670" i="10"/>
  <c r="I670" i="10"/>
  <c r="E674" i="10"/>
  <c r="I674" i="10"/>
  <c r="E678" i="10"/>
  <c r="I678" i="10"/>
  <c r="E682" i="10"/>
  <c r="I682" i="10"/>
  <c r="E686" i="10"/>
  <c r="I686" i="10"/>
  <c r="E690" i="10"/>
  <c r="I690" i="10"/>
  <c r="E694" i="10"/>
  <c r="I694" i="10"/>
  <c r="E698" i="10"/>
  <c r="I698" i="10"/>
  <c r="E702" i="10"/>
  <c r="I702" i="10"/>
  <c r="E706" i="10"/>
  <c r="I706" i="10"/>
  <c r="E710" i="10"/>
  <c r="I710" i="10"/>
  <c r="E714" i="10"/>
  <c r="I714" i="10"/>
  <c r="E718" i="10"/>
  <c r="I718" i="10"/>
  <c r="E722" i="10"/>
  <c r="I722" i="10"/>
  <c r="E726" i="10"/>
  <c r="I726" i="10"/>
  <c r="E730" i="10"/>
  <c r="I730" i="10"/>
  <c r="E734" i="10"/>
  <c r="I734" i="10"/>
  <c r="E738" i="10"/>
  <c r="I738" i="10"/>
  <c r="E742" i="10"/>
  <c r="I742" i="10"/>
  <c r="E746" i="10"/>
  <c r="I746" i="10"/>
  <c r="E750" i="10"/>
  <c r="I750" i="10"/>
  <c r="E754" i="10"/>
  <c r="I754" i="10"/>
  <c r="E758" i="10"/>
  <c r="I758" i="10"/>
  <c r="E762" i="10"/>
  <c r="I762" i="10"/>
  <c r="E766" i="10"/>
  <c r="I766" i="10"/>
  <c r="E770" i="10"/>
  <c r="I770" i="10"/>
  <c r="E774" i="10"/>
  <c r="I774" i="10"/>
  <c r="E778" i="10"/>
  <c r="I778" i="10"/>
  <c r="E782" i="10"/>
  <c r="I782" i="10"/>
  <c r="E786" i="10"/>
  <c r="I786" i="10"/>
  <c r="E790" i="10"/>
  <c r="I790" i="10"/>
  <c r="E794" i="10"/>
  <c r="I794" i="10"/>
  <c r="E798" i="10"/>
  <c r="I798" i="10"/>
  <c r="E802" i="10"/>
  <c r="I802" i="10"/>
  <c r="E806" i="10"/>
  <c r="I806" i="10"/>
  <c r="E810" i="10"/>
  <c r="I810" i="10"/>
  <c r="E814" i="10"/>
  <c r="I814" i="10"/>
  <c r="E818" i="10"/>
  <c r="I818" i="10"/>
  <c r="E822" i="10"/>
  <c r="I822" i="10"/>
  <c r="E826" i="10"/>
  <c r="I826" i="10"/>
  <c r="E830" i="10"/>
  <c r="I830" i="10"/>
  <c r="E834" i="10"/>
  <c r="I834" i="10"/>
  <c r="E838" i="10"/>
  <c r="I838" i="10"/>
  <c r="E842" i="10"/>
  <c r="I842" i="10"/>
  <c r="E846" i="10"/>
  <c r="I846" i="10"/>
  <c r="E850" i="10"/>
  <c r="I850" i="10"/>
  <c r="E854" i="10"/>
  <c r="I854" i="10"/>
  <c r="E858" i="10"/>
  <c r="I858" i="10"/>
  <c r="E862" i="10"/>
  <c r="I862" i="10"/>
  <c r="E866" i="10"/>
  <c r="I866" i="10"/>
  <c r="E870" i="10"/>
  <c r="I870" i="10"/>
  <c r="E874" i="10"/>
  <c r="I874" i="10"/>
  <c r="E878" i="10"/>
  <c r="I878" i="10"/>
  <c r="E882" i="10"/>
  <c r="I882" i="10"/>
  <c r="E886" i="10"/>
  <c r="I886" i="10"/>
  <c r="E890" i="10"/>
  <c r="I890" i="10"/>
  <c r="E894" i="10"/>
  <c r="I894" i="10"/>
  <c r="E898" i="10"/>
  <c r="I898" i="10"/>
  <c r="E902" i="10"/>
  <c r="I902" i="10"/>
  <c r="E906" i="10"/>
  <c r="I906" i="10"/>
  <c r="E910" i="10"/>
  <c r="I910" i="10"/>
  <c r="E914" i="10"/>
  <c r="I914" i="10"/>
  <c r="E918" i="10"/>
  <c r="I918" i="10"/>
  <c r="E922" i="10"/>
  <c r="I922" i="10"/>
  <c r="E926" i="10"/>
  <c r="I926" i="10"/>
  <c r="E930" i="10"/>
  <c r="I930" i="10"/>
  <c r="E934" i="10"/>
  <c r="I934" i="10"/>
  <c r="E938" i="10"/>
  <c r="I938" i="10"/>
  <c r="E942" i="10"/>
  <c r="I942" i="10"/>
  <c r="E946" i="10"/>
  <c r="I946" i="10"/>
  <c r="E950" i="10"/>
  <c r="I950" i="10"/>
  <c r="E954" i="10"/>
  <c r="I954" i="10"/>
  <c r="E958" i="10"/>
  <c r="I958" i="10"/>
  <c r="E962" i="10"/>
  <c r="I962" i="10"/>
  <c r="E966" i="10"/>
  <c r="I966" i="10"/>
  <c r="E970" i="10"/>
  <c r="I970" i="10"/>
  <c r="E974" i="10"/>
  <c r="I974" i="10"/>
  <c r="E978" i="10"/>
  <c r="I978" i="10"/>
  <c r="E982" i="10"/>
  <c r="I982" i="10"/>
  <c r="E986" i="10"/>
  <c r="I986" i="10"/>
  <c r="E990" i="10"/>
  <c r="I990" i="10"/>
  <c r="E994" i="10"/>
  <c r="I994" i="10"/>
  <c r="E998" i="10"/>
  <c r="I998" i="10"/>
  <c r="E1002" i="10"/>
  <c r="I1002" i="10"/>
  <c r="E1006" i="10"/>
  <c r="I1006" i="10"/>
  <c r="E1010" i="10"/>
  <c r="I1010" i="10"/>
  <c r="E1014" i="10"/>
  <c r="I1014" i="10"/>
  <c r="E1018" i="10"/>
  <c r="I1018" i="10"/>
  <c r="E1022" i="10"/>
  <c r="I1022" i="10"/>
  <c r="E1026" i="10"/>
  <c r="I1026" i="10"/>
  <c r="E1030" i="10"/>
  <c r="I1030" i="10"/>
  <c r="E1034" i="10"/>
  <c r="I1034" i="10"/>
  <c r="E1038" i="10"/>
  <c r="I1038" i="10"/>
  <c r="E1042" i="10"/>
  <c r="I1042" i="10"/>
  <c r="E1046" i="10"/>
  <c r="I1046" i="10"/>
  <c r="E1050" i="10"/>
  <c r="I1050" i="10"/>
  <c r="E1054" i="10"/>
  <c r="I1054" i="10"/>
  <c r="E1058" i="10"/>
  <c r="I1058" i="10"/>
  <c r="E1062" i="10"/>
  <c r="I1062" i="10"/>
  <c r="E1066" i="10"/>
  <c r="I1066" i="10"/>
  <c r="E1070" i="10"/>
  <c r="I1070" i="10"/>
  <c r="E1074" i="10"/>
  <c r="I1074" i="10"/>
  <c r="E1078" i="10"/>
  <c r="I1078" i="10"/>
  <c r="E1082" i="10"/>
  <c r="I1082" i="10"/>
  <c r="E1086" i="10"/>
  <c r="I1086" i="10"/>
  <c r="E1090" i="10"/>
  <c r="I1090" i="10"/>
  <c r="E1094" i="10"/>
  <c r="I1094" i="10"/>
  <c r="E1098" i="10"/>
  <c r="I1098" i="10"/>
  <c r="E1102" i="10"/>
  <c r="I1102" i="10"/>
  <c r="E1106" i="10"/>
  <c r="I1106" i="10"/>
  <c r="E1110" i="10"/>
  <c r="I1110" i="10"/>
  <c r="E1114" i="10"/>
  <c r="I1114" i="10"/>
  <c r="I1119" i="10"/>
  <c r="E1119" i="10"/>
  <c r="I1121" i="10"/>
  <c r="E1121" i="10"/>
  <c r="U21" i="11"/>
  <c r="T21" i="11"/>
  <c r="G58" i="13"/>
  <c r="G59" i="13" s="1"/>
  <c r="G60" i="13" s="1"/>
  <c r="G61" i="13" s="1"/>
  <c r="G62" i="13" s="1"/>
  <c r="G63" i="13" s="1"/>
  <c r="G64" i="13" s="1"/>
  <c r="G65" i="13" s="1"/>
  <c r="G66" i="13" s="1"/>
  <c r="G67" i="13" s="1"/>
  <c r="G68" i="13" s="1"/>
  <c r="G69" i="13" s="1"/>
  <c r="G70" i="13" s="1"/>
  <c r="G71" i="13" s="1"/>
  <c r="G72" i="13" s="1"/>
  <c r="G73" i="13" s="1"/>
  <c r="G74" i="13" s="1"/>
  <c r="G75" i="13" s="1"/>
  <c r="G76" i="13" s="1"/>
  <c r="G77" i="13" s="1"/>
  <c r="G78" i="13" s="1"/>
  <c r="G79" i="13" s="1"/>
  <c r="G80" i="13" s="1"/>
  <c r="G81" i="13" s="1"/>
  <c r="G82" i="13" s="1"/>
  <c r="G83" i="13" s="1"/>
  <c r="G84" i="13" s="1"/>
  <c r="G85" i="13" s="1"/>
  <c r="G86" i="13" s="1"/>
  <c r="G87" i="13" s="1"/>
  <c r="G88" i="13" s="1"/>
  <c r="G89" i="13" s="1"/>
  <c r="G90" i="13" s="1"/>
  <c r="G91" i="13" s="1"/>
  <c r="G92" i="13" s="1"/>
  <c r="G93" i="13" s="1"/>
  <c r="G94" i="13" s="1"/>
  <c r="G95" i="13" s="1"/>
  <c r="G96" i="13" s="1"/>
  <c r="G97" i="13" s="1"/>
  <c r="G98" i="13" s="1"/>
  <c r="G99" i="13" s="1"/>
  <c r="G100" i="13" s="1"/>
  <c r="G101" i="13" s="1"/>
  <c r="G102" i="13" s="1"/>
  <c r="G103" i="13" s="1"/>
  <c r="G104" i="13" s="1"/>
  <c r="G105" i="13" s="1"/>
  <c r="G106" i="13" s="1"/>
  <c r="G107" i="13" s="1"/>
  <c r="G108" i="13" s="1"/>
  <c r="G109" i="13" s="1"/>
  <c r="G110" i="13" s="1"/>
  <c r="G111" i="13" s="1"/>
  <c r="G112" i="13" s="1"/>
  <c r="G113" i="13" s="1"/>
  <c r="G114" i="13" s="1"/>
  <c r="G115" i="13" s="1"/>
  <c r="G116" i="13" s="1"/>
  <c r="G117" i="13" s="1"/>
  <c r="G118" i="13" s="1"/>
  <c r="G119" i="13" s="1"/>
  <c r="G120" i="13" s="1"/>
  <c r="G121" i="13" s="1"/>
  <c r="G122" i="13" s="1"/>
  <c r="G123" i="13" s="1"/>
  <c r="G124" i="13" s="1"/>
  <c r="G125" i="13" s="1"/>
  <c r="G126" i="13" s="1"/>
  <c r="G127" i="13" s="1"/>
  <c r="G128" i="13" s="1"/>
  <c r="G129" i="13" s="1"/>
  <c r="G130" i="13" s="1"/>
  <c r="G131" i="13" s="1"/>
  <c r="G132" i="13" s="1"/>
  <c r="G133" i="13" s="1"/>
  <c r="G134" i="13" s="1"/>
  <c r="G135" i="13" s="1"/>
  <c r="G136" i="13" s="1"/>
  <c r="G137" i="13" s="1"/>
  <c r="G138" i="13" s="1"/>
  <c r="G139" i="13" s="1"/>
  <c r="G140" i="13" s="1"/>
  <c r="G141" i="13" s="1"/>
  <c r="G142" i="13" s="1"/>
  <c r="G143" i="13" s="1"/>
  <c r="G144" i="13" s="1"/>
  <c r="G145" i="13" s="1"/>
  <c r="G146" i="13" s="1"/>
  <c r="G147" i="13" s="1"/>
  <c r="G148" i="13" s="1"/>
  <c r="G149" i="13" s="1"/>
  <c r="G150" i="13" s="1"/>
  <c r="G151" i="13" s="1"/>
  <c r="G152" i="13" s="1"/>
  <c r="G153" i="13" s="1"/>
  <c r="G154" i="13" s="1"/>
  <c r="G155" i="13" s="1"/>
  <c r="G156" i="13" s="1"/>
  <c r="G157" i="13" s="1"/>
  <c r="G158" i="13" s="1"/>
  <c r="G159" i="13" s="1"/>
  <c r="G160" i="13" s="1"/>
  <c r="G161" i="13" s="1"/>
  <c r="G162" i="13" s="1"/>
  <c r="G163" i="13" s="1"/>
  <c r="G164" i="13" s="1"/>
  <c r="G165" i="13" s="1"/>
  <c r="G166" i="13" s="1"/>
  <c r="G167" i="13" s="1"/>
  <c r="G168" i="13" s="1"/>
  <c r="G169" i="13" s="1"/>
  <c r="G170" i="13" s="1"/>
  <c r="G171" i="13" s="1"/>
  <c r="G172" i="13" s="1"/>
  <c r="G173" i="13" s="1"/>
  <c r="G174" i="13" s="1"/>
  <c r="G175" i="13" s="1"/>
  <c r="G176" i="13" s="1"/>
  <c r="G177" i="13" s="1"/>
  <c r="G178" i="13" s="1"/>
  <c r="G179" i="13" s="1"/>
  <c r="G180" i="13" s="1"/>
  <c r="G181" i="13" s="1"/>
  <c r="G182" i="13" s="1"/>
  <c r="G183" i="13" s="1"/>
  <c r="G184" i="13" s="1"/>
  <c r="G185" i="13" s="1"/>
  <c r="G186" i="13" s="1"/>
  <c r="G187" i="13" s="1"/>
  <c r="G188" i="13" s="1"/>
  <c r="G189" i="13" s="1"/>
  <c r="G190" i="13" s="1"/>
  <c r="G191" i="13" s="1"/>
  <c r="G192" i="13" s="1"/>
  <c r="G193" i="13" s="1"/>
  <c r="G194" i="13" s="1"/>
  <c r="G195" i="13" s="1"/>
  <c r="G196" i="13" s="1"/>
  <c r="G197" i="13" s="1"/>
  <c r="G198" i="13" s="1"/>
  <c r="G199" i="13" s="1"/>
  <c r="G200" i="13" s="1"/>
  <c r="G201" i="13" s="1"/>
  <c r="G202" i="13" s="1"/>
  <c r="G203" i="13" s="1"/>
  <c r="G204" i="13" s="1"/>
  <c r="G205" i="13" s="1"/>
  <c r="G206" i="13" s="1"/>
  <c r="G207" i="13" s="1"/>
  <c r="G208" i="13" s="1"/>
  <c r="G209" i="13" s="1"/>
  <c r="G210" i="13" s="1"/>
  <c r="G211" i="13" s="1"/>
  <c r="G212" i="13" s="1"/>
  <c r="G213" i="13" s="1"/>
  <c r="G214" i="13" s="1"/>
  <c r="G215" i="13" s="1"/>
  <c r="G216" i="13" s="1"/>
  <c r="G217" i="13" s="1"/>
  <c r="G218" i="13" s="1"/>
  <c r="G219" i="13" s="1"/>
  <c r="G220" i="13" s="1"/>
  <c r="G221" i="13" s="1"/>
  <c r="G222" i="13" s="1"/>
  <c r="G223" i="13" s="1"/>
  <c r="G224" i="13" s="1"/>
  <c r="G225" i="13" s="1"/>
  <c r="G226" i="13" s="1"/>
  <c r="G227" i="13" s="1"/>
  <c r="G228" i="13" s="1"/>
  <c r="G229" i="13" s="1"/>
  <c r="G230" i="13" s="1"/>
  <c r="G231" i="13" s="1"/>
  <c r="G232" i="13" s="1"/>
  <c r="G233" i="13" s="1"/>
  <c r="G234" i="13" s="1"/>
  <c r="G235" i="13" s="1"/>
  <c r="G236" i="13" s="1"/>
  <c r="G237" i="13" s="1"/>
  <c r="G238" i="13" s="1"/>
  <c r="G239" i="13" s="1"/>
  <c r="G240" i="13" s="1"/>
  <c r="G241" i="13" s="1"/>
  <c r="G242" i="13" s="1"/>
  <c r="G243" i="13" s="1"/>
  <c r="G244" i="13" s="1"/>
  <c r="G245" i="13" s="1"/>
  <c r="G246" i="13" s="1"/>
  <c r="G247" i="13" s="1"/>
  <c r="G248" i="13" s="1"/>
  <c r="G249" i="13" s="1"/>
  <c r="G250" i="13" s="1"/>
  <c r="G251" i="13" s="1"/>
  <c r="G252" i="13" s="1"/>
  <c r="G253" i="13" s="1"/>
  <c r="G254" i="13" s="1"/>
  <c r="G255" i="13" s="1"/>
  <c r="G256" i="13" s="1"/>
  <c r="G257" i="13" s="1"/>
  <c r="G258" i="13" s="1"/>
  <c r="G259" i="13" s="1"/>
  <c r="G260" i="13" s="1"/>
  <c r="G261" i="13" s="1"/>
  <c r="G262" i="13" s="1"/>
  <c r="G263" i="13" s="1"/>
  <c r="G264" i="13" s="1"/>
  <c r="G265" i="13" s="1"/>
  <c r="G266" i="13" s="1"/>
  <c r="G267" i="13" s="1"/>
  <c r="G268" i="13" s="1"/>
  <c r="G269" i="13" s="1"/>
  <c r="G270" i="13" s="1"/>
  <c r="G271" i="13" s="1"/>
  <c r="G272" i="13" s="1"/>
  <c r="G273" i="13" s="1"/>
  <c r="G274" i="13" s="1"/>
  <c r="G275" i="13" s="1"/>
  <c r="G276" i="13" s="1"/>
  <c r="G277" i="13" s="1"/>
  <c r="G278" i="13" s="1"/>
  <c r="G279" i="13" s="1"/>
  <c r="G280" i="13" s="1"/>
  <c r="G281" i="13" s="1"/>
  <c r="G282" i="13" s="1"/>
  <c r="G283" i="13" s="1"/>
  <c r="G284" i="13" s="1"/>
  <c r="G285" i="13" s="1"/>
  <c r="G286" i="13" s="1"/>
  <c r="G287" i="13" s="1"/>
  <c r="G288" i="13" s="1"/>
  <c r="G289" i="13" s="1"/>
  <c r="G290" i="13" s="1"/>
  <c r="G291" i="13" s="1"/>
  <c r="G292" i="13" s="1"/>
  <c r="G293" i="13" s="1"/>
  <c r="G294" i="13" s="1"/>
  <c r="G295" i="13" s="1"/>
  <c r="G296" i="13" s="1"/>
  <c r="G297" i="13" s="1"/>
  <c r="G298" i="13" s="1"/>
  <c r="G299" i="13" s="1"/>
  <c r="G300" i="13" s="1"/>
  <c r="G301" i="13" s="1"/>
  <c r="G302" i="13" s="1"/>
  <c r="G303" i="13" s="1"/>
  <c r="G304" i="13" s="1"/>
  <c r="G305" i="13" s="1"/>
  <c r="G306" i="13" s="1"/>
  <c r="G307" i="13" s="1"/>
  <c r="G308" i="13" s="1"/>
  <c r="G309" i="13" s="1"/>
  <c r="G310" i="13" s="1"/>
  <c r="G311" i="13" s="1"/>
  <c r="G312" i="13" s="1"/>
  <c r="G313" i="13" s="1"/>
  <c r="G314" i="13" s="1"/>
  <c r="G315" i="13" s="1"/>
  <c r="G316" i="13" s="1"/>
  <c r="G317" i="13" s="1"/>
  <c r="G318" i="13" s="1"/>
  <c r="G319" i="13" s="1"/>
  <c r="G320" i="13" s="1"/>
  <c r="G321" i="13" s="1"/>
  <c r="G322" i="13" s="1"/>
  <c r="G323" i="13" s="1"/>
  <c r="G324" i="13" s="1"/>
  <c r="G325" i="13" s="1"/>
  <c r="G326" i="13" s="1"/>
  <c r="G327" i="13" s="1"/>
  <c r="G328" i="13" s="1"/>
  <c r="G329" i="13" s="1"/>
  <c r="G330" i="13" s="1"/>
  <c r="G331" i="13" s="1"/>
  <c r="G332" i="13" s="1"/>
  <c r="G333" i="13" s="1"/>
  <c r="G334" i="13" s="1"/>
  <c r="G335" i="13" s="1"/>
  <c r="G336" i="13" s="1"/>
  <c r="G337" i="13" s="1"/>
  <c r="G338" i="13" s="1"/>
  <c r="G339" i="13" s="1"/>
  <c r="G340" i="13" s="1"/>
  <c r="G341" i="13" s="1"/>
  <c r="G342" i="13" s="1"/>
  <c r="G343" i="13" s="1"/>
  <c r="G344" i="13" s="1"/>
  <c r="G345" i="13" s="1"/>
  <c r="G346" i="13" s="1"/>
  <c r="G347" i="13" s="1"/>
  <c r="G348" i="13" s="1"/>
  <c r="G349" i="13" s="1"/>
  <c r="G350" i="13" s="1"/>
  <c r="G351" i="13" s="1"/>
  <c r="G352" i="13" s="1"/>
  <c r="G353" i="13" s="1"/>
  <c r="G354" i="13" s="1"/>
  <c r="G355" i="13" s="1"/>
  <c r="G356" i="13" s="1"/>
  <c r="G357" i="13" s="1"/>
  <c r="G358" i="13" s="1"/>
  <c r="G359" i="13" s="1"/>
  <c r="G360" i="13" s="1"/>
  <c r="G361" i="13" s="1"/>
  <c r="G362" i="13" s="1"/>
  <c r="G363" i="13" s="1"/>
  <c r="G364" i="13" s="1"/>
  <c r="G365" i="13" s="1"/>
  <c r="G366" i="13" s="1"/>
  <c r="G367" i="13" s="1"/>
  <c r="G368" i="13" s="1"/>
  <c r="G369" i="13" s="1"/>
  <c r="G370" i="13" s="1"/>
  <c r="G371" i="13" s="1"/>
  <c r="G372" i="13" s="1"/>
  <c r="G373" i="13" s="1"/>
  <c r="G374" i="13" s="1"/>
  <c r="G375" i="13" s="1"/>
  <c r="G376" i="13" s="1"/>
  <c r="G377" i="13" s="1"/>
  <c r="G378" i="13" s="1"/>
  <c r="G379" i="13" s="1"/>
  <c r="G380" i="13" s="1"/>
  <c r="G381" i="13" s="1"/>
  <c r="G382" i="13" s="1"/>
  <c r="G383" i="13" s="1"/>
  <c r="G384" i="13" s="1"/>
  <c r="G385" i="13" s="1"/>
  <c r="G386" i="13" s="1"/>
  <c r="G387" i="13" s="1"/>
  <c r="G388" i="13" s="1"/>
  <c r="G389" i="13" s="1"/>
  <c r="G390" i="13" s="1"/>
  <c r="G391" i="13" s="1"/>
  <c r="G392" i="13" s="1"/>
  <c r="G393" i="13" s="1"/>
  <c r="G394" i="13" s="1"/>
  <c r="G395" i="13" s="1"/>
  <c r="G396" i="13" s="1"/>
  <c r="G397" i="13" s="1"/>
  <c r="G398" i="13" s="1"/>
  <c r="G399" i="13" s="1"/>
  <c r="G400" i="13" s="1"/>
  <c r="G401" i="13" s="1"/>
  <c r="G402" i="13" s="1"/>
  <c r="G403" i="13" s="1"/>
  <c r="G404" i="13" s="1"/>
  <c r="G405" i="13" s="1"/>
  <c r="G406" i="13" s="1"/>
  <c r="G407" i="13" s="1"/>
  <c r="G408" i="13" s="1"/>
  <c r="G409" i="13" s="1"/>
  <c r="G410" i="13" s="1"/>
  <c r="G411" i="13" s="1"/>
  <c r="G412" i="13" s="1"/>
  <c r="G413" i="13" s="1"/>
  <c r="G414" i="13" s="1"/>
  <c r="G415" i="13" s="1"/>
  <c r="G416" i="13" s="1"/>
  <c r="G417" i="13" s="1"/>
  <c r="G418" i="13" s="1"/>
  <c r="G419" i="13" s="1"/>
  <c r="G420" i="13" s="1"/>
  <c r="G421" i="13" s="1"/>
  <c r="G422" i="13" s="1"/>
  <c r="G423" i="13" s="1"/>
  <c r="G424" i="13" s="1"/>
  <c r="G425" i="13" s="1"/>
  <c r="G426" i="13" s="1"/>
  <c r="G427" i="13" s="1"/>
  <c r="G428" i="13" s="1"/>
  <c r="G429" i="13" s="1"/>
  <c r="G430" i="13" s="1"/>
  <c r="G431" i="13" s="1"/>
  <c r="G432" i="13" s="1"/>
  <c r="G433" i="13" s="1"/>
  <c r="G434" i="13" s="1"/>
  <c r="G435" i="13" s="1"/>
  <c r="G436" i="13" s="1"/>
  <c r="G437" i="13" s="1"/>
  <c r="G438" i="13" s="1"/>
  <c r="G439" i="13" s="1"/>
  <c r="G440" i="13" s="1"/>
  <c r="G441" i="13" s="1"/>
  <c r="G442" i="13" s="1"/>
  <c r="G443" i="13" s="1"/>
  <c r="G444" i="13" s="1"/>
  <c r="G445" i="13" s="1"/>
  <c r="G446" i="13" s="1"/>
  <c r="G447" i="13" s="1"/>
  <c r="G448" i="13" s="1"/>
  <c r="G449" i="13" s="1"/>
  <c r="G450" i="13" s="1"/>
  <c r="G451" i="13" s="1"/>
  <c r="G452" i="13" s="1"/>
  <c r="G453" i="13" s="1"/>
  <c r="G454" i="13" s="1"/>
  <c r="G455" i="13" s="1"/>
  <c r="G456" i="13" s="1"/>
  <c r="G457" i="13" s="1"/>
  <c r="G458" i="13" s="1"/>
  <c r="G459" i="13" s="1"/>
  <c r="G460" i="13" s="1"/>
  <c r="G461" i="13" s="1"/>
  <c r="G462" i="13" s="1"/>
  <c r="G463" i="13" s="1"/>
  <c r="G464" i="13" s="1"/>
  <c r="G465" i="13" s="1"/>
  <c r="G466" i="13" s="1"/>
  <c r="G467" i="13" s="1"/>
  <c r="G468" i="13" s="1"/>
  <c r="G469" i="13" s="1"/>
  <c r="G470" i="13" s="1"/>
  <c r="G471" i="13" s="1"/>
  <c r="G472" i="13" s="1"/>
  <c r="G473" i="13" s="1"/>
  <c r="G474" i="13" s="1"/>
  <c r="G475" i="13" s="1"/>
  <c r="G476" i="13" s="1"/>
  <c r="G477" i="13" s="1"/>
  <c r="G478" i="13" s="1"/>
  <c r="G479" i="13" s="1"/>
  <c r="G480" i="13" s="1"/>
  <c r="G481" i="13" s="1"/>
  <c r="G482" i="13" s="1"/>
  <c r="G483" i="13" s="1"/>
  <c r="G484" i="13" s="1"/>
  <c r="G485" i="13" s="1"/>
  <c r="G486" i="13" s="1"/>
  <c r="G487" i="13" s="1"/>
  <c r="G488" i="13" s="1"/>
  <c r="G489" i="13" s="1"/>
  <c r="G490" i="13" s="1"/>
  <c r="G491" i="13" s="1"/>
  <c r="G492" i="13" s="1"/>
  <c r="G493" i="13" s="1"/>
  <c r="G494" i="13" s="1"/>
  <c r="G495" i="13" s="1"/>
  <c r="G496" i="13" s="1"/>
  <c r="G497" i="13" s="1"/>
  <c r="G498" i="13" s="1"/>
  <c r="G499" i="13" s="1"/>
  <c r="G500" i="13" s="1"/>
  <c r="G501" i="13" s="1"/>
  <c r="G502" i="13" s="1"/>
  <c r="G503" i="13" s="1"/>
  <c r="G504" i="13" s="1"/>
  <c r="G505" i="13" s="1"/>
  <c r="G506" i="13" s="1"/>
  <c r="G507" i="13" s="1"/>
  <c r="G508" i="13" s="1"/>
  <c r="G509" i="13" s="1"/>
  <c r="G510" i="13" s="1"/>
  <c r="G511" i="13" s="1"/>
  <c r="G512" i="13" s="1"/>
  <c r="G513" i="13" s="1"/>
  <c r="G514" i="13" s="1"/>
  <c r="G515" i="13" s="1"/>
  <c r="G516" i="13" s="1"/>
  <c r="G517" i="13" s="1"/>
  <c r="G518" i="13" s="1"/>
  <c r="G519" i="13" s="1"/>
  <c r="G520" i="13" s="1"/>
  <c r="G521" i="13" s="1"/>
  <c r="G522" i="13" s="1"/>
  <c r="G523" i="13" s="1"/>
  <c r="G524" i="13" s="1"/>
  <c r="G525" i="13" s="1"/>
  <c r="G526" i="13" s="1"/>
  <c r="G527" i="13" s="1"/>
  <c r="G528" i="13" s="1"/>
  <c r="G529" i="13" s="1"/>
  <c r="G530" i="13" s="1"/>
  <c r="G531" i="13" s="1"/>
  <c r="G532" i="13" s="1"/>
  <c r="G533" i="13" s="1"/>
  <c r="G534" i="13" s="1"/>
  <c r="G535" i="13" s="1"/>
  <c r="G536" i="13" s="1"/>
  <c r="G537" i="13" s="1"/>
  <c r="G538" i="13" s="1"/>
  <c r="G539" i="13" s="1"/>
  <c r="G540" i="13" s="1"/>
  <c r="G541" i="13" s="1"/>
  <c r="G542" i="13" s="1"/>
  <c r="G543" i="13" s="1"/>
  <c r="G544" i="13" s="1"/>
  <c r="G545" i="13" s="1"/>
  <c r="G546" i="13" s="1"/>
  <c r="G547" i="13" s="1"/>
  <c r="G548" i="13" s="1"/>
  <c r="G549" i="13" s="1"/>
  <c r="G550" i="13" s="1"/>
  <c r="G551" i="13" s="1"/>
  <c r="G552" i="13" s="1"/>
  <c r="G553" i="13" s="1"/>
  <c r="G554" i="13" s="1"/>
  <c r="G555" i="13" s="1"/>
  <c r="G556" i="13" s="1"/>
  <c r="G557" i="13" s="1"/>
  <c r="G558" i="13" s="1"/>
  <c r="G559" i="13" s="1"/>
  <c r="G560" i="13" s="1"/>
  <c r="G561" i="13" s="1"/>
  <c r="G562" i="13" s="1"/>
  <c r="G563" i="13" s="1"/>
  <c r="G564" i="13" s="1"/>
  <c r="G565" i="13" s="1"/>
  <c r="G566" i="13" s="1"/>
  <c r="G567" i="13" s="1"/>
  <c r="G568" i="13" s="1"/>
  <c r="G569" i="13" s="1"/>
  <c r="G570" i="13" s="1"/>
  <c r="G571" i="13" s="1"/>
  <c r="G572" i="13" s="1"/>
  <c r="G573" i="13" s="1"/>
  <c r="G574" i="13" s="1"/>
  <c r="G575" i="13" s="1"/>
  <c r="G576" i="13" s="1"/>
  <c r="G577" i="13" s="1"/>
  <c r="G578" i="13" s="1"/>
  <c r="G579" i="13" s="1"/>
  <c r="G580" i="13" s="1"/>
  <c r="G581" i="13" s="1"/>
  <c r="G582" i="13" s="1"/>
  <c r="G583" i="13" s="1"/>
  <c r="G584" i="13" s="1"/>
  <c r="G585" i="13" s="1"/>
  <c r="G586" i="13" s="1"/>
  <c r="G587" i="13" s="1"/>
  <c r="G588" i="13" s="1"/>
  <c r="G589" i="13" s="1"/>
  <c r="G590" i="13" s="1"/>
  <c r="G591" i="13" s="1"/>
  <c r="G592" i="13" s="1"/>
  <c r="G593" i="13" s="1"/>
  <c r="G594" i="13" s="1"/>
  <c r="G595" i="13" s="1"/>
  <c r="G596" i="13" s="1"/>
  <c r="G597" i="13" s="1"/>
  <c r="G598" i="13" s="1"/>
  <c r="G599" i="13" s="1"/>
  <c r="G600" i="13" s="1"/>
  <c r="G601" i="13" s="1"/>
  <c r="G602" i="13" s="1"/>
  <c r="G603" i="13" s="1"/>
  <c r="G604" i="13" s="1"/>
  <c r="G605" i="13" s="1"/>
  <c r="G606" i="13" s="1"/>
  <c r="G607" i="13" s="1"/>
  <c r="G608" i="13" s="1"/>
  <c r="G609" i="13" s="1"/>
  <c r="G610" i="13" s="1"/>
  <c r="G611" i="13" s="1"/>
  <c r="G612" i="13" s="1"/>
  <c r="G613" i="13" s="1"/>
  <c r="G614" i="13" s="1"/>
  <c r="G615" i="13" s="1"/>
  <c r="G616" i="13" s="1"/>
  <c r="G617" i="13" s="1"/>
  <c r="G618" i="13" s="1"/>
  <c r="G619" i="13" s="1"/>
  <c r="G620" i="13" s="1"/>
  <c r="G621" i="13" s="1"/>
  <c r="G622" i="13" s="1"/>
  <c r="G623" i="13" s="1"/>
  <c r="G624" i="13" s="1"/>
  <c r="G625" i="13" s="1"/>
  <c r="G626" i="13" s="1"/>
  <c r="G627" i="13" s="1"/>
  <c r="G628" i="13" s="1"/>
  <c r="G629" i="13" s="1"/>
  <c r="G630" i="13" s="1"/>
  <c r="G631" i="13" s="1"/>
  <c r="G632" i="13" s="1"/>
  <c r="G633" i="13" s="1"/>
  <c r="G634" i="13" s="1"/>
  <c r="G635" i="13" s="1"/>
  <c r="G636" i="13" s="1"/>
  <c r="G637" i="13" s="1"/>
  <c r="G638" i="13" s="1"/>
  <c r="G639" i="13" s="1"/>
  <c r="G640" i="13" s="1"/>
  <c r="G641" i="13" s="1"/>
  <c r="G642" i="13" s="1"/>
  <c r="G643" i="13" s="1"/>
  <c r="G644" i="13" s="1"/>
  <c r="G645" i="13" s="1"/>
  <c r="G646" i="13" s="1"/>
  <c r="G647" i="13" s="1"/>
  <c r="G648" i="13" s="1"/>
  <c r="G649" i="13" s="1"/>
  <c r="G650" i="13" s="1"/>
  <c r="G651" i="13" s="1"/>
  <c r="G652" i="13" s="1"/>
  <c r="G653" i="13" s="1"/>
  <c r="G654" i="13" s="1"/>
  <c r="G655" i="13" s="1"/>
  <c r="G656" i="13" s="1"/>
  <c r="G657" i="13" s="1"/>
  <c r="G658" i="13" s="1"/>
  <c r="G659" i="13" s="1"/>
  <c r="G660" i="13" s="1"/>
  <c r="G661" i="13" s="1"/>
  <c r="G662" i="13" s="1"/>
  <c r="G663" i="13" s="1"/>
  <c r="G664" i="13" s="1"/>
  <c r="G665" i="13" s="1"/>
  <c r="G666" i="13" s="1"/>
  <c r="G667" i="13" s="1"/>
  <c r="G668" i="13" s="1"/>
  <c r="G669" i="13" s="1"/>
  <c r="G670" i="13" s="1"/>
  <c r="G671" i="13" s="1"/>
  <c r="G672" i="13" s="1"/>
  <c r="G673" i="13" s="1"/>
  <c r="G674" i="13" s="1"/>
  <c r="G675" i="13" s="1"/>
  <c r="G676" i="13" s="1"/>
  <c r="G677" i="13" s="1"/>
  <c r="G678" i="13" s="1"/>
  <c r="G679" i="13" s="1"/>
  <c r="G680" i="13" s="1"/>
  <c r="G681" i="13" s="1"/>
  <c r="G682" i="13" s="1"/>
  <c r="G683" i="13" s="1"/>
  <c r="G684" i="13" s="1"/>
  <c r="G685" i="13" s="1"/>
  <c r="G686" i="13" s="1"/>
  <c r="G687" i="13" s="1"/>
  <c r="G688" i="13" s="1"/>
  <c r="G689" i="13" s="1"/>
  <c r="G690" i="13" s="1"/>
  <c r="G691" i="13" s="1"/>
  <c r="G692" i="13" s="1"/>
  <c r="G693" i="13" s="1"/>
  <c r="G694" i="13" s="1"/>
  <c r="G695" i="13" s="1"/>
  <c r="G696" i="13" s="1"/>
  <c r="G697" i="13" s="1"/>
  <c r="G698" i="13" s="1"/>
  <c r="G699" i="13" s="1"/>
  <c r="G700" i="13" s="1"/>
  <c r="G701" i="13" s="1"/>
  <c r="G702" i="13" s="1"/>
  <c r="G703" i="13" s="1"/>
  <c r="G704" i="13" s="1"/>
  <c r="G705" i="13" s="1"/>
  <c r="G706" i="13" s="1"/>
  <c r="G707" i="13" s="1"/>
  <c r="G708" i="13" s="1"/>
  <c r="G709" i="13" s="1"/>
  <c r="G710" i="13" s="1"/>
  <c r="G711" i="13" s="1"/>
  <c r="G712" i="13" s="1"/>
  <c r="G713" i="13" s="1"/>
  <c r="G714" i="13" s="1"/>
  <c r="G715" i="13" s="1"/>
  <c r="G716" i="13" s="1"/>
  <c r="G717" i="13" s="1"/>
  <c r="G718" i="13" s="1"/>
  <c r="G719" i="13" s="1"/>
  <c r="G720" i="13" s="1"/>
  <c r="G721" i="13" s="1"/>
  <c r="G722" i="13" s="1"/>
  <c r="G723" i="13" s="1"/>
  <c r="G724" i="13" s="1"/>
  <c r="G725" i="13" s="1"/>
  <c r="G726" i="13" s="1"/>
  <c r="G727" i="13" s="1"/>
  <c r="G728" i="13" s="1"/>
  <c r="G729" i="13" s="1"/>
  <c r="G730" i="13" s="1"/>
  <c r="G731" i="13" s="1"/>
  <c r="G732" i="13" s="1"/>
  <c r="G733" i="13" s="1"/>
  <c r="G734" i="13" s="1"/>
  <c r="G735" i="13" s="1"/>
  <c r="G736" i="13" s="1"/>
  <c r="G737" i="13" s="1"/>
  <c r="G738" i="13" s="1"/>
  <c r="G739" i="13" s="1"/>
  <c r="G740" i="13" s="1"/>
  <c r="G741" i="13" s="1"/>
  <c r="G742" i="13" s="1"/>
  <c r="G743" i="13" s="1"/>
  <c r="G744" i="13" s="1"/>
  <c r="G745" i="13" s="1"/>
  <c r="G746" i="13" s="1"/>
  <c r="G747" i="13" s="1"/>
  <c r="G748" i="13" s="1"/>
  <c r="G749" i="13" s="1"/>
  <c r="G750" i="13" s="1"/>
  <c r="G751" i="13" s="1"/>
  <c r="G752" i="13" s="1"/>
  <c r="G753" i="13" s="1"/>
  <c r="G754" i="13" s="1"/>
  <c r="G755" i="13" s="1"/>
  <c r="G756" i="13" s="1"/>
  <c r="G757" i="13" s="1"/>
  <c r="G758" i="13" s="1"/>
  <c r="G759" i="13" s="1"/>
  <c r="G760" i="13" s="1"/>
  <c r="G761" i="13" s="1"/>
  <c r="G762" i="13" s="1"/>
  <c r="G763" i="13" s="1"/>
  <c r="G764" i="13" s="1"/>
  <c r="G765" i="13" s="1"/>
  <c r="G766" i="13" s="1"/>
  <c r="G767" i="13" s="1"/>
  <c r="G768" i="13" s="1"/>
  <c r="G769" i="13" s="1"/>
  <c r="G770" i="13" s="1"/>
  <c r="G771" i="13" s="1"/>
  <c r="G772" i="13" s="1"/>
  <c r="G773" i="13" s="1"/>
  <c r="G774" i="13" s="1"/>
  <c r="G775" i="13" s="1"/>
  <c r="G776" i="13" s="1"/>
  <c r="G777" i="13" s="1"/>
  <c r="G778" i="13" s="1"/>
  <c r="G779" i="13" s="1"/>
  <c r="G780" i="13" s="1"/>
  <c r="G781" i="13" s="1"/>
  <c r="G782" i="13" s="1"/>
  <c r="G783" i="13" s="1"/>
  <c r="G784" i="13" s="1"/>
  <c r="G785" i="13" s="1"/>
  <c r="G786" i="13" s="1"/>
  <c r="G787" i="13" s="1"/>
  <c r="G788" i="13" s="1"/>
  <c r="G789" i="13" s="1"/>
  <c r="G790" i="13" s="1"/>
  <c r="G791" i="13" s="1"/>
  <c r="G792" i="13" s="1"/>
  <c r="G793" i="13" s="1"/>
  <c r="G794" i="13" s="1"/>
  <c r="G795" i="13" s="1"/>
  <c r="G796" i="13" s="1"/>
  <c r="G797" i="13" s="1"/>
  <c r="G798" i="13" s="1"/>
  <c r="G799" i="13" s="1"/>
  <c r="G800" i="13" s="1"/>
  <c r="G801" i="13" s="1"/>
  <c r="G802" i="13" s="1"/>
  <c r="G803" i="13" s="1"/>
  <c r="G804" i="13" s="1"/>
  <c r="G805" i="13" s="1"/>
  <c r="G806" i="13" s="1"/>
  <c r="G807" i="13" s="1"/>
  <c r="G808" i="13" s="1"/>
  <c r="G809" i="13" s="1"/>
  <c r="G810" i="13" s="1"/>
  <c r="G811" i="13" s="1"/>
  <c r="G812" i="13" s="1"/>
  <c r="G813" i="13" s="1"/>
  <c r="G814" i="13" s="1"/>
  <c r="G815" i="13" s="1"/>
  <c r="G816" i="13" s="1"/>
  <c r="G817" i="13" s="1"/>
  <c r="G818" i="13" s="1"/>
  <c r="G819" i="13" s="1"/>
  <c r="G820" i="13" s="1"/>
  <c r="G821" i="13" s="1"/>
  <c r="G822" i="13" s="1"/>
  <c r="G823" i="13" s="1"/>
  <c r="G824" i="13" s="1"/>
  <c r="G825" i="13" s="1"/>
  <c r="G826" i="13" s="1"/>
  <c r="G827" i="13" s="1"/>
  <c r="G828" i="13" s="1"/>
  <c r="G829" i="13" s="1"/>
  <c r="G830" i="13" s="1"/>
  <c r="G831" i="13" s="1"/>
  <c r="G832" i="13" s="1"/>
  <c r="G833" i="13" s="1"/>
  <c r="G834" i="13" s="1"/>
  <c r="G835" i="13" s="1"/>
  <c r="G836" i="13" s="1"/>
  <c r="G837" i="13" s="1"/>
  <c r="G838" i="13" s="1"/>
  <c r="G839" i="13" s="1"/>
  <c r="G840" i="13" s="1"/>
  <c r="G841" i="13" s="1"/>
  <c r="G842" i="13" s="1"/>
  <c r="G843" i="13" s="1"/>
  <c r="G844" i="13" s="1"/>
  <c r="G845" i="13" s="1"/>
  <c r="G846" i="13" s="1"/>
  <c r="G847" i="13" s="1"/>
  <c r="G848" i="13" s="1"/>
  <c r="G849" i="13" s="1"/>
  <c r="G850" i="13" s="1"/>
  <c r="G851" i="13" s="1"/>
  <c r="G852" i="13" s="1"/>
  <c r="G853" i="13" s="1"/>
  <c r="G854" i="13" s="1"/>
  <c r="G855" i="13" s="1"/>
  <c r="G856" i="13" s="1"/>
  <c r="G857" i="13" s="1"/>
  <c r="G858" i="13" s="1"/>
  <c r="G859" i="13" s="1"/>
  <c r="G860" i="13" s="1"/>
  <c r="G861" i="13" s="1"/>
  <c r="G862" i="13" s="1"/>
  <c r="G863" i="13" s="1"/>
  <c r="G864" i="13" s="1"/>
  <c r="G865" i="13" s="1"/>
  <c r="G866" i="13" s="1"/>
  <c r="G867" i="13" s="1"/>
  <c r="G868" i="13" s="1"/>
  <c r="G869" i="13" s="1"/>
  <c r="G870" i="13" s="1"/>
  <c r="G871" i="13" s="1"/>
  <c r="G872" i="13" s="1"/>
  <c r="G873" i="13" s="1"/>
  <c r="G874" i="13" s="1"/>
  <c r="G875" i="13" s="1"/>
  <c r="G876" i="13" s="1"/>
  <c r="G877" i="13" s="1"/>
  <c r="G878" i="13" s="1"/>
  <c r="G879" i="13" s="1"/>
  <c r="G880" i="13" s="1"/>
  <c r="G881" i="13" s="1"/>
  <c r="G882" i="13" s="1"/>
  <c r="G883" i="13" s="1"/>
  <c r="G884" i="13" s="1"/>
  <c r="G885" i="13" s="1"/>
  <c r="G886" i="13" s="1"/>
  <c r="G887" i="13" s="1"/>
  <c r="G888" i="13" s="1"/>
  <c r="G889" i="13" s="1"/>
  <c r="G890" i="13" s="1"/>
  <c r="G891" i="13" s="1"/>
  <c r="G892" i="13" s="1"/>
  <c r="G893" i="13" s="1"/>
  <c r="G894" i="13" s="1"/>
  <c r="G895" i="13" s="1"/>
  <c r="G896" i="13" s="1"/>
  <c r="G897" i="13" s="1"/>
  <c r="G898" i="13" s="1"/>
  <c r="G899" i="13" s="1"/>
  <c r="G900" i="13" s="1"/>
  <c r="G901" i="13" s="1"/>
  <c r="G902" i="13" s="1"/>
  <c r="G903" i="13" s="1"/>
  <c r="G904" i="13" s="1"/>
  <c r="G905" i="13" s="1"/>
  <c r="G906" i="13" s="1"/>
  <c r="G907" i="13" s="1"/>
  <c r="G908" i="13" s="1"/>
  <c r="G909" i="13" s="1"/>
  <c r="G910" i="13" s="1"/>
  <c r="G911" i="13" s="1"/>
  <c r="G912" i="13" s="1"/>
  <c r="G913" i="13" s="1"/>
  <c r="G914" i="13" s="1"/>
  <c r="G915" i="13" s="1"/>
  <c r="G916" i="13" s="1"/>
  <c r="G917" i="13" s="1"/>
  <c r="G918" i="13" s="1"/>
  <c r="G919" i="13" s="1"/>
  <c r="G920" i="13" s="1"/>
  <c r="G921" i="13" s="1"/>
  <c r="G922" i="13" s="1"/>
  <c r="G923" i="13" s="1"/>
  <c r="G924" i="13" s="1"/>
  <c r="G925" i="13" s="1"/>
  <c r="G926" i="13" s="1"/>
  <c r="G927" i="13" s="1"/>
  <c r="G928" i="13" s="1"/>
  <c r="G929" i="13" s="1"/>
  <c r="G930" i="13" s="1"/>
  <c r="G931" i="13" s="1"/>
  <c r="G932" i="13" s="1"/>
  <c r="G933" i="13" s="1"/>
  <c r="G934" i="13" s="1"/>
  <c r="G935" i="13" s="1"/>
  <c r="G936" i="13" s="1"/>
  <c r="G937" i="13" s="1"/>
  <c r="G938" i="13" s="1"/>
  <c r="G939" i="13" s="1"/>
  <c r="G940" i="13" s="1"/>
  <c r="G941" i="13" s="1"/>
  <c r="G942" i="13" s="1"/>
  <c r="G943" i="13" s="1"/>
  <c r="G944" i="13" s="1"/>
  <c r="G945" i="13" s="1"/>
  <c r="G946" i="13" s="1"/>
  <c r="G947" i="13" s="1"/>
  <c r="G948" i="13" s="1"/>
  <c r="G949" i="13" s="1"/>
  <c r="G950" i="13" s="1"/>
  <c r="G951" i="13" s="1"/>
  <c r="G952" i="13" s="1"/>
  <c r="G953" i="13" s="1"/>
  <c r="G954" i="13" s="1"/>
  <c r="G955" i="13" s="1"/>
  <c r="G956" i="13" s="1"/>
  <c r="G957" i="13" s="1"/>
  <c r="G958" i="13" s="1"/>
  <c r="G959" i="13" s="1"/>
  <c r="G960" i="13" s="1"/>
  <c r="G961" i="13" s="1"/>
  <c r="G962" i="13" s="1"/>
  <c r="G963" i="13" s="1"/>
  <c r="G964" i="13" s="1"/>
  <c r="G965" i="13" s="1"/>
  <c r="G966" i="13" s="1"/>
  <c r="G967" i="13" s="1"/>
  <c r="G968" i="13" s="1"/>
  <c r="G969" i="13" s="1"/>
  <c r="G970" i="13" s="1"/>
  <c r="G971" i="13" s="1"/>
  <c r="G972" i="13" s="1"/>
  <c r="G973" i="13" s="1"/>
  <c r="G974" i="13" s="1"/>
  <c r="G975" i="13" s="1"/>
  <c r="G976" i="13" s="1"/>
  <c r="G977" i="13" s="1"/>
  <c r="G978" i="13" s="1"/>
  <c r="G979" i="13" s="1"/>
  <c r="G980" i="13" s="1"/>
  <c r="G981" i="13" s="1"/>
  <c r="G982" i="13" s="1"/>
  <c r="G983" i="13" s="1"/>
  <c r="G984" i="13" s="1"/>
  <c r="G985" i="13" s="1"/>
  <c r="G986" i="13" s="1"/>
  <c r="G987" i="13" s="1"/>
  <c r="G988" i="13" s="1"/>
  <c r="G989" i="13" s="1"/>
  <c r="G990" i="13" s="1"/>
  <c r="G991" i="13" s="1"/>
  <c r="G992" i="13" s="1"/>
  <c r="G993" i="13" s="1"/>
  <c r="G994" i="13" s="1"/>
  <c r="G995" i="13" s="1"/>
  <c r="G996" i="13" s="1"/>
  <c r="G997" i="13" s="1"/>
  <c r="G998" i="13" s="1"/>
  <c r="G999" i="13" s="1"/>
  <c r="G1000" i="13" s="1"/>
  <c r="G1001" i="13" s="1"/>
  <c r="G1002" i="13" s="1"/>
  <c r="G1003" i="13" s="1"/>
  <c r="G1004" i="13" s="1"/>
  <c r="G1005" i="13" s="1"/>
  <c r="G1006" i="13" s="1"/>
  <c r="G1007" i="13" s="1"/>
  <c r="G1008" i="13" s="1"/>
  <c r="G1009" i="13" s="1"/>
  <c r="G1010" i="13" s="1"/>
  <c r="G1011" i="13" s="1"/>
  <c r="G1012" i="13" s="1"/>
  <c r="G1013" i="13" s="1"/>
  <c r="G1014" i="13" s="1"/>
  <c r="G1015" i="13" s="1"/>
  <c r="G1016" i="13" s="1"/>
  <c r="G1017" i="13" s="1"/>
  <c r="G1018" i="13" s="1"/>
  <c r="G1019" i="13" s="1"/>
  <c r="G1020" i="13" s="1"/>
  <c r="G1021" i="13" s="1"/>
  <c r="G1022" i="13" s="1"/>
  <c r="G1023" i="13" s="1"/>
  <c r="G1024" i="13" s="1"/>
  <c r="G1025" i="13" s="1"/>
  <c r="G1026" i="13" s="1"/>
  <c r="G1027" i="13" s="1"/>
  <c r="G1028" i="13" s="1"/>
  <c r="G1029" i="13" s="1"/>
  <c r="G1030" i="13" s="1"/>
  <c r="G1031" i="13" s="1"/>
  <c r="G1032" i="13" s="1"/>
  <c r="G1033" i="13" s="1"/>
  <c r="G1034" i="13" s="1"/>
  <c r="G1035" i="13" s="1"/>
  <c r="G1036" i="13" s="1"/>
  <c r="G1037" i="13" s="1"/>
  <c r="G1038" i="13" s="1"/>
  <c r="G1039" i="13" s="1"/>
  <c r="G1040" i="13" s="1"/>
  <c r="G1041" i="13" s="1"/>
  <c r="G1042" i="13" s="1"/>
  <c r="G1043" i="13" s="1"/>
  <c r="G1044" i="13" s="1"/>
  <c r="G1045" i="13" s="1"/>
  <c r="G1046" i="13" s="1"/>
  <c r="G1047" i="13" s="1"/>
  <c r="G1048" i="13" s="1"/>
  <c r="G1049" i="13" s="1"/>
  <c r="G1050" i="13" s="1"/>
  <c r="G1051" i="13" s="1"/>
  <c r="G1052" i="13" s="1"/>
  <c r="G1053" i="13" s="1"/>
  <c r="G1054" i="13" s="1"/>
  <c r="G1055" i="13" s="1"/>
  <c r="G1056" i="13" s="1"/>
  <c r="G1057" i="13" s="1"/>
  <c r="G1058" i="13" s="1"/>
  <c r="G1059" i="13" s="1"/>
  <c r="G1060" i="13" s="1"/>
  <c r="G1061" i="13" s="1"/>
  <c r="G1062" i="13" s="1"/>
  <c r="G1063" i="13" s="1"/>
  <c r="G1064" i="13" s="1"/>
  <c r="G1065" i="13" s="1"/>
  <c r="G1066" i="13" s="1"/>
  <c r="G1067" i="13" s="1"/>
  <c r="G1068" i="13" s="1"/>
  <c r="G1069" i="13" s="1"/>
  <c r="G1070" i="13" s="1"/>
  <c r="G1071" i="13" s="1"/>
  <c r="G1072" i="13" s="1"/>
  <c r="G1073" i="13" s="1"/>
  <c r="G1074" i="13" s="1"/>
  <c r="G1075" i="13" s="1"/>
  <c r="G1076" i="13" s="1"/>
  <c r="G1077" i="13" s="1"/>
  <c r="G1078" i="13" s="1"/>
  <c r="G1079" i="13" s="1"/>
  <c r="G1080" i="13" s="1"/>
  <c r="G1081" i="13" s="1"/>
  <c r="G1082" i="13" s="1"/>
  <c r="G1083" i="13" s="1"/>
  <c r="G1084" i="13" s="1"/>
  <c r="G1085" i="13" s="1"/>
  <c r="G1086" i="13" s="1"/>
  <c r="G1087" i="13" s="1"/>
  <c r="G1088" i="13" s="1"/>
  <c r="G1089" i="13" s="1"/>
  <c r="G1090" i="13" s="1"/>
  <c r="G1091" i="13" s="1"/>
  <c r="G1092" i="13" s="1"/>
  <c r="G1093" i="13" s="1"/>
  <c r="G1094" i="13" s="1"/>
  <c r="G1095" i="13" s="1"/>
  <c r="G1096" i="13" s="1"/>
  <c r="G1097" i="13" s="1"/>
  <c r="G1098" i="13" s="1"/>
  <c r="G1099" i="13" s="1"/>
  <c r="G1100" i="13" s="1"/>
  <c r="G1101" i="13" s="1"/>
  <c r="G1102" i="13" s="1"/>
  <c r="G1103" i="13" s="1"/>
  <c r="G1104" i="13" s="1"/>
  <c r="G1105" i="13" s="1"/>
  <c r="G1106" i="13" s="1"/>
  <c r="G1107" i="13" s="1"/>
  <c r="G1108" i="13" s="1"/>
  <c r="G1109" i="13" s="1"/>
  <c r="G1110" i="13" s="1"/>
  <c r="G1111" i="13" s="1"/>
  <c r="G1112" i="13" s="1"/>
  <c r="G1113" i="13" s="1"/>
  <c r="G1114" i="13" s="1"/>
  <c r="G1115" i="13" s="1"/>
  <c r="G1116" i="13" s="1"/>
  <c r="G1117" i="13" s="1"/>
  <c r="G1118" i="13" s="1"/>
  <c r="G1119" i="13" s="1"/>
  <c r="G1120" i="13" s="1"/>
  <c r="G1121" i="13" s="1"/>
  <c r="G1122" i="13" s="1"/>
  <c r="G1123" i="13" s="1"/>
  <c r="G1124" i="13" s="1"/>
  <c r="G1125" i="13" s="1"/>
  <c r="G1126" i="13" s="1"/>
  <c r="G1127" i="13" s="1"/>
  <c r="G1128" i="13" s="1"/>
  <c r="G1129" i="13" s="1"/>
  <c r="G1130" i="13" s="1"/>
  <c r="G1131" i="13" s="1"/>
  <c r="G1132" i="13" s="1"/>
  <c r="G1133" i="13" s="1"/>
  <c r="G1134" i="13" s="1"/>
  <c r="G1135" i="13" s="1"/>
  <c r="G1136" i="13" s="1"/>
  <c r="G1137" i="13" s="1"/>
  <c r="G1138" i="13" s="1"/>
  <c r="G1139" i="13" s="1"/>
  <c r="G1140" i="13" s="1"/>
  <c r="G1141" i="13" s="1"/>
  <c r="G1142" i="13" s="1"/>
  <c r="G1143" i="13" s="1"/>
  <c r="G1144" i="13" s="1"/>
  <c r="G1145" i="13" s="1"/>
  <c r="G1146" i="13" s="1"/>
  <c r="G1147" i="13" s="1"/>
  <c r="G1148" i="13" s="1"/>
  <c r="G1149" i="13" s="1"/>
  <c r="G1150" i="13" s="1"/>
  <c r="G1151" i="13" s="1"/>
  <c r="G1152" i="13" s="1"/>
  <c r="G1153" i="13" s="1"/>
  <c r="G1154" i="13" s="1"/>
  <c r="G1155" i="13" s="1"/>
  <c r="G1156" i="13" s="1"/>
  <c r="G1157" i="13" s="1"/>
  <c r="G1158" i="13" s="1"/>
  <c r="G1159" i="13" s="1"/>
  <c r="G1160" i="13" s="1"/>
  <c r="G1161" i="13" s="1"/>
  <c r="G1162" i="13" s="1"/>
  <c r="G1163" i="13" s="1"/>
  <c r="G1164" i="13" s="1"/>
  <c r="G1165" i="13" s="1"/>
  <c r="G1166" i="13" s="1"/>
  <c r="G1167" i="13" s="1"/>
  <c r="G1168" i="13" s="1"/>
  <c r="G1169" i="13" s="1"/>
  <c r="G1170" i="13" s="1"/>
  <c r="G1171" i="13" s="1"/>
  <c r="G1172" i="13" s="1"/>
  <c r="G1173" i="13" s="1"/>
  <c r="G1174" i="13" s="1"/>
  <c r="G1175" i="13" s="1"/>
  <c r="G1176" i="13" s="1"/>
  <c r="G1177" i="13" s="1"/>
  <c r="G1178" i="13" s="1"/>
  <c r="G1179" i="13" s="1"/>
  <c r="G1180" i="13" s="1"/>
  <c r="G1181" i="13" s="1"/>
  <c r="G1182" i="13" s="1"/>
  <c r="G1183" i="13" s="1"/>
  <c r="G1184" i="13" s="1"/>
  <c r="G1185" i="13" s="1"/>
  <c r="G1186" i="13" s="1"/>
  <c r="G1187" i="13" s="1"/>
  <c r="G1188" i="13" s="1"/>
  <c r="G1189" i="13" s="1"/>
  <c r="G1190" i="13" s="1"/>
  <c r="G1191" i="13" s="1"/>
  <c r="G1192" i="13" s="1"/>
  <c r="G1193" i="13" s="1"/>
  <c r="G1194" i="13" s="1"/>
  <c r="G1195" i="13" s="1"/>
  <c r="G1196" i="13" s="1"/>
  <c r="G1197" i="13" s="1"/>
  <c r="G1198" i="13" s="1"/>
  <c r="G1199" i="13" s="1"/>
  <c r="G1200" i="13" s="1"/>
  <c r="G1201" i="13" s="1"/>
  <c r="G1202" i="13" s="1"/>
  <c r="G1203" i="13" s="1"/>
  <c r="G1204" i="13" s="1"/>
  <c r="G1205" i="13" s="1"/>
  <c r="G1206" i="13" s="1"/>
  <c r="G1207" i="13" s="1"/>
  <c r="G1208" i="13" s="1"/>
  <c r="G1209" i="13" s="1"/>
  <c r="G1210" i="13" s="1"/>
  <c r="G1211" i="13" s="1"/>
  <c r="G1212" i="13" s="1"/>
  <c r="G1213" i="13" s="1"/>
  <c r="G1214" i="13" s="1"/>
  <c r="G1215" i="13" s="1"/>
  <c r="G1216" i="13" s="1"/>
  <c r="G1217" i="13" s="1"/>
  <c r="G1218" i="13" s="1"/>
  <c r="G1219" i="13" s="1"/>
  <c r="C113" i="13"/>
  <c r="C112" i="13"/>
  <c r="C111" i="13"/>
  <c r="C110" i="13"/>
  <c r="C109" i="13"/>
  <c r="E6" i="6"/>
  <c r="E7" i="6"/>
  <c r="E10" i="6"/>
  <c r="E14" i="6"/>
  <c r="E17" i="6"/>
  <c r="E22" i="6"/>
  <c r="E24" i="6"/>
  <c r="E25" i="6"/>
  <c r="N5" i="3"/>
  <c r="N2" i="3" s="1"/>
  <c r="H19" i="3"/>
  <c r="L12" i="4"/>
  <c r="J59" i="4"/>
  <c r="K64" i="4"/>
  <c r="F20" i="5"/>
  <c r="K20" i="5"/>
  <c r="K28" i="5"/>
  <c r="M28" i="5" s="1"/>
  <c r="U3" i="6"/>
  <c r="N13" i="3"/>
  <c r="N15" i="3"/>
  <c r="G12" i="4"/>
  <c r="G21" i="4"/>
  <c r="G22" i="4"/>
  <c r="G41" i="4"/>
  <c r="M53" i="4"/>
  <c r="K55" i="4"/>
  <c r="L56" i="4"/>
  <c r="M56" i="4" s="1"/>
  <c r="K63" i="4"/>
  <c r="M65" i="4"/>
  <c r="K23" i="5"/>
  <c r="K27" i="5"/>
  <c r="K31" i="5"/>
  <c r="L5" i="6"/>
  <c r="P5" i="6"/>
  <c r="T5" i="6"/>
  <c r="X5" i="6"/>
  <c r="AB5" i="6"/>
  <c r="L6" i="6"/>
  <c r="P6" i="6"/>
  <c r="T6" i="6"/>
  <c r="X6" i="6"/>
  <c r="AB6" i="6"/>
  <c r="L7" i="6"/>
  <c r="P7" i="6"/>
  <c r="T7" i="6"/>
  <c r="X7" i="6"/>
  <c r="AB7" i="6"/>
  <c r="L8" i="6"/>
  <c r="P8" i="6"/>
  <c r="T8" i="6"/>
  <c r="X8" i="6"/>
  <c r="AB8" i="6"/>
  <c r="L9" i="6"/>
  <c r="P9" i="6"/>
  <c r="T9" i="6"/>
  <c r="X9" i="6"/>
  <c r="AB9" i="6"/>
  <c r="L10" i="6"/>
  <c r="P10" i="6"/>
  <c r="T10" i="6"/>
  <c r="X10" i="6"/>
  <c r="AB10" i="6"/>
  <c r="L11" i="6"/>
  <c r="P11" i="6"/>
  <c r="T11" i="6"/>
  <c r="X11" i="6"/>
  <c r="AB11" i="6"/>
  <c r="L12" i="6"/>
  <c r="P12" i="6"/>
  <c r="T12" i="6"/>
  <c r="X12" i="6"/>
  <c r="AB12" i="6"/>
  <c r="L14" i="6"/>
  <c r="P14" i="6"/>
  <c r="T14" i="6"/>
  <c r="X14" i="6"/>
  <c r="AB14" i="6"/>
  <c r="L15" i="6"/>
  <c r="P15" i="6"/>
  <c r="T15" i="6"/>
  <c r="X15" i="6"/>
  <c r="AB15" i="6"/>
  <c r="L16" i="6"/>
  <c r="P16" i="6"/>
  <c r="T16" i="6"/>
  <c r="X16" i="6"/>
  <c r="AB16" i="6"/>
  <c r="L17" i="6"/>
  <c r="P17" i="6"/>
  <c r="T17" i="6"/>
  <c r="X17" i="6"/>
  <c r="AB17" i="6"/>
  <c r="L18" i="6"/>
  <c r="P18" i="6"/>
  <c r="T18" i="6"/>
  <c r="X18" i="6"/>
  <c r="AB18" i="6"/>
  <c r="L19" i="6"/>
  <c r="P19" i="6"/>
  <c r="T19" i="6"/>
  <c r="X19" i="6"/>
  <c r="AB19" i="6"/>
  <c r="L20" i="6"/>
  <c r="P20" i="6"/>
  <c r="T20" i="6"/>
  <c r="X20" i="6"/>
  <c r="AB20" i="6"/>
  <c r="L21" i="6"/>
  <c r="P21" i="6"/>
  <c r="T21" i="6"/>
  <c r="X21" i="6"/>
  <c r="AB21" i="6"/>
  <c r="L22" i="6"/>
  <c r="P22" i="6"/>
  <c r="T22" i="6"/>
  <c r="X22" i="6"/>
  <c r="AB22" i="6"/>
  <c r="L23" i="6"/>
  <c r="P23" i="6"/>
  <c r="T23" i="6"/>
  <c r="X23" i="6"/>
  <c r="AB23" i="6"/>
  <c r="L24" i="6"/>
  <c r="P24" i="6"/>
  <c r="T24" i="6"/>
  <c r="X24" i="6"/>
  <c r="AB24" i="6"/>
  <c r="L25" i="6"/>
  <c r="P25" i="6"/>
  <c r="T25" i="6"/>
  <c r="X25" i="6"/>
  <c r="AB25" i="6"/>
  <c r="L26" i="6"/>
  <c r="P26" i="6"/>
  <c r="T26" i="6"/>
  <c r="X26" i="6"/>
  <c r="AB26" i="6"/>
  <c r="L27" i="6"/>
  <c r="P27" i="6"/>
  <c r="T27" i="6"/>
  <c r="X27" i="6"/>
  <c r="AB27" i="6"/>
  <c r="L28" i="6"/>
  <c r="P28" i="6"/>
  <c r="T28" i="6"/>
  <c r="X28" i="6"/>
  <c r="AB28" i="6"/>
  <c r="L29" i="6"/>
  <c r="P29" i="6"/>
  <c r="T29" i="6"/>
  <c r="X29" i="6"/>
  <c r="AB29" i="6"/>
  <c r="L30" i="6"/>
  <c r="P30" i="6"/>
  <c r="T30" i="6"/>
  <c r="X30" i="6"/>
  <c r="AB30" i="6"/>
  <c r="L31" i="6"/>
  <c r="P31" i="6"/>
  <c r="T31" i="6"/>
  <c r="X31" i="6"/>
  <c r="AB31" i="6"/>
  <c r="L33" i="6"/>
  <c r="P33" i="6"/>
  <c r="T33" i="6"/>
  <c r="X33" i="6"/>
  <c r="AB33" i="6"/>
  <c r="L34" i="6"/>
  <c r="P34" i="6"/>
  <c r="T34" i="6"/>
  <c r="X34" i="6"/>
  <c r="AB34" i="6"/>
  <c r="L35" i="6"/>
  <c r="P35" i="6"/>
  <c r="T35" i="6"/>
  <c r="X35" i="6"/>
  <c r="AB35" i="6"/>
  <c r="L36" i="6"/>
  <c r="P36" i="6"/>
  <c r="T36" i="6"/>
  <c r="X36" i="6"/>
  <c r="AB36" i="6"/>
  <c r="L37" i="6"/>
  <c r="P37" i="6"/>
  <c r="T37" i="6"/>
  <c r="X37" i="6"/>
  <c r="AB37" i="6"/>
  <c r="L38" i="6"/>
  <c r="P38" i="6"/>
  <c r="T38" i="6"/>
  <c r="X38" i="6"/>
  <c r="AB38" i="6"/>
  <c r="L39" i="6"/>
  <c r="P39" i="6"/>
  <c r="T39" i="6"/>
  <c r="X39" i="6"/>
  <c r="AB39" i="6"/>
  <c r="L40" i="6"/>
  <c r="P40" i="6"/>
  <c r="T40" i="6"/>
  <c r="X40" i="6"/>
  <c r="AB40" i="6"/>
  <c r="L41" i="6"/>
  <c r="P41" i="6"/>
  <c r="T41" i="6"/>
  <c r="X41" i="6"/>
  <c r="AB41" i="6"/>
  <c r="L42" i="6"/>
  <c r="P42" i="6"/>
  <c r="T42" i="6"/>
  <c r="X42" i="6"/>
  <c r="AB42" i="6"/>
  <c r="L43" i="6"/>
  <c r="P43" i="6"/>
  <c r="T43" i="6"/>
  <c r="X43" i="6"/>
  <c r="AB43" i="6"/>
  <c r="E439" i="10"/>
  <c r="I439" i="10"/>
  <c r="E443" i="10"/>
  <c r="I443" i="10"/>
  <c r="E447" i="10"/>
  <c r="I447" i="10"/>
  <c r="E451" i="10"/>
  <c r="I451" i="10"/>
  <c r="E455" i="10"/>
  <c r="I455" i="10"/>
  <c r="E459" i="10"/>
  <c r="I459" i="10"/>
  <c r="E463" i="10"/>
  <c r="I463" i="10"/>
  <c r="E467" i="10"/>
  <c r="I467" i="10"/>
  <c r="E471" i="10"/>
  <c r="I471" i="10"/>
  <c r="E475" i="10"/>
  <c r="I475" i="10"/>
  <c r="E479" i="10"/>
  <c r="I479" i="10"/>
  <c r="E483" i="10"/>
  <c r="I483" i="10"/>
  <c r="E487" i="10"/>
  <c r="I487" i="10"/>
  <c r="E491" i="10"/>
  <c r="I491" i="10"/>
  <c r="E495" i="10"/>
  <c r="I495" i="10"/>
  <c r="E499" i="10"/>
  <c r="I499" i="10"/>
  <c r="E503" i="10"/>
  <c r="I503" i="10"/>
  <c r="E507" i="10"/>
  <c r="I507" i="10"/>
  <c r="E511" i="10"/>
  <c r="I511" i="10"/>
  <c r="E515" i="10"/>
  <c r="I515" i="10"/>
  <c r="E519" i="10"/>
  <c r="I519" i="10"/>
  <c r="E523" i="10"/>
  <c r="I523" i="10"/>
  <c r="E527" i="10"/>
  <c r="I527" i="10"/>
  <c r="E531" i="10"/>
  <c r="I531" i="10"/>
  <c r="E535" i="10"/>
  <c r="I535" i="10"/>
  <c r="E539" i="10"/>
  <c r="I539" i="10"/>
  <c r="E543" i="10"/>
  <c r="I543" i="10"/>
  <c r="E547" i="10"/>
  <c r="I547" i="10"/>
  <c r="E551" i="10"/>
  <c r="I551" i="10"/>
  <c r="E555" i="10"/>
  <c r="I555" i="10"/>
  <c r="E559" i="10"/>
  <c r="I559" i="10"/>
  <c r="E563" i="10"/>
  <c r="I563" i="10"/>
  <c r="E567" i="10"/>
  <c r="I567" i="10"/>
  <c r="E571" i="10"/>
  <c r="I571" i="10"/>
  <c r="E575" i="10"/>
  <c r="I575" i="10"/>
  <c r="E579" i="10"/>
  <c r="I579" i="10"/>
  <c r="E583" i="10"/>
  <c r="I583" i="10"/>
  <c r="E587" i="10"/>
  <c r="I587" i="10"/>
  <c r="E591" i="10"/>
  <c r="I591" i="10"/>
  <c r="E595" i="10"/>
  <c r="I595" i="10"/>
  <c r="E599" i="10"/>
  <c r="I599" i="10"/>
  <c r="E603" i="10"/>
  <c r="I603" i="10"/>
  <c r="E607" i="10"/>
  <c r="I607" i="10"/>
  <c r="E611" i="10"/>
  <c r="I611" i="10"/>
  <c r="E615" i="10"/>
  <c r="I615" i="10"/>
  <c r="E619" i="10"/>
  <c r="I619" i="10"/>
  <c r="E623" i="10"/>
  <c r="I623" i="10"/>
  <c r="E627" i="10"/>
  <c r="I627" i="10"/>
  <c r="E631" i="10"/>
  <c r="I631" i="10"/>
  <c r="E635" i="10"/>
  <c r="I635" i="10"/>
  <c r="E639" i="10"/>
  <c r="I639" i="10"/>
  <c r="E643" i="10"/>
  <c r="I643" i="10"/>
  <c r="E647" i="10"/>
  <c r="I647" i="10"/>
  <c r="E651" i="10"/>
  <c r="I651" i="10"/>
  <c r="E655" i="10"/>
  <c r="I655" i="10"/>
  <c r="E659" i="10"/>
  <c r="I659" i="10"/>
  <c r="E663" i="10"/>
  <c r="I663" i="10"/>
  <c r="E667" i="10"/>
  <c r="I667" i="10"/>
  <c r="E671" i="10"/>
  <c r="I671" i="10"/>
  <c r="E675" i="10"/>
  <c r="I675" i="10"/>
  <c r="E679" i="10"/>
  <c r="I679" i="10"/>
  <c r="E683" i="10"/>
  <c r="I683" i="10"/>
  <c r="E687" i="10"/>
  <c r="I687" i="10"/>
  <c r="E691" i="10"/>
  <c r="I691" i="10"/>
  <c r="E695" i="10"/>
  <c r="I695" i="10"/>
  <c r="E699" i="10"/>
  <c r="I699" i="10"/>
  <c r="E703" i="10"/>
  <c r="I703" i="10"/>
  <c r="E707" i="10"/>
  <c r="I707" i="10"/>
  <c r="E711" i="10"/>
  <c r="I711" i="10"/>
  <c r="E715" i="10"/>
  <c r="I715" i="10"/>
  <c r="E719" i="10"/>
  <c r="I719" i="10"/>
  <c r="E723" i="10"/>
  <c r="I723" i="10"/>
  <c r="E727" i="10"/>
  <c r="I727" i="10"/>
  <c r="E731" i="10"/>
  <c r="I731" i="10"/>
  <c r="E735" i="10"/>
  <c r="I735" i="10"/>
  <c r="E739" i="10"/>
  <c r="I739" i="10"/>
  <c r="E743" i="10"/>
  <c r="I743" i="10"/>
  <c r="E747" i="10"/>
  <c r="I747" i="10"/>
  <c r="E751" i="10"/>
  <c r="I751" i="10"/>
  <c r="E755" i="10"/>
  <c r="I755" i="10"/>
  <c r="E759" i="10"/>
  <c r="I759" i="10"/>
  <c r="E763" i="10"/>
  <c r="I763" i="10"/>
  <c r="E767" i="10"/>
  <c r="I767" i="10"/>
  <c r="E771" i="10"/>
  <c r="I771" i="10"/>
  <c r="E775" i="10"/>
  <c r="I775" i="10"/>
  <c r="E779" i="10"/>
  <c r="I779" i="10"/>
  <c r="E783" i="10"/>
  <c r="I783" i="10"/>
  <c r="E787" i="10"/>
  <c r="I787" i="10"/>
  <c r="E791" i="10"/>
  <c r="I791" i="10"/>
  <c r="E795" i="10"/>
  <c r="I795" i="10"/>
  <c r="E799" i="10"/>
  <c r="I799" i="10"/>
  <c r="E803" i="10"/>
  <c r="I803" i="10"/>
  <c r="E807" i="10"/>
  <c r="I807" i="10"/>
  <c r="E811" i="10"/>
  <c r="I811" i="10"/>
  <c r="E815" i="10"/>
  <c r="I815" i="10"/>
  <c r="E819" i="10"/>
  <c r="I819" i="10"/>
  <c r="E823" i="10"/>
  <c r="I823" i="10"/>
  <c r="E827" i="10"/>
  <c r="I827" i="10"/>
  <c r="E831" i="10"/>
  <c r="I831" i="10"/>
  <c r="E835" i="10"/>
  <c r="I835" i="10"/>
  <c r="E839" i="10"/>
  <c r="I839" i="10"/>
  <c r="E843" i="10"/>
  <c r="I843" i="10"/>
  <c r="E847" i="10"/>
  <c r="I847" i="10"/>
  <c r="E851" i="10"/>
  <c r="I851" i="10"/>
  <c r="E855" i="10"/>
  <c r="I855" i="10"/>
  <c r="E859" i="10"/>
  <c r="I859" i="10"/>
  <c r="E863" i="10"/>
  <c r="I863" i="10"/>
  <c r="E867" i="10"/>
  <c r="I867" i="10"/>
  <c r="E871" i="10"/>
  <c r="I871" i="10"/>
  <c r="E875" i="10"/>
  <c r="I875" i="10"/>
  <c r="E879" i="10"/>
  <c r="I879" i="10"/>
  <c r="E883" i="10"/>
  <c r="I883" i="10"/>
  <c r="E887" i="10"/>
  <c r="I887" i="10"/>
  <c r="E891" i="10"/>
  <c r="I891" i="10"/>
  <c r="E895" i="10"/>
  <c r="I895" i="10"/>
  <c r="E899" i="10"/>
  <c r="I899" i="10"/>
  <c r="E903" i="10"/>
  <c r="I903" i="10"/>
  <c r="E907" i="10"/>
  <c r="I907" i="10"/>
  <c r="E911" i="10"/>
  <c r="I911" i="10"/>
  <c r="E915" i="10"/>
  <c r="I915" i="10"/>
  <c r="E919" i="10"/>
  <c r="I919" i="10"/>
  <c r="E923" i="10"/>
  <c r="I923" i="10"/>
  <c r="E927" i="10"/>
  <c r="I927" i="10"/>
  <c r="E931" i="10"/>
  <c r="I931" i="10"/>
  <c r="E935" i="10"/>
  <c r="I935" i="10"/>
  <c r="E939" i="10"/>
  <c r="I939" i="10"/>
  <c r="E943" i="10"/>
  <c r="I943" i="10"/>
  <c r="E947" i="10"/>
  <c r="I947" i="10"/>
  <c r="E951" i="10"/>
  <c r="I951" i="10"/>
  <c r="E955" i="10"/>
  <c r="I955" i="10"/>
  <c r="E959" i="10"/>
  <c r="I959" i="10"/>
  <c r="E963" i="10"/>
  <c r="I963" i="10"/>
  <c r="E967" i="10"/>
  <c r="I967" i="10"/>
  <c r="E971" i="10"/>
  <c r="I971" i="10"/>
  <c r="E975" i="10"/>
  <c r="I975" i="10"/>
  <c r="E979" i="10"/>
  <c r="I979" i="10"/>
  <c r="E983" i="10"/>
  <c r="I983" i="10"/>
  <c r="E987" i="10"/>
  <c r="I987" i="10"/>
  <c r="E991" i="10"/>
  <c r="I991" i="10"/>
  <c r="E995" i="10"/>
  <c r="I995" i="10"/>
  <c r="E999" i="10"/>
  <c r="I999" i="10"/>
  <c r="E1003" i="10"/>
  <c r="I1003" i="10"/>
  <c r="E1007" i="10"/>
  <c r="I1007" i="10"/>
  <c r="E1011" i="10"/>
  <c r="I1011" i="10"/>
  <c r="E1015" i="10"/>
  <c r="I1015" i="10"/>
  <c r="E1019" i="10"/>
  <c r="I1019" i="10"/>
  <c r="E1023" i="10"/>
  <c r="I1023" i="10"/>
  <c r="E1027" i="10"/>
  <c r="I1027" i="10"/>
  <c r="E1031" i="10"/>
  <c r="I1031" i="10"/>
  <c r="E1035" i="10"/>
  <c r="I1035" i="10"/>
  <c r="E1039" i="10"/>
  <c r="I1039" i="10"/>
  <c r="E1043" i="10"/>
  <c r="I1043" i="10"/>
  <c r="E1047" i="10"/>
  <c r="I1047" i="10"/>
  <c r="E1051" i="10"/>
  <c r="I1051" i="10"/>
  <c r="E1055" i="10"/>
  <c r="I1055" i="10"/>
  <c r="E1059" i="10"/>
  <c r="I1059" i="10"/>
  <c r="E1063" i="10"/>
  <c r="I1063" i="10"/>
  <c r="E1067" i="10"/>
  <c r="I1067" i="10"/>
  <c r="E1071" i="10"/>
  <c r="I1071" i="10"/>
  <c r="E1075" i="10"/>
  <c r="I1075" i="10"/>
  <c r="E1079" i="10"/>
  <c r="I1079" i="10"/>
  <c r="E1083" i="10"/>
  <c r="I1083" i="10"/>
  <c r="E1087" i="10"/>
  <c r="I1087" i="10"/>
  <c r="E1091" i="10"/>
  <c r="I1091" i="10"/>
  <c r="E1095" i="10"/>
  <c r="I1095" i="10"/>
  <c r="E1099" i="10"/>
  <c r="I1099" i="10"/>
  <c r="E1103" i="10"/>
  <c r="I1103" i="10"/>
  <c r="I1125" i="10"/>
  <c r="E1125" i="10"/>
  <c r="P11" i="11"/>
  <c r="O11" i="11"/>
  <c r="Z19" i="11"/>
  <c r="Y19" i="11"/>
  <c r="E5" i="6"/>
  <c r="E9" i="6"/>
  <c r="E12" i="6"/>
  <c r="E15" i="6"/>
  <c r="E16" i="6"/>
  <c r="E26" i="6"/>
  <c r="E27" i="6"/>
  <c r="E12" i="10"/>
  <c r="E16" i="10"/>
  <c r="E20" i="10"/>
  <c r="E24" i="10"/>
  <c r="E28" i="10"/>
  <c r="E32" i="10"/>
  <c r="E36" i="10"/>
  <c r="E40" i="10"/>
  <c r="E44" i="10"/>
  <c r="E48" i="10"/>
  <c r="E52" i="10"/>
  <c r="E56" i="10"/>
  <c r="E60" i="10"/>
  <c r="E64" i="10"/>
  <c r="E68" i="10"/>
  <c r="E72" i="10"/>
  <c r="E76" i="10"/>
  <c r="E80" i="10"/>
  <c r="E84" i="10"/>
  <c r="E88" i="10"/>
  <c r="E92" i="10"/>
  <c r="E96" i="10"/>
  <c r="E100" i="10"/>
  <c r="E104" i="10"/>
  <c r="E108" i="10"/>
  <c r="E112" i="10"/>
  <c r="E116" i="10"/>
  <c r="E120" i="10"/>
  <c r="E124" i="10"/>
  <c r="E128" i="10"/>
  <c r="E132" i="10"/>
  <c r="E136" i="10"/>
  <c r="E140" i="10"/>
  <c r="E144" i="10"/>
  <c r="E148" i="10"/>
  <c r="E152" i="10"/>
  <c r="E156" i="10"/>
  <c r="E160" i="10"/>
  <c r="E164" i="10"/>
  <c r="E168" i="10"/>
  <c r="E172" i="10"/>
  <c r="E176" i="10"/>
  <c r="E180" i="10"/>
  <c r="E184" i="10"/>
  <c r="E188" i="10"/>
  <c r="E192" i="10"/>
  <c r="E196" i="10"/>
  <c r="E200" i="10"/>
  <c r="E204" i="10"/>
  <c r="E208" i="10"/>
  <c r="E212" i="10"/>
  <c r="E216" i="10"/>
  <c r="E220" i="10"/>
  <c r="E224" i="10"/>
  <c r="E228" i="10"/>
  <c r="E232" i="10"/>
  <c r="E236" i="10"/>
  <c r="E240" i="10"/>
  <c r="E244" i="10"/>
  <c r="E248" i="10"/>
  <c r="E252" i="10"/>
  <c r="E256" i="10"/>
  <c r="E260" i="10"/>
  <c r="E264" i="10"/>
  <c r="E268" i="10"/>
  <c r="E272" i="10"/>
  <c r="E276" i="10"/>
  <c r="E280" i="10"/>
  <c r="E284" i="10"/>
  <c r="E288" i="10"/>
  <c r="E292" i="10"/>
  <c r="E296" i="10"/>
  <c r="E300" i="10"/>
  <c r="E304" i="10"/>
  <c r="E308" i="10"/>
  <c r="E312" i="10"/>
  <c r="E316" i="10"/>
  <c r="E320" i="10"/>
  <c r="E324" i="10"/>
  <c r="E328" i="10"/>
  <c r="E332" i="10"/>
  <c r="E336" i="10"/>
  <c r="E340" i="10"/>
  <c r="E344" i="10"/>
  <c r="E348" i="10"/>
  <c r="E352" i="10"/>
  <c r="E356" i="10"/>
  <c r="E360" i="10"/>
  <c r="E364" i="10"/>
  <c r="E368" i="10"/>
  <c r="E372" i="10"/>
  <c r="E376" i="10"/>
  <c r="E380" i="10"/>
  <c r="E384" i="10"/>
  <c r="E388" i="10"/>
  <c r="E392" i="10"/>
  <c r="E396" i="10"/>
  <c r="E400" i="10"/>
  <c r="E404" i="10"/>
  <c r="E408" i="10"/>
  <c r="E412" i="10"/>
  <c r="E416" i="10"/>
  <c r="E420" i="10"/>
  <c r="E424" i="10"/>
  <c r="E428" i="10"/>
  <c r="E432" i="10"/>
  <c r="E436" i="10"/>
  <c r="E440" i="10"/>
  <c r="E444" i="10"/>
  <c r="E512" i="10"/>
  <c r="E516" i="10"/>
  <c r="E520" i="10"/>
  <c r="E524" i="10"/>
  <c r="E528" i="10"/>
  <c r="E532" i="10"/>
  <c r="E536" i="10"/>
  <c r="E540" i="10"/>
  <c r="E544" i="10"/>
  <c r="E548" i="10"/>
  <c r="E552" i="10"/>
  <c r="E556" i="10"/>
  <c r="E560" i="10"/>
  <c r="E564" i="10"/>
  <c r="E568" i="10"/>
  <c r="E572" i="10"/>
  <c r="E576" i="10"/>
  <c r="E580" i="10"/>
  <c r="E584" i="10"/>
  <c r="E588" i="10"/>
  <c r="E592" i="10"/>
  <c r="E596" i="10"/>
  <c r="E600" i="10"/>
  <c r="E604" i="10"/>
  <c r="E608" i="10"/>
  <c r="E612" i="10"/>
  <c r="E616" i="10"/>
  <c r="E620" i="10"/>
  <c r="E624" i="10"/>
  <c r="E628" i="10"/>
  <c r="E632" i="10"/>
  <c r="E636" i="10"/>
  <c r="E640" i="10"/>
  <c r="E644" i="10"/>
  <c r="E648" i="10"/>
  <c r="E652" i="10"/>
  <c r="E656" i="10"/>
  <c r="E660" i="10"/>
  <c r="E664" i="10"/>
  <c r="E668" i="10"/>
  <c r="E672" i="10"/>
  <c r="E676" i="10"/>
  <c r="E680" i="10"/>
  <c r="E684" i="10"/>
  <c r="E688" i="10"/>
  <c r="E692" i="10"/>
  <c r="E696" i="10"/>
  <c r="E700" i="10"/>
  <c r="E704" i="10"/>
  <c r="E708" i="10"/>
  <c r="E712" i="10"/>
  <c r="E716" i="10"/>
  <c r="E720" i="10"/>
  <c r="E724" i="10"/>
  <c r="E728" i="10"/>
  <c r="E732" i="10"/>
  <c r="E736" i="10"/>
  <c r="E740" i="10"/>
  <c r="E744" i="10"/>
  <c r="E748" i="10"/>
  <c r="E752" i="10"/>
  <c r="E756" i="10"/>
  <c r="E760" i="10"/>
  <c r="E764" i="10"/>
  <c r="E768" i="10"/>
  <c r="E772" i="10"/>
  <c r="E776" i="10"/>
  <c r="E780" i="10"/>
  <c r="E784" i="10"/>
  <c r="E788" i="10"/>
  <c r="E792" i="10"/>
  <c r="E796" i="10"/>
  <c r="E800" i="10"/>
  <c r="E804" i="10"/>
  <c r="E808" i="10"/>
  <c r="E812" i="10"/>
  <c r="E816" i="10"/>
  <c r="E820" i="10"/>
  <c r="E824" i="10"/>
  <c r="E828" i="10"/>
  <c r="E832" i="10"/>
  <c r="E836" i="10"/>
  <c r="E840" i="10"/>
  <c r="E844" i="10"/>
  <c r="E848" i="10"/>
  <c r="E852" i="10"/>
  <c r="E856" i="10"/>
  <c r="E860" i="10"/>
  <c r="E864" i="10"/>
  <c r="E868" i="10"/>
  <c r="E872" i="10"/>
  <c r="E876" i="10"/>
  <c r="E880" i="10"/>
  <c r="E884" i="10"/>
  <c r="E888" i="10"/>
  <c r="E892" i="10"/>
  <c r="E896" i="10"/>
  <c r="E900" i="10"/>
  <c r="E904" i="10"/>
  <c r="E908" i="10"/>
  <c r="E912" i="10"/>
  <c r="E916" i="10"/>
  <c r="E920" i="10"/>
  <c r="E924" i="10"/>
  <c r="E928" i="10"/>
  <c r="E932" i="10"/>
  <c r="E936" i="10"/>
  <c r="E940" i="10"/>
  <c r="E944" i="10"/>
  <c r="E948" i="10"/>
  <c r="E952" i="10"/>
  <c r="E956" i="10"/>
  <c r="E960" i="10"/>
  <c r="E964" i="10"/>
  <c r="E968" i="10"/>
  <c r="E972" i="10"/>
  <c r="E976" i="10"/>
  <c r="E980" i="10"/>
  <c r="E984" i="10"/>
  <c r="E988" i="10"/>
  <c r="E992" i="10"/>
  <c r="E996" i="10"/>
  <c r="E1000" i="10"/>
  <c r="E1004" i="10"/>
  <c r="E1008" i="10"/>
  <c r="E1012" i="10"/>
  <c r="E1016" i="10"/>
  <c r="E1020" i="10"/>
  <c r="E1032" i="10"/>
  <c r="E1036" i="10"/>
  <c r="E1040" i="10"/>
  <c r="E1084" i="10"/>
  <c r="E1088" i="10"/>
  <c r="E1092" i="10"/>
  <c r="E1096" i="10"/>
  <c r="E1100" i="10"/>
  <c r="E1104" i="10"/>
  <c r="E1108" i="10"/>
  <c r="E1112" i="10"/>
  <c r="E1116" i="10"/>
  <c r="N1171" i="10"/>
  <c r="N1167" i="10"/>
  <c r="N1163" i="10"/>
  <c r="N1159" i="10"/>
  <c r="N1155" i="10"/>
  <c r="N1151" i="10"/>
  <c r="N1147" i="10"/>
  <c r="N1143" i="10"/>
  <c r="N1139" i="10"/>
  <c r="N1135" i="10"/>
  <c r="N1131" i="10"/>
  <c r="N1127" i="10"/>
  <c r="N1123" i="10"/>
  <c r="N1170" i="10"/>
  <c r="N1166" i="10"/>
  <c r="N1162" i="10"/>
  <c r="N1158" i="10"/>
  <c r="N1154" i="10"/>
  <c r="N1150" i="10"/>
  <c r="N1146" i="10"/>
  <c r="N1142" i="10"/>
  <c r="N1138" i="10"/>
  <c r="N1134" i="10"/>
  <c r="N1130" i="10"/>
  <c r="N1126" i="10"/>
  <c r="N1122" i="10"/>
  <c r="N1118" i="10"/>
  <c r="N1169" i="10"/>
  <c r="N1165" i="10"/>
  <c r="N1161" i="10"/>
  <c r="N1157" i="10"/>
  <c r="N1153" i="10"/>
  <c r="N1149" i="10"/>
  <c r="N1145" i="10"/>
  <c r="N1141" i="10"/>
  <c r="N1137" i="10"/>
  <c r="N1133" i="10"/>
  <c r="N1129" i="10"/>
  <c r="N1168" i="10"/>
  <c r="N1164" i="10"/>
  <c r="N1160" i="10"/>
  <c r="N1156" i="10"/>
  <c r="N1152" i="10"/>
  <c r="N1148" i="10"/>
  <c r="N1144" i="10"/>
  <c r="N1140" i="10"/>
  <c r="N1136" i="10"/>
  <c r="N1132" i="10"/>
  <c r="N1128" i="10"/>
  <c r="N1124" i="10"/>
  <c r="N1120" i="10"/>
  <c r="N7" i="3"/>
  <c r="N8" i="3"/>
  <c r="K21" i="5"/>
  <c r="K25" i="5"/>
  <c r="K29" i="5"/>
  <c r="K11" i="11"/>
  <c r="F10" i="11"/>
  <c r="G11" i="11" s="1"/>
  <c r="J11" i="11"/>
  <c r="M10" i="13"/>
  <c r="E1123" i="10"/>
  <c r="I1123" i="10"/>
  <c r="E1127" i="10"/>
  <c r="I1127" i="10"/>
  <c r="E1131" i="10"/>
  <c r="I1131" i="10"/>
  <c r="E1135" i="10"/>
  <c r="I1135" i="10"/>
  <c r="E1139" i="10"/>
  <c r="I1139" i="10"/>
  <c r="E1143" i="10"/>
  <c r="I1143" i="10"/>
  <c r="E1147" i="10"/>
  <c r="I1147" i="10"/>
  <c r="E1151" i="10"/>
  <c r="I1151" i="10"/>
  <c r="E1155" i="10"/>
  <c r="I1155" i="10"/>
  <c r="E1159" i="10"/>
  <c r="I1159" i="10"/>
  <c r="E1163" i="10"/>
  <c r="I1163" i="10"/>
  <c r="E1167" i="10"/>
  <c r="I1167" i="10"/>
  <c r="E1171" i="10"/>
  <c r="I1171" i="10"/>
  <c r="G10" i="11"/>
  <c r="P10" i="11"/>
  <c r="Z18" i="11"/>
  <c r="U20" i="11"/>
  <c r="A90" i="11"/>
  <c r="K20" i="12"/>
  <c r="I22" i="12"/>
  <c r="I25" i="12"/>
  <c r="K27" i="12"/>
  <c r="I30" i="12"/>
  <c r="K33" i="12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G7" i="11"/>
  <c r="K19" i="12"/>
  <c r="I21" i="12"/>
  <c r="J22" i="12"/>
  <c r="K23" i="12"/>
  <c r="I24" i="12"/>
  <c r="J25" i="12"/>
  <c r="K26" i="12"/>
  <c r="I28" i="12"/>
  <c r="I29" i="12"/>
  <c r="J30" i="12"/>
  <c r="K31" i="12"/>
  <c r="K32" i="12"/>
  <c r="E1129" i="10"/>
  <c r="I1129" i="10"/>
  <c r="E1133" i="10"/>
  <c r="I1133" i="10"/>
  <c r="E1137" i="10"/>
  <c r="I1137" i="10"/>
  <c r="E1141" i="10"/>
  <c r="I1141" i="10"/>
  <c r="E1145" i="10"/>
  <c r="I1145" i="10"/>
  <c r="E1149" i="10"/>
  <c r="I1149" i="10"/>
  <c r="E1153" i="10"/>
  <c r="I1153" i="10"/>
  <c r="E1157" i="10"/>
  <c r="I1157" i="10"/>
  <c r="E1161" i="10"/>
  <c r="I1161" i="10"/>
  <c r="E1165" i="10"/>
  <c r="I1165" i="10"/>
  <c r="E1169" i="10"/>
  <c r="I1169" i="10"/>
  <c r="K22" i="12"/>
  <c r="K25" i="12"/>
  <c r="K30" i="12"/>
  <c r="D2" i="11"/>
  <c r="E2" i="12"/>
  <c r="I19" i="12"/>
  <c r="J20" i="12"/>
  <c r="K21" i="12"/>
  <c r="I23" i="12"/>
  <c r="K24" i="12"/>
  <c r="I26" i="12"/>
  <c r="J27" i="12"/>
  <c r="K28" i="12"/>
  <c r="I31" i="12"/>
  <c r="M11" i="14"/>
  <c r="G58" i="14"/>
  <c r="P16" i="5" l="1"/>
  <c r="F16" i="5"/>
  <c r="G20" i="5"/>
  <c r="F34" i="5"/>
  <c r="H34" i="5" s="1"/>
  <c r="L20" i="5"/>
  <c r="K34" i="5"/>
  <c r="M34" i="5" s="1"/>
  <c r="G54" i="7"/>
  <c r="G53" i="7" s="1"/>
  <c r="G52" i="7" s="1"/>
  <c r="G51" i="7" s="1"/>
  <c r="G50" i="7" s="1"/>
  <c r="G49" i="7" s="1"/>
  <c r="G48" i="7" s="1"/>
  <c r="G47" i="7" s="1"/>
  <c r="G46" i="7" s="1"/>
  <c r="G45" i="7" s="1"/>
  <c r="G44" i="7" s="1"/>
  <c r="G43" i="7" s="1"/>
  <c r="K5" i="5"/>
  <c r="L5" i="5" s="1"/>
  <c r="D52" i="6"/>
  <c r="D51" i="6"/>
  <c r="G29" i="5"/>
  <c r="D49" i="6"/>
  <c r="J14" i="3"/>
  <c r="H30" i="5"/>
  <c r="K4" i="5"/>
  <c r="M4" i="5" s="1"/>
  <c r="H22" i="5"/>
  <c r="D50" i="6"/>
  <c r="D4" i="3"/>
  <c r="D2" i="3" s="1"/>
  <c r="M26" i="5"/>
  <c r="H27" i="5"/>
  <c r="P34" i="5"/>
  <c r="G25" i="5"/>
  <c r="D45" i="6"/>
  <c r="K8" i="5"/>
  <c r="M8" i="5" s="1"/>
  <c r="F43" i="6"/>
  <c r="G43" i="6" s="1"/>
  <c r="F39" i="6"/>
  <c r="G39" i="6" s="1"/>
  <c r="F35" i="6"/>
  <c r="G35" i="6" s="1"/>
  <c r="F30" i="6"/>
  <c r="G30" i="6" s="1"/>
  <c r="F26" i="6"/>
  <c r="G26" i="6" s="1"/>
  <c r="F22" i="6"/>
  <c r="G22" i="6" s="1"/>
  <c r="F18" i="6"/>
  <c r="G18" i="6" s="1"/>
  <c r="F14" i="6"/>
  <c r="G14" i="6" s="1"/>
  <c r="F9" i="6"/>
  <c r="G9" i="6" s="1"/>
  <c r="F5" i="6"/>
  <c r="G5" i="6" s="1"/>
  <c r="V4" i="3"/>
  <c r="J22" i="3"/>
  <c r="H26" i="5"/>
  <c r="Q34" i="5"/>
  <c r="D28" i="6"/>
  <c r="J6" i="3"/>
  <c r="F29" i="6"/>
  <c r="G29" i="6" s="1"/>
  <c r="F25" i="6"/>
  <c r="G25" i="6" s="1"/>
  <c r="F21" i="6"/>
  <c r="G21" i="6" s="1"/>
  <c r="M30" i="5"/>
  <c r="D30" i="6"/>
  <c r="J16" i="3"/>
  <c r="K12" i="5"/>
  <c r="M12" i="5" s="1"/>
  <c r="F28" i="6"/>
  <c r="G28" i="6" s="1"/>
  <c r="F24" i="6"/>
  <c r="G24" i="6" s="1"/>
  <c r="F20" i="6"/>
  <c r="G20" i="6" s="1"/>
  <c r="F16" i="6"/>
  <c r="G16" i="6" s="1"/>
  <c r="F11" i="6"/>
  <c r="G11" i="6" s="1"/>
  <c r="F7" i="6"/>
  <c r="G7" i="6" s="1"/>
  <c r="K2" i="5"/>
  <c r="F17" i="6"/>
  <c r="G17" i="6" s="1"/>
  <c r="F12" i="6"/>
  <c r="G12" i="6" s="1"/>
  <c r="F8" i="6"/>
  <c r="G8" i="6" s="1"/>
  <c r="F40" i="6"/>
  <c r="G40" i="6" s="1"/>
  <c r="F36" i="6"/>
  <c r="G36" i="6" s="1"/>
  <c r="F31" i="6"/>
  <c r="G31" i="6" s="1"/>
  <c r="F27" i="6"/>
  <c r="G27" i="6" s="1"/>
  <c r="F23" i="6"/>
  <c r="G23" i="6" s="1"/>
  <c r="F19" i="6"/>
  <c r="G19" i="6" s="1"/>
  <c r="F15" i="6"/>
  <c r="G15" i="6" s="1"/>
  <c r="F10" i="6"/>
  <c r="G10" i="6" s="1"/>
  <c r="F6" i="6"/>
  <c r="G6" i="6" s="1"/>
  <c r="E54" i="6"/>
  <c r="G59" i="14"/>
  <c r="M12" i="14"/>
  <c r="K3" i="5"/>
  <c r="M21" i="5"/>
  <c r="P17" i="3"/>
  <c r="D15" i="6"/>
  <c r="F42" i="6"/>
  <c r="G42" i="6" s="1"/>
  <c r="F38" i="6"/>
  <c r="G38" i="6" s="1"/>
  <c r="F34" i="6"/>
  <c r="G34" i="6" s="1"/>
  <c r="M31" i="5"/>
  <c r="L31" i="5"/>
  <c r="M20" i="5"/>
  <c r="K61" i="4"/>
  <c r="K62" i="4"/>
  <c r="L59" i="4"/>
  <c r="M59" i="4" s="1"/>
  <c r="K11" i="2"/>
  <c r="L11" i="2" s="1"/>
  <c r="K10" i="2"/>
  <c r="L10" i="2" s="1"/>
  <c r="D17" i="6"/>
  <c r="P10" i="3"/>
  <c r="P4" i="3"/>
  <c r="D6" i="6"/>
  <c r="P13" i="3"/>
  <c r="D19" i="6"/>
  <c r="G24" i="5"/>
  <c r="L28" i="5"/>
  <c r="F45" i="6"/>
  <c r="G45" i="6" s="1"/>
  <c r="K37" i="4"/>
  <c r="J39" i="4"/>
  <c r="K35" i="4"/>
  <c r="J40" i="4"/>
  <c r="L40" i="4" s="1"/>
  <c r="K38" i="4"/>
  <c r="L35" i="4"/>
  <c r="L21" i="5"/>
  <c r="D18" i="9"/>
  <c r="E18" i="9" s="1"/>
  <c r="D27" i="6"/>
  <c r="P14" i="3"/>
  <c r="D12" i="6"/>
  <c r="P6" i="3"/>
  <c r="Z20" i="11"/>
  <c r="Y20" i="11"/>
  <c r="F41" i="6"/>
  <c r="G41" i="6" s="1"/>
  <c r="F37" i="6"/>
  <c r="G37" i="6" s="1"/>
  <c r="F33" i="6"/>
  <c r="G33" i="6" s="1"/>
  <c r="M27" i="5"/>
  <c r="L27" i="5"/>
  <c r="H20" i="5"/>
  <c r="P19" i="3"/>
  <c r="D25" i="6"/>
  <c r="J4" i="3"/>
  <c r="D14" i="6"/>
  <c r="U22" i="11"/>
  <c r="T22" i="11"/>
  <c r="D23" i="6"/>
  <c r="J9" i="3"/>
  <c r="D18" i="6"/>
  <c r="J13" i="3"/>
  <c r="L22" i="5"/>
  <c r="M22" i="5"/>
  <c r="Q4" i="12"/>
  <c r="K6" i="5"/>
  <c r="M32" i="4"/>
  <c r="J6" i="4"/>
  <c r="H2" i="3"/>
  <c r="J12" i="11"/>
  <c r="K12" i="11"/>
  <c r="F11" i="11"/>
  <c r="G12" i="11" s="1"/>
  <c r="K11" i="5"/>
  <c r="M29" i="5"/>
  <c r="P15" i="3"/>
  <c r="D26" i="6"/>
  <c r="D9" i="6"/>
  <c r="P5" i="3"/>
  <c r="M23" i="5"/>
  <c r="L23" i="5"/>
  <c r="P11" i="3"/>
  <c r="D24" i="6"/>
  <c r="D10" i="6"/>
  <c r="J7" i="3"/>
  <c r="N8" i="14"/>
  <c r="C4" i="12"/>
  <c r="C5" i="12" s="1"/>
  <c r="D21" i="6"/>
  <c r="P18" i="3"/>
  <c r="D11" i="6"/>
  <c r="P8" i="3"/>
  <c r="N9" i="13"/>
  <c r="K10" i="5"/>
  <c r="G28" i="5"/>
  <c r="M11" i="13"/>
  <c r="K7" i="5"/>
  <c r="M25" i="5"/>
  <c r="P9" i="3"/>
  <c r="D16" i="6"/>
  <c r="D5" i="6"/>
  <c r="J5" i="3"/>
  <c r="E3" i="6"/>
  <c r="P12" i="11"/>
  <c r="O12" i="11"/>
  <c r="D22" i="6"/>
  <c r="P16" i="3"/>
  <c r="D7" i="6"/>
  <c r="P12" i="3"/>
  <c r="D20" i="6"/>
  <c r="J15" i="3"/>
  <c r="D8" i="6"/>
  <c r="J8" i="3"/>
  <c r="K13" i="5"/>
  <c r="L29" i="5"/>
  <c r="C3" i="12"/>
  <c r="B17" i="12"/>
  <c r="B22" i="12" s="1"/>
  <c r="L15" i="4"/>
  <c r="K15" i="4"/>
  <c r="L24" i="5"/>
  <c r="K9" i="5"/>
  <c r="L25" i="5"/>
  <c r="M68" i="4"/>
  <c r="N68" i="4"/>
  <c r="G34" i="5" l="1"/>
  <c r="L34" i="5"/>
  <c r="T2" i="5"/>
  <c r="K16" i="5"/>
  <c r="M16" i="5" s="1"/>
  <c r="G42" i="7"/>
  <c r="G41" i="7" s="1"/>
  <c r="G40" i="7" s="1"/>
  <c r="G39" i="7" s="1"/>
  <c r="G38" i="7" s="1"/>
  <c r="G37" i="7" s="1"/>
  <c r="G36" i="7" s="1"/>
  <c r="G35" i="7" s="1"/>
  <c r="G34" i="7" s="1"/>
  <c r="G33" i="7" s="1"/>
  <c r="G32" i="7" s="1"/>
  <c r="G31" i="7" s="1"/>
  <c r="G30" i="7" s="1"/>
  <c r="G29" i="7" s="1"/>
  <c r="G28" i="7" s="1"/>
  <c r="G27" i="7" s="1"/>
  <c r="G26" i="7" s="1"/>
  <c r="G25" i="7" s="1"/>
  <c r="G24" i="7" s="1"/>
  <c r="G23" i="7" s="1"/>
  <c r="G22" i="7" s="1"/>
  <c r="G21" i="7" s="1"/>
  <c r="G20" i="7" s="1"/>
  <c r="G19" i="7" s="1"/>
  <c r="G18" i="7" s="1"/>
  <c r="G17" i="7" s="1"/>
  <c r="G16" i="7" s="1"/>
  <c r="G15" i="7" s="1"/>
  <c r="G14" i="7" s="1"/>
  <c r="G13" i="7" s="1"/>
  <c r="G12" i="7" s="1"/>
  <c r="G11" i="7" s="1"/>
  <c r="G10" i="7" s="1"/>
  <c r="G9" i="7" s="1"/>
  <c r="G8" i="7" s="1"/>
  <c r="G7" i="7" s="1"/>
  <c r="G6" i="7" s="1"/>
  <c r="G5" i="7" s="1"/>
  <c r="G1" i="7" s="1" a="1"/>
  <c r="G1" i="7" s="1"/>
  <c r="B5" i="2" s="1"/>
  <c r="B7" i="2" s="1"/>
  <c r="T5" i="5"/>
  <c r="M5" i="5"/>
  <c r="T8" i="5"/>
  <c r="L4" i="5"/>
  <c r="L8" i="5"/>
  <c r="E4" i="3"/>
  <c r="E7" i="3"/>
  <c r="K8" i="3"/>
  <c r="Q11" i="3"/>
  <c r="K7" i="3"/>
  <c r="K13" i="3"/>
  <c r="Q8" i="3"/>
  <c r="Q15" i="3"/>
  <c r="Q5" i="3"/>
  <c r="T4" i="5"/>
  <c r="L12" i="5"/>
  <c r="L2" i="5"/>
  <c r="T12" i="5"/>
  <c r="M2" i="5"/>
  <c r="Q16" i="3"/>
  <c r="Q19" i="3"/>
  <c r="K15" i="3"/>
  <c r="Q12" i="3"/>
  <c r="K5" i="3"/>
  <c r="Q9" i="3"/>
  <c r="Q18" i="3"/>
  <c r="K9" i="3"/>
  <c r="B4" i="3"/>
  <c r="O68" i="4"/>
  <c r="P13" i="11"/>
  <c r="O13" i="11"/>
  <c r="K13" i="11"/>
  <c r="F12" i="11"/>
  <c r="G13" i="11" s="1"/>
  <c r="J13" i="11"/>
  <c r="K4" i="3"/>
  <c r="J2" i="3"/>
  <c r="K2" i="3" s="1"/>
  <c r="Z21" i="11"/>
  <c r="Y21" i="11"/>
  <c r="J14" i="4"/>
  <c r="M40" i="4"/>
  <c r="M13" i="14"/>
  <c r="B24" i="12"/>
  <c r="D22" i="12"/>
  <c r="E22" i="12" s="1"/>
  <c r="K2" i="10"/>
  <c r="M7" i="5"/>
  <c r="T7" i="5"/>
  <c r="L7" i="5"/>
  <c r="M10" i="5"/>
  <c r="T10" i="5"/>
  <c r="L10" i="5"/>
  <c r="M13" i="5"/>
  <c r="L13" i="5"/>
  <c r="T13" i="5"/>
  <c r="M12" i="13"/>
  <c r="M11" i="5"/>
  <c r="T11" i="5"/>
  <c r="L11" i="5"/>
  <c r="L6" i="4"/>
  <c r="L7" i="4" s="1"/>
  <c r="K6" i="4"/>
  <c r="J7" i="4"/>
  <c r="K7" i="4" s="1"/>
  <c r="R4" i="12"/>
  <c r="Q5" i="12"/>
  <c r="Q10" i="3"/>
  <c r="Q17" i="3"/>
  <c r="N10" i="13"/>
  <c r="J8" i="14" a="1"/>
  <c r="J8" i="14" s="1"/>
  <c r="N9" i="14"/>
  <c r="W7" i="3"/>
  <c r="Q14" i="3"/>
  <c r="M35" i="4"/>
  <c r="J9" i="4"/>
  <c r="L39" i="4"/>
  <c r="J42" i="4"/>
  <c r="Q13" i="3"/>
  <c r="M9" i="5"/>
  <c r="T9" i="5"/>
  <c r="L9" i="5"/>
  <c r="M6" i="5"/>
  <c r="T6" i="5"/>
  <c r="L6" i="5"/>
  <c r="U23" i="11"/>
  <c r="T23" i="11"/>
  <c r="K21" i="3"/>
  <c r="W5" i="3"/>
  <c r="K23" i="3"/>
  <c r="E6" i="3"/>
  <c r="K24" i="3"/>
  <c r="K11" i="3"/>
  <c r="K6" i="3"/>
  <c r="K14" i="3"/>
  <c r="K18" i="3"/>
  <c r="K20" i="3"/>
  <c r="E5" i="3"/>
  <c r="K10" i="3"/>
  <c r="K19" i="3"/>
  <c r="K12" i="3"/>
  <c r="K16" i="3"/>
  <c r="K22" i="3"/>
  <c r="W4" i="3"/>
  <c r="K17" i="3"/>
  <c r="Q7" i="3"/>
  <c r="Q6" i="3"/>
  <c r="P2" i="3"/>
  <c r="Q2" i="3" s="1"/>
  <c r="Q4" i="3"/>
  <c r="M3" i="5"/>
  <c r="T3" i="5"/>
  <c r="L3" i="5"/>
  <c r="G60" i="14"/>
  <c r="L16" i="5" l="1"/>
  <c r="F25" i="2"/>
  <c r="F16" i="2"/>
  <c r="T16" i="5"/>
  <c r="V6" i="3" s="1"/>
  <c r="V2" i="3" s="1"/>
  <c r="W2" i="3" s="1"/>
  <c r="L9" i="4"/>
  <c r="K12" i="4"/>
  <c r="K16" i="4"/>
  <c r="K11" i="4"/>
  <c r="M13" i="13"/>
  <c r="M14" i="14"/>
  <c r="K14" i="11"/>
  <c r="F13" i="11"/>
  <c r="G14" i="11" s="1"/>
  <c r="J14" i="11"/>
  <c r="F1167" i="10"/>
  <c r="O1167" i="10" s="1"/>
  <c r="P1167" i="10" s="1"/>
  <c r="F1163" i="10"/>
  <c r="O1163" i="10" s="1"/>
  <c r="P1163" i="10" s="1"/>
  <c r="F1159" i="10"/>
  <c r="O1159" i="10" s="1"/>
  <c r="P1159" i="10" s="1"/>
  <c r="F1155" i="10"/>
  <c r="O1155" i="10" s="1"/>
  <c r="P1155" i="10" s="1"/>
  <c r="F1151" i="10"/>
  <c r="O1151" i="10" s="1"/>
  <c r="P1151" i="10" s="1"/>
  <c r="F1147" i="10"/>
  <c r="O1147" i="10" s="1"/>
  <c r="P1147" i="10" s="1"/>
  <c r="F1143" i="10"/>
  <c r="O1143" i="10" s="1"/>
  <c r="P1143" i="10" s="1"/>
  <c r="F1139" i="10"/>
  <c r="O1139" i="10" s="1"/>
  <c r="P1139" i="10" s="1"/>
  <c r="F1135" i="10"/>
  <c r="O1135" i="10" s="1"/>
  <c r="P1135" i="10" s="1"/>
  <c r="F1131" i="10"/>
  <c r="O1131" i="10" s="1"/>
  <c r="P1131" i="10" s="1"/>
  <c r="F1127" i="10"/>
  <c r="O1127" i="10" s="1"/>
  <c r="P1127" i="10" s="1"/>
  <c r="D24" i="12"/>
  <c r="F1123" i="10"/>
  <c r="O1123" i="10" s="1"/>
  <c r="P1123" i="10" s="1"/>
  <c r="F1116" i="10"/>
  <c r="O1116" i="10" s="1"/>
  <c r="P1116" i="10" s="1"/>
  <c r="F1112" i="10"/>
  <c r="O1112" i="10" s="1"/>
  <c r="P1112" i="10" s="1"/>
  <c r="F1108" i="10"/>
  <c r="O1108" i="10" s="1"/>
  <c r="P1108" i="10" s="1"/>
  <c r="F1104" i="10"/>
  <c r="O1104" i="10" s="1"/>
  <c r="P1104" i="10" s="1"/>
  <c r="F436" i="10"/>
  <c r="O436" i="10" s="1"/>
  <c r="P436" i="10" s="1"/>
  <c r="F432" i="10"/>
  <c r="O432" i="10" s="1"/>
  <c r="P432" i="10" s="1"/>
  <c r="F428" i="10"/>
  <c r="O428" i="10" s="1"/>
  <c r="P428" i="10" s="1"/>
  <c r="F424" i="10"/>
  <c r="O424" i="10" s="1"/>
  <c r="P424" i="10" s="1"/>
  <c r="F420" i="10"/>
  <c r="O420" i="10" s="1"/>
  <c r="P420" i="10" s="1"/>
  <c r="F416" i="10"/>
  <c r="O416" i="10" s="1"/>
  <c r="P416" i="10" s="1"/>
  <c r="F412" i="10"/>
  <c r="O412" i="10" s="1"/>
  <c r="P412" i="10" s="1"/>
  <c r="F408" i="10"/>
  <c r="O408" i="10" s="1"/>
  <c r="P408" i="10" s="1"/>
  <c r="F404" i="10"/>
  <c r="O404" i="10" s="1"/>
  <c r="P404" i="10" s="1"/>
  <c r="F400" i="10"/>
  <c r="O400" i="10" s="1"/>
  <c r="P400" i="10" s="1"/>
  <c r="F396" i="10"/>
  <c r="O396" i="10" s="1"/>
  <c r="P396" i="10" s="1"/>
  <c r="F392" i="10"/>
  <c r="O392" i="10" s="1"/>
  <c r="P392" i="10" s="1"/>
  <c r="F388" i="10"/>
  <c r="O388" i="10" s="1"/>
  <c r="P388" i="10" s="1"/>
  <c r="F384" i="10"/>
  <c r="O384" i="10" s="1"/>
  <c r="P384" i="10" s="1"/>
  <c r="F380" i="10"/>
  <c r="O380" i="10" s="1"/>
  <c r="P380" i="10" s="1"/>
  <c r="F376" i="10"/>
  <c r="O376" i="10" s="1"/>
  <c r="P376" i="10" s="1"/>
  <c r="F372" i="10"/>
  <c r="O372" i="10" s="1"/>
  <c r="P372" i="10" s="1"/>
  <c r="F368" i="10"/>
  <c r="O368" i="10" s="1"/>
  <c r="P368" i="10" s="1"/>
  <c r="F364" i="10"/>
  <c r="O364" i="10" s="1"/>
  <c r="P364" i="10" s="1"/>
  <c r="F360" i="10"/>
  <c r="O360" i="10" s="1"/>
  <c r="P360" i="10" s="1"/>
  <c r="F356" i="10"/>
  <c r="O356" i="10" s="1"/>
  <c r="P356" i="10" s="1"/>
  <c r="F352" i="10"/>
  <c r="O352" i="10" s="1"/>
  <c r="P352" i="10" s="1"/>
  <c r="F348" i="10"/>
  <c r="O348" i="10" s="1"/>
  <c r="P348" i="10" s="1"/>
  <c r="F344" i="10"/>
  <c r="O344" i="10" s="1"/>
  <c r="P344" i="10" s="1"/>
  <c r="F340" i="10"/>
  <c r="O340" i="10" s="1"/>
  <c r="P340" i="10" s="1"/>
  <c r="F336" i="10"/>
  <c r="O336" i="10" s="1"/>
  <c r="P336" i="10" s="1"/>
  <c r="F332" i="10"/>
  <c r="O332" i="10" s="1"/>
  <c r="P332" i="10" s="1"/>
  <c r="F328" i="10"/>
  <c r="O328" i="10" s="1"/>
  <c r="P328" i="10" s="1"/>
  <c r="F324" i="10"/>
  <c r="O324" i="10" s="1"/>
  <c r="P324" i="10" s="1"/>
  <c r="F320" i="10"/>
  <c r="O320" i="10" s="1"/>
  <c r="P320" i="10" s="1"/>
  <c r="F316" i="10"/>
  <c r="O316" i="10" s="1"/>
  <c r="P316" i="10" s="1"/>
  <c r="F312" i="10"/>
  <c r="O312" i="10" s="1"/>
  <c r="P312" i="10" s="1"/>
  <c r="F308" i="10"/>
  <c r="O308" i="10" s="1"/>
  <c r="P308" i="10" s="1"/>
  <c r="F304" i="10"/>
  <c r="O304" i="10" s="1"/>
  <c r="P304" i="10" s="1"/>
  <c r="F300" i="10"/>
  <c r="O300" i="10" s="1"/>
  <c r="P300" i="10" s="1"/>
  <c r="F296" i="10"/>
  <c r="O296" i="10" s="1"/>
  <c r="P296" i="10" s="1"/>
  <c r="F292" i="10"/>
  <c r="O292" i="10" s="1"/>
  <c r="P292" i="10" s="1"/>
  <c r="F288" i="10"/>
  <c r="O288" i="10" s="1"/>
  <c r="P288" i="10" s="1"/>
  <c r="F284" i="10"/>
  <c r="O284" i="10" s="1"/>
  <c r="P284" i="10" s="1"/>
  <c r="F280" i="10"/>
  <c r="O280" i="10" s="1"/>
  <c r="P280" i="10" s="1"/>
  <c r="F276" i="10"/>
  <c r="O276" i="10" s="1"/>
  <c r="P276" i="10" s="1"/>
  <c r="F272" i="10"/>
  <c r="O272" i="10" s="1"/>
  <c r="P272" i="10" s="1"/>
  <c r="F268" i="10"/>
  <c r="O268" i="10" s="1"/>
  <c r="P268" i="10" s="1"/>
  <c r="F264" i="10"/>
  <c r="O264" i="10" s="1"/>
  <c r="P264" i="10" s="1"/>
  <c r="F260" i="10"/>
  <c r="O260" i="10" s="1"/>
  <c r="P260" i="10" s="1"/>
  <c r="F256" i="10"/>
  <c r="O256" i="10" s="1"/>
  <c r="P256" i="10" s="1"/>
  <c r="F252" i="10"/>
  <c r="O252" i="10" s="1"/>
  <c r="P252" i="10" s="1"/>
  <c r="F248" i="10"/>
  <c r="O248" i="10" s="1"/>
  <c r="P248" i="10" s="1"/>
  <c r="F244" i="10"/>
  <c r="O244" i="10" s="1"/>
  <c r="P244" i="10" s="1"/>
  <c r="F240" i="10"/>
  <c r="O240" i="10" s="1"/>
  <c r="P240" i="10" s="1"/>
  <c r="F236" i="10"/>
  <c r="O236" i="10" s="1"/>
  <c r="P236" i="10" s="1"/>
  <c r="F232" i="10"/>
  <c r="O232" i="10" s="1"/>
  <c r="P232" i="10" s="1"/>
  <c r="F228" i="10"/>
  <c r="O228" i="10" s="1"/>
  <c r="P228" i="10" s="1"/>
  <c r="F224" i="10"/>
  <c r="O224" i="10" s="1"/>
  <c r="P224" i="10" s="1"/>
  <c r="F220" i="10"/>
  <c r="O220" i="10" s="1"/>
  <c r="P220" i="10" s="1"/>
  <c r="F216" i="10"/>
  <c r="O216" i="10" s="1"/>
  <c r="P216" i="10" s="1"/>
  <c r="F212" i="10"/>
  <c r="O212" i="10" s="1"/>
  <c r="P212" i="10" s="1"/>
  <c r="F208" i="10"/>
  <c r="O208" i="10" s="1"/>
  <c r="P208" i="10" s="1"/>
  <c r="F204" i="10"/>
  <c r="O204" i="10" s="1"/>
  <c r="P204" i="10" s="1"/>
  <c r="F200" i="10"/>
  <c r="O200" i="10" s="1"/>
  <c r="P200" i="10" s="1"/>
  <c r="F196" i="10"/>
  <c r="O196" i="10" s="1"/>
  <c r="P196" i="10" s="1"/>
  <c r="F192" i="10"/>
  <c r="O192" i="10" s="1"/>
  <c r="P192" i="10" s="1"/>
  <c r="F188" i="10"/>
  <c r="O188" i="10" s="1"/>
  <c r="P188" i="10" s="1"/>
  <c r="F184" i="10"/>
  <c r="O184" i="10" s="1"/>
  <c r="P184" i="10" s="1"/>
  <c r="F180" i="10"/>
  <c r="O180" i="10" s="1"/>
  <c r="P180" i="10" s="1"/>
  <c r="F176" i="10"/>
  <c r="O176" i="10" s="1"/>
  <c r="P176" i="10" s="1"/>
  <c r="F172" i="10"/>
  <c r="O172" i="10" s="1"/>
  <c r="P172" i="10" s="1"/>
  <c r="F168" i="10"/>
  <c r="O168" i="10" s="1"/>
  <c r="P168" i="10" s="1"/>
  <c r="F164" i="10"/>
  <c r="O164" i="10" s="1"/>
  <c r="P164" i="10" s="1"/>
  <c r="F160" i="10"/>
  <c r="O160" i="10" s="1"/>
  <c r="P160" i="10" s="1"/>
  <c r="F156" i="10"/>
  <c r="O156" i="10" s="1"/>
  <c r="P156" i="10" s="1"/>
  <c r="F152" i="10"/>
  <c r="O152" i="10" s="1"/>
  <c r="P152" i="10" s="1"/>
  <c r="F148" i="10"/>
  <c r="O148" i="10" s="1"/>
  <c r="P148" i="10" s="1"/>
  <c r="F144" i="10"/>
  <c r="O144" i="10" s="1"/>
  <c r="P144" i="10" s="1"/>
  <c r="F140" i="10"/>
  <c r="O140" i="10" s="1"/>
  <c r="P140" i="10" s="1"/>
  <c r="F136" i="10"/>
  <c r="O136" i="10" s="1"/>
  <c r="P136" i="10" s="1"/>
  <c r="F132" i="10"/>
  <c r="O132" i="10" s="1"/>
  <c r="P132" i="10" s="1"/>
  <c r="F128" i="10"/>
  <c r="O128" i="10" s="1"/>
  <c r="P128" i="10" s="1"/>
  <c r="F124" i="10"/>
  <c r="O124" i="10" s="1"/>
  <c r="P124" i="10" s="1"/>
  <c r="F120" i="10"/>
  <c r="O120" i="10" s="1"/>
  <c r="P120" i="10" s="1"/>
  <c r="F116" i="10"/>
  <c r="O116" i="10" s="1"/>
  <c r="P116" i="10" s="1"/>
  <c r="F112" i="10"/>
  <c r="O112" i="10" s="1"/>
  <c r="P112" i="10" s="1"/>
  <c r="F108" i="10"/>
  <c r="O108" i="10" s="1"/>
  <c r="P108" i="10" s="1"/>
  <c r="F104" i="10"/>
  <c r="O104" i="10" s="1"/>
  <c r="P104" i="10" s="1"/>
  <c r="F100" i="10"/>
  <c r="O100" i="10" s="1"/>
  <c r="P100" i="10" s="1"/>
  <c r="F96" i="10"/>
  <c r="O96" i="10" s="1"/>
  <c r="P96" i="10" s="1"/>
  <c r="F92" i="10"/>
  <c r="O92" i="10" s="1"/>
  <c r="P92" i="10" s="1"/>
  <c r="F88" i="10"/>
  <c r="O88" i="10" s="1"/>
  <c r="P88" i="10" s="1"/>
  <c r="F84" i="10"/>
  <c r="O84" i="10" s="1"/>
  <c r="P84" i="10" s="1"/>
  <c r="F80" i="10"/>
  <c r="O80" i="10" s="1"/>
  <c r="P80" i="10" s="1"/>
  <c r="F76" i="10"/>
  <c r="O76" i="10" s="1"/>
  <c r="P76" i="10" s="1"/>
  <c r="J76" i="10" s="1"/>
  <c r="F72" i="10"/>
  <c r="O72" i="10" s="1"/>
  <c r="P72" i="10" s="1"/>
  <c r="J72" i="10" s="1"/>
  <c r="F68" i="10"/>
  <c r="O68" i="10" s="1"/>
  <c r="P68" i="10" s="1"/>
  <c r="J68" i="10" s="1"/>
  <c r="F64" i="10"/>
  <c r="O64" i="10" s="1"/>
  <c r="P64" i="10" s="1"/>
  <c r="J64" i="10" s="1"/>
  <c r="F60" i="10"/>
  <c r="O60" i="10" s="1"/>
  <c r="P60" i="10" s="1"/>
  <c r="J60" i="10" s="1"/>
  <c r="F56" i="10"/>
  <c r="O56" i="10" s="1"/>
  <c r="P56" i="10" s="1"/>
  <c r="J56" i="10" s="1"/>
  <c r="F52" i="10"/>
  <c r="O52" i="10" s="1"/>
  <c r="P52" i="10" s="1"/>
  <c r="J52" i="10" s="1"/>
  <c r="F48" i="10"/>
  <c r="O48" i="10" s="1"/>
  <c r="P48" i="10" s="1"/>
  <c r="J48" i="10" s="1"/>
  <c r="F44" i="10"/>
  <c r="O44" i="10" s="1"/>
  <c r="P44" i="10" s="1"/>
  <c r="J44" i="10" s="1"/>
  <c r="F40" i="10"/>
  <c r="O40" i="10" s="1"/>
  <c r="P40" i="10" s="1"/>
  <c r="J40" i="10" s="1"/>
  <c r="F36" i="10"/>
  <c r="O36" i="10" s="1"/>
  <c r="P36" i="10" s="1"/>
  <c r="J36" i="10" s="1"/>
  <c r="F32" i="10"/>
  <c r="O32" i="10" s="1"/>
  <c r="P32" i="10" s="1"/>
  <c r="J32" i="10" s="1"/>
  <c r="F28" i="10"/>
  <c r="O28" i="10" s="1"/>
  <c r="P28" i="10" s="1"/>
  <c r="J28" i="10" s="1"/>
  <c r="F24" i="10"/>
  <c r="O24" i="10" s="1"/>
  <c r="P24" i="10" s="1"/>
  <c r="J24" i="10" s="1"/>
  <c r="F20" i="10"/>
  <c r="O20" i="10" s="1"/>
  <c r="P20" i="10" s="1"/>
  <c r="J20" i="10" s="1"/>
  <c r="F16" i="10"/>
  <c r="O16" i="10" s="1"/>
  <c r="P16" i="10" s="1"/>
  <c r="J16" i="10" s="1"/>
  <c r="F12" i="10"/>
  <c r="O12" i="10" s="1"/>
  <c r="P12" i="10" s="1"/>
  <c r="J12" i="10" s="1"/>
  <c r="J9" i="13" s="1" a="1"/>
  <c r="J9" i="13" s="1"/>
  <c r="L2" i="10"/>
  <c r="F1077" i="10"/>
  <c r="O1077" i="10" s="1"/>
  <c r="P1077" i="10" s="1"/>
  <c r="F1073" i="10"/>
  <c r="O1073" i="10" s="1"/>
  <c r="P1073" i="10" s="1"/>
  <c r="F1069" i="10"/>
  <c r="O1069" i="10" s="1"/>
  <c r="P1069" i="10" s="1"/>
  <c r="F1065" i="10"/>
  <c r="O1065" i="10" s="1"/>
  <c r="P1065" i="10" s="1"/>
  <c r="F1061" i="10"/>
  <c r="O1061" i="10" s="1"/>
  <c r="P1061" i="10" s="1"/>
  <c r="F1057" i="10"/>
  <c r="O1057" i="10" s="1"/>
  <c r="P1057" i="10" s="1"/>
  <c r="F1053" i="10"/>
  <c r="O1053" i="10" s="1"/>
  <c r="P1053" i="10" s="1"/>
  <c r="F1049" i="10"/>
  <c r="O1049" i="10" s="1"/>
  <c r="P1049" i="10" s="1"/>
  <c r="F1045" i="10"/>
  <c r="O1045" i="10" s="1"/>
  <c r="P1045" i="10" s="1"/>
  <c r="F1041" i="10"/>
  <c r="O1041" i="10" s="1"/>
  <c r="P1041" i="10" s="1"/>
  <c r="F1037" i="10"/>
  <c r="O1037" i="10" s="1"/>
  <c r="P1037" i="10" s="1"/>
  <c r="F1029" i="10"/>
  <c r="O1029" i="10" s="1"/>
  <c r="P1029" i="10" s="1"/>
  <c r="F1025" i="10"/>
  <c r="O1025" i="10" s="1"/>
  <c r="P1025" i="10" s="1"/>
  <c r="F1021" i="10"/>
  <c r="O1021" i="10" s="1"/>
  <c r="P1021" i="10" s="1"/>
  <c r="F1009" i="10"/>
  <c r="O1009" i="10" s="1"/>
  <c r="P1009" i="10" s="1"/>
  <c r="F937" i="10"/>
  <c r="O937" i="10" s="1"/>
  <c r="P937" i="10" s="1"/>
  <c r="F817" i="10"/>
  <c r="O817" i="10" s="1"/>
  <c r="P817" i="10" s="1"/>
  <c r="F805" i="10"/>
  <c r="O805" i="10" s="1"/>
  <c r="P805" i="10" s="1"/>
  <c r="F801" i="10"/>
  <c r="O801" i="10" s="1"/>
  <c r="P801" i="10" s="1"/>
  <c r="F793" i="10"/>
  <c r="O793" i="10" s="1"/>
  <c r="P793" i="10" s="1"/>
  <c r="F789" i="10"/>
  <c r="O789" i="10" s="1"/>
  <c r="P789" i="10" s="1"/>
  <c r="F785" i="10"/>
  <c r="O785" i="10" s="1"/>
  <c r="P785" i="10" s="1"/>
  <c r="F533" i="10"/>
  <c r="O533" i="10" s="1"/>
  <c r="P533" i="10" s="1"/>
  <c r="F529" i="10"/>
  <c r="O529" i="10" s="1"/>
  <c r="P529" i="10" s="1"/>
  <c r="F525" i="10"/>
  <c r="O525" i="10" s="1"/>
  <c r="P525" i="10" s="1"/>
  <c r="F517" i="10"/>
  <c r="O517" i="10" s="1"/>
  <c r="P517" i="10" s="1"/>
  <c r="F513" i="10"/>
  <c r="O513" i="10" s="1"/>
  <c r="P513" i="10" s="1"/>
  <c r="F509" i="10"/>
  <c r="O509" i="10" s="1"/>
  <c r="P509" i="10" s="1"/>
  <c r="F505" i="10"/>
  <c r="O505" i="10" s="1"/>
  <c r="P505" i="10" s="1"/>
  <c r="F501" i="10"/>
  <c r="O501" i="10" s="1"/>
  <c r="P501" i="10" s="1"/>
  <c r="F497" i="10"/>
  <c r="O497" i="10" s="1"/>
  <c r="P497" i="10" s="1"/>
  <c r="F493" i="10"/>
  <c r="O493" i="10" s="1"/>
  <c r="P493" i="10" s="1"/>
  <c r="F489" i="10"/>
  <c r="O489" i="10" s="1"/>
  <c r="P489" i="10" s="1"/>
  <c r="F485" i="10"/>
  <c r="O485" i="10" s="1"/>
  <c r="P485" i="10" s="1"/>
  <c r="F481" i="10"/>
  <c r="O481" i="10" s="1"/>
  <c r="P481" i="10" s="1"/>
  <c r="F477" i="10"/>
  <c r="O477" i="10" s="1"/>
  <c r="P477" i="10" s="1"/>
  <c r="F473" i="10"/>
  <c r="O473" i="10" s="1"/>
  <c r="P473" i="10" s="1"/>
  <c r="F469" i="10"/>
  <c r="O469" i="10" s="1"/>
  <c r="P469" i="10" s="1"/>
  <c r="F465" i="10"/>
  <c r="O465" i="10" s="1"/>
  <c r="P465" i="10" s="1"/>
  <c r="F461" i="10"/>
  <c r="O461" i="10" s="1"/>
  <c r="P461" i="10" s="1"/>
  <c r="F457" i="10"/>
  <c r="O457" i="10" s="1"/>
  <c r="P457" i="10" s="1"/>
  <c r="F453" i="10"/>
  <c r="O453" i="10" s="1"/>
  <c r="P453" i="10" s="1"/>
  <c r="F449" i="10"/>
  <c r="O449" i="10" s="1"/>
  <c r="P449" i="10" s="1"/>
  <c r="F445" i="10"/>
  <c r="O445" i="10" s="1"/>
  <c r="P445" i="10" s="1"/>
  <c r="F37" i="10"/>
  <c r="O37" i="10" s="1"/>
  <c r="P37" i="10" s="1"/>
  <c r="J37" i="10" s="1"/>
  <c r="F53" i="10"/>
  <c r="O53" i="10" s="1"/>
  <c r="P53" i="10" s="1"/>
  <c r="J53" i="10" s="1"/>
  <c r="F103" i="10"/>
  <c r="O103" i="10" s="1"/>
  <c r="P103" i="10" s="1"/>
  <c r="F119" i="10"/>
  <c r="O119" i="10" s="1"/>
  <c r="P119" i="10" s="1"/>
  <c r="F135" i="10"/>
  <c r="O135" i="10" s="1"/>
  <c r="P135" i="10" s="1"/>
  <c r="F151" i="10"/>
  <c r="O151" i="10" s="1"/>
  <c r="P151" i="10" s="1"/>
  <c r="F207" i="10"/>
  <c r="O207" i="10" s="1"/>
  <c r="P207" i="10" s="1"/>
  <c r="F274" i="10"/>
  <c r="O274" i="10" s="1"/>
  <c r="P274" i="10" s="1"/>
  <c r="F410" i="10"/>
  <c r="O410" i="10" s="1"/>
  <c r="P410" i="10" s="1"/>
  <c r="F532" i="10"/>
  <c r="O532" i="10" s="1"/>
  <c r="P532" i="10" s="1"/>
  <c r="F552" i="10"/>
  <c r="O552" i="10" s="1"/>
  <c r="P552" i="10" s="1"/>
  <c r="F568" i="10"/>
  <c r="O568" i="10" s="1"/>
  <c r="P568" i="10" s="1"/>
  <c r="F584" i="10"/>
  <c r="O584" i="10" s="1"/>
  <c r="P584" i="10" s="1"/>
  <c r="F649" i="10"/>
  <c r="O649" i="10" s="1"/>
  <c r="P649" i="10" s="1"/>
  <c r="F729" i="10"/>
  <c r="O729" i="10" s="1"/>
  <c r="P729" i="10" s="1"/>
  <c r="F744" i="10"/>
  <c r="O744" i="10" s="1"/>
  <c r="P744" i="10" s="1"/>
  <c r="F766" i="10"/>
  <c r="O766" i="10" s="1"/>
  <c r="P766" i="10" s="1"/>
  <c r="F790" i="10"/>
  <c r="O790" i="10" s="1"/>
  <c r="P790" i="10" s="1"/>
  <c r="F811" i="10"/>
  <c r="O811" i="10" s="1"/>
  <c r="P811" i="10" s="1"/>
  <c r="F886" i="10"/>
  <c r="O886" i="10" s="1"/>
  <c r="P886" i="10" s="1"/>
  <c r="F902" i="10"/>
  <c r="O902" i="10" s="1"/>
  <c r="P902" i="10" s="1"/>
  <c r="F918" i="10"/>
  <c r="O918" i="10" s="1"/>
  <c r="P918" i="10" s="1"/>
  <c r="F963" i="10"/>
  <c r="O963" i="10" s="1"/>
  <c r="P963" i="10" s="1"/>
  <c r="F979" i="10"/>
  <c r="O979" i="10" s="1"/>
  <c r="P979" i="10" s="1"/>
  <c r="F1017" i="10"/>
  <c r="O1017" i="10" s="1"/>
  <c r="P1017" i="10" s="1"/>
  <c r="F85" i="10"/>
  <c r="O85" i="10" s="1"/>
  <c r="P85" i="10" s="1"/>
  <c r="F117" i="10"/>
  <c r="O117" i="10" s="1"/>
  <c r="P117" i="10" s="1"/>
  <c r="F149" i="10"/>
  <c r="O149" i="10" s="1"/>
  <c r="P149" i="10" s="1"/>
  <c r="F181" i="10"/>
  <c r="O181" i="10" s="1"/>
  <c r="P181" i="10" s="1"/>
  <c r="F213" i="10"/>
  <c r="O213" i="10" s="1"/>
  <c r="P213" i="10" s="1"/>
  <c r="F245" i="10"/>
  <c r="O245" i="10" s="1"/>
  <c r="P245" i="10" s="1"/>
  <c r="F277" i="10"/>
  <c r="O277" i="10" s="1"/>
  <c r="P277" i="10" s="1"/>
  <c r="F309" i="10"/>
  <c r="O309" i="10" s="1"/>
  <c r="P309" i="10" s="1"/>
  <c r="F341" i="10"/>
  <c r="O341" i="10" s="1"/>
  <c r="P341" i="10" s="1"/>
  <c r="F373" i="10"/>
  <c r="O373" i="10" s="1"/>
  <c r="P373" i="10" s="1"/>
  <c r="F405" i="10"/>
  <c r="O405" i="10" s="1"/>
  <c r="P405" i="10" s="1"/>
  <c r="F437" i="10"/>
  <c r="O437" i="10" s="1"/>
  <c r="P437" i="10" s="1"/>
  <c r="F441" i="10"/>
  <c r="O441" i="10" s="1"/>
  <c r="P441" i="10" s="1"/>
  <c r="F450" i="10"/>
  <c r="O450" i="10" s="1"/>
  <c r="P450" i="10" s="1"/>
  <c r="F456" i="10"/>
  <c r="O456" i="10" s="1"/>
  <c r="P456" i="10" s="1"/>
  <c r="F466" i="10"/>
  <c r="O466" i="10" s="1"/>
  <c r="P466" i="10" s="1"/>
  <c r="F472" i="10"/>
  <c r="O472" i="10" s="1"/>
  <c r="P472" i="10" s="1"/>
  <c r="F482" i="10"/>
  <c r="O482" i="10" s="1"/>
  <c r="P482" i="10" s="1"/>
  <c r="F488" i="10"/>
  <c r="O488" i="10" s="1"/>
  <c r="P488" i="10" s="1"/>
  <c r="F498" i="10"/>
  <c r="O498" i="10" s="1"/>
  <c r="P498" i="10" s="1"/>
  <c r="F504" i="10"/>
  <c r="O504" i="10" s="1"/>
  <c r="P504" i="10" s="1"/>
  <c r="F515" i="10"/>
  <c r="O515" i="10" s="1"/>
  <c r="P515" i="10" s="1"/>
  <c r="F520" i="10"/>
  <c r="O520" i="10" s="1"/>
  <c r="P520" i="10" s="1"/>
  <c r="F548" i="10"/>
  <c r="O548" i="10" s="1"/>
  <c r="P548" i="10" s="1"/>
  <c r="F554" i="10"/>
  <c r="O554" i="10" s="1"/>
  <c r="P554" i="10" s="1"/>
  <c r="F580" i="10"/>
  <c r="O580" i="10" s="1"/>
  <c r="P580" i="10" s="1"/>
  <c r="F586" i="10"/>
  <c r="O586" i="10" s="1"/>
  <c r="P586" i="10" s="1"/>
  <c r="F612" i="10"/>
  <c r="O612" i="10" s="1"/>
  <c r="P612" i="10" s="1"/>
  <c r="F618" i="10"/>
  <c r="O618" i="10" s="1"/>
  <c r="P618" i="10" s="1"/>
  <c r="F645" i="10"/>
  <c r="O645" i="10" s="1"/>
  <c r="P645" i="10" s="1"/>
  <c r="F659" i="10"/>
  <c r="O659" i="10" s="1"/>
  <c r="P659" i="10" s="1"/>
  <c r="F677" i="10"/>
  <c r="O677" i="10" s="1"/>
  <c r="P677" i="10" s="1"/>
  <c r="F691" i="10"/>
  <c r="O691" i="10" s="1"/>
  <c r="P691" i="10" s="1"/>
  <c r="F709" i="10"/>
  <c r="O709" i="10" s="1"/>
  <c r="P709" i="10" s="1"/>
  <c r="F723" i="10"/>
  <c r="O723" i="10" s="1"/>
  <c r="P723" i="10" s="1"/>
  <c r="F741" i="10"/>
  <c r="O741" i="10" s="1"/>
  <c r="P741" i="10" s="1"/>
  <c r="F755" i="10"/>
  <c r="O755" i="10" s="1"/>
  <c r="P755" i="10" s="1"/>
  <c r="F773" i="10"/>
  <c r="O773" i="10" s="1"/>
  <c r="P773" i="10" s="1"/>
  <c r="F807" i="10"/>
  <c r="O807" i="10" s="1"/>
  <c r="P807" i="10" s="1"/>
  <c r="F827" i="10"/>
  <c r="O827" i="10" s="1"/>
  <c r="P827" i="10" s="1"/>
  <c r="F845" i="10"/>
  <c r="O845" i="10" s="1"/>
  <c r="P845" i="10" s="1"/>
  <c r="F859" i="10"/>
  <c r="O859" i="10" s="1"/>
  <c r="P859" i="10" s="1"/>
  <c r="F877" i="10"/>
  <c r="O877" i="10" s="1"/>
  <c r="P877" i="10" s="1"/>
  <c r="F891" i="10"/>
  <c r="O891" i="10" s="1"/>
  <c r="P891" i="10" s="1"/>
  <c r="F909" i="10"/>
  <c r="O909" i="10" s="1"/>
  <c r="P909" i="10" s="1"/>
  <c r="F923" i="10"/>
  <c r="O923" i="10" s="1"/>
  <c r="P923" i="10" s="1"/>
  <c r="F943" i="10"/>
  <c r="O943" i="10" s="1"/>
  <c r="P943" i="10" s="1"/>
  <c r="F961" i="10"/>
  <c r="O961" i="10" s="1"/>
  <c r="P961" i="10" s="1"/>
  <c r="F975" i="10"/>
  <c r="O975" i="10" s="1"/>
  <c r="P975" i="10" s="1"/>
  <c r="F993" i="10"/>
  <c r="O993" i="10" s="1"/>
  <c r="P993" i="10" s="1"/>
  <c r="F1007" i="10"/>
  <c r="O1007" i="10" s="1"/>
  <c r="P1007" i="10" s="1"/>
  <c r="F1012" i="10"/>
  <c r="O1012" i="10" s="1"/>
  <c r="P1012" i="10" s="1"/>
  <c r="F1018" i="10"/>
  <c r="O1018" i="10" s="1"/>
  <c r="P1018" i="10" s="1"/>
  <c r="F1039" i="10"/>
  <c r="O1039" i="10" s="1"/>
  <c r="P1039" i="10" s="1"/>
  <c r="F1044" i="10"/>
  <c r="O1044" i="10" s="1"/>
  <c r="P1044" i="10" s="1"/>
  <c r="F1054" i="10"/>
  <c r="O1054" i="10" s="1"/>
  <c r="P1054" i="10" s="1"/>
  <c r="F1060" i="10"/>
  <c r="O1060" i="10" s="1"/>
  <c r="P1060" i="10" s="1"/>
  <c r="F1070" i="10"/>
  <c r="O1070" i="10" s="1"/>
  <c r="P1070" i="10" s="1"/>
  <c r="F1076" i="10"/>
  <c r="O1076" i="10" s="1"/>
  <c r="P1076" i="10" s="1"/>
  <c r="F1081" i="10"/>
  <c r="O1081" i="10" s="1"/>
  <c r="P1081" i="10" s="1"/>
  <c r="F1085" i="10"/>
  <c r="O1085" i="10" s="1"/>
  <c r="P1085" i="10" s="1"/>
  <c r="F1100" i="10"/>
  <c r="O1100" i="10" s="1"/>
  <c r="P1100" i="10" s="1"/>
  <c r="F1113" i="10"/>
  <c r="O1113" i="10" s="1"/>
  <c r="P1113" i="10" s="1"/>
  <c r="F1119" i="10"/>
  <c r="O1119" i="10" s="1"/>
  <c r="P1119" i="10" s="1"/>
  <c r="F13" i="10"/>
  <c r="O13" i="10" s="1"/>
  <c r="P13" i="10" s="1"/>
  <c r="J13" i="10" s="1"/>
  <c r="J10" i="13" s="1" a="1"/>
  <c r="J10" i="13" s="1"/>
  <c r="F51" i="10"/>
  <c r="O51" i="10" s="1"/>
  <c r="P51" i="10" s="1"/>
  <c r="J51" i="10" s="1"/>
  <c r="F95" i="10"/>
  <c r="O95" i="10" s="1"/>
  <c r="P95" i="10" s="1"/>
  <c r="F146" i="10"/>
  <c r="O146" i="10" s="1"/>
  <c r="P146" i="10" s="1"/>
  <c r="F194" i="10"/>
  <c r="O194" i="10" s="1"/>
  <c r="P194" i="10" s="1"/>
  <c r="F226" i="10"/>
  <c r="O226" i="10" s="1"/>
  <c r="P226" i="10" s="1"/>
  <c r="F242" i="10"/>
  <c r="O242" i="10" s="1"/>
  <c r="P242" i="10" s="1"/>
  <c r="F258" i="10"/>
  <c r="O258" i="10" s="1"/>
  <c r="P258" i="10" s="1"/>
  <c r="F290" i="10"/>
  <c r="O290" i="10" s="1"/>
  <c r="P290" i="10" s="1"/>
  <c r="F306" i="10"/>
  <c r="O306" i="10" s="1"/>
  <c r="P306" i="10" s="1"/>
  <c r="F322" i="10"/>
  <c r="O322" i="10" s="1"/>
  <c r="P322" i="10" s="1"/>
  <c r="F338" i="10"/>
  <c r="O338" i="10" s="1"/>
  <c r="P338" i="10" s="1"/>
  <c r="F359" i="10"/>
  <c r="O359" i="10" s="1"/>
  <c r="P359" i="10" s="1"/>
  <c r="F407" i="10"/>
  <c r="O407" i="10" s="1"/>
  <c r="P407" i="10" s="1"/>
  <c r="F418" i="10"/>
  <c r="O418" i="10" s="1"/>
  <c r="P418" i="10" s="1"/>
  <c r="F616" i="10"/>
  <c r="O616" i="10" s="1"/>
  <c r="P616" i="10" s="1"/>
  <c r="F633" i="10"/>
  <c r="O633" i="10" s="1"/>
  <c r="P633" i="10" s="1"/>
  <c r="F647" i="10"/>
  <c r="O647" i="10" s="1"/>
  <c r="P647" i="10" s="1"/>
  <c r="F664" i="10"/>
  <c r="O664" i="10" s="1"/>
  <c r="P664" i="10" s="1"/>
  <c r="F718" i="10"/>
  <c r="O718" i="10" s="1"/>
  <c r="P718" i="10" s="1"/>
  <c r="F812" i="10"/>
  <c r="O812" i="10" s="1"/>
  <c r="P812" i="10" s="1"/>
  <c r="F838" i="10"/>
  <c r="O838" i="10" s="1"/>
  <c r="P838" i="10" s="1"/>
  <c r="F897" i="10"/>
  <c r="O897" i="10" s="1"/>
  <c r="P897" i="10" s="1"/>
  <c r="F934" i="10"/>
  <c r="O934" i="10" s="1"/>
  <c r="P934" i="10" s="1"/>
  <c r="F1015" i="10"/>
  <c r="O1015" i="10" s="1"/>
  <c r="P1015" i="10" s="1"/>
  <c r="F1089" i="10"/>
  <c r="O1089" i="10" s="1"/>
  <c r="P1089" i="10" s="1"/>
  <c r="F1107" i="10"/>
  <c r="O1107" i="10" s="1"/>
  <c r="P1107" i="10" s="1"/>
  <c r="F83" i="10"/>
  <c r="O83" i="10" s="1"/>
  <c r="P83" i="10" s="1"/>
  <c r="F99" i="10"/>
  <c r="O99" i="10" s="1"/>
  <c r="P99" i="10" s="1"/>
  <c r="F115" i="10"/>
  <c r="O115" i="10" s="1"/>
  <c r="P115" i="10" s="1"/>
  <c r="F131" i="10"/>
  <c r="O131" i="10" s="1"/>
  <c r="P131" i="10" s="1"/>
  <c r="F147" i="10"/>
  <c r="O147" i="10" s="1"/>
  <c r="P147" i="10" s="1"/>
  <c r="F163" i="10"/>
  <c r="O163" i="10" s="1"/>
  <c r="P163" i="10" s="1"/>
  <c r="F179" i="10"/>
  <c r="O179" i="10" s="1"/>
  <c r="P179" i="10" s="1"/>
  <c r="F195" i="10"/>
  <c r="O195" i="10" s="1"/>
  <c r="P195" i="10" s="1"/>
  <c r="F211" i="10"/>
  <c r="O211" i="10" s="1"/>
  <c r="P211" i="10" s="1"/>
  <c r="F227" i="10"/>
  <c r="O227" i="10" s="1"/>
  <c r="P227" i="10" s="1"/>
  <c r="F243" i="10"/>
  <c r="O243" i="10" s="1"/>
  <c r="P243" i="10" s="1"/>
  <c r="F259" i="10"/>
  <c r="O259" i="10" s="1"/>
  <c r="P259" i="10" s="1"/>
  <c r="F275" i="10"/>
  <c r="O275" i="10" s="1"/>
  <c r="P275" i="10" s="1"/>
  <c r="F291" i="10"/>
  <c r="O291" i="10" s="1"/>
  <c r="P291" i="10" s="1"/>
  <c r="F307" i="10"/>
  <c r="O307" i="10" s="1"/>
  <c r="P307" i="10" s="1"/>
  <c r="F323" i="10"/>
  <c r="O323" i="10" s="1"/>
  <c r="P323" i="10" s="1"/>
  <c r="F339" i="10"/>
  <c r="O339" i="10" s="1"/>
  <c r="P339" i="10" s="1"/>
  <c r="F355" i="10"/>
  <c r="O355" i="10" s="1"/>
  <c r="P355" i="10" s="1"/>
  <c r="F371" i="10"/>
  <c r="O371" i="10" s="1"/>
  <c r="P371" i="10" s="1"/>
  <c r="F387" i="10"/>
  <c r="O387" i="10" s="1"/>
  <c r="P387" i="10" s="1"/>
  <c r="F403" i="10"/>
  <c r="O403" i="10" s="1"/>
  <c r="P403" i="10" s="1"/>
  <c r="F419" i="10"/>
  <c r="O419" i="10" s="1"/>
  <c r="P419" i="10" s="1"/>
  <c r="F435" i="10"/>
  <c r="O435" i="10" s="1"/>
  <c r="P435" i="10" s="1"/>
  <c r="F522" i="10"/>
  <c r="O522" i="10" s="1"/>
  <c r="P522" i="10" s="1"/>
  <c r="F530" i="10"/>
  <c r="O530" i="10" s="1"/>
  <c r="P530" i="10" s="1"/>
  <c r="F544" i="10"/>
  <c r="O544" i="10" s="1"/>
  <c r="P544" i="10" s="1"/>
  <c r="F550" i="10"/>
  <c r="O550" i="10" s="1"/>
  <c r="P550" i="10" s="1"/>
  <c r="F576" i="10"/>
  <c r="O576" i="10" s="1"/>
  <c r="P576" i="10" s="1"/>
  <c r="F582" i="10"/>
  <c r="O582" i="10" s="1"/>
  <c r="P582" i="10" s="1"/>
  <c r="F608" i="10"/>
  <c r="O608" i="10" s="1"/>
  <c r="P608" i="10" s="1"/>
  <c r="F614" i="10"/>
  <c r="O614" i="10" s="1"/>
  <c r="P614" i="10" s="1"/>
  <c r="F641" i="10"/>
  <c r="O641" i="10" s="1"/>
  <c r="P641" i="10" s="1"/>
  <c r="F655" i="10"/>
  <c r="O655" i="10" s="1"/>
  <c r="P655" i="10" s="1"/>
  <c r="F673" i="10"/>
  <c r="O673" i="10" s="1"/>
  <c r="P673" i="10" s="1"/>
  <c r="F687" i="10"/>
  <c r="O687" i="10" s="1"/>
  <c r="P687" i="10" s="1"/>
  <c r="F705" i="10"/>
  <c r="O705" i="10" s="1"/>
  <c r="P705" i="10" s="1"/>
  <c r="F719" i="10"/>
  <c r="O719" i="10" s="1"/>
  <c r="P719" i="10" s="1"/>
  <c r="F737" i="10"/>
  <c r="O737" i="10" s="1"/>
  <c r="P737" i="10" s="1"/>
  <c r="F751" i="10"/>
  <c r="O751" i="10" s="1"/>
  <c r="P751" i="10" s="1"/>
  <c r="F769" i="10"/>
  <c r="O769" i="10" s="1"/>
  <c r="P769" i="10" s="1"/>
  <c r="F783" i="10"/>
  <c r="O783" i="10" s="1"/>
  <c r="P783" i="10" s="1"/>
  <c r="F788" i="10"/>
  <c r="O788" i="10" s="1"/>
  <c r="P788" i="10" s="1"/>
  <c r="F840" i="10"/>
  <c r="O840" i="10" s="1"/>
  <c r="P840" i="10" s="1"/>
  <c r="F846" i="10"/>
  <c r="O846" i="10" s="1"/>
  <c r="P846" i="10" s="1"/>
  <c r="F872" i="10"/>
  <c r="O872" i="10" s="1"/>
  <c r="P872" i="10" s="1"/>
  <c r="F878" i="10"/>
  <c r="O878" i="10" s="1"/>
  <c r="P878" i="10" s="1"/>
  <c r="F904" i="10"/>
  <c r="O904" i="10" s="1"/>
  <c r="P904" i="10" s="1"/>
  <c r="F910" i="10"/>
  <c r="O910" i="10" s="1"/>
  <c r="P910" i="10" s="1"/>
  <c r="F936" i="10"/>
  <c r="O936" i="10" s="1"/>
  <c r="P936" i="10" s="1"/>
  <c r="F941" i="10"/>
  <c r="O941" i="10" s="1"/>
  <c r="P941" i="10" s="1"/>
  <c r="F955" i="10"/>
  <c r="O955" i="10" s="1"/>
  <c r="P955" i="10" s="1"/>
  <c r="F973" i="10"/>
  <c r="O973" i="10" s="1"/>
  <c r="P973" i="10" s="1"/>
  <c r="F987" i="10"/>
  <c r="O987" i="10" s="1"/>
  <c r="P987" i="10" s="1"/>
  <c r="F1005" i="10"/>
  <c r="O1005" i="10" s="1"/>
  <c r="P1005" i="10" s="1"/>
  <c r="F1026" i="10"/>
  <c r="O1026" i="10" s="1"/>
  <c r="P1026" i="10" s="1"/>
  <c r="F1032" i="10"/>
  <c r="O1032" i="10" s="1"/>
  <c r="P1032" i="10" s="1"/>
  <c r="F1095" i="10"/>
  <c r="O1095" i="10" s="1"/>
  <c r="P1095" i="10" s="1"/>
  <c r="F1102" i="10"/>
  <c r="O1102" i="10" s="1"/>
  <c r="P1102" i="10" s="1"/>
  <c r="F1111" i="10"/>
  <c r="O1111" i="10" s="1"/>
  <c r="P1111" i="10" s="1"/>
  <c r="F11" i="10"/>
  <c r="O11" i="10" s="1"/>
  <c r="P11" i="10" s="1"/>
  <c r="J11" i="10" s="1"/>
  <c r="F27" i="10"/>
  <c r="O27" i="10" s="1"/>
  <c r="P27" i="10" s="1"/>
  <c r="J27" i="10" s="1"/>
  <c r="F43" i="10"/>
  <c r="O43" i="10" s="1"/>
  <c r="P43" i="10" s="1"/>
  <c r="J43" i="10" s="1"/>
  <c r="F63" i="10"/>
  <c r="O63" i="10" s="1"/>
  <c r="P63" i="10" s="1"/>
  <c r="J63" i="10" s="1"/>
  <c r="F79" i="10"/>
  <c r="O79" i="10" s="1"/>
  <c r="P79" i="10" s="1"/>
  <c r="F239" i="10"/>
  <c r="O239" i="10" s="1"/>
  <c r="P239" i="10" s="1"/>
  <c r="F255" i="10"/>
  <c r="O255" i="10" s="1"/>
  <c r="P255" i="10" s="1"/>
  <c r="F266" i="10"/>
  <c r="O266" i="10" s="1"/>
  <c r="P266" i="10" s="1"/>
  <c r="F298" i="10"/>
  <c r="O298" i="10" s="1"/>
  <c r="P298" i="10" s="1"/>
  <c r="F415" i="10"/>
  <c r="O415" i="10" s="1"/>
  <c r="P415" i="10" s="1"/>
  <c r="F527" i="10"/>
  <c r="O527" i="10" s="1"/>
  <c r="P527" i="10" s="1"/>
  <c r="F558" i="10"/>
  <c r="O558" i="10" s="1"/>
  <c r="P558" i="10" s="1"/>
  <c r="F574" i="10"/>
  <c r="O574" i="10" s="1"/>
  <c r="P574" i="10" s="1"/>
  <c r="F697" i="10"/>
  <c r="O697" i="10" s="1"/>
  <c r="P697" i="10" s="1"/>
  <c r="F712" i="10"/>
  <c r="O712" i="10" s="1"/>
  <c r="P712" i="10" s="1"/>
  <c r="F775" i="10"/>
  <c r="O775" i="10" s="1"/>
  <c r="P775" i="10" s="1"/>
  <c r="F794" i="10"/>
  <c r="O794" i="10" s="1"/>
  <c r="P794" i="10" s="1"/>
  <c r="F833" i="10"/>
  <c r="O833" i="10" s="1"/>
  <c r="P833" i="10" s="1"/>
  <c r="F912" i="10"/>
  <c r="O912" i="10" s="1"/>
  <c r="P912" i="10" s="1"/>
  <c r="F1103" i="10"/>
  <c r="O1103" i="10" s="1"/>
  <c r="P1103" i="10" s="1"/>
  <c r="F105" i="10"/>
  <c r="O105" i="10" s="1"/>
  <c r="P105" i="10" s="1"/>
  <c r="F137" i="10"/>
  <c r="O137" i="10" s="1"/>
  <c r="P137" i="10" s="1"/>
  <c r="F169" i="10"/>
  <c r="O169" i="10" s="1"/>
  <c r="P169" i="10" s="1"/>
  <c r="F201" i="10"/>
  <c r="O201" i="10" s="1"/>
  <c r="P201" i="10" s="1"/>
  <c r="F233" i="10"/>
  <c r="O233" i="10" s="1"/>
  <c r="P233" i="10" s="1"/>
  <c r="F265" i="10"/>
  <c r="O265" i="10" s="1"/>
  <c r="P265" i="10" s="1"/>
  <c r="F297" i="10"/>
  <c r="O297" i="10" s="1"/>
  <c r="P297" i="10" s="1"/>
  <c r="F329" i="10"/>
  <c r="O329" i="10" s="1"/>
  <c r="P329" i="10" s="1"/>
  <c r="F361" i="10"/>
  <c r="O361" i="10" s="1"/>
  <c r="P361" i="10" s="1"/>
  <c r="F393" i="10"/>
  <c r="O393" i="10" s="1"/>
  <c r="P393" i="10" s="1"/>
  <c r="F425" i="10"/>
  <c r="O425" i="10" s="1"/>
  <c r="P425" i="10" s="1"/>
  <c r="F442" i="10"/>
  <c r="O442" i="10" s="1"/>
  <c r="P442" i="10" s="1"/>
  <c r="F454" i="10"/>
  <c r="O454" i="10" s="1"/>
  <c r="P454" i="10" s="1"/>
  <c r="F460" i="10"/>
  <c r="O460" i="10" s="1"/>
  <c r="P460" i="10" s="1"/>
  <c r="F470" i="10"/>
  <c r="O470" i="10" s="1"/>
  <c r="P470" i="10" s="1"/>
  <c r="F476" i="10"/>
  <c r="O476" i="10" s="1"/>
  <c r="P476" i="10" s="1"/>
  <c r="F486" i="10"/>
  <c r="O486" i="10" s="1"/>
  <c r="P486" i="10" s="1"/>
  <c r="F492" i="10"/>
  <c r="O492" i="10" s="1"/>
  <c r="P492" i="10" s="1"/>
  <c r="F502" i="10"/>
  <c r="O502" i="10" s="1"/>
  <c r="P502" i="10" s="1"/>
  <c r="F508" i="10"/>
  <c r="O508" i="10" s="1"/>
  <c r="P508" i="10" s="1"/>
  <c r="F514" i="10"/>
  <c r="O514" i="10" s="1"/>
  <c r="P514" i="10" s="1"/>
  <c r="F556" i="10"/>
  <c r="O556" i="10" s="1"/>
  <c r="P556" i="10" s="1"/>
  <c r="F562" i="10"/>
  <c r="O562" i="10" s="1"/>
  <c r="P562" i="10" s="1"/>
  <c r="F588" i="10"/>
  <c r="O588" i="10" s="1"/>
  <c r="P588" i="10" s="1"/>
  <c r="F594" i="10"/>
  <c r="O594" i="10" s="1"/>
  <c r="P594" i="10" s="1"/>
  <c r="F620" i="10"/>
  <c r="O620" i="10" s="1"/>
  <c r="P620" i="10" s="1"/>
  <c r="F626" i="10"/>
  <c r="O626" i="10" s="1"/>
  <c r="P626" i="10" s="1"/>
  <c r="F652" i="10"/>
  <c r="O652" i="10" s="1"/>
  <c r="P652" i="10" s="1"/>
  <c r="F658" i="10"/>
  <c r="O658" i="10" s="1"/>
  <c r="P658" i="10" s="1"/>
  <c r="F684" i="10"/>
  <c r="O684" i="10" s="1"/>
  <c r="P684" i="10" s="1"/>
  <c r="F690" i="10"/>
  <c r="O690" i="10" s="1"/>
  <c r="P690" i="10" s="1"/>
  <c r="F716" i="10"/>
  <c r="O716" i="10" s="1"/>
  <c r="P716" i="10" s="1"/>
  <c r="F722" i="10"/>
  <c r="O722" i="10" s="1"/>
  <c r="P722" i="10" s="1"/>
  <c r="F748" i="10"/>
  <c r="O748" i="10" s="1"/>
  <c r="P748" i="10" s="1"/>
  <c r="F754" i="10"/>
  <c r="O754" i="10" s="1"/>
  <c r="P754" i="10" s="1"/>
  <c r="F780" i="10"/>
  <c r="O780" i="10" s="1"/>
  <c r="P780" i="10" s="1"/>
  <c r="F802" i="10"/>
  <c r="O802" i="10" s="1"/>
  <c r="P802" i="10" s="1"/>
  <c r="F816" i="10"/>
  <c r="O816" i="10" s="1"/>
  <c r="P816" i="10" s="1"/>
  <c r="F821" i="10"/>
  <c r="O821" i="10" s="1"/>
  <c r="P821" i="10" s="1"/>
  <c r="F835" i="10"/>
  <c r="O835" i="10" s="1"/>
  <c r="P835" i="10" s="1"/>
  <c r="F853" i="10"/>
  <c r="O853" i="10" s="1"/>
  <c r="P853" i="10" s="1"/>
  <c r="F867" i="10"/>
  <c r="O867" i="10" s="1"/>
  <c r="P867" i="10" s="1"/>
  <c r="F885" i="10"/>
  <c r="O885" i="10" s="1"/>
  <c r="P885" i="10" s="1"/>
  <c r="F899" i="10"/>
  <c r="O899" i="10" s="1"/>
  <c r="P899" i="10" s="1"/>
  <c r="F917" i="10"/>
  <c r="O917" i="10" s="1"/>
  <c r="P917" i="10" s="1"/>
  <c r="F931" i="10"/>
  <c r="O931" i="10" s="1"/>
  <c r="P931" i="10" s="1"/>
  <c r="F951" i="10"/>
  <c r="O951" i="10" s="1"/>
  <c r="P951" i="10" s="1"/>
  <c r="F969" i="10"/>
  <c r="O969" i="10" s="1"/>
  <c r="P969" i="10" s="1"/>
  <c r="F983" i="10"/>
  <c r="O983" i="10" s="1"/>
  <c r="P983" i="10" s="1"/>
  <c r="F1001" i="10"/>
  <c r="O1001" i="10" s="1"/>
  <c r="P1001" i="10" s="1"/>
  <c r="F1034" i="10"/>
  <c r="O1034" i="10" s="1"/>
  <c r="P1034" i="10" s="1"/>
  <c r="F1042" i="10"/>
  <c r="O1042" i="10" s="1"/>
  <c r="P1042" i="10" s="1"/>
  <c r="F1048" i="10"/>
  <c r="O1048" i="10" s="1"/>
  <c r="P1048" i="10" s="1"/>
  <c r="F1058" i="10"/>
  <c r="O1058" i="10" s="1"/>
  <c r="P1058" i="10" s="1"/>
  <c r="F1064" i="10"/>
  <c r="O1064" i="10" s="1"/>
  <c r="P1064" i="10" s="1"/>
  <c r="F1074" i="10"/>
  <c r="O1074" i="10" s="1"/>
  <c r="P1074" i="10" s="1"/>
  <c r="F1080" i="10"/>
  <c r="O1080" i="10" s="1"/>
  <c r="P1080" i="10" s="1"/>
  <c r="F1091" i="10"/>
  <c r="O1091" i="10" s="1"/>
  <c r="P1091" i="10" s="1"/>
  <c r="F1098" i="10"/>
  <c r="O1098" i="10" s="1"/>
  <c r="P1098" i="10" s="1"/>
  <c r="F1142" i="10"/>
  <c r="O1142" i="10" s="1"/>
  <c r="P1142" i="10" s="1"/>
  <c r="F1124" i="10"/>
  <c r="O1124" i="10" s="1"/>
  <c r="P1124" i="10" s="1"/>
  <c r="F1145" i="10"/>
  <c r="O1145" i="10" s="1"/>
  <c r="P1145" i="10" s="1"/>
  <c r="F1152" i="10"/>
  <c r="O1152" i="10" s="1"/>
  <c r="P1152" i="10" s="1"/>
  <c r="F1130" i="10"/>
  <c r="O1130" i="10" s="1"/>
  <c r="P1130" i="10" s="1"/>
  <c r="F1162" i="10"/>
  <c r="O1162" i="10" s="1"/>
  <c r="P1162" i="10" s="1"/>
  <c r="F1170" i="10"/>
  <c r="O1170" i="10" s="1"/>
  <c r="P1170" i="10" s="1"/>
  <c r="F1132" i="10"/>
  <c r="O1132" i="10" s="1"/>
  <c r="P1132" i="10" s="1"/>
  <c r="F1157" i="10"/>
  <c r="O1157" i="10" s="1"/>
  <c r="P1157" i="10" s="1"/>
  <c r="F1164" i="10"/>
  <c r="O1164" i="10" s="1"/>
  <c r="P1164" i="10" s="1"/>
  <c r="F41" i="10"/>
  <c r="O41" i="10" s="1"/>
  <c r="P41" i="10" s="1"/>
  <c r="J41" i="10" s="1"/>
  <c r="F61" i="10"/>
  <c r="O61" i="10" s="1"/>
  <c r="P61" i="10" s="1"/>
  <c r="J61" i="10" s="1"/>
  <c r="F87" i="10"/>
  <c r="O87" i="10" s="1"/>
  <c r="P87" i="10" s="1"/>
  <c r="F154" i="10"/>
  <c r="O154" i="10" s="1"/>
  <c r="P154" i="10" s="1"/>
  <c r="F178" i="10"/>
  <c r="O178" i="10" s="1"/>
  <c r="P178" i="10" s="1"/>
  <c r="F210" i="10"/>
  <c r="O210" i="10" s="1"/>
  <c r="P210" i="10" s="1"/>
  <c r="F311" i="10"/>
  <c r="O311" i="10" s="1"/>
  <c r="P311" i="10" s="1"/>
  <c r="F327" i="10"/>
  <c r="O327" i="10" s="1"/>
  <c r="P327" i="10" s="1"/>
  <c r="F354" i="10"/>
  <c r="O354" i="10" s="1"/>
  <c r="P354" i="10" s="1"/>
  <c r="F536" i="10"/>
  <c r="O536" i="10" s="1"/>
  <c r="P536" i="10" s="1"/>
  <c r="F713" i="10"/>
  <c r="O713" i="10" s="1"/>
  <c r="P713" i="10" s="1"/>
  <c r="F734" i="10"/>
  <c r="O734" i="10" s="1"/>
  <c r="P734" i="10" s="1"/>
  <c r="F832" i="10"/>
  <c r="O832" i="10" s="1"/>
  <c r="P832" i="10" s="1"/>
  <c r="F948" i="10"/>
  <c r="O948" i="10" s="1"/>
  <c r="P948" i="10" s="1"/>
  <c r="F1002" i="10"/>
  <c r="O1002" i="10" s="1"/>
  <c r="P1002" i="10" s="1"/>
  <c r="F1087" i="10"/>
  <c r="O1087" i="10" s="1"/>
  <c r="P1087" i="10" s="1"/>
  <c r="F109" i="10"/>
  <c r="O109" i="10" s="1"/>
  <c r="P109" i="10" s="1"/>
  <c r="F141" i="10"/>
  <c r="O141" i="10" s="1"/>
  <c r="P141" i="10" s="1"/>
  <c r="F173" i="10"/>
  <c r="O173" i="10" s="1"/>
  <c r="P173" i="10" s="1"/>
  <c r="F205" i="10"/>
  <c r="O205" i="10" s="1"/>
  <c r="P205" i="10" s="1"/>
  <c r="F237" i="10"/>
  <c r="O237" i="10" s="1"/>
  <c r="P237" i="10" s="1"/>
  <c r="F269" i="10"/>
  <c r="O269" i="10" s="1"/>
  <c r="P269" i="10" s="1"/>
  <c r="F301" i="10"/>
  <c r="O301" i="10" s="1"/>
  <c r="P301" i="10" s="1"/>
  <c r="F333" i="10"/>
  <c r="O333" i="10" s="1"/>
  <c r="P333" i="10" s="1"/>
  <c r="F365" i="10"/>
  <c r="O365" i="10" s="1"/>
  <c r="P365" i="10" s="1"/>
  <c r="F397" i="10"/>
  <c r="O397" i="10" s="1"/>
  <c r="P397" i="10" s="1"/>
  <c r="F429" i="10"/>
  <c r="O429" i="10" s="1"/>
  <c r="P429" i="10" s="1"/>
  <c r="F447" i="10"/>
  <c r="O447" i="10" s="1"/>
  <c r="P447" i="10" s="1"/>
  <c r="F463" i="10"/>
  <c r="O463" i="10" s="1"/>
  <c r="P463" i="10" s="1"/>
  <c r="F479" i="10"/>
  <c r="O479" i="10" s="1"/>
  <c r="P479" i="10" s="1"/>
  <c r="F495" i="10"/>
  <c r="O495" i="10" s="1"/>
  <c r="P495" i="10" s="1"/>
  <c r="F511" i="10"/>
  <c r="O511" i="10" s="1"/>
  <c r="P511" i="10" s="1"/>
  <c r="F516" i="10"/>
  <c r="O516" i="10" s="1"/>
  <c r="P516" i="10" s="1"/>
  <c r="F521" i="10"/>
  <c r="O521" i="10" s="1"/>
  <c r="P521" i="10" s="1"/>
  <c r="F549" i="10"/>
  <c r="O549" i="10" s="1"/>
  <c r="P549" i="10" s="1"/>
  <c r="F563" i="10"/>
  <c r="O563" i="10" s="1"/>
  <c r="P563" i="10" s="1"/>
  <c r="F581" i="10"/>
  <c r="O581" i="10" s="1"/>
  <c r="P581" i="10" s="1"/>
  <c r="F595" i="10"/>
  <c r="O595" i="10" s="1"/>
  <c r="P595" i="10" s="1"/>
  <c r="F613" i="10"/>
  <c r="O613" i="10" s="1"/>
  <c r="P613" i="10" s="1"/>
  <c r="F627" i="10"/>
  <c r="O627" i="10" s="1"/>
  <c r="P627" i="10" s="1"/>
  <c r="F634" i="10"/>
  <c r="O634" i="10" s="1"/>
  <c r="P634" i="10" s="1"/>
  <c r="F660" i="10"/>
  <c r="O660" i="10" s="1"/>
  <c r="P660" i="10" s="1"/>
  <c r="F666" i="10"/>
  <c r="O666" i="10" s="1"/>
  <c r="P666" i="10" s="1"/>
  <c r="F692" i="10"/>
  <c r="O692" i="10" s="1"/>
  <c r="P692" i="10" s="1"/>
  <c r="F698" i="10"/>
  <c r="O698" i="10" s="1"/>
  <c r="P698" i="10" s="1"/>
  <c r="F724" i="10"/>
  <c r="O724" i="10" s="1"/>
  <c r="P724" i="10" s="1"/>
  <c r="F730" i="10"/>
  <c r="O730" i="10" s="1"/>
  <c r="P730" i="10" s="1"/>
  <c r="F756" i="10"/>
  <c r="O756" i="10" s="1"/>
  <c r="P756" i="10" s="1"/>
  <c r="F762" i="10"/>
  <c r="O762" i="10" s="1"/>
  <c r="P762" i="10" s="1"/>
  <c r="F803" i="10"/>
  <c r="O803" i="10" s="1"/>
  <c r="P803" i="10" s="1"/>
  <c r="F808" i="10"/>
  <c r="O808" i="10" s="1"/>
  <c r="P808" i="10" s="1"/>
  <c r="F814" i="10"/>
  <c r="O814" i="10" s="1"/>
  <c r="P814" i="10" s="1"/>
  <c r="F828" i="10"/>
  <c r="O828" i="10" s="1"/>
  <c r="P828" i="10" s="1"/>
  <c r="F834" i="10"/>
  <c r="O834" i="10" s="1"/>
  <c r="P834" i="10" s="1"/>
  <c r="F860" i="10"/>
  <c r="O860" i="10" s="1"/>
  <c r="P860" i="10" s="1"/>
  <c r="F866" i="10"/>
  <c r="O866" i="10" s="1"/>
  <c r="P866" i="10" s="1"/>
  <c r="F892" i="10"/>
  <c r="O892" i="10" s="1"/>
  <c r="P892" i="10" s="1"/>
  <c r="F898" i="10"/>
  <c r="O898" i="10" s="1"/>
  <c r="P898" i="10" s="1"/>
  <c r="F924" i="10"/>
  <c r="O924" i="10" s="1"/>
  <c r="P924" i="10" s="1"/>
  <c r="F930" i="10"/>
  <c r="O930" i="10" s="1"/>
  <c r="P930" i="10" s="1"/>
  <c r="F944" i="10"/>
  <c r="O944" i="10" s="1"/>
  <c r="P944" i="10" s="1"/>
  <c r="F950" i="10"/>
  <c r="O950" i="10" s="1"/>
  <c r="P950" i="10" s="1"/>
  <c r="F976" i="10"/>
  <c r="O976" i="10" s="1"/>
  <c r="P976" i="10" s="1"/>
  <c r="F982" i="10"/>
  <c r="O982" i="10" s="1"/>
  <c r="P982" i="10" s="1"/>
  <c r="F1008" i="10"/>
  <c r="O1008" i="10" s="1"/>
  <c r="P1008" i="10" s="1"/>
  <c r="F1013" i="10"/>
  <c r="O1013" i="10" s="1"/>
  <c r="P1013" i="10" s="1"/>
  <c r="F1035" i="10"/>
  <c r="O1035" i="10" s="1"/>
  <c r="P1035" i="10" s="1"/>
  <c r="F1040" i="10"/>
  <c r="O1040" i="10" s="1"/>
  <c r="P1040" i="10" s="1"/>
  <c r="F1051" i="10"/>
  <c r="O1051" i="10" s="1"/>
  <c r="P1051" i="10" s="1"/>
  <c r="F1067" i="10"/>
  <c r="O1067" i="10" s="1"/>
  <c r="P1067" i="10" s="1"/>
  <c r="F1101" i="10"/>
  <c r="O1101" i="10" s="1"/>
  <c r="P1101" i="10" s="1"/>
  <c r="F17" i="10"/>
  <c r="O17" i="10" s="1"/>
  <c r="P17" i="10" s="1"/>
  <c r="J17" i="10" s="1"/>
  <c r="F57" i="10"/>
  <c r="O57" i="10" s="1"/>
  <c r="P57" i="10" s="1"/>
  <c r="J57" i="10" s="1"/>
  <c r="F82" i="10"/>
  <c r="O82" i="10" s="1"/>
  <c r="P82" i="10" s="1"/>
  <c r="F98" i="10"/>
  <c r="O98" i="10" s="1"/>
  <c r="P98" i="10" s="1"/>
  <c r="F114" i="10"/>
  <c r="O114" i="10" s="1"/>
  <c r="P114" i="10" s="1"/>
  <c r="F130" i="10"/>
  <c r="O130" i="10" s="1"/>
  <c r="P130" i="10" s="1"/>
  <c r="F167" i="10"/>
  <c r="O167" i="10" s="1"/>
  <c r="P167" i="10" s="1"/>
  <c r="F279" i="10"/>
  <c r="O279" i="10" s="1"/>
  <c r="P279" i="10" s="1"/>
  <c r="F343" i="10"/>
  <c r="O343" i="10" s="1"/>
  <c r="P343" i="10" s="1"/>
  <c r="F362" i="10"/>
  <c r="O362" i="10" s="1"/>
  <c r="P362" i="10" s="1"/>
  <c r="F535" i="10"/>
  <c r="O535" i="10" s="1"/>
  <c r="P535" i="10" s="1"/>
  <c r="F553" i="10"/>
  <c r="O553" i="10" s="1"/>
  <c r="P553" i="10" s="1"/>
  <c r="F583" i="10"/>
  <c r="O583" i="10" s="1"/>
  <c r="P583" i="10" s="1"/>
  <c r="F600" i="10"/>
  <c r="O600" i="10" s="1"/>
  <c r="P600" i="10" s="1"/>
  <c r="F670" i="10"/>
  <c r="O670" i="10" s="1"/>
  <c r="P670" i="10" s="1"/>
  <c r="F686" i="10"/>
  <c r="O686" i="10" s="1"/>
  <c r="P686" i="10" s="1"/>
  <c r="F743" i="10"/>
  <c r="O743" i="10" s="1"/>
  <c r="P743" i="10" s="1"/>
  <c r="F776" i="10"/>
  <c r="O776" i="10" s="1"/>
  <c r="P776" i="10" s="1"/>
  <c r="F863" i="10"/>
  <c r="O863" i="10" s="1"/>
  <c r="P863" i="10" s="1"/>
  <c r="F879" i="10"/>
  <c r="O879" i="10" s="1"/>
  <c r="P879" i="10" s="1"/>
  <c r="F980" i="10"/>
  <c r="O980" i="10" s="1"/>
  <c r="P980" i="10" s="1"/>
  <c r="F996" i="10"/>
  <c r="O996" i="10" s="1"/>
  <c r="P996" i="10" s="1"/>
  <c r="F1094" i="10"/>
  <c r="O1094" i="10" s="1"/>
  <c r="P1094" i="10" s="1"/>
  <c r="F1110" i="10"/>
  <c r="O1110" i="10" s="1"/>
  <c r="P1110" i="10" s="1"/>
  <c r="F14" i="10"/>
  <c r="O14" i="10" s="1"/>
  <c r="P14" i="10" s="1"/>
  <c r="J14" i="10" s="1"/>
  <c r="F18" i="10"/>
  <c r="O18" i="10" s="1"/>
  <c r="P18" i="10" s="1"/>
  <c r="J18" i="10" s="1"/>
  <c r="F22" i="10"/>
  <c r="O22" i="10" s="1"/>
  <c r="P22" i="10" s="1"/>
  <c r="J22" i="10" s="1"/>
  <c r="F26" i="10"/>
  <c r="O26" i="10" s="1"/>
  <c r="P26" i="10" s="1"/>
  <c r="J26" i="10" s="1"/>
  <c r="F30" i="10"/>
  <c r="O30" i="10" s="1"/>
  <c r="P30" i="10" s="1"/>
  <c r="J30" i="10" s="1"/>
  <c r="F34" i="10"/>
  <c r="O34" i="10" s="1"/>
  <c r="P34" i="10" s="1"/>
  <c r="J34" i="10" s="1"/>
  <c r="F38" i="10"/>
  <c r="O38" i="10" s="1"/>
  <c r="P38" i="10" s="1"/>
  <c r="J38" i="10" s="1"/>
  <c r="F42" i="10"/>
  <c r="O42" i="10" s="1"/>
  <c r="P42" i="10" s="1"/>
  <c r="J42" i="10" s="1"/>
  <c r="F46" i="10"/>
  <c r="O46" i="10" s="1"/>
  <c r="P46" i="10" s="1"/>
  <c r="J46" i="10" s="1"/>
  <c r="F50" i="10"/>
  <c r="O50" i="10" s="1"/>
  <c r="P50" i="10" s="1"/>
  <c r="J50" i="10" s="1"/>
  <c r="F54" i="10"/>
  <c r="O54" i="10" s="1"/>
  <c r="P54" i="10" s="1"/>
  <c r="J54" i="10" s="1"/>
  <c r="F58" i="10"/>
  <c r="O58" i="10" s="1"/>
  <c r="P58" i="10" s="1"/>
  <c r="J58" i="10" s="1"/>
  <c r="F62" i="10"/>
  <c r="O62" i="10" s="1"/>
  <c r="P62" i="10" s="1"/>
  <c r="J62" i="10" s="1"/>
  <c r="F66" i="10"/>
  <c r="O66" i="10" s="1"/>
  <c r="P66" i="10" s="1"/>
  <c r="J66" i="10" s="1"/>
  <c r="F70" i="10"/>
  <c r="O70" i="10" s="1"/>
  <c r="P70" i="10" s="1"/>
  <c r="J70" i="10" s="1"/>
  <c r="F74" i="10"/>
  <c r="O74" i="10" s="1"/>
  <c r="P74" i="10" s="1"/>
  <c r="J74" i="10" s="1"/>
  <c r="F78" i="10"/>
  <c r="O78" i="10" s="1"/>
  <c r="P78" i="10" s="1"/>
  <c r="F94" i="10"/>
  <c r="O94" i="10" s="1"/>
  <c r="P94" i="10" s="1"/>
  <c r="F110" i="10"/>
  <c r="O110" i="10" s="1"/>
  <c r="P110" i="10" s="1"/>
  <c r="F126" i="10"/>
  <c r="O126" i="10" s="1"/>
  <c r="P126" i="10" s="1"/>
  <c r="F142" i="10"/>
  <c r="O142" i="10" s="1"/>
  <c r="P142" i="10" s="1"/>
  <c r="F158" i="10"/>
  <c r="O158" i="10" s="1"/>
  <c r="P158" i="10" s="1"/>
  <c r="F174" i="10"/>
  <c r="O174" i="10" s="1"/>
  <c r="P174" i="10" s="1"/>
  <c r="F190" i="10"/>
  <c r="O190" i="10" s="1"/>
  <c r="P190" i="10" s="1"/>
  <c r="F206" i="10"/>
  <c r="O206" i="10" s="1"/>
  <c r="P206" i="10" s="1"/>
  <c r="F222" i="10"/>
  <c r="O222" i="10" s="1"/>
  <c r="P222" i="10" s="1"/>
  <c r="F238" i="10"/>
  <c r="O238" i="10" s="1"/>
  <c r="P238" i="10" s="1"/>
  <c r="F254" i="10"/>
  <c r="O254" i="10" s="1"/>
  <c r="P254" i="10" s="1"/>
  <c r="F270" i="10"/>
  <c r="O270" i="10" s="1"/>
  <c r="P270" i="10" s="1"/>
  <c r="F286" i="10"/>
  <c r="O286" i="10" s="1"/>
  <c r="P286" i="10" s="1"/>
  <c r="F302" i="10"/>
  <c r="O302" i="10" s="1"/>
  <c r="P302" i="10" s="1"/>
  <c r="F318" i="10"/>
  <c r="O318" i="10" s="1"/>
  <c r="P318" i="10" s="1"/>
  <c r="F334" i="10"/>
  <c r="O334" i="10" s="1"/>
  <c r="P334" i="10" s="1"/>
  <c r="F350" i="10"/>
  <c r="O350" i="10" s="1"/>
  <c r="P350" i="10" s="1"/>
  <c r="F366" i="10"/>
  <c r="O366" i="10" s="1"/>
  <c r="P366" i="10" s="1"/>
  <c r="F382" i="10"/>
  <c r="O382" i="10" s="1"/>
  <c r="P382" i="10" s="1"/>
  <c r="F398" i="10"/>
  <c r="O398" i="10" s="1"/>
  <c r="P398" i="10" s="1"/>
  <c r="F414" i="10"/>
  <c r="O414" i="10" s="1"/>
  <c r="P414" i="10" s="1"/>
  <c r="F430" i="10"/>
  <c r="O430" i="10" s="1"/>
  <c r="P430" i="10" s="1"/>
  <c r="F545" i="10"/>
  <c r="O545" i="10" s="1"/>
  <c r="P545" i="10" s="1"/>
  <c r="F559" i="10"/>
  <c r="O559" i="10" s="1"/>
  <c r="P559" i="10" s="1"/>
  <c r="F577" i="10"/>
  <c r="O577" i="10" s="1"/>
  <c r="P577" i="10" s="1"/>
  <c r="F591" i="10"/>
  <c r="O591" i="10" s="1"/>
  <c r="P591" i="10" s="1"/>
  <c r="F609" i="10"/>
  <c r="O609" i="10" s="1"/>
  <c r="P609" i="10" s="1"/>
  <c r="F623" i="10"/>
  <c r="O623" i="10" s="1"/>
  <c r="P623" i="10" s="1"/>
  <c r="F630" i="10"/>
  <c r="O630" i="10" s="1"/>
  <c r="P630" i="10" s="1"/>
  <c r="F656" i="10"/>
  <c r="O656" i="10" s="1"/>
  <c r="P656" i="10" s="1"/>
  <c r="F662" i="10"/>
  <c r="O662" i="10" s="1"/>
  <c r="P662" i="10" s="1"/>
  <c r="F688" i="10"/>
  <c r="O688" i="10" s="1"/>
  <c r="P688" i="10" s="1"/>
  <c r="F694" i="10"/>
  <c r="O694" i="10" s="1"/>
  <c r="P694" i="10" s="1"/>
  <c r="F720" i="10"/>
  <c r="O720" i="10" s="1"/>
  <c r="P720" i="10" s="1"/>
  <c r="F726" i="10"/>
  <c r="O726" i="10" s="1"/>
  <c r="P726" i="10" s="1"/>
  <c r="F752" i="10"/>
  <c r="O752" i="10" s="1"/>
  <c r="P752" i="10" s="1"/>
  <c r="F758" i="10"/>
  <c r="O758" i="10" s="1"/>
  <c r="P758" i="10" s="1"/>
  <c r="F784" i="10"/>
  <c r="O784" i="10" s="1"/>
  <c r="P784" i="10" s="1"/>
  <c r="F795" i="10"/>
  <c r="O795" i="10" s="1"/>
  <c r="P795" i="10" s="1"/>
  <c r="F823" i="10"/>
  <c r="O823" i="10" s="1"/>
  <c r="P823" i="10" s="1"/>
  <c r="F841" i="10"/>
  <c r="O841" i="10" s="1"/>
  <c r="P841" i="10" s="1"/>
  <c r="F855" i="10"/>
  <c r="O855" i="10" s="1"/>
  <c r="P855" i="10" s="1"/>
  <c r="F873" i="10"/>
  <c r="O873" i="10" s="1"/>
  <c r="P873" i="10" s="1"/>
  <c r="F887" i="10"/>
  <c r="O887" i="10" s="1"/>
  <c r="P887" i="10" s="1"/>
  <c r="F905" i="10"/>
  <c r="O905" i="10" s="1"/>
  <c r="P905" i="10" s="1"/>
  <c r="F919" i="10"/>
  <c r="O919" i="10" s="1"/>
  <c r="P919" i="10" s="1"/>
  <c r="F956" i="10"/>
  <c r="O956" i="10" s="1"/>
  <c r="P956" i="10" s="1"/>
  <c r="F962" i="10"/>
  <c r="O962" i="10" s="1"/>
  <c r="P962" i="10" s="1"/>
  <c r="F988" i="10"/>
  <c r="O988" i="10" s="1"/>
  <c r="P988" i="10" s="1"/>
  <c r="F994" i="10"/>
  <c r="O994" i="10" s="1"/>
  <c r="P994" i="10" s="1"/>
  <c r="F1014" i="10"/>
  <c r="O1014" i="10" s="1"/>
  <c r="P1014" i="10" s="1"/>
  <c r="F1033" i="10"/>
  <c r="O1033" i="10" s="1"/>
  <c r="P1033" i="10" s="1"/>
  <c r="F1096" i="10"/>
  <c r="O1096" i="10" s="1"/>
  <c r="P1096" i="10" s="1"/>
  <c r="F1106" i="10"/>
  <c r="O1106" i="10" s="1"/>
  <c r="P1106" i="10" s="1"/>
  <c r="F1114" i="10"/>
  <c r="O1114" i="10" s="1"/>
  <c r="P1114" i="10" s="1"/>
  <c r="F15" i="10"/>
  <c r="O15" i="10" s="1"/>
  <c r="P15" i="10" s="1"/>
  <c r="J15" i="10" s="1"/>
  <c r="F31" i="10"/>
  <c r="O31" i="10" s="1"/>
  <c r="P31" i="10" s="1"/>
  <c r="J31" i="10" s="1"/>
  <c r="F47" i="10"/>
  <c r="O47" i="10" s="1"/>
  <c r="P47" i="10" s="1"/>
  <c r="J47" i="10" s="1"/>
  <c r="F67" i="10"/>
  <c r="O67" i="10" s="1"/>
  <c r="P67" i="10" s="1"/>
  <c r="J67" i="10" s="1"/>
  <c r="F111" i="10"/>
  <c r="O111" i="10" s="1"/>
  <c r="P111" i="10" s="1"/>
  <c r="F127" i="10"/>
  <c r="O127" i="10" s="1"/>
  <c r="P127" i="10" s="1"/>
  <c r="F138" i="10"/>
  <c r="O138" i="10" s="1"/>
  <c r="P138" i="10" s="1"/>
  <c r="F175" i="10"/>
  <c r="O175" i="10" s="1"/>
  <c r="P175" i="10" s="1"/>
  <c r="F319" i="10"/>
  <c r="O319" i="10" s="1"/>
  <c r="P319" i="10" s="1"/>
  <c r="F335" i="10"/>
  <c r="O335" i="10" s="1"/>
  <c r="P335" i="10" s="1"/>
  <c r="F351" i="10"/>
  <c r="O351" i="10" s="1"/>
  <c r="P351" i="10" s="1"/>
  <c r="F367" i="10"/>
  <c r="O367" i="10" s="1"/>
  <c r="P367" i="10" s="1"/>
  <c r="F399" i="10"/>
  <c r="O399" i="10" s="1"/>
  <c r="P399" i="10" s="1"/>
  <c r="F531" i="10"/>
  <c r="O531" i="10" s="1"/>
  <c r="P531" i="10" s="1"/>
  <c r="F599" i="10"/>
  <c r="O599" i="10" s="1"/>
  <c r="P599" i="10" s="1"/>
  <c r="F617" i="10"/>
  <c r="O617" i="10" s="1"/>
  <c r="P617" i="10" s="1"/>
  <c r="F638" i="10"/>
  <c r="O638" i="10" s="1"/>
  <c r="P638" i="10" s="1"/>
  <c r="F681" i="10"/>
  <c r="O681" i="10" s="1"/>
  <c r="P681" i="10" s="1"/>
  <c r="F761" i="10"/>
  <c r="O761" i="10" s="1"/>
  <c r="P761" i="10" s="1"/>
  <c r="F854" i="10"/>
  <c r="O854" i="10" s="1"/>
  <c r="P854" i="10" s="1"/>
  <c r="F896" i="10"/>
  <c r="O896" i="10" s="1"/>
  <c r="P896" i="10" s="1"/>
  <c r="F938" i="10"/>
  <c r="O938" i="10" s="1"/>
  <c r="P938" i="10" s="1"/>
  <c r="F954" i="10"/>
  <c r="O954" i="10" s="1"/>
  <c r="P954" i="10" s="1"/>
  <c r="F997" i="10"/>
  <c r="O997" i="10" s="1"/>
  <c r="P997" i="10" s="1"/>
  <c r="F1016" i="10"/>
  <c r="O1016" i="10" s="1"/>
  <c r="P1016" i="10" s="1"/>
  <c r="F97" i="10"/>
  <c r="O97" i="10" s="1"/>
  <c r="P97" i="10" s="1"/>
  <c r="F129" i="10"/>
  <c r="O129" i="10" s="1"/>
  <c r="P129" i="10" s="1"/>
  <c r="F161" i="10"/>
  <c r="O161" i="10" s="1"/>
  <c r="P161" i="10" s="1"/>
  <c r="F193" i="10"/>
  <c r="O193" i="10" s="1"/>
  <c r="P193" i="10" s="1"/>
  <c r="F225" i="10"/>
  <c r="O225" i="10" s="1"/>
  <c r="P225" i="10" s="1"/>
  <c r="F257" i="10"/>
  <c r="O257" i="10" s="1"/>
  <c r="P257" i="10" s="1"/>
  <c r="F289" i="10"/>
  <c r="O289" i="10" s="1"/>
  <c r="P289" i="10" s="1"/>
  <c r="F321" i="10"/>
  <c r="O321" i="10" s="1"/>
  <c r="P321" i="10" s="1"/>
  <c r="F353" i="10"/>
  <c r="O353" i="10" s="1"/>
  <c r="P353" i="10" s="1"/>
  <c r="F385" i="10"/>
  <c r="O385" i="10" s="1"/>
  <c r="P385" i="10" s="1"/>
  <c r="F417" i="10"/>
  <c r="O417" i="10" s="1"/>
  <c r="P417" i="10" s="1"/>
  <c r="F451" i="10"/>
  <c r="O451" i="10" s="1"/>
  <c r="P451" i="10" s="1"/>
  <c r="F467" i="10"/>
  <c r="O467" i="10" s="1"/>
  <c r="P467" i="10" s="1"/>
  <c r="F483" i="10"/>
  <c r="O483" i="10" s="1"/>
  <c r="P483" i="10" s="1"/>
  <c r="F499" i="10"/>
  <c r="O499" i="10" s="1"/>
  <c r="P499" i="10" s="1"/>
  <c r="F539" i="10"/>
  <c r="O539" i="10" s="1"/>
  <c r="P539" i="10" s="1"/>
  <c r="F557" i="10"/>
  <c r="O557" i="10" s="1"/>
  <c r="P557" i="10" s="1"/>
  <c r="F571" i="10"/>
  <c r="O571" i="10" s="1"/>
  <c r="P571" i="10" s="1"/>
  <c r="F589" i="10"/>
  <c r="O589" i="10" s="1"/>
  <c r="P589" i="10" s="1"/>
  <c r="F603" i="10"/>
  <c r="O603" i="10" s="1"/>
  <c r="P603" i="10" s="1"/>
  <c r="F621" i="10"/>
  <c r="O621" i="10" s="1"/>
  <c r="P621" i="10" s="1"/>
  <c r="F635" i="10"/>
  <c r="O635" i="10" s="1"/>
  <c r="P635" i="10" s="1"/>
  <c r="F653" i="10"/>
  <c r="O653" i="10" s="1"/>
  <c r="P653" i="10" s="1"/>
  <c r="F667" i="10"/>
  <c r="O667" i="10" s="1"/>
  <c r="P667" i="10" s="1"/>
  <c r="F685" i="10"/>
  <c r="O685" i="10" s="1"/>
  <c r="P685" i="10" s="1"/>
  <c r="F699" i="10"/>
  <c r="O699" i="10" s="1"/>
  <c r="P699" i="10" s="1"/>
  <c r="F717" i="10"/>
  <c r="O717" i="10" s="1"/>
  <c r="P717" i="10" s="1"/>
  <c r="F731" i="10"/>
  <c r="O731" i="10" s="1"/>
  <c r="P731" i="10" s="1"/>
  <c r="F749" i="10"/>
  <c r="O749" i="10" s="1"/>
  <c r="P749" i="10" s="1"/>
  <c r="F763" i="10"/>
  <c r="O763" i="10" s="1"/>
  <c r="P763" i="10" s="1"/>
  <c r="F781" i="10"/>
  <c r="O781" i="10" s="1"/>
  <c r="P781" i="10" s="1"/>
  <c r="F836" i="10"/>
  <c r="O836" i="10" s="1"/>
  <c r="P836" i="10" s="1"/>
  <c r="F842" i="10"/>
  <c r="O842" i="10" s="1"/>
  <c r="P842" i="10" s="1"/>
  <c r="F868" i="10"/>
  <c r="O868" i="10" s="1"/>
  <c r="P868" i="10" s="1"/>
  <c r="F874" i="10"/>
  <c r="O874" i="10" s="1"/>
  <c r="P874" i="10" s="1"/>
  <c r="F900" i="10"/>
  <c r="O900" i="10" s="1"/>
  <c r="P900" i="10" s="1"/>
  <c r="F906" i="10"/>
  <c r="O906" i="10" s="1"/>
  <c r="P906" i="10" s="1"/>
  <c r="F932" i="10"/>
  <c r="O932" i="10" s="1"/>
  <c r="P932" i="10" s="1"/>
  <c r="F952" i="10"/>
  <c r="O952" i="10" s="1"/>
  <c r="P952" i="10" s="1"/>
  <c r="F958" i="10"/>
  <c r="O958" i="10" s="1"/>
  <c r="P958" i="10" s="1"/>
  <c r="F984" i="10"/>
  <c r="O984" i="10" s="1"/>
  <c r="P984" i="10" s="1"/>
  <c r="F990" i="10"/>
  <c r="O990" i="10" s="1"/>
  <c r="P990" i="10" s="1"/>
  <c r="F1010" i="10"/>
  <c r="O1010" i="10" s="1"/>
  <c r="P1010" i="10" s="1"/>
  <c r="F1023" i="10"/>
  <c r="O1023" i="10" s="1"/>
  <c r="P1023" i="10" s="1"/>
  <c r="F1055" i="10"/>
  <c r="O1055" i="10" s="1"/>
  <c r="P1055" i="10" s="1"/>
  <c r="F1071" i="10"/>
  <c r="O1071" i="10" s="1"/>
  <c r="P1071" i="10" s="1"/>
  <c r="F1092" i="10"/>
  <c r="O1092" i="10" s="1"/>
  <c r="P1092" i="10" s="1"/>
  <c r="F1121" i="10"/>
  <c r="O1121" i="10" s="1"/>
  <c r="P1121" i="10" s="1"/>
  <c r="F1134" i="10"/>
  <c r="O1134" i="10" s="1"/>
  <c r="P1134" i="10" s="1"/>
  <c r="F1166" i="10"/>
  <c r="O1166" i="10" s="1"/>
  <c r="P1166" i="10" s="1"/>
  <c r="F1118" i="10"/>
  <c r="O1118" i="10" s="1"/>
  <c r="P1118" i="10" s="1"/>
  <c r="F1128" i="10"/>
  <c r="O1128" i="10" s="1"/>
  <c r="P1128" i="10" s="1"/>
  <c r="F1153" i="10"/>
  <c r="O1153" i="10" s="1"/>
  <c r="P1153" i="10" s="1"/>
  <c r="F1160" i="10"/>
  <c r="O1160" i="10" s="1"/>
  <c r="P1160" i="10" s="1"/>
  <c r="F1154" i="10"/>
  <c r="O1154" i="10" s="1"/>
  <c r="P1154" i="10" s="1"/>
  <c r="F1171" i="10"/>
  <c r="O1171" i="10" s="1"/>
  <c r="P1171" i="10" s="1"/>
  <c r="F1133" i="10"/>
  <c r="O1133" i="10" s="1"/>
  <c r="P1133" i="10" s="1"/>
  <c r="F1140" i="10"/>
  <c r="O1140" i="10" s="1"/>
  <c r="P1140" i="10" s="1"/>
  <c r="F1165" i="10"/>
  <c r="O1165" i="10" s="1"/>
  <c r="P1165" i="10" s="1"/>
  <c r="F29" i="10"/>
  <c r="O29" i="10" s="1"/>
  <c r="P29" i="10" s="1"/>
  <c r="J29" i="10" s="1"/>
  <c r="F45" i="10"/>
  <c r="O45" i="10" s="1"/>
  <c r="P45" i="10" s="1"/>
  <c r="J45" i="10" s="1"/>
  <c r="F65" i="10"/>
  <c r="O65" i="10" s="1"/>
  <c r="P65" i="10" s="1"/>
  <c r="J65" i="10" s="1"/>
  <c r="F90" i="10"/>
  <c r="O90" i="10" s="1"/>
  <c r="P90" i="10" s="1"/>
  <c r="F231" i="10"/>
  <c r="O231" i="10" s="1"/>
  <c r="P231" i="10" s="1"/>
  <c r="F247" i="10"/>
  <c r="O247" i="10" s="1"/>
  <c r="P247" i="10" s="1"/>
  <c r="F263" i="10"/>
  <c r="O263" i="10" s="1"/>
  <c r="P263" i="10" s="1"/>
  <c r="F375" i="10"/>
  <c r="O375" i="10" s="1"/>
  <c r="P375" i="10" s="1"/>
  <c r="F391" i="10"/>
  <c r="O391" i="10" s="1"/>
  <c r="P391" i="10" s="1"/>
  <c r="F402" i="10"/>
  <c r="O402" i="10" s="1"/>
  <c r="P402" i="10" s="1"/>
  <c r="F423" i="10"/>
  <c r="O423" i="10" s="1"/>
  <c r="P423" i="10" s="1"/>
  <c r="F523" i="10"/>
  <c r="O523" i="10" s="1"/>
  <c r="P523" i="10" s="1"/>
  <c r="F615" i="10"/>
  <c r="O615" i="10" s="1"/>
  <c r="P615" i="10" s="1"/>
  <c r="F632" i="10"/>
  <c r="O632" i="10" s="1"/>
  <c r="P632" i="10" s="1"/>
  <c r="F696" i="10"/>
  <c r="O696" i="10" s="1"/>
  <c r="P696" i="10" s="1"/>
  <c r="F759" i="10"/>
  <c r="O759" i="10" s="1"/>
  <c r="P759" i="10" s="1"/>
  <c r="F777" i="10"/>
  <c r="O777" i="10" s="1"/>
  <c r="P777" i="10" s="1"/>
  <c r="F880" i="10"/>
  <c r="O880" i="10" s="1"/>
  <c r="P880" i="10" s="1"/>
  <c r="F895" i="10"/>
  <c r="O895" i="10" s="1"/>
  <c r="P895" i="10" s="1"/>
  <c r="F913" i="10"/>
  <c r="O913" i="10" s="1"/>
  <c r="P913" i="10" s="1"/>
  <c r="F929" i="10"/>
  <c r="O929" i="10" s="1"/>
  <c r="P929" i="10" s="1"/>
  <c r="F970" i="10"/>
  <c r="O970" i="10" s="1"/>
  <c r="P970" i="10" s="1"/>
  <c r="F986" i="10"/>
  <c r="O986" i="10" s="1"/>
  <c r="P986" i="10" s="1"/>
  <c r="F1027" i="10"/>
  <c r="O1027" i="10" s="1"/>
  <c r="P1027" i="10" s="1"/>
  <c r="F1115" i="10"/>
  <c r="O1115" i="10" s="1"/>
  <c r="P1115" i="10" s="1"/>
  <c r="F101" i="10"/>
  <c r="O101" i="10" s="1"/>
  <c r="P101" i="10" s="1"/>
  <c r="F133" i="10"/>
  <c r="O133" i="10" s="1"/>
  <c r="P133" i="10" s="1"/>
  <c r="F165" i="10"/>
  <c r="O165" i="10" s="1"/>
  <c r="P165" i="10" s="1"/>
  <c r="F197" i="10"/>
  <c r="O197" i="10" s="1"/>
  <c r="P197" i="10" s="1"/>
  <c r="F229" i="10"/>
  <c r="O229" i="10" s="1"/>
  <c r="P229" i="10" s="1"/>
  <c r="F261" i="10"/>
  <c r="O261" i="10" s="1"/>
  <c r="P261" i="10" s="1"/>
  <c r="F293" i="10"/>
  <c r="O293" i="10" s="1"/>
  <c r="P293" i="10" s="1"/>
  <c r="F325" i="10"/>
  <c r="O325" i="10" s="1"/>
  <c r="P325" i="10" s="1"/>
  <c r="F357" i="10"/>
  <c r="O357" i="10" s="1"/>
  <c r="P357" i="10" s="1"/>
  <c r="F389" i="10"/>
  <c r="O389" i="10" s="1"/>
  <c r="P389" i="10" s="1"/>
  <c r="F421" i="10"/>
  <c r="O421" i="10" s="1"/>
  <c r="P421" i="10" s="1"/>
  <c r="F439" i="10"/>
  <c r="O439" i="10" s="1"/>
  <c r="P439" i="10" s="1"/>
  <c r="F443" i="10"/>
  <c r="O443" i="10" s="1"/>
  <c r="P443" i="10" s="1"/>
  <c r="F448" i="10"/>
  <c r="O448" i="10" s="1"/>
  <c r="P448" i="10" s="1"/>
  <c r="F458" i="10"/>
  <c r="O458" i="10" s="1"/>
  <c r="P458" i="10" s="1"/>
  <c r="F464" i="10"/>
  <c r="O464" i="10" s="1"/>
  <c r="P464" i="10" s="1"/>
  <c r="F474" i="10"/>
  <c r="O474" i="10" s="1"/>
  <c r="P474" i="10" s="1"/>
  <c r="F480" i="10"/>
  <c r="O480" i="10" s="1"/>
  <c r="P480" i="10" s="1"/>
  <c r="F490" i="10"/>
  <c r="O490" i="10" s="1"/>
  <c r="P490" i="10" s="1"/>
  <c r="F496" i="10"/>
  <c r="O496" i="10" s="1"/>
  <c r="P496" i="10" s="1"/>
  <c r="F506" i="10"/>
  <c r="O506" i="10" s="1"/>
  <c r="P506" i="10" s="1"/>
  <c r="F512" i="10"/>
  <c r="O512" i="10" s="1"/>
  <c r="P512" i="10" s="1"/>
  <c r="F538" i="10"/>
  <c r="O538" i="10" s="1"/>
  <c r="P538" i="10" s="1"/>
  <c r="F564" i="10"/>
  <c r="O564" i="10" s="1"/>
  <c r="P564" i="10" s="1"/>
  <c r="F570" i="10"/>
  <c r="O570" i="10" s="1"/>
  <c r="P570" i="10" s="1"/>
  <c r="F596" i="10"/>
  <c r="O596" i="10" s="1"/>
  <c r="P596" i="10" s="1"/>
  <c r="F602" i="10"/>
  <c r="O602" i="10" s="1"/>
  <c r="P602" i="10" s="1"/>
  <c r="F628" i="10"/>
  <c r="O628" i="10" s="1"/>
  <c r="P628" i="10" s="1"/>
  <c r="F643" i="10"/>
  <c r="O643" i="10" s="1"/>
  <c r="P643" i="10" s="1"/>
  <c r="F661" i="10"/>
  <c r="O661" i="10" s="1"/>
  <c r="P661" i="10" s="1"/>
  <c r="F675" i="10"/>
  <c r="O675" i="10" s="1"/>
  <c r="P675" i="10" s="1"/>
  <c r="F693" i="10"/>
  <c r="O693" i="10" s="1"/>
  <c r="P693" i="10" s="1"/>
  <c r="F707" i="10"/>
  <c r="O707" i="10" s="1"/>
  <c r="P707" i="10" s="1"/>
  <c r="F725" i="10"/>
  <c r="O725" i="10" s="1"/>
  <c r="P725" i="10" s="1"/>
  <c r="F739" i="10"/>
  <c r="O739" i="10" s="1"/>
  <c r="P739" i="10" s="1"/>
  <c r="F757" i="10"/>
  <c r="O757" i="10" s="1"/>
  <c r="P757" i="10" s="1"/>
  <c r="F771" i="10"/>
  <c r="O771" i="10" s="1"/>
  <c r="P771" i="10" s="1"/>
  <c r="F799" i="10"/>
  <c r="O799" i="10" s="1"/>
  <c r="P799" i="10" s="1"/>
  <c r="F804" i="10"/>
  <c r="O804" i="10" s="1"/>
  <c r="P804" i="10" s="1"/>
  <c r="F809" i="10"/>
  <c r="O809" i="10" s="1"/>
  <c r="P809" i="10" s="1"/>
  <c r="F829" i="10"/>
  <c r="O829" i="10" s="1"/>
  <c r="P829" i="10" s="1"/>
  <c r="F843" i="10"/>
  <c r="O843" i="10" s="1"/>
  <c r="P843" i="10" s="1"/>
  <c r="F861" i="10"/>
  <c r="O861" i="10" s="1"/>
  <c r="P861" i="10" s="1"/>
  <c r="F875" i="10"/>
  <c r="O875" i="10" s="1"/>
  <c r="P875" i="10" s="1"/>
  <c r="F893" i="10"/>
  <c r="O893" i="10" s="1"/>
  <c r="P893" i="10" s="1"/>
  <c r="F907" i="10"/>
  <c r="O907" i="10" s="1"/>
  <c r="P907" i="10" s="1"/>
  <c r="F925" i="10"/>
  <c r="O925" i="10" s="1"/>
  <c r="P925" i="10" s="1"/>
  <c r="F945" i="10"/>
  <c r="O945" i="10" s="1"/>
  <c r="P945" i="10" s="1"/>
  <c r="F959" i="10"/>
  <c r="O959" i="10" s="1"/>
  <c r="P959" i="10" s="1"/>
  <c r="F977" i="10"/>
  <c r="O977" i="10" s="1"/>
  <c r="P977" i="10" s="1"/>
  <c r="F991" i="10"/>
  <c r="O991" i="10" s="1"/>
  <c r="P991" i="10" s="1"/>
  <c r="F1022" i="10"/>
  <c r="O1022" i="10" s="1"/>
  <c r="P1022" i="10" s="1"/>
  <c r="F1036" i="10"/>
  <c r="O1036" i="10" s="1"/>
  <c r="P1036" i="10" s="1"/>
  <c r="F1046" i="10"/>
  <c r="O1046" i="10" s="1"/>
  <c r="P1046" i="10" s="1"/>
  <c r="F1052" i="10"/>
  <c r="O1052" i="10" s="1"/>
  <c r="P1052" i="10" s="1"/>
  <c r="F1062" i="10"/>
  <c r="O1062" i="10" s="1"/>
  <c r="P1062" i="10" s="1"/>
  <c r="F1068" i="10"/>
  <c r="O1068" i="10" s="1"/>
  <c r="P1068" i="10" s="1"/>
  <c r="F1078" i="10"/>
  <c r="O1078" i="10" s="1"/>
  <c r="P1078" i="10" s="1"/>
  <c r="F1083" i="10"/>
  <c r="O1083" i="10" s="1"/>
  <c r="P1083" i="10" s="1"/>
  <c r="F1090" i="10"/>
  <c r="O1090" i="10" s="1"/>
  <c r="P1090" i="10" s="1"/>
  <c r="F21" i="10"/>
  <c r="O21" i="10" s="1"/>
  <c r="P21" i="10" s="1"/>
  <c r="J21" i="10" s="1"/>
  <c r="F69" i="10"/>
  <c r="O69" i="10" s="1"/>
  <c r="P69" i="10" s="1"/>
  <c r="J69" i="10" s="1"/>
  <c r="F170" i="10"/>
  <c r="O170" i="10" s="1"/>
  <c r="P170" i="10" s="1"/>
  <c r="F202" i="10"/>
  <c r="O202" i="10" s="1"/>
  <c r="P202" i="10" s="1"/>
  <c r="F234" i="10"/>
  <c r="O234" i="10" s="1"/>
  <c r="P234" i="10" s="1"/>
  <c r="F250" i="10"/>
  <c r="O250" i="10" s="1"/>
  <c r="P250" i="10" s="1"/>
  <c r="F282" i="10"/>
  <c r="O282" i="10" s="1"/>
  <c r="P282" i="10" s="1"/>
  <c r="F314" i="10"/>
  <c r="O314" i="10" s="1"/>
  <c r="P314" i="10" s="1"/>
  <c r="F330" i="10"/>
  <c r="O330" i="10" s="1"/>
  <c r="P330" i="10" s="1"/>
  <c r="F383" i="10"/>
  <c r="O383" i="10" s="1"/>
  <c r="P383" i="10" s="1"/>
  <c r="F431" i="10"/>
  <c r="O431" i="10" s="1"/>
  <c r="P431" i="10" s="1"/>
  <c r="F524" i="10"/>
  <c r="O524" i="10" s="1"/>
  <c r="P524" i="10" s="1"/>
  <c r="F606" i="10"/>
  <c r="O606" i="10" s="1"/>
  <c r="P606" i="10" s="1"/>
  <c r="F654" i="10"/>
  <c r="O654" i="10" s="1"/>
  <c r="P654" i="10" s="1"/>
  <c r="F711" i="10"/>
  <c r="O711" i="10" s="1"/>
  <c r="P711" i="10" s="1"/>
  <c r="F727" i="10"/>
  <c r="O727" i="10" s="1"/>
  <c r="P727" i="10" s="1"/>
  <c r="F760" i="10"/>
  <c r="O760" i="10" s="1"/>
  <c r="P760" i="10" s="1"/>
  <c r="F831" i="10"/>
  <c r="O831" i="10" s="1"/>
  <c r="P831" i="10" s="1"/>
  <c r="F927" i="10"/>
  <c r="O927" i="10" s="1"/>
  <c r="P927" i="10" s="1"/>
  <c r="F965" i="10"/>
  <c r="O965" i="10" s="1"/>
  <c r="P965" i="10" s="1"/>
  <c r="F91" i="10"/>
  <c r="O91" i="10" s="1"/>
  <c r="P91" i="10" s="1"/>
  <c r="F107" i="10"/>
  <c r="O107" i="10" s="1"/>
  <c r="P107" i="10" s="1"/>
  <c r="F123" i="10"/>
  <c r="O123" i="10" s="1"/>
  <c r="P123" i="10" s="1"/>
  <c r="F139" i="10"/>
  <c r="O139" i="10" s="1"/>
  <c r="P139" i="10" s="1"/>
  <c r="F155" i="10"/>
  <c r="O155" i="10" s="1"/>
  <c r="P155" i="10" s="1"/>
  <c r="F171" i="10"/>
  <c r="O171" i="10" s="1"/>
  <c r="P171" i="10" s="1"/>
  <c r="F187" i="10"/>
  <c r="O187" i="10" s="1"/>
  <c r="P187" i="10" s="1"/>
  <c r="F203" i="10"/>
  <c r="O203" i="10" s="1"/>
  <c r="P203" i="10" s="1"/>
  <c r="F219" i="10"/>
  <c r="O219" i="10" s="1"/>
  <c r="P219" i="10" s="1"/>
  <c r="F235" i="10"/>
  <c r="O235" i="10" s="1"/>
  <c r="P235" i="10" s="1"/>
  <c r="F251" i="10"/>
  <c r="O251" i="10" s="1"/>
  <c r="P251" i="10" s="1"/>
  <c r="F267" i="10"/>
  <c r="O267" i="10" s="1"/>
  <c r="P267" i="10" s="1"/>
  <c r="F283" i="10"/>
  <c r="O283" i="10" s="1"/>
  <c r="P283" i="10" s="1"/>
  <c r="F299" i="10"/>
  <c r="O299" i="10" s="1"/>
  <c r="P299" i="10" s="1"/>
  <c r="F315" i="10"/>
  <c r="O315" i="10" s="1"/>
  <c r="P315" i="10" s="1"/>
  <c r="F331" i="10"/>
  <c r="O331" i="10" s="1"/>
  <c r="P331" i="10" s="1"/>
  <c r="F347" i="10"/>
  <c r="O347" i="10" s="1"/>
  <c r="P347" i="10" s="1"/>
  <c r="F363" i="10"/>
  <c r="O363" i="10" s="1"/>
  <c r="P363" i="10" s="1"/>
  <c r="F379" i="10"/>
  <c r="O379" i="10" s="1"/>
  <c r="P379" i="10" s="1"/>
  <c r="F395" i="10"/>
  <c r="O395" i="10" s="1"/>
  <c r="P395" i="10" s="1"/>
  <c r="F411" i="10"/>
  <c r="O411" i="10" s="1"/>
  <c r="P411" i="10" s="1"/>
  <c r="F427" i="10"/>
  <c r="O427" i="10" s="1"/>
  <c r="P427" i="10" s="1"/>
  <c r="F526" i="10"/>
  <c r="O526" i="10" s="1"/>
  <c r="P526" i="10" s="1"/>
  <c r="F534" i="10"/>
  <c r="O534" i="10" s="1"/>
  <c r="P534" i="10" s="1"/>
  <c r="F560" i="10"/>
  <c r="O560" i="10" s="1"/>
  <c r="P560" i="10" s="1"/>
  <c r="F566" i="10"/>
  <c r="O566" i="10" s="1"/>
  <c r="P566" i="10" s="1"/>
  <c r="F592" i="10"/>
  <c r="O592" i="10" s="1"/>
  <c r="P592" i="10" s="1"/>
  <c r="F598" i="10"/>
  <c r="O598" i="10" s="1"/>
  <c r="P598" i="10" s="1"/>
  <c r="F624" i="10"/>
  <c r="O624" i="10" s="1"/>
  <c r="P624" i="10" s="1"/>
  <c r="F639" i="10"/>
  <c r="O639" i="10" s="1"/>
  <c r="P639" i="10" s="1"/>
  <c r="F657" i="10"/>
  <c r="O657" i="10" s="1"/>
  <c r="P657" i="10" s="1"/>
  <c r="F671" i="10"/>
  <c r="O671" i="10" s="1"/>
  <c r="P671" i="10" s="1"/>
  <c r="F689" i="10"/>
  <c r="O689" i="10" s="1"/>
  <c r="P689" i="10" s="1"/>
  <c r="F703" i="10"/>
  <c r="O703" i="10" s="1"/>
  <c r="P703" i="10" s="1"/>
  <c r="F721" i="10"/>
  <c r="O721" i="10" s="1"/>
  <c r="P721" i="10" s="1"/>
  <c r="F735" i="10"/>
  <c r="O735" i="10" s="1"/>
  <c r="P735" i="10" s="1"/>
  <c r="F753" i="10"/>
  <c r="O753" i="10" s="1"/>
  <c r="P753" i="10" s="1"/>
  <c r="F767" i="10"/>
  <c r="O767" i="10" s="1"/>
  <c r="P767" i="10" s="1"/>
  <c r="F791" i="10"/>
  <c r="O791" i="10" s="1"/>
  <c r="P791" i="10" s="1"/>
  <c r="F796" i="10"/>
  <c r="O796" i="10" s="1"/>
  <c r="P796" i="10" s="1"/>
  <c r="F810" i="10"/>
  <c r="O810" i="10" s="1"/>
  <c r="P810" i="10" s="1"/>
  <c r="F824" i="10"/>
  <c r="O824" i="10" s="1"/>
  <c r="P824" i="10" s="1"/>
  <c r="F830" i="10"/>
  <c r="O830" i="10" s="1"/>
  <c r="P830" i="10" s="1"/>
  <c r="F856" i="10"/>
  <c r="O856" i="10" s="1"/>
  <c r="P856" i="10" s="1"/>
  <c r="F862" i="10"/>
  <c r="O862" i="10" s="1"/>
  <c r="P862" i="10" s="1"/>
  <c r="F888" i="10"/>
  <c r="O888" i="10" s="1"/>
  <c r="P888" i="10" s="1"/>
  <c r="F894" i="10"/>
  <c r="O894" i="10" s="1"/>
  <c r="P894" i="10" s="1"/>
  <c r="F920" i="10"/>
  <c r="O920" i="10" s="1"/>
  <c r="P920" i="10" s="1"/>
  <c r="F926" i="10"/>
  <c r="O926" i="10" s="1"/>
  <c r="P926" i="10" s="1"/>
  <c r="F939" i="10"/>
  <c r="O939" i="10" s="1"/>
  <c r="P939" i="10" s="1"/>
  <c r="F957" i="10"/>
  <c r="O957" i="10" s="1"/>
  <c r="P957" i="10" s="1"/>
  <c r="F971" i="10"/>
  <c r="O971" i="10" s="1"/>
  <c r="P971" i="10" s="1"/>
  <c r="F989" i="10"/>
  <c r="O989" i="10" s="1"/>
  <c r="P989" i="10" s="1"/>
  <c r="F1003" i="10"/>
  <c r="O1003" i="10" s="1"/>
  <c r="P1003" i="10" s="1"/>
  <c r="F1097" i="10"/>
  <c r="O1097" i="10" s="1"/>
  <c r="P1097" i="10" s="1"/>
  <c r="F19" i="10"/>
  <c r="O19" i="10" s="1"/>
  <c r="P19" i="10" s="1"/>
  <c r="J19" i="10" s="1"/>
  <c r="F35" i="10"/>
  <c r="O35" i="10" s="1"/>
  <c r="P35" i="10" s="1"/>
  <c r="J35" i="10" s="1"/>
  <c r="F55" i="10"/>
  <c r="O55" i="10" s="1"/>
  <c r="P55" i="10" s="1"/>
  <c r="J55" i="10" s="1"/>
  <c r="F71" i="10"/>
  <c r="O71" i="10" s="1"/>
  <c r="P71" i="10" s="1"/>
  <c r="J71" i="10" s="1"/>
  <c r="F159" i="10"/>
  <c r="O159" i="10" s="1"/>
  <c r="P159" i="10" s="1"/>
  <c r="F183" i="10"/>
  <c r="O183" i="10" s="1"/>
  <c r="P183" i="10" s="1"/>
  <c r="F199" i="10"/>
  <c r="O199" i="10" s="1"/>
  <c r="P199" i="10" s="1"/>
  <c r="F215" i="10"/>
  <c r="O215" i="10" s="1"/>
  <c r="P215" i="10" s="1"/>
  <c r="F370" i="10"/>
  <c r="O370" i="10" s="1"/>
  <c r="P370" i="10" s="1"/>
  <c r="F434" i="10"/>
  <c r="O434" i="10" s="1"/>
  <c r="P434" i="10" s="1"/>
  <c r="F551" i="10"/>
  <c r="O551" i="10" s="1"/>
  <c r="P551" i="10" s="1"/>
  <c r="F567" i="10"/>
  <c r="O567" i="10" s="1"/>
  <c r="P567" i="10" s="1"/>
  <c r="F585" i="10"/>
  <c r="O585" i="10" s="1"/>
  <c r="P585" i="10" s="1"/>
  <c r="F622" i="10"/>
  <c r="O622" i="10" s="1"/>
  <c r="P622" i="10" s="1"/>
  <c r="F665" i="10"/>
  <c r="O665" i="10" s="1"/>
  <c r="P665" i="10" s="1"/>
  <c r="F702" i="10"/>
  <c r="O702" i="10" s="1"/>
  <c r="P702" i="10" s="1"/>
  <c r="F745" i="10"/>
  <c r="O745" i="10" s="1"/>
  <c r="P745" i="10" s="1"/>
  <c r="F782" i="10"/>
  <c r="O782" i="10" s="1"/>
  <c r="P782" i="10" s="1"/>
  <c r="F881" i="10"/>
  <c r="O881" i="10" s="1"/>
  <c r="P881" i="10" s="1"/>
  <c r="F981" i="10"/>
  <c r="O981" i="10" s="1"/>
  <c r="P981" i="10" s="1"/>
  <c r="F89" i="10"/>
  <c r="O89" i="10" s="1"/>
  <c r="P89" i="10" s="1"/>
  <c r="F121" i="10"/>
  <c r="O121" i="10" s="1"/>
  <c r="P121" i="10" s="1"/>
  <c r="F153" i="10"/>
  <c r="O153" i="10" s="1"/>
  <c r="P153" i="10" s="1"/>
  <c r="F185" i="10"/>
  <c r="O185" i="10" s="1"/>
  <c r="P185" i="10" s="1"/>
  <c r="F217" i="10"/>
  <c r="O217" i="10" s="1"/>
  <c r="P217" i="10" s="1"/>
  <c r="F249" i="10"/>
  <c r="O249" i="10" s="1"/>
  <c r="P249" i="10" s="1"/>
  <c r="F281" i="10"/>
  <c r="O281" i="10" s="1"/>
  <c r="P281" i="10" s="1"/>
  <c r="F313" i="10"/>
  <c r="O313" i="10" s="1"/>
  <c r="P313" i="10" s="1"/>
  <c r="F345" i="10"/>
  <c r="O345" i="10" s="1"/>
  <c r="P345" i="10" s="1"/>
  <c r="F377" i="10"/>
  <c r="O377" i="10" s="1"/>
  <c r="P377" i="10" s="1"/>
  <c r="F409" i="10"/>
  <c r="O409" i="10" s="1"/>
  <c r="P409" i="10" s="1"/>
  <c r="F438" i="10"/>
  <c r="O438" i="10" s="1"/>
  <c r="P438" i="10" s="1"/>
  <c r="F446" i="10"/>
  <c r="O446" i="10" s="1"/>
  <c r="P446" i="10" s="1"/>
  <c r="F452" i="10"/>
  <c r="O452" i="10" s="1"/>
  <c r="P452" i="10" s="1"/>
  <c r="F462" i="10"/>
  <c r="O462" i="10" s="1"/>
  <c r="P462" i="10" s="1"/>
  <c r="F468" i="10"/>
  <c r="O468" i="10" s="1"/>
  <c r="P468" i="10" s="1"/>
  <c r="F478" i="10"/>
  <c r="O478" i="10" s="1"/>
  <c r="P478" i="10" s="1"/>
  <c r="F484" i="10"/>
  <c r="O484" i="10" s="1"/>
  <c r="P484" i="10" s="1"/>
  <c r="F494" i="10"/>
  <c r="O494" i="10" s="1"/>
  <c r="P494" i="10" s="1"/>
  <c r="F500" i="10"/>
  <c r="O500" i="10" s="1"/>
  <c r="P500" i="10" s="1"/>
  <c r="F510" i="10"/>
  <c r="O510" i="10" s="1"/>
  <c r="P510" i="10" s="1"/>
  <c r="F518" i="10"/>
  <c r="O518" i="10" s="1"/>
  <c r="P518" i="10" s="1"/>
  <c r="F540" i="10"/>
  <c r="O540" i="10" s="1"/>
  <c r="P540" i="10" s="1"/>
  <c r="F546" i="10"/>
  <c r="O546" i="10" s="1"/>
  <c r="P546" i="10" s="1"/>
  <c r="F572" i="10"/>
  <c r="O572" i="10" s="1"/>
  <c r="P572" i="10" s="1"/>
  <c r="F578" i="10"/>
  <c r="O578" i="10" s="1"/>
  <c r="P578" i="10" s="1"/>
  <c r="F604" i="10"/>
  <c r="O604" i="10" s="1"/>
  <c r="P604" i="10" s="1"/>
  <c r="F610" i="10"/>
  <c r="O610" i="10" s="1"/>
  <c r="P610" i="10" s="1"/>
  <c r="F636" i="10"/>
  <c r="O636" i="10" s="1"/>
  <c r="P636" i="10" s="1"/>
  <c r="F642" i="10"/>
  <c r="O642" i="10" s="1"/>
  <c r="P642" i="10" s="1"/>
  <c r="F668" i="10"/>
  <c r="O668" i="10" s="1"/>
  <c r="P668" i="10" s="1"/>
  <c r="F674" i="10"/>
  <c r="O674" i="10" s="1"/>
  <c r="P674" i="10" s="1"/>
  <c r="F700" i="10"/>
  <c r="O700" i="10" s="1"/>
  <c r="P700" i="10" s="1"/>
  <c r="F706" i="10"/>
  <c r="O706" i="10" s="1"/>
  <c r="P706" i="10" s="1"/>
  <c r="F732" i="10"/>
  <c r="O732" i="10" s="1"/>
  <c r="P732" i="10" s="1"/>
  <c r="F738" i="10"/>
  <c r="O738" i="10" s="1"/>
  <c r="P738" i="10" s="1"/>
  <c r="F764" i="10"/>
  <c r="O764" i="10" s="1"/>
  <c r="P764" i="10" s="1"/>
  <c r="F770" i="10"/>
  <c r="O770" i="10" s="1"/>
  <c r="P770" i="10" s="1"/>
  <c r="F798" i="10"/>
  <c r="O798" i="10" s="1"/>
  <c r="P798" i="10" s="1"/>
  <c r="F806" i="10"/>
  <c r="O806" i="10" s="1"/>
  <c r="P806" i="10" s="1"/>
  <c r="F819" i="10"/>
  <c r="O819" i="10" s="1"/>
  <c r="P819" i="10" s="1"/>
  <c r="F837" i="10"/>
  <c r="O837" i="10" s="1"/>
  <c r="P837" i="10" s="1"/>
  <c r="F851" i="10"/>
  <c r="O851" i="10" s="1"/>
  <c r="P851" i="10" s="1"/>
  <c r="F869" i="10"/>
  <c r="O869" i="10" s="1"/>
  <c r="P869" i="10" s="1"/>
  <c r="F883" i="10"/>
  <c r="O883" i="10" s="1"/>
  <c r="P883" i="10" s="1"/>
  <c r="F901" i="10"/>
  <c r="O901" i="10" s="1"/>
  <c r="P901" i="10" s="1"/>
  <c r="F915" i="10"/>
  <c r="O915" i="10" s="1"/>
  <c r="P915" i="10" s="1"/>
  <c r="F933" i="10"/>
  <c r="O933" i="10" s="1"/>
  <c r="P933" i="10" s="1"/>
  <c r="F953" i="10"/>
  <c r="O953" i="10" s="1"/>
  <c r="P953" i="10" s="1"/>
  <c r="F967" i="10"/>
  <c r="O967" i="10" s="1"/>
  <c r="P967" i="10" s="1"/>
  <c r="F985" i="10"/>
  <c r="O985" i="10" s="1"/>
  <c r="P985" i="10" s="1"/>
  <c r="F999" i="10"/>
  <c r="O999" i="10" s="1"/>
  <c r="P999" i="10" s="1"/>
  <c r="F1019" i="10"/>
  <c r="O1019" i="10" s="1"/>
  <c r="P1019" i="10" s="1"/>
  <c r="F1024" i="10"/>
  <c r="O1024" i="10" s="1"/>
  <c r="P1024" i="10" s="1"/>
  <c r="F1038" i="10"/>
  <c r="O1038" i="10" s="1"/>
  <c r="P1038" i="10" s="1"/>
  <c r="F1050" i="10"/>
  <c r="O1050" i="10" s="1"/>
  <c r="P1050" i="10" s="1"/>
  <c r="F1056" i="10"/>
  <c r="O1056" i="10" s="1"/>
  <c r="P1056" i="10" s="1"/>
  <c r="F1066" i="10"/>
  <c r="O1066" i="10" s="1"/>
  <c r="P1066" i="10" s="1"/>
  <c r="F1072" i="10"/>
  <c r="O1072" i="10" s="1"/>
  <c r="P1072" i="10" s="1"/>
  <c r="F1093" i="10"/>
  <c r="O1093" i="10" s="1"/>
  <c r="P1093" i="10" s="1"/>
  <c r="F1109" i="10"/>
  <c r="O1109" i="10" s="1"/>
  <c r="P1109" i="10" s="1"/>
  <c r="F1158" i="10"/>
  <c r="O1158" i="10" s="1"/>
  <c r="P1158" i="10" s="1"/>
  <c r="F1120" i="10"/>
  <c r="O1120" i="10" s="1"/>
  <c r="P1120" i="10" s="1"/>
  <c r="F1129" i="10"/>
  <c r="O1129" i="10" s="1"/>
  <c r="P1129" i="10" s="1"/>
  <c r="F1136" i="10"/>
  <c r="O1136" i="10" s="1"/>
  <c r="P1136" i="10" s="1"/>
  <c r="F1161" i="10"/>
  <c r="O1161" i="10" s="1"/>
  <c r="P1161" i="10" s="1"/>
  <c r="F1168" i="10"/>
  <c r="O1168" i="10" s="1"/>
  <c r="P1168" i="10" s="1"/>
  <c r="F1126" i="10"/>
  <c r="O1126" i="10" s="1"/>
  <c r="P1126" i="10" s="1"/>
  <c r="F1146" i="10"/>
  <c r="O1146" i="10" s="1"/>
  <c r="P1146" i="10" s="1"/>
  <c r="F1141" i="10"/>
  <c r="O1141" i="10" s="1"/>
  <c r="P1141" i="10" s="1"/>
  <c r="F1148" i="10"/>
  <c r="O1148" i="10" s="1"/>
  <c r="P1148" i="10" s="1"/>
  <c r="F33" i="10"/>
  <c r="O33" i="10" s="1"/>
  <c r="P33" i="10" s="1"/>
  <c r="J33" i="10" s="1"/>
  <c r="F49" i="10"/>
  <c r="O49" i="10" s="1"/>
  <c r="P49" i="10" s="1"/>
  <c r="J49" i="10" s="1"/>
  <c r="F77" i="10"/>
  <c r="O77" i="10" s="1"/>
  <c r="P77" i="10" s="1"/>
  <c r="J77" i="10" s="1"/>
  <c r="F162" i="10"/>
  <c r="O162" i="10" s="1"/>
  <c r="P162" i="10" s="1"/>
  <c r="F271" i="10"/>
  <c r="O271" i="10" s="1"/>
  <c r="P271" i="10" s="1"/>
  <c r="F287" i="10"/>
  <c r="O287" i="10" s="1"/>
  <c r="P287" i="10" s="1"/>
  <c r="F303" i="10"/>
  <c r="O303" i="10" s="1"/>
  <c r="P303" i="10" s="1"/>
  <c r="F346" i="10"/>
  <c r="O346" i="10" s="1"/>
  <c r="P346" i="10" s="1"/>
  <c r="F378" i="10"/>
  <c r="O378" i="10" s="1"/>
  <c r="P378" i="10" s="1"/>
  <c r="F394" i="10"/>
  <c r="O394" i="10" s="1"/>
  <c r="P394" i="10" s="1"/>
  <c r="F426" i="10"/>
  <c r="O426" i="10" s="1"/>
  <c r="P426" i="10" s="1"/>
  <c r="F528" i="10"/>
  <c r="O528" i="10" s="1"/>
  <c r="P528" i="10" s="1"/>
  <c r="F601" i="10"/>
  <c r="O601" i="10" s="1"/>
  <c r="P601" i="10" s="1"/>
  <c r="F663" i="10"/>
  <c r="O663" i="10" s="1"/>
  <c r="P663" i="10" s="1"/>
  <c r="F680" i="10"/>
  <c r="O680" i="10" s="1"/>
  <c r="P680" i="10" s="1"/>
  <c r="F822" i="10"/>
  <c r="O822" i="10" s="1"/>
  <c r="P822" i="10" s="1"/>
  <c r="F848" i="10"/>
  <c r="O848" i="10" s="1"/>
  <c r="P848" i="10" s="1"/>
  <c r="F865" i="10"/>
  <c r="O865" i="10" s="1"/>
  <c r="P865" i="10" s="1"/>
  <c r="F995" i="10"/>
  <c r="O995" i="10" s="1"/>
  <c r="P995" i="10" s="1"/>
  <c r="F1030" i="10"/>
  <c r="O1030" i="10" s="1"/>
  <c r="P1030" i="10" s="1"/>
  <c r="F93" i="10"/>
  <c r="O93" i="10" s="1"/>
  <c r="P93" i="10" s="1"/>
  <c r="F125" i="10"/>
  <c r="O125" i="10" s="1"/>
  <c r="P125" i="10" s="1"/>
  <c r="F157" i="10"/>
  <c r="O157" i="10" s="1"/>
  <c r="P157" i="10" s="1"/>
  <c r="F189" i="10"/>
  <c r="O189" i="10" s="1"/>
  <c r="P189" i="10" s="1"/>
  <c r="F221" i="10"/>
  <c r="O221" i="10" s="1"/>
  <c r="P221" i="10" s="1"/>
  <c r="F253" i="10"/>
  <c r="O253" i="10" s="1"/>
  <c r="P253" i="10" s="1"/>
  <c r="F285" i="10"/>
  <c r="O285" i="10" s="1"/>
  <c r="P285" i="10" s="1"/>
  <c r="F317" i="10"/>
  <c r="O317" i="10" s="1"/>
  <c r="P317" i="10" s="1"/>
  <c r="F349" i="10"/>
  <c r="O349" i="10" s="1"/>
  <c r="P349" i="10" s="1"/>
  <c r="F381" i="10"/>
  <c r="O381" i="10" s="1"/>
  <c r="P381" i="10" s="1"/>
  <c r="F413" i="10"/>
  <c r="O413" i="10" s="1"/>
  <c r="P413" i="10" s="1"/>
  <c r="F440" i="10"/>
  <c r="O440" i="10" s="1"/>
  <c r="P440" i="10" s="1"/>
  <c r="F444" i="10"/>
  <c r="O444" i="10" s="1"/>
  <c r="P444" i="10" s="1"/>
  <c r="F455" i="10"/>
  <c r="O455" i="10" s="1"/>
  <c r="P455" i="10" s="1"/>
  <c r="F471" i="10"/>
  <c r="O471" i="10" s="1"/>
  <c r="P471" i="10" s="1"/>
  <c r="F487" i="10"/>
  <c r="O487" i="10" s="1"/>
  <c r="P487" i="10" s="1"/>
  <c r="F503" i="10"/>
  <c r="O503" i="10" s="1"/>
  <c r="P503" i="10" s="1"/>
  <c r="F519" i="10"/>
  <c r="O519" i="10" s="1"/>
  <c r="P519" i="10" s="1"/>
  <c r="F547" i="10"/>
  <c r="O547" i="10" s="1"/>
  <c r="P547" i="10" s="1"/>
  <c r="F565" i="10"/>
  <c r="O565" i="10" s="1"/>
  <c r="P565" i="10" s="1"/>
  <c r="F579" i="10"/>
  <c r="O579" i="10" s="1"/>
  <c r="P579" i="10" s="1"/>
  <c r="F597" i="10"/>
  <c r="O597" i="10" s="1"/>
  <c r="P597" i="10" s="1"/>
  <c r="F611" i="10"/>
  <c r="O611" i="10" s="1"/>
  <c r="P611" i="10" s="1"/>
  <c r="F629" i="10"/>
  <c r="O629" i="10" s="1"/>
  <c r="P629" i="10" s="1"/>
  <c r="F644" i="10"/>
  <c r="O644" i="10" s="1"/>
  <c r="P644" i="10" s="1"/>
  <c r="F650" i="10"/>
  <c r="O650" i="10" s="1"/>
  <c r="P650" i="10" s="1"/>
  <c r="F676" i="10"/>
  <c r="O676" i="10" s="1"/>
  <c r="P676" i="10" s="1"/>
  <c r="F682" i="10"/>
  <c r="O682" i="10" s="1"/>
  <c r="P682" i="10" s="1"/>
  <c r="F708" i="10"/>
  <c r="O708" i="10" s="1"/>
  <c r="P708" i="10" s="1"/>
  <c r="F714" i="10"/>
  <c r="O714" i="10" s="1"/>
  <c r="P714" i="10" s="1"/>
  <c r="F740" i="10"/>
  <c r="O740" i="10" s="1"/>
  <c r="P740" i="10" s="1"/>
  <c r="F746" i="10"/>
  <c r="O746" i="10" s="1"/>
  <c r="P746" i="10" s="1"/>
  <c r="F772" i="10"/>
  <c r="O772" i="10" s="1"/>
  <c r="P772" i="10" s="1"/>
  <c r="F778" i="10"/>
  <c r="O778" i="10" s="1"/>
  <c r="P778" i="10" s="1"/>
  <c r="F800" i="10"/>
  <c r="O800" i="10" s="1"/>
  <c r="P800" i="10" s="1"/>
  <c r="F818" i="10"/>
  <c r="O818" i="10" s="1"/>
  <c r="P818" i="10" s="1"/>
  <c r="F844" i="10"/>
  <c r="O844" i="10" s="1"/>
  <c r="P844" i="10" s="1"/>
  <c r="F850" i="10"/>
  <c r="O850" i="10" s="1"/>
  <c r="P850" i="10" s="1"/>
  <c r="F876" i="10"/>
  <c r="O876" i="10" s="1"/>
  <c r="P876" i="10" s="1"/>
  <c r="F882" i="10"/>
  <c r="O882" i="10" s="1"/>
  <c r="P882" i="10" s="1"/>
  <c r="F908" i="10"/>
  <c r="O908" i="10" s="1"/>
  <c r="P908" i="10" s="1"/>
  <c r="F914" i="10"/>
  <c r="O914" i="10" s="1"/>
  <c r="P914" i="10" s="1"/>
  <c r="F960" i="10"/>
  <c r="O960" i="10" s="1"/>
  <c r="P960" i="10" s="1"/>
  <c r="F966" i="10"/>
  <c r="O966" i="10" s="1"/>
  <c r="P966" i="10" s="1"/>
  <c r="F992" i="10"/>
  <c r="O992" i="10" s="1"/>
  <c r="P992" i="10" s="1"/>
  <c r="F998" i="10"/>
  <c r="O998" i="10" s="1"/>
  <c r="P998" i="10" s="1"/>
  <c r="F1011" i="10"/>
  <c r="O1011" i="10" s="1"/>
  <c r="P1011" i="10" s="1"/>
  <c r="F1043" i="10"/>
  <c r="O1043" i="10" s="1"/>
  <c r="P1043" i="10" s="1"/>
  <c r="F1059" i="10"/>
  <c r="O1059" i="10" s="1"/>
  <c r="P1059" i="10" s="1"/>
  <c r="F1075" i="10"/>
  <c r="O1075" i="10" s="1"/>
  <c r="P1075" i="10" s="1"/>
  <c r="F1084" i="10"/>
  <c r="O1084" i="10" s="1"/>
  <c r="P1084" i="10" s="1"/>
  <c r="F1099" i="10"/>
  <c r="O1099" i="10" s="1"/>
  <c r="P1099" i="10" s="1"/>
  <c r="F1105" i="10"/>
  <c r="O1105" i="10" s="1"/>
  <c r="P1105" i="10" s="1"/>
  <c r="F25" i="10"/>
  <c r="O25" i="10" s="1"/>
  <c r="P25" i="10" s="1"/>
  <c r="J25" i="10" s="1"/>
  <c r="F73" i="10"/>
  <c r="O73" i="10" s="1"/>
  <c r="P73" i="10" s="1"/>
  <c r="J73" i="10" s="1"/>
  <c r="F106" i="10"/>
  <c r="O106" i="10" s="1"/>
  <c r="P106" i="10" s="1"/>
  <c r="F122" i="10"/>
  <c r="O122" i="10" s="1"/>
  <c r="P122" i="10" s="1"/>
  <c r="F143" i="10"/>
  <c r="O143" i="10" s="1"/>
  <c r="P143" i="10" s="1"/>
  <c r="F191" i="10"/>
  <c r="O191" i="10" s="1"/>
  <c r="P191" i="10" s="1"/>
  <c r="F223" i="10"/>
  <c r="O223" i="10" s="1"/>
  <c r="P223" i="10" s="1"/>
  <c r="F386" i="10"/>
  <c r="O386" i="10" s="1"/>
  <c r="P386" i="10" s="1"/>
  <c r="F542" i="10"/>
  <c r="O542" i="10" s="1"/>
  <c r="P542" i="10" s="1"/>
  <c r="F569" i="10"/>
  <c r="O569" i="10" s="1"/>
  <c r="P569" i="10" s="1"/>
  <c r="F590" i="10"/>
  <c r="O590" i="10" s="1"/>
  <c r="P590" i="10" s="1"/>
  <c r="F679" i="10"/>
  <c r="O679" i="10" s="1"/>
  <c r="P679" i="10" s="1"/>
  <c r="F695" i="10"/>
  <c r="O695" i="10" s="1"/>
  <c r="P695" i="10" s="1"/>
  <c r="F750" i="10"/>
  <c r="O750" i="10" s="1"/>
  <c r="P750" i="10" s="1"/>
  <c r="F786" i="10"/>
  <c r="O786" i="10" s="1"/>
  <c r="P786" i="10" s="1"/>
  <c r="F849" i="10"/>
  <c r="O849" i="10" s="1"/>
  <c r="P849" i="10" s="1"/>
  <c r="F870" i="10"/>
  <c r="O870" i="10" s="1"/>
  <c r="P870" i="10" s="1"/>
  <c r="F911" i="10"/>
  <c r="O911" i="10" s="1"/>
  <c r="P911" i="10" s="1"/>
  <c r="F949" i="10"/>
  <c r="O949" i="10" s="1"/>
  <c r="P949" i="10" s="1"/>
  <c r="F1028" i="10"/>
  <c r="O1028" i="10" s="1"/>
  <c r="P1028" i="10" s="1"/>
  <c r="F86" i="10"/>
  <c r="O86" i="10" s="1"/>
  <c r="P86" i="10" s="1"/>
  <c r="F102" i="10"/>
  <c r="O102" i="10" s="1"/>
  <c r="P102" i="10" s="1"/>
  <c r="F118" i="10"/>
  <c r="O118" i="10" s="1"/>
  <c r="P118" i="10" s="1"/>
  <c r="F134" i="10"/>
  <c r="O134" i="10" s="1"/>
  <c r="P134" i="10" s="1"/>
  <c r="F150" i="10"/>
  <c r="O150" i="10" s="1"/>
  <c r="P150" i="10" s="1"/>
  <c r="F166" i="10"/>
  <c r="O166" i="10" s="1"/>
  <c r="P166" i="10" s="1"/>
  <c r="F182" i="10"/>
  <c r="O182" i="10" s="1"/>
  <c r="P182" i="10" s="1"/>
  <c r="F198" i="10"/>
  <c r="O198" i="10" s="1"/>
  <c r="P198" i="10" s="1"/>
  <c r="F214" i="10"/>
  <c r="O214" i="10" s="1"/>
  <c r="P214" i="10" s="1"/>
  <c r="F230" i="10"/>
  <c r="O230" i="10" s="1"/>
  <c r="P230" i="10" s="1"/>
  <c r="F246" i="10"/>
  <c r="O246" i="10" s="1"/>
  <c r="P246" i="10" s="1"/>
  <c r="F262" i="10"/>
  <c r="O262" i="10" s="1"/>
  <c r="P262" i="10" s="1"/>
  <c r="F278" i="10"/>
  <c r="O278" i="10" s="1"/>
  <c r="P278" i="10" s="1"/>
  <c r="F294" i="10"/>
  <c r="O294" i="10" s="1"/>
  <c r="P294" i="10" s="1"/>
  <c r="F310" i="10"/>
  <c r="O310" i="10" s="1"/>
  <c r="P310" i="10" s="1"/>
  <c r="F326" i="10"/>
  <c r="O326" i="10" s="1"/>
  <c r="P326" i="10" s="1"/>
  <c r="F342" i="10"/>
  <c r="O342" i="10" s="1"/>
  <c r="P342" i="10" s="1"/>
  <c r="F358" i="10"/>
  <c r="O358" i="10" s="1"/>
  <c r="P358" i="10" s="1"/>
  <c r="F374" i="10"/>
  <c r="O374" i="10" s="1"/>
  <c r="P374" i="10" s="1"/>
  <c r="F390" i="10"/>
  <c r="O390" i="10" s="1"/>
  <c r="P390" i="10" s="1"/>
  <c r="F406" i="10"/>
  <c r="O406" i="10" s="1"/>
  <c r="P406" i="10" s="1"/>
  <c r="F422" i="10"/>
  <c r="O422" i="10" s="1"/>
  <c r="P422" i="10" s="1"/>
  <c r="F543" i="10"/>
  <c r="O543" i="10" s="1"/>
  <c r="P543" i="10" s="1"/>
  <c r="F561" i="10"/>
  <c r="O561" i="10" s="1"/>
  <c r="P561" i="10" s="1"/>
  <c r="F575" i="10"/>
  <c r="O575" i="10" s="1"/>
  <c r="P575" i="10" s="1"/>
  <c r="F593" i="10"/>
  <c r="O593" i="10" s="1"/>
  <c r="P593" i="10" s="1"/>
  <c r="F607" i="10"/>
  <c r="O607" i="10" s="1"/>
  <c r="P607" i="10" s="1"/>
  <c r="F625" i="10"/>
  <c r="O625" i="10" s="1"/>
  <c r="P625" i="10" s="1"/>
  <c r="F640" i="10"/>
  <c r="O640" i="10" s="1"/>
  <c r="P640" i="10" s="1"/>
  <c r="F646" i="10"/>
  <c r="O646" i="10" s="1"/>
  <c r="P646" i="10" s="1"/>
  <c r="F672" i="10"/>
  <c r="O672" i="10" s="1"/>
  <c r="P672" i="10" s="1"/>
  <c r="F678" i="10"/>
  <c r="O678" i="10" s="1"/>
  <c r="P678" i="10" s="1"/>
  <c r="F704" i="10"/>
  <c r="O704" i="10" s="1"/>
  <c r="P704" i="10" s="1"/>
  <c r="F710" i="10"/>
  <c r="O710" i="10" s="1"/>
  <c r="P710" i="10" s="1"/>
  <c r="F736" i="10"/>
  <c r="O736" i="10" s="1"/>
  <c r="P736" i="10" s="1"/>
  <c r="F742" i="10"/>
  <c r="O742" i="10" s="1"/>
  <c r="P742" i="10" s="1"/>
  <c r="F768" i="10"/>
  <c r="O768" i="10" s="1"/>
  <c r="P768" i="10" s="1"/>
  <c r="F774" i="10"/>
  <c r="O774" i="10" s="1"/>
  <c r="P774" i="10" s="1"/>
  <c r="F787" i="10"/>
  <c r="O787" i="10" s="1"/>
  <c r="P787" i="10" s="1"/>
  <c r="F792" i="10"/>
  <c r="O792" i="10" s="1"/>
  <c r="P792" i="10" s="1"/>
  <c r="F797" i="10"/>
  <c r="O797" i="10" s="1"/>
  <c r="P797" i="10" s="1"/>
  <c r="F825" i="10"/>
  <c r="O825" i="10" s="1"/>
  <c r="P825" i="10" s="1"/>
  <c r="F839" i="10"/>
  <c r="O839" i="10" s="1"/>
  <c r="P839" i="10" s="1"/>
  <c r="F857" i="10"/>
  <c r="O857" i="10" s="1"/>
  <c r="P857" i="10" s="1"/>
  <c r="F871" i="10"/>
  <c r="O871" i="10" s="1"/>
  <c r="P871" i="10" s="1"/>
  <c r="F889" i="10"/>
  <c r="O889" i="10" s="1"/>
  <c r="P889" i="10" s="1"/>
  <c r="F903" i="10"/>
  <c r="O903" i="10" s="1"/>
  <c r="P903" i="10" s="1"/>
  <c r="F921" i="10"/>
  <c r="O921" i="10" s="1"/>
  <c r="P921" i="10" s="1"/>
  <c r="F935" i="10"/>
  <c r="O935" i="10" s="1"/>
  <c r="P935" i="10" s="1"/>
  <c r="F940" i="10"/>
  <c r="O940" i="10" s="1"/>
  <c r="P940" i="10" s="1"/>
  <c r="F946" i="10"/>
  <c r="O946" i="10" s="1"/>
  <c r="P946" i="10" s="1"/>
  <c r="F972" i="10"/>
  <c r="O972" i="10" s="1"/>
  <c r="P972" i="10" s="1"/>
  <c r="F978" i="10"/>
  <c r="O978" i="10" s="1"/>
  <c r="P978" i="10" s="1"/>
  <c r="F1004" i="10"/>
  <c r="O1004" i="10" s="1"/>
  <c r="P1004" i="10" s="1"/>
  <c r="F1031" i="10"/>
  <c r="O1031" i="10" s="1"/>
  <c r="P1031" i="10" s="1"/>
  <c r="F1086" i="10"/>
  <c r="O1086" i="10" s="1"/>
  <c r="P1086" i="10" s="1"/>
  <c r="F23" i="10"/>
  <c r="O23" i="10" s="1"/>
  <c r="P23" i="10" s="1"/>
  <c r="J23" i="10" s="1"/>
  <c r="F39" i="10"/>
  <c r="O39" i="10" s="1"/>
  <c r="P39" i="10" s="1"/>
  <c r="J39" i="10" s="1"/>
  <c r="F59" i="10"/>
  <c r="O59" i="10" s="1"/>
  <c r="P59" i="10" s="1"/>
  <c r="J59" i="10" s="1"/>
  <c r="F75" i="10"/>
  <c r="O75" i="10" s="1"/>
  <c r="P75" i="10" s="1"/>
  <c r="J75" i="10" s="1"/>
  <c r="F186" i="10"/>
  <c r="O186" i="10" s="1"/>
  <c r="P186" i="10" s="1"/>
  <c r="F218" i="10"/>
  <c r="O218" i="10" s="1"/>
  <c r="P218" i="10" s="1"/>
  <c r="F295" i="10"/>
  <c r="O295" i="10" s="1"/>
  <c r="P295" i="10" s="1"/>
  <c r="F537" i="10"/>
  <c r="O537" i="10" s="1"/>
  <c r="P537" i="10" s="1"/>
  <c r="F631" i="10"/>
  <c r="O631" i="10" s="1"/>
  <c r="P631" i="10" s="1"/>
  <c r="F648" i="10"/>
  <c r="O648" i="10" s="1"/>
  <c r="P648" i="10" s="1"/>
  <c r="F728" i="10"/>
  <c r="O728" i="10" s="1"/>
  <c r="P728" i="10" s="1"/>
  <c r="F813" i="10"/>
  <c r="O813" i="10" s="1"/>
  <c r="P813" i="10" s="1"/>
  <c r="F847" i="10"/>
  <c r="O847" i="10" s="1"/>
  <c r="P847" i="10" s="1"/>
  <c r="F864" i="10"/>
  <c r="O864" i="10" s="1"/>
  <c r="P864" i="10" s="1"/>
  <c r="F928" i="10"/>
  <c r="O928" i="10" s="1"/>
  <c r="P928" i="10" s="1"/>
  <c r="F947" i="10"/>
  <c r="O947" i="10" s="1"/>
  <c r="P947" i="10" s="1"/>
  <c r="F964" i="10"/>
  <c r="O964" i="10" s="1"/>
  <c r="P964" i="10" s="1"/>
  <c r="F1088" i="10"/>
  <c r="O1088" i="10" s="1"/>
  <c r="P1088" i="10" s="1"/>
  <c r="F81" i="10"/>
  <c r="O81" i="10" s="1"/>
  <c r="P81" i="10" s="1"/>
  <c r="F113" i="10"/>
  <c r="O113" i="10" s="1"/>
  <c r="P113" i="10" s="1"/>
  <c r="F145" i="10"/>
  <c r="O145" i="10" s="1"/>
  <c r="P145" i="10" s="1"/>
  <c r="F177" i="10"/>
  <c r="O177" i="10" s="1"/>
  <c r="P177" i="10" s="1"/>
  <c r="F209" i="10"/>
  <c r="O209" i="10" s="1"/>
  <c r="P209" i="10" s="1"/>
  <c r="F241" i="10"/>
  <c r="O241" i="10" s="1"/>
  <c r="P241" i="10" s="1"/>
  <c r="F273" i="10"/>
  <c r="O273" i="10" s="1"/>
  <c r="P273" i="10" s="1"/>
  <c r="F305" i="10"/>
  <c r="O305" i="10" s="1"/>
  <c r="P305" i="10" s="1"/>
  <c r="F337" i="10"/>
  <c r="O337" i="10" s="1"/>
  <c r="P337" i="10" s="1"/>
  <c r="F369" i="10"/>
  <c r="O369" i="10" s="1"/>
  <c r="P369" i="10" s="1"/>
  <c r="F401" i="10"/>
  <c r="O401" i="10" s="1"/>
  <c r="P401" i="10" s="1"/>
  <c r="F433" i="10"/>
  <c r="O433" i="10" s="1"/>
  <c r="P433" i="10" s="1"/>
  <c r="F459" i="10"/>
  <c r="O459" i="10" s="1"/>
  <c r="P459" i="10" s="1"/>
  <c r="F475" i="10"/>
  <c r="O475" i="10" s="1"/>
  <c r="P475" i="10" s="1"/>
  <c r="F491" i="10"/>
  <c r="O491" i="10" s="1"/>
  <c r="P491" i="10" s="1"/>
  <c r="F507" i="10"/>
  <c r="O507" i="10" s="1"/>
  <c r="P507" i="10" s="1"/>
  <c r="F541" i="10"/>
  <c r="O541" i="10" s="1"/>
  <c r="P541" i="10" s="1"/>
  <c r="F555" i="10"/>
  <c r="O555" i="10" s="1"/>
  <c r="P555" i="10" s="1"/>
  <c r="F573" i="10"/>
  <c r="O573" i="10" s="1"/>
  <c r="P573" i="10" s="1"/>
  <c r="F587" i="10"/>
  <c r="O587" i="10" s="1"/>
  <c r="P587" i="10" s="1"/>
  <c r="F605" i="10"/>
  <c r="O605" i="10" s="1"/>
  <c r="P605" i="10" s="1"/>
  <c r="F619" i="10"/>
  <c r="O619" i="10" s="1"/>
  <c r="P619" i="10" s="1"/>
  <c r="F637" i="10"/>
  <c r="O637" i="10" s="1"/>
  <c r="P637" i="10" s="1"/>
  <c r="F651" i="10"/>
  <c r="O651" i="10" s="1"/>
  <c r="P651" i="10" s="1"/>
  <c r="F669" i="10"/>
  <c r="O669" i="10" s="1"/>
  <c r="P669" i="10" s="1"/>
  <c r="F683" i="10"/>
  <c r="O683" i="10" s="1"/>
  <c r="P683" i="10" s="1"/>
  <c r="F701" i="10"/>
  <c r="O701" i="10" s="1"/>
  <c r="P701" i="10" s="1"/>
  <c r="F715" i="10"/>
  <c r="O715" i="10" s="1"/>
  <c r="P715" i="10" s="1"/>
  <c r="F733" i="10"/>
  <c r="O733" i="10" s="1"/>
  <c r="P733" i="10" s="1"/>
  <c r="F747" i="10"/>
  <c r="O747" i="10" s="1"/>
  <c r="P747" i="10" s="1"/>
  <c r="F765" i="10"/>
  <c r="O765" i="10" s="1"/>
  <c r="P765" i="10" s="1"/>
  <c r="F779" i="10"/>
  <c r="O779" i="10" s="1"/>
  <c r="P779" i="10" s="1"/>
  <c r="F815" i="10"/>
  <c r="O815" i="10" s="1"/>
  <c r="P815" i="10" s="1"/>
  <c r="F820" i="10"/>
  <c r="O820" i="10" s="1"/>
  <c r="P820" i="10" s="1"/>
  <c r="F826" i="10"/>
  <c r="O826" i="10" s="1"/>
  <c r="P826" i="10" s="1"/>
  <c r="F852" i="10"/>
  <c r="O852" i="10" s="1"/>
  <c r="P852" i="10" s="1"/>
  <c r="F858" i="10"/>
  <c r="O858" i="10" s="1"/>
  <c r="P858" i="10" s="1"/>
  <c r="F884" i="10"/>
  <c r="O884" i="10" s="1"/>
  <c r="P884" i="10" s="1"/>
  <c r="F890" i="10"/>
  <c r="O890" i="10" s="1"/>
  <c r="P890" i="10" s="1"/>
  <c r="F916" i="10"/>
  <c r="O916" i="10" s="1"/>
  <c r="P916" i="10" s="1"/>
  <c r="F922" i="10"/>
  <c r="O922" i="10" s="1"/>
  <c r="P922" i="10" s="1"/>
  <c r="F942" i="10"/>
  <c r="O942" i="10" s="1"/>
  <c r="P942" i="10" s="1"/>
  <c r="F968" i="10"/>
  <c r="O968" i="10" s="1"/>
  <c r="P968" i="10" s="1"/>
  <c r="F974" i="10"/>
  <c r="O974" i="10" s="1"/>
  <c r="P974" i="10" s="1"/>
  <c r="F1000" i="10"/>
  <c r="O1000" i="10" s="1"/>
  <c r="P1000" i="10" s="1"/>
  <c r="F1006" i="10"/>
  <c r="O1006" i="10" s="1"/>
  <c r="P1006" i="10" s="1"/>
  <c r="F1020" i="10"/>
  <c r="O1020" i="10" s="1"/>
  <c r="P1020" i="10" s="1"/>
  <c r="F1047" i="10"/>
  <c r="O1047" i="10" s="1"/>
  <c r="P1047" i="10" s="1"/>
  <c r="F1063" i="10"/>
  <c r="O1063" i="10" s="1"/>
  <c r="P1063" i="10" s="1"/>
  <c r="F1079" i="10"/>
  <c r="O1079" i="10" s="1"/>
  <c r="P1079" i="10" s="1"/>
  <c r="F1082" i="10"/>
  <c r="O1082" i="10" s="1"/>
  <c r="P1082" i="10" s="1"/>
  <c r="F1117" i="10"/>
  <c r="O1117" i="10" s="1"/>
  <c r="P1117" i="10" s="1"/>
  <c r="F1150" i="10"/>
  <c r="O1150" i="10" s="1"/>
  <c r="P1150" i="10" s="1"/>
  <c r="F1122" i="10"/>
  <c r="O1122" i="10" s="1"/>
  <c r="P1122" i="10" s="1"/>
  <c r="F1137" i="10"/>
  <c r="O1137" i="10" s="1"/>
  <c r="P1137" i="10" s="1"/>
  <c r="F1144" i="10"/>
  <c r="O1144" i="10" s="1"/>
  <c r="P1144" i="10" s="1"/>
  <c r="F1169" i="10"/>
  <c r="O1169" i="10" s="1"/>
  <c r="P1169" i="10" s="1"/>
  <c r="F1138" i="10"/>
  <c r="O1138" i="10" s="1"/>
  <c r="P1138" i="10" s="1"/>
  <c r="F1125" i="10"/>
  <c r="O1125" i="10" s="1"/>
  <c r="P1125" i="10" s="1"/>
  <c r="F1149" i="10"/>
  <c r="O1149" i="10" s="1"/>
  <c r="P1149" i="10" s="1"/>
  <c r="F1156" i="10"/>
  <c r="O1156" i="10" s="1"/>
  <c r="P1156" i="10" s="1"/>
  <c r="G61" i="14"/>
  <c r="T24" i="11"/>
  <c r="U24" i="11"/>
  <c r="K42" i="4"/>
  <c r="J44" i="4"/>
  <c r="N11" i="13"/>
  <c r="R5" i="12"/>
  <c r="Q6" i="12"/>
  <c r="L14" i="4"/>
  <c r="K14" i="4"/>
  <c r="O14" i="11"/>
  <c r="P14" i="11"/>
  <c r="J13" i="4"/>
  <c r="M39" i="4"/>
  <c r="N10" i="14"/>
  <c r="J9" i="14" a="1"/>
  <c r="J9" i="14" s="1"/>
  <c r="Y22" i="11"/>
  <c r="Z22" i="11"/>
  <c r="W6" i="3" l="1"/>
  <c r="J442" i="10"/>
  <c r="K442" i="10"/>
  <c r="K329" i="10"/>
  <c r="J329" i="10"/>
  <c r="K201" i="10"/>
  <c r="J201" i="10"/>
  <c r="K1103" i="10"/>
  <c r="J1103" i="10"/>
  <c r="K775" i="10"/>
  <c r="J775" i="10"/>
  <c r="K558" i="10"/>
  <c r="J558" i="10"/>
  <c r="K266" i="10"/>
  <c r="J266" i="10"/>
  <c r="K1111" i="10"/>
  <c r="J1111" i="10"/>
  <c r="K1026" i="10"/>
  <c r="J1026" i="10"/>
  <c r="K955" i="10"/>
  <c r="J955" i="10"/>
  <c r="J904" i="10"/>
  <c r="K904" i="10"/>
  <c r="J840" i="10"/>
  <c r="K840" i="10"/>
  <c r="K751" i="10"/>
  <c r="J751" i="10"/>
  <c r="K687" i="10"/>
  <c r="J687" i="10"/>
  <c r="K614" i="10"/>
  <c r="J614" i="10"/>
  <c r="K550" i="10"/>
  <c r="J550" i="10"/>
  <c r="K435" i="10"/>
  <c r="J435" i="10"/>
  <c r="K371" i="10"/>
  <c r="J371" i="10"/>
  <c r="K307" i="10"/>
  <c r="J307" i="10"/>
  <c r="K243" i="10"/>
  <c r="J243" i="10"/>
  <c r="K179" i="10"/>
  <c r="J179" i="10"/>
  <c r="K115" i="10"/>
  <c r="J115" i="10"/>
  <c r="K1089" i="10"/>
  <c r="J1089" i="10"/>
  <c r="J838" i="10"/>
  <c r="K838" i="10"/>
  <c r="K647" i="10"/>
  <c r="J647" i="10"/>
  <c r="K407" i="10"/>
  <c r="J407" i="10"/>
  <c r="J306" i="10"/>
  <c r="K306" i="10"/>
  <c r="J226" i="10"/>
  <c r="K226" i="10"/>
  <c r="J1100" i="10"/>
  <c r="K1100" i="10"/>
  <c r="K1070" i="10"/>
  <c r="J1070" i="10"/>
  <c r="K1039" i="10"/>
  <c r="J1039" i="10"/>
  <c r="J993" i="10"/>
  <c r="K993" i="10"/>
  <c r="K923" i="10"/>
  <c r="J923" i="10"/>
  <c r="K859" i="10"/>
  <c r="J859" i="10"/>
  <c r="J773" i="10"/>
  <c r="K773" i="10"/>
  <c r="J709" i="10"/>
  <c r="K709" i="10"/>
  <c r="J645" i="10"/>
  <c r="K645" i="10"/>
  <c r="J580" i="10"/>
  <c r="K580" i="10"/>
  <c r="K515" i="10"/>
  <c r="J515" i="10"/>
  <c r="K482" i="10"/>
  <c r="J482" i="10"/>
  <c r="K450" i="10"/>
  <c r="J450" i="10"/>
  <c r="K373" i="10"/>
  <c r="J373" i="10"/>
  <c r="K245" i="10"/>
  <c r="J245" i="10"/>
  <c r="K117" i="10"/>
  <c r="J117" i="10"/>
  <c r="K963" i="10"/>
  <c r="J963" i="10"/>
  <c r="K811" i="10"/>
  <c r="J811" i="10"/>
  <c r="J729" i="10"/>
  <c r="K729" i="10"/>
  <c r="J552" i="10"/>
  <c r="K552" i="10"/>
  <c r="K207" i="10"/>
  <c r="J207" i="10"/>
  <c r="K103" i="10"/>
  <c r="J103" i="10"/>
  <c r="J449" i="10"/>
  <c r="K449" i="10"/>
  <c r="J465" i="10"/>
  <c r="K465" i="10"/>
  <c r="J481" i="10"/>
  <c r="K481" i="10"/>
  <c r="J497" i="10"/>
  <c r="K497" i="10"/>
  <c r="J513" i="10"/>
  <c r="K513" i="10"/>
  <c r="J533" i="10"/>
  <c r="K533" i="10"/>
  <c r="J801" i="10"/>
  <c r="K801" i="10"/>
  <c r="J1009" i="10"/>
  <c r="K1009" i="10"/>
  <c r="J1037" i="10"/>
  <c r="K1037" i="10"/>
  <c r="J1053" i="10"/>
  <c r="K1053" i="10"/>
  <c r="J1069" i="10"/>
  <c r="K1069" i="10"/>
  <c r="J92" i="10"/>
  <c r="K92" i="10"/>
  <c r="J108" i="10"/>
  <c r="K108" i="10"/>
  <c r="J124" i="10"/>
  <c r="K124" i="10"/>
  <c r="J140" i="10"/>
  <c r="K140" i="10"/>
  <c r="J156" i="10"/>
  <c r="K156" i="10"/>
  <c r="J172" i="10"/>
  <c r="K172" i="10"/>
  <c r="J188" i="10"/>
  <c r="K188" i="10"/>
  <c r="J204" i="10"/>
  <c r="K204" i="10"/>
  <c r="J220" i="10"/>
  <c r="K220" i="10"/>
  <c r="J236" i="10"/>
  <c r="K236" i="10"/>
  <c r="J252" i="10"/>
  <c r="K252" i="10"/>
  <c r="J268" i="10"/>
  <c r="K268" i="10"/>
  <c r="J284" i="10"/>
  <c r="K284" i="10"/>
  <c r="J300" i="10"/>
  <c r="K300" i="10"/>
  <c r="J316" i="10"/>
  <c r="K316" i="10"/>
  <c r="J332" i="10"/>
  <c r="K332" i="10"/>
  <c r="J348" i="10"/>
  <c r="K348" i="10"/>
  <c r="J364" i="10"/>
  <c r="K364" i="10"/>
  <c r="J380" i="10"/>
  <c r="K380" i="10"/>
  <c r="J396" i="10"/>
  <c r="K396" i="10"/>
  <c r="J412" i="10"/>
  <c r="K412" i="10"/>
  <c r="J428" i="10"/>
  <c r="K428" i="10"/>
  <c r="J1108" i="10"/>
  <c r="K1108" i="10"/>
  <c r="J1139" i="10"/>
  <c r="K1139" i="10"/>
  <c r="J1155" i="10"/>
  <c r="K1155" i="10"/>
  <c r="M15" i="14"/>
  <c r="J11" i="13" a="1"/>
  <c r="J11" i="13" s="1"/>
  <c r="N12" i="13"/>
  <c r="K1122" i="10"/>
  <c r="J1122" i="10"/>
  <c r="J884" i="10"/>
  <c r="K884" i="10"/>
  <c r="K619" i="10"/>
  <c r="J619" i="10"/>
  <c r="K369" i="10"/>
  <c r="J369" i="10"/>
  <c r="J813" i="10"/>
  <c r="K813" i="10"/>
  <c r="K1086" i="10"/>
  <c r="J1086" i="10"/>
  <c r="J857" i="10"/>
  <c r="K857" i="10"/>
  <c r="J561" i="10"/>
  <c r="K561" i="10"/>
  <c r="K262" i="10"/>
  <c r="J262" i="10"/>
  <c r="J1028" i="10"/>
  <c r="K1028" i="10"/>
  <c r="K122" i="10"/>
  <c r="J122" i="10"/>
  <c r="J992" i="10"/>
  <c r="K992" i="10"/>
  <c r="J708" i="10"/>
  <c r="K708" i="10"/>
  <c r="J444" i="10"/>
  <c r="K444" i="10"/>
  <c r="K93" i="10"/>
  <c r="J93" i="10"/>
  <c r="K271" i="10"/>
  <c r="J271" i="10"/>
  <c r="J1129" i="10"/>
  <c r="K1129" i="10"/>
  <c r="K999" i="10"/>
  <c r="J999" i="10"/>
  <c r="J806" i="10"/>
  <c r="K806" i="10"/>
  <c r="K610" i="10"/>
  <c r="J610" i="10"/>
  <c r="K438" i="10"/>
  <c r="J438" i="10"/>
  <c r="J981" i="10"/>
  <c r="K981" i="10"/>
  <c r="K215" i="10"/>
  <c r="J215" i="10"/>
  <c r="K894" i="10"/>
  <c r="J894" i="10"/>
  <c r="J721" i="10"/>
  <c r="K721" i="10"/>
  <c r="K379" i="10"/>
  <c r="J379" i="10"/>
  <c r="K123" i="10"/>
  <c r="J123" i="10"/>
  <c r="K431" i="10"/>
  <c r="J431" i="10"/>
  <c r="K1083" i="10"/>
  <c r="J1083" i="10"/>
  <c r="J925" i="10"/>
  <c r="K925" i="10"/>
  <c r="K739" i="10"/>
  <c r="J739" i="10"/>
  <c r="K538" i="10"/>
  <c r="J538" i="10"/>
  <c r="K293" i="10"/>
  <c r="J293" i="10"/>
  <c r="J913" i="10"/>
  <c r="K913" i="10"/>
  <c r="K375" i="10"/>
  <c r="J375" i="10"/>
  <c r="J1092" i="10"/>
  <c r="K1092" i="10"/>
  <c r="J874" i="10"/>
  <c r="K874" i="10"/>
  <c r="J653" i="10"/>
  <c r="K653" i="10"/>
  <c r="K417" i="10"/>
  <c r="J417" i="10"/>
  <c r="K854" i="10"/>
  <c r="J854" i="10"/>
  <c r="K175" i="10"/>
  <c r="J175" i="10"/>
  <c r="J956" i="10"/>
  <c r="K956" i="10"/>
  <c r="J726" i="10"/>
  <c r="K726" i="10"/>
  <c r="K382" i="10"/>
  <c r="J382" i="10"/>
  <c r="K190" i="10"/>
  <c r="J190" i="10"/>
  <c r="K879" i="10"/>
  <c r="J879" i="10"/>
  <c r="K279" i="10"/>
  <c r="J279" i="10"/>
  <c r="K1035" i="10"/>
  <c r="J1035" i="10"/>
  <c r="K730" i="10"/>
  <c r="J730" i="10"/>
  <c r="J549" i="10"/>
  <c r="K549" i="10"/>
  <c r="K301" i="10"/>
  <c r="J301" i="10"/>
  <c r="J713" i="10"/>
  <c r="K713" i="10"/>
  <c r="K1130" i="10"/>
  <c r="J1130" i="10"/>
  <c r="J508" i="10"/>
  <c r="K508" i="10"/>
  <c r="Z23" i="11"/>
  <c r="Y23" i="11"/>
  <c r="J10" i="14" a="1"/>
  <c r="J10" i="14" s="1"/>
  <c r="N11" i="14"/>
  <c r="K1156" i="10"/>
  <c r="J1156" i="10"/>
  <c r="K1169" i="10"/>
  <c r="J1169" i="10"/>
  <c r="K1150" i="10"/>
  <c r="J1150" i="10"/>
  <c r="K1063" i="10"/>
  <c r="J1063" i="10"/>
  <c r="J1000" i="10"/>
  <c r="K1000" i="10"/>
  <c r="J922" i="10"/>
  <c r="K922" i="10"/>
  <c r="J858" i="10"/>
  <c r="K858" i="10"/>
  <c r="K815" i="10"/>
  <c r="J815" i="10"/>
  <c r="J733" i="10"/>
  <c r="K733" i="10"/>
  <c r="J669" i="10"/>
  <c r="K669" i="10"/>
  <c r="J605" i="10"/>
  <c r="K605" i="10"/>
  <c r="J541" i="10"/>
  <c r="K541" i="10"/>
  <c r="K459" i="10"/>
  <c r="J459" i="10"/>
  <c r="K337" i="10"/>
  <c r="J337" i="10"/>
  <c r="K209" i="10"/>
  <c r="J209" i="10"/>
  <c r="K81" i="10"/>
  <c r="J81" i="10"/>
  <c r="J928" i="10"/>
  <c r="K928" i="10"/>
  <c r="J728" i="10"/>
  <c r="K728" i="10"/>
  <c r="K295" i="10"/>
  <c r="J295" i="10"/>
  <c r="K1031" i="10"/>
  <c r="J1031" i="10"/>
  <c r="K946" i="10"/>
  <c r="J946" i="10"/>
  <c r="K903" i="10"/>
  <c r="J903" i="10"/>
  <c r="K839" i="10"/>
  <c r="J839" i="10"/>
  <c r="K787" i="10"/>
  <c r="J787" i="10"/>
  <c r="J736" i="10"/>
  <c r="K736" i="10"/>
  <c r="J672" i="10"/>
  <c r="K672" i="10"/>
  <c r="K607" i="10"/>
  <c r="J607" i="10"/>
  <c r="K543" i="10"/>
  <c r="J543" i="10"/>
  <c r="K374" i="10"/>
  <c r="J374" i="10"/>
  <c r="K310" i="10"/>
  <c r="J310" i="10"/>
  <c r="K246" i="10"/>
  <c r="J246" i="10"/>
  <c r="J182" i="10"/>
  <c r="K182" i="10"/>
  <c r="J118" i="10"/>
  <c r="K118" i="10"/>
  <c r="J949" i="10"/>
  <c r="K949" i="10"/>
  <c r="K786" i="10"/>
  <c r="J786" i="10"/>
  <c r="K590" i="10"/>
  <c r="J590" i="10"/>
  <c r="K223" i="10"/>
  <c r="J223" i="10"/>
  <c r="K106" i="10"/>
  <c r="J106" i="10"/>
  <c r="K1099" i="10"/>
  <c r="J1099" i="10"/>
  <c r="K1043" i="10"/>
  <c r="J1043" i="10"/>
  <c r="K966" i="10"/>
  <c r="J966" i="10"/>
  <c r="K882" i="10"/>
  <c r="J882" i="10"/>
  <c r="K818" i="10"/>
  <c r="J818" i="10"/>
  <c r="J746" i="10"/>
  <c r="K746" i="10"/>
  <c r="J682" i="10"/>
  <c r="K682" i="10"/>
  <c r="K629" i="10"/>
  <c r="J629" i="10"/>
  <c r="J565" i="10"/>
  <c r="K565" i="10"/>
  <c r="K487" i="10"/>
  <c r="J487" i="10"/>
  <c r="J440" i="10"/>
  <c r="K440" i="10"/>
  <c r="K317" i="10"/>
  <c r="J317" i="10"/>
  <c r="K189" i="10"/>
  <c r="J189" i="10"/>
  <c r="J1030" i="10"/>
  <c r="K1030" i="10"/>
  <c r="K822" i="10"/>
  <c r="J822" i="10"/>
  <c r="J528" i="10"/>
  <c r="K528" i="10"/>
  <c r="K346" i="10"/>
  <c r="J346" i="10"/>
  <c r="J162" i="10"/>
  <c r="K162" i="10"/>
  <c r="K1148" i="10"/>
  <c r="J1148" i="10"/>
  <c r="K1168" i="10"/>
  <c r="J1168" i="10"/>
  <c r="K1120" i="10"/>
  <c r="J1120" i="10"/>
  <c r="J1072" i="10"/>
  <c r="K1072" i="10"/>
  <c r="K1038" i="10"/>
  <c r="J1038" i="10"/>
  <c r="J985" i="10"/>
  <c r="K985" i="10"/>
  <c r="K915" i="10"/>
  <c r="J915" i="10"/>
  <c r="K851" i="10"/>
  <c r="J851" i="10"/>
  <c r="K798" i="10"/>
  <c r="J798" i="10"/>
  <c r="J732" i="10"/>
  <c r="K732" i="10"/>
  <c r="J668" i="10"/>
  <c r="K668" i="10"/>
  <c r="J604" i="10"/>
  <c r="K604" i="10"/>
  <c r="J540" i="10"/>
  <c r="K540" i="10"/>
  <c r="K494" i="10"/>
  <c r="J494" i="10"/>
  <c r="K462" i="10"/>
  <c r="J462" i="10"/>
  <c r="K409" i="10"/>
  <c r="J409" i="10"/>
  <c r="K281" i="10"/>
  <c r="J281" i="10"/>
  <c r="K153" i="10"/>
  <c r="J153" i="10"/>
  <c r="J881" i="10"/>
  <c r="K881" i="10"/>
  <c r="J665" i="10"/>
  <c r="K665" i="10"/>
  <c r="K551" i="10"/>
  <c r="J551" i="10"/>
  <c r="K199" i="10"/>
  <c r="J199" i="10"/>
  <c r="K1003" i="10"/>
  <c r="J1003" i="10"/>
  <c r="K939" i="10"/>
  <c r="J939" i="10"/>
  <c r="J888" i="10"/>
  <c r="K888" i="10"/>
  <c r="J824" i="10"/>
  <c r="K824" i="10"/>
  <c r="K767" i="10"/>
  <c r="J767" i="10"/>
  <c r="K703" i="10"/>
  <c r="J703" i="10"/>
  <c r="K639" i="10"/>
  <c r="J639" i="10"/>
  <c r="J566" i="10"/>
  <c r="K566" i="10"/>
  <c r="K427" i="10"/>
  <c r="J427" i="10"/>
  <c r="K363" i="10"/>
  <c r="J363" i="10"/>
  <c r="K299" i="10"/>
  <c r="J299" i="10"/>
  <c r="K235" i="10"/>
  <c r="J235" i="10"/>
  <c r="K171" i="10"/>
  <c r="J171" i="10"/>
  <c r="K107" i="10"/>
  <c r="J107" i="10"/>
  <c r="K831" i="10"/>
  <c r="J831" i="10"/>
  <c r="K654" i="10"/>
  <c r="J654" i="10"/>
  <c r="K383" i="10"/>
  <c r="J383" i="10"/>
  <c r="K250" i="10"/>
  <c r="J250" i="10"/>
  <c r="J1078" i="10"/>
  <c r="K1078" i="10"/>
  <c r="J1046" i="10"/>
  <c r="K1046" i="10"/>
  <c r="J977" i="10"/>
  <c r="K977" i="10"/>
  <c r="K907" i="10"/>
  <c r="J907" i="10"/>
  <c r="K843" i="10"/>
  <c r="J843" i="10"/>
  <c r="K799" i="10"/>
  <c r="J799" i="10"/>
  <c r="J725" i="10"/>
  <c r="K725" i="10"/>
  <c r="J661" i="10"/>
  <c r="K661" i="10"/>
  <c r="J596" i="10"/>
  <c r="K596" i="10"/>
  <c r="J512" i="10"/>
  <c r="K512" i="10"/>
  <c r="J480" i="10"/>
  <c r="K480" i="10"/>
  <c r="J448" i="10"/>
  <c r="K448" i="10"/>
  <c r="K389" i="10"/>
  <c r="J389" i="10"/>
  <c r="K261" i="10"/>
  <c r="J261" i="10"/>
  <c r="K133" i="10"/>
  <c r="J133" i="10"/>
  <c r="J986" i="10"/>
  <c r="K986" i="10"/>
  <c r="K895" i="10"/>
  <c r="J895" i="10"/>
  <c r="J696" i="10"/>
  <c r="K696" i="10"/>
  <c r="K423" i="10"/>
  <c r="J423" i="10"/>
  <c r="K263" i="10"/>
  <c r="J263" i="10"/>
  <c r="K1140" i="10"/>
  <c r="J1140" i="10"/>
  <c r="K1160" i="10"/>
  <c r="J1160" i="10"/>
  <c r="K1166" i="10"/>
  <c r="J1166" i="10"/>
  <c r="K1071" i="10"/>
  <c r="J1071" i="10"/>
  <c r="K990" i="10"/>
  <c r="J990" i="10"/>
  <c r="J932" i="10"/>
  <c r="K932" i="10"/>
  <c r="J868" i="10"/>
  <c r="K868" i="10"/>
  <c r="K763" i="10"/>
  <c r="J763" i="10"/>
  <c r="K699" i="10"/>
  <c r="J699" i="10"/>
  <c r="K635" i="10"/>
  <c r="J635" i="10"/>
  <c r="K571" i="10"/>
  <c r="J571" i="10"/>
  <c r="K483" i="10"/>
  <c r="J483" i="10"/>
  <c r="K385" i="10"/>
  <c r="J385" i="10"/>
  <c r="K257" i="10"/>
  <c r="J257" i="10"/>
  <c r="K129" i="10"/>
  <c r="J129" i="10"/>
  <c r="J954" i="10"/>
  <c r="K954" i="10"/>
  <c r="J761" i="10"/>
  <c r="K761" i="10"/>
  <c r="K599" i="10"/>
  <c r="J599" i="10"/>
  <c r="K351" i="10"/>
  <c r="J351" i="10"/>
  <c r="K138" i="10"/>
  <c r="J138" i="10"/>
  <c r="K1106" i="10"/>
  <c r="J1106" i="10"/>
  <c r="K994" i="10"/>
  <c r="J994" i="10"/>
  <c r="K919" i="10"/>
  <c r="J919" i="10"/>
  <c r="K855" i="10"/>
  <c r="J855" i="10"/>
  <c r="J784" i="10"/>
  <c r="K784" i="10"/>
  <c r="J720" i="10"/>
  <c r="K720" i="10"/>
  <c r="J656" i="10"/>
  <c r="K656" i="10"/>
  <c r="K591" i="10"/>
  <c r="J591" i="10"/>
  <c r="K430" i="10"/>
  <c r="J430" i="10"/>
  <c r="K366" i="10"/>
  <c r="J366" i="10"/>
  <c r="K302" i="10"/>
  <c r="J302" i="10"/>
  <c r="K238" i="10"/>
  <c r="J238" i="10"/>
  <c r="K174" i="10"/>
  <c r="J174" i="10"/>
  <c r="K110" i="10"/>
  <c r="J110" i="10"/>
  <c r="J1094" i="10"/>
  <c r="K1094" i="10"/>
  <c r="K863" i="10"/>
  <c r="J863" i="10"/>
  <c r="K670" i="10"/>
  <c r="J670" i="10"/>
  <c r="K535" i="10"/>
  <c r="J535" i="10"/>
  <c r="K167" i="10"/>
  <c r="J167" i="10"/>
  <c r="J82" i="10"/>
  <c r="K82" i="10"/>
  <c r="K1067" i="10"/>
  <c r="J1067" i="10"/>
  <c r="J1013" i="10"/>
  <c r="K1013" i="10"/>
  <c r="J950" i="10"/>
  <c r="K950" i="10"/>
  <c r="J898" i="10"/>
  <c r="K898" i="10"/>
  <c r="J834" i="10"/>
  <c r="K834" i="10"/>
  <c r="K803" i="10"/>
  <c r="J803" i="10"/>
  <c r="J724" i="10"/>
  <c r="K724" i="10"/>
  <c r="J660" i="10"/>
  <c r="K660" i="10"/>
  <c r="K595" i="10"/>
  <c r="J595" i="10"/>
  <c r="J521" i="10"/>
  <c r="K521" i="10"/>
  <c r="K479" i="10"/>
  <c r="J479" i="10"/>
  <c r="K397" i="10"/>
  <c r="J397" i="10"/>
  <c r="K269" i="10"/>
  <c r="J269" i="10"/>
  <c r="K141" i="10"/>
  <c r="J141" i="10"/>
  <c r="J948" i="10"/>
  <c r="K948" i="10"/>
  <c r="J536" i="10"/>
  <c r="K536" i="10"/>
  <c r="J210" i="10"/>
  <c r="K210" i="10"/>
  <c r="K1132" i="10"/>
  <c r="J1132" i="10"/>
  <c r="K1152" i="10"/>
  <c r="J1152" i="10"/>
  <c r="J1098" i="10"/>
  <c r="K1098" i="10"/>
  <c r="J1064" i="10"/>
  <c r="K1064" i="10"/>
  <c r="K1034" i="10"/>
  <c r="J1034" i="10"/>
  <c r="K951" i="10"/>
  <c r="J951" i="10"/>
  <c r="J885" i="10"/>
  <c r="K885" i="10"/>
  <c r="J821" i="10"/>
  <c r="K821" i="10"/>
  <c r="J754" i="10"/>
  <c r="K754" i="10"/>
  <c r="J690" i="10"/>
  <c r="K690" i="10"/>
  <c r="K626" i="10"/>
  <c r="J626" i="10"/>
  <c r="K562" i="10"/>
  <c r="J562" i="10"/>
  <c r="J502" i="10"/>
  <c r="K502" i="10"/>
  <c r="J470" i="10"/>
  <c r="K470" i="10"/>
  <c r="K425" i="10"/>
  <c r="J425" i="10"/>
  <c r="K297" i="10"/>
  <c r="J297" i="10"/>
  <c r="K169" i="10"/>
  <c r="J169" i="10"/>
  <c r="J912" i="10"/>
  <c r="K912" i="10"/>
  <c r="J712" i="10"/>
  <c r="K712" i="10"/>
  <c r="K527" i="10"/>
  <c r="J527" i="10"/>
  <c r="K255" i="10"/>
  <c r="J255" i="10"/>
  <c r="K1102" i="10"/>
  <c r="J1102" i="10"/>
  <c r="J1005" i="10"/>
  <c r="K1005" i="10"/>
  <c r="J941" i="10"/>
  <c r="K941" i="10"/>
  <c r="K878" i="10"/>
  <c r="J878" i="10"/>
  <c r="J788" i="10"/>
  <c r="K788" i="10"/>
  <c r="J737" i="10"/>
  <c r="K737" i="10"/>
  <c r="J673" i="10"/>
  <c r="K673" i="10"/>
  <c r="J608" i="10"/>
  <c r="K608" i="10"/>
  <c r="J544" i="10"/>
  <c r="K544" i="10"/>
  <c r="K419" i="10"/>
  <c r="J419" i="10"/>
  <c r="K355" i="10"/>
  <c r="J355" i="10"/>
  <c r="K291" i="10"/>
  <c r="J291" i="10"/>
  <c r="K227" i="10"/>
  <c r="J227" i="10"/>
  <c r="K163" i="10"/>
  <c r="J163" i="10"/>
  <c r="K99" i="10"/>
  <c r="J99" i="10"/>
  <c r="K1015" i="10"/>
  <c r="J1015" i="10"/>
  <c r="J812" i="10"/>
  <c r="K812" i="10"/>
  <c r="K633" i="10"/>
  <c r="J633" i="10"/>
  <c r="K359" i="10"/>
  <c r="J359" i="10"/>
  <c r="J290" i="10"/>
  <c r="K290" i="10"/>
  <c r="J194" i="10"/>
  <c r="K194" i="10"/>
  <c r="K1085" i="10"/>
  <c r="J1085" i="10"/>
  <c r="J1060" i="10"/>
  <c r="K1060" i="10"/>
  <c r="J1018" i="10"/>
  <c r="K1018" i="10"/>
  <c r="K975" i="10"/>
  <c r="J975" i="10"/>
  <c r="J909" i="10"/>
  <c r="K909" i="10"/>
  <c r="J845" i="10"/>
  <c r="K845" i="10"/>
  <c r="K755" i="10"/>
  <c r="J755" i="10"/>
  <c r="K691" i="10"/>
  <c r="J691" i="10"/>
  <c r="J618" i="10"/>
  <c r="K618" i="10"/>
  <c r="J554" i="10"/>
  <c r="K554" i="10"/>
  <c r="J504" i="10"/>
  <c r="K504" i="10"/>
  <c r="J472" i="10"/>
  <c r="K472" i="10"/>
  <c r="K441" i="10"/>
  <c r="J441" i="10"/>
  <c r="K341" i="10"/>
  <c r="J341" i="10"/>
  <c r="K213" i="10"/>
  <c r="J213" i="10"/>
  <c r="K85" i="10"/>
  <c r="J85" i="10"/>
  <c r="K918" i="10"/>
  <c r="J918" i="10"/>
  <c r="K790" i="10"/>
  <c r="J790" i="10"/>
  <c r="J649" i="10"/>
  <c r="K649" i="10"/>
  <c r="J532" i="10"/>
  <c r="K532" i="10"/>
  <c r="K151" i="10"/>
  <c r="J151" i="10"/>
  <c r="J453" i="10"/>
  <c r="K453" i="10"/>
  <c r="J469" i="10"/>
  <c r="K469" i="10"/>
  <c r="J485" i="10"/>
  <c r="K485" i="10"/>
  <c r="J501" i="10"/>
  <c r="K501" i="10"/>
  <c r="J517" i="10"/>
  <c r="K517" i="10"/>
  <c r="J785" i="10"/>
  <c r="K785" i="10"/>
  <c r="J805" i="10"/>
  <c r="K805" i="10"/>
  <c r="J1021" i="10"/>
  <c r="K1021" i="10"/>
  <c r="J1041" i="10"/>
  <c r="K1041" i="10"/>
  <c r="J1057" i="10"/>
  <c r="K1057" i="10"/>
  <c r="J1073" i="10"/>
  <c r="K1073" i="10"/>
  <c r="J80" i="10"/>
  <c r="K80" i="10"/>
  <c r="J96" i="10"/>
  <c r="K96" i="10"/>
  <c r="J112" i="10"/>
  <c r="K112" i="10"/>
  <c r="J128" i="10"/>
  <c r="K128" i="10"/>
  <c r="J144" i="10"/>
  <c r="K144" i="10"/>
  <c r="J160" i="10"/>
  <c r="K160" i="10"/>
  <c r="J176" i="10"/>
  <c r="K176" i="10"/>
  <c r="J192" i="10"/>
  <c r="K192" i="10"/>
  <c r="J208" i="10"/>
  <c r="K208" i="10"/>
  <c r="J224" i="10"/>
  <c r="K224" i="10"/>
  <c r="J240" i="10"/>
  <c r="K240" i="10"/>
  <c r="J256" i="10"/>
  <c r="K256" i="10"/>
  <c r="J272" i="10"/>
  <c r="K272" i="10"/>
  <c r="J288" i="10"/>
  <c r="K288" i="10"/>
  <c r="J304" i="10"/>
  <c r="K304" i="10"/>
  <c r="J320" i="10"/>
  <c r="K320" i="10"/>
  <c r="J336" i="10"/>
  <c r="K336" i="10"/>
  <c r="J352" i="10"/>
  <c r="K352" i="10"/>
  <c r="J368" i="10"/>
  <c r="K368" i="10"/>
  <c r="J384" i="10"/>
  <c r="K384" i="10"/>
  <c r="J400" i="10"/>
  <c r="K400" i="10"/>
  <c r="J416" i="10"/>
  <c r="K416" i="10"/>
  <c r="J432" i="10"/>
  <c r="K432" i="10"/>
  <c r="J1112" i="10"/>
  <c r="K1112" i="10"/>
  <c r="J1127" i="10"/>
  <c r="K1127" i="10"/>
  <c r="J1143" i="10"/>
  <c r="K1143" i="10"/>
  <c r="J1159" i="10"/>
  <c r="K1159" i="10"/>
  <c r="K15" i="11"/>
  <c r="F14" i="11"/>
  <c r="G15" i="11" s="1"/>
  <c r="J15" i="11"/>
  <c r="M14" i="13"/>
  <c r="P15" i="11"/>
  <c r="O15" i="11"/>
  <c r="K1079" i="10"/>
  <c r="J1079" i="10"/>
  <c r="K942" i="10"/>
  <c r="J942" i="10"/>
  <c r="K747" i="10"/>
  <c r="J747" i="10"/>
  <c r="K555" i="10"/>
  <c r="J555" i="10"/>
  <c r="K241" i="10"/>
  <c r="J241" i="10"/>
  <c r="K947" i="10"/>
  <c r="J947" i="10"/>
  <c r="J921" i="10"/>
  <c r="K921" i="10"/>
  <c r="K742" i="10"/>
  <c r="J742" i="10"/>
  <c r="J625" i="10"/>
  <c r="K625" i="10"/>
  <c r="K326" i="10"/>
  <c r="J326" i="10"/>
  <c r="J134" i="10"/>
  <c r="K134" i="10"/>
  <c r="K679" i="10"/>
  <c r="J679" i="10"/>
  <c r="K1105" i="10"/>
  <c r="J1105" i="10"/>
  <c r="J908" i="10"/>
  <c r="K908" i="10"/>
  <c r="J772" i="10"/>
  <c r="K772" i="10"/>
  <c r="K579" i="10"/>
  <c r="J579" i="10"/>
  <c r="K349" i="10"/>
  <c r="J349" i="10"/>
  <c r="J848" i="10"/>
  <c r="K848" i="10"/>
  <c r="K378" i="10"/>
  <c r="J378" i="10"/>
  <c r="K1126" i="10"/>
  <c r="J1126" i="10"/>
  <c r="K1093" i="10"/>
  <c r="J1093" i="10"/>
  <c r="J869" i="10"/>
  <c r="K869" i="10"/>
  <c r="K674" i="10"/>
  <c r="J674" i="10"/>
  <c r="K546" i="10"/>
  <c r="J546" i="10"/>
  <c r="J468" i="10"/>
  <c r="K468" i="10"/>
  <c r="K702" i="10"/>
  <c r="J702" i="10"/>
  <c r="J957" i="10"/>
  <c r="K957" i="10"/>
  <c r="K830" i="10"/>
  <c r="J830" i="10"/>
  <c r="J657" i="10"/>
  <c r="K657" i="10"/>
  <c r="K526" i="10"/>
  <c r="J526" i="10"/>
  <c r="K251" i="10"/>
  <c r="J251" i="10"/>
  <c r="K927" i="10"/>
  <c r="J927" i="10"/>
  <c r="K282" i="10"/>
  <c r="J282" i="10"/>
  <c r="J1052" i="10"/>
  <c r="K1052" i="10"/>
  <c r="J861" i="10"/>
  <c r="K861" i="10"/>
  <c r="K675" i="10"/>
  <c r="J675" i="10"/>
  <c r="J490" i="10"/>
  <c r="K490" i="10"/>
  <c r="K421" i="10"/>
  <c r="J421" i="10"/>
  <c r="K1027" i="10"/>
  <c r="J1027" i="10"/>
  <c r="K759" i="10"/>
  <c r="J759" i="10"/>
  <c r="K90" i="10"/>
  <c r="J90" i="10"/>
  <c r="K1154" i="10"/>
  <c r="J1154" i="10"/>
  <c r="K1010" i="10"/>
  <c r="J1010" i="10"/>
  <c r="J781" i="10"/>
  <c r="K781" i="10"/>
  <c r="K499" i="10"/>
  <c r="J499" i="10"/>
  <c r="K161" i="10"/>
  <c r="J161" i="10"/>
  <c r="J617" i="10"/>
  <c r="K617" i="10"/>
  <c r="J1014" i="10"/>
  <c r="K1014" i="10"/>
  <c r="K795" i="10"/>
  <c r="J795" i="10"/>
  <c r="J609" i="10"/>
  <c r="K609" i="10"/>
  <c r="K318" i="10"/>
  <c r="J318" i="10"/>
  <c r="K126" i="10"/>
  <c r="J126" i="10"/>
  <c r="K1110" i="10"/>
  <c r="J1110" i="10"/>
  <c r="J553" i="10"/>
  <c r="K553" i="10"/>
  <c r="K1101" i="10"/>
  <c r="J1101" i="10"/>
  <c r="J924" i="10"/>
  <c r="K924" i="10"/>
  <c r="J860" i="10"/>
  <c r="K860" i="10"/>
  <c r="J613" i="10"/>
  <c r="K613" i="10"/>
  <c r="K429" i="10"/>
  <c r="J429" i="10"/>
  <c r="J1002" i="10"/>
  <c r="K1002" i="10"/>
  <c r="K87" i="10"/>
  <c r="J87" i="10"/>
  <c r="K1142" i="10"/>
  <c r="J1142" i="10"/>
  <c r="K1042" i="10"/>
  <c r="J1042" i="10"/>
  <c r="J969" i="10"/>
  <c r="K969" i="10"/>
  <c r="K899" i="10"/>
  <c r="J899" i="10"/>
  <c r="K835" i="10"/>
  <c r="J835" i="10"/>
  <c r="J780" i="10"/>
  <c r="K780" i="10"/>
  <c r="J716" i="10"/>
  <c r="K716" i="10"/>
  <c r="J652" i="10"/>
  <c r="K652" i="10"/>
  <c r="J476" i="10"/>
  <c r="K476" i="10"/>
  <c r="R6" i="12"/>
  <c r="Q7" i="12"/>
  <c r="L44" i="4"/>
  <c r="K44" i="4"/>
  <c r="F50" i="6"/>
  <c r="K1149" i="10"/>
  <c r="J1149" i="10"/>
  <c r="K1144" i="10"/>
  <c r="J1144" i="10"/>
  <c r="K1117" i="10"/>
  <c r="J1117" i="10"/>
  <c r="K1047" i="10"/>
  <c r="J1047" i="10"/>
  <c r="K974" i="10"/>
  <c r="J974" i="10"/>
  <c r="J916" i="10"/>
  <c r="K916" i="10"/>
  <c r="J852" i="10"/>
  <c r="K852" i="10"/>
  <c r="K779" i="10"/>
  <c r="J779" i="10"/>
  <c r="K715" i="10"/>
  <c r="J715" i="10"/>
  <c r="K651" i="10"/>
  <c r="J651" i="10"/>
  <c r="K587" i="10"/>
  <c r="J587" i="10"/>
  <c r="K507" i="10"/>
  <c r="J507" i="10"/>
  <c r="K433" i="10"/>
  <c r="J433" i="10"/>
  <c r="K305" i="10"/>
  <c r="J305" i="10"/>
  <c r="K177" i="10"/>
  <c r="J177" i="10"/>
  <c r="J1088" i="10"/>
  <c r="K1088" i="10"/>
  <c r="J864" i="10"/>
  <c r="K864" i="10"/>
  <c r="J648" i="10"/>
  <c r="K648" i="10"/>
  <c r="K218" i="10"/>
  <c r="J218" i="10"/>
  <c r="J1004" i="10"/>
  <c r="K1004" i="10"/>
  <c r="J940" i="10"/>
  <c r="K940" i="10"/>
  <c r="J889" i="10"/>
  <c r="K889" i="10"/>
  <c r="J825" i="10"/>
  <c r="K825" i="10"/>
  <c r="K774" i="10"/>
  <c r="J774" i="10"/>
  <c r="K710" i="10"/>
  <c r="J710" i="10"/>
  <c r="J646" i="10"/>
  <c r="K646" i="10"/>
  <c r="J593" i="10"/>
  <c r="K593" i="10"/>
  <c r="J422" i="10"/>
  <c r="K422" i="10"/>
  <c r="J358" i="10"/>
  <c r="K358" i="10"/>
  <c r="K294" i="10"/>
  <c r="J294" i="10"/>
  <c r="K230" i="10"/>
  <c r="J230" i="10"/>
  <c r="K166" i="10"/>
  <c r="J166" i="10"/>
  <c r="J102" i="10"/>
  <c r="K102" i="10"/>
  <c r="K911" i="10"/>
  <c r="J911" i="10"/>
  <c r="K750" i="10"/>
  <c r="J750" i="10"/>
  <c r="J569" i="10"/>
  <c r="K569" i="10"/>
  <c r="K191" i="10"/>
  <c r="J191" i="10"/>
  <c r="J1084" i="10"/>
  <c r="K1084" i="10"/>
  <c r="K1011" i="10"/>
  <c r="J1011" i="10"/>
  <c r="J960" i="10"/>
  <c r="K960" i="10"/>
  <c r="J876" i="10"/>
  <c r="K876" i="10"/>
  <c r="J800" i="10"/>
  <c r="K800" i="10"/>
  <c r="J740" i="10"/>
  <c r="K740" i="10"/>
  <c r="J676" i="10"/>
  <c r="K676" i="10"/>
  <c r="K611" i="10"/>
  <c r="J611" i="10"/>
  <c r="K547" i="10"/>
  <c r="J547" i="10"/>
  <c r="K471" i="10"/>
  <c r="J471" i="10"/>
  <c r="K413" i="10"/>
  <c r="J413" i="10"/>
  <c r="K285" i="10"/>
  <c r="J285" i="10"/>
  <c r="K157" i="10"/>
  <c r="J157" i="10"/>
  <c r="K995" i="10"/>
  <c r="J995" i="10"/>
  <c r="J680" i="10"/>
  <c r="K680" i="10"/>
  <c r="K426" i="10"/>
  <c r="J426" i="10"/>
  <c r="K303" i="10"/>
  <c r="J303" i="10"/>
  <c r="J1141" i="10"/>
  <c r="K1141" i="10"/>
  <c r="J1161" i="10"/>
  <c r="K1161" i="10"/>
  <c r="K1158" i="10"/>
  <c r="J1158" i="10"/>
  <c r="K1066" i="10"/>
  <c r="J1066" i="10"/>
  <c r="J1024" i="10"/>
  <c r="K1024" i="10"/>
  <c r="K967" i="10"/>
  <c r="J967" i="10"/>
  <c r="J901" i="10"/>
  <c r="K901" i="10"/>
  <c r="J837" i="10"/>
  <c r="K837" i="10"/>
  <c r="K770" i="10"/>
  <c r="J770" i="10"/>
  <c r="K706" i="10"/>
  <c r="J706" i="10"/>
  <c r="K642" i="10"/>
  <c r="J642" i="10"/>
  <c r="K578" i="10"/>
  <c r="J578" i="10"/>
  <c r="J518" i="10"/>
  <c r="K518" i="10"/>
  <c r="J484" i="10"/>
  <c r="K484" i="10"/>
  <c r="J452" i="10"/>
  <c r="K452" i="10"/>
  <c r="K377" i="10"/>
  <c r="J377" i="10"/>
  <c r="K249" i="10"/>
  <c r="J249" i="10"/>
  <c r="K121" i="10"/>
  <c r="J121" i="10"/>
  <c r="K782" i="10"/>
  <c r="J782" i="10"/>
  <c r="K622" i="10"/>
  <c r="J622" i="10"/>
  <c r="J434" i="10"/>
  <c r="K434" i="10"/>
  <c r="K183" i="10"/>
  <c r="J183" i="10"/>
  <c r="J989" i="10"/>
  <c r="K989" i="10"/>
  <c r="K926" i="10"/>
  <c r="J926" i="10"/>
  <c r="K862" i="10"/>
  <c r="J862" i="10"/>
  <c r="J810" i="10"/>
  <c r="K810" i="10"/>
  <c r="J753" i="10"/>
  <c r="K753" i="10"/>
  <c r="J689" i="10"/>
  <c r="K689" i="10"/>
  <c r="J624" i="10"/>
  <c r="K624" i="10"/>
  <c r="J560" i="10"/>
  <c r="K560" i="10"/>
  <c r="K411" i="10"/>
  <c r="J411" i="10"/>
  <c r="K347" i="10"/>
  <c r="J347" i="10"/>
  <c r="K283" i="10"/>
  <c r="J283" i="10"/>
  <c r="K219" i="10"/>
  <c r="J219" i="10"/>
  <c r="K155" i="10"/>
  <c r="J155" i="10"/>
  <c r="K91" i="10"/>
  <c r="J91" i="10"/>
  <c r="J760" i="10"/>
  <c r="K760" i="10"/>
  <c r="K606" i="10"/>
  <c r="J606" i="10"/>
  <c r="K330" i="10"/>
  <c r="J330" i="10"/>
  <c r="K234" i="10"/>
  <c r="J234" i="10"/>
  <c r="J1068" i="10"/>
  <c r="K1068" i="10"/>
  <c r="J1036" i="10"/>
  <c r="K1036" i="10"/>
  <c r="K959" i="10"/>
  <c r="J959" i="10"/>
  <c r="J893" i="10"/>
  <c r="K893" i="10"/>
  <c r="J829" i="10"/>
  <c r="K829" i="10"/>
  <c r="K771" i="10"/>
  <c r="J771" i="10"/>
  <c r="K707" i="10"/>
  <c r="J707" i="10"/>
  <c r="K643" i="10"/>
  <c r="J643" i="10"/>
  <c r="K570" i="10"/>
  <c r="J570" i="10"/>
  <c r="J506" i="10"/>
  <c r="K506" i="10"/>
  <c r="J474" i="10"/>
  <c r="K474" i="10"/>
  <c r="K443" i="10"/>
  <c r="J443" i="10"/>
  <c r="K357" i="10"/>
  <c r="J357" i="10"/>
  <c r="K229" i="10"/>
  <c r="J229" i="10"/>
  <c r="K101" i="10"/>
  <c r="J101" i="10"/>
  <c r="J970" i="10"/>
  <c r="K970" i="10"/>
  <c r="J880" i="10"/>
  <c r="K880" i="10"/>
  <c r="J632" i="10"/>
  <c r="K632" i="10"/>
  <c r="J402" i="10"/>
  <c r="K402" i="10"/>
  <c r="K247" i="10"/>
  <c r="J247" i="10"/>
  <c r="J1133" i="10"/>
  <c r="K1133" i="10"/>
  <c r="K1153" i="10"/>
  <c r="J1153" i="10"/>
  <c r="K1134" i="10"/>
  <c r="J1134" i="10"/>
  <c r="K1055" i="10"/>
  <c r="J1055" i="10"/>
  <c r="J984" i="10"/>
  <c r="K984" i="10"/>
  <c r="J906" i="10"/>
  <c r="K906" i="10"/>
  <c r="J842" i="10"/>
  <c r="K842" i="10"/>
  <c r="J749" i="10"/>
  <c r="K749" i="10"/>
  <c r="J685" i="10"/>
  <c r="K685" i="10"/>
  <c r="J621" i="10"/>
  <c r="K621" i="10"/>
  <c r="J557" i="10"/>
  <c r="K557" i="10"/>
  <c r="K467" i="10"/>
  <c r="J467" i="10"/>
  <c r="K353" i="10"/>
  <c r="J353" i="10"/>
  <c r="K225" i="10"/>
  <c r="J225" i="10"/>
  <c r="K97" i="10"/>
  <c r="J97" i="10"/>
  <c r="J938" i="10"/>
  <c r="K938" i="10"/>
  <c r="J681" i="10"/>
  <c r="K681" i="10"/>
  <c r="K531" i="10"/>
  <c r="J531" i="10"/>
  <c r="K335" i="10"/>
  <c r="J335" i="10"/>
  <c r="K127" i="10"/>
  <c r="J127" i="10"/>
  <c r="J1096" i="10"/>
  <c r="K1096" i="10"/>
  <c r="J988" i="10"/>
  <c r="K988" i="10"/>
  <c r="J905" i="10"/>
  <c r="K905" i="10"/>
  <c r="J841" i="10"/>
  <c r="K841" i="10"/>
  <c r="K758" i="10"/>
  <c r="J758" i="10"/>
  <c r="J694" i="10"/>
  <c r="K694" i="10"/>
  <c r="K630" i="10"/>
  <c r="J630" i="10"/>
  <c r="J577" i="10"/>
  <c r="K577" i="10"/>
  <c r="K414" i="10"/>
  <c r="J414" i="10"/>
  <c r="K350" i="10"/>
  <c r="J350" i="10"/>
  <c r="K286" i="10"/>
  <c r="J286" i="10"/>
  <c r="K222" i="10"/>
  <c r="J222" i="10"/>
  <c r="K158" i="10"/>
  <c r="J158" i="10"/>
  <c r="K94" i="10"/>
  <c r="J94" i="10"/>
  <c r="J996" i="10"/>
  <c r="K996" i="10"/>
  <c r="J776" i="10"/>
  <c r="K776" i="10"/>
  <c r="J600" i="10"/>
  <c r="K600" i="10"/>
  <c r="K362" i="10"/>
  <c r="J362" i="10"/>
  <c r="J130" i="10"/>
  <c r="K130" i="10"/>
  <c r="K1051" i="10"/>
  <c r="J1051" i="10"/>
  <c r="J1008" i="10"/>
  <c r="K1008" i="10"/>
  <c r="J944" i="10"/>
  <c r="K944" i="10"/>
  <c r="J892" i="10"/>
  <c r="K892" i="10"/>
  <c r="J828" i="10"/>
  <c r="K828" i="10"/>
  <c r="K762" i="10"/>
  <c r="J762" i="10"/>
  <c r="K698" i="10"/>
  <c r="J698" i="10"/>
  <c r="K634" i="10"/>
  <c r="J634" i="10"/>
  <c r="J581" i="10"/>
  <c r="K581" i="10"/>
  <c r="J516" i="10"/>
  <c r="K516" i="10"/>
  <c r="K463" i="10"/>
  <c r="J463" i="10"/>
  <c r="K365" i="10"/>
  <c r="J365" i="10"/>
  <c r="K237" i="10"/>
  <c r="J237" i="10"/>
  <c r="K109" i="10"/>
  <c r="J109" i="10"/>
  <c r="J832" i="10"/>
  <c r="K832" i="10"/>
  <c r="J354" i="10"/>
  <c r="K354" i="10"/>
  <c r="J178" i="10"/>
  <c r="K178" i="10"/>
  <c r="K1170" i="10"/>
  <c r="J1170" i="10"/>
  <c r="J1145" i="10"/>
  <c r="K1145" i="10"/>
  <c r="K1091" i="10"/>
  <c r="J1091" i="10"/>
  <c r="K1058" i="10"/>
  <c r="J1058" i="10"/>
  <c r="J1001" i="10"/>
  <c r="K1001" i="10"/>
  <c r="K931" i="10"/>
  <c r="J931" i="10"/>
  <c r="K867" i="10"/>
  <c r="J867" i="10"/>
  <c r="J816" i="10"/>
  <c r="K816" i="10"/>
  <c r="J748" i="10"/>
  <c r="K748" i="10"/>
  <c r="J684" i="10"/>
  <c r="K684" i="10"/>
  <c r="J620" i="10"/>
  <c r="K620" i="10"/>
  <c r="J556" i="10"/>
  <c r="K556" i="10"/>
  <c r="J492" i="10"/>
  <c r="K492" i="10"/>
  <c r="J460" i="10"/>
  <c r="K460" i="10"/>
  <c r="K393" i="10"/>
  <c r="J393" i="10"/>
  <c r="K265" i="10"/>
  <c r="J265" i="10"/>
  <c r="K137" i="10"/>
  <c r="J137" i="10"/>
  <c r="J833" i="10"/>
  <c r="K833" i="10"/>
  <c r="J697" i="10"/>
  <c r="K697" i="10"/>
  <c r="K415" i="10"/>
  <c r="J415" i="10"/>
  <c r="K239" i="10"/>
  <c r="J239" i="10"/>
  <c r="K1095" i="10"/>
  <c r="J1095" i="10"/>
  <c r="K987" i="10"/>
  <c r="J987" i="10"/>
  <c r="J936" i="10"/>
  <c r="K936" i="10"/>
  <c r="J872" i="10"/>
  <c r="K872" i="10"/>
  <c r="K783" i="10"/>
  <c r="J783" i="10"/>
  <c r="K719" i="10"/>
  <c r="J719" i="10"/>
  <c r="K655" i="10"/>
  <c r="J655" i="10"/>
  <c r="K582" i="10"/>
  <c r="J582" i="10"/>
  <c r="K530" i="10"/>
  <c r="J530" i="10"/>
  <c r="K403" i="10"/>
  <c r="J403" i="10"/>
  <c r="K339" i="10"/>
  <c r="J339" i="10"/>
  <c r="K275" i="10"/>
  <c r="J275" i="10"/>
  <c r="K211" i="10"/>
  <c r="J211" i="10"/>
  <c r="K147" i="10"/>
  <c r="J147" i="10"/>
  <c r="K83" i="10"/>
  <c r="J83" i="10"/>
  <c r="J934" i="10"/>
  <c r="K934" i="10"/>
  <c r="K718" i="10"/>
  <c r="J718" i="10"/>
  <c r="J616" i="10"/>
  <c r="K616" i="10"/>
  <c r="J338" i="10"/>
  <c r="K338" i="10"/>
  <c r="J258" i="10"/>
  <c r="K258" i="10"/>
  <c r="J146" i="10"/>
  <c r="K146" i="10"/>
  <c r="J1119" i="10"/>
  <c r="K1119" i="10"/>
  <c r="J1081" i="10"/>
  <c r="K1081" i="10"/>
  <c r="K1054" i="10"/>
  <c r="J1054" i="10"/>
  <c r="J1012" i="10"/>
  <c r="K1012" i="10"/>
  <c r="J961" i="10"/>
  <c r="K961" i="10"/>
  <c r="K891" i="10"/>
  <c r="J891" i="10"/>
  <c r="K827" i="10"/>
  <c r="J827" i="10"/>
  <c r="J741" i="10"/>
  <c r="K741" i="10"/>
  <c r="J677" i="10"/>
  <c r="K677" i="10"/>
  <c r="J612" i="10"/>
  <c r="K612" i="10"/>
  <c r="J548" i="10"/>
  <c r="K548" i="10"/>
  <c r="K498" i="10"/>
  <c r="J498" i="10"/>
  <c r="K466" i="10"/>
  <c r="J466" i="10"/>
  <c r="K437" i="10"/>
  <c r="J437" i="10"/>
  <c r="K309" i="10"/>
  <c r="J309" i="10"/>
  <c r="K181" i="10"/>
  <c r="J181" i="10"/>
  <c r="J1017" i="10"/>
  <c r="K1017" i="10"/>
  <c r="J902" i="10"/>
  <c r="K902" i="10"/>
  <c r="K766" i="10"/>
  <c r="J766" i="10"/>
  <c r="J584" i="10"/>
  <c r="K584" i="10"/>
  <c r="K410" i="10"/>
  <c r="J410" i="10"/>
  <c r="K135" i="10"/>
  <c r="J135" i="10"/>
  <c r="J457" i="10"/>
  <c r="K457" i="10"/>
  <c r="J473" i="10"/>
  <c r="K473" i="10"/>
  <c r="J489" i="10"/>
  <c r="K489" i="10"/>
  <c r="J505" i="10"/>
  <c r="K505" i="10"/>
  <c r="J525" i="10"/>
  <c r="K525" i="10"/>
  <c r="J789" i="10"/>
  <c r="K789" i="10"/>
  <c r="J817" i="10"/>
  <c r="K817" i="10"/>
  <c r="J1025" i="10"/>
  <c r="K1025" i="10"/>
  <c r="J1045" i="10"/>
  <c r="K1045" i="10"/>
  <c r="J1061" i="10"/>
  <c r="K1061" i="10"/>
  <c r="J1077" i="10"/>
  <c r="K1077" i="10"/>
  <c r="J84" i="10"/>
  <c r="K84" i="10"/>
  <c r="J100" i="10"/>
  <c r="K100" i="10"/>
  <c r="J116" i="10"/>
  <c r="K116" i="10"/>
  <c r="J132" i="10"/>
  <c r="K132" i="10"/>
  <c r="J148" i="10"/>
  <c r="K148" i="10"/>
  <c r="J164" i="10"/>
  <c r="K164" i="10"/>
  <c r="J180" i="10"/>
  <c r="K180" i="10"/>
  <c r="J196" i="10"/>
  <c r="K196" i="10"/>
  <c r="J212" i="10"/>
  <c r="K212" i="10"/>
  <c r="J228" i="10"/>
  <c r="K228" i="10"/>
  <c r="J244" i="10"/>
  <c r="K244" i="10"/>
  <c r="J260" i="10"/>
  <c r="K260" i="10"/>
  <c r="J276" i="10"/>
  <c r="K276" i="10"/>
  <c r="J292" i="10"/>
  <c r="K292" i="10"/>
  <c r="J308" i="10"/>
  <c r="K308" i="10"/>
  <c r="J324" i="10"/>
  <c r="K324" i="10"/>
  <c r="J340" i="10"/>
  <c r="K340" i="10"/>
  <c r="J356" i="10"/>
  <c r="K356" i="10"/>
  <c r="J372" i="10"/>
  <c r="K372" i="10"/>
  <c r="J388" i="10"/>
  <c r="K388" i="10"/>
  <c r="J404" i="10"/>
  <c r="K404" i="10"/>
  <c r="J420" i="10"/>
  <c r="K420" i="10"/>
  <c r="J436" i="10"/>
  <c r="K436" i="10"/>
  <c r="J1116" i="10"/>
  <c r="K1116" i="10"/>
  <c r="J1131" i="10"/>
  <c r="K1131" i="10"/>
  <c r="J1147" i="10"/>
  <c r="K1147" i="10"/>
  <c r="J1163" i="10"/>
  <c r="K1163" i="10"/>
  <c r="U25" i="11"/>
  <c r="T25" i="11"/>
  <c r="K1138" i="10"/>
  <c r="J1138" i="10"/>
  <c r="K1006" i="10"/>
  <c r="J1006" i="10"/>
  <c r="J820" i="10"/>
  <c r="K820" i="10"/>
  <c r="K683" i="10"/>
  <c r="J683" i="10"/>
  <c r="K475" i="10"/>
  <c r="J475" i="10"/>
  <c r="K113" i="10"/>
  <c r="J113" i="10"/>
  <c r="J537" i="10"/>
  <c r="K537" i="10"/>
  <c r="J972" i="10"/>
  <c r="K972" i="10"/>
  <c r="J792" i="10"/>
  <c r="K792" i="10"/>
  <c r="K678" i="10"/>
  <c r="J678" i="10"/>
  <c r="K390" i="10"/>
  <c r="J390" i="10"/>
  <c r="K198" i="10"/>
  <c r="J198" i="10"/>
  <c r="J849" i="10"/>
  <c r="K849" i="10"/>
  <c r="J386" i="10"/>
  <c r="K386" i="10"/>
  <c r="K1059" i="10"/>
  <c r="J1059" i="10"/>
  <c r="J844" i="10"/>
  <c r="K844" i="10"/>
  <c r="J644" i="10"/>
  <c r="K644" i="10"/>
  <c r="K503" i="10"/>
  <c r="J503" i="10"/>
  <c r="K221" i="10"/>
  <c r="J221" i="10"/>
  <c r="J601" i="10"/>
  <c r="K601" i="10"/>
  <c r="K1050" i="10"/>
  <c r="J1050" i="10"/>
  <c r="J933" i="10"/>
  <c r="K933" i="10"/>
  <c r="K738" i="10"/>
  <c r="J738" i="10"/>
  <c r="J500" i="10"/>
  <c r="K500" i="10"/>
  <c r="K313" i="10"/>
  <c r="J313" i="10"/>
  <c r="K185" i="10"/>
  <c r="J185" i="10"/>
  <c r="K567" i="10"/>
  <c r="J567" i="10"/>
  <c r="K1097" i="10"/>
  <c r="J1097" i="10"/>
  <c r="K791" i="10"/>
  <c r="J791" i="10"/>
  <c r="J592" i="10"/>
  <c r="K592" i="10"/>
  <c r="K315" i="10"/>
  <c r="J315" i="10"/>
  <c r="K187" i="10"/>
  <c r="J187" i="10"/>
  <c r="K711" i="10"/>
  <c r="J711" i="10"/>
  <c r="K170" i="10"/>
  <c r="J170" i="10"/>
  <c r="K991" i="10"/>
  <c r="J991" i="10"/>
  <c r="J804" i="10"/>
  <c r="K804" i="10"/>
  <c r="K602" i="10"/>
  <c r="J602" i="10"/>
  <c r="J458" i="10"/>
  <c r="K458" i="10"/>
  <c r="K165" i="10"/>
  <c r="J165" i="10"/>
  <c r="K523" i="10"/>
  <c r="J523" i="10"/>
  <c r="J1165" i="10"/>
  <c r="K1165" i="10"/>
  <c r="J1118" i="10"/>
  <c r="K1118" i="10"/>
  <c r="J952" i="10"/>
  <c r="K952" i="10"/>
  <c r="J717" i="10"/>
  <c r="K717" i="10"/>
  <c r="J589" i="10"/>
  <c r="K589" i="10"/>
  <c r="K289" i="10"/>
  <c r="J289" i="10"/>
  <c r="J997" i="10"/>
  <c r="K997" i="10"/>
  <c r="K367" i="10"/>
  <c r="J367" i="10"/>
  <c r="J1114" i="10"/>
  <c r="K1114" i="10"/>
  <c r="J873" i="10"/>
  <c r="K873" i="10"/>
  <c r="K662" i="10"/>
  <c r="J662" i="10"/>
  <c r="J545" i="10"/>
  <c r="K545" i="10"/>
  <c r="K254" i="10"/>
  <c r="J254" i="10"/>
  <c r="K686" i="10"/>
  <c r="J686" i="10"/>
  <c r="J98" i="10"/>
  <c r="K98" i="10"/>
  <c r="J976" i="10"/>
  <c r="K976" i="10"/>
  <c r="J808" i="10"/>
  <c r="K808" i="10"/>
  <c r="K666" i="10"/>
  <c r="J666" i="10"/>
  <c r="K495" i="10"/>
  <c r="J495" i="10"/>
  <c r="K173" i="10"/>
  <c r="J173" i="10"/>
  <c r="K311" i="10"/>
  <c r="J311" i="10"/>
  <c r="J1157" i="10"/>
  <c r="K1157" i="10"/>
  <c r="K1074" i="10"/>
  <c r="J1074" i="10"/>
  <c r="J588" i="10"/>
  <c r="K588" i="10"/>
  <c r="L13" i="4"/>
  <c r="L17" i="4" s="1"/>
  <c r="K13" i="4"/>
  <c r="J17" i="4"/>
  <c r="K17" i="4" s="1"/>
  <c r="G62" i="14"/>
  <c r="K1125" i="10"/>
  <c r="J1125" i="10"/>
  <c r="K1137" i="10"/>
  <c r="J1137" i="10"/>
  <c r="J1082" i="10"/>
  <c r="K1082" i="10"/>
  <c r="J1020" i="10"/>
  <c r="K1020" i="10"/>
  <c r="J968" i="10"/>
  <c r="K968" i="10"/>
  <c r="J890" i="10"/>
  <c r="K890" i="10"/>
  <c r="J826" i="10"/>
  <c r="K826" i="10"/>
  <c r="J765" i="10"/>
  <c r="K765" i="10"/>
  <c r="J701" i="10"/>
  <c r="K701" i="10"/>
  <c r="J637" i="10"/>
  <c r="K637" i="10"/>
  <c r="J573" i="10"/>
  <c r="K573" i="10"/>
  <c r="K491" i="10"/>
  <c r="J491" i="10"/>
  <c r="K401" i="10"/>
  <c r="J401" i="10"/>
  <c r="K273" i="10"/>
  <c r="J273" i="10"/>
  <c r="K145" i="10"/>
  <c r="J145" i="10"/>
  <c r="J964" i="10"/>
  <c r="K964" i="10"/>
  <c r="K847" i="10"/>
  <c r="J847" i="10"/>
  <c r="K631" i="10"/>
  <c r="J631" i="10"/>
  <c r="K186" i="10"/>
  <c r="J186" i="10"/>
  <c r="K978" i="10"/>
  <c r="J978" i="10"/>
  <c r="K935" i="10"/>
  <c r="J935" i="10"/>
  <c r="K871" i="10"/>
  <c r="J871" i="10"/>
  <c r="J797" i="10"/>
  <c r="K797" i="10"/>
  <c r="J768" i="10"/>
  <c r="K768" i="10"/>
  <c r="J704" i="10"/>
  <c r="K704" i="10"/>
  <c r="J640" i="10"/>
  <c r="K640" i="10"/>
  <c r="K575" i="10"/>
  <c r="J575" i="10"/>
  <c r="J406" i="10"/>
  <c r="K406" i="10"/>
  <c r="J342" i="10"/>
  <c r="K342" i="10"/>
  <c r="K278" i="10"/>
  <c r="J278" i="10"/>
  <c r="K214" i="10"/>
  <c r="J214" i="10"/>
  <c r="K150" i="10"/>
  <c r="J150" i="10"/>
  <c r="J86" i="10"/>
  <c r="K86" i="10"/>
  <c r="J870" i="10"/>
  <c r="K870" i="10"/>
  <c r="K695" i="10"/>
  <c r="J695" i="10"/>
  <c r="K542" i="10"/>
  <c r="J542" i="10"/>
  <c r="K143" i="10"/>
  <c r="J143" i="10"/>
  <c r="K1075" i="10"/>
  <c r="J1075" i="10"/>
  <c r="K998" i="10"/>
  <c r="J998" i="10"/>
  <c r="K914" i="10"/>
  <c r="J914" i="10"/>
  <c r="K850" i="10"/>
  <c r="J850" i="10"/>
  <c r="J778" i="10"/>
  <c r="K778" i="10"/>
  <c r="J714" i="10"/>
  <c r="K714" i="10"/>
  <c r="J650" i="10"/>
  <c r="K650" i="10"/>
  <c r="J597" i="10"/>
  <c r="K597" i="10"/>
  <c r="K519" i="10"/>
  <c r="J519" i="10"/>
  <c r="K455" i="10"/>
  <c r="J455" i="10"/>
  <c r="K381" i="10"/>
  <c r="J381" i="10"/>
  <c r="K253" i="10"/>
  <c r="J253" i="10"/>
  <c r="K125" i="10"/>
  <c r="J125" i="10"/>
  <c r="J865" i="10"/>
  <c r="K865" i="10"/>
  <c r="K663" i="10"/>
  <c r="J663" i="10"/>
  <c r="K394" i="10"/>
  <c r="J394" i="10"/>
  <c r="K287" i="10"/>
  <c r="J287" i="10"/>
  <c r="K1146" i="10"/>
  <c r="J1146" i="10"/>
  <c r="K1136" i="10"/>
  <c r="J1136" i="10"/>
  <c r="K1109" i="10"/>
  <c r="J1109" i="10"/>
  <c r="J1056" i="10"/>
  <c r="K1056" i="10"/>
  <c r="K1019" i="10"/>
  <c r="J1019" i="10"/>
  <c r="J953" i="10"/>
  <c r="K953" i="10"/>
  <c r="K883" i="10"/>
  <c r="J883" i="10"/>
  <c r="K819" i="10"/>
  <c r="J819" i="10"/>
  <c r="J764" i="10"/>
  <c r="K764" i="10"/>
  <c r="J700" i="10"/>
  <c r="K700" i="10"/>
  <c r="J636" i="10"/>
  <c r="K636" i="10"/>
  <c r="J572" i="10"/>
  <c r="K572" i="10"/>
  <c r="K510" i="10"/>
  <c r="J510" i="10"/>
  <c r="K478" i="10"/>
  <c r="J478" i="10"/>
  <c r="K446" i="10"/>
  <c r="J446" i="10"/>
  <c r="K345" i="10"/>
  <c r="J345" i="10"/>
  <c r="K217" i="10"/>
  <c r="J217" i="10"/>
  <c r="K89" i="10"/>
  <c r="J89" i="10"/>
  <c r="J745" i="10"/>
  <c r="K745" i="10"/>
  <c r="J585" i="10"/>
  <c r="K585" i="10"/>
  <c r="J370" i="10"/>
  <c r="K370" i="10"/>
  <c r="K159" i="10"/>
  <c r="J159" i="10"/>
  <c r="K971" i="10"/>
  <c r="J971" i="10"/>
  <c r="J920" i="10"/>
  <c r="K920" i="10"/>
  <c r="J856" i="10"/>
  <c r="K856" i="10"/>
  <c r="J796" i="10"/>
  <c r="K796" i="10"/>
  <c r="K735" i="10"/>
  <c r="J735" i="10"/>
  <c r="K671" i="10"/>
  <c r="J671" i="10"/>
  <c r="J598" i="10"/>
  <c r="K598" i="10"/>
  <c r="J534" i="10"/>
  <c r="K534" i="10"/>
  <c r="K395" i="10"/>
  <c r="J395" i="10"/>
  <c r="K331" i="10"/>
  <c r="J331" i="10"/>
  <c r="K267" i="10"/>
  <c r="J267" i="10"/>
  <c r="K203" i="10"/>
  <c r="J203" i="10"/>
  <c r="K139" i="10"/>
  <c r="J139" i="10"/>
  <c r="J965" i="10"/>
  <c r="K965" i="10"/>
  <c r="K727" i="10"/>
  <c r="J727" i="10"/>
  <c r="J524" i="10"/>
  <c r="K524" i="10"/>
  <c r="K314" i="10"/>
  <c r="J314" i="10"/>
  <c r="K202" i="10"/>
  <c r="J202" i="10"/>
  <c r="J1090" i="10"/>
  <c r="K1090" i="10"/>
  <c r="J1062" i="10"/>
  <c r="K1062" i="10"/>
  <c r="K1022" i="10"/>
  <c r="J1022" i="10"/>
  <c r="J945" i="10"/>
  <c r="K945" i="10"/>
  <c r="K875" i="10"/>
  <c r="J875" i="10"/>
  <c r="J809" i="10"/>
  <c r="K809" i="10"/>
  <c r="J757" i="10"/>
  <c r="K757" i="10"/>
  <c r="J693" i="10"/>
  <c r="K693" i="10"/>
  <c r="J628" i="10"/>
  <c r="K628" i="10"/>
  <c r="J564" i="10"/>
  <c r="K564" i="10"/>
  <c r="J496" i="10"/>
  <c r="K496" i="10"/>
  <c r="J464" i="10"/>
  <c r="K464" i="10"/>
  <c r="K439" i="10"/>
  <c r="J439" i="10"/>
  <c r="K325" i="10"/>
  <c r="J325" i="10"/>
  <c r="K197" i="10"/>
  <c r="J197" i="10"/>
  <c r="K1115" i="10"/>
  <c r="J1115" i="10"/>
  <c r="J929" i="10"/>
  <c r="K929" i="10"/>
  <c r="J777" i="10"/>
  <c r="K777" i="10"/>
  <c r="K615" i="10"/>
  <c r="J615" i="10"/>
  <c r="K391" i="10"/>
  <c r="J391" i="10"/>
  <c r="K231" i="10"/>
  <c r="J231" i="10"/>
  <c r="K1171" i="10"/>
  <c r="J1171" i="10"/>
  <c r="K1128" i="10"/>
  <c r="J1128" i="10"/>
  <c r="J1121" i="10"/>
  <c r="K1121" i="10"/>
  <c r="K1023" i="10"/>
  <c r="J1023" i="10"/>
  <c r="K958" i="10"/>
  <c r="J958" i="10"/>
  <c r="J900" i="10"/>
  <c r="K900" i="10"/>
  <c r="J836" i="10"/>
  <c r="K836" i="10"/>
  <c r="K731" i="10"/>
  <c r="J731" i="10"/>
  <c r="K667" i="10"/>
  <c r="J667" i="10"/>
  <c r="K603" i="10"/>
  <c r="J603" i="10"/>
  <c r="K539" i="10"/>
  <c r="J539" i="10"/>
  <c r="K451" i="10"/>
  <c r="J451" i="10"/>
  <c r="K321" i="10"/>
  <c r="J321" i="10"/>
  <c r="K193" i="10"/>
  <c r="J193" i="10"/>
  <c r="J1016" i="10"/>
  <c r="K1016" i="10"/>
  <c r="J896" i="10"/>
  <c r="K896" i="10"/>
  <c r="K638" i="10"/>
  <c r="J638" i="10"/>
  <c r="K399" i="10"/>
  <c r="J399" i="10"/>
  <c r="K319" i="10"/>
  <c r="J319" i="10"/>
  <c r="K111" i="10"/>
  <c r="J111" i="10"/>
  <c r="J1033" i="10"/>
  <c r="K1033" i="10"/>
  <c r="K962" i="10"/>
  <c r="J962" i="10"/>
  <c r="K887" i="10"/>
  <c r="J887" i="10"/>
  <c r="K823" i="10"/>
  <c r="J823" i="10"/>
  <c r="J752" i="10"/>
  <c r="K752" i="10"/>
  <c r="J688" i="10"/>
  <c r="K688" i="10"/>
  <c r="K623" i="10"/>
  <c r="J623" i="10"/>
  <c r="K559" i="10"/>
  <c r="J559" i="10"/>
  <c r="K398" i="10"/>
  <c r="J398" i="10"/>
  <c r="K334" i="10"/>
  <c r="J334" i="10"/>
  <c r="K270" i="10"/>
  <c r="J270" i="10"/>
  <c r="K206" i="10"/>
  <c r="J206" i="10"/>
  <c r="K142" i="10"/>
  <c r="J142" i="10"/>
  <c r="K78" i="10"/>
  <c r="J78" i="10"/>
  <c r="J980" i="10"/>
  <c r="K980" i="10"/>
  <c r="K743" i="10"/>
  <c r="J743" i="10"/>
  <c r="K583" i="10"/>
  <c r="J583" i="10"/>
  <c r="K343" i="10"/>
  <c r="J343" i="10"/>
  <c r="J114" i="10"/>
  <c r="K114" i="10"/>
  <c r="J1040" i="10"/>
  <c r="K1040" i="10"/>
  <c r="J982" i="10"/>
  <c r="K982" i="10"/>
  <c r="J930" i="10"/>
  <c r="K930" i="10"/>
  <c r="J866" i="10"/>
  <c r="K866" i="10"/>
  <c r="K814" i="10"/>
  <c r="J814" i="10"/>
  <c r="J756" i="10"/>
  <c r="K756" i="10"/>
  <c r="J692" i="10"/>
  <c r="K692" i="10"/>
  <c r="K627" i="10"/>
  <c r="J627" i="10"/>
  <c r="K563" i="10"/>
  <c r="J563" i="10"/>
  <c r="K511" i="10"/>
  <c r="J511" i="10"/>
  <c r="K447" i="10"/>
  <c r="J447" i="10"/>
  <c r="K333" i="10"/>
  <c r="J333" i="10"/>
  <c r="K205" i="10"/>
  <c r="J205" i="10"/>
  <c r="K1087" i="10"/>
  <c r="J1087" i="10"/>
  <c r="K734" i="10"/>
  <c r="J734" i="10"/>
  <c r="K327" i="10"/>
  <c r="J327" i="10"/>
  <c r="K154" i="10"/>
  <c r="J154" i="10"/>
  <c r="K1164" i="10"/>
  <c r="J1164" i="10"/>
  <c r="K1162" i="10"/>
  <c r="J1162" i="10"/>
  <c r="K1124" i="10"/>
  <c r="J1124" i="10"/>
  <c r="J1080" i="10"/>
  <c r="K1080" i="10"/>
  <c r="J1048" i="10"/>
  <c r="K1048" i="10"/>
  <c r="K983" i="10"/>
  <c r="J983" i="10"/>
  <c r="J917" i="10"/>
  <c r="K917" i="10"/>
  <c r="J853" i="10"/>
  <c r="K853" i="10"/>
  <c r="K802" i="10"/>
  <c r="J802" i="10"/>
  <c r="J722" i="10"/>
  <c r="K722" i="10"/>
  <c r="J658" i="10"/>
  <c r="K658" i="10"/>
  <c r="K594" i="10"/>
  <c r="J594" i="10"/>
  <c r="J514" i="10"/>
  <c r="K514" i="10"/>
  <c r="J486" i="10"/>
  <c r="K486" i="10"/>
  <c r="J454" i="10"/>
  <c r="K454" i="10"/>
  <c r="K361" i="10"/>
  <c r="J361" i="10"/>
  <c r="K233" i="10"/>
  <c r="J233" i="10"/>
  <c r="K105" i="10"/>
  <c r="J105" i="10"/>
  <c r="K794" i="10"/>
  <c r="J794" i="10"/>
  <c r="K574" i="10"/>
  <c r="J574" i="10"/>
  <c r="K298" i="10"/>
  <c r="J298" i="10"/>
  <c r="K79" i="10"/>
  <c r="J79" i="10"/>
  <c r="J8" i="13" a="1"/>
  <c r="J8" i="13" s="1"/>
  <c r="J1032" i="10"/>
  <c r="K1032" i="10"/>
  <c r="J973" i="10"/>
  <c r="K973" i="10"/>
  <c r="K910" i="10"/>
  <c r="J910" i="10"/>
  <c r="K846" i="10"/>
  <c r="J846" i="10"/>
  <c r="J769" i="10"/>
  <c r="K769" i="10"/>
  <c r="J705" i="10"/>
  <c r="K705" i="10"/>
  <c r="J641" i="10"/>
  <c r="K641" i="10"/>
  <c r="J576" i="10"/>
  <c r="K576" i="10"/>
  <c r="J522" i="10"/>
  <c r="K522" i="10"/>
  <c r="K387" i="10"/>
  <c r="J387" i="10"/>
  <c r="K323" i="10"/>
  <c r="J323" i="10"/>
  <c r="K259" i="10"/>
  <c r="J259" i="10"/>
  <c r="K195" i="10"/>
  <c r="J195" i="10"/>
  <c r="K131" i="10"/>
  <c r="J131" i="10"/>
  <c r="K1107" i="10"/>
  <c r="J1107" i="10"/>
  <c r="J897" i="10"/>
  <c r="K897" i="10"/>
  <c r="J664" i="10"/>
  <c r="K664" i="10"/>
  <c r="J418" i="10"/>
  <c r="K418" i="10"/>
  <c r="J322" i="10"/>
  <c r="K322" i="10"/>
  <c r="J242" i="10"/>
  <c r="K242" i="10"/>
  <c r="K95" i="10"/>
  <c r="J95" i="10"/>
  <c r="K1113" i="10"/>
  <c r="J1113" i="10"/>
  <c r="J1076" i="10"/>
  <c r="K1076" i="10"/>
  <c r="J1044" i="10"/>
  <c r="K1044" i="10"/>
  <c r="K1007" i="10"/>
  <c r="J1007" i="10"/>
  <c r="K943" i="10"/>
  <c r="J943" i="10"/>
  <c r="J877" i="10"/>
  <c r="K877" i="10"/>
  <c r="K807" i="10"/>
  <c r="J807" i="10"/>
  <c r="K723" i="10"/>
  <c r="J723" i="10"/>
  <c r="K659" i="10"/>
  <c r="J659" i="10"/>
  <c r="J586" i="10"/>
  <c r="K586" i="10"/>
  <c r="J520" i="10"/>
  <c r="K520" i="10"/>
  <c r="J488" i="10"/>
  <c r="K488" i="10"/>
  <c r="J456" i="10"/>
  <c r="K456" i="10"/>
  <c r="K405" i="10"/>
  <c r="J405" i="10"/>
  <c r="K277" i="10"/>
  <c r="J277" i="10"/>
  <c r="K149" i="10"/>
  <c r="J149" i="10"/>
  <c r="K979" i="10"/>
  <c r="J979" i="10"/>
  <c r="K886" i="10"/>
  <c r="J886" i="10"/>
  <c r="J744" i="10"/>
  <c r="K744" i="10"/>
  <c r="J568" i="10"/>
  <c r="K568" i="10"/>
  <c r="J274" i="10"/>
  <c r="K274" i="10"/>
  <c r="K119" i="10"/>
  <c r="J119" i="10"/>
  <c r="J445" i="10"/>
  <c r="K445" i="10"/>
  <c r="J461" i="10"/>
  <c r="K461" i="10"/>
  <c r="J477" i="10"/>
  <c r="K477" i="10"/>
  <c r="J493" i="10"/>
  <c r="K493" i="10"/>
  <c r="J509" i="10"/>
  <c r="K509" i="10"/>
  <c r="J529" i="10"/>
  <c r="K529" i="10"/>
  <c r="J793" i="10"/>
  <c r="K793" i="10"/>
  <c r="J937" i="10"/>
  <c r="K937" i="10"/>
  <c r="J1029" i="10"/>
  <c r="K1029" i="10"/>
  <c r="J1049" i="10"/>
  <c r="K1049" i="10"/>
  <c r="J1065" i="10"/>
  <c r="K1065" i="10"/>
  <c r="J88" i="10"/>
  <c r="K88" i="10"/>
  <c r="J104" i="10"/>
  <c r="K104" i="10"/>
  <c r="J120" i="10"/>
  <c r="K120" i="10"/>
  <c r="J136" i="10"/>
  <c r="K136" i="10"/>
  <c r="J152" i="10"/>
  <c r="K152" i="10"/>
  <c r="J168" i="10"/>
  <c r="K168" i="10"/>
  <c r="J184" i="10"/>
  <c r="K184" i="10"/>
  <c r="J200" i="10"/>
  <c r="K200" i="10"/>
  <c r="J216" i="10"/>
  <c r="K216" i="10"/>
  <c r="J232" i="10"/>
  <c r="K232" i="10"/>
  <c r="J248" i="10"/>
  <c r="K248" i="10"/>
  <c r="J264" i="10"/>
  <c r="K264" i="10"/>
  <c r="J280" i="10"/>
  <c r="K280" i="10"/>
  <c r="J296" i="10"/>
  <c r="K296" i="10"/>
  <c r="J312" i="10"/>
  <c r="K312" i="10"/>
  <c r="J328" i="10"/>
  <c r="K328" i="10"/>
  <c r="J344" i="10"/>
  <c r="K344" i="10"/>
  <c r="J360" i="10"/>
  <c r="K360" i="10"/>
  <c r="J376" i="10"/>
  <c r="K376" i="10"/>
  <c r="J392" i="10"/>
  <c r="K392" i="10"/>
  <c r="J408" i="10"/>
  <c r="K408" i="10"/>
  <c r="J424" i="10"/>
  <c r="K424" i="10"/>
  <c r="J1104" i="10"/>
  <c r="K1104" i="10"/>
  <c r="J1123" i="10"/>
  <c r="K1123" i="10"/>
  <c r="J1135" i="10"/>
  <c r="K1135" i="10"/>
  <c r="J1151" i="10"/>
  <c r="K1151" i="10"/>
  <c r="J1167" i="10"/>
  <c r="K1167" i="10"/>
  <c r="J9" i="10" l="1"/>
  <c r="N12" i="14"/>
  <c r="J11" i="14" a="1"/>
  <c r="J11" i="14" s="1"/>
  <c r="M16" i="14"/>
  <c r="U26" i="11"/>
  <c r="T26" i="11"/>
  <c r="N44" i="4"/>
  <c r="M44" i="4"/>
  <c r="J19" i="4"/>
  <c r="K9" i="10"/>
  <c r="G63" i="14"/>
  <c r="R7" i="12"/>
  <c r="Q8" i="12"/>
  <c r="P16" i="11"/>
  <c r="O16" i="11"/>
  <c r="J12" i="13" a="1"/>
  <c r="J12" i="13" s="1"/>
  <c r="N13" i="13"/>
  <c r="G50" i="6"/>
  <c r="F54" i="6"/>
  <c r="G54" i="6" s="1"/>
  <c r="M15" i="13"/>
  <c r="J16" i="11"/>
  <c r="K16" i="11"/>
  <c r="F15" i="11"/>
  <c r="G16" i="11" s="1"/>
  <c r="Z24" i="11"/>
  <c r="Y24" i="11"/>
  <c r="Z25" i="11" l="1"/>
  <c r="Y25" i="11"/>
  <c r="R8" i="12"/>
  <c r="Q9" i="12"/>
  <c r="R9" i="12" s="1"/>
  <c r="M16" i="13"/>
  <c r="N24" i="4"/>
  <c r="B5" i="3"/>
  <c r="O44" i="4"/>
  <c r="M17" i="14"/>
  <c r="J12" i="14" a="1"/>
  <c r="J12" i="14" s="1"/>
  <c r="N13" i="14"/>
  <c r="P17" i="11"/>
  <c r="O17" i="11"/>
  <c r="G64" i="14"/>
  <c r="U27" i="11"/>
  <c r="T27" i="11"/>
  <c r="K17" i="11"/>
  <c r="J17" i="11"/>
  <c r="F16" i="11"/>
  <c r="G17" i="11" s="1"/>
  <c r="N14" i="13"/>
  <c r="J13" i="13" a="1"/>
  <c r="J13" i="13" s="1"/>
  <c r="J24" i="4"/>
  <c r="K19" i="4"/>
  <c r="G65" i="14" l="1"/>
  <c r="E10" i="5"/>
  <c r="E6" i="5"/>
  <c r="E4" i="5"/>
  <c r="E13" i="5"/>
  <c r="E11" i="5"/>
  <c r="E2" i="5"/>
  <c r="E8" i="5"/>
  <c r="E5" i="5"/>
  <c r="E3" i="5"/>
  <c r="E12" i="5"/>
  <c r="E9" i="5"/>
  <c r="E7" i="5"/>
  <c r="R1" i="12"/>
  <c r="O18" i="11"/>
  <c r="P18" i="11"/>
  <c r="B2" i="3"/>
  <c r="K18" i="11"/>
  <c r="J18" i="11"/>
  <c r="F17" i="11"/>
  <c r="G18" i="11" s="1"/>
  <c r="L24" i="4"/>
  <c r="K24" i="4"/>
  <c r="T28" i="11"/>
  <c r="U28" i="11"/>
  <c r="M18" i="14"/>
  <c r="O24" i="4"/>
  <c r="F46" i="4"/>
  <c r="J14" i="13" a="1"/>
  <c r="J14" i="13" s="1"/>
  <c r="N15" i="13"/>
  <c r="N14" i="14"/>
  <c r="J13" i="14" a="1"/>
  <c r="J13" i="14" s="1"/>
  <c r="M17" i="13"/>
  <c r="Y26" i="11"/>
  <c r="Z26" i="11"/>
  <c r="O11" i="3" l="1"/>
  <c r="C7" i="3"/>
  <c r="U5" i="3"/>
  <c r="O9" i="3"/>
  <c r="I5" i="3"/>
  <c r="O19" i="3"/>
  <c r="C6" i="3"/>
  <c r="O14" i="3"/>
  <c r="O12" i="3"/>
  <c r="O10" i="3"/>
  <c r="I23" i="3"/>
  <c r="I17" i="3"/>
  <c r="O16" i="3"/>
  <c r="I12" i="3"/>
  <c r="I18" i="3"/>
  <c r="I7" i="3"/>
  <c r="I15" i="3"/>
  <c r="O18" i="3"/>
  <c r="O4" i="3"/>
  <c r="I21" i="3"/>
  <c r="I6" i="3"/>
  <c r="I14" i="3"/>
  <c r="I10" i="3"/>
  <c r="O6" i="3"/>
  <c r="I11" i="3"/>
  <c r="O17" i="3"/>
  <c r="I8" i="3"/>
  <c r="I16" i="3"/>
  <c r="I20" i="3"/>
  <c r="I13" i="3"/>
  <c r="I24" i="3"/>
  <c r="I4" i="3"/>
  <c r="O2" i="3"/>
  <c r="I9" i="3"/>
  <c r="O7" i="3"/>
  <c r="O15" i="3"/>
  <c r="O8" i="3"/>
  <c r="I19" i="3"/>
  <c r="O13" i="3"/>
  <c r="O5" i="3"/>
  <c r="I22" i="3"/>
  <c r="I2" i="3"/>
  <c r="C4" i="3"/>
  <c r="O3" i="5"/>
  <c r="Q3" i="5" s="1"/>
  <c r="G3" i="5"/>
  <c r="H3" i="5"/>
  <c r="G11" i="5"/>
  <c r="O11" i="5"/>
  <c r="Q11" i="5" s="1"/>
  <c r="H11" i="5"/>
  <c r="O10" i="5"/>
  <c r="Q10" i="5" s="1"/>
  <c r="G10" i="5"/>
  <c r="H10" i="5"/>
  <c r="M19" i="14"/>
  <c r="O9" i="5"/>
  <c r="Q9" i="5" s="1"/>
  <c r="G9" i="5"/>
  <c r="H9" i="5"/>
  <c r="O8" i="5"/>
  <c r="Q8" i="5" s="1"/>
  <c r="G8" i="5"/>
  <c r="H8" i="5"/>
  <c r="G4" i="5"/>
  <c r="O4" i="5"/>
  <c r="Q4" i="5" s="1"/>
  <c r="H4" i="5"/>
  <c r="G66" i="14"/>
  <c r="U29" i="11"/>
  <c r="T29" i="11"/>
  <c r="N1" i="12"/>
  <c r="N2" i="10" s="1"/>
  <c r="N3" i="10"/>
  <c r="N6" i="10" s="1"/>
  <c r="O12" i="5"/>
  <c r="Q12" i="5" s="1"/>
  <c r="G12" i="5"/>
  <c r="H12" i="5"/>
  <c r="G2" i="5"/>
  <c r="H16" i="5"/>
  <c r="O2" i="5"/>
  <c r="H2" i="5"/>
  <c r="O6" i="5"/>
  <c r="Q6" i="5" s="1"/>
  <c r="G6" i="5"/>
  <c r="H6" i="5"/>
  <c r="M18" i="13"/>
  <c r="J14" i="14" a="1"/>
  <c r="J14" i="14" s="1"/>
  <c r="N15" i="14"/>
  <c r="J15" i="13" a="1"/>
  <c r="J15" i="13" s="1"/>
  <c r="N16" i="13"/>
  <c r="D46" i="4"/>
  <c r="T4" i="3"/>
  <c r="G46" i="4"/>
  <c r="F3" i="4"/>
  <c r="G3" i="4" s="1"/>
  <c r="Z27" i="11"/>
  <c r="Y27" i="11"/>
  <c r="E41" i="4"/>
  <c r="E39" i="4"/>
  <c r="E37" i="4"/>
  <c r="E26" i="4"/>
  <c r="E22" i="4"/>
  <c r="E21" i="4"/>
  <c r="E19" i="4"/>
  <c r="E12" i="4"/>
  <c r="E43" i="4"/>
  <c r="E17" i="4"/>
  <c r="E27" i="4"/>
  <c r="E8" i="4"/>
  <c r="E6" i="4"/>
  <c r="E42" i="4"/>
  <c r="E40" i="4"/>
  <c r="E38" i="4"/>
  <c r="E35" i="4"/>
  <c r="E31" i="4"/>
  <c r="E28" i="4"/>
  <c r="E23" i="4"/>
  <c r="E11" i="4"/>
  <c r="E9" i="4"/>
  <c r="E45" i="4"/>
  <c r="E36" i="4"/>
  <c r="E29" i="4"/>
  <c r="E20" i="4"/>
  <c r="E16" i="4"/>
  <c r="E5" i="4"/>
  <c r="E34" i="4"/>
  <c r="E10" i="4"/>
  <c r="E25" i="4"/>
  <c r="E24" i="4"/>
  <c r="E18" i="4"/>
  <c r="E14" i="4"/>
  <c r="E7" i="4"/>
  <c r="E33" i="4"/>
  <c r="E30" i="4"/>
  <c r="E15" i="4"/>
  <c r="K19" i="11"/>
  <c r="F18" i="11"/>
  <c r="G19" i="11" s="1"/>
  <c r="J19" i="11"/>
  <c r="C5" i="3"/>
  <c r="P19" i="11"/>
  <c r="O19" i="11"/>
  <c r="G7" i="5"/>
  <c r="O7" i="5"/>
  <c r="Q7" i="5" s="1"/>
  <c r="H7" i="5"/>
  <c r="O5" i="5"/>
  <c r="Q5" i="5" s="1"/>
  <c r="G5" i="5"/>
  <c r="H5" i="5"/>
  <c r="O13" i="5"/>
  <c r="Q13" i="5" s="1"/>
  <c r="G13" i="5"/>
  <c r="H13" i="5"/>
  <c r="G16" i="5" l="1"/>
  <c r="M19" i="13"/>
  <c r="M20" i="14"/>
  <c r="J20" i="11"/>
  <c r="K20" i="11"/>
  <c r="F19" i="11"/>
  <c r="G20" i="11" s="1"/>
  <c r="Z28" i="11"/>
  <c r="Y28" i="11"/>
  <c r="N16" i="14"/>
  <c r="J15" i="14" a="1"/>
  <c r="J15" i="14" s="1"/>
  <c r="N7" i="10"/>
  <c r="O7" i="10" s="1"/>
  <c r="O6" i="10"/>
  <c r="J16" i="13" a="1"/>
  <c r="J16" i="13" s="1"/>
  <c r="N17" i="13"/>
  <c r="U4" i="3"/>
  <c r="T2" i="3"/>
  <c r="U2" i="3" s="1"/>
  <c r="U30" i="11"/>
  <c r="T30" i="11"/>
  <c r="G67" i="14"/>
  <c r="G68" i="14" s="1"/>
  <c r="G69" i="14" s="1"/>
  <c r="G70" i="14" s="1"/>
  <c r="G71" i="14" s="1"/>
  <c r="G72" i="14" s="1"/>
  <c r="G73" i="14" s="1"/>
  <c r="G74" i="14" s="1"/>
  <c r="G75" i="14" s="1"/>
  <c r="G76" i="14" s="1"/>
  <c r="G77" i="14" s="1"/>
  <c r="G78" i="14" s="1"/>
  <c r="G79" i="14" s="1"/>
  <c r="G80" i="14" s="1"/>
  <c r="G81" i="14" s="1"/>
  <c r="G82" i="14" s="1"/>
  <c r="G83" i="14" s="1"/>
  <c r="G84" i="14" s="1"/>
  <c r="G85" i="14" s="1"/>
  <c r="G86" i="14" s="1"/>
  <c r="G87" i="14" s="1"/>
  <c r="G88" i="14" s="1"/>
  <c r="G89" i="14" s="1"/>
  <c r="G90" i="14" s="1"/>
  <c r="G91" i="14" s="1"/>
  <c r="G92" i="14" s="1"/>
  <c r="G93" i="14" s="1"/>
  <c r="G94" i="14" s="1"/>
  <c r="G95" i="14" s="1"/>
  <c r="G96" i="14" s="1"/>
  <c r="G97" i="14" s="1"/>
  <c r="G98" i="14" s="1"/>
  <c r="G99" i="14" s="1"/>
  <c r="G100" i="14" s="1"/>
  <c r="G101" i="14" s="1"/>
  <c r="G102" i="14" s="1"/>
  <c r="G103" i="14" s="1"/>
  <c r="G104" i="14" s="1"/>
  <c r="G105" i="14" s="1"/>
  <c r="G106" i="14" s="1"/>
  <c r="G107" i="14" s="1"/>
  <c r="G108" i="14" s="1"/>
  <c r="G109" i="14" s="1"/>
  <c r="G110" i="14" s="1"/>
  <c r="G111" i="14" s="1"/>
  <c r="G112" i="14" s="1"/>
  <c r="G113" i="14" s="1"/>
  <c r="G114" i="14" s="1"/>
  <c r="G115" i="14" s="1"/>
  <c r="G116" i="14" s="1"/>
  <c r="G117" i="14" s="1"/>
  <c r="G118" i="14" s="1"/>
  <c r="G119" i="14" s="1"/>
  <c r="G120" i="14" s="1"/>
  <c r="G121" i="14" s="1"/>
  <c r="G122" i="14" s="1"/>
  <c r="G123" i="14" s="1"/>
  <c r="G124" i="14" s="1"/>
  <c r="G125" i="14" s="1"/>
  <c r="G126" i="14" s="1"/>
  <c r="G127" i="14" s="1"/>
  <c r="G128" i="14" s="1"/>
  <c r="G129" i="14" s="1"/>
  <c r="G130" i="14" s="1"/>
  <c r="G131" i="14" s="1"/>
  <c r="G132" i="14" s="1"/>
  <c r="G133" i="14" s="1"/>
  <c r="G134" i="14" s="1"/>
  <c r="G135" i="14" s="1"/>
  <c r="G136" i="14" s="1"/>
  <c r="G137" i="14" s="1"/>
  <c r="G138" i="14" s="1"/>
  <c r="G139" i="14" s="1"/>
  <c r="G140" i="14" s="1"/>
  <c r="G141" i="14" s="1"/>
  <c r="G142" i="14" s="1"/>
  <c r="G143" i="14" s="1"/>
  <c r="G144" i="14" s="1"/>
  <c r="G145" i="14" s="1"/>
  <c r="G146" i="14" s="1"/>
  <c r="G147" i="14" s="1"/>
  <c r="G148" i="14" s="1"/>
  <c r="G149" i="14" s="1"/>
  <c r="G150" i="14" s="1"/>
  <c r="G151" i="14" s="1"/>
  <c r="G152" i="14" s="1"/>
  <c r="G153" i="14" s="1"/>
  <c r="G154" i="14" s="1"/>
  <c r="G155" i="14" s="1"/>
  <c r="G156" i="14" s="1"/>
  <c r="G157" i="14" s="1"/>
  <c r="G158" i="14" s="1"/>
  <c r="G159" i="14" s="1"/>
  <c r="G160" i="14" s="1"/>
  <c r="G161" i="14" s="1"/>
  <c r="G162" i="14" s="1"/>
  <c r="G163" i="14" s="1"/>
  <c r="G164" i="14" s="1"/>
  <c r="G165" i="14" s="1"/>
  <c r="G166" i="14" s="1"/>
  <c r="G167" i="14" s="1"/>
  <c r="G168" i="14" s="1"/>
  <c r="G169" i="14" s="1"/>
  <c r="G170" i="14" s="1"/>
  <c r="G171" i="14" s="1"/>
  <c r="G172" i="14" s="1"/>
  <c r="G173" i="14" s="1"/>
  <c r="G174" i="14" s="1"/>
  <c r="G175" i="14" s="1"/>
  <c r="G176" i="14" s="1"/>
  <c r="G177" i="14" s="1"/>
  <c r="G178" i="14" s="1"/>
  <c r="G179" i="14" s="1"/>
  <c r="G180" i="14" s="1"/>
  <c r="G181" i="14" s="1"/>
  <c r="G182" i="14" s="1"/>
  <c r="G183" i="14" s="1"/>
  <c r="G184" i="14" s="1"/>
  <c r="G185" i="14" s="1"/>
  <c r="G186" i="14" s="1"/>
  <c r="G187" i="14" s="1"/>
  <c r="G188" i="14" s="1"/>
  <c r="G189" i="14" s="1"/>
  <c r="G190" i="14" s="1"/>
  <c r="G191" i="14" s="1"/>
  <c r="G192" i="14" s="1"/>
  <c r="G193" i="14" s="1"/>
  <c r="G194" i="14" s="1"/>
  <c r="G195" i="14" s="1"/>
  <c r="G196" i="14" s="1"/>
  <c r="G197" i="14" s="1"/>
  <c r="G198" i="14" s="1"/>
  <c r="G199" i="14" s="1"/>
  <c r="G200" i="14" s="1"/>
  <c r="G201" i="14" s="1"/>
  <c r="G202" i="14" s="1"/>
  <c r="G203" i="14" s="1"/>
  <c r="G204" i="14" s="1"/>
  <c r="G205" i="14" s="1"/>
  <c r="G206" i="14" s="1"/>
  <c r="G207" i="14" s="1"/>
  <c r="G208" i="14" s="1"/>
  <c r="G209" i="14" s="1"/>
  <c r="G210" i="14" s="1"/>
  <c r="G211" i="14" s="1"/>
  <c r="G212" i="14" s="1"/>
  <c r="G213" i="14" s="1"/>
  <c r="G214" i="14" s="1"/>
  <c r="G215" i="14" s="1"/>
  <c r="G216" i="14" s="1"/>
  <c r="G217" i="14" s="1"/>
  <c r="G218" i="14" s="1"/>
  <c r="G219" i="14" s="1"/>
  <c r="G220" i="14" s="1"/>
  <c r="G221" i="14" s="1"/>
  <c r="G222" i="14" s="1"/>
  <c r="G223" i="14" s="1"/>
  <c r="G224" i="14" s="1"/>
  <c r="G225" i="14" s="1"/>
  <c r="G226" i="14" s="1"/>
  <c r="G227" i="14" s="1"/>
  <c r="G228" i="14" s="1"/>
  <c r="G229" i="14" s="1"/>
  <c r="G230" i="14" s="1"/>
  <c r="G231" i="14" s="1"/>
  <c r="G232" i="14" s="1"/>
  <c r="G233" i="14" s="1"/>
  <c r="G234" i="14" s="1"/>
  <c r="G235" i="14" s="1"/>
  <c r="G236" i="14" s="1"/>
  <c r="G237" i="14" s="1"/>
  <c r="G238" i="14" s="1"/>
  <c r="G239" i="14" s="1"/>
  <c r="G240" i="14" s="1"/>
  <c r="G241" i="14" s="1"/>
  <c r="G242" i="14" s="1"/>
  <c r="G243" i="14" s="1"/>
  <c r="G244" i="14" s="1"/>
  <c r="G245" i="14" s="1"/>
  <c r="G246" i="14" s="1"/>
  <c r="G247" i="14" s="1"/>
  <c r="G248" i="14" s="1"/>
  <c r="G249" i="14" s="1"/>
  <c r="G250" i="14" s="1"/>
  <c r="G251" i="14" s="1"/>
  <c r="G252" i="14" s="1"/>
  <c r="G253" i="14" s="1"/>
  <c r="G254" i="14" s="1"/>
  <c r="G255" i="14" s="1"/>
  <c r="G256" i="14" s="1"/>
  <c r="G257" i="14" s="1"/>
  <c r="G258" i="14" s="1"/>
  <c r="G259" i="14" s="1"/>
  <c r="G260" i="14" s="1"/>
  <c r="G261" i="14" s="1"/>
  <c r="G262" i="14" s="1"/>
  <c r="G263" i="14" s="1"/>
  <c r="G264" i="14" s="1"/>
  <c r="G265" i="14" s="1"/>
  <c r="G266" i="14" s="1"/>
  <c r="G267" i="14" s="1"/>
  <c r="G268" i="14" s="1"/>
  <c r="G269" i="14" s="1"/>
  <c r="G270" i="14" s="1"/>
  <c r="G271" i="14" s="1"/>
  <c r="G272" i="14" s="1"/>
  <c r="G273" i="14" s="1"/>
  <c r="G274" i="14" s="1"/>
  <c r="G275" i="14" s="1"/>
  <c r="G276" i="14" s="1"/>
  <c r="G277" i="14" s="1"/>
  <c r="G278" i="14" s="1"/>
  <c r="G279" i="14" s="1"/>
  <c r="G280" i="14" s="1"/>
  <c r="G281" i="14" s="1"/>
  <c r="G282" i="14" s="1"/>
  <c r="G283" i="14" s="1"/>
  <c r="G284" i="14" s="1"/>
  <c r="G285" i="14" s="1"/>
  <c r="G286" i="14" s="1"/>
  <c r="G287" i="14" s="1"/>
  <c r="G288" i="14" s="1"/>
  <c r="G289" i="14" s="1"/>
  <c r="G290" i="14" s="1"/>
  <c r="G291" i="14" s="1"/>
  <c r="G292" i="14" s="1"/>
  <c r="G293" i="14" s="1"/>
  <c r="G294" i="14" s="1"/>
  <c r="G295" i="14" s="1"/>
  <c r="G296" i="14" s="1"/>
  <c r="G297" i="14" s="1"/>
  <c r="G298" i="14" s="1"/>
  <c r="G299" i="14" s="1"/>
  <c r="G300" i="14" s="1"/>
  <c r="G301" i="14" s="1"/>
  <c r="G302" i="14" s="1"/>
  <c r="G303" i="14" s="1"/>
  <c r="G304" i="14" s="1"/>
  <c r="G305" i="14" s="1"/>
  <c r="G306" i="14" s="1"/>
  <c r="G307" i="14" s="1"/>
  <c r="G308" i="14" s="1"/>
  <c r="G309" i="14" s="1"/>
  <c r="G310" i="14" s="1"/>
  <c r="G311" i="14" s="1"/>
  <c r="G312" i="14" s="1"/>
  <c r="G313" i="14" s="1"/>
  <c r="G314" i="14" s="1"/>
  <c r="G315" i="14" s="1"/>
  <c r="G316" i="14" s="1"/>
  <c r="G317" i="14" s="1"/>
  <c r="G318" i="14" s="1"/>
  <c r="G319" i="14" s="1"/>
  <c r="G320" i="14" s="1"/>
  <c r="G321" i="14" s="1"/>
  <c r="G322" i="14" s="1"/>
  <c r="G323" i="14" s="1"/>
  <c r="G324" i="14" s="1"/>
  <c r="G325" i="14" s="1"/>
  <c r="G326" i="14" s="1"/>
  <c r="G327" i="14" s="1"/>
  <c r="G328" i="14" s="1"/>
  <c r="G329" i="14" s="1"/>
  <c r="G330" i="14" s="1"/>
  <c r="G331" i="14" s="1"/>
  <c r="G332" i="14" s="1"/>
  <c r="G333" i="14" s="1"/>
  <c r="G334" i="14" s="1"/>
  <c r="G335" i="14" s="1"/>
  <c r="G336" i="14" s="1"/>
  <c r="G337" i="14" s="1"/>
  <c r="G338" i="14" s="1"/>
  <c r="G339" i="14" s="1"/>
  <c r="G340" i="14" s="1"/>
  <c r="G341" i="14" s="1"/>
  <c r="G342" i="14" s="1"/>
  <c r="G343" i="14" s="1"/>
  <c r="G344" i="14" s="1"/>
  <c r="G345" i="14" s="1"/>
  <c r="G346" i="14" s="1"/>
  <c r="G347" i="14" s="1"/>
  <c r="G348" i="14" s="1"/>
  <c r="G349" i="14" s="1"/>
  <c r="G350" i="14" s="1"/>
  <c r="G351" i="14" s="1"/>
  <c r="G352" i="14" s="1"/>
  <c r="G353" i="14" s="1"/>
  <c r="G354" i="14" s="1"/>
  <c r="G355" i="14" s="1"/>
  <c r="G356" i="14" s="1"/>
  <c r="G357" i="14" s="1"/>
  <c r="G358" i="14" s="1"/>
  <c r="G359" i="14" s="1"/>
  <c r="G360" i="14" s="1"/>
  <c r="G361" i="14" s="1"/>
  <c r="G362" i="14" s="1"/>
  <c r="G363" i="14" s="1"/>
  <c r="G364" i="14" s="1"/>
  <c r="G365" i="14" s="1"/>
  <c r="G366" i="14" s="1"/>
  <c r="G367" i="14" s="1"/>
  <c r="G368" i="14" s="1"/>
  <c r="G369" i="14" s="1"/>
  <c r="G370" i="14" s="1"/>
  <c r="G371" i="14" s="1"/>
  <c r="G372" i="14" s="1"/>
  <c r="G373" i="14" s="1"/>
  <c r="G374" i="14" s="1"/>
  <c r="G375" i="14" s="1"/>
  <c r="G376" i="14" s="1"/>
  <c r="G377" i="14" s="1"/>
  <c r="G378" i="14" s="1"/>
  <c r="G379" i="14" s="1"/>
  <c r="G380" i="14" s="1"/>
  <c r="G381" i="14" s="1"/>
  <c r="G382" i="14" s="1"/>
  <c r="G383" i="14" s="1"/>
  <c r="G384" i="14" s="1"/>
  <c r="G385" i="14" s="1"/>
  <c r="G386" i="14" s="1"/>
  <c r="G387" i="14" s="1"/>
  <c r="G388" i="14" s="1"/>
  <c r="G389" i="14" s="1"/>
  <c r="G390" i="14" s="1"/>
  <c r="G391" i="14" s="1"/>
  <c r="G392" i="14" s="1"/>
  <c r="G393" i="14" s="1"/>
  <c r="G394" i="14" s="1"/>
  <c r="G395" i="14" s="1"/>
  <c r="G396" i="14" s="1"/>
  <c r="G397" i="14" s="1"/>
  <c r="G398" i="14" s="1"/>
  <c r="G399" i="14" s="1"/>
  <c r="G400" i="14" s="1"/>
  <c r="G401" i="14" s="1"/>
  <c r="G402" i="14" s="1"/>
  <c r="G403" i="14" s="1"/>
  <c r="G404" i="14" s="1"/>
  <c r="G405" i="14" s="1"/>
  <c r="G406" i="14" s="1"/>
  <c r="G407" i="14" s="1"/>
  <c r="G408" i="14" s="1"/>
  <c r="G409" i="14" s="1"/>
  <c r="G410" i="14" s="1"/>
  <c r="G411" i="14" s="1"/>
  <c r="G412" i="14" s="1"/>
  <c r="G413" i="14" s="1"/>
  <c r="G414" i="14" s="1"/>
  <c r="G415" i="14" s="1"/>
  <c r="G416" i="14" s="1"/>
  <c r="G417" i="14" s="1"/>
  <c r="G418" i="14" s="1"/>
  <c r="G419" i="14" s="1"/>
  <c r="G420" i="14" s="1"/>
  <c r="G421" i="14" s="1"/>
  <c r="G422" i="14" s="1"/>
  <c r="G423" i="14" s="1"/>
  <c r="G424" i="14" s="1"/>
  <c r="G425" i="14" s="1"/>
  <c r="G426" i="14" s="1"/>
  <c r="G427" i="14" s="1"/>
  <c r="G428" i="14" s="1"/>
  <c r="G429" i="14" s="1"/>
  <c r="G430" i="14" s="1"/>
  <c r="G431" i="14" s="1"/>
  <c r="G432" i="14" s="1"/>
  <c r="G433" i="14" s="1"/>
  <c r="G434" i="14" s="1"/>
  <c r="G435" i="14" s="1"/>
  <c r="G436" i="14" s="1"/>
  <c r="G437" i="14" s="1"/>
  <c r="G438" i="14" s="1"/>
  <c r="G439" i="14" s="1"/>
  <c r="G440" i="14" s="1"/>
  <c r="G441" i="14" s="1"/>
  <c r="G442" i="14" s="1"/>
  <c r="G443" i="14" s="1"/>
  <c r="G444" i="14" s="1"/>
  <c r="G445" i="14" s="1"/>
  <c r="G446" i="14" s="1"/>
  <c r="G447" i="14" s="1"/>
  <c r="G448" i="14" s="1"/>
  <c r="G449" i="14" s="1"/>
  <c r="G450" i="14" s="1"/>
  <c r="G451" i="14" s="1"/>
  <c r="G452" i="14" s="1"/>
  <c r="G453" i="14" s="1"/>
  <c r="G454" i="14" s="1"/>
  <c r="G455" i="14" s="1"/>
  <c r="G456" i="14" s="1"/>
  <c r="G457" i="14" s="1"/>
  <c r="G458" i="14" s="1"/>
  <c r="G459" i="14" s="1"/>
  <c r="G460" i="14" s="1"/>
  <c r="G461" i="14" s="1"/>
  <c r="G462" i="14" s="1"/>
  <c r="G463" i="14" s="1"/>
  <c r="G464" i="14" s="1"/>
  <c r="G465" i="14" s="1"/>
  <c r="G466" i="14" s="1"/>
  <c r="G467" i="14" s="1"/>
  <c r="G468" i="14" s="1"/>
  <c r="G469" i="14" s="1"/>
  <c r="G470" i="14" s="1"/>
  <c r="G471" i="14" s="1"/>
  <c r="G472" i="14" s="1"/>
  <c r="G473" i="14" s="1"/>
  <c r="G474" i="14" s="1"/>
  <c r="G475" i="14" s="1"/>
  <c r="G476" i="14" s="1"/>
  <c r="G477" i="14" s="1"/>
  <c r="G478" i="14" s="1"/>
  <c r="G479" i="14" s="1"/>
  <c r="G480" i="14" s="1"/>
  <c r="G481" i="14" s="1"/>
  <c r="G482" i="14" s="1"/>
  <c r="G483" i="14" s="1"/>
  <c r="G484" i="14" s="1"/>
  <c r="G485" i="14" s="1"/>
  <c r="G486" i="14" s="1"/>
  <c r="G487" i="14" s="1"/>
  <c r="G488" i="14" s="1"/>
  <c r="G489" i="14" s="1"/>
  <c r="G490" i="14" s="1"/>
  <c r="G491" i="14" s="1"/>
  <c r="G492" i="14" s="1"/>
  <c r="G493" i="14" s="1"/>
  <c r="G494" i="14" s="1"/>
  <c r="G495" i="14" s="1"/>
  <c r="G496" i="14" s="1"/>
  <c r="G497" i="14" s="1"/>
  <c r="G498" i="14" s="1"/>
  <c r="G499" i="14" s="1"/>
  <c r="G500" i="14" s="1"/>
  <c r="G501" i="14" s="1"/>
  <c r="G502" i="14" s="1"/>
  <c r="G503" i="14" s="1"/>
  <c r="G504" i="14" s="1"/>
  <c r="G505" i="14" s="1"/>
  <c r="G506" i="14" s="1"/>
  <c r="G507" i="14" s="1"/>
  <c r="G508" i="14" s="1"/>
  <c r="G509" i="14" s="1"/>
  <c r="G510" i="14" s="1"/>
  <c r="G511" i="14" s="1"/>
  <c r="G512" i="14" s="1"/>
  <c r="G513" i="14" s="1"/>
  <c r="G514" i="14" s="1"/>
  <c r="G515" i="14" s="1"/>
  <c r="G516" i="14" s="1"/>
  <c r="G517" i="14" s="1"/>
  <c r="G518" i="14" s="1"/>
  <c r="G519" i="14" s="1"/>
  <c r="G520" i="14" s="1"/>
  <c r="G521" i="14" s="1"/>
  <c r="G522" i="14" s="1"/>
  <c r="G523" i="14" s="1"/>
  <c r="G524" i="14" s="1"/>
  <c r="G525" i="14" s="1"/>
  <c r="G526" i="14" s="1"/>
  <c r="G527" i="14" s="1"/>
  <c r="G528" i="14" s="1"/>
  <c r="G529" i="14" s="1"/>
  <c r="G530" i="14" s="1"/>
  <c r="G531" i="14" s="1"/>
  <c r="G532" i="14" s="1"/>
  <c r="G533" i="14" s="1"/>
  <c r="G534" i="14" s="1"/>
  <c r="G535" i="14" s="1"/>
  <c r="G536" i="14" s="1"/>
  <c r="G537" i="14" s="1"/>
  <c r="G538" i="14" s="1"/>
  <c r="G539" i="14" s="1"/>
  <c r="G540" i="14" s="1"/>
  <c r="G541" i="14" s="1"/>
  <c r="G542" i="14" s="1"/>
  <c r="G543" i="14" s="1"/>
  <c r="G544" i="14" s="1"/>
  <c r="G545" i="14" s="1"/>
  <c r="G546" i="14" s="1"/>
  <c r="G547" i="14" s="1"/>
  <c r="G548" i="14" s="1"/>
  <c r="G549" i="14" s="1"/>
  <c r="G550" i="14" s="1"/>
  <c r="G551" i="14" s="1"/>
  <c r="G552" i="14" s="1"/>
  <c r="G553" i="14" s="1"/>
  <c r="G554" i="14" s="1"/>
  <c r="G555" i="14" s="1"/>
  <c r="G556" i="14" s="1"/>
  <c r="G557" i="14" s="1"/>
  <c r="G558" i="14" s="1"/>
  <c r="G559" i="14" s="1"/>
  <c r="G560" i="14" s="1"/>
  <c r="G561" i="14" s="1"/>
  <c r="G562" i="14" s="1"/>
  <c r="G563" i="14" s="1"/>
  <c r="G564" i="14" s="1"/>
  <c r="G565" i="14" s="1"/>
  <c r="G566" i="14" s="1"/>
  <c r="G567" i="14" s="1"/>
  <c r="G568" i="14" s="1"/>
  <c r="G569" i="14" s="1"/>
  <c r="G570" i="14" s="1"/>
  <c r="G571" i="14" s="1"/>
  <c r="G572" i="14" s="1"/>
  <c r="G573" i="14" s="1"/>
  <c r="G574" i="14" s="1"/>
  <c r="G575" i="14" s="1"/>
  <c r="G576" i="14" s="1"/>
  <c r="G577" i="14" s="1"/>
  <c r="G578" i="14" s="1"/>
  <c r="G579" i="14" s="1"/>
  <c r="G580" i="14" s="1"/>
  <c r="G581" i="14" s="1"/>
  <c r="G582" i="14" s="1"/>
  <c r="G583" i="14" s="1"/>
  <c r="G584" i="14" s="1"/>
  <c r="G585" i="14" s="1"/>
  <c r="G586" i="14" s="1"/>
  <c r="G587" i="14" s="1"/>
  <c r="G588" i="14" s="1"/>
  <c r="G589" i="14" s="1"/>
  <c r="G590" i="14" s="1"/>
  <c r="G591" i="14" s="1"/>
  <c r="G592" i="14" s="1"/>
  <c r="G593" i="14" s="1"/>
  <c r="G594" i="14" s="1"/>
  <c r="G595" i="14" s="1"/>
  <c r="G596" i="14" s="1"/>
  <c r="G597" i="14" s="1"/>
  <c r="G598" i="14" s="1"/>
  <c r="G599" i="14" s="1"/>
  <c r="G600" i="14" s="1"/>
  <c r="G601" i="14" s="1"/>
  <c r="G602" i="14" s="1"/>
  <c r="G603" i="14" s="1"/>
  <c r="G604" i="14" s="1"/>
  <c r="G605" i="14" s="1"/>
  <c r="G606" i="14" s="1"/>
  <c r="G607" i="14" s="1"/>
  <c r="G608" i="14" s="1"/>
  <c r="G609" i="14" s="1"/>
  <c r="G610" i="14" s="1"/>
  <c r="G611" i="14" s="1"/>
  <c r="G612" i="14" s="1"/>
  <c r="G613" i="14" s="1"/>
  <c r="G614" i="14" s="1"/>
  <c r="G615" i="14" s="1"/>
  <c r="G616" i="14" s="1"/>
  <c r="G617" i="14" s="1"/>
  <c r="G618" i="14" s="1"/>
  <c r="G619" i="14" s="1"/>
  <c r="G620" i="14" s="1"/>
  <c r="G621" i="14" s="1"/>
  <c r="G622" i="14" s="1"/>
  <c r="G623" i="14" s="1"/>
  <c r="G624" i="14" s="1"/>
  <c r="G625" i="14" s="1"/>
  <c r="G626" i="14" s="1"/>
  <c r="G627" i="14" s="1"/>
  <c r="G628" i="14" s="1"/>
  <c r="G629" i="14" s="1"/>
  <c r="G630" i="14" s="1"/>
  <c r="G631" i="14" s="1"/>
  <c r="G632" i="14" s="1"/>
  <c r="G633" i="14" s="1"/>
  <c r="G634" i="14" s="1"/>
  <c r="G635" i="14" s="1"/>
  <c r="G636" i="14" s="1"/>
  <c r="G637" i="14" s="1"/>
  <c r="G638" i="14" s="1"/>
  <c r="G639" i="14" s="1"/>
  <c r="G640" i="14" s="1"/>
  <c r="G641" i="14" s="1"/>
  <c r="G642" i="14" s="1"/>
  <c r="G643" i="14" s="1"/>
  <c r="G644" i="14" s="1"/>
  <c r="G645" i="14" s="1"/>
  <c r="G646" i="14" s="1"/>
  <c r="G647" i="14" s="1"/>
  <c r="G648" i="14" s="1"/>
  <c r="G649" i="14" s="1"/>
  <c r="G650" i="14" s="1"/>
  <c r="G651" i="14" s="1"/>
  <c r="G652" i="14" s="1"/>
  <c r="G653" i="14" s="1"/>
  <c r="G654" i="14" s="1"/>
  <c r="G655" i="14" s="1"/>
  <c r="G656" i="14" s="1"/>
  <c r="G657" i="14" s="1"/>
  <c r="G658" i="14" s="1"/>
  <c r="G659" i="14" s="1"/>
  <c r="G660" i="14" s="1"/>
  <c r="G661" i="14" s="1"/>
  <c r="G662" i="14" s="1"/>
  <c r="G663" i="14" s="1"/>
  <c r="G664" i="14" s="1"/>
  <c r="G665" i="14" s="1"/>
  <c r="G666" i="14" s="1"/>
  <c r="G667" i="14" s="1"/>
  <c r="G668" i="14" s="1"/>
  <c r="G669" i="14" s="1"/>
  <c r="G670" i="14" s="1"/>
  <c r="G671" i="14" s="1"/>
  <c r="G672" i="14" s="1"/>
  <c r="G673" i="14" s="1"/>
  <c r="G674" i="14" s="1"/>
  <c r="G675" i="14" s="1"/>
  <c r="G676" i="14" s="1"/>
  <c r="G677" i="14" s="1"/>
  <c r="G678" i="14" s="1"/>
  <c r="G679" i="14" s="1"/>
  <c r="G680" i="14" s="1"/>
  <c r="G681" i="14" s="1"/>
  <c r="G682" i="14" s="1"/>
  <c r="G683" i="14" s="1"/>
  <c r="G684" i="14" s="1"/>
  <c r="G685" i="14" s="1"/>
  <c r="G686" i="14" s="1"/>
  <c r="G687" i="14" s="1"/>
  <c r="G688" i="14" s="1"/>
  <c r="G689" i="14" s="1"/>
  <c r="G690" i="14" s="1"/>
  <c r="G691" i="14" s="1"/>
  <c r="G692" i="14" s="1"/>
  <c r="G693" i="14" s="1"/>
  <c r="G694" i="14" s="1"/>
  <c r="G695" i="14" s="1"/>
  <c r="G696" i="14" s="1"/>
  <c r="G697" i="14" s="1"/>
  <c r="G698" i="14" s="1"/>
  <c r="G699" i="14" s="1"/>
  <c r="G700" i="14" s="1"/>
  <c r="G701" i="14" s="1"/>
  <c r="G702" i="14" s="1"/>
  <c r="G703" i="14" s="1"/>
  <c r="G704" i="14" s="1"/>
  <c r="G705" i="14" s="1"/>
  <c r="G706" i="14" s="1"/>
  <c r="G707" i="14" s="1"/>
  <c r="G708" i="14" s="1"/>
  <c r="G709" i="14" s="1"/>
  <c r="G710" i="14" s="1"/>
  <c r="G711" i="14" s="1"/>
  <c r="G712" i="14" s="1"/>
  <c r="G713" i="14" s="1"/>
  <c r="G714" i="14" s="1"/>
  <c r="G715" i="14" s="1"/>
  <c r="G716" i="14" s="1"/>
  <c r="G717" i="14" s="1"/>
  <c r="G718" i="14" s="1"/>
  <c r="G719" i="14" s="1"/>
  <c r="G720" i="14" s="1"/>
  <c r="G721" i="14" s="1"/>
  <c r="G722" i="14" s="1"/>
  <c r="G723" i="14" s="1"/>
  <c r="G724" i="14" s="1"/>
  <c r="G725" i="14" s="1"/>
  <c r="G726" i="14" s="1"/>
  <c r="G727" i="14" s="1"/>
  <c r="G728" i="14" s="1"/>
  <c r="G729" i="14" s="1"/>
  <c r="G730" i="14" s="1"/>
  <c r="G731" i="14" s="1"/>
  <c r="G732" i="14" s="1"/>
  <c r="G733" i="14" s="1"/>
  <c r="G734" i="14" s="1"/>
  <c r="G735" i="14" s="1"/>
  <c r="G736" i="14" s="1"/>
  <c r="G737" i="14" s="1"/>
  <c r="G738" i="14" s="1"/>
  <c r="G739" i="14" s="1"/>
  <c r="G740" i="14" s="1"/>
  <c r="G741" i="14" s="1"/>
  <c r="G742" i="14" s="1"/>
  <c r="G743" i="14" s="1"/>
  <c r="G744" i="14" s="1"/>
  <c r="G745" i="14" s="1"/>
  <c r="G746" i="14" s="1"/>
  <c r="G747" i="14" s="1"/>
  <c r="G748" i="14" s="1"/>
  <c r="G749" i="14" s="1"/>
  <c r="G750" i="14" s="1"/>
  <c r="G751" i="14" s="1"/>
  <c r="G752" i="14" s="1"/>
  <c r="G753" i="14" s="1"/>
  <c r="G754" i="14" s="1"/>
  <c r="G755" i="14" s="1"/>
  <c r="G756" i="14" s="1"/>
  <c r="G757" i="14" s="1"/>
  <c r="G758" i="14" s="1"/>
  <c r="G759" i="14" s="1"/>
  <c r="G760" i="14" s="1"/>
  <c r="G761" i="14" s="1"/>
  <c r="G762" i="14" s="1"/>
  <c r="G763" i="14" s="1"/>
  <c r="G764" i="14" s="1"/>
  <c r="G765" i="14" s="1"/>
  <c r="G766" i="14" s="1"/>
  <c r="G767" i="14" s="1"/>
  <c r="G768" i="14" s="1"/>
  <c r="G769" i="14" s="1"/>
  <c r="G770" i="14" s="1"/>
  <c r="G771" i="14" s="1"/>
  <c r="G772" i="14" s="1"/>
  <c r="G773" i="14" s="1"/>
  <c r="G774" i="14" s="1"/>
  <c r="G775" i="14" s="1"/>
  <c r="G776" i="14" s="1"/>
  <c r="G777" i="14" s="1"/>
  <c r="G778" i="14" s="1"/>
  <c r="G779" i="14" s="1"/>
  <c r="G780" i="14" s="1"/>
  <c r="G781" i="14" s="1"/>
  <c r="G782" i="14" s="1"/>
  <c r="G783" i="14" s="1"/>
  <c r="G784" i="14" s="1"/>
  <c r="G785" i="14" s="1"/>
  <c r="G786" i="14" s="1"/>
  <c r="G787" i="14" s="1"/>
  <c r="G788" i="14" s="1"/>
  <c r="G789" i="14" s="1"/>
  <c r="G790" i="14" s="1"/>
  <c r="G791" i="14" s="1"/>
  <c r="G792" i="14" s="1"/>
  <c r="G793" i="14" s="1"/>
  <c r="G794" i="14" s="1"/>
  <c r="G795" i="14" s="1"/>
  <c r="G796" i="14" s="1"/>
  <c r="G797" i="14" s="1"/>
  <c r="G798" i="14" s="1"/>
  <c r="G799" i="14" s="1"/>
  <c r="G800" i="14" s="1"/>
  <c r="G801" i="14" s="1"/>
  <c r="G802" i="14" s="1"/>
  <c r="G803" i="14" s="1"/>
  <c r="G804" i="14" s="1"/>
  <c r="G805" i="14" s="1"/>
  <c r="G806" i="14" s="1"/>
  <c r="G807" i="14" s="1"/>
  <c r="G808" i="14" s="1"/>
  <c r="G809" i="14" s="1"/>
  <c r="G810" i="14" s="1"/>
  <c r="G811" i="14" s="1"/>
  <c r="G812" i="14" s="1"/>
  <c r="G813" i="14" s="1"/>
  <c r="G814" i="14" s="1"/>
  <c r="G815" i="14" s="1"/>
  <c r="G816" i="14" s="1"/>
  <c r="G817" i="14" s="1"/>
  <c r="G818" i="14" s="1"/>
  <c r="G819" i="14" s="1"/>
  <c r="G820" i="14" s="1"/>
  <c r="G821" i="14" s="1"/>
  <c r="G822" i="14" s="1"/>
  <c r="G823" i="14" s="1"/>
  <c r="G824" i="14" s="1"/>
  <c r="G825" i="14" s="1"/>
  <c r="G826" i="14" s="1"/>
  <c r="G827" i="14" s="1"/>
  <c r="G828" i="14" s="1"/>
  <c r="G829" i="14" s="1"/>
  <c r="G830" i="14" s="1"/>
  <c r="G831" i="14" s="1"/>
  <c r="G832" i="14" s="1"/>
  <c r="G833" i="14" s="1"/>
  <c r="G834" i="14" s="1"/>
  <c r="G835" i="14" s="1"/>
  <c r="G836" i="14" s="1"/>
  <c r="G837" i="14" s="1"/>
  <c r="G838" i="14" s="1"/>
  <c r="G839" i="14" s="1"/>
  <c r="G840" i="14" s="1"/>
  <c r="G841" i="14" s="1"/>
  <c r="G842" i="14" s="1"/>
  <c r="G843" i="14" s="1"/>
  <c r="G844" i="14" s="1"/>
  <c r="G845" i="14" s="1"/>
  <c r="G846" i="14" s="1"/>
  <c r="G847" i="14" s="1"/>
  <c r="G848" i="14" s="1"/>
  <c r="G849" i="14" s="1"/>
  <c r="G850" i="14" s="1"/>
  <c r="G851" i="14" s="1"/>
  <c r="G852" i="14" s="1"/>
  <c r="G853" i="14" s="1"/>
  <c r="G854" i="14" s="1"/>
  <c r="G855" i="14" s="1"/>
  <c r="G856" i="14" s="1"/>
  <c r="G857" i="14" s="1"/>
  <c r="G858" i="14" s="1"/>
  <c r="G859" i="14" s="1"/>
  <c r="G860" i="14" s="1"/>
  <c r="G861" i="14" s="1"/>
  <c r="G862" i="14" s="1"/>
  <c r="G863" i="14" s="1"/>
  <c r="G864" i="14" s="1"/>
  <c r="G865" i="14" s="1"/>
  <c r="G866" i="14" s="1"/>
  <c r="G867" i="14" s="1"/>
  <c r="G868" i="14" s="1"/>
  <c r="G869" i="14" s="1"/>
  <c r="G870" i="14" s="1"/>
  <c r="G871" i="14" s="1"/>
  <c r="G872" i="14" s="1"/>
  <c r="G873" i="14" s="1"/>
  <c r="G874" i="14" s="1"/>
  <c r="G875" i="14" s="1"/>
  <c r="G876" i="14" s="1"/>
  <c r="G877" i="14" s="1"/>
  <c r="G878" i="14" s="1"/>
  <c r="G879" i="14" s="1"/>
  <c r="G880" i="14" s="1"/>
  <c r="G881" i="14" s="1"/>
  <c r="G882" i="14" s="1"/>
  <c r="G883" i="14" s="1"/>
  <c r="G884" i="14" s="1"/>
  <c r="G885" i="14" s="1"/>
  <c r="G886" i="14" s="1"/>
  <c r="G887" i="14" s="1"/>
  <c r="G888" i="14" s="1"/>
  <c r="G889" i="14" s="1"/>
  <c r="G890" i="14" s="1"/>
  <c r="G891" i="14" s="1"/>
  <c r="G892" i="14" s="1"/>
  <c r="G893" i="14" s="1"/>
  <c r="G894" i="14" s="1"/>
  <c r="G895" i="14" s="1"/>
  <c r="G896" i="14" s="1"/>
  <c r="G897" i="14" s="1"/>
  <c r="G898" i="14" s="1"/>
  <c r="G899" i="14" s="1"/>
  <c r="G900" i="14" s="1"/>
  <c r="G901" i="14" s="1"/>
  <c r="G902" i="14" s="1"/>
  <c r="G903" i="14" s="1"/>
  <c r="G904" i="14" s="1"/>
  <c r="G905" i="14" s="1"/>
  <c r="G906" i="14" s="1"/>
  <c r="G907" i="14" s="1"/>
  <c r="G908" i="14" s="1"/>
  <c r="G909" i="14" s="1"/>
  <c r="G910" i="14" s="1"/>
  <c r="G911" i="14" s="1"/>
  <c r="G912" i="14" s="1"/>
  <c r="G913" i="14" s="1"/>
  <c r="G914" i="14" s="1"/>
  <c r="G915" i="14" s="1"/>
  <c r="G916" i="14" s="1"/>
  <c r="G917" i="14" s="1"/>
  <c r="G918" i="14" s="1"/>
  <c r="G919" i="14" s="1"/>
  <c r="G920" i="14" s="1"/>
  <c r="G921" i="14" s="1"/>
  <c r="G922" i="14" s="1"/>
  <c r="G923" i="14" s="1"/>
  <c r="G924" i="14" s="1"/>
  <c r="G925" i="14" s="1"/>
  <c r="G926" i="14" s="1"/>
  <c r="G927" i="14" s="1"/>
  <c r="G928" i="14" s="1"/>
  <c r="G929" i="14" s="1"/>
  <c r="G930" i="14" s="1"/>
  <c r="G931" i="14" s="1"/>
  <c r="G932" i="14" s="1"/>
  <c r="G933" i="14" s="1"/>
  <c r="G934" i="14" s="1"/>
  <c r="G935" i="14" s="1"/>
  <c r="G936" i="14" s="1"/>
  <c r="G937" i="14" s="1"/>
  <c r="G938" i="14" s="1"/>
  <c r="G939" i="14" s="1"/>
  <c r="G940" i="14" s="1"/>
  <c r="G941" i="14" s="1"/>
  <c r="G942" i="14" s="1"/>
  <c r="G943" i="14" s="1"/>
  <c r="G944" i="14" s="1"/>
  <c r="G945" i="14" s="1"/>
  <c r="G946" i="14" s="1"/>
  <c r="G947" i="14" s="1"/>
  <c r="G948" i="14" s="1"/>
  <c r="G949" i="14" s="1"/>
  <c r="G950" i="14" s="1"/>
  <c r="G951" i="14" s="1"/>
  <c r="G952" i="14" s="1"/>
  <c r="G953" i="14" s="1"/>
  <c r="G954" i="14" s="1"/>
  <c r="G955" i="14" s="1"/>
  <c r="G956" i="14" s="1"/>
  <c r="G957" i="14" s="1"/>
  <c r="G958" i="14" s="1"/>
  <c r="G959" i="14" s="1"/>
  <c r="G960" i="14" s="1"/>
  <c r="G961" i="14" s="1"/>
  <c r="G962" i="14" s="1"/>
  <c r="G963" i="14" s="1"/>
  <c r="G964" i="14" s="1"/>
  <c r="G965" i="14" s="1"/>
  <c r="G966" i="14" s="1"/>
  <c r="G967" i="14" s="1"/>
  <c r="G968" i="14" s="1"/>
  <c r="G969" i="14" s="1"/>
  <c r="G970" i="14" s="1"/>
  <c r="G971" i="14" s="1"/>
  <c r="G972" i="14" s="1"/>
  <c r="G973" i="14" s="1"/>
  <c r="G974" i="14" s="1"/>
  <c r="G975" i="14" s="1"/>
  <c r="G976" i="14" s="1"/>
  <c r="G977" i="14" s="1"/>
  <c r="G978" i="14" s="1"/>
  <c r="G979" i="14" s="1"/>
  <c r="G980" i="14" s="1"/>
  <c r="G981" i="14" s="1"/>
  <c r="G982" i="14" s="1"/>
  <c r="G983" i="14" s="1"/>
  <c r="G984" i="14" s="1"/>
  <c r="G985" i="14" s="1"/>
  <c r="G986" i="14" s="1"/>
  <c r="G987" i="14" s="1"/>
  <c r="G988" i="14" s="1"/>
  <c r="G989" i="14" s="1"/>
  <c r="G990" i="14" s="1"/>
  <c r="G991" i="14" s="1"/>
  <c r="G992" i="14" s="1"/>
  <c r="G993" i="14" s="1"/>
  <c r="G994" i="14" s="1"/>
  <c r="G995" i="14" s="1"/>
  <c r="G996" i="14" s="1"/>
  <c r="G997" i="14" s="1"/>
  <c r="G998" i="14" s="1"/>
  <c r="G999" i="14" s="1"/>
  <c r="G1000" i="14" s="1"/>
  <c r="G1001" i="14" s="1"/>
  <c r="G1002" i="14" s="1"/>
  <c r="G1003" i="14" s="1"/>
  <c r="P20" i="11"/>
  <c r="O20" i="11"/>
  <c r="E3" i="4"/>
  <c r="D3" i="4"/>
  <c r="H46" i="6"/>
  <c r="E46" i="4"/>
  <c r="Q2" i="5"/>
  <c r="Q16" i="5" s="1"/>
  <c r="R16" i="5"/>
  <c r="Z29" i="11" l="1"/>
  <c r="Y29" i="11"/>
  <c r="K21" i="11"/>
  <c r="F20" i="11"/>
  <c r="G21" i="11" s="1"/>
  <c r="J21" i="11"/>
  <c r="P21" i="11"/>
  <c r="O21" i="11"/>
  <c r="M21" i="14"/>
  <c r="M20" i="13"/>
  <c r="N18" i="13"/>
  <c r="J17" i="13" a="1"/>
  <c r="J17" i="13" s="1"/>
  <c r="AD46" i="6"/>
  <c r="Z46" i="6"/>
  <c r="V46" i="6"/>
  <c r="R46" i="6"/>
  <c r="N46" i="6"/>
  <c r="J46" i="6"/>
  <c r="AF46" i="6"/>
  <c r="AB46" i="6"/>
  <c r="X46" i="6"/>
  <c r="T46" i="6"/>
  <c r="P46" i="6"/>
  <c r="L46" i="6"/>
  <c r="H3" i="6"/>
  <c r="U31" i="11"/>
  <c r="T31" i="11"/>
  <c r="J16" i="14" a="1"/>
  <c r="J16" i="14" s="1"/>
  <c r="N17" i="14"/>
  <c r="T32" i="11" l="1"/>
  <c r="U32" i="11"/>
  <c r="J18" i="13" a="1"/>
  <c r="J18" i="13" s="1"/>
  <c r="N19" i="13"/>
  <c r="M22" i="14"/>
  <c r="O22" i="11"/>
  <c r="P22" i="11"/>
  <c r="F46" i="6"/>
  <c r="M21" i="13"/>
  <c r="Y30" i="11"/>
  <c r="Z30" i="11"/>
  <c r="N18" i="14"/>
  <c r="J17" i="14" a="1"/>
  <c r="J17" i="14" s="1"/>
  <c r="K22" i="11"/>
  <c r="F21" i="11"/>
  <c r="G22" i="11" s="1"/>
  <c r="J22" i="11"/>
  <c r="J18" i="14" l="1" a="1"/>
  <c r="J18" i="14" s="1"/>
  <c r="N19" i="14"/>
  <c r="M22" i="13"/>
  <c r="M23" i="14"/>
  <c r="K23" i="11"/>
  <c r="F22" i="11"/>
  <c r="G23" i="11" s="1"/>
  <c r="J23" i="11"/>
  <c r="G46" i="6"/>
  <c r="F3" i="6"/>
  <c r="G3" i="6" s="1"/>
  <c r="U33" i="11"/>
  <c r="T33" i="11"/>
  <c r="Z31" i="11"/>
  <c r="Y31" i="11"/>
  <c r="J19" i="13" a="1"/>
  <c r="J19" i="13" s="1"/>
  <c r="N20" i="13"/>
  <c r="P23" i="11"/>
  <c r="O23" i="11"/>
  <c r="M23" i="13" l="1"/>
  <c r="P24" i="11"/>
  <c r="O24" i="11"/>
  <c r="Z32" i="11"/>
  <c r="Y32" i="11"/>
  <c r="N20" i="14"/>
  <c r="J19" i="14" a="1"/>
  <c r="J19" i="14" s="1"/>
  <c r="U34" i="11"/>
  <c r="T34" i="11"/>
  <c r="J24" i="11"/>
  <c r="K24" i="11"/>
  <c r="F23" i="11"/>
  <c r="G24" i="11" s="1"/>
  <c r="M24" i="14"/>
  <c r="J20" i="13" a="1"/>
  <c r="J20" i="13" s="1"/>
  <c r="N21" i="13"/>
  <c r="P25" i="11" l="1"/>
  <c r="O25" i="11"/>
  <c r="M25" i="14"/>
  <c r="K25" i="11"/>
  <c r="F24" i="11"/>
  <c r="G25" i="11" s="1"/>
  <c r="J25" i="11"/>
  <c r="J20" i="14" a="1"/>
  <c r="J20" i="14" s="1"/>
  <c r="N21" i="14"/>
  <c r="Z33" i="11"/>
  <c r="Y33" i="11"/>
  <c r="U35" i="11"/>
  <c r="T35" i="11"/>
  <c r="N22" i="13"/>
  <c r="J21" i="13" a="1"/>
  <c r="J21" i="13" s="1"/>
  <c r="M24" i="13"/>
  <c r="K26" i="11" l="1"/>
  <c r="F25" i="11"/>
  <c r="G26" i="11" s="1"/>
  <c r="J26" i="11"/>
  <c r="M26" i="14"/>
  <c r="J22" i="13" a="1"/>
  <c r="J22" i="13" s="1"/>
  <c r="N23" i="13"/>
  <c r="O26" i="11"/>
  <c r="P26" i="11"/>
  <c r="M25" i="13"/>
  <c r="Y34" i="11"/>
  <c r="Z34" i="11"/>
  <c r="T36" i="11"/>
  <c r="U36" i="11"/>
  <c r="N22" i="14"/>
  <c r="J21" i="14" a="1"/>
  <c r="J21" i="14" s="1"/>
  <c r="J22" i="14" l="1" a="1"/>
  <c r="J22" i="14" s="1"/>
  <c r="N23" i="14"/>
  <c r="J23" i="13" a="1"/>
  <c r="J23" i="13" s="1"/>
  <c r="N24" i="13"/>
  <c r="U37" i="11"/>
  <c r="T37" i="11"/>
  <c r="M26" i="13"/>
  <c r="M27" i="14"/>
  <c r="Z35" i="11"/>
  <c r="Y35" i="11"/>
  <c r="P27" i="11"/>
  <c r="O27" i="11"/>
  <c r="K27" i="11"/>
  <c r="F26" i="11"/>
  <c r="G27" i="11" s="1"/>
  <c r="J27" i="11"/>
  <c r="P28" i="11" l="1"/>
  <c r="O28" i="11"/>
  <c r="M28" i="14"/>
  <c r="Z36" i="11"/>
  <c r="Y36" i="11"/>
  <c r="J24" i="13" a="1"/>
  <c r="J24" i="13" s="1"/>
  <c r="N25" i="13"/>
  <c r="M27" i="13"/>
  <c r="N24" i="14"/>
  <c r="J23" i="14" a="1"/>
  <c r="J23" i="14" s="1"/>
  <c r="U38" i="11"/>
  <c r="T38" i="11"/>
  <c r="J28" i="11"/>
  <c r="K28" i="11"/>
  <c r="F27" i="11"/>
  <c r="G28" i="11" s="1"/>
  <c r="U39" i="11" l="1"/>
  <c r="T39" i="11"/>
  <c r="M29" i="14"/>
  <c r="N26" i="13"/>
  <c r="J25" i="13" a="1"/>
  <c r="J25" i="13" s="1"/>
  <c r="M28" i="13"/>
  <c r="P29" i="11"/>
  <c r="O29" i="11"/>
  <c r="K29" i="11"/>
  <c r="F28" i="11"/>
  <c r="G29" i="11" s="1"/>
  <c r="J29" i="11"/>
  <c r="J24" i="14" a="1"/>
  <c r="J24" i="14" s="1"/>
  <c r="N25" i="14"/>
  <c r="Z37" i="11"/>
  <c r="Y37" i="11"/>
  <c r="M29" i="13" l="1"/>
  <c r="J26" i="13" a="1"/>
  <c r="J26" i="13" s="1"/>
  <c r="N27" i="13"/>
  <c r="T40" i="11"/>
  <c r="U40" i="11"/>
  <c r="N26" i="14"/>
  <c r="J25" i="14" a="1"/>
  <c r="J25" i="14" s="1"/>
  <c r="K30" i="11"/>
  <c r="F29" i="11"/>
  <c r="G30" i="11" s="1"/>
  <c r="J30" i="11"/>
  <c r="Y38" i="11"/>
  <c r="Z38" i="11"/>
  <c r="O30" i="11"/>
  <c r="P30" i="11"/>
  <c r="M30" i="14"/>
  <c r="P31" i="11" l="1"/>
  <c r="O31" i="11"/>
  <c r="K31" i="11"/>
  <c r="F30" i="11"/>
  <c r="G31" i="11" s="1"/>
  <c r="J31" i="11"/>
  <c r="M31" i="14"/>
  <c r="U41" i="11"/>
  <c r="T41" i="11"/>
  <c r="M30" i="13"/>
  <c r="J27" i="13" a="1"/>
  <c r="J27" i="13" s="1"/>
  <c r="N28" i="13"/>
  <c r="Z39" i="11"/>
  <c r="Y39" i="11"/>
  <c r="J26" i="14" a="1"/>
  <c r="J26" i="14" s="1"/>
  <c r="N27" i="14"/>
  <c r="N28" i="14" l="1"/>
  <c r="J27" i="14" a="1"/>
  <c r="J27" i="14" s="1"/>
  <c r="Z40" i="11"/>
  <c r="Y40" i="11"/>
  <c r="M32" i="14"/>
  <c r="P32" i="11"/>
  <c r="O32" i="11"/>
  <c r="J28" i="13" a="1"/>
  <c r="J28" i="13" s="1"/>
  <c r="N29" i="13"/>
  <c r="U42" i="11"/>
  <c r="T42" i="11"/>
  <c r="M31" i="13"/>
  <c r="J32" i="11"/>
  <c r="K32" i="11"/>
  <c r="F31" i="11"/>
  <c r="G32" i="11" s="1"/>
  <c r="M32" i="13" l="1"/>
  <c r="U43" i="11"/>
  <c r="T43" i="11"/>
  <c r="P33" i="11"/>
  <c r="O33" i="11"/>
  <c r="J28" i="14" a="1"/>
  <c r="J28" i="14" s="1"/>
  <c r="N29" i="14"/>
  <c r="Z41" i="11"/>
  <c r="Y41" i="11"/>
  <c r="K33" i="11"/>
  <c r="F32" i="11"/>
  <c r="G33" i="11" s="1"/>
  <c r="J33" i="11"/>
  <c r="N30" i="13"/>
  <c r="J29" i="13" a="1"/>
  <c r="J29" i="13" s="1"/>
  <c r="M33" i="14"/>
  <c r="J30" i="13" l="1" a="1"/>
  <c r="J30" i="13" s="1"/>
  <c r="N31" i="13"/>
  <c r="Y42" i="11"/>
  <c r="Z42" i="11"/>
  <c r="K34" i="11"/>
  <c r="F33" i="11"/>
  <c r="G34" i="11" s="1"/>
  <c r="J34" i="11"/>
  <c r="O34" i="11"/>
  <c r="P34" i="11"/>
  <c r="M33" i="13"/>
  <c r="M34" i="14"/>
  <c r="N30" i="14"/>
  <c r="J29" i="14" a="1"/>
  <c r="J29" i="14" s="1"/>
  <c r="T44" i="11"/>
  <c r="U44" i="11"/>
  <c r="U45" i="11" l="1"/>
  <c r="T45" i="11"/>
  <c r="M35" i="14"/>
  <c r="P35" i="11"/>
  <c r="O35" i="11"/>
  <c r="J30" i="14" a="1"/>
  <c r="J30" i="14" s="1"/>
  <c r="N31" i="14"/>
  <c r="K35" i="11"/>
  <c r="F34" i="11"/>
  <c r="G35" i="11" s="1"/>
  <c r="J35" i="11"/>
  <c r="Z43" i="11"/>
  <c r="Y43" i="11"/>
  <c r="M34" i="13"/>
  <c r="J31" i="13" a="1"/>
  <c r="J31" i="13" s="1"/>
  <c r="N32" i="13"/>
  <c r="J36" i="11" l="1"/>
  <c r="K36" i="11"/>
  <c r="F35" i="11"/>
  <c r="G36" i="11" s="1"/>
  <c r="M36" i="14"/>
  <c r="P36" i="11"/>
  <c r="O36" i="11"/>
  <c r="J32" i="13" a="1"/>
  <c r="J32" i="13" s="1"/>
  <c r="N33" i="13"/>
  <c r="M35" i="13"/>
  <c r="U46" i="11"/>
  <c r="T46" i="11"/>
  <c r="Z44" i="11"/>
  <c r="Y44" i="11"/>
  <c r="J31" i="14" a="1"/>
  <c r="J31" i="14" s="1"/>
  <c r="N32" i="14"/>
  <c r="Z45" i="11" l="1"/>
  <c r="Y45" i="11"/>
  <c r="P37" i="11"/>
  <c r="O37" i="11"/>
  <c r="J32" i="14" a="1"/>
  <c r="J32" i="14" s="1"/>
  <c r="N33" i="14"/>
  <c r="U47" i="11"/>
  <c r="T47" i="11"/>
  <c r="M36" i="13"/>
  <c r="N34" i="13"/>
  <c r="J33" i="13" a="1"/>
  <c r="J33" i="13" s="1"/>
  <c r="M37" i="14"/>
  <c r="K37" i="11"/>
  <c r="F36" i="11"/>
  <c r="G37" i="11" s="1"/>
  <c r="J37" i="11"/>
  <c r="T48" i="11" l="1"/>
  <c r="U48" i="11"/>
  <c r="J34" i="13" a="1"/>
  <c r="J34" i="13" s="1"/>
  <c r="N35" i="13"/>
  <c r="Y46" i="11"/>
  <c r="Z46" i="11"/>
  <c r="K38" i="11"/>
  <c r="F37" i="11"/>
  <c r="G38" i="11" s="1"/>
  <c r="J38" i="11"/>
  <c r="M38" i="14"/>
  <c r="O38" i="11"/>
  <c r="P38" i="11"/>
  <c r="M37" i="13"/>
  <c r="N34" i="14"/>
  <c r="J33" i="14" a="1"/>
  <c r="J33" i="14" s="1"/>
  <c r="M39" i="14" l="1"/>
  <c r="J34" i="14" a="1"/>
  <c r="J34" i="14" s="1"/>
  <c r="N35" i="14"/>
  <c r="M38" i="13"/>
  <c r="K39" i="11"/>
  <c r="F38" i="11"/>
  <c r="G39" i="11" s="1"/>
  <c r="J39" i="11"/>
  <c r="Z47" i="11"/>
  <c r="Y47" i="11"/>
  <c r="U49" i="11"/>
  <c r="T49" i="11"/>
  <c r="P39" i="11"/>
  <c r="O39" i="11"/>
  <c r="J35" i="13" a="1"/>
  <c r="J35" i="13" s="1"/>
  <c r="N36" i="13"/>
  <c r="J36" i="13" l="1" a="1"/>
  <c r="J36" i="13" s="1"/>
  <c r="N37" i="13"/>
  <c r="P40" i="11"/>
  <c r="O40" i="11"/>
  <c r="Z48" i="11"/>
  <c r="Y48" i="11"/>
  <c r="U50" i="11"/>
  <c r="T50" i="11"/>
  <c r="J40" i="11"/>
  <c r="K40" i="11"/>
  <c r="F39" i="11"/>
  <c r="G40" i="11" s="1"/>
  <c r="M39" i="13"/>
  <c r="M40" i="14"/>
  <c r="J35" i="14" a="1"/>
  <c r="J35" i="14" s="1"/>
  <c r="N36" i="14"/>
  <c r="J36" i="14" l="1" a="1"/>
  <c r="J36" i="14" s="1"/>
  <c r="N37" i="14"/>
  <c r="Z49" i="11"/>
  <c r="Y49" i="11"/>
  <c r="K41" i="11"/>
  <c r="F40" i="11"/>
  <c r="G41" i="11" s="1"/>
  <c r="J41" i="11"/>
  <c r="N38" i="13"/>
  <c r="J37" i="13" a="1"/>
  <c r="J37" i="13" s="1"/>
  <c r="M40" i="13"/>
  <c r="U51" i="11"/>
  <c r="T51" i="11"/>
  <c r="P41" i="11"/>
  <c r="O41" i="11"/>
  <c r="M41" i="14"/>
  <c r="M42" i="14" l="1"/>
  <c r="J38" i="13" a="1"/>
  <c r="J38" i="13" s="1"/>
  <c r="N39" i="13"/>
  <c r="Y50" i="11"/>
  <c r="Z50" i="11"/>
  <c r="O42" i="11"/>
  <c r="P42" i="11"/>
  <c r="M41" i="13"/>
  <c r="K42" i="11"/>
  <c r="F41" i="11"/>
  <c r="G42" i="11" s="1"/>
  <c r="J42" i="11"/>
  <c r="N38" i="14"/>
  <c r="J37" i="14" a="1"/>
  <c r="J37" i="14" s="1"/>
  <c r="T52" i="11"/>
  <c r="U52" i="11"/>
  <c r="J38" i="14" l="1" a="1"/>
  <c r="J38" i="14" s="1"/>
  <c r="N39" i="14"/>
  <c r="K43" i="11"/>
  <c r="F42" i="11"/>
  <c r="G43" i="11" s="1"/>
  <c r="J43" i="11"/>
  <c r="M42" i="13"/>
  <c r="Z51" i="11"/>
  <c r="Y51" i="11"/>
  <c r="M43" i="14"/>
  <c r="U53" i="11"/>
  <c r="T53" i="11"/>
  <c r="J39" i="13" a="1"/>
  <c r="J39" i="13" s="1"/>
  <c r="N40" i="13"/>
  <c r="P43" i="11"/>
  <c r="O43" i="11"/>
  <c r="J39" i="14" l="1" a="1"/>
  <c r="J39" i="14" s="1"/>
  <c r="N40" i="14"/>
  <c r="J40" i="13" a="1"/>
  <c r="J40" i="13" s="1"/>
  <c r="N41" i="13"/>
  <c r="U54" i="11"/>
  <c r="T54" i="11"/>
  <c r="Z52" i="11"/>
  <c r="Y52" i="11"/>
  <c r="J44" i="11"/>
  <c r="K44" i="11"/>
  <c r="F43" i="11"/>
  <c r="G44" i="11" s="1"/>
  <c r="M44" i="14"/>
  <c r="M43" i="13"/>
  <c r="P44" i="11"/>
  <c r="O44" i="11"/>
  <c r="Z53" i="11" l="1"/>
  <c r="Y53" i="11"/>
  <c r="N42" i="13"/>
  <c r="J41" i="13" a="1"/>
  <c r="J41" i="13" s="1"/>
  <c r="M44" i="13"/>
  <c r="U55" i="11"/>
  <c r="T55" i="11"/>
  <c r="J40" i="14" a="1"/>
  <c r="J40" i="14" s="1"/>
  <c r="N41" i="14"/>
  <c r="P45" i="11"/>
  <c r="O45" i="11"/>
  <c r="M45" i="14"/>
  <c r="K45" i="11"/>
  <c r="F44" i="11"/>
  <c r="G45" i="11" s="1"/>
  <c r="J45" i="11"/>
  <c r="O46" i="11" l="1"/>
  <c r="P46" i="11"/>
  <c r="T56" i="11"/>
  <c r="U56" i="11"/>
  <c r="J42" i="13" a="1"/>
  <c r="J42" i="13" s="1"/>
  <c r="N43" i="13"/>
  <c r="N42" i="14"/>
  <c r="J41" i="14" a="1"/>
  <c r="J41" i="14" s="1"/>
  <c r="M45" i="13"/>
  <c r="Y54" i="11"/>
  <c r="Z54" i="11"/>
  <c r="K46" i="11"/>
  <c r="F45" i="11"/>
  <c r="G46" i="11" s="1"/>
  <c r="J46" i="11"/>
  <c r="M46" i="14"/>
  <c r="M47" i="14" l="1"/>
  <c r="M46" i="13"/>
  <c r="J43" i="13" a="1"/>
  <c r="J43" i="13" s="1"/>
  <c r="N44" i="13"/>
  <c r="U57" i="11"/>
  <c r="T57" i="11"/>
  <c r="K47" i="11"/>
  <c r="F46" i="11"/>
  <c r="G47" i="11" s="1"/>
  <c r="J47" i="11"/>
  <c r="P47" i="11"/>
  <c r="O47" i="11"/>
  <c r="Z55" i="11"/>
  <c r="Y55" i="11"/>
  <c r="J42" i="14" a="1"/>
  <c r="J42" i="14" s="1"/>
  <c r="N43" i="14"/>
  <c r="J43" i="14" l="1" a="1"/>
  <c r="J43" i="14" s="1"/>
  <c r="N44" i="14"/>
  <c r="J44" i="13" a="1"/>
  <c r="J44" i="13" s="1"/>
  <c r="N45" i="13"/>
  <c r="M48" i="14"/>
  <c r="Z56" i="11"/>
  <c r="Y56" i="11"/>
  <c r="P48" i="11"/>
  <c r="O48" i="11"/>
  <c r="U58" i="11"/>
  <c r="T58" i="11"/>
  <c r="J48" i="11"/>
  <c r="K48" i="11"/>
  <c r="F47" i="11"/>
  <c r="G48" i="11" s="1"/>
  <c r="M47" i="13"/>
  <c r="N46" i="13" l="1"/>
  <c r="J45" i="13" a="1"/>
  <c r="J45" i="13" s="1"/>
  <c r="M48" i="13"/>
  <c r="M49" i="14"/>
  <c r="J44" i="14" a="1"/>
  <c r="J44" i="14" s="1"/>
  <c r="N45" i="14"/>
  <c r="K49" i="11"/>
  <c r="F48" i="11"/>
  <c r="G49" i="11" s="1"/>
  <c r="J49" i="11"/>
  <c r="P49" i="11"/>
  <c r="O49" i="11"/>
  <c r="U59" i="11"/>
  <c r="T59" i="11"/>
  <c r="Z57" i="11"/>
  <c r="Y57" i="11"/>
  <c r="Y58" i="11" l="1"/>
  <c r="Z58" i="11"/>
  <c r="M49" i="13"/>
  <c r="J46" i="13" a="1"/>
  <c r="J46" i="13" s="1"/>
  <c r="N47" i="13"/>
  <c r="N46" i="14"/>
  <c r="J45" i="14" a="1"/>
  <c r="J45" i="14" s="1"/>
  <c r="K50" i="11"/>
  <c r="F49" i="11"/>
  <c r="G50" i="11" s="1"/>
  <c r="J50" i="11"/>
  <c r="T60" i="11"/>
  <c r="U60" i="11"/>
  <c r="O50" i="11"/>
  <c r="P50" i="11"/>
  <c r="M50" i="14"/>
  <c r="P51" i="11" l="1"/>
  <c r="O51" i="11"/>
  <c r="J47" i="13" a="1"/>
  <c r="J47" i="13" s="1"/>
  <c r="N48" i="13"/>
  <c r="M51" i="14"/>
  <c r="U61" i="11"/>
  <c r="T61" i="11"/>
  <c r="Z59" i="11"/>
  <c r="Y59" i="11"/>
  <c r="K51" i="11"/>
  <c r="F50" i="11"/>
  <c r="G51" i="11" s="1"/>
  <c r="J51" i="11"/>
  <c r="J46" i="14" a="1"/>
  <c r="J46" i="14" s="1"/>
  <c r="N47" i="14"/>
  <c r="M50" i="13"/>
  <c r="Z60" i="11" l="1"/>
  <c r="Y60" i="11"/>
  <c r="P52" i="11"/>
  <c r="O52" i="11"/>
  <c r="J52" i="11"/>
  <c r="K52" i="11"/>
  <c r="F51" i="11"/>
  <c r="G52" i="11" s="1"/>
  <c r="M51" i="13"/>
  <c r="U62" i="11"/>
  <c r="T62" i="11"/>
  <c r="M52" i="14"/>
  <c r="J47" i="14" a="1"/>
  <c r="J47" i="14" s="1"/>
  <c r="N48" i="14"/>
  <c r="J48" i="13" a="1"/>
  <c r="J48" i="13" s="1"/>
  <c r="N49" i="13"/>
  <c r="M52" i="13" l="1"/>
  <c r="P53" i="11"/>
  <c r="O53" i="11"/>
  <c r="N50" i="13"/>
  <c r="J49" i="13" a="1"/>
  <c r="J49" i="13" s="1"/>
  <c r="Z61" i="11"/>
  <c r="Y61" i="11"/>
  <c r="M53" i="14"/>
  <c r="K53" i="11"/>
  <c r="F52" i="11"/>
  <c r="G53" i="11" s="1"/>
  <c r="J53" i="11"/>
  <c r="J48" i="14" a="1"/>
  <c r="J48" i="14" s="1"/>
  <c r="N49" i="14"/>
  <c r="U63" i="11"/>
  <c r="T63" i="11"/>
  <c r="T64" i="11" l="1"/>
  <c r="U64" i="11"/>
  <c r="K54" i="11"/>
  <c r="F53" i="11"/>
  <c r="G54" i="11" s="1"/>
  <c r="J54" i="11"/>
  <c r="M54" i="14"/>
  <c r="M53" i="13"/>
  <c r="Y62" i="11"/>
  <c r="Z62" i="11"/>
  <c r="J50" i="13" a="1"/>
  <c r="J50" i="13" s="1"/>
  <c r="N51" i="13"/>
  <c r="N50" i="14"/>
  <c r="J49" i="14" a="1"/>
  <c r="J49" i="14" s="1"/>
  <c r="O54" i="11"/>
  <c r="P54" i="11"/>
  <c r="P55" i="11" l="1"/>
  <c r="O55" i="11"/>
  <c r="M54" i="13"/>
  <c r="J51" i="13" a="1"/>
  <c r="J51" i="13" s="1"/>
  <c r="N52" i="13"/>
  <c r="J50" i="14" a="1"/>
  <c r="J50" i="14" s="1"/>
  <c r="N51" i="14"/>
  <c r="Z63" i="11"/>
  <c r="Y63" i="11"/>
  <c r="M55" i="14"/>
  <c r="K55" i="11"/>
  <c r="F54" i="11"/>
  <c r="G55" i="11" s="1"/>
  <c r="J55" i="11"/>
  <c r="U65" i="11"/>
  <c r="T65" i="11"/>
  <c r="M56" i="14" l="1"/>
  <c r="Z64" i="11"/>
  <c r="Y64" i="11"/>
  <c r="J52" i="13" a="1"/>
  <c r="J52" i="13" s="1"/>
  <c r="N53" i="13"/>
  <c r="M55" i="13"/>
  <c r="J56" i="11"/>
  <c r="K56" i="11"/>
  <c r="F55" i="11"/>
  <c r="G56" i="11" s="1"/>
  <c r="U66" i="11"/>
  <c r="T66" i="11"/>
  <c r="P56" i="11"/>
  <c r="O56" i="11"/>
  <c r="J51" i="14" a="1"/>
  <c r="J51" i="14" s="1"/>
  <c r="N52" i="14"/>
  <c r="J52" i="14" l="1" a="1"/>
  <c r="J52" i="14" s="1"/>
  <c r="N53" i="14"/>
  <c r="U67" i="11"/>
  <c r="T67" i="11"/>
  <c r="N54" i="13"/>
  <c r="J53" i="13" a="1"/>
  <c r="J53" i="13" s="1"/>
  <c r="M57" i="14"/>
  <c r="K57" i="11"/>
  <c r="F56" i="11"/>
  <c r="G57" i="11" s="1"/>
  <c r="J57" i="11"/>
  <c r="P57" i="11"/>
  <c r="O57" i="11"/>
  <c r="Z65" i="11"/>
  <c r="Y65" i="11"/>
  <c r="M56" i="13"/>
  <c r="N54" i="14" l="1"/>
  <c r="J53" i="14" a="1"/>
  <c r="J53" i="14" s="1"/>
  <c r="J54" i="13" a="1"/>
  <c r="J54" i="13" s="1"/>
  <c r="N55" i="13"/>
  <c r="K58" i="11"/>
  <c r="F57" i="11"/>
  <c r="G58" i="11" s="1"/>
  <c r="J58" i="11"/>
  <c r="O58" i="11"/>
  <c r="P58" i="11"/>
  <c r="M57" i="13"/>
  <c r="Y66" i="11"/>
  <c r="Z66" i="11"/>
  <c r="M58" i="14"/>
  <c r="T68" i="11"/>
  <c r="U68" i="11"/>
  <c r="K59" i="11" l="1"/>
  <c r="F58" i="11"/>
  <c r="G59" i="11" s="1"/>
  <c r="J59" i="11"/>
  <c r="N56" i="13"/>
  <c r="J55" i="13" a="1"/>
  <c r="J55" i="13" s="1"/>
  <c r="U69" i="11"/>
  <c r="T69" i="11"/>
  <c r="Z67" i="11"/>
  <c r="Y67" i="11"/>
  <c r="P59" i="11"/>
  <c r="O59" i="11"/>
  <c r="M59" i="14"/>
  <c r="M58" i="13"/>
  <c r="J54" i="14" a="1"/>
  <c r="J54" i="14" s="1"/>
  <c r="N55" i="14"/>
  <c r="U70" i="11" l="1"/>
  <c r="T70" i="11"/>
  <c r="J60" i="11"/>
  <c r="K60" i="11"/>
  <c r="F59" i="11"/>
  <c r="G60" i="11" s="1"/>
  <c r="N56" i="14"/>
  <c r="J55" i="14" a="1"/>
  <c r="J55" i="14" s="1"/>
  <c r="M60" i="14"/>
  <c r="Z68" i="11"/>
  <c r="Y68" i="11"/>
  <c r="N57" i="13"/>
  <c r="J56" i="13" a="1"/>
  <c r="J56" i="13" s="1"/>
  <c r="M59" i="13"/>
  <c r="P60" i="11"/>
  <c r="O60" i="11"/>
  <c r="P61" i="11" l="1"/>
  <c r="O61" i="11"/>
  <c r="N58" i="13"/>
  <c r="J57" i="13" a="1"/>
  <c r="J57" i="13" s="1"/>
  <c r="M60" i="13"/>
  <c r="Z69" i="11"/>
  <c r="Y69" i="11"/>
  <c r="K61" i="11"/>
  <c r="F60" i="11"/>
  <c r="G61" i="11" s="1"/>
  <c r="J61" i="11"/>
  <c r="N57" i="14"/>
  <c r="J56" i="14" a="1"/>
  <c r="J56" i="14" s="1"/>
  <c r="U71" i="11"/>
  <c r="T71" i="11"/>
  <c r="M61" i="14"/>
  <c r="N58" i="14" l="1"/>
  <c r="J57" i="14" a="1"/>
  <c r="J57" i="14" s="1"/>
  <c r="Y70" i="11"/>
  <c r="Z70" i="11"/>
  <c r="T72" i="11"/>
  <c r="U72" i="11"/>
  <c r="K62" i="11"/>
  <c r="F61" i="11"/>
  <c r="G62" i="11" s="1"/>
  <c r="J62" i="11"/>
  <c r="N59" i="13"/>
  <c r="J58" i="13" a="1"/>
  <c r="J58" i="13" s="1"/>
  <c r="M62" i="14"/>
  <c r="M61" i="13"/>
  <c r="O62" i="11"/>
  <c r="P62" i="11"/>
  <c r="P63" i="11" l="1"/>
  <c r="O63" i="11"/>
  <c r="M62" i="13"/>
  <c r="Z71" i="11"/>
  <c r="Y71" i="11"/>
  <c r="N60" i="13"/>
  <c r="J59" i="13" a="1"/>
  <c r="J59" i="13" s="1"/>
  <c r="M63" i="14"/>
  <c r="K63" i="11"/>
  <c r="F62" i="11"/>
  <c r="G63" i="11" s="1"/>
  <c r="J63" i="11"/>
  <c r="U73" i="11"/>
  <c r="T73" i="11"/>
  <c r="N59" i="14"/>
  <c r="J58" i="14" a="1"/>
  <c r="J58" i="14" s="1"/>
  <c r="Z72" i="11" l="1"/>
  <c r="Y72" i="11"/>
  <c r="M63" i="13"/>
  <c r="J64" i="11"/>
  <c r="K64" i="11"/>
  <c r="F63" i="11"/>
  <c r="G64" i="11" s="1"/>
  <c r="M64" i="14"/>
  <c r="P64" i="11"/>
  <c r="O64" i="11"/>
  <c r="N60" i="14"/>
  <c r="J59" i="14" a="1"/>
  <c r="J59" i="14" s="1"/>
  <c r="U74" i="11"/>
  <c r="T74" i="11"/>
  <c r="N61" i="13"/>
  <c r="J60" i="13" a="1"/>
  <c r="J60" i="13" s="1"/>
  <c r="M64" i="13" l="1"/>
  <c r="Z73" i="11"/>
  <c r="Y73" i="11"/>
  <c r="N61" i="14"/>
  <c r="J60" i="14" a="1"/>
  <c r="J60" i="14" s="1"/>
  <c r="N62" i="13"/>
  <c r="J61" i="13" a="1"/>
  <c r="J61" i="13" s="1"/>
  <c r="U75" i="11"/>
  <c r="T75" i="11"/>
  <c r="P65" i="11"/>
  <c r="O65" i="11"/>
  <c r="M65" i="14"/>
  <c r="K65" i="11"/>
  <c r="F64" i="11"/>
  <c r="G65" i="11" s="1"/>
  <c r="J65" i="11"/>
  <c r="K66" i="11" l="1"/>
  <c r="F65" i="11"/>
  <c r="G66" i="11" s="1"/>
  <c r="J66" i="11"/>
  <c r="N62" i="14"/>
  <c r="J61" i="14" a="1"/>
  <c r="J61" i="14" s="1"/>
  <c r="O66" i="11"/>
  <c r="P66" i="11"/>
  <c r="Y74" i="11"/>
  <c r="Z74" i="11"/>
  <c r="M66" i="14"/>
  <c r="T76" i="11"/>
  <c r="U76" i="11"/>
  <c r="M65" i="13"/>
  <c r="N63" i="13"/>
  <c r="J62" i="13" a="1"/>
  <c r="J62" i="13" s="1"/>
  <c r="N64" i="13" l="1"/>
  <c r="J63" i="13" a="1"/>
  <c r="J63" i="13" s="1"/>
  <c r="U77" i="11"/>
  <c r="T77" i="11"/>
  <c r="Z75" i="11"/>
  <c r="Y75" i="11"/>
  <c r="M66" i="13"/>
  <c r="M67" i="14"/>
  <c r="K67" i="11"/>
  <c r="F66" i="11"/>
  <c r="G67" i="11" s="1"/>
  <c r="J67" i="11"/>
  <c r="P67" i="11"/>
  <c r="O67" i="11"/>
  <c r="N63" i="14"/>
  <c r="J62" i="14" a="1"/>
  <c r="J62" i="14" s="1"/>
  <c r="U78" i="11" l="1"/>
  <c r="T78" i="11"/>
  <c r="M67" i="13"/>
  <c r="N64" i="14"/>
  <c r="J63" i="14" a="1"/>
  <c r="J63" i="14" s="1"/>
  <c r="M68" i="14"/>
  <c r="Z76" i="11"/>
  <c r="Y76" i="11"/>
  <c r="P68" i="11"/>
  <c r="O68" i="11"/>
  <c r="J68" i="11"/>
  <c r="K68" i="11"/>
  <c r="F67" i="11"/>
  <c r="G68" i="11" s="1"/>
  <c r="N65" i="13"/>
  <c r="J64" i="13" a="1"/>
  <c r="J64" i="13" s="1"/>
  <c r="U79" i="11" l="1"/>
  <c r="T79" i="11"/>
  <c r="Z77" i="11"/>
  <c r="Y77" i="11"/>
  <c r="K69" i="11"/>
  <c r="F68" i="11"/>
  <c r="G69" i="11" s="1"/>
  <c r="J69" i="11"/>
  <c r="N65" i="14"/>
  <c r="J64" i="14" a="1"/>
  <c r="J64" i="14" s="1"/>
  <c r="N66" i="13"/>
  <c r="J65" i="13" a="1"/>
  <c r="J65" i="13" s="1"/>
  <c r="P69" i="11"/>
  <c r="O69" i="11"/>
  <c r="M69" i="14"/>
  <c r="M68" i="13"/>
  <c r="N66" i="14" l="1"/>
  <c r="J65" i="14" a="1"/>
  <c r="J65" i="14" s="1"/>
  <c r="Y78" i="11"/>
  <c r="Z78" i="11"/>
  <c r="T80" i="11"/>
  <c r="U80" i="11"/>
  <c r="M69" i="13"/>
  <c r="O70" i="11"/>
  <c r="P70" i="11"/>
  <c r="M70" i="14"/>
  <c r="N67" i="13"/>
  <c r="J66" i="13" a="1"/>
  <c r="J66" i="13" s="1"/>
  <c r="K70" i="11"/>
  <c r="F69" i="11"/>
  <c r="G70" i="11" s="1"/>
  <c r="J70" i="11"/>
  <c r="N68" i="13" l="1"/>
  <c r="J67" i="13" a="1"/>
  <c r="J67" i="13" s="1"/>
  <c r="P71" i="11"/>
  <c r="O71" i="11"/>
  <c r="U81" i="11"/>
  <c r="T81" i="11"/>
  <c r="Q82" i="11" s="1"/>
  <c r="N67" i="14"/>
  <c r="J66" i="14" a="1"/>
  <c r="J66" i="14" s="1"/>
  <c r="M70" i="13"/>
  <c r="K71" i="11"/>
  <c r="F70" i="11"/>
  <c r="G71" i="11" s="1"/>
  <c r="J71" i="11"/>
  <c r="M71" i="14"/>
  <c r="Z79" i="11"/>
  <c r="Y79" i="11"/>
  <c r="M71" i="13" l="1"/>
  <c r="T4" i="11"/>
  <c r="I3" i="12" s="1"/>
  <c r="I8" i="12" s="1"/>
  <c r="I6" i="12"/>
  <c r="B24" i="2"/>
  <c r="M72" i="14"/>
  <c r="Z80" i="11"/>
  <c r="Y80" i="11"/>
  <c r="J72" i="11"/>
  <c r="K72" i="11"/>
  <c r="F71" i="11"/>
  <c r="G72" i="11" s="1"/>
  <c r="N69" i="13"/>
  <c r="J68" i="13" a="1"/>
  <c r="J68" i="13" s="1"/>
  <c r="N68" i="14"/>
  <c r="J67" i="14" a="1"/>
  <c r="J67" i="14" s="1"/>
  <c r="P72" i="11"/>
  <c r="O72" i="11"/>
  <c r="N69" i="14" l="1"/>
  <c r="J68" i="14" a="1"/>
  <c r="J68" i="14" s="1"/>
  <c r="M73" i="14"/>
  <c r="K73" i="11"/>
  <c r="F72" i="11"/>
  <c r="G73" i="11" s="1"/>
  <c r="J73" i="11"/>
  <c r="M72" i="13"/>
  <c r="P73" i="11"/>
  <c r="O73" i="11"/>
  <c r="N70" i="13"/>
  <c r="J69" i="13" a="1"/>
  <c r="J69" i="13" s="1"/>
  <c r="Z81" i="11"/>
  <c r="Y81" i="11"/>
  <c r="V82" i="11" s="1"/>
  <c r="N70" i="14" l="1"/>
  <c r="J69" i="14" a="1"/>
  <c r="J69" i="14" s="1"/>
  <c r="K74" i="11"/>
  <c r="F73" i="11"/>
  <c r="G74" i="11" s="1"/>
  <c r="J74" i="11"/>
  <c r="M74" i="14"/>
  <c r="K6" i="12"/>
  <c r="B25" i="2"/>
  <c r="Y4" i="11"/>
  <c r="K3" i="12" s="1"/>
  <c r="K8" i="12" s="1"/>
  <c r="B1" i="14" s="1"/>
  <c r="M73" i="13"/>
  <c r="O74" i="11"/>
  <c r="P74" i="11"/>
  <c r="N71" i="13"/>
  <c r="J70" i="13" a="1"/>
  <c r="J70" i="13" s="1"/>
  <c r="I8" i="14" l="1"/>
  <c r="B8" i="14"/>
  <c r="P75" i="11"/>
  <c r="O75" i="11"/>
  <c r="O20" i="2"/>
  <c r="O27" i="2"/>
  <c r="O23" i="2"/>
  <c r="K75" i="11"/>
  <c r="F74" i="11"/>
  <c r="G75" i="11" s="1"/>
  <c r="J75" i="11"/>
  <c r="N71" i="14"/>
  <c r="J70" i="14" a="1"/>
  <c r="J70" i="14" s="1"/>
  <c r="M74" i="13"/>
  <c r="N72" i="13"/>
  <c r="J71" i="13" a="1"/>
  <c r="J71" i="13" s="1"/>
  <c r="M75" i="14"/>
  <c r="M76" i="14" l="1"/>
  <c r="M75" i="13"/>
  <c r="N72" i="14"/>
  <c r="J71" i="14" a="1"/>
  <c r="J71" i="14" s="1"/>
  <c r="N73" i="13"/>
  <c r="J72" i="13" a="1"/>
  <c r="J72" i="13" s="1"/>
  <c r="J76" i="11"/>
  <c r="K76" i="11"/>
  <c r="F75" i="11"/>
  <c r="G76" i="11" s="1"/>
  <c r="K8" i="14"/>
  <c r="L8" i="14" s="1"/>
  <c r="P76" i="11"/>
  <c r="O76" i="11"/>
  <c r="I9" i="14" l="1"/>
  <c r="R11" i="10" a="1"/>
  <c r="R11" i="10" s="1"/>
  <c r="N74" i="13"/>
  <c r="J73" i="13" a="1"/>
  <c r="J73" i="13" s="1"/>
  <c r="M76" i="13"/>
  <c r="P77" i="11"/>
  <c r="O77" i="11"/>
  <c r="K77" i="11"/>
  <c r="F76" i="11"/>
  <c r="G77" i="11" s="1"/>
  <c r="J77" i="11"/>
  <c r="M77" i="14"/>
  <c r="N73" i="14"/>
  <c r="J72" i="14" a="1"/>
  <c r="J72" i="14" s="1"/>
  <c r="M78" i="14" l="1"/>
  <c r="M77" i="13"/>
  <c r="K78" i="11"/>
  <c r="F77" i="11"/>
  <c r="G78" i="11" s="1"/>
  <c r="J78" i="11"/>
  <c r="O78" i="11"/>
  <c r="P78" i="11"/>
  <c r="N74" i="14"/>
  <c r="J73" i="14" a="1"/>
  <c r="J73" i="14" s="1"/>
  <c r="A98" i="11"/>
  <c r="N75" i="13"/>
  <c r="J74" i="13" a="1"/>
  <c r="J74" i="13" s="1"/>
  <c r="K9" i="14"/>
  <c r="L9" i="14" s="1"/>
  <c r="I10" i="14" l="1"/>
  <c r="R12" i="10" a="1"/>
  <c r="R12" i="10" s="1"/>
  <c r="P79" i="11"/>
  <c r="O79" i="11"/>
  <c r="M78" i="13"/>
  <c r="K79" i="11"/>
  <c r="F78" i="11"/>
  <c r="G79" i="11" s="1"/>
  <c r="J79" i="11"/>
  <c r="N75" i="14"/>
  <c r="J74" i="14" a="1"/>
  <c r="J74" i="14" s="1"/>
  <c r="A100" i="11"/>
  <c r="M79" i="14"/>
  <c r="N76" i="13"/>
  <c r="J75" i="13" a="1"/>
  <c r="J75" i="13" s="1"/>
  <c r="M80" i="14" l="1"/>
  <c r="J80" i="11"/>
  <c r="K80" i="11"/>
  <c r="F79" i="11"/>
  <c r="G80" i="11" s="1"/>
  <c r="N76" i="14"/>
  <c r="J75" i="14" a="1"/>
  <c r="J75" i="14" s="1"/>
  <c r="M79" i="13"/>
  <c r="A102" i="11"/>
  <c r="P80" i="11"/>
  <c r="O80" i="11"/>
  <c r="N77" i="13"/>
  <c r="J76" i="13" a="1"/>
  <c r="J76" i="13" s="1"/>
  <c r="K10" i="14"/>
  <c r="K81" i="11" l="1"/>
  <c r="F80" i="11"/>
  <c r="G81" i="11" s="1"/>
  <c r="J81" i="11"/>
  <c r="N78" i="13"/>
  <c r="J77" i="13" a="1"/>
  <c r="J77" i="13" s="1"/>
  <c r="N77" i="14"/>
  <c r="J76" i="14" a="1"/>
  <c r="J76" i="14" s="1"/>
  <c r="M81" i="14"/>
  <c r="L10" i="14"/>
  <c r="P81" i="11"/>
  <c r="O81" i="11"/>
  <c r="L82" i="11" s="1"/>
  <c r="M80" i="13"/>
  <c r="A80" i="11"/>
  <c r="A96" i="11"/>
  <c r="A74" i="11"/>
  <c r="N79" i="13" l="1"/>
  <c r="J78" i="13" a="1"/>
  <c r="J78" i="13" s="1"/>
  <c r="M81" i="13"/>
  <c r="I11" i="14"/>
  <c r="R13" i="10" a="1"/>
  <c r="R13" i="10" s="1"/>
  <c r="H82" i="11"/>
  <c r="F81" i="11"/>
  <c r="D82" i="11" s="1"/>
  <c r="D4" i="11" s="1"/>
  <c r="F2" i="11" s="1"/>
  <c r="G2" i="11" s="1"/>
  <c r="N78" i="14"/>
  <c r="J77" i="14" a="1"/>
  <c r="J77" i="14" s="1"/>
  <c r="A81" i="11"/>
  <c r="A8" i="11"/>
  <c r="A9" i="11"/>
  <c r="A11" i="11"/>
  <c r="A88" i="11"/>
  <c r="A92" i="11"/>
  <c r="A7" i="11"/>
  <c r="A10" i="11"/>
  <c r="A16" i="11"/>
  <c r="A13" i="11"/>
  <c r="A12" i="11"/>
  <c r="A14" i="11"/>
  <c r="A15" i="11"/>
  <c r="A18" i="11"/>
  <c r="A17" i="11"/>
  <c r="A19" i="11"/>
  <c r="A20" i="11"/>
  <c r="A21" i="11"/>
  <c r="A22" i="11"/>
  <c r="A23" i="11"/>
  <c r="A24" i="11"/>
  <c r="A27" i="11"/>
  <c r="A26" i="11"/>
  <c r="A28" i="11"/>
  <c r="A25" i="11"/>
  <c r="A29" i="11"/>
  <c r="A31" i="11"/>
  <c r="A30" i="11"/>
  <c r="A32" i="11"/>
  <c r="A36" i="11"/>
  <c r="A34" i="11"/>
  <c r="A33" i="11"/>
  <c r="A37" i="11"/>
  <c r="A38" i="11"/>
  <c r="A35" i="11"/>
  <c r="A40" i="11"/>
  <c r="A41" i="11"/>
  <c r="A39" i="11"/>
  <c r="A42" i="11"/>
  <c r="A43" i="11"/>
  <c r="A44" i="11"/>
  <c r="A45" i="11"/>
  <c r="A46" i="11"/>
  <c r="A47" i="11"/>
  <c r="A48" i="11"/>
  <c r="A50" i="11"/>
  <c r="A51" i="11"/>
  <c r="A52" i="11"/>
  <c r="A49" i="11"/>
  <c r="A54" i="11"/>
  <c r="A53" i="11"/>
  <c r="A55" i="11"/>
  <c r="A56" i="11"/>
  <c r="A58" i="11"/>
  <c r="A57" i="11"/>
  <c r="A59" i="11"/>
  <c r="A60" i="11"/>
  <c r="A61" i="11"/>
  <c r="A62" i="11"/>
  <c r="A64" i="11"/>
  <c r="A63" i="11"/>
  <c r="A67" i="11"/>
  <c r="A66" i="11"/>
  <c r="A65" i="11"/>
  <c r="A68" i="11"/>
  <c r="A69" i="11"/>
  <c r="A70" i="11"/>
  <c r="A73" i="11"/>
  <c r="A71" i="11"/>
  <c r="A75" i="11"/>
  <c r="A76" i="11"/>
  <c r="A79" i="11"/>
  <c r="A78" i="11"/>
  <c r="A77" i="11"/>
  <c r="A72" i="11"/>
  <c r="G6" i="12"/>
  <c r="B23" i="2"/>
  <c r="O4" i="11"/>
  <c r="G3" i="12" s="1"/>
  <c r="G8" i="12" s="1"/>
  <c r="M82" i="14"/>
  <c r="M83" i="14" l="1"/>
  <c r="M82" i="13"/>
  <c r="B6" i="11"/>
  <c r="N79" i="14"/>
  <c r="J78" i="14" a="1"/>
  <c r="J78" i="14" s="1"/>
  <c r="E6" i="12"/>
  <c r="C6" i="12" s="1"/>
  <c r="J4" i="11"/>
  <c r="E3" i="12" s="1"/>
  <c r="E8" i="12" s="1"/>
  <c r="E2" i="11"/>
  <c r="B22" i="2"/>
  <c r="K11" i="14"/>
  <c r="L11" i="14" s="1"/>
  <c r="N80" i="13"/>
  <c r="J79" i="13" a="1"/>
  <c r="J79" i="13" s="1"/>
  <c r="I12" i="14" l="1"/>
  <c r="R14" i="10" a="1"/>
  <c r="R14" i="10" s="1"/>
  <c r="M83" i="13"/>
  <c r="O26" i="2"/>
  <c r="B26" i="2"/>
  <c r="O22" i="2"/>
  <c r="O19" i="2"/>
  <c r="N81" i="13"/>
  <c r="J80" i="13" a="1"/>
  <c r="J80" i="13" s="1"/>
  <c r="N80" i="14"/>
  <c r="J79" i="14" a="1"/>
  <c r="J79" i="14" s="1"/>
  <c r="M84" i="14"/>
  <c r="B1" i="13"/>
  <c r="C8" i="12"/>
  <c r="F29" i="2" l="1"/>
  <c r="O18" i="2"/>
  <c r="P26" i="2" s="1"/>
  <c r="F1" i="2"/>
  <c r="F3" i="2" s="1"/>
  <c r="O35" i="2"/>
  <c r="M84" i="13"/>
  <c r="M85" i="14"/>
  <c r="N82" i="13"/>
  <c r="J81" i="13" a="1"/>
  <c r="J81" i="13" s="1"/>
  <c r="O37" i="2"/>
  <c r="I8" i="13"/>
  <c r="B8" i="13"/>
  <c r="N81" i="14"/>
  <c r="J80" i="14" a="1"/>
  <c r="J80" i="14" s="1"/>
  <c r="P22" i="2"/>
  <c r="O36" i="2"/>
  <c r="P36" i="2" s="1"/>
  <c r="K12" i="14"/>
  <c r="L12" i="14" s="1"/>
  <c r="P37" i="2" l="1"/>
  <c r="M85" i="13"/>
  <c r="N83" i="13"/>
  <c r="J82" i="13" a="1"/>
  <c r="J82" i="13" s="1"/>
  <c r="P32" i="2"/>
  <c r="P29" i="2"/>
  <c r="P25" i="2"/>
  <c r="P31" i="2"/>
  <c r="P28" i="2"/>
  <c r="P24" i="2"/>
  <c r="P21" i="2"/>
  <c r="P30" i="2"/>
  <c r="P39" i="2"/>
  <c r="P38" i="2"/>
  <c r="P27" i="2"/>
  <c r="P20" i="2"/>
  <c r="P23" i="2"/>
  <c r="E20" i="2"/>
  <c r="L16" i="2"/>
  <c r="L17" i="2"/>
  <c r="C38" i="2"/>
  <c r="L5" i="2"/>
  <c r="C31" i="2"/>
  <c r="C19" i="2"/>
  <c r="L15" i="2"/>
  <c r="L6" i="2"/>
  <c r="L8" i="2"/>
  <c r="C7" i="2"/>
  <c r="L12" i="2"/>
  <c r="K8" i="13"/>
  <c r="L8" i="13" s="1"/>
  <c r="M86" i="14"/>
  <c r="P19" i="2"/>
  <c r="G29" i="2"/>
  <c r="G30" i="2"/>
  <c r="G31" i="2"/>
  <c r="G28" i="2"/>
  <c r="G26" i="2"/>
  <c r="G25" i="2"/>
  <c r="G27" i="2"/>
  <c r="I13" i="14"/>
  <c r="R15" i="10" a="1"/>
  <c r="R15" i="10" s="1"/>
  <c r="N82" i="14"/>
  <c r="J81" i="14" a="1"/>
  <c r="J81" i="14" s="1"/>
  <c r="O40" i="2"/>
  <c r="P35" i="2"/>
  <c r="C26" i="2"/>
  <c r="P40" i="2" l="1"/>
  <c r="I9" i="13"/>
  <c r="Q11" i="10" a="1"/>
  <c r="Q11" i="10" s="1"/>
  <c r="S11" i="10" s="1"/>
  <c r="N83" i="14"/>
  <c r="J82" i="14" a="1"/>
  <c r="J82" i="14" s="1"/>
  <c r="K23" i="2"/>
  <c r="K21" i="2"/>
  <c r="G20" i="2"/>
  <c r="R2" i="2"/>
  <c r="R3" i="2" s="1"/>
  <c r="R4" i="2" s="1"/>
  <c r="R5" i="2" s="1"/>
  <c r="R6" i="2" s="1"/>
  <c r="R7" i="2" s="1"/>
  <c r="R8" i="2" s="1"/>
  <c r="R9" i="2" s="1"/>
  <c r="R10" i="2" s="1"/>
  <c r="R11" i="2" s="1"/>
  <c r="F20" i="2"/>
  <c r="F22" i="2" s="1"/>
  <c r="G22" i="2" s="1"/>
  <c r="K22" i="2"/>
  <c r="K24" i="2"/>
  <c r="M86" i="13"/>
  <c r="K13" i="14"/>
  <c r="L13" i="14" s="1"/>
  <c r="M87" i="14"/>
  <c r="N84" i="13"/>
  <c r="J83" i="13" a="1"/>
  <c r="J83" i="13" s="1"/>
  <c r="M88" i="14" l="1"/>
  <c r="I14" i="14"/>
  <c r="R16" i="10" a="1"/>
  <c r="R16" i="10" s="1"/>
  <c r="M87" i="13"/>
  <c r="N85" i="13"/>
  <c r="J84" i="13" a="1"/>
  <c r="J84" i="13" s="1"/>
  <c r="N84" i="14"/>
  <c r="J83" i="14" a="1"/>
  <c r="J83" i="14" s="1"/>
  <c r="K9" i="13"/>
  <c r="N86" i="13" l="1"/>
  <c r="J85" i="13" a="1"/>
  <c r="J85" i="13" s="1"/>
  <c r="K14" i="14"/>
  <c r="L14" i="14" s="1"/>
  <c r="I15" i="14" s="1"/>
  <c r="M88" i="13"/>
  <c r="M89" i="14"/>
  <c r="L9" i="13"/>
  <c r="N85" i="14"/>
  <c r="J84" i="14" a="1"/>
  <c r="J84" i="14" s="1"/>
  <c r="K15" i="14" l="1"/>
  <c r="L15" i="14" s="1"/>
  <c r="I16" i="14" s="1"/>
  <c r="M90" i="14"/>
  <c r="N86" i="14"/>
  <c r="J85" i="14" a="1"/>
  <c r="J85" i="14" s="1"/>
  <c r="M89" i="13"/>
  <c r="I10" i="13"/>
  <c r="Q12" i="10" a="1"/>
  <c r="Q12" i="10" s="1"/>
  <c r="S12" i="10" s="1"/>
  <c r="N87" i="13"/>
  <c r="J86" i="13" a="1"/>
  <c r="J86" i="13" s="1"/>
  <c r="K16" i="14" l="1"/>
  <c r="L16" i="14" s="1"/>
  <c r="I17" i="14" s="1"/>
  <c r="M90" i="13"/>
  <c r="M91" i="14"/>
  <c r="N88" i="13"/>
  <c r="J87" i="13" a="1"/>
  <c r="J87" i="13" s="1"/>
  <c r="K10" i="13"/>
  <c r="N87" i="14"/>
  <c r="J86" i="14" a="1"/>
  <c r="J86" i="14" s="1"/>
  <c r="K17" i="14" l="1"/>
  <c r="L17" i="14" s="1"/>
  <c r="I18" i="14" s="1"/>
  <c r="M91" i="13"/>
  <c r="N89" i="13"/>
  <c r="J88" i="13" a="1"/>
  <c r="J88" i="13" s="1"/>
  <c r="N88" i="14"/>
  <c r="J87" i="14" a="1"/>
  <c r="J87" i="14" s="1"/>
  <c r="M92" i="14"/>
  <c r="L10" i="13"/>
  <c r="K18" i="14" l="1"/>
  <c r="L18" i="14" s="1"/>
  <c r="I19" i="14" s="1"/>
  <c r="M92" i="13"/>
  <c r="I11" i="13"/>
  <c r="Q13" i="10" a="1"/>
  <c r="Q13" i="10" s="1"/>
  <c r="S13" i="10" s="1"/>
  <c r="M93" i="14"/>
  <c r="N89" i="14"/>
  <c r="J88" i="14" a="1"/>
  <c r="J88" i="14" s="1"/>
  <c r="N90" i="13"/>
  <c r="J89" i="13" a="1"/>
  <c r="J89" i="13" s="1"/>
  <c r="K19" i="14" l="1"/>
  <c r="L19" i="14" s="1"/>
  <c r="I20" i="14" s="1"/>
  <c r="M93" i="13"/>
  <c r="N90" i="14"/>
  <c r="J89" i="14" a="1"/>
  <c r="J89" i="14" s="1"/>
  <c r="M94" i="14"/>
  <c r="N91" i="13"/>
  <c r="J90" i="13" a="1"/>
  <c r="J90" i="13" s="1"/>
  <c r="K11" i="13"/>
  <c r="L11" i="13" s="1"/>
  <c r="I12" i="13" l="1"/>
  <c r="Q14" i="10" a="1"/>
  <c r="Q14" i="10" s="1"/>
  <c r="S14" i="10" s="1"/>
  <c r="K20" i="14"/>
  <c r="M95" i="14"/>
  <c r="M94" i="13"/>
  <c r="N92" i="13"/>
  <c r="J91" i="13" a="1"/>
  <c r="J91" i="13" s="1"/>
  <c r="N91" i="14"/>
  <c r="J90" i="14" a="1"/>
  <c r="J90" i="14" s="1"/>
  <c r="M96" i="14" l="1"/>
  <c r="N93" i="13"/>
  <c r="J92" i="13" a="1"/>
  <c r="J92" i="13" s="1"/>
  <c r="M95" i="13"/>
  <c r="N92" i="14"/>
  <c r="J91" i="14" a="1"/>
  <c r="J91" i="14" s="1"/>
  <c r="L20" i="14"/>
  <c r="I21" i="14" s="1"/>
  <c r="K12" i="13"/>
  <c r="L12" i="13" s="1"/>
  <c r="I13" i="13" l="1"/>
  <c r="Q15" i="10" a="1"/>
  <c r="Q15" i="10" s="1"/>
  <c r="S15" i="10" s="1"/>
  <c r="N94" i="13"/>
  <c r="J93" i="13" a="1"/>
  <c r="J93" i="13" s="1"/>
  <c r="N93" i="14"/>
  <c r="J92" i="14" a="1"/>
  <c r="J92" i="14" s="1"/>
  <c r="M96" i="13"/>
  <c r="K21" i="14"/>
  <c r="M97" i="14"/>
  <c r="N95" i="13" l="1"/>
  <c r="J94" i="13" a="1"/>
  <c r="J94" i="13" s="1"/>
  <c r="L21" i="14"/>
  <c r="I22" i="14" s="1"/>
  <c r="N94" i="14"/>
  <c r="J93" i="14" a="1"/>
  <c r="J93" i="14" s="1"/>
  <c r="M98" i="14"/>
  <c r="M97" i="13"/>
  <c r="K13" i="13"/>
  <c r="L13" i="13" s="1"/>
  <c r="I14" i="13" s="1"/>
  <c r="K14" i="13" l="1"/>
  <c r="L14" i="13" s="1"/>
  <c r="M98" i="13"/>
  <c r="N95" i="14"/>
  <c r="J94" i="14" a="1"/>
  <c r="J94" i="14" s="1"/>
  <c r="N96" i="13"/>
  <c r="J95" i="13" a="1"/>
  <c r="J95" i="13" s="1"/>
  <c r="M99" i="14"/>
  <c r="K22" i="14"/>
  <c r="I15" i="13" l="1"/>
  <c r="Q17" i="10" a="1"/>
  <c r="Q17" i="10" s="1"/>
  <c r="M100" i="14"/>
  <c r="N96" i="14"/>
  <c r="J95" i="14" a="1"/>
  <c r="J95" i="14" s="1"/>
  <c r="M99" i="13"/>
  <c r="L22" i="14"/>
  <c r="I23" i="14" s="1"/>
  <c r="N97" i="13"/>
  <c r="J96" i="13" a="1"/>
  <c r="J96" i="13" s="1"/>
  <c r="M100" i="13" l="1"/>
  <c r="M101" i="14"/>
  <c r="N98" i="13"/>
  <c r="J97" i="13" a="1"/>
  <c r="J97" i="13" s="1"/>
  <c r="K23" i="14"/>
  <c r="L23" i="14" s="1"/>
  <c r="I24" i="14" s="1"/>
  <c r="N97" i="14"/>
  <c r="J96" i="14" a="1"/>
  <c r="J96" i="14" s="1"/>
  <c r="K15" i="13"/>
  <c r="L15" i="13" s="1"/>
  <c r="I16" i="13" s="1"/>
  <c r="K24" i="14" l="1"/>
  <c r="L24" i="14" s="1"/>
  <c r="I25" i="14" s="1"/>
  <c r="N98" i="14"/>
  <c r="J97" i="14" a="1"/>
  <c r="J97" i="14" s="1"/>
  <c r="M101" i="13"/>
  <c r="K16" i="13"/>
  <c r="L16" i="13" s="1"/>
  <c r="I17" i="13" s="1"/>
  <c r="M102" i="14"/>
  <c r="N99" i="13"/>
  <c r="J98" i="13" a="1"/>
  <c r="J98" i="13" s="1"/>
  <c r="K17" i="13" l="1"/>
  <c r="L17" i="13" s="1"/>
  <c r="I18" i="13" s="1"/>
  <c r="K25" i="14"/>
  <c r="L25" i="14" s="1"/>
  <c r="I26" i="14" s="1"/>
  <c r="N100" i="13"/>
  <c r="J99" i="13" a="1"/>
  <c r="J99" i="13" s="1"/>
  <c r="N99" i="14"/>
  <c r="J98" i="14" a="1"/>
  <c r="J98" i="14" s="1"/>
  <c r="M103" i="14"/>
  <c r="M102" i="13"/>
  <c r="K26" i="14" l="1"/>
  <c r="L26" i="14" s="1"/>
  <c r="I27" i="14" s="1"/>
  <c r="K18" i="13"/>
  <c r="L18" i="13" s="1"/>
  <c r="I19" i="13" s="1"/>
  <c r="M103" i="13"/>
  <c r="N100" i="14"/>
  <c r="J99" i="14" a="1"/>
  <c r="J99" i="14" s="1"/>
  <c r="M104" i="14"/>
  <c r="N101" i="13"/>
  <c r="J100" i="13" a="1"/>
  <c r="J100" i="13" s="1"/>
  <c r="K19" i="13" l="1"/>
  <c r="L19" i="13" s="1"/>
  <c r="I20" i="13" s="1"/>
  <c r="K27" i="14"/>
  <c r="L27" i="14" s="1"/>
  <c r="I28" i="14" s="1"/>
  <c r="N101" i="14"/>
  <c r="J100" i="14" a="1"/>
  <c r="J100" i="14" s="1"/>
  <c r="M105" i="14"/>
  <c r="N102" i="13"/>
  <c r="J101" i="13" a="1"/>
  <c r="J101" i="13" s="1"/>
  <c r="M104" i="13"/>
  <c r="K28" i="14" l="1"/>
  <c r="L28" i="14" s="1"/>
  <c r="I29" i="14" s="1"/>
  <c r="K20" i="13"/>
  <c r="M105" i="13"/>
  <c r="M106" i="14"/>
  <c r="N103" i="13"/>
  <c r="J102" i="13" a="1"/>
  <c r="J102" i="13" s="1"/>
  <c r="N102" i="14"/>
  <c r="J101" i="14" a="1"/>
  <c r="J101" i="14" s="1"/>
  <c r="K29" i="14" l="1"/>
  <c r="L29" i="14" s="1"/>
  <c r="I30" i="14" s="1"/>
  <c r="N103" i="14"/>
  <c r="J102" i="14" a="1"/>
  <c r="J102" i="14" s="1"/>
  <c r="L20" i="13"/>
  <c r="I21" i="13" s="1"/>
  <c r="M106" i="13"/>
  <c r="M107" i="14"/>
  <c r="N104" i="13"/>
  <c r="J103" i="13" a="1"/>
  <c r="J103" i="13" s="1"/>
  <c r="K30" i="14" l="1"/>
  <c r="L30" i="14" s="1"/>
  <c r="I31" i="14" s="1"/>
  <c r="M107" i="13"/>
  <c r="N104" i="14"/>
  <c r="J103" i="14" a="1"/>
  <c r="J103" i="14" s="1"/>
  <c r="M108" i="14"/>
  <c r="K21" i="13"/>
  <c r="N105" i="13"/>
  <c r="J104" i="13" a="1"/>
  <c r="J104" i="13" s="1"/>
  <c r="K31" i="14" l="1"/>
  <c r="L31" i="14" s="1"/>
  <c r="I32" i="14" s="1"/>
  <c r="M109" i="14"/>
  <c r="M108" i="13"/>
  <c r="N106" i="13"/>
  <c r="J105" i="13" a="1"/>
  <c r="J105" i="13" s="1"/>
  <c r="L21" i="13"/>
  <c r="I22" i="13" s="1"/>
  <c r="N105" i="14"/>
  <c r="J104" i="14" a="1"/>
  <c r="J104" i="14" s="1"/>
  <c r="K32" i="14" l="1"/>
  <c r="N107" i="13"/>
  <c r="J106" i="13" a="1"/>
  <c r="J106" i="13" s="1"/>
  <c r="K22" i="13"/>
  <c r="M109" i="13"/>
  <c r="N106" i="14"/>
  <c r="J105" i="14" a="1"/>
  <c r="J105" i="14" s="1"/>
  <c r="M110" i="14"/>
  <c r="N108" i="13" l="1"/>
  <c r="J107" i="13" a="1"/>
  <c r="J107" i="13" s="1"/>
  <c r="M110" i="13"/>
  <c r="M111" i="14"/>
  <c r="N107" i="14"/>
  <c r="J106" i="14" a="1"/>
  <c r="J106" i="14" s="1"/>
  <c r="L22" i="13"/>
  <c r="I23" i="13" s="1"/>
  <c r="L32" i="14"/>
  <c r="I33" i="14" s="1"/>
  <c r="N108" i="14" l="1"/>
  <c r="J107" i="14" a="1"/>
  <c r="J107" i="14" s="1"/>
  <c r="M111" i="13"/>
  <c r="N109" i="13"/>
  <c r="J108" i="13" a="1"/>
  <c r="J108" i="13" s="1"/>
  <c r="K33" i="14"/>
  <c r="M112" i="14"/>
  <c r="K23" i="13"/>
  <c r="L23" i="13" s="1"/>
  <c r="I24" i="13" s="1"/>
  <c r="K24" i="13" l="1"/>
  <c r="L24" i="13" s="1"/>
  <c r="I25" i="13" s="1"/>
  <c r="M112" i="13"/>
  <c r="M113" i="14"/>
  <c r="N110" i="13"/>
  <c r="J109" i="13" a="1"/>
  <c r="J109" i="13" s="1"/>
  <c r="L33" i="14"/>
  <c r="I34" i="14" s="1"/>
  <c r="N109" i="14"/>
  <c r="J108" i="14" a="1"/>
  <c r="J108" i="14" s="1"/>
  <c r="K25" i="13" l="1"/>
  <c r="L25" i="13" s="1"/>
  <c r="I26" i="13" s="1"/>
  <c r="N111" i="13"/>
  <c r="J110" i="13" a="1"/>
  <c r="J110" i="13" s="1"/>
  <c r="N110" i="14"/>
  <c r="J109" i="14" a="1"/>
  <c r="J109" i="14" s="1"/>
  <c r="K34" i="14"/>
  <c r="L34" i="14" s="1"/>
  <c r="I35" i="14" s="1"/>
  <c r="M114" i="14"/>
  <c r="M113" i="13"/>
  <c r="K35" i="14" l="1"/>
  <c r="L35" i="14" s="1"/>
  <c r="I36" i="14" s="1"/>
  <c r="K26" i="13"/>
  <c r="L26" i="13" s="1"/>
  <c r="I27" i="13" s="1"/>
  <c r="M114" i="13"/>
  <c r="N112" i="13"/>
  <c r="J111" i="13" a="1"/>
  <c r="J111" i="13" s="1"/>
  <c r="M115" i="14"/>
  <c r="N111" i="14"/>
  <c r="J110" i="14" a="1"/>
  <c r="J110" i="14" s="1"/>
  <c r="K27" i="13" l="1"/>
  <c r="L27" i="13" s="1"/>
  <c r="I28" i="13" s="1"/>
  <c r="K36" i="14"/>
  <c r="L36" i="14" s="1"/>
  <c r="I37" i="14" s="1"/>
  <c r="N113" i="13"/>
  <c r="J112" i="13" a="1"/>
  <c r="J112" i="13" s="1"/>
  <c r="N112" i="14"/>
  <c r="J111" i="14" a="1"/>
  <c r="J111" i="14" s="1"/>
  <c r="M116" i="14"/>
  <c r="M115" i="13"/>
  <c r="K37" i="14" l="1"/>
  <c r="L37" i="14" s="1"/>
  <c r="I38" i="14" s="1"/>
  <c r="K28" i="13"/>
  <c r="L28" i="13" s="1"/>
  <c r="I29" i="13" s="1"/>
  <c r="M116" i="13"/>
  <c r="N113" i="14"/>
  <c r="J112" i="14" a="1"/>
  <c r="J112" i="14" s="1"/>
  <c r="M117" i="14"/>
  <c r="N114" i="13"/>
  <c r="J113" i="13" a="1"/>
  <c r="J113" i="13" s="1"/>
  <c r="K38" i="14" l="1"/>
  <c r="L38" i="14" s="1"/>
  <c r="I39" i="14" s="1"/>
  <c r="N114" i="14"/>
  <c r="J113" i="14" a="1"/>
  <c r="J113" i="14" s="1"/>
  <c r="M118" i="14"/>
  <c r="N115" i="13"/>
  <c r="J114" i="13" a="1"/>
  <c r="J114" i="13" s="1"/>
  <c r="K29" i="13"/>
  <c r="L29" i="13" s="1"/>
  <c r="I30" i="13" s="1"/>
  <c r="M117" i="13"/>
  <c r="K30" i="13" l="1"/>
  <c r="L30" i="13" s="1"/>
  <c r="I31" i="13" s="1"/>
  <c r="K39" i="14"/>
  <c r="L39" i="14" s="1"/>
  <c r="I40" i="14" s="1"/>
  <c r="M118" i="13"/>
  <c r="N115" i="14"/>
  <c r="J114" i="14" a="1"/>
  <c r="J114" i="14" s="1"/>
  <c r="N116" i="13"/>
  <c r="J115" i="13" a="1"/>
  <c r="J115" i="13" s="1"/>
  <c r="M119" i="14"/>
  <c r="K40" i="14" l="1"/>
  <c r="L40" i="14" s="1"/>
  <c r="I41" i="14" s="1"/>
  <c r="K31" i="13"/>
  <c r="L31" i="13" s="1"/>
  <c r="I32" i="13" s="1"/>
  <c r="N116" i="14"/>
  <c r="J115" i="14" a="1"/>
  <c r="J115" i="14" s="1"/>
  <c r="M119" i="13"/>
  <c r="M120" i="14"/>
  <c r="N117" i="13"/>
  <c r="J116" i="13" a="1"/>
  <c r="J116" i="13" s="1"/>
  <c r="K32" i="13" l="1"/>
  <c r="K41" i="14"/>
  <c r="L41" i="14" s="1"/>
  <c r="I42" i="14" s="1"/>
  <c r="M120" i="13"/>
  <c r="N118" i="13"/>
  <c r="J117" i="13" a="1"/>
  <c r="J117" i="13" s="1"/>
  <c r="M121" i="14"/>
  <c r="N117" i="14"/>
  <c r="J116" i="14" a="1"/>
  <c r="J116" i="14" s="1"/>
  <c r="K42" i="14" l="1"/>
  <c r="L42" i="14" s="1"/>
  <c r="I43" i="14" s="1"/>
  <c r="N118" i="14"/>
  <c r="J117" i="14" a="1"/>
  <c r="J117" i="14" s="1"/>
  <c r="N119" i="13"/>
  <c r="J118" i="13" a="1"/>
  <c r="J118" i="13" s="1"/>
  <c r="M122" i="14"/>
  <c r="M121" i="13"/>
  <c r="L32" i="13"/>
  <c r="I33" i="13" s="1"/>
  <c r="K43" i="14" l="1"/>
  <c r="L43" i="14" s="1"/>
  <c r="I44" i="14" s="1"/>
  <c r="N119" i="14"/>
  <c r="J118" i="14" a="1"/>
  <c r="J118" i="14" s="1"/>
  <c r="M122" i="13"/>
  <c r="N120" i="13"/>
  <c r="J119" i="13" a="1"/>
  <c r="J119" i="13" s="1"/>
  <c r="K33" i="13"/>
  <c r="M123" i="14"/>
  <c r="K44" i="14" l="1"/>
  <c r="N120" i="14"/>
  <c r="J119" i="14" a="1"/>
  <c r="J119" i="14" s="1"/>
  <c r="N121" i="13"/>
  <c r="J120" i="13" a="1"/>
  <c r="J120" i="13" s="1"/>
  <c r="L33" i="13"/>
  <c r="I34" i="13" s="1"/>
  <c r="M123" i="13"/>
  <c r="M124" i="14"/>
  <c r="K34" i="13" l="1"/>
  <c r="M124" i="13"/>
  <c r="N121" i="14"/>
  <c r="J120" i="14" a="1"/>
  <c r="J120" i="14" s="1"/>
  <c r="N122" i="13"/>
  <c r="J121" i="13" a="1"/>
  <c r="J121" i="13" s="1"/>
  <c r="M125" i="14"/>
  <c r="L44" i="14"/>
  <c r="I45" i="14" s="1"/>
  <c r="N122" i="14" l="1"/>
  <c r="J121" i="14" a="1"/>
  <c r="J121" i="14" s="1"/>
  <c r="K45" i="14"/>
  <c r="L45" i="14" s="1"/>
  <c r="I46" i="14" s="1"/>
  <c r="N123" i="13"/>
  <c r="J122" i="13" a="1"/>
  <c r="J122" i="13" s="1"/>
  <c r="M125" i="13"/>
  <c r="M126" i="14"/>
  <c r="L34" i="13"/>
  <c r="I35" i="13" s="1"/>
  <c r="K46" i="14" l="1"/>
  <c r="L46" i="14" s="1"/>
  <c r="I47" i="14" s="1"/>
  <c r="K35" i="13"/>
  <c r="L35" i="13" s="1"/>
  <c r="I36" i="13" s="1"/>
  <c r="M126" i="13"/>
  <c r="M127" i="14"/>
  <c r="N124" i="13"/>
  <c r="J123" i="13" a="1"/>
  <c r="J123" i="13" s="1"/>
  <c r="N123" i="14"/>
  <c r="J122" i="14" a="1"/>
  <c r="J122" i="14" s="1"/>
  <c r="K36" i="13" l="1"/>
  <c r="L36" i="13" s="1"/>
  <c r="I37" i="13" s="1"/>
  <c r="K47" i="14"/>
  <c r="N125" i="13"/>
  <c r="J124" i="13" a="1"/>
  <c r="J124" i="13" s="1"/>
  <c r="M127" i="13"/>
  <c r="N124" i="14"/>
  <c r="J123" i="14" a="1"/>
  <c r="J123" i="14" s="1"/>
  <c r="M128" i="14"/>
  <c r="K37" i="13" l="1"/>
  <c r="L37" i="13" s="1"/>
  <c r="I38" i="13" s="1"/>
  <c r="M129" i="14"/>
  <c r="M128" i="13"/>
  <c r="L47" i="14"/>
  <c r="I48" i="14" s="1"/>
  <c r="N125" i="14"/>
  <c r="J124" i="14" a="1"/>
  <c r="J124" i="14" s="1"/>
  <c r="N126" i="13"/>
  <c r="J125" i="13" a="1"/>
  <c r="J125" i="13" s="1"/>
  <c r="K38" i="13" l="1"/>
  <c r="L38" i="13" s="1"/>
  <c r="I39" i="13" s="1"/>
  <c r="M130" i="14"/>
  <c r="N127" i="13"/>
  <c r="J126" i="13" a="1"/>
  <c r="J126" i="13" s="1"/>
  <c r="M129" i="13"/>
  <c r="K48" i="14"/>
  <c r="L48" i="14" s="1"/>
  <c r="I49" i="14" s="1"/>
  <c r="N126" i="14"/>
  <c r="J125" i="14" a="1"/>
  <c r="J125" i="14" s="1"/>
  <c r="K49" i="14" l="1"/>
  <c r="L49" i="14" s="1"/>
  <c r="I50" i="14" s="1"/>
  <c r="K39" i="13"/>
  <c r="L39" i="13" s="1"/>
  <c r="I40" i="13" s="1"/>
  <c r="M130" i="13"/>
  <c r="M131" i="14"/>
  <c r="N127" i="14"/>
  <c r="J126" i="14" a="1"/>
  <c r="J126" i="14" s="1"/>
  <c r="N128" i="13"/>
  <c r="J127" i="13" a="1"/>
  <c r="J127" i="13" s="1"/>
  <c r="K40" i="13" l="1"/>
  <c r="L40" i="13" s="1"/>
  <c r="I41" i="13" s="1"/>
  <c r="K50" i="14"/>
  <c r="L50" i="14" s="1"/>
  <c r="I51" i="14" s="1"/>
  <c r="N129" i="13"/>
  <c r="J128" i="13" a="1"/>
  <c r="J128" i="13" s="1"/>
  <c r="M131" i="13"/>
  <c r="M132" i="14"/>
  <c r="N128" i="14"/>
  <c r="J127" i="14" a="1"/>
  <c r="J127" i="14" s="1"/>
  <c r="K51" i="14" l="1"/>
  <c r="L51" i="14" s="1"/>
  <c r="I52" i="14" s="1"/>
  <c r="K41" i="13"/>
  <c r="L41" i="13" s="1"/>
  <c r="I42" i="13" s="1"/>
  <c r="M132" i="13"/>
  <c r="N129" i="14"/>
  <c r="J128" i="14" a="1"/>
  <c r="J128" i="14" s="1"/>
  <c r="M133" i="14"/>
  <c r="N130" i="13"/>
  <c r="J129" i="13" a="1"/>
  <c r="J129" i="13" s="1"/>
  <c r="K42" i="13" l="1"/>
  <c r="L42" i="13" s="1"/>
  <c r="I43" i="13" s="1"/>
  <c r="K52" i="14"/>
  <c r="L52" i="14" s="1"/>
  <c r="I53" i="14" s="1"/>
  <c r="N131" i="13"/>
  <c r="J130" i="13" a="1"/>
  <c r="J130" i="13" s="1"/>
  <c r="N130" i="14"/>
  <c r="J129" i="14" a="1"/>
  <c r="J129" i="14" s="1"/>
  <c r="M134" i="14"/>
  <c r="M133" i="13"/>
  <c r="K53" i="14" l="1"/>
  <c r="L53" i="14" s="1"/>
  <c r="I54" i="14" s="1"/>
  <c r="K43" i="13"/>
  <c r="L43" i="13" s="1"/>
  <c r="I44" i="13" s="1"/>
  <c r="M135" i="14"/>
  <c r="N132" i="13"/>
  <c r="J131" i="13" a="1"/>
  <c r="J131" i="13" s="1"/>
  <c r="M134" i="13"/>
  <c r="N131" i="14"/>
  <c r="J130" i="14" a="1"/>
  <c r="J130" i="14" s="1"/>
  <c r="K44" i="13" l="1"/>
  <c r="K54" i="14"/>
  <c r="L54" i="14" s="1"/>
  <c r="I55" i="14" s="1"/>
  <c r="N132" i="14"/>
  <c r="J131" i="14" a="1"/>
  <c r="J131" i="14" s="1"/>
  <c r="N133" i="13"/>
  <c r="J132" i="13" a="1"/>
  <c r="J132" i="13" s="1"/>
  <c r="M135" i="13"/>
  <c r="M136" i="14"/>
  <c r="M137" i="14" l="1"/>
  <c r="N134" i="13"/>
  <c r="J133" i="13" a="1"/>
  <c r="J133" i="13" s="1"/>
  <c r="K55" i="14"/>
  <c r="L55" i="14" s="1"/>
  <c r="I56" i="14" s="1"/>
  <c r="M136" i="13"/>
  <c r="N133" i="14"/>
  <c r="J132" i="14" a="1"/>
  <c r="J132" i="14" s="1"/>
  <c r="L44" i="13"/>
  <c r="I45" i="13" s="1"/>
  <c r="K56" i="14" l="1"/>
  <c r="K45" i="13"/>
  <c r="M137" i="13"/>
  <c r="N135" i="13"/>
  <c r="J134" i="13" a="1"/>
  <c r="J134" i="13" s="1"/>
  <c r="N134" i="14"/>
  <c r="J133" i="14" a="1"/>
  <c r="J133" i="14" s="1"/>
  <c r="M138" i="14"/>
  <c r="N136" i="13" l="1"/>
  <c r="J135" i="13" a="1"/>
  <c r="J135" i="13" s="1"/>
  <c r="L45" i="13"/>
  <c r="I46" i="13" s="1"/>
  <c r="M139" i="14"/>
  <c r="M138" i="13"/>
  <c r="N135" i="14"/>
  <c r="J134" i="14" a="1"/>
  <c r="J134" i="14" s="1"/>
  <c r="L56" i="14"/>
  <c r="I57" i="14" s="1"/>
  <c r="M140" i="14" l="1"/>
  <c r="M139" i="13"/>
  <c r="K57" i="14"/>
  <c r="K46" i="13"/>
  <c r="N136" i="14"/>
  <c r="J135" i="14" a="1"/>
  <c r="J135" i="14" s="1"/>
  <c r="N137" i="13"/>
  <c r="J136" i="13" a="1"/>
  <c r="J136" i="13" s="1"/>
  <c r="M140" i="13" l="1"/>
  <c r="N138" i="13"/>
  <c r="J137" i="13" a="1"/>
  <c r="J137" i="13" s="1"/>
  <c r="L46" i="13"/>
  <c r="I47" i="13" s="1"/>
  <c r="M141" i="14"/>
  <c r="N137" i="14"/>
  <c r="J136" i="14" a="1"/>
  <c r="J136" i="14" s="1"/>
  <c r="L57" i="14"/>
  <c r="I58" i="14" s="1"/>
  <c r="K58" i="14" l="1"/>
  <c r="N139" i="13"/>
  <c r="J138" i="13" a="1"/>
  <c r="J138" i="13" s="1"/>
  <c r="M141" i="13"/>
  <c r="M142" i="14"/>
  <c r="N138" i="14"/>
  <c r="J137" i="14" a="1"/>
  <c r="J137" i="14" s="1"/>
  <c r="K47" i="13"/>
  <c r="L47" i="13" s="1"/>
  <c r="I48" i="13" s="1"/>
  <c r="K48" i="13" l="1"/>
  <c r="L48" i="13" s="1"/>
  <c r="I49" i="13" s="1"/>
  <c r="M143" i="14"/>
  <c r="N140" i="13"/>
  <c r="J139" i="13" a="1"/>
  <c r="J139" i="13" s="1"/>
  <c r="M142" i="13"/>
  <c r="N139" i="14"/>
  <c r="J138" i="14" a="1"/>
  <c r="J138" i="14" s="1"/>
  <c r="L58" i="14"/>
  <c r="I59" i="14" s="1"/>
  <c r="K49" i="13" l="1"/>
  <c r="L49" i="13" s="1"/>
  <c r="I50" i="13" s="1"/>
  <c r="K59" i="14"/>
  <c r="L59" i="14" s="1"/>
  <c r="I60" i="14" s="1"/>
  <c r="M144" i="14"/>
  <c r="N140" i="14"/>
  <c r="J139" i="14" a="1"/>
  <c r="J139" i="14" s="1"/>
  <c r="M143" i="13"/>
  <c r="N141" i="13"/>
  <c r="J140" i="13" a="1"/>
  <c r="J140" i="13" s="1"/>
  <c r="K60" i="14" l="1"/>
  <c r="L60" i="14" s="1"/>
  <c r="I61" i="14" s="1"/>
  <c r="K50" i="13"/>
  <c r="L50" i="13" s="1"/>
  <c r="I51" i="13" s="1"/>
  <c r="N141" i="14"/>
  <c r="J140" i="14" a="1"/>
  <c r="J140" i="14" s="1"/>
  <c r="N142" i="13"/>
  <c r="J141" i="13" a="1"/>
  <c r="J141" i="13" s="1"/>
  <c r="M144" i="13"/>
  <c r="M145" i="14"/>
  <c r="K51" i="13" l="1"/>
  <c r="L51" i="13" s="1"/>
  <c r="I52" i="13" s="1"/>
  <c r="K61" i="14"/>
  <c r="L61" i="14" s="1"/>
  <c r="I62" i="14" s="1"/>
  <c r="N143" i="13"/>
  <c r="J142" i="13" a="1"/>
  <c r="J142" i="13" s="1"/>
  <c r="M145" i="13"/>
  <c r="M146" i="14"/>
  <c r="N142" i="14"/>
  <c r="J141" i="14" a="1"/>
  <c r="J141" i="14" s="1"/>
  <c r="K62" i="14" l="1"/>
  <c r="L62" i="14" s="1"/>
  <c r="I63" i="14" s="1"/>
  <c r="K52" i="13"/>
  <c r="L52" i="13" s="1"/>
  <c r="I53" i="13" s="1"/>
  <c r="M146" i="13"/>
  <c r="N143" i="14"/>
  <c r="J142" i="14" a="1"/>
  <c r="J142" i="14" s="1"/>
  <c r="M147" i="14"/>
  <c r="N144" i="13"/>
  <c r="J143" i="13" a="1"/>
  <c r="J143" i="13" s="1"/>
  <c r="K53" i="13" l="1"/>
  <c r="L53" i="13" s="1"/>
  <c r="I54" i="13" s="1"/>
  <c r="K63" i="14"/>
  <c r="L63" i="14" s="1"/>
  <c r="I64" i="14" s="1"/>
  <c r="N144" i="14"/>
  <c r="J143" i="14" a="1"/>
  <c r="J143" i="14" s="1"/>
  <c r="M148" i="14"/>
  <c r="M147" i="13"/>
  <c r="N145" i="13"/>
  <c r="J144" i="13" a="1"/>
  <c r="J144" i="13" s="1"/>
  <c r="K64" i="14" l="1"/>
  <c r="L64" i="14" s="1"/>
  <c r="I65" i="14" s="1"/>
  <c r="K54" i="13"/>
  <c r="L54" i="13" s="1"/>
  <c r="I55" i="13" s="1"/>
  <c r="M149" i="14"/>
  <c r="M148" i="13"/>
  <c r="N146" i="13"/>
  <c r="J145" i="13" a="1"/>
  <c r="J145" i="13" s="1"/>
  <c r="N145" i="14"/>
  <c r="J144" i="14" a="1"/>
  <c r="J144" i="14" s="1"/>
  <c r="K65" i="14" l="1"/>
  <c r="L65" i="14" s="1"/>
  <c r="I66" i="14" s="1"/>
  <c r="M149" i="13"/>
  <c r="K55" i="13"/>
  <c r="L55" i="13" s="1"/>
  <c r="I56" i="13" s="1"/>
  <c r="M150" i="14"/>
  <c r="N146" i="14"/>
  <c r="J145" i="14" a="1"/>
  <c r="J145" i="14" s="1"/>
  <c r="N147" i="13"/>
  <c r="J146" i="13" a="1"/>
  <c r="J146" i="13" s="1"/>
  <c r="K56" i="13" l="1"/>
  <c r="K66" i="14"/>
  <c r="L66" i="14" s="1"/>
  <c r="I67" i="14" s="1"/>
  <c r="M151" i="14"/>
  <c r="M150" i="13"/>
  <c r="N148" i="13"/>
  <c r="J147" i="13" a="1"/>
  <c r="J147" i="13" s="1"/>
  <c r="N147" i="14"/>
  <c r="J146" i="14" a="1"/>
  <c r="J146" i="14" s="1"/>
  <c r="K67" i="14" l="1"/>
  <c r="L67" i="14" s="1"/>
  <c r="I68" i="14" s="1"/>
  <c r="M151" i="13"/>
  <c r="N148" i="14"/>
  <c r="J147" i="14" a="1"/>
  <c r="J147" i="14" s="1"/>
  <c r="M152" i="14"/>
  <c r="N149" i="13"/>
  <c r="J148" i="13" a="1"/>
  <c r="J148" i="13" s="1"/>
  <c r="L56" i="13"/>
  <c r="I57" i="13" s="1"/>
  <c r="K68" i="14" l="1"/>
  <c r="K57" i="13"/>
  <c r="M152" i="13"/>
  <c r="N150" i="13"/>
  <c r="J149" i="13" a="1"/>
  <c r="J149" i="13" s="1"/>
  <c r="M153" i="14"/>
  <c r="N149" i="14"/>
  <c r="J148" i="14" a="1"/>
  <c r="J148" i="14" s="1"/>
  <c r="N150" i="14" l="1"/>
  <c r="J149" i="14" a="1"/>
  <c r="J149" i="14" s="1"/>
  <c r="N151" i="13"/>
  <c r="J150" i="13" a="1"/>
  <c r="J150" i="13" s="1"/>
  <c r="L57" i="13"/>
  <c r="I58" i="13" s="1"/>
  <c r="M154" i="14"/>
  <c r="M153" i="13"/>
  <c r="L68" i="14"/>
  <c r="I69" i="14" s="1"/>
  <c r="K69" i="14" l="1"/>
  <c r="M155" i="14"/>
  <c r="N152" i="13"/>
  <c r="J151" i="13" a="1"/>
  <c r="J151" i="13" s="1"/>
  <c r="M154" i="13"/>
  <c r="K58" i="13"/>
  <c r="N151" i="14"/>
  <c r="J150" i="14" a="1"/>
  <c r="J150" i="14" s="1"/>
  <c r="M155" i="13" l="1"/>
  <c r="M156" i="14"/>
  <c r="N152" i="14"/>
  <c r="J151" i="14" a="1"/>
  <c r="J151" i="14" s="1"/>
  <c r="L58" i="13"/>
  <c r="I59" i="13" s="1"/>
  <c r="N153" i="13"/>
  <c r="J152" i="13" a="1"/>
  <c r="J152" i="13" s="1"/>
  <c r="L69" i="14"/>
  <c r="I70" i="14" s="1"/>
  <c r="M157" i="14" l="1"/>
  <c r="M156" i="13"/>
  <c r="K70" i="14"/>
  <c r="L70" i="14" s="1"/>
  <c r="I71" i="14" s="1"/>
  <c r="N154" i="13"/>
  <c r="J153" i="13" a="1"/>
  <c r="J153" i="13" s="1"/>
  <c r="K59" i="13"/>
  <c r="L59" i="13" s="1"/>
  <c r="I60" i="13" s="1"/>
  <c r="N153" i="14"/>
  <c r="J152" i="14" a="1"/>
  <c r="J152" i="14" s="1"/>
  <c r="K71" i="14" l="1"/>
  <c r="L71" i="14" s="1"/>
  <c r="I72" i="14" s="1"/>
  <c r="K60" i="13"/>
  <c r="L60" i="13" s="1"/>
  <c r="I61" i="13" s="1"/>
  <c r="N154" i="14"/>
  <c r="J153" i="14" a="1"/>
  <c r="J153" i="14" s="1"/>
  <c r="N155" i="13"/>
  <c r="J154" i="13" a="1"/>
  <c r="J154" i="13" s="1"/>
  <c r="M157" i="13"/>
  <c r="M158" i="14"/>
  <c r="K72" i="14" l="1"/>
  <c r="L72" i="14" s="1"/>
  <c r="I73" i="14" s="1"/>
  <c r="K61" i="13"/>
  <c r="L61" i="13" s="1"/>
  <c r="I62" i="13" s="1"/>
  <c r="N156" i="13"/>
  <c r="J155" i="13" a="1"/>
  <c r="J155" i="13" s="1"/>
  <c r="M159" i="14"/>
  <c r="M158" i="13"/>
  <c r="N155" i="14"/>
  <c r="J154" i="14" a="1"/>
  <c r="J154" i="14" s="1"/>
  <c r="K62" i="13" l="1"/>
  <c r="L62" i="13" s="1"/>
  <c r="I63" i="13" s="1"/>
  <c r="K73" i="14"/>
  <c r="L73" i="14" s="1"/>
  <c r="I74" i="14" s="1"/>
  <c r="M160" i="14"/>
  <c r="N156" i="14"/>
  <c r="J155" i="14" a="1"/>
  <c r="J155" i="14" s="1"/>
  <c r="M159" i="13"/>
  <c r="N157" i="13"/>
  <c r="J156" i="13" a="1"/>
  <c r="J156" i="13" s="1"/>
  <c r="K74" i="14" l="1"/>
  <c r="L74" i="14" s="1"/>
  <c r="I75" i="14" s="1"/>
  <c r="K63" i="13"/>
  <c r="L63" i="13" s="1"/>
  <c r="I64" i="13" s="1"/>
  <c r="N157" i="14"/>
  <c r="J156" i="14" a="1"/>
  <c r="J156" i="14" s="1"/>
  <c r="M160" i="13"/>
  <c r="M161" i="14"/>
  <c r="N158" i="13"/>
  <c r="J157" i="13" a="1"/>
  <c r="J157" i="13" s="1"/>
  <c r="K64" i="13" l="1"/>
  <c r="L64" i="13" s="1"/>
  <c r="I65" i="13" s="1"/>
  <c r="K75" i="14"/>
  <c r="L75" i="14" s="1"/>
  <c r="I76" i="14" s="1"/>
  <c r="N159" i="13"/>
  <c r="J158" i="13" a="1"/>
  <c r="J158" i="13" s="1"/>
  <c r="M161" i="13"/>
  <c r="M162" i="14"/>
  <c r="N158" i="14"/>
  <c r="J157" i="14" a="1"/>
  <c r="J157" i="14" s="1"/>
  <c r="K76" i="14" l="1"/>
  <c r="L76" i="14" s="1"/>
  <c r="I77" i="14" s="1"/>
  <c r="K65" i="13"/>
  <c r="L65" i="13" s="1"/>
  <c r="I66" i="13" s="1"/>
  <c r="M162" i="13"/>
  <c r="N159" i="14"/>
  <c r="J158" i="14" a="1"/>
  <c r="J158" i="14" s="1"/>
  <c r="M163" i="14"/>
  <c r="N160" i="13"/>
  <c r="J159" i="13" a="1"/>
  <c r="J159" i="13" s="1"/>
  <c r="K66" i="13" l="1"/>
  <c r="L66" i="13" s="1"/>
  <c r="I67" i="13" s="1"/>
  <c r="K77" i="14"/>
  <c r="L77" i="14" s="1"/>
  <c r="I78" i="14" s="1"/>
  <c r="N161" i="13"/>
  <c r="J160" i="13" a="1"/>
  <c r="J160" i="13" s="1"/>
  <c r="N160" i="14"/>
  <c r="J159" i="14" a="1"/>
  <c r="J159" i="14" s="1"/>
  <c r="M164" i="14"/>
  <c r="M163" i="13"/>
  <c r="K78" i="14" l="1"/>
  <c r="L78" i="14" s="1"/>
  <c r="I79" i="14" s="1"/>
  <c r="K67" i="13"/>
  <c r="L67" i="13" s="1"/>
  <c r="I68" i="13" s="1"/>
  <c r="N161" i="14"/>
  <c r="J160" i="14" a="1"/>
  <c r="J160" i="14" s="1"/>
  <c r="M164" i="13"/>
  <c r="M165" i="14"/>
  <c r="N162" i="13"/>
  <c r="J161" i="13" a="1"/>
  <c r="J161" i="13" s="1"/>
  <c r="K68" i="13" l="1"/>
  <c r="K79" i="14"/>
  <c r="L79" i="14" s="1"/>
  <c r="I80" i="14" s="1"/>
  <c r="N163" i="13"/>
  <c r="J162" i="13" a="1"/>
  <c r="J162" i="13" s="1"/>
  <c r="M165" i="13"/>
  <c r="M166" i="14"/>
  <c r="N162" i="14"/>
  <c r="J161" i="14" a="1"/>
  <c r="J161" i="14" s="1"/>
  <c r="K80" i="14" l="1"/>
  <c r="M166" i="13"/>
  <c r="N163" i="14"/>
  <c r="J162" i="14" a="1"/>
  <c r="J162" i="14" s="1"/>
  <c r="M167" i="14"/>
  <c r="N164" i="13"/>
  <c r="J163" i="13" a="1"/>
  <c r="J163" i="13" s="1"/>
  <c r="L68" i="13"/>
  <c r="I69" i="13" s="1"/>
  <c r="N165" i="13" l="1"/>
  <c r="J164" i="13" a="1"/>
  <c r="J164" i="13" s="1"/>
  <c r="N164" i="14"/>
  <c r="J163" i="14" a="1"/>
  <c r="J163" i="14" s="1"/>
  <c r="M168" i="14"/>
  <c r="K69" i="13"/>
  <c r="M167" i="13"/>
  <c r="L80" i="14"/>
  <c r="I81" i="14" s="1"/>
  <c r="M168" i="13" l="1"/>
  <c r="M169" i="14"/>
  <c r="K81" i="14"/>
  <c r="L69" i="13"/>
  <c r="I70" i="13" s="1"/>
  <c r="N165" i="14"/>
  <c r="J164" i="14" a="1"/>
  <c r="J164" i="14" s="1"/>
  <c r="N166" i="13"/>
  <c r="J165" i="13" a="1"/>
  <c r="J165" i="13" s="1"/>
  <c r="N166" i="14" l="1"/>
  <c r="J165" i="14" a="1"/>
  <c r="J165" i="14" s="1"/>
  <c r="M170" i="14"/>
  <c r="N167" i="13"/>
  <c r="J166" i="13" a="1"/>
  <c r="J166" i="13" s="1"/>
  <c r="K70" i="13"/>
  <c r="L70" i="13" s="1"/>
  <c r="I71" i="13" s="1"/>
  <c r="M169" i="13"/>
  <c r="L81" i="14"/>
  <c r="I82" i="14" s="1"/>
  <c r="M171" i="14" l="1"/>
  <c r="K82" i="14"/>
  <c r="L82" i="14" s="1"/>
  <c r="I83" i="14" s="1"/>
  <c r="M170" i="13"/>
  <c r="K71" i="13"/>
  <c r="L71" i="13" s="1"/>
  <c r="I72" i="13" s="1"/>
  <c r="N168" i="13"/>
  <c r="J167" i="13" a="1"/>
  <c r="J167" i="13" s="1"/>
  <c r="N167" i="14"/>
  <c r="J166" i="14" a="1"/>
  <c r="J166" i="14" s="1"/>
  <c r="K72" i="13" l="1"/>
  <c r="L72" i="13" s="1"/>
  <c r="I73" i="13" s="1"/>
  <c r="K83" i="14"/>
  <c r="L83" i="14" s="1"/>
  <c r="I84" i="14" s="1"/>
  <c r="N168" i="14"/>
  <c r="J167" i="14" a="1"/>
  <c r="J167" i="14" s="1"/>
  <c r="N169" i="13"/>
  <c r="J168" i="13" a="1"/>
  <c r="J168" i="13" s="1"/>
  <c r="M171" i="13"/>
  <c r="M172" i="14"/>
  <c r="K84" i="14" l="1"/>
  <c r="L84" i="14" s="1"/>
  <c r="I85" i="14" s="1"/>
  <c r="K73" i="13"/>
  <c r="L73" i="13" s="1"/>
  <c r="I74" i="13" s="1"/>
  <c r="M172" i="13"/>
  <c r="M173" i="14"/>
  <c r="N170" i="13"/>
  <c r="J169" i="13" a="1"/>
  <c r="J169" i="13" s="1"/>
  <c r="N169" i="14"/>
  <c r="J168" i="14" a="1"/>
  <c r="J168" i="14" s="1"/>
  <c r="K74" i="13" l="1"/>
  <c r="L74" i="13" s="1"/>
  <c r="I75" i="13" s="1"/>
  <c r="K85" i="14"/>
  <c r="L85" i="14" s="1"/>
  <c r="I86" i="14" s="1"/>
  <c r="M174" i="14"/>
  <c r="N170" i="14"/>
  <c r="J169" i="14" a="1"/>
  <c r="J169" i="14" s="1"/>
  <c r="M173" i="13"/>
  <c r="N171" i="13"/>
  <c r="J170" i="13" a="1"/>
  <c r="J170" i="13" s="1"/>
  <c r="K86" i="14" l="1"/>
  <c r="L86" i="14" s="1"/>
  <c r="I87" i="14" s="1"/>
  <c r="K75" i="13"/>
  <c r="L75" i="13" s="1"/>
  <c r="I76" i="13" s="1"/>
  <c r="N171" i="14"/>
  <c r="J170" i="14" a="1"/>
  <c r="J170" i="14" s="1"/>
  <c r="N172" i="13"/>
  <c r="J171" i="13" a="1"/>
  <c r="J171" i="13" s="1"/>
  <c r="M174" i="13"/>
  <c r="M175" i="14"/>
  <c r="K76" i="13" l="1"/>
  <c r="L76" i="13" s="1"/>
  <c r="I77" i="13" s="1"/>
  <c r="K87" i="14"/>
  <c r="L87" i="14" s="1"/>
  <c r="I88" i="14" s="1"/>
  <c r="N173" i="13"/>
  <c r="J172" i="13" a="1"/>
  <c r="J172" i="13" s="1"/>
  <c r="M176" i="14"/>
  <c r="M175" i="13"/>
  <c r="N172" i="14"/>
  <c r="J171" i="14" a="1"/>
  <c r="J171" i="14" s="1"/>
  <c r="K88" i="14" l="1"/>
  <c r="L88" i="14" s="1"/>
  <c r="I89" i="14" s="1"/>
  <c r="K77" i="13"/>
  <c r="L77" i="13" s="1"/>
  <c r="I78" i="13" s="1"/>
  <c r="N173" i="14"/>
  <c r="J172" i="14" a="1"/>
  <c r="J172" i="14" s="1"/>
  <c r="M177" i="14"/>
  <c r="M176" i="13"/>
  <c r="N174" i="13"/>
  <c r="J173" i="13" a="1"/>
  <c r="J173" i="13" s="1"/>
  <c r="K78" i="13" l="1"/>
  <c r="L78" i="13" s="1"/>
  <c r="I79" i="13" s="1"/>
  <c r="K89" i="14"/>
  <c r="L89" i="14" s="1"/>
  <c r="I90" i="14" s="1"/>
  <c r="N175" i="13"/>
  <c r="J174" i="13" a="1"/>
  <c r="J174" i="13" s="1"/>
  <c r="M178" i="14"/>
  <c r="M177" i="13"/>
  <c r="N174" i="14"/>
  <c r="J173" i="14" a="1"/>
  <c r="J173" i="14" s="1"/>
  <c r="K90" i="14" l="1"/>
  <c r="L90" i="14" s="1"/>
  <c r="I91" i="14" s="1"/>
  <c r="K79" i="13"/>
  <c r="L79" i="13" s="1"/>
  <c r="I80" i="13" s="1"/>
  <c r="N175" i="14"/>
  <c r="J174" i="14" a="1"/>
  <c r="J174" i="14" s="1"/>
  <c r="M179" i="14"/>
  <c r="M178" i="13"/>
  <c r="N176" i="13"/>
  <c r="J175" i="13" a="1"/>
  <c r="J175" i="13" s="1"/>
  <c r="K80" i="13" l="1"/>
  <c r="K91" i="14"/>
  <c r="L91" i="14" s="1"/>
  <c r="I92" i="14" s="1"/>
  <c r="M180" i="14"/>
  <c r="N177" i="13"/>
  <c r="J176" i="13" a="1"/>
  <c r="J176" i="13" s="1"/>
  <c r="M179" i="13"/>
  <c r="N176" i="14"/>
  <c r="J175" i="14" a="1"/>
  <c r="J175" i="14" s="1"/>
  <c r="K92" i="14" l="1"/>
  <c r="N178" i="13"/>
  <c r="J177" i="13" a="1"/>
  <c r="J177" i="13" s="1"/>
  <c r="N177" i="14"/>
  <c r="J176" i="14" a="1"/>
  <c r="J176" i="14" s="1"/>
  <c r="M180" i="13"/>
  <c r="M181" i="14"/>
  <c r="L80" i="13"/>
  <c r="I81" i="13" s="1"/>
  <c r="N178" i="14" l="1"/>
  <c r="J177" i="14" a="1"/>
  <c r="J177" i="14" s="1"/>
  <c r="M181" i="13"/>
  <c r="M182" i="14"/>
  <c r="N179" i="13"/>
  <c r="J178" i="13" a="1"/>
  <c r="J178" i="13" s="1"/>
  <c r="K81" i="13"/>
  <c r="L81" i="13" s="1"/>
  <c r="I82" i="13" s="1"/>
  <c r="L92" i="14"/>
  <c r="I93" i="14" s="1"/>
  <c r="M182" i="13" l="1"/>
  <c r="N180" i="13"/>
  <c r="J179" i="13" a="1"/>
  <c r="J179" i="13" s="1"/>
  <c r="K93" i="14"/>
  <c r="K82" i="13"/>
  <c r="L82" i="13" s="1"/>
  <c r="I83" i="13" s="1"/>
  <c r="M183" i="14"/>
  <c r="N179" i="14"/>
  <c r="J178" i="14" a="1"/>
  <c r="J178" i="14" s="1"/>
  <c r="N180" i="14" l="1"/>
  <c r="J179" i="14" a="1"/>
  <c r="J179" i="14" s="1"/>
  <c r="K83" i="13"/>
  <c r="L83" i="13" s="1"/>
  <c r="I84" i="13" s="1"/>
  <c r="M184" i="14"/>
  <c r="L93" i="14"/>
  <c r="I94" i="14" s="1"/>
  <c r="M183" i="13"/>
  <c r="N181" i="13"/>
  <c r="J180" i="13" a="1"/>
  <c r="J180" i="13" s="1"/>
  <c r="K94" i="14" l="1"/>
  <c r="L94" i="14" s="1"/>
  <c r="I95" i="14" s="1"/>
  <c r="K84" i="13"/>
  <c r="L84" i="13" s="1"/>
  <c r="I85" i="13" s="1"/>
  <c r="N182" i="13"/>
  <c r="J181" i="13" a="1"/>
  <c r="J181" i="13" s="1"/>
  <c r="M184" i="13"/>
  <c r="M185" i="14"/>
  <c r="N181" i="14"/>
  <c r="J180" i="14" a="1"/>
  <c r="J180" i="14" s="1"/>
  <c r="K85" i="13" l="1"/>
  <c r="L85" i="13" s="1"/>
  <c r="I86" i="13" s="1"/>
  <c r="K95" i="14"/>
  <c r="L95" i="14" s="1"/>
  <c r="I96" i="14" s="1"/>
  <c r="M185" i="13"/>
  <c r="N182" i="14"/>
  <c r="J181" i="14" a="1"/>
  <c r="J181" i="14" s="1"/>
  <c r="M186" i="14"/>
  <c r="N183" i="13"/>
  <c r="J182" i="13" a="1"/>
  <c r="J182" i="13" s="1"/>
  <c r="K96" i="14" l="1"/>
  <c r="L96" i="14" s="1"/>
  <c r="I97" i="14" s="1"/>
  <c r="K86" i="13"/>
  <c r="L86" i="13" s="1"/>
  <c r="I87" i="13" s="1"/>
  <c r="N183" i="14"/>
  <c r="J182" i="14" a="1"/>
  <c r="J182" i="14" s="1"/>
  <c r="N184" i="13"/>
  <c r="J183" i="13" a="1"/>
  <c r="J183" i="13" s="1"/>
  <c r="M187" i="14"/>
  <c r="M186" i="13"/>
  <c r="K87" i="13" l="1"/>
  <c r="L87" i="13" s="1"/>
  <c r="I88" i="13" s="1"/>
  <c r="K97" i="14"/>
  <c r="L97" i="14" s="1"/>
  <c r="I98" i="14" s="1"/>
  <c r="N185" i="13"/>
  <c r="J184" i="13" a="1"/>
  <c r="J184" i="13" s="1"/>
  <c r="M187" i="13"/>
  <c r="M188" i="14"/>
  <c r="N184" i="14"/>
  <c r="J183" i="14" a="1"/>
  <c r="J183" i="14" s="1"/>
  <c r="K88" i="13" l="1"/>
  <c r="L88" i="13" s="1"/>
  <c r="I89" i="13" s="1"/>
  <c r="M188" i="13"/>
  <c r="N185" i="14"/>
  <c r="J184" i="14" a="1"/>
  <c r="J184" i="14" s="1"/>
  <c r="K98" i="14"/>
  <c r="L98" i="14" s="1"/>
  <c r="I99" i="14" s="1"/>
  <c r="M189" i="14"/>
  <c r="N186" i="13"/>
  <c r="J185" i="13" a="1"/>
  <c r="J185" i="13" s="1"/>
  <c r="K99" i="14" l="1"/>
  <c r="L99" i="14" s="1"/>
  <c r="I100" i="14" s="1"/>
  <c r="K89" i="13"/>
  <c r="L89" i="13" s="1"/>
  <c r="I90" i="13" s="1"/>
  <c r="N187" i="13"/>
  <c r="J186" i="13" a="1"/>
  <c r="J186" i="13" s="1"/>
  <c r="M189" i="13"/>
  <c r="M190" i="14"/>
  <c r="N186" i="14"/>
  <c r="J185" i="14" a="1"/>
  <c r="J185" i="14" s="1"/>
  <c r="K90" i="13" l="1"/>
  <c r="L90" i="13" s="1"/>
  <c r="I91" i="13" s="1"/>
  <c r="K100" i="14"/>
  <c r="L100" i="14" s="1"/>
  <c r="I101" i="14" s="1"/>
  <c r="M190" i="13"/>
  <c r="N187" i="14"/>
  <c r="J186" i="14" a="1"/>
  <c r="J186" i="14" s="1"/>
  <c r="M191" i="14"/>
  <c r="N188" i="13"/>
  <c r="J187" i="13" a="1"/>
  <c r="J187" i="13" s="1"/>
  <c r="K101" i="14" l="1"/>
  <c r="L101" i="14" s="1"/>
  <c r="I102" i="14" s="1"/>
  <c r="K91" i="13"/>
  <c r="L91" i="13" s="1"/>
  <c r="I92" i="13" s="1"/>
  <c r="N189" i="13"/>
  <c r="J188" i="13" a="1"/>
  <c r="J188" i="13" s="1"/>
  <c r="N188" i="14"/>
  <c r="J187" i="14" a="1"/>
  <c r="J187" i="14" s="1"/>
  <c r="M192" i="14"/>
  <c r="M191" i="13"/>
  <c r="K92" i="13" l="1"/>
  <c r="K102" i="14"/>
  <c r="L102" i="14" s="1"/>
  <c r="I103" i="14" s="1"/>
  <c r="N189" i="14"/>
  <c r="J188" i="14" a="1"/>
  <c r="J188" i="14" s="1"/>
  <c r="M192" i="13"/>
  <c r="M193" i="14"/>
  <c r="N190" i="13"/>
  <c r="J189" i="13" a="1"/>
  <c r="J189" i="13" s="1"/>
  <c r="K103" i="14" l="1"/>
  <c r="L103" i="14" s="1"/>
  <c r="I104" i="14" s="1"/>
  <c r="N191" i="13"/>
  <c r="J190" i="13" a="1"/>
  <c r="J190" i="13" s="1"/>
  <c r="M194" i="14"/>
  <c r="M193" i="13"/>
  <c r="N190" i="14"/>
  <c r="J189" i="14" a="1"/>
  <c r="J189" i="14" s="1"/>
  <c r="L92" i="13"/>
  <c r="I93" i="13" s="1"/>
  <c r="K104" i="14" l="1"/>
  <c r="K93" i="13"/>
  <c r="M195" i="14"/>
  <c r="N192" i="13"/>
  <c r="J191" i="13" a="1"/>
  <c r="J191" i="13" s="1"/>
  <c r="N191" i="14"/>
  <c r="J190" i="14" a="1"/>
  <c r="J190" i="14" s="1"/>
  <c r="M194" i="13"/>
  <c r="N193" i="13" l="1"/>
  <c r="J192" i="13" a="1"/>
  <c r="J192" i="13" s="1"/>
  <c r="L93" i="13"/>
  <c r="I94" i="13" s="1"/>
  <c r="M196" i="14"/>
  <c r="M195" i="13"/>
  <c r="N192" i="14"/>
  <c r="J191" i="14" a="1"/>
  <c r="J191" i="14" s="1"/>
  <c r="L104" i="14"/>
  <c r="I105" i="14" s="1"/>
  <c r="N193" i="14" l="1"/>
  <c r="J192" i="14" a="1"/>
  <c r="J192" i="14" s="1"/>
  <c r="M197" i="14"/>
  <c r="N194" i="13"/>
  <c r="J193" i="13" a="1"/>
  <c r="J193" i="13" s="1"/>
  <c r="M196" i="13"/>
  <c r="K105" i="14"/>
  <c r="K94" i="13"/>
  <c r="L94" i="13" s="1"/>
  <c r="I95" i="13" s="1"/>
  <c r="L105" i="14" l="1"/>
  <c r="I106" i="14" s="1"/>
  <c r="M197" i="13"/>
  <c r="M198" i="14"/>
  <c r="K95" i="13"/>
  <c r="L95" i="13" s="1"/>
  <c r="I96" i="13" s="1"/>
  <c r="N195" i="13"/>
  <c r="J194" i="13" a="1"/>
  <c r="J194" i="13" s="1"/>
  <c r="N194" i="14"/>
  <c r="J193" i="14" a="1"/>
  <c r="J193" i="14" s="1"/>
  <c r="K96" i="13" l="1"/>
  <c r="L96" i="13" s="1"/>
  <c r="I97" i="13" s="1"/>
  <c r="M198" i="13"/>
  <c r="N195" i="14"/>
  <c r="J194" i="14" a="1"/>
  <c r="J194" i="14" s="1"/>
  <c r="N196" i="13"/>
  <c r="J195" i="13" a="1"/>
  <c r="J195" i="13" s="1"/>
  <c r="M199" i="14"/>
  <c r="K106" i="14"/>
  <c r="L106" i="14" s="1"/>
  <c r="I107" i="14" s="1"/>
  <c r="K107" i="14" l="1"/>
  <c r="L107" i="14" s="1"/>
  <c r="I108" i="14" s="1"/>
  <c r="K97" i="13"/>
  <c r="L97" i="13" s="1"/>
  <c r="I98" i="13" s="1"/>
  <c r="M199" i="13"/>
  <c r="N197" i="13"/>
  <c r="J196" i="13" a="1"/>
  <c r="J196" i="13" s="1"/>
  <c r="M200" i="14"/>
  <c r="N196" i="14"/>
  <c r="J195" i="14" a="1"/>
  <c r="J195" i="14" s="1"/>
  <c r="K108" i="14" l="1"/>
  <c r="L108" i="14" s="1"/>
  <c r="I109" i="14" s="1"/>
  <c r="K98" i="13"/>
  <c r="L98" i="13" s="1"/>
  <c r="I99" i="13" s="1"/>
  <c r="N198" i="13"/>
  <c r="J197" i="13" a="1"/>
  <c r="J197" i="13" s="1"/>
  <c r="M201" i="14"/>
  <c r="N197" i="14"/>
  <c r="J196" i="14" a="1"/>
  <c r="J196" i="14" s="1"/>
  <c r="M200" i="13"/>
  <c r="K99" i="13" l="1"/>
  <c r="L99" i="13" s="1"/>
  <c r="I100" i="13" s="1"/>
  <c r="K109" i="14"/>
  <c r="L109" i="14" s="1"/>
  <c r="I110" i="14" s="1"/>
  <c r="M201" i="13"/>
  <c r="M202" i="14"/>
  <c r="N198" i="14"/>
  <c r="J197" i="14" a="1"/>
  <c r="J197" i="14" s="1"/>
  <c r="N199" i="13"/>
  <c r="J198" i="13" a="1"/>
  <c r="J198" i="13" s="1"/>
  <c r="K110" i="14" l="1"/>
  <c r="L110" i="14" s="1"/>
  <c r="I111" i="14" s="1"/>
  <c r="K100" i="13"/>
  <c r="L100" i="13" s="1"/>
  <c r="I101" i="13" s="1"/>
  <c r="M203" i="14"/>
  <c r="N200" i="13"/>
  <c r="J199" i="13" a="1"/>
  <c r="J199" i="13" s="1"/>
  <c r="M202" i="13"/>
  <c r="N199" i="14"/>
  <c r="J198" i="14" a="1"/>
  <c r="J198" i="14" s="1"/>
  <c r="K101" i="13" l="1"/>
  <c r="L101" i="13" s="1"/>
  <c r="I102" i="13" s="1"/>
  <c r="K111" i="14"/>
  <c r="L111" i="14" s="1"/>
  <c r="I112" i="14" s="1"/>
  <c r="N201" i="13"/>
  <c r="J200" i="13" a="1"/>
  <c r="J200" i="13" s="1"/>
  <c r="N200" i="14"/>
  <c r="J199" i="14" a="1"/>
  <c r="J199" i="14" s="1"/>
  <c r="M203" i="13"/>
  <c r="M204" i="14"/>
  <c r="K102" i="13" l="1"/>
  <c r="L102" i="13" s="1"/>
  <c r="I103" i="13" s="1"/>
  <c r="K112" i="14"/>
  <c r="L112" i="14" s="1"/>
  <c r="I113" i="14" s="1"/>
  <c r="M205" i="14"/>
  <c r="N201" i="14"/>
  <c r="J200" i="14" a="1"/>
  <c r="J200" i="14" s="1"/>
  <c r="M204" i="13"/>
  <c r="N202" i="13"/>
  <c r="J201" i="13" a="1"/>
  <c r="J201" i="13" s="1"/>
  <c r="K113" i="14" l="1"/>
  <c r="L113" i="14" s="1"/>
  <c r="I114" i="14" s="1"/>
  <c r="K103" i="13"/>
  <c r="L103" i="13" s="1"/>
  <c r="I104" i="13" s="1"/>
  <c r="M205" i="13"/>
  <c r="N202" i="14"/>
  <c r="J201" i="14" a="1"/>
  <c r="J201" i="14" s="1"/>
  <c r="N203" i="13"/>
  <c r="J202" i="13" a="1"/>
  <c r="J202" i="13" s="1"/>
  <c r="M206" i="14"/>
  <c r="K104" i="13" l="1"/>
  <c r="K114" i="14"/>
  <c r="L114" i="14" s="1"/>
  <c r="I115" i="14" s="1"/>
  <c r="M207" i="14"/>
  <c r="N203" i="14"/>
  <c r="J202" i="14" a="1"/>
  <c r="J202" i="14" s="1"/>
  <c r="M206" i="13"/>
  <c r="N204" i="13"/>
  <c r="J203" i="13" a="1"/>
  <c r="J203" i="13" s="1"/>
  <c r="K115" i="14" l="1"/>
  <c r="L115" i="14" s="1"/>
  <c r="I116" i="14" s="1"/>
  <c r="N204" i="14"/>
  <c r="J203" i="14" a="1"/>
  <c r="J203" i="14" s="1"/>
  <c r="N205" i="13"/>
  <c r="J204" i="13" a="1"/>
  <c r="J204" i="13" s="1"/>
  <c r="M207" i="13"/>
  <c r="M208" i="14"/>
  <c r="L104" i="13"/>
  <c r="I105" i="13" s="1"/>
  <c r="K116" i="14" l="1"/>
  <c r="N205" i="14"/>
  <c r="J204" i="14" a="1"/>
  <c r="J204" i="14" s="1"/>
  <c r="M208" i="13"/>
  <c r="K105" i="13"/>
  <c r="M209" i="14"/>
  <c r="N206" i="13"/>
  <c r="J205" i="13" a="1"/>
  <c r="J205" i="13" s="1"/>
  <c r="N207" i="13" l="1"/>
  <c r="J206" i="13" a="1"/>
  <c r="J206" i="13" s="1"/>
  <c r="N206" i="14"/>
  <c r="J205" i="14" a="1"/>
  <c r="J205" i="14" s="1"/>
  <c r="L105" i="13"/>
  <c r="I106" i="13" s="1"/>
  <c r="M210" i="14"/>
  <c r="M209" i="13"/>
  <c r="L116" i="14"/>
  <c r="I117" i="14" s="1"/>
  <c r="K117" i="14" l="1"/>
  <c r="M211" i="14"/>
  <c r="M210" i="13"/>
  <c r="K106" i="13"/>
  <c r="L106" i="13" s="1"/>
  <c r="I107" i="13" s="1"/>
  <c r="N207" i="14"/>
  <c r="J206" i="14" a="1"/>
  <c r="J206" i="14" s="1"/>
  <c r="N208" i="13"/>
  <c r="J207" i="13" a="1"/>
  <c r="J207" i="13" s="1"/>
  <c r="K107" i="13" l="1"/>
  <c r="L107" i="13" s="1"/>
  <c r="I108" i="13" s="1"/>
  <c r="M212" i="14"/>
  <c r="N209" i="13"/>
  <c r="J208" i="13" a="1"/>
  <c r="J208" i="13" s="1"/>
  <c r="M211" i="13"/>
  <c r="N208" i="14"/>
  <c r="J207" i="14" a="1"/>
  <c r="J207" i="14" s="1"/>
  <c r="L117" i="14"/>
  <c r="I118" i="14" s="1"/>
  <c r="K108" i="13" l="1"/>
  <c r="L108" i="13" s="1"/>
  <c r="I109" i="13" s="1"/>
  <c r="K118" i="14"/>
  <c r="L118" i="14" s="1"/>
  <c r="I119" i="14" s="1"/>
  <c r="M213" i="14"/>
  <c r="N209" i="14"/>
  <c r="J208" i="14" a="1"/>
  <c r="J208" i="14" s="1"/>
  <c r="M212" i="13"/>
  <c r="N210" i="13"/>
  <c r="J209" i="13" a="1"/>
  <c r="J209" i="13" s="1"/>
  <c r="K119" i="14" l="1"/>
  <c r="L119" i="14" s="1"/>
  <c r="I120" i="14" s="1"/>
  <c r="K109" i="13"/>
  <c r="L109" i="13" s="1"/>
  <c r="I110" i="13" s="1"/>
  <c r="N210" i="14"/>
  <c r="J209" i="14" a="1"/>
  <c r="J209" i="14" s="1"/>
  <c r="N211" i="13"/>
  <c r="J210" i="13" a="1"/>
  <c r="J210" i="13" s="1"/>
  <c r="M213" i="13"/>
  <c r="M214" i="14"/>
  <c r="K110" i="13" l="1"/>
  <c r="L110" i="13" s="1"/>
  <c r="I111" i="13" s="1"/>
  <c r="K120" i="14"/>
  <c r="L120" i="14" s="1"/>
  <c r="I121" i="14" s="1"/>
  <c r="N212" i="13"/>
  <c r="J211" i="13" a="1"/>
  <c r="J211" i="13" s="1"/>
  <c r="M215" i="14"/>
  <c r="M214" i="13"/>
  <c r="N211" i="14"/>
  <c r="J210" i="14" a="1"/>
  <c r="J210" i="14" s="1"/>
  <c r="K121" i="14" l="1"/>
  <c r="L121" i="14" s="1"/>
  <c r="I122" i="14" s="1"/>
  <c r="K111" i="13"/>
  <c r="L111" i="13" s="1"/>
  <c r="I112" i="13" s="1"/>
  <c r="M216" i="14"/>
  <c r="N212" i="14"/>
  <c r="J211" i="14" a="1"/>
  <c r="J211" i="14" s="1"/>
  <c r="M215" i="13"/>
  <c r="N213" i="13"/>
  <c r="J212" i="13" a="1"/>
  <c r="J212" i="13" s="1"/>
  <c r="K122" i="14" l="1"/>
  <c r="L122" i="14" s="1"/>
  <c r="I123" i="14" s="1"/>
  <c r="K112" i="13"/>
  <c r="L112" i="13" s="1"/>
  <c r="I113" i="13" s="1"/>
  <c r="N213" i="14"/>
  <c r="J212" i="14" a="1"/>
  <c r="J212" i="14" s="1"/>
  <c r="N214" i="13"/>
  <c r="J213" i="13" a="1"/>
  <c r="J213" i="13" s="1"/>
  <c r="M216" i="13"/>
  <c r="M217" i="14"/>
  <c r="K113" i="13" l="1"/>
  <c r="L113" i="13" s="1"/>
  <c r="I114" i="13" s="1"/>
  <c r="M218" i="14"/>
  <c r="N215" i="13"/>
  <c r="J214" i="13" a="1"/>
  <c r="J214" i="13" s="1"/>
  <c r="M217" i="13"/>
  <c r="N214" i="14"/>
  <c r="J213" i="14" a="1"/>
  <c r="J213" i="14" s="1"/>
  <c r="K123" i="14"/>
  <c r="L123" i="14" s="1"/>
  <c r="I124" i="14" s="1"/>
  <c r="K114" i="13" l="1"/>
  <c r="L114" i="13" s="1"/>
  <c r="I115" i="13" s="1"/>
  <c r="K124" i="14"/>
  <c r="L124" i="14" s="1"/>
  <c r="I125" i="14" s="1"/>
  <c r="M219" i="14"/>
  <c r="N215" i="14"/>
  <c r="J214" i="14" a="1"/>
  <c r="J214" i="14" s="1"/>
  <c r="M218" i="13"/>
  <c r="N216" i="13"/>
  <c r="J215" i="13" a="1"/>
  <c r="J215" i="13" s="1"/>
  <c r="K115" i="13" l="1"/>
  <c r="L115" i="13" s="1"/>
  <c r="I116" i="13" s="1"/>
  <c r="N216" i="14"/>
  <c r="J215" i="14" a="1"/>
  <c r="J215" i="14" s="1"/>
  <c r="M220" i="14"/>
  <c r="N217" i="13"/>
  <c r="J216" i="13" a="1"/>
  <c r="J216" i="13" s="1"/>
  <c r="K125" i="14"/>
  <c r="L125" i="14" s="1"/>
  <c r="I126" i="14" s="1"/>
  <c r="M219" i="13"/>
  <c r="K126" i="14" l="1"/>
  <c r="L126" i="14" s="1"/>
  <c r="I127" i="14" s="1"/>
  <c r="K116" i="13"/>
  <c r="N217" i="14"/>
  <c r="J216" i="14" a="1"/>
  <c r="J216" i="14" s="1"/>
  <c r="M220" i="13"/>
  <c r="N218" i="13"/>
  <c r="J217" i="13" a="1"/>
  <c r="J217" i="13" s="1"/>
  <c r="M221" i="14"/>
  <c r="N219" i="13" l="1"/>
  <c r="J218" i="13" a="1"/>
  <c r="J218" i="13" s="1"/>
  <c r="M222" i="14"/>
  <c r="M221" i="13"/>
  <c r="L116" i="13"/>
  <c r="I117" i="13" s="1"/>
  <c r="N218" i="14"/>
  <c r="J217" i="14" a="1"/>
  <c r="J217" i="14" s="1"/>
  <c r="K127" i="14"/>
  <c r="L127" i="14" s="1"/>
  <c r="I128" i="14" s="1"/>
  <c r="K128" i="14" l="1"/>
  <c r="K117" i="13"/>
  <c r="M223" i="14"/>
  <c r="M222" i="13"/>
  <c r="N219" i="14"/>
  <c r="J218" i="14" a="1"/>
  <c r="J218" i="14" s="1"/>
  <c r="N220" i="13"/>
  <c r="J219" i="13" a="1"/>
  <c r="J219" i="13" s="1"/>
  <c r="M223" i="13" l="1"/>
  <c r="N221" i="13"/>
  <c r="J220" i="13" a="1"/>
  <c r="J220" i="13" s="1"/>
  <c r="L117" i="13"/>
  <c r="I118" i="13" s="1"/>
  <c r="M224" i="14"/>
  <c r="N220" i="14"/>
  <c r="J219" i="14" a="1"/>
  <c r="J219" i="14" s="1"/>
  <c r="L128" i="14"/>
  <c r="I129" i="14" s="1"/>
  <c r="K118" i="13" l="1"/>
  <c r="L118" i="13" s="1"/>
  <c r="I119" i="13" s="1"/>
  <c r="M224" i="13"/>
  <c r="K129" i="14"/>
  <c r="N221" i="14"/>
  <c r="J220" i="14" a="1"/>
  <c r="J220" i="14" s="1"/>
  <c r="M225" i="14"/>
  <c r="N222" i="13"/>
  <c r="J221" i="13" a="1"/>
  <c r="J221" i="13" s="1"/>
  <c r="K119" i="13" l="1"/>
  <c r="L119" i="13" s="1"/>
  <c r="I120" i="13" s="1"/>
  <c r="M225" i="13"/>
  <c r="N223" i="13"/>
  <c r="J222" i="13" a="1"/>
  <c r="J222" i="13" s="1"/>
  <c r="N222" i="14"/>
  <c r="J221" i="14" a="1"/>
  <c r="J221" i="14" s="1"/>
  <c r="M226" i="14"/>
  <c r="L129" i="14"/>
  <c r="I130" i="14" s="1"/>
  <c r="K120" i="13" l="1"/>
  <c r="L120" i="13" s="1"/>
  <c r="I121" i="13" s="1"/>
  <c r="K130" i="14"/>
  <c r="L130" i="14" s="1"/>
  <c r="I131" i="14" s="1"/>
  <c r="M226" i="13"/>
  <c r="N223" i="14"/>
  <c r="J222" i="14" a="1"/>
  <c r="J222" i="14" s="1"/>
  <c r="M227" i="14"/>
  <c r="N224" i="13"/>
  <c r="J223" i="13" a="1"/>
  <c r="J223" i="13" s="1"/>
  <c r="K131" i="14" l="1"/>
  <c r="L131" i="14" s="1"/>
  <c r="I132" i="14" s="1"/>
  <c r="K121" i="13"/>
  <c r="L121" i="13" s="1"/>
  <c r="I122" i="13" s="1"/>
  <c r="N225" i="13"/>
  <c r="J224" i="13" a="1"/>
  <c r="J224" i="13" s="1"/>
  <c r="N224" i="14"/>
  <c r="J223" i="14" a="1"/>
  <c r="J223" i="14" s="1"/>
  <c r="M228" i="14"/>
  <c r="M227" i="13"/>
  <c r="K122" i="13" l="1"/>
  <c r="L122" i="13" s="1"/>
  <c r="I123" i="13" s="1"/>
  <c r="K132" i="14"/>
  <c r="L132" i="14" s="1"/>
  <c r="I133" i="14" s="1"/>
  <c r="M228" i="13"/>
  <c r="N225" i="14"/>
  <c r="J224" i="14" a="1"/>
  <c r="J224" i="14" s="1"/>
  <c r="M229" i="14"/>
  <c r="N226" i="13"/>
  <c r="J225" i="13" a="1"/>
  <c r="J225" i="13" s="1"/>
  <c r="K133" i="14" l="1"/>
  <c r="L133" i="14" s="1"/>
  <c r="I134" i="14" s="1"/>
  <c r="K123" i="13"/>
  <c r="L123" i="13" s="1"/>
  <c r="I124" i="13" s="1"/>
  <c r="N226" i="14"/>
  <c r="J225" i="14" a="1"/>
  <c r="J225" i="14" s="1"/>
  <c r="N227" i="13"/>
  <c r="J226" i="13" a="1"/>
  <c r="J226" i="13" s="1"/>
  <c r="M230" i="14"/>
  <c r="M229" i="13"/>
  <c r="K124" i="13" l="1"/>
  <c r="L124" i="13" s="1"/>
  <c r="I125" i="13" s="1"/>
  <c r="K134" i="14"/>
  <c r="L134" i="14" s="1"/>
  <c r="I135" i="14" s="1"/>
  <c r="M230" i="13"/>
  <c r="N228" i="13"/>
  <c r="J227" i="13" a="1"/>
  <c r="J227" i="13" s="1"/>
  <c r="M231" i="14"/>
  <c r="N227" i="14"/>
  <c r="J226" i="14" a="1"/>
  <c r="J226" i="14" s="1"/>
  <c r="K125" i="13" l="1"/>
  <c r="L125" i="13" s="1"/>
  <c r="I126" i="13" s="1"/>
  <c r="K135" i="14"/>
  <c r="L135" i="14" s="1"/>
  <c r="I136" i="14" s="1"/>
  <c r="N228" i="14"/>
  <c r="J227" i="14" a="1"/>
  <c r="J227" i="14" s="1"/>
  <c r="M232" i="14"/>
  <c r="N229" i="13"/>
  <c r="J228" i="13" a="1"/>
  <c r="J228" i="13" s="1"/>
  <c r="M231" i="13"/>
  <c r="K136" i="14" l="1"/>
  <c r="L136" i="14" s="1"/>
  <c r="I137" i="14" s="1"/>
  <c r="K126" i="13"/>
  <c r="L126" i="13" s="1"/>
  <c r="I127" i="13" s="1"/>
  <c r="M232" i="13"/>
  <c r="M233" i="14"/>
  <c r="N230" i="13"/>
  <c r="J229" i="13" a="1"/>
  <c r="J229" i="13" s="1"/>
  <c r="N229" i="14"/>
  <c r="J228" i="14" a="1"/>
  <c r="J228" i="14" s="1"/>
  <c r="K127" i="13" l="1"/>
  <c r="L127" i="13" s="1"/>
  <c r="I128" i="13" s="1"/>
  <c r="K137" i="14"/>
  <c r="L137" i="14" s="1"/>
  <c r="I138" i="14" s="1"/>
  <c r="M234" i="14"/>
  <c r="N230" i="14"/>
  <c r="J229" i="14" a="1"/>
  <c r="J229" i="14" s="1"/>
  <c r="M233" i="13"/>
  <c r="N231" i="13"/>
  <c r="J230" i="13" a="1"/>
  <c r="J230" i="13" s="1"/>
  <c r="K138" i="14" l="1"/>
  <c r="L138" i="14" s="1"/>
  <c r="I139" i="14" s="1"/>
  <c r="N232" i="13"/>
  <c r="J231" i="13" a="1"/>
  <c r="J231" i="13" s="1"/>
  <c r="N231" i="14"/>
  <c r="J230" i="14" a="1"/>
  <c r="J230" i="14" s="1"/>
  <c r="M234" i="13"/>
  <c r="M235" i="14"/>
  <c r="K128" i="13"/>
  <c r="K139" i="14" l="1"/>
  <c r="L139" i="14" s="1"/>
  <c r="I140" i="14" s="1"/>
  <c r="M235" i="13"/>
  <c r="N233" i="13"/>
  <c r="J232" i="13" a="1"/>
  <c r="J232" i="13" s="1"/>
  <c r="L128" i="13"/>
  <c r="I129" i="13" s="1"/>
  <c r="M236" i="14"/>
  <c r="N232" i="14"/>
  <c r="J231" i="14" a="1"/>
  <c r="J231" i="14" s="1"/>
  <c r="K140" i="14" l="1"/>
  <c r="L140" i="14" s="1"/>
  <c r="I141" i="14" s="1"/>
  <c r="K129" i="13"/>
  <c r="N233" i="14"/>
  <c r="J232" i="14" a="1"/>
  <c r="J232" i="14" s="1"/>
  <c r="M237" i="14"/>
  <c r="N234" i="13"/>
  <c r="J233" i="13" a="1"/>
  <c r="J233" i="13" s="1"/>
  <c r="M236" i="13"/>
  <c r="K141" i="14" l="1"/>
  <c r="L141" i="14" s="1"/>
  <c r="I142" i="14" s="1"/>
  <c r="M237" i="13"/>
  <c r="M238" i="14"/>
  <c r="L129" i="13"/>
  <c r="I130" i="13" s="1"/>
  <c r="N235" i="13"/>
  <c r="J234" i="13" a="1"/>
  <c r="J234" i="13" s="1"/>
  <c r="N234" i="14"/>
  <c r="J233" i="14" a="1"/>
  <c r="J233" i="14" s="1"/>
  <c r="K142" i="14" l="1"/>
  <c r="L142" i="14" s="1"/>
  <c r="I143" i="14" s="1"/>
  <c r="K130" i="13"/>
  <c r="L130" i="13" s="1"/>
  <c r="I131" i="13" s="1"/>
  <c r="N235" i="14"/>
  <c r="J234" i="14" a="1"/>
  <c r="J234" i="14" s="1"/>
  <c r="M239" i="14"/>
  <c r="N236" i="13"/>
  <c r="J235" i="13" a="1"/>
  <c r="J235" i="13" s="1"/>
  <c r="M238" i="13"/>
  <c r="K131" i="13" l="1"/>
  <c r="L131" i="13" s="1"/>
  <c r="I132" i="13" s="1"/>
  <c r="K143" i="14"/>
  <c r="L143" i="14" s="1"/>
  <c r="I144" i="14" s="1"/>
  <c r="M239" i="13"/>
  <c r="M240" i="14"/>
  <c r="N237" i="13"/>
  <c r="J236" i="13" a="1"/>
  <c r="J236" i="13" s="1"/>
  <c r="N236" i="14"/>
  <c r="J235" i="14" a="1"/>
  <c r="J235" i="14" s="1"/>
  <c r="K144" i="14" l="1"/>
  <c r="L144" i="14" s="1"/>
  <c r="I145" i="14" s="1"/>
  <c r="K132" i="13"/>
  <c r="L132" i="13" s="1"/>
  <c r="I133" i="13" s="1"/>
  <c r="M241" i="14"/>
  <c r="N237" i="14"/>
  <c r="J236" i="14" a="1"/>
  <c r="J236" i="14" s="1"/>
  <c r="M240" i="13"/>
  <c r="N238" i="13"/>
  <c r="J237" i="13" a="1"/>
  <c r="J237" i="13" s="1"/>
  <c r="K145" i="14" l="1"/>
  <c r="L145" i="14" s="1"/>
  <c r="I146" i="14" s="1"/>
  <c r="N239" i="13"/>
  <c r="J238" i="13" a="1"/>
  <c r="J238" i="13" s="1"/>
  <c r="M241" i="13"/>
  <c r="K133" i="13"/>
  <c r="L133" i="13" s="1"/>
  <c r="I134" i="13" s="1"/>
  <c r="N238" i="14"/>
  <c r="J237" i="14" a="1"/>
  <c r="J237" i="14" s="1"/>
  <c r="M242" i="14"/>
  <c r="K134" i="13" l="1"/>
  <c r="L134" i="13" s="1"/>
  <c r="I135" i="13" s="1"/>
  <c r="K146" i="14"/>
  <c r="L146" i="14" s="1"/>
  <c r="I147" i="14" s="1"/>
  <c r="M243" i="14"/>
  <c r="M242" i="13"/>
  <c r="N239" i="14"/>
  <c r="J238" i="14" a="1"/>
  <c r="J238" i="14" s="1"/>
  <c r="N240" i="13"/>
  <c r="J239" i="13" a="1"/>
  <c r="J239" i="13" s="1"/>
  <c r="K147" i="14" l="1"/>
  <c r="L147" i="14" s="1"/>
  <c r="I148" i="14" s="1"/>
  <c r="K135" i="13"/>
  <c r="L135" i="13" s="1"/>
  <c r="I136" i="13" s="1"/>
  <c r="M244" i="14"/>
  <c r="M243" i="13"/>
  <c r="N241" i="13"/>
  <c r="J240" i="13" a="1"/>
  <c r="J240" i="13" s="1"/>
  <c r="N240" i="14"/>
  <c r="J239" i="14" a="1"/>
  <c r="J239" i="14" s="1"/>
  <c r="K136" i="13" l="1"/>
  <c r="L136" i="13" s="1"/>
  <c r="I137" i="13" s="1"/>
  <c r="K148" i="14"/>
  <c r="L148" i="14" s="1"/>
  <c r="I149" i="14" s="1"/>
  <c r="M244" i="13"/>
  <c r="N241" i="14"/>
  <c r="J240" i="14" a="1"/>
  <c r="J240" i="14" s="1"/>
  <c r="M245" i="14"/>
  <c r="N242" i="13"/>
  <c r="J241" i="13" a="1"/>
  <c r="J241" i="13" s="1"/>
  <c r="K149" i="14" l="1"/>
  <c r="L149" i="14" s="1"/>
  <c r="I150" i="14" s="1"/>
  <c r="N242" i="14"/>
  <c r="J241" i="14" a="1"/>
  <c r="J241" i="14" s="1"/>
  <c r="N243" i="13"/>
  <c r="J242" i="13" a="1"/>
  <c r="J242" i="13" s="1"/>
  <c r="M246" i="14"/>
  <c r="M245" i="13"/>
  <c r="K137" i="13"/>
  <c r="L137" i="13" s="1"/>
  <c r="I138" i="13" s="1"/>
  <c r="K138" i="13" l="1"/>
  <c r="L138" i="13" s="1"/>
  <c r="I139" i="13" s="1"/>
  <c r="K150" i="14"/>
  <c r="L150" i="14" s="1"/>
  <c r="I151" i="14" s="1"/>
  <c r="N243" i="14"/>
  <c r="J242" i="14" a="1"/>
  <c r="J242" i="14" s="1"/>
  <c r="M247" i="14"/>
  <c r="M246" i="13"/>
  <c r="N244" i="13"/>
  <c r="J243" i="13" a="1"/>
  <c r="J243" i="13" s="1"/>
  <c r="K151" i="14" l="1"/>
  <c r="L151" i="14" s="1"/>
  <c r="I152" i="14" s="1"/>
  <c r="K139" i="13"/>
  <c r="L139" i="13" s="1"/>
  <c r="I140" i="13" s="1"/>
  <c r="M248" i="14"/>
  <c r="M247" i="13"/>
  <c r="N245" i="13"/>
  <c r="J244" i="13" a="1"/>
  <c r="J244" i="13" s="1"/>
  <c r="N244" i="14"/>
  <c r="J243" i="14" a="1"/>
  <c r="J243" i="14" s="1"/>
  <c r="K140" i="13" l="1"/>
  <c r="K152" i="14"/>
  <c r="M248" i="13"/>
  <c r="N245" i="14"/>
  <c r="J244" i="14" a="1"/>
  <c r="J244" i="14" s="1"/>
  <c r="M249" i="14"/>
  <c r="N246" i="13"/>
  <c r="J245" i="13" a="1"/>
  <c r="J245" i="13" s="1"/>
  <c r="N247" i="13" l="1"/>
  <c r="J246" i="13" a="1"/>
  <c r="J246" i="13" s="1"/>
  <c r="N246" i="14"/>
  <c r="J245" i="14" a="1"/>
  <c r="J245" i="14" s="1"/>
  <c r="L152" i="14"/>
  <c r="I153" i="14" s="1"/>
  <c r="M250" i="14"/>
  <c r="M249" i="13"/>
  <c r="L140" i="13"/>
  <c r="I141" i="13" s="1"/>
  <c r="K141" i="13" l="1"/>
  <c r="M251" i="14"/>
  <c r="N247" i="14"/>
  <c r="J246" i="14" a="1"/>
  <c r="J246" i="14" s="1"/>
  <c r="M250" i="13"/>
  <c r="K153" i="14"/>
  <c r="N248" i="13"/>
  <c r="J247" i="13" a="1"/>
  <c r="J247" i="13" s="1"/>
  <c r="M251" i="13" l="1"/>
  <c r="M252" i="14"/>
  <c r="N249" i="13"/>
  <c r="J248" i="13" a="1"/>
  <c r="J248" i="13" s="1"/>
  <c r="L153" i="14"/>
  <c r="I154" i="14" s="1"/>
  <c r="N248" i="14"/>
  <c r="J247" i="14" a="1"/>
  <c r="J247" i="14" s="1"/>
  <c r="L141" i="13"/>
  <c r="I142" i="13" s="1"/>
  <c r="K142" i="13" l="1"/>
  <c r="L142" i="13" s="1"/>
  <c r="I143" i="13" s="1"/>
  <c r="M252" i="13"/>
  <c r="M253" i="14"/>
  <c r="N249" i="14"/>
  <c r="J248" i="14" a="1"/>
  <c r="J248" i="14" s="1"/>
  <c r="K154" i="14"/>
  <c r="L154" i="14" s="1"/>
  <c r="I155" i="14" s="1"/>
  <c r="N250" i="13"/>
  <c r="J249" i="13" a="1"/>
  <c r="J249" i="13" s="1"/>
  <c r="K155" i="14" l="1"/>
  <c r="L155" i="14" s="1"/>
  <c r="I156" i="14" s="1"/>
  <c r="K143" i="13"/>
  <c r="L143" i="13" s="1"/>
  <c r="I144" i="13" s="1"/>
  <c r="N251" i="13"/>
  <c r="J250" i="13" a="1"/>
  <c r="J250" i="13" s="1"/>
  <c r="N250" i="14"/>
  <c r="J249" i="14" a="1"/>
  <c r="J249" i="14" s="1"/>
  <c r="M254" i="14"/>
  <c r="M253" i="13"/>
  <c r="K144" i="13" l="1"/>
  <c r="L144" i="13" s="1"/>
  <c r="I145" i="13" s="1"/>
  <c r="K156" i="14"/>
  <c r="L156" i="14" s="1"/>
  <c r="I157" i="14" s="1"/>
  <c r="N251" i="14"/>
  <c r="J250" i="14" a="1"/>
  <c r="J250" i="14" s="1"/>
  <c r="M255" i="14"/>
  <c r="M254" i="13"/>
  <c r="N252" i="13"/>
  <c r="J251" i="13" a="1"/>
  <c r="J251" i="13" s="1"/>
  <c r="K145" i="13" l="1"/>
  <c r="L145" i="13" s="1"/>
  <c r="I146" i="13" s="1"/>
  <c r="M256" i="14"/>
  <c r="M255" i="13"/>
  <c r="K157" i="14"/>
  <c r="L157" i="14" s="1"/>
  <c r="I158" i="14" s="1"/>
  <c r="N252" i="14"/>
  <c r="J251" i="14" a="1"/>
  <c r="J251" i="14" s="1"/>
  <c r="N253" i="13"/>
  <c r="J252" i="13" a="1"/>
  <c r="J252" i="13" s="1"/>
  <c r="K158" i="14" l="1"/>
  <c r="L158" i="14" s="1"/>
  <c r="I159" i="14" s="1"/>
  <c r="K146" i="13"/>
  <c r="L146" i="13" s="1"/>
  <c r="I147" i="13" s="1"/>
  <c r="M256" i="13"/>
  <c r="M257" i="14"/>
  <c r="N254" i="13"/>
  <c r="J253" i="13" a="1"/>
  <c r="J253" i="13" s="1"/>
  <c r="N253" i="14"/>
  <c r="J252" i="14" a="1"/>
  <c r="J252" i="14" s="1"/>
  <c r="K147" i="13" l="1"/>
  <c r="L147" i="13" s="1"/>
  <c r="I148" i="13" s="1"/>
  <c r="K159" i="14"/>
  <c r="L159" i="14" s="1"/>
  <c r="I160" i="14" s="1"/>
  <c r="M257" i="13"/>
  <c r="M258" i="14"/>
  <c r="N254" i="14"/>
  <c r="J253" i="14" a="1"/>
  <c r="J253" i="14" s="1"/>
  <c r="N255" i="13"/>
  <c r="J254" i="13" a="1"/>
  <c r="J254" i="13" s="1"/>
  <c r="K160" i="14" l="1"/>
  <c r="L160" i="14" s="1"/>
  <c r="I161" i="14" s="1"/>
  <c r="K148" i="13"/>
  <c r="L148" i="13" s="1"/>
  <c r="I149" i="13" s="1"/>
  <c r="M259" i="14"/>
  <c r="M258" i="13"/>
  <c r="N256" i="13"/>
  <c r="J255" i="13" a="1"/>
  <c r="J255" i="13" s="1"/>
  <c r="N255" i="14"/>
  <c r="J254" i="14" a="1"/>
  <c r="J254" i="14" s="1"/>
  <c r="K149" i="13" l="1"/>
  <c r="L149" i="13" s="1"/>
  <c r="I150" i="13" s="1"/>
  <c r="K161" i="14"/>
  <c r="L161" i="14" s="1"/>
  <c r="I162" i="14" s="1"/>
  <c r="M259" i="13"/>
  <c r="N256" i="14"/>
  <c r="J255" i="14" a="1"/>
  <c r="J255" i="14" s="1"/>
  <c r="M260" i="14"/>
  <c r="N257" i="13"/>
  <c r="J256" i="13" a="1"/>
  <c r="J256" i="13" s="1"/>
  <c r="K162" i="14" l="1"/>
  <c r="L162" i="14" s="1"/>
  <c r="I163" i="14" s="1"/>
  <c r="K150" i="13"/>
  <c r="L150" i="13" s="1"/>
  <c r="I151" i="13" s="1"/>
  <c r="N258" i="13"/>
  <c r="J257" i="13" a="1"/>
  <c r="J257" i="13" s="1"/>
  <c r="N257" i="14"/>
  <c r="J256" i="14" a="1"/>
  <c r="J256" i="14" s="1"/>
  <c r="M261" i="14"/>
  <c r="M260" i="13"/>
  <c r="K151" i="13" l="1"/>
  <c r="L151" i="13" s="1"/>
  <c r="I152" i="13" s="1"/>
  <c r="K163" i="14"/>
  <c r="L163" i="14" s="1"/>
  <c r="I164" i="14" s="1"/>
  <c r="N258" i="14"/>
  <c r="J257" i="14" a="1"/>
  <c r="J257" i="14" s="1"/>
  <c r="M261" i="13"/>
  <c r="M262" i="14"/>
  <c r="N259" i="13"/>
  <c r="J258" i="13" a="1"/>
  <c r="J258" i="13" s="1"/>
  <c r="K164" i="14" l="1"/>
  <c r="K152" i="13"/>
  <c r="M262" i="13"/>
  <c r="N260" i="13"/>
  <c r="J259" i="13" a="1"/>
  <c r="J259" i="13" s="1"/>
  <c r="M263" i="14"/>
  <c r="N259" i="14"/>
  <c r="J258" i="14" a="1"/>
  <c r="J258" i="14" s="1"/>
  <c r="N261" i="13" l="1"/>
  <c r="J260" i="13" a="1"/>
  <c r="J260" i="13" s="1"/>
  <c r="L152" i="13"/>
  <c r="I153" i="13" s="1"/>
  <c r="N260" i="14"/>
  <c r="J259" i="14" a="1"/>
  <c r="J259" i="14" s="1"/>
  <c r="M264" i="14"/>
  <c r="M263" i="13"/>
  <c r="L164" i="14"/>
  <c r="I165" i="14" s="1"/>
  <c r="M264" i="13" l="1"/>
  <c r="M265" i="14"/>
  <c r="K165" i="14"/>
  <c r="K153" i="13"/>
  <c r="N261" i="14"/>
  <c r="J260" i="14" a="1"/>
  <c r="J260" i="14" s="1"/>
  <c r="N262" i="13"/>
  <c r="J261" i="13" a="1"/>
  <c r="J261" i="13" s="1"/>
  <c r="M266" i="14" l="1"/>
  <c r="L153" i="13"/>
  <c r="I154" i="13" s="1"/>
  <c r="N263" i="13"/>
  <c r="J262" i="13" a="1"/>
  <c r="J262" i="13" s="1"/>
  <c r="N262" i="14"/>
  <c r="J261" i="14" a="1"/>
  <c r="J261" i="14" s="1"/>
  <c r="M265" i="13"/>
  <c r="L165" i="14"/>
  <c r="I166" i="14" s="1"/>
  <c r="K166" i="14" l="1"/>
  <c r="L166" i="14" s="1"/>
  <c r="I167" i="14" s="1"/>
  <c r="M266" i="13"/>
  <c r="N263" i="14"/>
  <c r="J262" i="14" a="1"/>
  <c r="J262" i="14" s="1"/>
  <c r="M267" i="14"/>
  <c r="N264" i="13"/>
  <c r="J263" i="13" a="1"/>
  <c r="J263" i="13" s="1"/>
  <c r="K154" i="13"/>
  <c r="L154" i="13" s="1"/>
  <c r="I155" i="13" s="1"/>
  <c r="K155" i="13" l="1"/>
  <c r="L155" i="13" s="1"/>
  <c r="I156" i="13" s="1"/>
  <c r="K167" i="14"/>
  <c r="L167" i="14" s="1"/>
  <c r="I168" i="14" s="1"/>
  <c r="M268" i="14"/>
  <c r="M267" i="13"/>
  <c r="N265" i="13"/>
  <c r="J264" i="13" a="1"/>
  <c r="J264" i="13" s="1"/>
  <c r="N264" i="14"/>
  <c r="J263" i="14" a="1"/>
  <c r="J263" i="14" s="1"/>
  <c r="K168" i="14" l="1"/>
  <c r="L168" i="14" s="1"/>
  <c r="I169" i="14" s="1"/>
  <c r="K156" i="13"/>
  <c r="L156" i="13" s="1"/>
  <c r="I157" i="13" s="1"/>
  <c r="N265" i="14"/>
  <c r="J264" i="14" a="1"/>
  <c r="J264" i="14" s="1"/>
  <c r="M269" i="14"/>
  <c r="M268" i="13"/>
  <c r="N266" i="13"/>
  <c r="J265" i="13" a="1"/>
  <c r="J265" i="13" s="1"/>
  <c r="K157" i="13" l="1"/>
  <c r="L157" i="13" s="1"/>
  <c r="I158" i="13" s="1"/>
  <c r="K169" i="14"/>
  <c r="L169" i="14" s="1"/>
  <c r="I170" i="14" s="1"/>
  <c r="M270" i="14"/>
  <c r="N267" i="13"/>
  <c r="J266" i="13" a="1"/>
  <c r="J266" i="13" s="1"/>
  <c r="M269" i="13"/>
  <c r="N266" i="14"/>
  <c r="J265" i="14" a="1"/>
  <c r="J265" i="14" s="1"/>
  <c r="K170" i="14" l="1"/>
  <c r="L170" i="14" s="1"/>
  <c r="I171" i="14" s="1"/>
  <c r="K158" i="13"/>
  <c r="L158" i="13" s="1"/>
  <c r="I159" i="13" s="1"/>
  <c r="N268" i="13"/>
  <c r="J267" i="13" a="1"/>
  <c r="J267" i="13" s="1"/>
  <c r="N267" i="14"/>
  <c r="J266" i="14" a="1"/>
  <c r="J266" i="14" s="1"/>
  <c r="M270" i="13"/>
  <c r="M271" i="14"/>
  <c r="K159" i="13" l="1"/>
  <c r="L159" i="13" s="1"/>
  <c r="I160" i="13" s="1"/>
  <c r="K171" i="14"/>
  <c r="L171" i="14" s="1"/>
  <c r="I172" i="14" s="1"/>
  <c r="M272" i="14"/>
  <c r="N268" i="14"/>
  <c r="J267" i="14" a="1"/>
  <c r="J267" i="14" s="1"/>
  <c r="M271" i="13"/>
  <c r="N269" i="13"/>
  <c r="J268" i="13" a="1"/>
  <c r="J268" i="13" s="1"/>
  <c r="K172" i="14" l="1"/>
  <c r="L172" i="14" s="1"/>
  <c r="I173" i="14" s="1"/>
  <c r="K160" i="13"/>
  <c r="L160" i="13" s="1"/>
  <c r="I161" i="13" s="1"/>
  <c r="N269" i="14"/>
  <c r="J268" i="14" a="1"/>
  <c r="J268" i="14" s="1"/>
  <c r="M273" i="14"/>
  <c r="N270" i="13"/>
  <c r="J269" i="13" a="1"/>
  <c r="J269" i="13" s="1"/>
  <c r="M272" i="13"/>
  <c r="K161" i="13" l="1"/>
  <c r="L161" i="13" s="1"/>
  <c r="I162" i="13" s="1"/>
  <c r="K173" i="14"/>
  <c r="L173" i="14" s="1"/>
  <c r="I174" i="14" s="1"/>
  <c r="M274" i="14"/>
  <c r="M273" i="13"/>
  <c r="N271" i="13"/>
  <c r="J270" i="13" a="1"/>
  <c r="J270" i="13" s="1"/>
  <c r="N270" i="14"/>
  <c r="J269" i="14" a="1"/>
  <c r="J269" i="14" s="1"/>
  <c r="K174" i="14" l="1"/>
  <c r="L174" i="14" s="1"/>
  <c r="I175" i="14" s="1"/>
  <c r="K162" i="13"/>
  <c r="L162" i="13" s="1"/>
  <c r="I163" i="13" s="1"/>
  <c r="M275" i="14"/>
  <c r="M274" i="13"/>
  <c r="N271" i="14"/>
  <c r="J270" i="14" a="1"/>
  <c r="J270" i="14" s="1"/>
  <c r="N272" i="13"/>
  <c r="J271" i="13" a="1"/>
  <c r="J271" i="13" s="1"/>
  <c r="K163" i="13" l="1"/>
  <c r="L163" i="13" s="1"/>
  <c r="I164" i="13" s="1"/>
  <c r="K175" i="14"/>
  <c r="L175" i="14" s="1"/>
  <c r="I176" i="14" s="1"/>
  <c r="M275" i="13"/>
  <c r="M276" i="14"/>
  <c r="N273" i="13"/>
  <c r="J272" i="13" a="1"/>
  <c r="J272" i="13" s="1"/>
  <c r="N272" i="14"/>
  <c r="J271" i="14" a="1"/>
  <c r="J271" i="14" s="1"/>
  <c r="K176" i="14" l="1"/>
  <c r="K164" i="13"/>
  <c r="N273" i="14"/>
  <c r="J272" i="14" a="1"/>
  <c r="J272" i="14" s="1"/>
  <c r="M277" i="14"/>
  <c r="M276" i="13"/>
  <c r="N274" i="13"/>
  <c r="J273" i="13" a="1"/>
  <c r="J273" i="13" s="1"/>
  <c r="N275" i="13" l="1"/>
  <c r="J274" i="13" a="1"/>
  <c r="J274" i="13" s="1"/>
  <c r="M278" i="14"/>
  <c r="M277" i="13"/>
  <c r="L164" i="13"/>
  <c r="I165" i="13" s="1"/>
  <c r="N274" i="14"/>
  <c r="J273" i="14" a="1"/>
  <c r="J273" i="14" s="1"/>
  <c r="L176" i="14"/>
  <c r="I177" i="14" s="1"/>
  <c r="N276" i="13" l="1"/>
  <c r="J275" i="13" a="1"/>
  <c r="J275" i="13" s="1"/>
  <c r="N275" i="14"/>
  <c r="J274" i="14" a="1"/>
  <c r="J274" i="14" s="1"/>
  <c r="M278" i="13"/>
  <c r="K177" i="14"/>
  <c r="L177" i="14" s="1"/>
  <c r="I178" i="14" s="1"/>
  <c r="K165" i="13"/>
  <c r="M279" i="14"/>
  <c r="K178" i="14" l="1"/>
  <c r="L178" i="14" s="1"/>
  <c r="I179" i="14" s="1"/>
  <c r="N276" i="14"/>
  <c r="J275" i="14" a="1"/>
  <c r="J275" i="14" s="1"/>
  <c r="M280" i="14"/>
  <c r="M279" i="13"/>
  <c r="L165" i="13"/>
  <c r="I166" i="13" s="1"/>
  <c r="N277" i="13"/>
  <c r="J276" i="13" a="1"/>
  <c r="J276" i="13" s="1"/>
  <c r="K179" i="14" l="1"/>
  <c r="L179" i="14" s="1"/>
  <c r="I180" i="14" s="1"/>
  <c r="K166" i="13"/>
  <c r="L166" i="13" s="1"/>
  <c r="I167" i="13" s="1"/>
  <c r="M281" i="14"/>
  <c r="N277" i="14"/>
  <c r="J276" i="14" a="1"/>
  <c r="J276" i="14" s="1"/>
  <c r="M280" i="13"/>
  <c r="N278" i="13"/>
  <c r="J277" i="13" a="1"/>
  <c r="J277" i="13" s="1"/>
  <c r="K167" i="13" l="1"/>
  <c r="L167" i="13" s="1"/>
  <c r="I168" i="13" s="1"/>
  <c r="K180" i="14"/>
  <c r="L180" i="14" s="1"/>
  <c r="I181" i="14" s="1"/>
  <c r="N278" i="14"/>
  <c r="J277" i="14" a="1"/>
  <c r="J277" i="14" s="1"/>
  <c r="M281" i="13"/>
  <c r="N279" i="13"/>
  <c r="J278" i="13" a="1"/>
  <c r="J278" i="13" s="1"/>
  <c r="M282" i="14"/>
  <c r="K181" i="14" l="1"/>
  <c r="L181" i="14" s="1"/>
  <c r="I182" i="14" s="1"/>
  <c r="K168" i="13"/>
  <c r="L168" i="13" s="1"/>
  <c r="I169" i="13" s="1"/>
  <c r="M283" i="14"/>
  <c r="M282" i="13"/>
  <c r="N280" i="13"/>
  <c r="J279" i="13" a="1"/>
  <c r="J279" i="13" s="1"/>
  <c r="N279" i="14"/>
  <c r="J278" i="14" a="1"/>
  <c r="J278" i="14" s="1"/>
  <c r="K169" i="13" l="1"/>
  <c r="L169" i="13" s="1"/>
  <c r="I170" i="13" s="1"/>
  <c r="K182" i="14"/>
  <c r="L182" i="14" s="1"/>
  <c r="I183" i="14" s="1"/>
  <c r="M283" i="13"/>
  <c r="N280" i="14"/>
  <c r="J279" i="14" a="1"/>
  <c r="J279" i="14" s="1"/>
  <c r="M284" i="14"/>
  <c r="N281" i="13"/>
  <c r="J280" i="13" a="1"/>
  <c r="J280" i="13" s="1"/>
  <c r="K183" i="14" l="1"/>
  <c r="L183" i="14" s="1"/>
  <c r="I184" i="14" s="1"/>
  <c r="K170" i="13"/>
  <c r="L170" i="13" s="1"/>
  <c r="I171" i="13" s="1"/>
  <c r="N282" i="13"/>
  <c r="J281" i="13" a="1"/>
  <c r="J281" i="13" s="1"/>
  <c r="M285" i="14"/>
  <c r="N281" i="14"/>
  <c r="J280" i="14" a="1"/>
  <c r="J280" i="14" s="1"/>
  <c r="M284" i="13"/>
  <c r="K171" i="13" l="1"/>
  <c r="L171" i="13" s="1"/>
  <c r="I172" i="13" s="1"/>
  <c r="K184" i="14"/>
  <c r="L184" i="14" s="1"/>
  <c r="I185" i="14" s="1"/>
  <c r="M285" i="13"/>
  <c r="M286" i="14"/>
  <c r="N282" i="14"/>
  <c r="J281" i="14" a="1"/>
  <c r="J281" i="14" s="1"/>
  <c r="N283" i="13"/>
  <c r="J282" i="13" a="1"/>
  <c r="J282" i="13" s="1"/>
  <c r="K185" i="14" l="1"/>
  <c r="L185" i="14" s="1"/>
  <c r="I186" i="14" s="1"/>
  <c r="K172" i="13"/>
  <c r="L172" i="13" s="1"/>
  <c r="I173" i="13" s="1"/>
  <c r="M287" i="14"/>
  <c r="M286" i="13"/>
  <c r="N284" i="13"/>
  <c r="J283" i="13" a="1"/>
  <c r="J283" i="13" s="1"/>
  <c r="N283" i="14"/>
  <c r="J282" i="14" a="1"/>
  <c r="J282" i="14" s="1"/>
  <c r="K173" i="13" l="1"/>
  <c r="L173" i="13" s="1"/>
  <c r="I174" i="13" s="1"/>
  <c r="M287" i="13"/>
  <c r="N284" i="14"/>
  <c r="J283" i="14" a="1"/>
  <c r="J283" i="14" s="1"/>
  <c r="M288" i="14"/>
  <c r="N285" i="13"/>
  <c r="J284" i="13" a="1"/>
  <c r="J284" i="13" s="1"/>
  <c r="K186" i="14"/>
  <c r="L186" i="14" s="1"/>
  <c r="I187" i="14" s="1"/>
  <c r="N286" i="13" l="1"/>
  <c r="J285" i="13" a="1"/>
  <c r="J285" i="13" s="1"/>
  <c r="M289" i="14"/>
  <c r="M288" i="13"/>
  <c r="K187" i="14"/>
  <c r="L187" i="14" s="1"/>
  <c r="I188" i="14" s="1"/>
  <c r="N285" i="14"/>
  <c r="J284" i="14" a="1"/>
  <c r="J284" i="14" s="1"/>
  <c r="K174" i="13"/>
  <c r="L174" i="13" s="1"/>
  <c r="I175" i="13" s="1"/>
  <c r="K175" i="13" l="1"/>
  <c r="L175" i="13" s="1"/>
  <c r="I176" i="13" s="1"/>
  <c r="K188" i="14"/>
  <c r="L188" i="14" s="1"/>
  <c r="I189" i="14" s="1"/>
  <c r="N286" i="14"/>
  <c r="J285" i="14" a="1"/>
  <c r="J285" i="14" s="1"/>
  <c r="M289" i="13"/>
  <c r="M290" i="14"/>
  <c r="N287" i="13"/>
  <c r="J286" i="13" a="1"/>
  <c r="J286" i="13" s="1"/>
  <c r="K176" i="13" l="1"/>
  <c r="K189" i="14"/>
  <c r="L189" i="14" s="1"/>
  <c r="I190" i="14" s="1"/>
  <c r="N288" i="13"/>
  <c r="J287" i="13" a="1"/>
  <c r="J287" i="13" s="1"/>
  <c r="M290" i="13"/>
  <c r="M291" i="14"/>
  <c r="N287" i="14"/>
  <c r="J286" i="14" a="1"/>
  <c r="J286" i="14" s="1"/>
  <c r="K190" i="14" l="1"/>
  <c r="M292" i="14"/>
  <c r="N289" i="13"/>
  <c r="J288" i="13" a="1"/>
  <c r="J288" i="13" s="1"/>
  <c r="N288" i="14"/>
  <c r="J287" i="14" a="1"/>
  <c r="J287" i="14" s="1"/>
  <c r="M291" i="13"/>
  <c r="L176" i="13"/>
  <c r="I177" i="13" s="1"/>
  <c r="M292" i="13" l="1"/>
  <c r="M293" i="14"/>
  <c r="N290" i="13"/>
  <c r="J289" i="13" a="1"/>
  <c r="J289" i="13" s="1"/>
  <c r="K177" i="13"/>
  <c r="L177" i="13" s="1"/>
  <c r="I178" i="13" s="1"/>
  <c r="N289" i="14"/>
  <c r="J288" i="14" a="1"/>
  <c r="J288" i="14" s="1"/>
  <c r="L190" i="14"/>
  <c r="I191" i="14" s="1"/>
  <c r="K191" i="14" l="1"/>
  <c r="L191" i="14" s="1"/>
  <c r="I192" i="14" s="1"/>
  <c r="K178" i="13"/>
  <c r="L178" i="13" s="1"/>
  <c r="I179" i="13" s="1"/>
  <c r="N290" i="14"/>
  <c r="J289" i="14" a="1"/>
  <c r="J289" i="14" s="1"/>
  <c r="N291" i="13"/>
  <c r="J290" i="13" a="1"/>
  <c r="J290" i="13" s="1"/>
  <c r="M293" i="13"/>
  <c r="M294" i="14"/>
  <c r="K179" i="13" l="1"/>
  <c r="L179" i="13" s="1"/>
  <c r="I180" i="13" s="1"/>
  <c r="K192" i="14"/>
  <c r="L192" i="14" s="1"/>
  <c r="I193" i="14" s="1"/>
  <c r="N292" i="13"/>
  <c r="J291" i="13" a="1"/>
  <c r="J291" i="13" s="1"/>
  <c r="M294" i="13"/>
  <c r="M295" i="14"/>
  <c r="N291" i="14"/>
  <c r="J290" i="14" a="1"/>
  <c r="J290" i="14" s="1"/>
  <c r="K193" i="14" l="1"/>
  <c r="L193" i="14" s="1"/>
  <c r="I194" i="14" s="1"/>
  <c r="K180" i="13"/>
  <c r="L180" i="13" s="1"/>
  <c r="I181" i="13" s="1"/>
  <c r="M295" i="13"/>
  <c r="N292" i="14"/>
  <c r="J291" i="14" a="1"/>
  <c r="J291" i="14" s="1"/>
  <c r="M296" i="14"/>
  <c r="N293" i="13"/>
  <c r="J292" i="13" a="1"/>
  <c r="J292" i="13" s="1"/>
  <c r="K181" i="13" l="1"/>
  <c r="L181" i="13" s="1"/>
  <c r="I182" i="13" s="1"/>
  <c r="K194" i="14"/>
  <c r="L194" i="14" s="1"/>
  <c r="I195" i="14" s="1"/>
  <c r="N293" i="14"/>
  <c r="J292" i="14" a="1"/>
  <c r="J292" i="14" s="1"/>
  <c r="N294" i="13"/>
  <c r="J293" i="13" a="1"/>
  <c r="J293" i="13" s="1"/>
  <c r="M297" i="14"/>
  <c r="M296" i="13"/>
  <c r="K195" i="14" l="1"/>
  <c r="L195" i="14" s="1"/>
  <c r="I196" i="14" s="1"/>
  <c r="K182" i="13"/>
  <c r="L182" i="13" s="1"/>
  <c r="I183" i="13" s="1"/>
  <c r="M297" i="13"/>
  <c r="N295" i="13"/>
  <c r="J294" i="13" a="1"/>
  <c r="J294" i="13" s="1"/>
  <c r="M298" i="14"/>
  <c r="N294" i="14"/>
  <c r="J293" i="14" a="1"/>
  <c r="J293" i="14" s="1"/>
  <c r="K183" i="13" l="1"/>
  <c r="L183" i="13" s="1"/>
  <c r="I184" i="13" s="1"/>
  <c r="K196" i="14"/>
  <c r="L196" i="14" s="1"/>
  <c r="I197" i="14" s="1"/>
  <c r="N296" i="13"/>
  <c r="J295" i="13" a="1"/>
  <c r="J295" i="13" s="1"/>
  <c r="M298" i="13"/>
  <c r="N295" i="14"/>
  <c r="J294" i="14" a="1"/>
  <c r="J294" i="14" s="1"/>
  <c r="M299" i="14"/>
  <c r="K197" i="14" l="1"/>
  <c r="L197" i="14" s="1"/>
  <c r="I198" i="14" s="1"/>
  <c r="K184" i="13"/>
  <c r="L184" i="13" s="1"/>
  <c r="I185" i="13" s="1"/>
  <c r="N296" i="14"/>
  <c r="J295" i="14" a="1"/>
  <c r="J295" i="14" s="1"/>
  <c r="M300" i="14"/>
  <c r="M299" i="13"/>
  <c r="N297" i="13"/>
  <c r="J296" i="13" a="1"/>
  <c r="J296" i="13" s="1"/>
  <c r="K185" i="13" l="1"/>
  <c r="L185" i="13" s="1"/>
  <c r="I186" i="13" s="1"/>
  <c r="K198" i="14"/>
  <c r="L198" i="14" s="1"/>
  <c r="I199" i="14" s="1"/>
  <c r="N298" i="13"/>
  <c r="J297" i="13" a="1"/>
  <c r="J297" i="13" s="1"/>
  <c r="M301" i="14"/>
  <c r="M300" i="13"/>
  <c r="N297" i="14"/>
  <c r="J296" i="14" a="1"/>
  <c r="J296" i="14" s="1"/>
  <c r="K199" i="14" l="1"/>
  <c r="L199" i="14" s="1"/>
  <c r="I200" i="14" s="1"/>
  <c r="N298" i="14"/>
  <c r="J297" i="14" a="1"/>
  <c r="J297" i="14" s="1"/>
  <c r="M301" i="13"/>
  <c r="M302" i="14"/>
  <c r="N299" i="13"/>
  <c r="J298" i="13" a="1"/>
  <c r="J298" i="13" s="1"/>
  <c r="K186" i="13"/>
  <c r="L186" i="13" s="1"/>
  <c r="I187" i="13" s="1"/>
  <c r="K200" i="14" l="1"/>
  <c r="K187" i="13"/>
  <c r="L187" i="13" s="1"/>
  <c r="I188" i="13" s="1"/>
  <c r="N299" i="14"/>
  <c r="J298" i="14" a="1"/>
  <c r="J298" i="14" s="1"/>
  <c r="N300" i="13"/>
  <c r="J299" i="13" a="1"/>
  <c r="J299" i="13" s="1"/>
  <c r="M302" i="13"/>
  <c r="M303" i="14"/>
  <c r="M303" i="13" l="1"/>
  <c r="K188" i="13"/>
  <c r="L188" i="13" s="1"/>
  <c r="I189" i="13" s="1"/>
  <c r="M304" i="14"/>
  <c r="N300" i="14"/>
  <c r="J299" i="14" a="1"/>
  <c r="J299" i="14" s="1"/>
  <c r="L200" i="14"/>
  <c r="I201" i="14" s="1"/>
  <c r="N301" i="13"/>
  <c r="J300" i="13" a="1"/>
  <c r="J300" i="13" s="1"/>
  <c r="K189" i="13" l="1"/>
  <c r="L189" i="13" s="1"/>
  <c r="I190" i="13" s="1"/>
  <c r="N301" i="14"/>
  <c r="J300" i="14" a="1"/>
  <c r="J300" i="14" s="1"/>
  <c r="N302" i="13"/>
  <c r="J301" i="13" a="1"/>
  <c r="J301" i="13" s="1"/>
  <c r="M305" i="14"/>
  <c r="K201" i="14"/>
  <c r="M304" i="13"/>
  <c r="K190" i="13" l="1"/>
  <c r="N302" i="14"/>
  <c r="J301" i="14" a="1"/>
  <c r="J301" i="14" s="1"/>
  <c r="L201" i="14"/>
  <c r="I202" i="14" s="1"/>
  <c r="M306" i="14"/>
  <c r="M305" i="13"/>
  <c r="N303" i="13"/>
  <c r="J302" i="13" a="1"/>
  <c r="J302" i="13" s="1"/>
  <c r="K202" i="14" l="1"/>
  <c r="L202" i="14" s="1"/>
  <c r="I203" i="14" s="1"/>
  <c r="M307" i="14"/>
  <c r="N303" i="14"/>
  <c r="J302" i="14" a="1"/>
  <c r="J302" i="14" s="1"/>
  <c r="N304" i="13"/>
  <c r="J303" i="13" a="1"/>
  <c r="J303" i="13" s="1"/>
  <c r="M306" i="13"/>
  <c r="L190" i="13"/>
  <c r="I191" i="13" s="1"/>
  <c r="K203" i="14" l="1"/>
  <c r="L203" i="14" s="1"/>
  <c r="I204" i="14" s="1"/>
  <c r="N304" i="14"/>
  <c r="J303" i="14" a="1"/>
  <c r="J303" i="14" s="1"/>
  <c r="K191" i="13"/>
  <c r="L191" i="13" s="1"/>
  <c r="I192" i="13" s="1"/>
  <c r="N305" i="13"/>
  <c r="J304" i="13" a="1"/>
  <c r="J304" i="13" s="1"/>
  <c r="M307" i="13"/>
  <c r="M308" i="14"/>
  <c r="K192" i="13" l="1"/>
  <c r="L192" i="13" s="1"/>
  <c r="I193" i="13" s="1"/>
  <c r="K204" i="14"/>
  <c r="L204" i="14" s="1"/>
  <c r="I205" i="14" s="1"/>
  <c r="N305" i="14"/>
  <c r="J304" i="14" a="1"/>
  <c r="J304" i="14" s="1"/>
  <c r="M309" i="14"/>
  <c r="N306" i="13"/>
  <c r="J305" i="13" a="1"/>
  <c r="J305" i="13" s="1"/>
  <c r="M308" i="13"/>
  <c r="K205" i="14" l="1"/>
  <c r="L205" i="14" s="1"/>
  <c r="I206" i="14" s="1"/>
  <c r="M309" i="13"/>
  <c r="M310" i="14"/>
  <c r="N307" i="13"/>
  <c r="J306" i="13" a="1"/>
  <c r="J306" i="13" s="1"/>
  <c r="N306" i="14"/>
  <c r="J305" i="14" a="1"/>
  <c r="J305" i="14" s="1"/>
  <c r="K193" i="13"/>
  <c r="L193" i="13" s="1"/>
  <c r="I194" i="13" s="1"/>
  <c r="K194" i="13" l="1"/>
  <c r="L194" i="13" s="1"/>
  <c r="I195" i="13" s="1"/>
  <c r="K206" i="14"/>
  <c r="L206" i="14" s="1"/>
  <c r="I207" i="14" s="1"/>
  <c r="M310" i="13"/>
  <c r="N308" i="13"/>
  <c r="J307" i="13" a="1"/>
  <c r="J307" i="13" s="1"/>
  <c r="M311" i="14"/>
  <c r="N307" i="14"/>
  <c r="J306" i="14" a="1"/>
  <c r="J306" i="14" s="1"/>
  <c r="K207" i="14" l="1"/>
  <c r="L207" i="14" s="1"/>
  <c r="I208" i="14" s="1"/>
  <c r="N309" i="13"/>
  <c r="J308" i="13" a="1"/>
  <c r="J308" i="13" s="1"/>
  <c r="N308" i="14"/>
  <c r="J307" i="14" a="1"/>
  <c r="J307" i="14" s="1"/>
  <c r="M312" i="14"/>
  <c r="M311" i="13"/>
  <c r="K195" i="13"/>
  <c r="L195" i="13" s="1"/>
  <c r="I196" i="13" s="1"/>
  <c r="K196" i="13" l="1"/>
  <c r="L196" i="13" s="1"/>
  <c r="I197" i="13" s="1"/>
  <c r="K208" i="14"/>
  <c r="L208" i="14" s="1"/>
  <c r="I209" i="14" s="1"/>
  <c r="N310" i="13"/>
  <c r="J309" i="13" a="1"/>
  <c r="J309" i="13" s="1"/>
  <c r="M313" i="14"/>
  <c r="M312" i="13"/>
  <c r="N309" i="14"/>
  <c r="J308" i="14" a="1"/>
  <c r="J308" i="14" s="1"/>
  <c r="K209" i="14" l="1"/>
  <c r="L209" i="14" s="1"/>
  <c r="I210" i="14" s="1"/>
  <c r="K197" i="13"/>
  <c r="L197" i="13" s="1"/>
  <c r="I198" i="13" s="1"/>
  <c r="N310" i="14"/>
  <c r="J309" i="14" a="1"/>
  <c r="J309" i="14" s="1"/>
  <c r="M313" i="13"/>
  <c r="M314" i="14"/>
  <c r="N311" i="13"/>
  <c r="J310" i="13" a="1"/>
  <c r="J310" i="13" s="1"/>
  <c r="K198" i="13" l="1"/>
  <c r="L198" i="13" s="1"/>
  <c r="I199" i="13" s="1"/>
  <c r="K210" i="14"/>
  <c r="L210" i="14" s="1"/>
  <c r="I211" i="14" s="1"/>
  <c r="N312" i="13"/>
  <c r="J311" i="13" a="1"/>
  <c r="J311" i="13" s="1"/>
  <c r="M314" i="13"/>
  <c r="M315" i="14"/>
  <c r="N311" i="14"/>
  <c r="J310" i="14" a="1"/>
  <c r="J310" i="14" s="1"/>
  <c r="K199" i="13" l="1"/>
  <c r="L199" i="13" s="1"/>
  <c r="I200" i="13" s="1"/>
  <c r="K211" i="14"/>
  <c r="L211" i="14" s="1"/>
  <c r="I212" i="14" s="1"/>
  <c r="N312" i="14"/>
  <c r="J311" i="14" a="1"/>
  <c r="J311" i="14" s="1"/>
  <c r="M315" i="13"/>
  <c r="M316" i="14"/>
  <c r="N313" i="13"/>
  <c r="J312" i="13" a="1"/>
  <c r="J312" i="13" s="1"/>
  <c r="K212" i="14" l="1"/>
  <c r="K200" i="13"/>
  <c r="N314" i="13"/>
  <c r="J313" i="13" a="1"/>
  <c r="J313" i="13" s="1"/>
  <c r="M316" i="13"/>
  <c r="M317" i="14"/>
  <c r="N313" i="14"/>
  <c r="J312" i="14" a="1"/>
  <c r="J312" i="14" s="1"/>
  <c r="N314" i="14" l="1"/>
  <c r="J313" i="14" a="1"/>
  <c r="J313" i="14" s="1"/>
  <c r="L200" i="13"/>
  <c r="I201" i="13" s="1"/>
  <c r="M317" i="13"/>
  <c r="M318" i="14"/>
  <c r="N315" i="13"/>
  <c r="J314" i="13" a="1"/>
  <c r="J314" i="13" s="1"/>
  <c r="L212" i="14"/>
  <c r="I213" i="14" s="1"/>
  <c r="M318" i="13" l="1"/>
  <c r="N316" i="13"/>
  <c r="J315" i="13" a="1"/>
  <c r="J315" i="13" s="1"/>
  <c r="N315" i="14"/>
  <c r="J314" i="14" a="1"/>
  <c r="J314" i="14" s="1"/>
  <c r="K213" i="14"/>
  <c r="K201" i="13"/>
  <c r="M319" i="14"/>
  <c r="L213" i="14" l="1"/>
  <c r="I214" i="14" s="1"/>
  <c r="N317" i="13"/>
  <c r="J316" i="13" a="1"/>
  <c r="J316" i="13" s="1"/>
  <c r="M320" i="14"/>
  <c r="M319" i="13"/>
  <c r="L201" i="13"/>
  <c r="I202" i="13" s="1"/>
  <c r="N316" i="14"/>
  <c r="J315" i="14" a="1"/>
  <c r="J315" i="14" s="1"/>
  <c r="N317" i="14" l="1"/>
  <c r="J316" i="14" a="1"/>
  <c r="J316" i="14" s="1"/>
  <c r="N318" i="13"/>
  <c r="J317" i="13" a="1"/>
  <c r="J317" i="13" s="1"/>
  <c r="M320" i="13"/>
  <c r="K202" i="13"/>
  <c r="L202" i="13" s="1"/>
  <c r="I203" i="13" s="1"/>
  <c r="M321" i="14"/>
  <c r="K214" i="14"/>
  <c r="L214" i="14" s="1"/>
  <c r="I215" i="14" s="1"/>
  <c r="K215" i="14" l="1"/>
  <c r="L215" i="14" s="1"/>
  <c r="I216" i="14" s="1"/>
  <c r="K203" i="13"/>
  <c r="L203" i="13" s="1"/>
  <c r="I204" i="13" s="1"/>
  <c r="N319" i="13"/>
  <c r="J318" i="13" a="1"/>
  <c r="J318" i="13" s="1"/>
  <c r="M322" i="14"/>
  <c r="M321" i="13"/>
  <c r="N318" i="14"/>
  <c r="J317" i="14" a="1"/>
  <c r="J317" i="14" s="1"/>
  <c r="K204" i="13" l="1"/>
  <c r="L204" i="13" s="1"/>
  <c r="I205" i="13" s="1"/>
  <c r="K216" i="14"/>
  <c r="L216" i="14" s="1"/>
  <c r="I217" i="14" s="1"/>
  <c r="M323" i="14"/>
  <c r="N319" i="14"/>
  <c r="J318" i="14" a="1"/>
  <c r="J318" i="14" s="1"/>
  <c r="M322" i="13"/>
  <c r="N320" i="13"/>
  <c r="J319" i="13" a="1"/>
  <c r="J319" i="13" s="1"/>
  <c r="K217" i="14" l="1"/>
  <c r="L217" i="14" s="1"/>
  <c r="I218" i="14" s="1"/>
  <c r="N321" i="13"/>
  <c r="J320" i="13" a="1"/>
  <c r="J320" i="13" s="1"/>
  <c r="N320" i="14"/>
  <c r="J319" i="14" a="1"/>
  <c r="J319" i="14" s="1"/>
  <c r="M323" i="13"/>
  <c r="M324" i="14"/>
  <c r="K205" i="13"/>
  <c r="L205" i="13" s="1"/>
  <c r="I206" i="13" s="1"/>
  <c r="K218" i="14" l="1"/>
  <c r="L218" i="14" s="1"/>
  <c r="I219" i="14" s="1"/>
  <c r="K206" i="13"/>
  <c r="L206" i="13" s="1"/>
  <c r="I207" i="13" s="1"/>
  <c r="M324" i="13"/>
  <c r="N322" i="13"/>
  <c r="J321" i="13" a="1"/>
  <c r="J321" i="13" s="1"/>
  <c r="M325" i="14"/>
  <c r="N321" i="14"/>
  <c r="J320" i="14" a="1"/>
  <c r="J320" i="14" s="1"/>
  <c r="K207" i="13" l="1"/>
  <c r="L207" i="13" s="1"/>
  <c r="I208" i="13" s="1"/>
  <c r="K219" i="14"/>
  <c r="L219" i="14" s="1"/>
  <c r="I220" i="14" s="1"/>
  <c r="N322" i="14"/>
  <c r="J321" i="14" a="1"/>
  <c r="J321" i="14" s="1"/>
  <c r="M326" i="14"/>
  <c r="M325" i="13"/>
  <c r="N323" i="13"/>
  <c r="J322" i="13" a="1"/>
  <c r="J322" i="13" s="1"/>
  <c r="K208" i="13" l="1"/>
  <c r="L208" i="13" s="1"/>
  <c r="I209" i="13" s="1"/>
  <c r="K220" i="14"/>
  <c r="L220" i="14" s="1"/>
  <c r="I221" i="14" s="1"/>
  <c r="M326" i="13"/>
  <c r="N323" i="14"/>
  <c r="J322" i="14" a="1"/>
  <c r="J322" i="14" s="1"/>
  <c r="N324" i="13"/>
  <c r="J323" i="13" a="1"/>
  <c r="J323" i="13" s="1"/>
  <c r="M327" i="14"/>
  <c r="K221" i="14" l="1"/>
  <c r="L221" i="14" s="1"/>
  <c r="I222" i="14" s="1"/>
  <c r="K209" i="13"/>
  <c r="L209" i="13" s="1"/>
  <c r="I210" i="13" s="1"/>
  <c r="N324" i="14"/>
  <c r="J323" i="14" a="1"/>
  <c r="J323" i="14" s="1"/>
  <c r="M328" i="14"/>
  <c r="M327" i="13"/>
  <c r="N325" i="13"/>
  <c r="J324" i="13" a="1"/>
  <c r="J324" i="13" s="1"/>
  <c r="K210" i="13" l="1"/>
  <c r="L210" i="13" s="1"/>
  <c r="I211" i="13" s="1"/>
  <c r="K222" i="14"/>
  <c r="L222" i="14" s="1"/>
  <c r="I223" i="14" s="1"/>
  <c r="M329" i="14"/>
  <c r="N326" i="13"/>
  <c r="J325" i="13" a="1"/>
  <c r="J325" i="13" s="1"/>
  <c r="M328" i="13"/>
  <c r="N325" i="14"/>
  <c r="J324" i="14" a="1"/>
  <c r="J324" i="14" s="1"/>
  <c r="K223" i="14" l="1"/>
  <c r="L223" i="14" s="1"/>
  <c r="I224" i="14" s="1"/>
  <c r="K211" i="13"/>
  <c r="L211" i="13" s="1"/>
  <c r="I212" i="13" s="1"/>
  <c r="N327" i="13"/>
  <c r="J326" i="13" a="1"/>
  <c r="J326" i="13" s="1"/>
  <c r="M330" i="14"/>
  <c r="N326" i="14"/>
  <c r="J325" i="14" a="1"/>
  <c r="J325" i="14" s="1"/>
  <c r="M329" i="13"/>
  <c r="K212" i="13" l="1"/>
  <c r="K224" i="14"/>
  <c r="M331" i="14"/>
  <c r="M330" i="13"/>
  <c r="N327" i="14"/>
  <c r="J326" i="14" a="1"/>
  <c r="J326" i="14" s="1"/>
  <c r="N328" i="13"/>
  <c r="J327" i="13" a="1"/>
  <c r="J327" i="13" s="1"/>
  <c r="M332" i="14" l="1"/>
  <c r="M331" i="13"/>
  <c r="N329" i="13"/>
  <c r="J328" i="13" a="1"/>
  <c r="J328" i="13" s="1"/>
  <c r="L224" i="14"/>
  <c r="I225" i="14" s="1"/>
  <c r="N328" i="14"/>
  <c r="J327" i="14" a="1"/>
  <c r="J327" i="14" s="1"/>
  <c r="L212" i="13"/>
  <c r="I213" i="13" s="1"/>
  <c r="K213" i="13" l="1"/>
  <c r="M333" i="14"/>
  <c r="K225" i="14"/>
  <c r="N329" i="14"/>
  <c r="J328" i="14" a="1"/>
  <c r="J328" i="14" s="1"/>
  <c r="N330" i="13"/>
  <c r="J329" i="13" a="1"/>
  <c r="J329" i="13" s="1"/>
  <c r="M332" i="13"/>
  <c r="M334" i="14" l="1"/>
  <c r="M333" i="13"/>
  <c r="N330" i="14"/>
  <c r="J329" i="14" a="1"/>
  <c r="J329" i="14" s="1"/>
  <c r="N331" i="13"/>
  <c r="J330" i="13" a="1"/>
  <c r="J330" i="13" s="1"/>
  <c r="L225" i="14"/>
  <c r="I226" i="14" s="1"/>
  <c r="L213" i="13"/>
  <c r="I214" i="13" s="1"/>
  <c r="K214" i="13" l="1"/>
  <c r="L214" i="13" s="1"/>
  <c r="I215" i="13" s="1"/>
  <c r="N331" i="14"/>
  <c r="J330" i="14" a="1"/>
  <c r="J330" i="14" s="1"/>
  <c r="M335" i="14"/>
  <c r="K226" i="14"/>
  <c r="L226" i="14" s="1"/>
  <c r="I227" i="14" s="1"/>
  <c r="N332" i="13"/>
  <c r="J331" i="13" a="1"/>
  <c r="J331" i="13" s="1"/>
  <c r="M334" i="13"/>
  <c r="K227" i="14" l="1"/>
  <c r="L227" i="14" s="1"/>
  <c r="I228" i="14" s="1"/>
  <c r="K215" i="13"/>
  <c r="L215" i="13" s="1"/>
  <c r="I216" i="13" s="1"/>
  <c r="N332" i="14"/>
  <c r="J331" i="14" a="1"/>
  <c r="J331" i="14" s="1"/>
  <c r="M336" i="14"/>
  <c r="M335" i="13"/>
  <c r="N333" i="13"/>
  <c r="J332" i="13" a="1"/>
  <c r="J332" i="13" s="1"/>
  <c r="K216" i="13" l="1"/>
  <c r="L216" i="13" s="1"/>
  <c r="I217" i="13" s="1"/>
  <c r="M337" i="14"/>
  <c r="M336" i="13"/>
  <c r="N334" i="13"/>
  <c r="J333" i="13" a="1"/>
  <c r="J333" i="13" s="1"/>
  <c r="N333" i="14"/>
  <c r="J332" i="14" a="1"/>
  <c r="J332" i="14" s="1"/>
  <c r="K228" i="14"/>
  <c r="L228" i="14" s="1"/>
  <c r="I229" i="14" s="1"/>
  <c r="K229" i="14" l="1"/>
  <c r="L229" i="14" s="1"/>
  <c r="I230" i="14" s="1"/>
  <c r="K217" i="13"/>
  <c r="L217" i="13" s="1"/>
  <c r="I218" i="13" s="1"/>
  <c r="M337" i="13"/>
  <c r="N335" i="13"/>
  <c r="J334" i="13" a="1"/>
  <c r="J334" i="13" s="1"/>
  <c r="N334" i="14"/>
  <c r="J333" i="14" a="1"/>
  <c r="J333" i="14" s="1"/>
  <c r="M338" i="14"/>
  <c r="K230" i="14" l="1"/>
  <c r="L230" i="14" s="1"/>
  <c r="I231" i="14" s="1"/>
  <c r="K218" i="13"/>
  <c r="L218" i="13" s="1"/>
  <c r="I219" i="13" s="1"/>
  <c r="N336" i="13"/>
  <c r="J335" i="13" a="1"/>
  <c r="J335" i="13" s="1"/>
  <c r="N335" i="14"/>
  <c r="J334" i="14" a="1"/>
  <c r="J334" i="14" s="1"/>
  <c r="M338" i="13"/>
  <c r="M339" i="14"/>
  <c r="K231" i="14" l="1"/>
  <c r="L231" i="14" s="1"/>
  <c r="I232" i="14" s="1"/>
  <c r="M340" i="14"/>
  <c r="N336" i="14"/>
  <c r="J335" i="14" a="1"/>
  <c r="J335" i="14" s="1"/>
  <c r="K219" i="13"/>
  <c r="L219" i="13" s="1"/>
  <c r="I220" i="13" s="1"/>
  <c r="M339" i="13"/>
  <c r="N337" i="13"/>
  <c r="J336" i="13" a="1"/>
  <c r="J336" i="13" s="1"/>
  <c r="K220" i="13" l="1"/>
  <c r="L220" i="13" s="1"/>
  <c r="I221" i="13" s="1"/>
  <c r="K232" i="14"/>
  <c r="L232" i="14" s="1"/>
  <c r="I233" i="14" s="1"/>
  <c r="M341" i="14"/>
  <c r="N338" i="13"/>
  <c r="J337" i="13" a="1"/>
  <c r="J337" i="13" s="1"/>
  <c r="M340" i="13"/>
  <c r="N337" i="14"/>
  <c r="J336" i="14" a="1"/>
  <c r="J336" i="14" s="1"/>
  <c r="K233" i="14" l="1"/>
  <c r="L233" i="14" s="1"/>
  <c r="I234" i="14" s="1"/>
  <c r="K221" i="13"/>
  <c r="L221" i="13" s="1"/>
  <c r="I222" i="13" s="1"/>
  <c r="N338" i="14"/>
  <c r="J337" i="14" a="1"/>
  <c r="J337" i="14" s="1"/>
  <c r="N339" i="13"/>
  <c r="J338" i="13" a="1"/>
  <c r="J338" i="13" s="1"/>
  <c r="M341" i="13"/>
  <c r="M342" i="14"/>
  <c r="K222" i="13" l="1"/>
  <c r="L222" i="13" s="1"/>
  <c r="I223" i="13" s="1"/>
  <c r="N339" i="14"/>
  <c r="J338" i="14" a="1"/>
  <c r="J338" i="14" s="1"/>
  <c r="K234" i="14"/>
  <c r="L234" i="14" s="1"/>
  <c r="I235" i="14" s="1"/>
  <c r="M343" i="14"/>
  <c r="N340" i="13"/>
  <c r="J339" i="13" a="1"/>
  <c r="J339" i="13" s="1"/>
  <c r="M342" i="13"/>
  <c r="K223" i="13" l="1"/>
  <c r="L223" i="13" s="1"/>
  <c r="I224" i="13" s="1"/>
  <c r="K235" i="14"/>
  <c r="L235" i="14" s="1"/>
  <c r="I236" i="14" s="1"/>
  <c r="N340" i="14"/>
  <c r="J339" i="14" a="1"/>
  <c r="J339" i="14" s="1"/>
  <c r="M343" i="13"/>
  <c r="M344" i="14"/>
  <c r="N341" i="13"/>
  <c r="J340" i="13" a="1"/>
  <c r="J340" i="13" s="1"/>
  <c r="K224" i="13" l="1"/>
  <c r="K236" i="14"/>
  <c r="L236" i="14" s="1"/>
  <c r="I237" i="14" s="1"/>
  <c r="N342" i="13"/>
  <c r="J341" i="13" a="1"/>
  <c r="J341" i="13" s="1"/>
  <c r="M344" i="13"/>
  <c r="M345" i="14"/>
  <c r="N341" i="14"/>
  <c r="J340" i="14" a="1"/>
  <c r="J340" i="14" s="1"/>
  <c r="K237" i="14" l="1"/>
  <c r="L237" i="14" s="1"/>
  <c r="I238" i="14" s="1"/>
  <c r="M345" i="13"/>
  <c r="N342" i="14"/>
  <c r="J341" i="14" a="1"/>
  <c r="J341" i="14" s="1"/>
  <c r="M346" i="14"/>
  <c r="N343" i="13"/>
  <c r="J342" i="13" a="1"/>
  <c r="J342" i="13" s="1"/>
  <c r="L224" i="13"/>
  <c r="I225" i="13" s="1"/>
  <c r="N344" i="13" l="1"/>
  <c r="J343" i="13" a="1"/>
  <c r="J343" i="13" s="1"/>
  <c r="M347" i="14"/>
  <c r="K225" i="13"/>
  <c r="M346" i="13"/>
  <c r="N343" i="14"/>
  <c r="J342" i="14" a="1"/>
  <c r="J342" i="14" s="1"/>
  <c r="K238" i="14"/>
  <c r="L238" i="14" s="1"/>
  <c r="I239" i="14" s="1"/>
  <c r="K239" i="14" l="1"/>
  <c r="L239" i="14" s="1"/>
  <c r="I240" i="14" s="1"/>
  <c r="M347" i="13"/>
  <c r="M348" i="14"/>
  <c r="N344" i="14"/>
  <c r="J343" i="14" a="1"/>
  <c r="J343" i="14" s="1"/>
  <c r="L225" i="13"/>
  <c r="I226" i="13" s="1"/>
  <c r="N345" i="13"/>
  <c r="J344" i="13" a="1"/>
  <c r="J344" i="13" s="1"/>
  <c r="K240" i="14" l="1"/>
  <c r="L240" i="14" s="1"/>
  <c r="I241" i="14" s="1"/>
  <c r="N345" i="14"/>
  <c r="J344" i="14" a="1"/>
  <c r="J344" i="14" s="1"/>
  <c r="M348" i="13"/>
  <c r="N346" i="13"/>
  <c r="J345" i="13" a="1"/>
  <c r="J345" i="13" s="1"/>
  <c r="K226" i="13"/>
  <c r="L226" i="13" s="1"/>
  <c r="I227" i="13" s="1"/>
  <c r="M349" i="14"/>
  <c r="K227" i="13" l="1"/>
  <c r="L227" i="13" s="1"/>
  <c r="I228" i="13" s="1"/>
  <c r="K241" i="14"/>
  <c r="L241" i="14" s="1"/>
  <c r="I242" i="14" s="1"/>
  <c r="N347" i="13"/>
  <c r="J346" i="13" a="1"/>
  <c r="J346" i="13" s="1"/>
  <c r="N346" i="14"/>
  <c r="J345" i="14" a="1"/>
  <c r="J345" i="14" s="1"/>
  <c r="M349" i="13"/>
  <c r="M350" i="14"/>
  <c r="K242" i="14" l="1"/>
  <c r="L242" i="14" s="1"/>
  <c r="I243" i="14" s="1"/>
  <c r="K228" i="13"/>
  <c r="L228" i="13" s="1"/>
  <c r="I229" i="13" s="1"/>
  <c r="M350" i="13"/>
  <c r="M351" i="14"/>
  <c r="N347" i="14"/>
  <c r="J346" i="14" a="1"/>
  <c r="J346" i="14" s="1"/>
  <c r="N348" i="13"/>
  <c r="J347" i="13" a="1"/>
  <c r="J347" i="13" s="1"/>
  <c r="K243" i="14" l="1"/>
  <c r="L243" i="14" s="1"/>
  <c r="I244" i="14" s="1"/>
  <c r="K229" i="13"/>
  <c r="L229" i="13" s="1"/>
  <c r="I230" i="13" s="1"/>
  <c r="M351" i="13"/>
  <c r="M352" i="14"/>
  <c r="N349" i="13"/>
  <c r="J348" i="13" a="1"/>
  <c r="J348" i="13" s="1"/>
  <c r="N348" i="14"/>
  <c r="J347" i="14" a="1"/>
  <c r="J347" i="14" s="1"/>
  <c r="K230" i="13" l="1"/>
  <c r="L230" i="13" s="1"/>
  <c r="I231" i="13" s="1"/>
  <c r="K244" i="14"/>
  <c r="L244" i="14" s="1"/>
  <c r="I245" i="14" s="1"/>
  <c r="M352" i="13"/>
  <c r="M353" i="14"/>
  <c r="N349" i="14"/>
  <c r="J348" i="14" a="1"/>
  <c r="J348" i="14" s="1"/>
  <c r="N350" i="13"/>
  <c r="J349" i="13" a="1"/>
  <c r="J349" i="13" s="1"/>
  <c r="K245" i="14" l="1"/>
  <c r="L245" i="14" s="1"/>
  <c r="I246" i="14" s="1"/>
  <c r="K231" i="13"/>
  <c r="L231" i="13" s="1"/>
  <c r="I232" i="13" s="1"/>
  <c r="M354" i="14"/>
  <c r="M353" i="13"/>
  <c r="N351" i="13"/>
  <c r="J350" i="13" a="1"/>
  <c r="J350" i="13" s="1"/>
  <c r="N350" i="14"/>
  <c r="J349" i="14" a="1"/>
  <c r="J349" i="14" s="1"/>
  <c r="K232" i="13" l="1"/>
  <c r="L232" i="13" s="1"/>
  <c r="I233" i="13" s="1"/>
  <c r="K246" i="14"/>
  <c r="L246" i="14" s="1"/>
  <c r="I247" i="14" s="1"/>
  <c r="M355" i="14"/>
  <c r="M354" i="13"/>
  <c r="N351" i="14"/>
  <c r="J350" i="14" a="1"/>
  <c r="J350" i="14" s="1"/>
  <c r="N352" i="13"/>
  <c r="J351" i="13" a="1"/>
  <c r="J351" i="13" s="1"/>
  <c r="K247" i="14" l="1"/>
  <c r="L247" i="14" s="1"/>
  <c r="I248" i="14" s="1"/>
  <c r="K233" i="13"/>
  <c r="L233" i="13" s="1"/>
  <c r="I234" i="13" s="1"/>
  <c r="M356" i="14"/>
  <c r="M355" i="13"/>
  <c r="N353" i="13"/>
  <c r="J352" i="13" a="1"/>
  <c r="J352" i="13" s="1"/>
  <c r="N352" i="14"/>
  <c r="J351" i="14" a="1"/>
  <c r="J351" i="14" s="1"/>
  <c r="K234" i="13" l="1"/>
  <c r="L234" i="13" s="1"/>
  <c r="I235" i="13" s="1"/>
  <c r="K248" i="14"/>
  <c r="L248" i="14" s="1"/>
  <c r="I249" i="14" s="1"/>
  <c r="M357" i="14"/>
  <c r="M356" i="13"/>
  <c r="N353" i="14"/>
  <c r="J352" i="14" a="1"/>
  <c r="J352" i="14" s="1"/>
  <c r="N354" i="13"/>
  <c r="J353" i="13" a="1"/>
  <c r="J353" i="13" s="1"/>
  <c r="K249" i="14" l="1"/>
  <c r="L249" i="14" s="1"/>
  <c r="I250" i="14" s="1"/>
  <c r="K235" i="13"/>
  <c r="L235" i="13" s="1"/>
  <c r="I236" i="13" s="1"/>
  <c r="M357" i="13"/>
  <c r="N355" i="13"/>
  <c r="J354" i="13" a="1"/>
  <c r="J354" i="13" s="1"/>
  <c r="M358" i="14"/>
  <c r="N354" i="14"/>
  <c r="J353" i="14" a="1"/>
  <c r="J353" i="14" s="1"/>
  <c r="K236" i="13" l="1"/>
  <c r="N356" i="13"/>
  <c r="J355" i="13" a="1"/>
  <c r="J355" i="13" s="1"/>
  <c r="N355" i="14"/>
  <c r="J354" i="14" a="1"/>
  <c r="J354" i="14" s="1"/>
  <c r="M359" i="14"/>
  <c r="M358" i="13"/>
  <c r="K250" i="14"/>
  <c r="L250" i="14" s="1"/>
  <c r="I251" i="14" s="1"/>
  <c r="K251" i="14" l="1"/>
  <c r="L251" i="14" s="1"/>
  <c r="I252" i="14" s="1"/>
  <c r="N357" i="13"/>
  <c r="J356" i="13" a="1"/>
  <c r="J356" i="13" s="1"/>
  <c r="M360" i="14"/>
  <c r="M359" i="13"/>
  <c r="N356" i="14"/>
  <c r="J355" i="14" a="1"/>
  <c r="J355" i="14" s="1"/>
  <c r="L236" i="13"/>
  <c r="I237" i="13" s="1"/>
  <c r="K252" i="14" l="1"/>
  <c r="L252" i="14" s="1"/>
  <c r="I253" i="14" s="1"/>
  <c r="N358" i="13"/>
  <c r="J357" i="13" a="1"/>
  <c r="J357" i="13" s="1"/>
  <c r="N357" i="14"/>
  <c r="J356" i="14" a="1"/>
  <c r="J356" i="14" s="1"/>
  <c r="M360" i="13"/>
  <c r="M361" i="14"/>
  <c r="K237" i="13"/>
  <c r="K253" i="14" l="1"/>
  <c r="L253" i="14" s="1"/>
  <c r="I254" i="14" s="1"/>
  <c r="M361" i="13"/>
  <c r="L237" i="13"/>
  <c r="I238" i="13" s="1"/>
  <c r="N359" i="13"/>
  <c r="J358" i="13" a="1"/>
  <c r="J358" i="13" s="1"/>
  <c r="N358" i="14"/>
  <c r="J357" i="14" a="1"/>
  <c r="J357" i="14" s="1"/>
  <c r="M362" i="14"/>
  <c r="K254" i="14" l="1"/>
  <c r="L254" i="14" s="1"/>
  <c r="I255" i="14" s="1"/>
  <c r="N360" i="13"/>
  <c r="J359" i="13" a="1"/>
  <c r="J359" i="13" s="1"/>
  <c r="N359" i="14"/>
  <c r="J358" i="14" a="1"/>
  <c r="J358" i="14" s="1"/>
  <c r="K238" i="13"/>
  <c r="L238" i="13" s="1"/>
  <c r="I239" i="13" s="1"/>
  <c r="M363" i="14"/>
  <c r="M362" i="13"/>
  <c r="K255" i="14" l="1"/>
  <c r="L255" i="14" s="1"/>
  <c r="I256" i="14" s="1"/>
  <c r="K239" i="13"/>
  <c r="L239" i="13" s="1"/>
  <c r="I240" i="13" s="1"/>
  <c r="N360" i="14"/>
  <c r="J359" i="14" a="1"/>
  <c r="J359" i="14" s="1"/>
  <c r="M363" i="13"/>
  <c r="M364" i="14"/>
  <c r="N361" i="13"/>
  <c r="J360" i="13" a="1"/>
  <c r="J360" i="13" s="1"/>
  <c r="K256" i="14" l="1"/>
  <c r="L256" i="14" s="1"/>
  <c r="I257" i="14" s="1"/>
  <c r="K240" i="13"/>
  <c r="L240" i="13" s="1"/>
  <c r="I241" i="13" s="1"/>
  <c r="N362" i="13"/>
  <c r="J361" i="13" a="1"/>
  <c r="J361" i="13" s="1"/>
  <c r="M364" i="13"/>
  <c r="M365" i="14"/>
  <c r="N361" i="14"/>
  <c r="J360" i="14" a="1"/>
  <c r="J360" i="14" s="1"/>
  <c r="K241" i="13" l="1"/>
  <c r="L241" i="13" s="1"/>
  <c r="I242" i="13" s="1"/>
  <c r="K257" i="14"/>
  <c r="L257" i="14" s="1"/>
  <c r="I258" i="14" s="1"/>
  <c r="N362" i="14"/>
  <c r="J361" i="14" a="1"/>
  <c r="J361" i="14" s="1"/>
  <c r="M365" i="13"/>
  <c r="M366" i="14"/>
  <c r="N363" i="13"/>
  <c r="J362" i="13" a="1"/>
  <c r="J362" i="13" s="1"/>
  <c r="K258" i="14" l="1"/>
  <c r="L258" i="14" s="1"/>
  <c r="I259" i="14" s="1"/>
  <c r="K242" i="13"/>
  <c r="L242" i="13" s="1"/>
  <c r="I243" i="13" s="1"/>
  <c r="M366" i="13"/>
  <c r="N364" i="13"/>
  <c r="J363" i="13" a="1"/>
  <c r="J363" i="13" s="1"/>
  <c r="M367" i="14"/>
  <c r="N363" i="14"/>
  <c r="J362" i="14" a="1"/>
  <c r="J362" i="14" s="1"/>
  <c r="K243" i="13" l="1"/>
  <c r="L243" i="13" s="1"/>
  <c r="I244" i="13" s="1"/>
  <c r="K259" i="14"/>
  <c r="L259" i="14" s="1"/>
  <c r="I260" i="14" s="1"/>
  <c r="N364" i="14"/>
  <c r="J363" i="14" a="1"/>
  <c r="J363" i="14" s="1"/>
  <c r="N365" i="13"/>
  <c r="J364" i="13" a="1"/>
  <c r="J364" i="13" s="1"/>
  <c r="M368" i="14"/>
  <c r="M367" i="13"/>
  <c r="K260" i="14" l="1"/>
  <c r="L260" i="14" s="1"/>
  <c r="I261" i="14" s="1"/>
  <c r="K244" i="13"/>
  <c r="L244" i="13" s="1"/>
  <c r="I245" i="13" s="1"/>
  <c r="M368" i="13"/>
  <c r="N366" i="13"/>
  <c r="J365" i="13" a="1"/>
  <c r="J365" i="13" s="1"/>
  <c r="M369" i="14"/>
  <c r="N365" i="14"/>
  <c r="J364" i="14" a="1"/>
  <c r="J364" i="14" s="1"/>
  <c r="K245" i="13" l="1"/>
  <c r="L245" i="13" s="1"/>
  <c r="I246" i="13" s="1"/>
  <c r="N366" i="14"/>
  <c r="J365" i="14" a="1"/>
  <c r="J365" i="14" s="1"/>
  <c r="N367" i="13"/>
  <c r="J366" i="13" a="1"/>
  <c r="J366" i="13" s="1"/>
  <c r="M370" i="14"/>
  <c r="M369" i="13"/>
  <c r="K261" i="14"/>
  <c r="L261" i="14" s="1"/>
  <c r="I262" i="14" s="1"/>
  <c r="K246" i="13" l="1"/>
  <c r="L246" i="13" s="1"/>
  <c r="I247" i="13" s="1"/>
  <c r="K262" i="14"/>
  <c r="M371" i="14"/>
  <c r="N367" i="14"/>
  <c r="J366" i="14" a="1"/>
  <c r="J366" i="14" s="1"/>
  <c r="M370" i="13"/>
  <c r="N368" i="13"/>
  <c r="J367" i="13" a="1"/>
  <c r="J367" i="13" s="1"/>
  <c r="K247" i="13" l="1"/>
  <c r="L247" i="13" s="1"/>
  <c r="I248" i="13" s="1"/>
  <c r="N368" i="14"/>
  <c r="J367" i="14" a="1"/>
  <c r="J367" i="14" s="1"/>
  <c r="L262" i="14"/>
  <c r="I263" i="14" s="1"/>
  <c r="M371" i="13"/>
  <c r="N369" i="13"/>
  <c r="J368" i="13" a="1"/>
  <c r="J368" i="13" s="1"/>
  <c r="M372" i="14"/>
  <c r="K248" i="13" l="1"/>
  <c r="N370" i="13"/>
  <c r="J369" i="13" a="1"/>
  <c r="J369" i="13" s="1"/>
  <c r="M373" i="14"/>
  <c r="M372" i="13"/>
  <c r="N369" i="14"/>
  <c r="J368" i="14" a="1"/>
  <c r="J368" i="14" s="1"/>
  <c r="K263" i="14"/>
  <c r="L263" i="14" s="1"/>
  <c r="I264" i="14" s="1"/>
  <c r="N371" i="13" l="1"/>
  <c r="J370" i="13" a="1"/>
  <c r="J370" i="13" s="1"/>
  <c r="K264" i="14"/>
  <c r="L264" i="14" s="1"/>
  <c r="I265" i="14" s="1"/>
  <c r="M373" i="13"/>
  <c r="M374" i="14"/>
  <c r="N370" i="14"/>
  <c r="J369" i="14" a="1"/>
  <c r="J369" i="14" s="1"/>
  <c r="L248" i="13"/>
  <c r="I249" i="13" s="1"/>
  <c r="K265" i="14" l="1"/>
  <c r="L265" i="14" s="1"/>
  <c r="I266" i="14" s="1"/>
  <c r="N371" i="14"/>
  <c r="J370" i="14" a="1"/>
  <c r="J370" i="14" s="1"/>
  <c r="M375" i="14"/>
  <c r="M374" i="13"/>
  <c r="K249" i="13"/>
  <c r="N372" i="13"/>
  <c r="J371" i="13" a="1"/>
  <c r="J371" i="13" s="1"/>
  <c r="K266" i="14" l="1"/>
  <c r="L266" i="14" s="1"/>
  <c r="I267" i="14" s="1"/>
  <c r="M375" i="13"/>
  <c r="N373" i="13"/>
  <c r="J372" i="13" a="1"/>
  <c r="J372" i="13" s="1"/>
  <c r="N372" i="14"/>
  <c r="J371" i="14" a="1"/>
  <c r="J371" i="14" s="1"/>
  <c r="M376" i="14"/>
  <c r="L249" i="13"/>
  <c r="I250" i="13" s="1"/>
  <c r="K267" i="14" l="1"/>
  <c r="L267" i="14" s="1"/>
  <c r="I268" i="14" s="1"/>
  <c r="M376" i="13"/>
  <c r="M377" i="14"/>
  <c r="N373" i="14"/>
  <c r="J372" i="14" a="1"/>
  <c r="J372" i="14" s="1"/>
  <c r="K250" i="13"/>
  <c r="L250" i="13" s="1"/>
  <c r="I251" i="13" s="1"/>
  <c r="N374" i="13"/>
  <c r="J373" i="13" a="1"/>
  <c r="J373" i="13" s="1"/>
  <c r="K251" i="13" l="1"/>
  <c r="L251" i="13" s="1"/>
  <c r="I252" i="13" s="1"/>
  <c r="K268" i="14"/>
  <c r="L268" i="14" s="1"/>
  <c r="I269" i="14" s="1"/>
  <c r="M377" i="13"/>
  <c r="N375" i="13"/>
  <c r="J374" i="13" a="1"/>
  <c r="J374" i="13" s="1"/>
  <c r="N374" i="14"/>
  <c r="J373" i="14" a="1"/>
  <c r="J373" i="14" s="1"/>
  <c r="M378" i="14"/>
  <c r="K269" i="14" l="1"/>
  <c r="L269" i="14" s="1"/>
  <c r="I270" i="14" s="1"/>
  <c r="N376" i="13"/>
  <c r="J375" i="13" a="1"/>
  <c r="J375" i="13" s="1"/>
  <c r="M379" i="14"/>
  <c r="M378" i="13"/>
  <c r="N375" i="14"/>
  <c r="J374" i="14" a="1"/>
  <c r="J374" i="14" s="1"/>
  <c r="K252" i="13"/>
  <c r="L252" i="13" s="1"/>
  <c r="I253" i="13" s="1"/>
  <c r="K253" i="13" l="1"/>
  <c r="L253" i="13" s="1"/>
  <c r="I254" i="13" s="1"/>
  <c r="K270" i="14"/>
  <c r="L270" i="14" s="1"/>
  <c r="I271" i="14" s="1"/>
  <c r="N377" i="13"/>
  <c r="J376" i="13" a="1"/>
  <c r="J376" i="13" s="1"/>
  <c r="M379" i="13"/>
  <c r="M380" i="14"/>
  <c r="N376" i="14"/>
  <c r="J375" i="14" a="1"/>
  <c r="J375" i="14" s="1"/>
  <c r="K271" i="14" l="1"/>
  <c r="L271" i="14" s="1"/>
  <c r="I272" i="14" s="1"/>
  <c r="N378" i="13"/>
  <c r="J377" i="13" a="1"/>
  <c r="J377" i="13" s="1"/>
  <c r="M380" i="13"/>
  <c r="N377" i="14"/>
  <c r="J376" i="14" a="1"/>
  <c r="J376" i="14" s="1"/>
  <c r="M381" i="14"/>
  <c r="K254" i="13"/>
  <c r="L254" i="13" s="1"/>
  <c r="I255" i="13" s="1"/>
  <c r="K255" i="13" l="1"/>
  <c r="L255" i="13" s="1"/>
  <c r="I256" i="13" s="1"/>
  <c r="K272" i="14"/>
  <c r="N378" i="14"/>
  <c r="J377" i="14" a="1"/>
  <c r="J377" i="14" s="1"/>
  <c r="M382" i="14"/>
  <c r="N379" i="13"/>
  <c r="J378" i="13" a="1"/>
  <c r="J378" i="13" s="1"/>
  <c r="M381" i="13"/>
  <c r="K256" i="13" l="1"/>
  <c r="L256" i="13" s="1"/>
  <c r="I257" i="13" s="1"/>
  <c r="M382" i="13"/>
  <c r="M383" i="14"/>
  <c r="L272" i="14"/>
  <c r="I273" i="14" s="1"/>
  <c r="N380" i="13"/>
  <c r="J379" i="13" a="1"/>
  <c r="J379" i="13" s="1"/>
  <c r="N379" i="14"/>
  <c r="J378" i="14" a="1"/>
  <c r="J378" i="14" s="1"/>
  <c r="K257" i="13" l="1"/>
  <c r="L257" i="13" s="1"/>
  <c r="I258" i="13" s="1"/>
  <c r="N380" i="14"/>
  <c r="J379" i="14" a="1"/>
  <c r="J379" i="14" s="1"/>
  <c r="M384" i="14"/>
  <c r="K273" i="14"/>
  <c r="M383" i="13"/>
  <c r="N381" i="13"/>
  <c r="J380" i="13" a="1"/>
  <c r="J380" i="13" s="1"/>
  <c r="K258" i="13" l="1"/>
  <c r="L258" i="13" s="1"/>
  <c r="I259" i="13" s="1"/>
  <c r="N381" i="14"/>
  <c r="J380" i="14" a="1"/>
  <c r="J380" i="14" s="1"/>
  <c r="M384" i="13"/>
  <c r="M385" i="14"/>
  <c r="N382" i="13"/>
  <c r="J381" i="13" a="1"/>
  <c r="J381" i="13" s="1"/>
  <c r="L273" i="14"/>
  <c r="I274" i="14" s="1"/>
  <c r="K259" i="13" l="1"/>
  <c r="L259" i="13" s="1"/>
  <c r="I260" i="13" s="1"/>
  <c r="N382" i="14"/>
  <c r="J381" i="14" a="1"/>
  <c r="J381" i="14" s="1"/>
  <c r="N383" i="13"/>
  <c r="J382" i="13" a="1"/>
  <c r="J382" i="13" s="1"/>
  <c r="M385" i="13"/>
  <c r="K274" i="14"/>
  <c r="L274" i="14" s="1"/>
  <c r="I275" i="14" s="1"/>
  <c r="M386" i="14"/>
  <c r="K275" i="14" l="1"/>
  <c r="L275" i="14" s="1"/>
  <c r="I276" i="14" s="1"/>
  <c r="K260" i="13"/>
  <c r="L260" i="13" s="1"/>
  <c r="I261" i="13" s="1"/>
  <c r="N383" i="14"/>
  <c r="J382" i="14" a="1"/>
  <c r="J382" i="14" s="1"/>
  <c r="N384" i="13"/>
  <c r="J383" i="13" a="1"/>
  <c r="J383" i="13" s="1"/>
  <c r="M387" i="14"/>
  <c r="M386" i="13"/>
  <c r="K276" i="14" l="1"/>
  <c r="L276" i="14" s="1"/>
  <c r="I277" i="14" s="1"/>
  <c r="K261" i="13"/>
  <c r="L261" i="13" s="1"/>
  <c r="I262" i="13" s="1"/>
  <c r="N385" i="13"/>
  <c r="J384" i="13" a="1"/>
  <c r="J384" i="13" s="1"/>
  <c r="M388" i="14"/>
  <c r="N384" i="14"/>
  <c r="J383" i="14" a="1"/>
  <c r="J383" i="14" s="1"/>
  <c r="M387" i="13"/>
  <c r="K262" i="13" l="1"/>
  <c r="K277" i="14"/>
  <c r="L277" i="14" s="1"/>
  <c r="I278" i="14" s="1"/>
  <c r="M388" i="13"/>
  <c r="M389" i="14"/>
  <c r="N385" i="14"/>
  <c r="J384" i="14" a="1"/>
  <c r="J384" i="14" s="1"/>
  <c r="N386" i="13"/>
  <c r="J385" i="13" a="1"/>
  <c r="J385" i="13" s="1"/>
  <c r="K278" i="14" l="1"/>
  <c r="L278" i="14" s="1"/>
  <c r="I279" i="14" s="1"/>
  <c r="M390" i="14"/>
  <c r="N387" i="13"/>
  <c r="J386" i="13" a="1"/>
  <c r="J386" i="13" s="1"/>
  <c r="M389" i="13"/>
  <c r="N386" i="14"/>
  <c r="J385" i="14" a="1"/>
  <c r="J385" i="14" s="1"/>
  <c r="L262" i="13"/>
  <c r="I263" i="13" s="1"/>
  <c r="K279" i="14" l="1"/>
  <c r="L279" i="14" s="1"/>
  <c r="I280" i="14" s="1"/>
  <c r="N387" i="14"/>
  <c r="J386" i="14" a="1"/>
  <c r="J386" i="14" s="1"/>
  <c r="K263" i="13"/>
  <c r="L263" i="13" s="1"/>
  <c r="I264" i="13" s="1"/>
  <c r="M391" i="14"/>
  <c r="M390" i="13"/>
  <c r="N388" i="13"/>
  <c r="J387" i="13" a="1"/>
  <c r="J387" i="13" s="1"/>
  <c r="K280" i="14" l="1"/>
  <c r="L280" i="14" s="1"/>
  <c r="I281" i="14" s="1"/>
  <c r="M392" i="14"/>
  <c r="N389" i="13"/>
  <c r="J388" i="13" a="1"/>
  <c r="J388" i="13" s="1"/>
  <c r="N388" i="14"/>
  <c r="J387" i="14" a="1"/>
  <c r="J387" i="14" s="1"/>
  <c r="M391" i="13"/>
  <c r="K264" i="13"/>
  <c r="L264" i="13" s="1"/>
  <c r="I265" i="13" s="1"/>
  <c r="K265" i="13" l="1"/>
  <c r="L265" i="13" s="1"/>
  <c r="I266" i="13" s="1"/>
  <c r="K281" i="14"/>
  <c r="L281" i="14" s="1"/>
  <c r="I282" i="14" s="1"/>
  <c r="N389" i="14"/>
  <c r="J388" i="14" a="1"/>
  <c r="J388" i="14" s="1"/>
  <c r="M393" i="14"/>
  <c r="M392" i="13"/>
  <c r="N390" i="13"/>
  <c r="J389" i="13" a="1"/>
  <c r="J389" i="13" s="1"/>
  <c r="K282" i="14" l="1"/>
  <c r="L282" i="14" s="1"/>
  <c r="I283" i="14" s="1"/>
  <c r="K266" i="13"/>
  <c r="L266" i="13" s="1"/>
  <c r="I267" i="13" s="1"/>
  <c r="M394" i="14"/>
  <c r="N391" i="13"/>
  <c r="J390" i="13" a="1"/>
  <c r="J390" i="13" s="1"/>
  <c r="M393" i="13"/>
  <c r="N390" i="14"/>
  <c r="J389" i="14" a="1"/>
  <c r="J389" i="14" s="1"/>
  <c r="K267" i="13" l="1"/>
  <c r="L267" i="13" s="1"/>
  <c r="I268" i="13" s="1"/>
  <c r="K283" i="14"/>
  <c r="L283" i="14" s="1"/>
  <c r="I284" i="14" s="1"/>
  <c r="N391" i="14"/>
  <c r="J390" i="14" a="1"/>
  <c r="J390" i="14" s="1"/>
  <c r="N392" i="13"/>
  <c r="J391" i="13" a="1"/>
  <c r="J391" i="13" s="1"/>
  <c r="M394" i="13"/>
  <c r="M395" i="14"/>
  <c r="K284" i="14" l="1"/>
  <c r="K268" i="13"/>
  <c r="L268" i="13" s="1"/>
  <c r="I269" i="13" s="1"/>
  <c r="M396" i="14"/>
  <c r="N393" i="13"/>
  <c r="J392" i="13" a="1"/>
  <c r="J392" i="13" s="1"/>
  <c r="M395" i="13"/>
  <c r="N392" i="14"/>
  <c r="J391" i="14" a="1"/>
  <c r="J391" i="14" s="1"/>
  <c r="K269" i="13" l="1"/>
  <c r="L269" i="13" s="1"/>
  <c r="I270" i="13" s="1"/>
  <c r="N393" i="14"/>
  <c r="J392" i="14" a="1"/>
  <c r="J392" i="14" s="1"/>
  <c r="N394" i="13"/>
  <c r="J393" i="13" a="1"/>
  <c r="J393" i="13" s="1"/>
  <c r="M396" i="13"/>
  <c r="M397" i="14"/>
  <c r="L284" i="14"/>
  <c r="I285" i="14" s="1"/>
  <c r="K270" i="13" l="1"/>
  <c r="L270" i="13" s="1"/>
  <c r="I271" i="13" s="1"/>
  <c r="M398" i="14"/>
  <c r="N395" i="13"/>
  <c r="J394" i="13" a="1"/>
  <c r="J394" i="13" s="1"/>
  <c r="M397" i="13"/>
  <c r="K285" i="14"/>
  <c r="N394" i="14"/>
  <c r="J393" i="14" a="1"/>
  <c r="J393" i="14" s="1"/>
  <c r="K271" i="13" l="1"/>
  <c r="L271" i="13" s="1"/>
  <c r="I272" i="13" s="1"/>
  <c r="N395" i="14"/>
  <c r="J394" i="14" a="1"/>
  <c r="J394" i="14" s="1"/>
  <c r="M399" i="14"/>
  <c r="L285" i="14"/>
  <c r="I286" i="14" s="1"/>
  <c r="N396" i="13"/>
  <c r="J395" i="13" a="1"/>
  <c r="J395" i="13" s="1"/>
  <c r="M398" i="13"/>
  <c r="K272" i="13" l="1"/>
  <c r="M400" i="14"/>
  <c r="N397" i="13"/>
  <c r="J396" i="13" a="1"/>
  <c r="J396" i="13" s="1"/>
  <c r="N396" i="14"/>
  <c r="J395" i="14" a="1"/>
  <c r="J395" i="14" s="1"/>
  <c r="M399" i="13"/>
  <c r="K286" i="14"/>
  <c r="L286" i="14" s="1"/>
  <c r="I287" i="14" s="1"/>
  <c r="K287" i="14" l="1"/>
  <c r="L287" i="14" s="1"/>
  <c r="I288" i="14" s="1"/>
  <c r="M401" i="14"/>
  <c r="M400" i="13"/>
  <c r="N397" i="14"/>
  <c r="J396" i="14" a="1"/>
  <c r="J396" i="14" s="1"/>
  <c r="N398" i="13"/>
  <c r="J397" i="13" a="1"/>
  <c r="J397" i="13" s="1"/>
  <c r="L272" i="13"/>
  <c r="I273" i="13" s="1"/>
  <c r="K288" i="14" l="1"/>
  <c r="L288" i="14" s="1"/>
  <c r="I289" i="14" s="1"/>
  <c r="M402" i="14"/>
  <c r="N398" i="14"/>
  <c r="J397" i="14" a="1"/>
  <c r="J397" i="14" s="1"/>
  <c r="K273" i="13"/>
  <c r="N399" i="13"/>
  <c r="J398" i="13" a="1"/>
  <c r="J398" i="13" s="1"/>
  <c r="M401" i="13"/>
  <c r="M402" i="13" l="1"/>
  <c r="M403" i="14"/>
  <c r="L273" i="13"/>
  <c r="I274" i="13" s="1"/>
  <c r="N400" i="13"/>
  <c r="J399" i="13" a="1"/>
  <c r="J399" i="13" s="1"/>
  <c r="N399" i="14"/>
  <c r="J398" i="14" a="1"/>
  <c r="J398" i="14" s="1"/>
  <c r="K289" i="14"/>
  <c r="L289" i="14" s="1"/>
  <c r="I290" i="14" s="1"/>
  <c r="K290" i="14" l="1"/>
  <c r="L290" i="14" s="1"/>
  <c r="I291" i="14" s="1"/>
  <c r="N401" i="13"/>
  <c r="J400" i="13" a="1"/>
  <c r="J400" i="13" s="1"/>
  <c r="K274" i="13"/>
  <c r="L274" i="13" s="1"/>
  <c r="I275" i="13" s="1"/>
  <c r="M403" i="13"/>
  <c r="N400" i="14"/>
  <c r="J399" i="14" a="1"/>
  <c r="J399" i="14" s="1"/>
  <c r="M404" i="14"/>
  <c r="K275" i="13" l="1"/>
  <c r="L275" i="13" s="1"/>
  <c r="I276" i="13" s="1"/>
  <c r="K291" i="14"/>
  <c r="L291" i="14" s="1"/>
  <c r="I292" i="14" s="1"/>
  <c r="M405" i="14"/>
  <c r="M404" i="13"/>
  <c r="N402" i="13"/>
  <c r="J401" i="13" a="1"/>
  <c r="J401" i="13" s="1"/>
  <c r="N401" i="14"/>
  <c r="J400" i="14" a="1"/>
  <c r="J400" i="14" s="1"/>
  <c r="K292" i="14" l="1"/>
  <c r="L292" i="14" s="1"/>
  <c r="I293" i="14" s="1"/>
  <c r="N402" i="14"/>
  <c r="J401" i="14" a="1"/>
  <c r="J401" i="14" s="1"/>
  <c r="M406" i="14"/>
  <c r="M405" i="13"/>
  <c r="N403" i="13"/>
  <c r="J402" i="13" a="1"/>
  <c r="J402" i="13" s="1"/>
  <c r="K276" i="13"/>
  <c r="L276" i="13" s="1"/>
  <c r="I277" i="13" s="1"/>
  <c r="K277" i="13" l="1"/>
  <c r="L277" i="13" s="1"/>
  <c r="I278" i="13" s="1"/>
  <c r="K293" i="14"/>
  <c r="L293" i="14" s="1"/>
  <c r="I294" i="14" s="1"/>
  <c r="M406" i="13"/>
  <c r="N403" i="14"/>
  <c r="J402" i="14" a="1"/>
  <c r="J402" i="14" s="1"/>
  <c r="M407" i="14"/>
  <c r="N404" i="13"/>
  <c r="J403" i="13" a="1"/>
  <c r="J403" i="13" s="1"/>
  <c r="K294" i="14" l="1"/>
  <c r="L294" i="14" s="1"/>
  <c r="I295" i="14" s="1"/>
  <c r="K278" i="13"/>
  <c r="L278" i="13" s="1"/>
  <c r="I279" i="13" s="1"/>
  <c r="N405" i="13"/>
  <c r="J404" i="13" a="1"/>
  <c r="J404" i="13" s="1"/>
  <c r="N404" i="14"/>
  <c r="J403" i="14" a="1"/>
  <c r="J403" i="14" s="1"/>
  <c r="M408" i="14"/>
  <c r="M407" i="13"/>
  <c r="K295" i="14" l="1"/>
  <c r="L295" i="14" s="1"/>
  <c r="I296" i="14" s="1"/>
  <c r="N405" i="14"/>
  <c r="J404" i="14" a="1"/>
  <c r="J404" i="14" s="1"/>
  <c r="M408" i="13"/>
  <c r="K279" i="13"/>
  <c r="L279" i="13" s="1"/>
  <c r="I280" i="13" s="1"/>
  <c r="M409" i="14"/>
  <c r="N406" i="13"/>
  <c r="J405" i="13" a="1"/>
  <c r="J405" i="13" s="1"/>
  <c r="K296" i="14" l="1"/>
  <c r="N407" i="13"/>
  <c r="J406" i="13" a="1"/>
  <c r="J406" i="13" s="1"/>
  <c r="K280" i="13"/>
  <c r="L280" i="13" s="1"/>
  <c r="I281" i="13" s="1"/>
  <c r="N406" i="14"/>
  <c r="J405" i="14" a="1"/>
  <c r="J405" i="14" s="1"/>
  <c r="M410" i="14"/>
  <c r="M409" i="13"/>
  <c r="K281" i="13" l="1"/>
  <c r="L281" i="13" s="1"/>
  <c r="I282" i="13" s="1"/>
  <c r="M411" i="14"/>
  <c r="N408" i="13"/>
  <c r="J407" i="13" a="1"/>
  <c r="J407" i="13" s="1"/>
  <c r="N407" i="14"/>
  <c r="J406" i="14" a="1"/>
  <c r="J406" i="14" s="1"/>
  <c r="M410" i="13"/>
  <c r="L296" i="14"/>
  <c r="I297" i="14" s="1"/>
  <c r="K297" i="14" l="1"/>
  <c r="M411" i="13"/>
  <c r="N408" i="14"/>
  <c r="J407" i="14" a="1"/>
  <c r="J407" i="14" s="1"/>
  <c r="N409" i="13"/>
  <c r="J408" i="13" a="1"/>
  <c r="J408" i="13" s="1"/>
  <c r="M412" i="14"/>
  <c r="K282" i="13"/>
  <c r="L282" i="13" s="1"/>
  <c r="I283" i="13" s="1"/>
  <c r="K283" i="13" l="1"/>
  <c r="L283" i="13" s="1"/>
  <c r="I284" i="13" s="1"/>
  <c r="M412" i="13"/>
  <c r="M413" i="14"/>
  <c r="N410" i="13"/>
  <c r="J409" i="13" a="1"/>
  <c r="J409" i="13" s="1"/>
  <c r="N409" i="14"/>
  <c r="J408" i="14" a="1"/>
  <c r="J408" i="14" s="1"/>
  <c r="L297" i="14"/>
  <c r="I298" i="14" s="1"/>
  <c r="K284" i="13" l="1"/>
  <c r="N411" i="13"/>
  <c r="J410" i="13" a="1"/>
  <c r="J410" i="13" s="1"/>
  <c r="M413" i="13"/>
  <c r="N410" i="14"/>
  <c r="J409" i="14" a="1"/>
  <c r="J409" i="14" s="1"/>
  <c r="M414" i="14"/>
  <c r="K298" i="14"/>
  <c r="L298" i="14" s="1"/>
  <c r="I299" i="14" s="1"/>
  <c r="K299" i="14" l="1"/>
  <c r="L299" i="14" s="1"/>
  <c r="I300" i="14" s="1"/>
  <c r="N411" i="14"/>
  <c r="J410" i="14" a="1"/>
  <c r="J410" i="14" s="1"/>
  <c r="N412" i="13"/>
  <c r="J411" i="13" a="1"/>
  <c r="J411" i="13" s="1"/>
  <c r="M415" i="14"/>
  <c r="M414" i="13"/>
  <c r="L284" i="13"/>
  <c r="I285" i="13" s="1"/>
  <c r="K300" i="14" l="1"/>
  <c r="L300" i="14" s="1"/>
  <c r="I301" i="14" s="1"/>
  <c r="K285" i="13"/>
  <c r="L285" i="13" s="1"/>
  <c r="I286" i="13" s="1"/>
  <c r="N412" i="14"/>
  <c r="J411" i="14" a="1"/>
  <c r="J411" i="14" s="1"/>
  <c r="M415" i="13"/>
  <c r="N413" i="13"/>
  <c r="J412" i="13" a="1"/>
  <c r="J412" i="13" s="1"/>
  <c r="M416" i="14"/>
  <c r="K286" i="13" l="1"/>
  <c r="L286" i="13" s="1"/>
  <c r="I287" i="13" s="1"/>
  <c r="K301" i="14"/>
  <c r="L301" i="14" s="1"/>
  <c r="I302" i="14" s="1"/>
  <c r="M417" i="14"/>
  <c r="M416" i="13"/>
  <c r="N414" i="13"/>
  <c r="J413" i="13" a="1"/>
  <c r="J413" i="13" s="1"/>
  <c r="N413" i="14"/>
  <c r="J412" i="14" a="1"/>
  <c r="J412" i="14" s="1"/>
  <c r="K302" i="14" l="1"/>
  <c r="L302" i="14" s="1"/>
  <c r="I303" i="14" s="1"/>
  <c r="M417" i="13"/>
  <c r="M418" i="14"/>
  <c r="N414" i="14"/>
  <c r="J413" i="14" a="1"/>
  <c r="J413" i="14" s="1"/>
  <c r="N415" i="13"/>
  <c r="J414" i="13" a="1"/>
  <c r="J414" i="13" s="1"/>
  <c r="K287" i="13"/>
  <c r="L287" i="13" s="1"/>
  <c r="I288" i="13" s="1"/>
  <c r="K288" i="13" l="1"/>
  <c r="L288" i="13" s="1"/>
  <c r="I289" i="13" s="1"/>
  <c r="M418" i="13"/>
  <c r="N415" i="14"/>
  <c r="J414" i="14" a="1"/>
  <c r="J414" i="14" s="1"/>
  <c r="M419" i="14"/>
  <c r="N416" i="13"/>
  <c r="J415" i="13" a="1"/>
  <c r="J415" i="13" s="1"/>
  <c r="K303" i="14"/>
  <c r="L303" i="14" s="1"/>
  <c r="I304" i="14" s="1"/>
  <c r="K289" i="13" l="1"/>
  <c r="L289" i="13" s="1"/>
  <c r="I290" i="13" s="1"/>
  <c r="K304" i="14"/>
  <c r="L304" i="14" s="1"/>
  <c r="I305" i="14" s="1"/>
  <c r="M420" i="14"/>
  <c r="M419" i="13"/>
  <c r="N417" i="13"/>
  <c r="J416" i="13" a="1"/>
  <c r="J416" i="13" s="1"/>
  <c r="N416" i="14"/>
  <c r="J415" i="14" a="1"/>
  <c r="J415" i="14" s="1"/>
  <c r="K305" i="14" l="1"/>
  <c r="L305" i="14" s="1"/>
  <c r="I306" i="14" s="1"/>
  <c r="K290" i="13"/>
  <c r="L290" i="13" s="1"/>
  <c r="I291" i="13" s="1"/>
  <c r="M420" i="13"/>
  <c r="N417" i="14"/>
  <c r="J416" i="14" a="1"/>
  <c r="J416" i="14" s="1"/>
  <c r="M421" i="14"/>
  <c r="N418" i="13"/>
  <c r="J417" i="13" a="1"/>
  <c r="J417" i="13" s="1"/>
  <c r="K291" i="13" l="1"/>
  <c r="L291" i="13" s="1"/>
  <c r="I292" i="13" s="1"/>
  <c r="K306" i="14"/>
  <c r="L306" i="14" s="1"/>
  <c r="I307" i="14" s="1"/>
  <c r="N419" i="13"/>
  <c r="J418" i="13" a="1"/>
  <c r="J418" i="13" s="1"/>
  <c r="M422" i="14"/>
  <c r="N418" i="14"/>
  <c r="J417" i="14" a="1"/>
  <c r="J417" i="14" s="1"/>
  <c r="M421" i="13"/>
  <c r="K292" i="13" l="1"/>
  <c r="L292" i="13" s="1"/>
  <c r="I293" i="13" s="1"/>
  <c r="M422" i="13"/>
  <c r="K307" i="14"/>
  <c r="L307" i="14" s="1"/>
  <c r="I308" i="14" s="1"/>
  <c r="N419" i="14"/>
  <c r="J418" i="14" a="1"/>
  <c r="J418" i="14" s="1"/>
  <c r="N420" i="13"/>
  <c r="J419" i="13" a="1"/>
  <c r="J419" i="13" s="1"/>
  <c r="M423" i="14"/>
  <c r="K308" i="14" l="1"/>
  <c r="L308" i="14" s="1"/>
  <c r="I309" i="14" s="1"/>
  <c r="K293" i="13"/>
  <c r="L293" i="13" s="1"/>
  <c r="I294" i="13" s="1"/>
  <c r="M424" i="14"/>
  <c r="N420" i="14"/>
  <c r="J419" i="14" a="1"/>
  <c r="J419" i="14" s="1"/>
  <c r="M423" i="13"/>
  <c r="N421" i="13"/>
  <c r="J420" i="13" a="1"/>
  <c r="J420" i="13" s="1"/>
  <c r="K294" i="13" l="1"/>
  <c r="L294" i="13" s="1"/>
  <c r="I295" i="13" s="1"/>
  <c r="K309" i="14"/>
  <c r="L309" i="14" s="1"/>
  <c r="I310" i="14" s="1"/>
  <c r="N422" i="13"/>
  <c r="J421" i="13" a="1"/>
  <c r="J421" i="13" s="1"/>
  <c r="M424" i="13"/>
  <c r="N421" i="14"/>
  <c r="J420" i="14" a="1"/>
  <c r="J420" i="14" s="1"/>
  <c r="M425" i="14"/>
  <c r="K295" i="13" l="1"/>
  <c r="L295" i="13" s="1"/>
  <c r="I296" i="13" s="1"/>
  <c r="K310" i="14"/>
  <c r="L310" i="14" s="1"/>
  <c r="I311" i="14" s="1"/>
  <c r="N422" i="14"/>
  <c r="J421" i="14" a="1"/>
  <c r="J421" i="14" s="1"/>
  <c r="M426" i="14"/>
  <c r="M425" i="13"/>
  <c r="N423" i="13"/>
  <c r="J422" i="13" a="1"/>
  <c r="J422" i="13" s="1"/>
  <c r="K296" i="13" l="1"/>
  <c r="L296" i="13" s="1"/>
  <c r="I297" i="13" s="1"/>
  <c r="K311" i="14"/>
  <c r="L311" i="14" s="1"/>
  <c r="I312" i="14" s="1"/>
  <c r="N424" i="13"/>
  <c r="J423" i="13" a="1"/>
  <c r="J423" i="13" s="1"/>
  <c r="M427" i="14"/>
  <c r="M426" i="13"/>
  <c r="N423" i="14"/>
  <c r="J422" i="14" a="1"/>
  <c r="J422" i="14" s="1"/>
  <c r="K312" i="14" l="1"/>
  <c r="L312" i="14" s="1"/>
  <c r="I313" i="14" s="1"/>
  <c r="M428" i="14"/>
  <c r="N424" i="14"/>
  <c r="J423" i="14" a="1"/>
  <c r="J423" i="14" s="1"/>
  <c r="M427" i="13"/>
  <c r="N425" i="13"/>
  <c r="J424" i="13" a="1"/>
  <c r="J424" i="13" s="1"/>
  <c r="K297" i="13"/>
  <c r="L297" i="13" s="1"/>
  <c r="I298" i="13" s="1"/>
  <c r="K313" i="14" l="1"/>
  <c r="L313" i="14" s="1"/>
  <c r="I314" i="14" s="1"/>
  <c r="M429" i="14"/>
  <c r="K298" i="13"/>
  <c r="N426" i="13"/>
  <c r="J425" i="13" a="1"/>
  <c r="J425" i="13" s="1"/>
  <c r="M428" i="13"/>
  <c r="N425" i="14"/>
  <c r="J424" i="14" a="1"/>
  <c r="J424" i="14" s="1"/>
  <c r="K314" i="14" l="1"/>
  <c r="L314" i="14" s="1"/>
  <c r="I315" i="14" s="1"/>
  <c r="M430" i="14"/>
  <c r="N426" i="14"/>
  <c r="J425" i="14" a="1"/>
  <c r="J425" i="14" s="1"/>
  <c r="N427" i="13"/>
  <c r="J426" i="13" a="1"/>
  <c r="J426" i="13" s="1"/>
  <c r="M429" i="13"/>
  <c r="L298" i="13"/>
  <c r="I299" i="13" s="1"/>
  <c r="K315" i="14" l="1"/>
  <c r="L315" i="14" s="1"/>
  <c r="I316" i="14" s="1"/>
  <c r="K299" i="13"/>
  <c r="L299" i="13" s="1"/>
  <c r="I300" i="13" s="1"/>
  <c r="M431" i="14"/>
  <c r="N428" i="13"/>
  <c r="J427" i="13" a="1"/>
  <c r="J427" i="13" s="1"/>
  <c r="M430" i="13"/>
  <c r="N427" i="14"/>
  <c r="J426" i="14" a="1"/>
  <c r="J426" i="14" s="1"/>
  <c r="K300" i="13" l="1"/>
  <c r="L300" i="13" s="1"/>
  <c r="I301" i="13" s="1"/>
  <c r="K316" i="14"/>
  <c r="L316" i="14" s="1"/>
  <c r="I317" i="14" s="1"/>
  <c r="N429" i="13"/>
  <c r="J428" i="13" a="1"/>
  <c r="J428" i="13" s="1"/>
  <c r="M431" i="13"/>
  <c r="N428" i="14"/>
  <c r="J427" i="14" a="1"/>
  <c r="J427" i="14" s="1"/>
  <c r="M432" i="14"/>
  <c r="K317" i="14" l="1"/>
  <c r="L317" i="14" s="1"/>
  <c r="I318" i="14" s="1"/>
  <c r="K301" i="13"/>
  <c r="L301" i="13" s="1"/>
  <c r="I302" i="13" s="1"/>
  <c r="M433" i="14"/>
  <c r="M432" i="13"/>
  <c r="N429" i="14"/>
  <c r="J428" i="14" a="1"/>
  <c r="J428" i="14" s="1"/>
  <c r="N430" i="13"/>
  <c r="J429" i="13" a="1"/>
  <c r="J429" i="13" s="1"/>
  <c r="K302" i="13" l="1"/>
  <c r="L302" i="13" s="1"/>
  <c r="I303" i="13" s="1"/>
  <c r="K318" i="14"/>
  <c r="L318" i="14" s="1"/>
  <c r="I319" i="14" s="1"/>
  <c r="M434" i="14"/>
  <c r="N430" i="14"/>
  <c r="J429" i="14" a="1"/>
  <c r="J429" i="14" s="1"/>
  <c r="N431" i="13"/>
  <c r="J430" i="13" a="1"/>
  <c r="J430" i="13" s="1"/>
  <c r="M433" i="13"/>
  <c r="K303" i="13" l="1"/>
  <c r="L303" i="13" s="1"/>
  <c r="I304" i="13" s="1"/>
  <c r="M435" i="14"/>
  <c r="K319" i="14"/>
  <c r="L319" i="14" s="1"/>
  <c r="I320" i="14" s="1"/>
  <c r="N432" i="13"/>
  <c r="J431" i="13" a="1"/>
  <c r="J431" i="13" s="1"/>
  <c r="M434" i="13"/>
  <c r="N431" i="14"/>
  <c r="J430" i="14" a="1"/>
  <c r="J430" i="14" s="1"/>
  <c r="K320" i="14" l="1"/>
  <c r="L320" i="14" s="1"/>
  <c r="I321" i="14" s="1"/>
  <c r="K304" i="13"/>
  <c r="L304" i="13" s="1"/>
  <c r="I305" i="13" s="1"/>
  <c r="M436" i="14"/>
  <c r="N432" i="14"/>
  <c r="J431" i="14" a="1"/>
  <c r="J431" i="14" s="1"/>
  <c r="N433" i="13"/>
  <c r="J432" i="13" a="1"/>
  <c r="J432" i="13" s="1"/>
  <c r="M435" i="13"/>
  <c r="K305" i="13" l="1"/>
  <c r="L305" i="13" s="1"/>
  <c r="I306" i="13" s="1"/>
  <c r="M436" i="13"/>
  <c r="N433" i="14"/>
  <c r="J432" i="14" a="1"/>
  <c r="J432" i="14" s="1"/>
  <c r="M437" i="14"/>
  <c r="N434" i="13"/>
  <c r="J433" i="13" a="1"/>
  <c r="J433" i="13" s="1"/>
  <c r="K321" i="14"/>
  <c r="L321" i="14" s="1"/>
  <c r="I322" i="14" s="1"/>
  <c r="K306" i="13" l="1"/>
  <c r="L306" i="13" s="1"/>
  <c r="I307" i="13" s="1"/>
  <c r="K322" i="14"/>
  <c r="L322" i="14" s="1"/>
  <c r="I323" i="14" s="1"/>
  <c r="M437" i="13"/>
  <c r="N435" i="13"/>
  <c r="J434" i="13" a="1"/>
  <c r="J434" i="13" s="1"/>
  <c r="M438" i="14"/>
  <c r="N434" i="14"/>
  <c r="J433" i="14" a="1"/>
  <c r="J433" i="14" s="1"/>
  <c r="K323" i="14" l="1"/>
  <c r="L323" i="14" s="1"/>
  <c r="I324" i="14" s="1"/>
  <c r="K307" i="13"/>
  <c r="L307" i="13" s="1"/>
  <c r="I308" i="13" s="1"/>
  <c r="N436" i="13"/>
  <c r="J435" i="13" a="1"/>
  <c r="J435" i="13" s="1"/>
  <c r="M439" i="14"/>
  <c r="M438" i="13"/>
  <c r="N435" i="14"/>
  <c r="J434" i="14" a="1"/>
  <c r="J434" i="14" s="1"/>
  <c r="K308" i="13" l="1"/>
  <c r="K324" i="14"/>
  <c r="L324" i="14" s="1"/>
  <c r="I325" i="14" s="1"/>
  <c r="N436" i="14"/>
  <c r="J435" i="14" a="1"/>
  <c r="J435" i="14" s="1"/>
  <c r="M439" i="13"/>
  <c r="M440" i="14"/>
  <c r="N437" i="13"/>
  <c r="J436" i="13" a="1"/>
  <c r="J436" i="13" s="1"/>
  <c r="K325" i="14" l="1"/>
  <c r="L325" i="14" s="1"/>
  <c r="I326" i="14" s="1"/>
  <c r="M440" i="13"/>
  <c r="N438" i="13"/>
  <c r="J437" i="13" a="1"/>
  <c r="J437" i="13" s="1"/>
  <c r="M441" i="14"/>
  <c r="N437" i="14"/>
  <c r="J436" i="14" a="1"/>
  <c r="J436" i="14" s="1"/>
  <c r="L308" i="13"/>
  <c r="I309" i="13" s="1"/>
  <c r="K326" i="14" l="1"/>
  <c r="L326" i="14" s="1"/>
  <c r="I327" i="14" s="1"/>
  <c r="K309" i="13"/>
  <c r="L309" i="13" s="1"/>
  <c r="I310" i="13" s="1"/>
  <c r="M441" i="13"/>
  <c r="N438" i="14"/>
  <c r="J437" i="14" a="1"/>
  <c r="J437" i="14" s="1"/>
  <c r="M442" i="14"/>
  <c r="N439" i="13"/>
  <c r="J438" i="13" a="1"/>
  <c r="J438" i="13" s="1"/>
  <c r="K310" i="13" l="1"/>
  <c r="L310" i="13" s="1"/>
  <c r="I311" i="13" s="1"/>
  <c r="K327" i="14"/>
  <c r="L327" i="14" s="1"/>
  <c r="I328" i="14" s="1"/>
  <c r="N439" i="14"/>
  <c r="J438" i="14" a="1"/>
  <c r="J438" i="14" s="1"/>
  <c r="N440" i="13"/>
  <c r="J439" i="13" a="1"/>
  <c r="J439" i="13" s="1"/>
  <c r="M443" i="14"/>
  <c r="M442" i="13"/>
  <c r="K328" i="14" l="1"/>
  <c r="L328" i="14" s="1"/>
  <c r="I329" i="14" s="1"/>
  <c r="K311" i="13"/>
  <c r="L311" i="13" s="1"/>
  <c r="I312" i="13" s="1"/>
  <c r="N441" i="13"/>
  <c r="J440" i="13" a="1"/>
  <c r="J440" i="13" s="1"/>
  <c r="M444" i="14"/>
  <c r="M443" i="13"/>
  <c r="N440" i="14"/>
  <c r="J439" i="14" a="1"/>
  <c r="J439" i="14" s="1"/>
  <c r="K312" i="13" l="1"/>
  <c r="L312" i="13" s="1"/>
  <c r="I313" i="13" s="1"/>
  <c r="K329" i="14"/>
  <c r="L329" i="14" s="1"/>
  <c r="I330" i="14" s="1"/>
  <c r="M445" i="14"/>
  <c r="N441" i="14"/>
  <c r="J440" i="14" a="1"/>
  <c r="J440" i="14" s="1"/>
  <c r="M444" i="13"/>
  <c r="N442" i="13"/>
  <c r="J441" i="13" a="1"/>
  <c r="J441" i="13" s="1"/>
  <c r="K313" i="13" l="1"/>
  <c r="L313" i="13" s="1"/>
  <c r="I314" i="13" s="1"/>
  <c r="K330" i="14"/>
  <c r="L330" i="14" s="1"/>
  <c r="I331" i="14" s="1"/>
  <c r="N443" i="13"/>
  <c r="J442" i="13" a="1"/>
  <c r="J442" i="13" s="1"/>
  <c r="M445" i="13"/>
  <c r="N442" i="14"/>
  <c r="J441" i="14" a="1"/>
  <c r="J441" i="14" s="1"/>
  <c r="M446" i="14"/>
  <c r="K331" i="14" l="1"/>
  <c r="L331" i="14" s="1"/>
  <c r="I332" i="14" s="1"/>
  <c r="M447" i="14"/>
  <c r="N443" i="14"/>
  <c r="J442" i="14" a="1"/>
  <c r="J442" i="14" s="1"/>
  <c r="N444" i="13"/>
  <c r="J443" i="13" a="1"/>
  <c r="J443" i="13" s="1"/>
  <c r="K314" i="13"/>
  <c r="L314" i="13" s="1"/>
  <c r="I315" i="13" s="1"/>
  <c r="M446" i="13"/>
  <c r="K315" i="13" l="1"/>
  <c r="L315" i="13" s="1"/>
  <c r="I316" i="13" s="1"/>
  <c r="M448" i="14"/>
  <c r="M447" i="13"/>
  <c r="N445" i="13"/>
  <c r="J444" i="13" a="1"/>
  <c r="J444" i="13" s="1"/>
  <c r="N444" i="14"/>
  <c r="J443" i="14" a="1"/>
  <c r="J443" i="14" s="1"/>
  <c r="K332" i="14"/>
  <c r="L332" i="14" s="1"/>
  <c r="I333" i="14" s="1"/>
  <c r="K316" i="13" l="1"/>
  <c r="L316" i="13" s="1"/>
  <c r="I317" i="13" s="1"/>
  <c r="K333" i="14"/>
  <c r="L333" i="14" s="1"/>
  <c r="I334" i="14" s="1"/>
  <c r="N446" i="13"/>
  <c r="J445" i="13" a="1"/>
  <c r="J445" i="13" s="1"/>
  <c r="M449" i="14"/>
  <c r="M448" i="13"/>
  <c r="N445" i="14"/>
  <c r="J444" i="14" a="1"/>
  <c r="J444" i="14" s="1"/>
  <c r="K317" i="13" l="1"/>
  <c r="L317" i="13" s="1"/>
  <c r="I318" i="13" s="1"/>
  <c r="K334" i="14"/>
  <c r="N446" i="14"/>
  <c r="J445" i="14" a="1"/>
  <c r="J445" i="14" s="1"/>
  <c r="M450" i="14"/>
  <c r="M449" i="13"/>
  <c r="N447" i="13"/>
  <c r="J446" i="13" a="1"/>
  <c r="J446" i="13" s="1"/>
  <c r="K318" i="13" l="1"/>
  <c r="L318" i="13" s="1"/>
  <c r="I319" i="13" s="1"/>
  <c r="L334" i="14"/>
  <c r="I335" i="14" s="1"/>
  <c r="N448" i="13"/>
  <c r="J447" i="13" a="1"/>
  <c r="J447" i="13" s="1"/>
  <c r="M450" i="13"/>
  <c r="N447" i="14"/>
  <c r="J446" i="14" a="1"/>
  <c r="J446" i="14" s="1"/>
  <c r="M451" i="14"/>
  <c r="K319" i="13" l="1"/>
  <c r="L319" i="13" s="1"/>
  <c r="I320" i="13" s="1"/>
  <c r="M452" i="14"/>
  <c r="M451" i="13"/>
  <c r="K335" i="14"/>
  <c r="L335" i="14" s="1"/>
  <c r="I336" i="14" s="1"/>
  <c r="N448" i="14"/>
  <c r="J447" i="14" a="1"/>
  <c r="J447" i="14" s="1"/>
  <c r="N449" i="13"/>
  <c r="J448" i="13" a="1"/>
  <c r="J448" i="13" s="1"/>
  <c r="K336" i="14" l="1"/>
  <c r="L336" i="14" s="1"/>
  <c r="I337" i="14" s="1"/>
  <c r="K320" i="13"/>
  <c r="M453" i="14"/>
  <c r="N450" i="13"/>
  <c r="J449" i="13" a="1"/>
  <c r="J449" i="13" s="1"/>
  <c r="M452" i="13"/>
  <c r="N449" i="14"/>
  <c r="J448" i="14" a="1"/>
  <c r="J448" i="14" s="1"/>
  <c r="K337" i="14" l="1"/>
  <c r="L337" i="14" s="1"/>
  <c r="I338" i="14" s="1"/>
  <c r="N450" i="14"/>
  <c r="J449" i="14" a="1"/>
  <c r="J449" i="14" s="1"/>
  <c r="L320" i="13"/>
  <c r="I321" i="13" s="1"/>
  <c r="N451" i="13"/>
  <c r="J450" i="13" a="1"/>
  <c r="J450" i="13" s="1"/>
  <c r="M453" i="13"/>
  <c r="M454" i="14"/>
  <c r="K338" i="14" l="1"/>
  <c r="L338" i="14" s="1"/>
  <c r="I339" i="14" s="1"/>
  <c r="N451" i="14"/>
  <c r="J450" i="14" a="1"/>
  <c r="J450" i="14" s="1"/>
  <c r="N452" i="13"/>
  <c r="J451" i="13" a="1"/>
  <c r="J451" i="13" s="1"/>
  <c r="M454" i="13"/>
  <c r="K321" i="13"/>
  <c r="M455" i="14"/>
  <c r="K339" i="14" l="1"/>
  <c r="L339" i="14" s="1"/>
  <c r="I340" i="14" s="1"/>
  <c r="M456" i="14"/>
  <c r="M455" i="13"/>
  <c r="N452" i="14"/>
  <c r="J451" i="14" a="1"/>
  <c r="J451" i="14" s="1"/>
  <c r="L321" i="13"/>
  <c r="I322" i="13" s="1"/>
  <c r="N453" i="13"/>
  <c r="J452" i="13" a="1"/>
  <c r="J452" i="13" s="1"/>
  <c r="K340" i="14" l="1"/>
  <c r="L340" i="14" s="1"/>
  <c r="I341" i="14" s="1"/>
  <c r="M457" i="14"/>
  <c r="N453" i="14"/>
  <c r="J452" i="14" a="1"/>
  <c r="J452" i="14" s="1"/>
  <c r="N454" i="13"/>
  <c r="J453" i="13" a="1"/>
  <c r="J453" i="13" s="1"/>
  <c r="K322" i="13"/>
  <c r="L322" i="13" s="1"/>
  <c r="I323" i="13" s="1"/>
  <c r="M456" i="13"/>
  <c r="K323" i="13" l="1"/>
  <c r="L323" i="13" s="1"/>
  <c r="I324" i="13" s="1"/>
  <c r="K341" i="14"/>
  <c r="L341" i="14" s="1"/>
  <c r="I342" i="14" s="1"/>
  <c r="M457" i="13"/>
  <c r="N455" i="13"/>
  <c r="J454" i="13" a="1"/>
  <c r="J454" i="13" s="1"/>
  <c r="M458" i="14"/>
  <c r="N454" i="14"/>
  <c r="J453" i="14" a="1"/>
  <c r="J453" i="14" s="1"/>
  <c r="K342" i="14" l="1"/>
  <c r="L342" i="14" s="1"/>
  <c r="I343" i="14" s="1"/>
  <c r="K324" i="13"/>
  <c r="L324" i="13" s="1"/>
  <c r="I325" i="13" s="1"/>
  <c r="N455" i="14"/>
  <c r="J454" i="14" a="1"/>
  <c r="J454" i="14" s="1"/>
  <c r="N456" i="13"/>
  <c r="J455" i="13" a="1"/>
  <c r="J455" i="13" s="1"/>
  <c r="M459" i="14"/>
  <c r="M458" i="13"/>
  <c r="K325" i="13" l="1"/>
  <c r="L325" i="13" s="1"/>
  <c r="I326" i="13" s="1"/>
  <c r="K343" i="14"/>
  <c r="L343" i="14" s="1"/>
  <c r="I344" i="14" s="1"/>
  <c r="M459" i="13"/>
  <c r="M460" i="14"/>
  <c r="N457" i="13"/>
  <c r="J456" i="13" a="1"/>
  <c r="J456" i="13" s="1"/>
  <c r="N456" i="14"/>
  <c r="J455" i="14" a="1"/>
  <c r="J455" i="14" s="1"/>
  <c r="K344" i="14" l="1"/>
  <c r="K326" i="13"/>
  <c r="L326" i="13" s="1"/>
  <c r="I327" i="13" s="1"/>
  <c r="N457" i="14"/>
  <c r="J456" i="14" a="1"/>
  <c r="J456" i="14" s="1"/>
  <c r="M461" i="14"/>
  <c r="M460" i="13"/>
  <c r="N458" i="13"/>
  <c r="J457" i="13" a="1"/>
  <c r="J457" i="13" s="1"/>
  <c r="K327" i="13" l="1"/>
  <c r="L327" i="13" s="1"/>
  <c r="I328" i="13" s="1"/>
  <c r="M462" i="14"/>
  <c r="M461" i="13"/>
  <c r="N459" i="13"/>
  <c r="J458" i="13" a="1"/>
  <c r="J458" i="13" s="1"/>
  <c r="N458" i="14"/>
  <c r="J457" i="14" a="1"/>
  <c r="J457" i="14" s="1"/>
  <c r="L344" i="14"/>
  <c r="I345" i="14" s="1"/>
  <c r="K328" i="13" l="1"/>
  <c r="L328" i="13" s="1"/>
  <c r="I329" i="13" s="1"/>
  <c r="M463" i="14"/>
  <c r="N460" i="13"/>
  <c r="J459" i="13" a="1"/>
  <c r="J459" i="13" s="1"/>
  <c r="K345" i="14"/>
  <c r="N459" i="14"/>
  <c r="J458" i="14" a="1"/>
  <c r="J458" i="14" s="1"/>
  <c r="M462" i="13"/>
  <c r="K329" i="13" l="1"/>
  <c r="L329" i="13" s="1"/>
  <c r="I330" i="13" s="1"/>
  <c r="M464" i="14"/>
  <c r="N460" i="14"/>
  <c r="J459" i="14" a="1"/>
  <c r="J459" i="14" s="1"/>
  <c r="M463" i="13"/>
  <c r="L345" i="14"/>
  <c r="I346" i="14" s="1"/>
  <c r="N461" i="13"/>
  <c r="J460" i="13" a="1"/>
  <c r="J460" i="13" s="1"/>
  <c r="K330" i="13" l="1"/>
  <c r="L330" i="13" s="1"/>
  <c r="I331" i="13" s="1"/>
  <c r="N462" i="13"/>
  <c r="J461" i="13" a="1"/>
  <c r="J461" i="13" s="1"/>
  <c r="K346" i="14"/>
  <c r="L346" i="14" s="1"/>
  <c r="I347" i="14" s="1"/>
  <c r="N461" i="14"/>
  <c r="J460" i="14" a="1"/>
  <c r="J460" i="14" s="1"/>
  <c r="M464" i="13"/>
  <c r="M465" i="14"/>
  <c r="K331" i="13" l="1"/>
  <c r="L331" i="13" s="1"/>
  <c r="I332" i="13" s="1"/>
  <c r="K347" i="14"/>
  <c r="L347" i="14" s="1"/>
  <c r="I348" i="14" s="1"/>
  <c r="M466" i="14"/>
  <c r="N463" i="13"/>
  <c r="J462" i="13" a="1"/>
  <c r="J462" i="13" s="1"/>
  <c r="N462" i="14"/>
  <c r="J461" i="14" a="1"/>
  <c r="J461" i="14" s="1"/>
  <c r="M465" i="13"/>
  <c r="K348" i="14" l="1"/>
  <c r="L348" i="14" s="1"/>
  <c r="I349" i="14" s="1"/>
  <c r="K332" i="13"/>
  <c r="L332" i="13" s="1"/>
  <c r="I333" i="13" s="1"/>
  <c r="N464" i="13"/>
  <c r="J463" i="13" a="1"/>
  <c r="J463" i="13" s="1"/>
  <c r="M467" i="14"/>
  <c r="M466" i="13"/>
  <c r="N463" i="14"/>
  <c r="J462" i="14" a="1"/>
  <c r="J462" i="14" s="1"/>
  <c r="K333" i="13" l="1"/>
  <c r="L333" i="13" s="1"/>
  <c r="I334" i="13" s="1"/>
  <c r="M468" i="14"/>
  <c r="N464" i="14"/>
  <c r="J463" i="14" a="1"/>
  <c r="J463" i="14" s="1"/>
  <c r="M467" i="13"/>
  <c r="N465" i="13"/>
  <c r="J464" i="13" a="1"/>
  <c r="J464" i="13" s="1"/>
  <c r="K349" i="14"/>
  <c r="L349" i="14" s="1"/>
  <c r="I350" i="14" s="1"/>
  <c r="K334" i="13" l="1"/>
  <c r="K350" i="14"/>
  <c r="L350" i="14" s="1"/>
  <c r="I351" i="14" s="1"/>
  <c r="M469" i="14"/>
  <c r="N466" i="13"/>
  <c r="J465" i="13" a="1"/>
  <c r="J465" i="13" s="1"/>
  <c r="M468" i="13"/>
  <c r="N465" i="14"/>
  <c r="J464" i="14" a="1"/>
  <c r="J464" i="14" s="1"/>
  <c r="K351" i="14" l="1"/>
  <c r="L351" i="14" s="1"/>
  <c r="I352" i="14" s="1"/>
  <c r="N467" i="13"/>
  <c r="J466" i="13" a="1"/>
  <c r="J466" i="13" s="1"/>
  <c r="M469" i="13"/>
  <c r="N466" i="14"/>
  <c r="J465" i="14" a="1"/>
  <c r="J465" i="14" s="1"/>
  <c r="M470" i="14"/>
  <c r="L334" i="13"/>
  <c r="I335" i="13" s="1"/>
  <c r="K352" i="14" l="1"/>
  <c r="L352" i="14" s="1"/>
  <c r="I353" i="14" s="1"/>
  <c r="N468" i="13"/>
  <c r="J467" i="13" a="1"/>
  <c r="J467" i="13" s="1"/>
  <c r="N467" i="14"/>
  <c r="J466" i="14" a="1"/>
  <c r="J466" i="14" s="1"/>
  <c r="M471" i="14"/>
  <c r="M470" i="13"/>
  <c r="K335" i="13"/>
  <c r="L335" i="13" s="1"/>
  <c r="I336" i="13" s="1"/>
  <c r="K336" i="13" l="1"/>
  <c r="L336" i="13" s="1"/>
  <c r="I337" i="13" s="1"/>
  <c r="K353" i="14"/>
  <c r="L353" i="14" s="1"/>
  <c r="I354" i="14" s="1"/>
  <c r="M471" i="13"/>
  <c r="M472" i="14"/>
  <c r="N469" i="13"/>
  <c r="J468" i="13" a="1"/>
  <c r="J468" i="13" s="1"/>
  <c r="N468" i="14"/>
  <c r="J467" i="14" a="1"/>
  <c r="J467" i="14" s="1"/>
  <c r="K354" i="14" l="1"/>
  <c r="L354" i="14" s="1"/>
  <c r="I355" i="14" s="1"/>
  <c r="K337" i="13"/>
  <c r="L337" i="13" s="1"/>
  <c r="I338" i="13" s="1"/>
  <c r="N469" i="14"/>
  <c r="J468" i="14" a="1"/>
  <c r="J468" i="14" s="1"/>
  <c r="M473" i="14"/>
  <c r="M472" i="13"/>
  <c r="N470" i="13"/>
  <c r="J469" i="13" a="1"/>
  <c r="J469" i="13" s="1"/>
  <c r="K338" i="13" l="1"/>
  <c r="L338" i="13" s="1"/>
  <c r="I339" i="13" s="1"/>
  <c r="K355" i="14"/>
  <c r="L355" i="14" s="1"/>
  <c r="I356" i="14" s="1"/>
  <c r="M474" i="14"/>
  <c r="N471" i="13"/>
  <c r="J470" i="13" a="1"/>
  <c r="J470" i="13" s="1"/>
  <c r="M473" i="13"/>
  <c r="N470" i="14"/>
  <c r="J469" i="14" a="1"/>
  <c r="J469" i="14" s="1"/>
  <c r="K356" i="14" l="1"/>
  <c r="K339" i="13"/>
  <c r="L339" i="13" s="1"/>
  <c r="I340" i="13" s="1"/>
  <c r="N472" i="13"/>
  <c r="J471" i="13" a="1"/>
  <c r="J471" i="13" s="1"/>
  <c r="N471" i="14"/>
  <c r="J470" i="14" a="1"/>
  <c r="J470" i="14" s="1"/>
  <c r="M474" i="13"/>
  <c r="M475" i="14"/>
  <c r="K340" i="13" l="1"/>
  <c r="L340" i="13" s="1"/>
  <c r="I341" i="13" s="1"/>
  <c r="M476" i="14"/>
  <c r="N472" i="14"/>
  <c r="J471" i="14" a="1"/>
  <c r="J471" i="14" s="1"/>
  <c r="M475" i="13"/>
  <c r="N473" i="13"/>
  <c r="J472" i="13" a="1"/>
  <c r="J472" i="13" s="1"/>
  <c r="L356" i="14"/>
  <c r="I357" i="14" s="1"/>
  <c r="K341" i="13" l="1"/>
  <c r="L341" i="13" s="1"/>
  <c r="I342" i="13" s="1"/>
  <c r="N474" i="13"/>
  <c r="J473" i="13" a="1"/>
  <c r="J473" i="13" s="1"/>
  <c r="M476" i="13"/>
  <c r="K357" i="14"/>
  <c r="M477" i="14"/>
  <c r="N473" i="14"/>
  <c r="J472" i="14" a="1"/>
  <c r="J472" i="14" s="1"/>
  <c r="K342" i="13" l="1"/>
  <c r="L342" i="13" s="1"/>
  <c r="I343" i="13" s="1"/>
  <c r="N475" i="13"/>
  <c r="J474" i="13" a="1"/>
  <c r="J474" i="13" s="1"/>
  <c r="M478" i="14"/>
  <c r="N474" i="14"/>
  <c r="J473" i="14" a="1"/>
  <c r="J473" i="14" s="1"/>
  <c r="L357" i="14"/>
  <c r="I358" i="14" s="1"/>
  <c r="M477" i="13"/>
  <c r="K343" i="13" l="1"/>
  <c r="L343" i="13" s="1"/>
  <c r="I344" i="13" s="1"/>
  <c r="M478" i="13"/>
  <c r="N475" i="14"/>
  <c r="J474" i="14" a="1"/>
  <c r="J474" i="14" s="1"/>
  <c r="N476" i="13"/>
  <c r="J475" i="13" a="1"/>
  <c r="J475" i="13" s="1"/>
  <c r="M479" i="14"/>
  <c r="K358" i="14"/>
  <c r="L358" i="14" s="1"/>
  <c r="I359" i="14" s="1"/>
  <c r="K359" i="14" l="1"/>
  <c r="L359" i="14" s="1"/>
  <c r="I360" i="14" s="1"/>
  <c r="K344" i="13"/>
  <c r="N477" i="13"/>
  <c r="J476" i="13" a="1"/>
  <c r="J476" i="13" s="1"/>
  <c r="M479" i="13"/>
  <c r="M480" i="14"/>
  <c r="N476" i="14"/>
  <c r="J475" i="14" a="1"/>
  <c r="J475" i="14" s="1"/>
  <c r="K360" i="14" l="1"/>
  <c r="L360" i="14" s="1"/>
  <c r="I361" i="14" s="1"/>
  <c r="M480" i="13"/>
  <c r="N477" i="14"/>
  <c r="J476" i="14" a="1"/>
  <c r="J476" i="14" s="1"/>
  <c r="L344" i="13"/>
  <c r="I345" i="13" s="1"/>
  <c r="M481" i="14"/>
  <c r="N478" i="13"/>
  <c r="J477" i="13" a="1"/>
  <c r="J477" i="13" s="1"/>
  <c r="K361" i="14" l="1"/>
  <c r="L361" i="14" s="1"/>
  <c r="I362" i="14" s="1"/>
  <c r="M482" i="14"/>
  <c r="N478" i="14"/>
  <c r="J477" i="14" a="1"/>
  <c r="J477" i="14" s="1"/>
  <c r="N479" i="13"/>
  <c r="J478" i="13" a="1"/>
  <c r="J478" i="13" s="1"/>
  <c r="K345" i="13"/>
  <c r="L345" i="13" s="1"/>
  <c r="I346" i="13" s="1"/>
  <c r="M481" i="13"/>
  <c r="K346" i="13" l="1"/>
  <c r="L346" i="13" s="1"/>
  <c r="I347" i="13" s="1"/>
  <c r="K362" i="14"/>
  <c r="L362" i="14" s="1"/>
  <c r="I363" i="14" s="1"/>
  <c r="N480" i="13"/>
  <c r="J479" i="13" a="1"/>
  <c r="J479" i="13" s="1"/>
  <c r="N479" i="14"/>
  <c r="J478" i="14" a="1"/>
  <c r="J478" i="14" s="1"/>
  <c r="M482" i="13"/>
  <c r="M483" i="14"/>
  <c r="K347" i="13" l="1"/>
  <c r="L347" i="13" s="1"/>
  <c r="I348" i="13" s="1"/>
  <c r="M483" i="13"/>
  <c r="N480" i="14"/>
  <c r="J479" i="14" a="1"/>
  <c r="J479" i="14" s="1"/>
  <c r="K363" i="14"/>
  <c r="L363" i="14" s="1"/>
  <c r="I364" i="14" s="1"/>
  <c r="M484" i="14"/>
  <c r="N481" i="13"/>
  <c r="J480" i="13" a="1"/>
  <c r="J480" i="13" s="1"/>
  <c r="K364" i="14" l="1"/>
  <c r="L364" i="14" s="1"/>
  <c r="I365" i="14" s="1"/>
  <c r="K348" i="13"/>
  <c r="L348" i="13" s="1"/>
  <c r="I349" i="13" s="1"/>
  <c r="M484" i="13"/>
  <c r="N482" i="13"/>
  <c r="J481" i="13" a="1"/>
  <c r="J481" i="13" s="1"/>
  <c r="M485" i="14"/>
  <c r="N481" i="14"/>
  <c r="J480" i="14" a="1"/>
  <c r="J480" i="14" s="1"/>
  <c r="K349" i="13" l="1"/>
  <c r="L349" i="13" s="1"/>
  <c r="I350" i="13" s="1"/>
  <c r="K365" i="14"/>
  <c r="L365" i="14" s="1"/>
  <c r="I366" i="14" s="1"/>
  <c r="N482" i="14"/>
  <c r="J481" i="14" a="1"/>
  <c r="J481" i="14" s="1"/>
  <c r="N483" i="13"/>
  <c r="J482" i="13" a="1"/>
  <c r="J482" i="13" s="1"/>
  <c r="M486" i="14"/>
  <c r="M485" i="13"/>
  <c r="K366" i="14" l="1"/>
  <c r="L366" i="14" s="1"/>
  <c r="I367" i="14" s="1"/>
  <c r="K350" i="13"/>
  <c r="L350" i="13" s="1"/>
  <c r="I351" i="13" s="1"/>
  <c r="M486" i="13"/>
  <c r="N484" i="13"/>
  <c r="J483" i="13" a="1"/>
  <c r="J483" i="13" s="1"/>
  <c r="M487" i="14"/>
  <c r="N483" i="14"/>
  <c r="J482" i="14" a="1"/>
  <c r="J482" i="14" s="1"/>
  <c r="K351" i="13" l="1"/>
  <c r="L351" i="13" s="1"/>
  <c r="I352" i="13" s="1"/>
  <c r="K367" i="14"/>
  <c r="L367" i="14" s="1"/>
  <c r="I368" i="14" s="1"/>
  <c r="N485" i="13"/>
  <c r="J484" i="13" a="1"/>
  <c r="J484" i="13" s="1"/>
  <c r="N484" i="14"/>
  <c r="J483" i="14" a="1"/>
  <c r="J483" i="14" s="1"/>
  <c r="M487" i="13"/>
  <c r="M488" i="14"/>
  <c r="K368" i="14" l="1"/>
  <c r="L368" i="14" s="1"/>
  <c r="I369" i="14" s="1"/>
  <c r="K352" i="13"/>
  <c r="L352" i="13" s="1"/>
  <c r="I353" i="13" s="1"/>
  <c r="M489" i="14"/>
  <c r="N485" i="14"/>
  <c r="J484" i="14" a="1"/>
  <c r="J484" i="14" s="1"/>
  <c r="M488" i="13"/>
  <c r="N486" i="13"/>
  <c r="J485" i="13" a="1"/>
  <c r="J485" i="13" s="1"/>
  <c r="N487" i="13" l="1"/>
  <c r="J486" i="13" a="1"/>
  <c r="J486" i="13" s="1"/>
  <c r="N486" i="14"/>
  <c r="J485" i="14" a="1"/>
  <c r="J485" i="14" s="1"/>
  <c r="K353" i="13"/>
  <c r="L353" i="13" s="1"/>
  <c r="I354" i="13" s="1"/>
  <c r="M489" i="13"/>
  <c r="M490" i="14"/>
  <c r="K369" i="14"/>
  <c r="L369" i="14" s="1"/>
  <c r="I370" i="14" s="1"/>
  <c r="K354" i="13" l="1"/>
  <c r="L354" i="13" s="1"/>
  <c r="I355" i="13" s="1"/>
  <c r="N487" i="14"/>
  <c r="J486" i="14" a="1"/>
  <c r="J486" i="14" s="1"/>
  <c r="K370" i="14"/>
  <c r="M490" i="13"/>
  <c r="M491" i="14"/>
  <c r="N488" i="13"/>
  <c r="J487" i="13" a="1"/>
  <c r="J487" i="13" s="1"/>
  <c r="K355" i="13" l="1"/>
  <c r="L355" i="13" s="1"/>
  <c r="I356" i="13" s="1"/>
  <c r="N488" i="14"/>
  <c r="J487" i="14" a="1"/>
  <c r="J487" i="14" s="1"/>
  <c r="M491" i="13"/>
  <c r="N489" i="13"/>
  <c r="J488" i="13" a="1"/>
  <c r="J488" i="13" s="1"/>
  <c r="M492" i="14"/>
  <c r="L370" i="14"/>
  <c r="I371" i="14" s="1"/>
  <c r="K356" i="13" l="1"/>
  <c r="N489" i="14"/>
  <c r="J488" i="14" a="1"/>
  <c r="J488" i="14" s="1"/>
  <c r="K371" i="14"/>
  <c r="L371" i="14" s="1"/>
  <c r="I372" i="14" s="1"/>
  <c r="N490" i="13"/>
  <c r="J489" i="13" a="1"/>
  <c r="J489" i="13" s="1"/>
  <c r="M493" i="14"/>
  <c r="M492" i="13"/>
  <c r="N490" i="14" l="1"/>
  <c r="J489" i="14" a="1"/>
  <c r="J489" i="14" s="1"/>
  <c r="M494" i="14"/>
  <c r="N491" i="13"/>
  <c r="J490" i="13" a="1"/>
  <c r="J490" i="13" s="1"/>
  <c r="M493" i="13"/>
  <c r="K372" i="14"/>
  <c r="L372" i="14" s="1"/>
  <c r="I373" i="14" s="1"/>
  <c r="L356" i="13"/>
  <c r="I357" i="13" s="1"/>
  <c r="K373" i="14" l="1"/>
  <c r="L373" i="14" s="1"/>
  <c r="I374" i="14" s="1"/>
  <c r="N492" i="13"/>
  <c r="J491" i="13" a="1"/>
  <c r="J491" i="13" s="1"/>
  <c r="M494" i="13"/>
  <c r="K357" i="13"/>
  <c r="M495" i="14"/>
  <c r="N491" i="14"/>
  <c r="J490" i="14" a="1"/>
  <c r="J490" i="14" s="1"/>
  <c r="K374" i="14" l="1"/>
  <c r="L374" i="14" s="1"/>
  <c r="I375" i="14" s="1"/>
  <c r="M496" i="14"/>
  <c r="M495" i="13"/>
  <c r="N493" i="13"/>
  <c r="J492" i="13" a="1"/>
  <c r="J492" i="13" s="1"/>
  <c r="N492" i="14"/>
  <c r="J491" i="14" a="1"/>
  <c r="J491" i="14" s="1"/>
  <c r="L357" i="13"/>
  <c r="I358" i="13" s="1"/>
  <c r="K375" i="14" l="1"/>
  <c r="L375" i="14" s="1"/>
  <c r="I376" i="14" s="1"/>
  <c r="K358" i="13"/>
  <c r="L358" i="13" s="1"/>
  <c r="I359" i="13" s="1"/>
  <c r="N494" i="13"/>
  <c r="J493" i="13" a="1"/>
  <c r="J493" i="13" s="1"/>
  <c r="M497" i="14"/>
  <c r="N493" i="14"/>
  <c r="J492" i="14" a="1"/>
  <c r="J492" i="14" s="1"/>
  <c r="M496" i="13"/>
  <c r="K376" i="14" l="1"/>
  <c r="L376" i="14" s="1"/>
  <c r="I377" i="14" s="1"/>
  <c r="K359" i="13"/>
  <c r="L359" i="13" s="1"/>
  <c r="I360" i="13" s="1"/>
  <c r="N494" i="14"/>
  <c r="J493" i="14" a="1"/>
  <c r="J493" i="14" s="1"/>
  <c r="M497" i="13"/>
  <c r="M498" i="14"/>
  <c r="N495" i="13"/>
  <c r="J494" i="13" a="1"/>
  <c r="J494" i="13" s="1"/>
  <c r="K377" i="14" l="1"/>
  <c r="L377" i="14" s="1"/>
  <c r="I378" i="14" s="1"/>
  <c r="K360" i="13"/>
  <c r="L360" i="13" s="1"/>
  <c r="I361" i="13" s="1"/>
  <c r="N496" i="13"/>
  <c r="J495" i="13" a="1"/>
  <c r="J495" i="13" s="1"/>
  <c r="M498" i="13"/>
  <c r="M499" i="14"/>
  <c r="N495" i="14"/>
  <c r="J494" i="14" a="1"/>
  <c r="J494" i="14" s="1"/>
  <c r="K361" i="13" l="1"/>
  <c r="L361" i="13" s="1"/>
  <c r="I362" i="13" s="1"/>
  <c r="K378" i="14"/>
  <c r="L378" i="14" s="1"/>
  <c r="I379" i="14" s="1"/>
  <c r="M499" i="13"/>
  <c r="N496" i="14"/>
  <c r="J495" i="14" a="1"/>
  <c r="J495" i="14" s="1"/>
  <c r="M500" i="14"/>
  <c r="N497" i="13"/>
  <c r="J496" i="13" a="1"/>
  <c r="J496" i="13" s="1"/>
  <c r="K379" i="14" l="1"/>
  <c r="L379" i="14" s="1"/>
  <c r="I380" i="14" s="1"/>
  <c r="N498" i="13"/>
  <c r="J497" i="13" a="1"/>
  <c r="J497" i="13" s="1"/>
  <c r="N497" i="14"/>
  <c r="J496" i="14" a="1"/>
  <c r="J496" i="14" s="1"/>
  <c r="M501" i="14"/>
  <c r="M500" i="13"/>
  <c r="K362" i="13"/>
  <c r="L362" i="13" s="1"/>
  <c r="I363" i="13" s="1"/>
  <c r="K363" i="13" l="1"/>
  <c r="L363" i="13" s="1"/>
  <c r="I364" i="13" s="1"/>
  <c r="K380" i="14"/>
  <c r="M502" i="14"/>
  <c r="N499" i="13"/>
  <c r="J498" i="13" a="1"/>
  <c r="J498" i="13" s="1"/>
  <c r="M501" i="13"/>
  <c r="N498" i="14"/>
  <c r="J497" i="14" a="1"/>
  <c r="J497" i="14" s="1"/>
  <c r="K364" i="13" l="1"/>
  <c r="L364" i="13" s="1"/>
  <c r="I365" i="13" s="1"/>
  <c r="N499" i="14"/>
  <c r="J498" i="14" a="1"/>
  <c r="J498" i="14" s="1"/>
  <c r="N500" i="13"/>
  <c r="J499" i="13" a="1"/>
  <c r="J499" i="13" s="1"/>
  <c r="L380" i="14"/>
  <c r="I381" i="14" s="1"/>
  <c r="M502" i="13"/>
  <c r="M503" i="14"/>
  <c r="K365" i="13" l="1"/>
  <c r="L365" i="13" s="1"/>
  <c r="I366" i="13" s="1"/>
  <c r="N500" i="14"/>
  <c r="J499" i="14" a="1"/>
  <c r="J499" i="14" s="1"/>
  <c r="M504" i="14"/>
  <c r="K381" i="14"/>
  <c r="M503" i="13"/>
  <c r="N501" i="13"/>
  <c r="J500" i="13" a="1"/>
  <c r="J500" i="13" s="1"/>
  <c r="K366" i="13" l="1"/>
  <c r="L366" i="13" s="1"/>
  <c r="I367" i="13" s="1"/>
  <c r="N502" i="13"/>
  <c r="J501" i="13" a="1"/>
  <c r="J501" i="13" s="1"/>
  <c r="L381" i="14"/>
  <c r="I382" i="14" s="1"/>
  <c r="M504" i="13"/>
  <c r="N501" i="14"/>
  <c r="J500" i="14" a="1"/>
  <c r="J500" i="14" s="1"/>
  <c r="M505" i="14"/>
  <c r="K367" i="13" l="1"/>
  <c r="L367" i="13" s="1"/>
  <c r="I368" i="13" s="1"/>
  <c r="M505" i="13"/>
  <c r="N503" i="13"/>
  <c r="J502" i="13" a="1"/>
  <c r="J502" i="13" s="1"/>
  <c r="M506" i="14"/>
  <c r="N502" i="14"/>
  <c r="J501" i="14" a="1"/>
  <c r="J501" i="14" s="1"/>
  <c r="K382" i="14"/>
  <c r="L382" i="14" s="1"/>
  <c r="I383" i="14" s="1"/>
  <c r="K368" i="13" l="1"/>
  <c r="N503" i="14"/>
  <c r="J502" i="14" a="1"/>
  <c r="J502" i="14" s="1"/>
  <c r="N504" i="13"/>
  <c r="J503" i="13" a="1"/>
  <c r="J503" i="13" s="1"/>
  <c r="K383" i="14"/>
  <c r="L383" i="14" s="1"/>
  <c r="I384" i="14" s="1"/>
  <c r="M507" i="14"/>
  <c r="M506" i="13"/>
  <c r="K384" i="14" l="1"/>
  <c r="L384" i="14" s="1"/>
  <c r="I385" i="14" s="1"/>
  <c r="M508" i="14"/>
  <c r="N505" i="13"/>
  <c r="J504" i="13" a="1"/>
  <c r="J504" i="13" s="1"/>
  <c r="M507" i="13"/>
  <c r="N504" i="14"/>
  <c r="J503" i="14" a="1"/>
  <c r="J503" i="14" s="1"/>
  <c r="L368" i="13"/>
  <c r="I369" i="13" s="1"/>
  <c r="K385" i="14" l="1"/>
  <c r="L385" i="14" s="1"/>
  <c r="I386" i="14" s="1"/>
  <c r="K369" i="13"/>
  <c r="L369" i="13" s="1"/>
  <c r="I370" i="13" s="1"/>
  <c r="M508" i="13"/>
  <c r="M509" i="14"/>
  <c r="N505" i="14"/>
  <c r="J504" i="14" a="1"/>
  <c r="J504" i="14" s="1"/>
  <c r="N506" i="13"/>
  <c r="J505" i="13" a="1"/>
  <c r="J505" i="13" s="1"/>
  <c r="K370" i="13" l="1"/>
  <c r="L370" i="13" s="1"/>
  <c r="I371" i="13" s="1"/>
  <c r="N507" i="13"/>
  <c r="J506" i="13" a="1"/>
  <c r="J506" i="13" s="1"/>
  <c r="M510" i="14"/>
  <c r="M509" i="13"/>
  <c r="N506" i="14"/>
  <c r="J505" i="14" a="1"/>
  <c r="J505" i="14" s="1"/>
  <c r="K386" i="14"/>
  <c r="L386" i="14" s="1"/>
  <c r="I387" i="14" s="1"/>
  <c r="K371" i="13" l="1"/>
  <c r="L371" i="13" s="1"/>
  <c r="I372" i="13" s="1"/>
  <c r="N507" i="14"/>
  <c r="J506" i="14" a="1"/>
  <c r="J506" i="14" s="1"/>
  <c r="M511" i="14"/>
  <c r="K387" i="14"/>
  <c r="L387" i="14" s="1"/>
  <c r="I388" i="14" s="1"/>
  <c r="M510" i="13"/>
  <c r="N508" i="13"/>
  <c r="J507" i="13" a="1"/>
  <c r="J507" i="13" s="1"/>
  <c r="K388" i="14" l="1"/>
  <c r="L388" i="14" s="1"/>
  <c r="I389" i="14" s="1"/>
  <c r="K372" i="13"/>
  <c r="L372" i="13" s="1"/>
  <c r="I373" i="13" s="1"/>
  <c r="N508" i="14"/>
  <c r="J507" i="14" a="1"/>
  <c r="J507" i="14" s="1"/>
  <c r="N509" i="13"/>
  <c r="J508" i="13" a="1"/>
  <c r="J508" i="13" s="1"/>
  <c r="M511" i="13"/>
  <c r="M512" i="14"/>
  <c r="K373" i="13" l="1"/>
  <c r="L373" i="13" s="1"/>
  <c r="I374" i="13" s="1"/>
  <c r="K389" i="14"/>
  <c r="L389" i="14" s="1"/>
  <c r="I390" i="14" s="1"/>
  <c r="N510" i="13"/>
  <c r="J509" i="13" a="1"/>
  <c r="J509" i="13" s="1"/>
  <c r="M512" i="13"/>
  <c r="M513" i="14"/>
  <c r="N509" i="14"/>
  <c r="J508" i="14" a="1"/>
  <c r="J508" i="14" s="1"/>
  <c r="K390" i="14" l="1"/>
  <c r="L390" i="14" s="1"/>
  <c r="I391" i="14" s="1"/>
  <c r="K374" i="13"/>
  <c r="L374" i="13" s="1"/>
  <c r="I375" i="13" s="1"/>
  <c r="M513" i="13"/>
  <c r="J509" i="14" a="1"/>
  <c r="J509" i="14" s="1"/>
  <c r="N510" i="14"/>
  <c r="M514" i="14"/>
  <c r="N511" i="13"/>
  <c r="J510" i="13" a="1"/>
  <c r="J510" i="13" s="1"/>
  <c r="K375" i="13" l="1"/>
  <c r="L375" i="13" s="1"/>
  <c r="I376" i="13" s="1"/>
  <c r="K391" i="14"/>
  <c r="L391" i="14" s="1"/>
  <c r="I392" i="14" s="1"/>
  <c r="J510" i="14" a="1"/>
  <c r="J510" i="14" s="1"/>
  <c r="N511" i="14"/>
  <c r="N512" i="13"/>
  <c r="J511" i="13" a="1"/>
  <c r="J511" i="13" s="1"/>
  <c r="M515" i="14"/>
  <c r="M514" i="13"/>
  <c r="K392" i="14" l="1"/>
  <c r="L392" i="14" s="1"/>
  <c r="I393" i="14" s="1"/>
  <c r="K376" i="13"/>
  <c r="L376" i="13" s="1"/>
  <c r="I377" i="13" s="1"/>
  <c r="M515" i="13"/>
  <c r="N513" i="13"/>
  <c r="J512" i="13" a="1"/>
  <c r="J512" i="13" s="1"/>
  <c r="M516" i="14"/>
  <c r="J511" i="14" a="1"/>
  <c r="J511" i="14" s="1"/>
  <c r="N512" i="14"/>
  <c r="K377" i="13" l="1"/>
  <c r="L377" i="13" s="1"/>
  <c r="I378" i="13" s="1"/>
  <c r="N514" i="13"/>
  <c r="J513" i="13" a="1"/>
  <c r="J513" i="13" s="1"/>
  <c r="J512" i="14" a="1"/>
  <c r="J512" i="14" s="1"/>
  <c r="N513" i="14"/>
  <c r="M517" i="14"/>
  <c r="M516" i="13"/>
  <c r="K393" i="14"/>
  <c r="L393" i="14" s="1"/>
  <c r="I394" i="14" s="1"/>
  <c r="K394" i="14" l="1"/>
  <c r="K378" i="13"/>
  <c r="L378" i="13" s="1"/>
  <c r="I379" i="13" s="1"/>
  <c r="J513" i="14" a="1"/>
  <c r="J513" i="14" s="1"/>
  <c r="N514" i="14"/>
  <c r="N515" i="13"/>
  <c r="J514" i="13" a="1"/>
  <c r="J514" i="13" s="1"/>
  <c r="M517" i="13"/>
  <c r="M518" i="14"/>
  <c r="K379" i="13" l="1"/>
  <c r="L379" i="13" s="1"/>
  <c r="I380" i="13" s="1"/>
  <c r="M519" i="14"/>
  <c r="N516" i="13"/>
  <c r="J515" i="13" a="1"/>
  <c r="J515" i="13" s="1"/>
  <c r="M518" i="13"/>
  <c r="J514" i="14" a="1"/>
  <c r="J514" i="14" s="1"/>
  <c r="N515" i="14"/>
  <c r="L394" i="14"/>
  <c r="I395" i="14" s="1"/>
  <c r="K380" i="13" l="1"/>
  <c r="K395" i="14"/>
  <c r="L395" i="14" s="1"/>
  <c r="I396" i="14" s="1"/>
  <c r="M519" i="13"/>
  <c r="M520" i="14"/>
  <c r="J515" i="14" a="1"/>
  <c r="J515" i="14" s="1"/>
  <c r="N516" i="14"/>
  <c r="N517" i="13"/>
  <c r="J516" i="13" a="1"/>
  <c r="J516" i="13" s="1"/>
  <c r="N518" i="13" l="1"/>
  <c r="J517" i="13" a="1"/>
  <c r="J517" i="13" s="1"/>
  <c r="M521" i="14"/>
  <c r="J516" i="14" a="1"/>
  <c r="J516" i="14" s="1"/>
  <c r="N517" i="14"/>
  <c r="K396" i="14"/>
  <c r="L396" i="14" s="1"/>
  <c r="I397" i="14" s="1"/>
  <c r="M520" i="13"/>
  <c r="L380" i="13"/>
  <c r="I381" i="13" s="1"/>
  <c r="K397" i="14" l="1"/>
  <c r="L397" i="14" s="1"/>
  <c r="I398" i="14" s="1"/>
  <c r="K381" i="13"/>
  <c r="J517" i="14" a="1"/>
  <c r="J517" i="14" s="1"/>
  <c r="N518" i="14"/>
  <c r="M522" i="14"/>
  <c r="M521" i="13"/>
  <c r="N519" i="13"/>
  <c r="J518" i="13" a="1"/>
  <c r="J518" i="13" s="1"/>
  <c r="K398" i="14" l="1"/>
  <c r="L398" i="14" s="1"/>
  <c r="I399" i="14" s="1"/>
  <c r="N520" i="13"/>
  <c r="J519" i="13" a="1"/>
  <c r="J519" i="13" s="1"/>
  <c r="L381" i="13"/>
  <c r="I382" i="13" s="1"/>
  <c r="M523" i="14"/>
  <c r="M522" i="13"/>
  <c r="J518" i="14" a="1"/>
  <c r="J518" i="14" s="1"/>
  <c r="N519" i="14"/>
  <c r="J519" i="14" l="1" a="1"/>
  <c r="J519" i="14" s="1"/>
  <c r="N520" i="14"/>
  <c r="M524" i="14"/>
  <c r="N521" i="13"/>
  <c r="J520" i="13" a="1"/>
  <c r="J520" i="13" s="1"/>
  <c r="M523" i="13"/>
  <c r="K382" i="13"/>
  <c r="L382" i="13" s="1"/>
  <c r="I383" i="13" s="1"/>
  <c r="K399" i="14"/>
  <c r="L399" i="14" s="1"/>
  <c r="I400" i="14" s="1"/>
  <c r="K383" i="13" l="1"/>
  <c r="L383" i="13" s="1"/>
  <c r="I384" i="13" s="1"/>
  <c r="K400" i="14"/>
  <c r="L400" i="14" s="1"/>
  <c r="I401" i="14" s="1"/>
  <c r="J520" i="14" a="1"/>
  <c r="J520" i="14" s="1"/>
  <c r="N521" i="14"/>
  <c r="M524" i="13"/>
  <c r="M525" i="14"/>
  <c r="N522" i="13"/>
  <c r="J521" i="13" a="1"/>
  <c r="J521" i="13" s="1"/>
  <c r="K401" i="14" l="1"/>
  <c r="L401" i="14" s="1"/>
  <c r="I402" i="14" s="1"/>
  <c r="M525" i="13"/>
  <c r="N523" i="13"/>
  <c r="J522" i="13" a="1"/>
  <c r="J522" i="13" s="1"/>
  <c r="M526" i="14"/>
  <c r="J521" i="14" a="1"/>
  <c r="J521" i="14" s="1"/>
  <c r="N522" i="14"/>
  <c r="K384" i="13"/>
  <c r="L384" i="13" s="1"/>
  <c r="I385" i="13" s="1"/>
  <c r="K385" i="13" l="1"/>
  <c r="L385" i="13" s="1"/>
  <c r="I386" i="13" s="1"/>
  <c r="K402" i="14"/>
  <c r="L402" i="14" s="1"/>
  <c r="I403" i="14" s="1"/>
  <c r="J522" i="14" a="1"/>
  <c r="J522" i="14" s="1"/>
  <c r="N523" i="14"/>
  <c r="M527" i="14"/>
  <c r="M526" i="13"/>
  <c r="N524" i="13"/>
  <c r="J523" i="13" a="1"/>
  <c r="J523" i="13" s="1"/>
  <c r="K403" i="14" l="1"/>
  <c r="L403" i="14" s="1"/>
  <c r="I404" i="14" s="1"/>
  <c r="M528" i="14"/>
  <c r="N525" i="13"/>
  <c r="J524" i="13" a="1"/>
  <c r="J524" i="13" s="1"/>
  <c r="M527" i="13"/>
  <c r="J523" i="14" a="1"/>
  <c r="J523" i="14" s="1"/>
  <c r="N524" i="14"/>
  <c r="K386" i="13"/>
  <c r="L386" i="13" s="1"/>
  <c r="I387" i="13" s="1"/>
  <c r="K387" i="13" l="1"/>
  <c r="L387" i="13" s="1"/>
  <c r="I388" i="13" s="1"/>
  <c r="K404" i="14"/>
  <c r="L404" i="14" s="1"/>
  <c r="I405" i="14" s="1"/>
  <c r="M528" i="13"/>
  <c r="M529" i="14"/>
  <c r="J524" i="14" a="1"/>
  <c r="J524" i="14" s="1"/>
  <c r="N525" i="14"/>
  <c r="N526" i="13"/>
  <c r="J525" i="13" a="1"/>
  <c r="J525" i="13" s="1"/>
  <c r="N527" i="13" l="1"/>
  <c r="J526" i="13" a="1"/>
  <c r="J526" i="13" s="1"/>
  <c r="M530" i="14"/>
  <c r="K405" i="14"/>
  <c r="J525" i="14" a="1"/>
  <c r="J525" i="14" s="1"/>
  <c r="N526" i="14"/>
  <c r="M529" i="13"/>
  <c r="K388" i="13"/>
  <c r="L388" i="13" s="1"/>
  <c r="I389" i="13" s="1"/>
  <c r="K389" i="13" l="1"/>
  <c r="L389" i="13" s="1"/>
  <c r="I390" i="13" s="1"/>
  <c r="L405" i="14"/>
  <c r="I406" i="14" s="1"/>
  <c r="N528" i="13"/>
  <c r="J527" i="13" a="1"/>
  <c r="J527" i="13" s="1"/>
  <c r="M530" i="13"/>
  <c r="J526" i="14" a="1"/>
  <c r="J526" i="14" s="1"/>
  <c r="N527" i="14"/>
  <c r="M531" i="14"/>
  <c r="K390" i="13" l="1"/>
  <c r="L390" i="13" s="1"/>
  <c r="I391" i="13" s="1"/>
  <c r="J527" i="14" a="1"/>
  <c r="J527" i="14" s="1"/>
  <c r="N528" i="14"/>
  <c r="M532" i="14"/>
  <c r="N529" i="13"/>
  <c r="J528" i="13" a="1"/>
  <c r="J528" i="13" s="1"/>
  <c r="M531" i="13"/>
  <c r="K406" i="14"/>
  <c r="L406" i="14" s="1"/>
  <c r="I407" i="14" s="1"/>
  <c r="K407" i="14" l="1"/>
  <c r="L407" i="14" s="1"/>
  <c r="I408" i="14" s="1"/>
  <c r="K391" i="13"/>
  <c r="L391" i="13" s="1"/>
  <c r="I392" i="13" s="1"/>
  <c r="J528" i="14" a="1"/>
  <c r="J528" i="14" s="1"/>
  <c r="N529" i="14"/>
  <c r="M532" i="13"/>
  <c r="N530" i="13"/>
  <c r="J529" i="13" a="1"/>
  <c r="J529" i="13" s="1"/>
  <c r="M533" i="14"/>
  <c r="K408" i="14" l="1"/>
  <c r="L408" i="14" s="1"/>
  <c r="I409" i="14" s="1"/>
  <c r="N531" i="13"/>
  <c r="J530" i="13" a="1"/>
  <c r="J530" i="13" s="1"/>
  <c r="M534" i="14"/>
  <c r="M533" i="13"/>
  <c r="K392" i="13"/>
  <c r="J529" i="14" a="1"/>
  <c r="J529" i="14" s="1"/>
  <c r="N530" i="14"/>
  <c r="K409" i="14" l="1"/>
  <c r="L409" i="14" s="1"/>
  <c r="I410" i="14" s="1"/>
  <c r="J530" i="14" a="1"/>
  <c r="J530" i="14" s="1"/>
  <c r="N531" i="14"/>
  <c r="M534" i="13"/>
  <c r="N532" i="13"/>
  <c r="J531" i="13" a="1"/>
  <c r="J531" i="13" s="1"/>
  <c r="M535" i="14"/>
  <c r="L392" i="13"/>
  <c r="I393" i="13" s="1"/>
  <c r="K410" i="14" l="1"/>
  <c r="L410" i="14" s="1"/>
  <c r="I411" i="14" s="1"/>
  <c r="J531" i="14" a="1"/>
  <c r="J531" i="14" s="1"/>
  <c r="N532" i="14"/>
  <c r="K393" i="13"/>
  <c r="M536" i="14"/>
  <c r="N533" i="13"/>
  <c r="J532" i="13" a="1"/>
  <c r="J532" i="13" s="1"/>
  <c r="M535" i="13"/>
  <c r="K411" i="14" l="1"/>
  <c r="L411" i="14" s="1"/>
  <c r="I412" i="14" s="1"/>
  <c r="M536" i="13"/>
  <c r="M537" i="14"/>
  <c r="J532" i="14" a="1"/>
  <c r="J532" i="14" s="1"/>
  <c r="N533" i="14"/>
  <c r="N534" i="13"/>
  <c r="J533" i="13" a="1"/>
  <c r="J533" i="13" s="1"/>
  <c r="L393" i="13"/>
  <c r="I394" i="13" s="1"/>
  <c r="K412" i="14" l="1"/>
  <c r="L412" i="14" s="1"/>
  <c r="I413" i="14" s="1"/>
  <c r="J533" i="14" a="1"/>
  <c r="J533" i="14" s="1"/>
  <c r="N534" i="14"/>
  <c r="M537" i="13"/>
  <c r="K394" i="13"/>
  <c r="L394" i="13" s="1"/>
  <c r="I395" i="13" s="1"/>
  <c r="N535" i="13"/>
  <c r="J534" i="13" a="1"/>
  <c r="J534" i="13" s="1"/>
  <c r="M538" i="14"/>
  <c r="K395" i="13" l="1"/>
  <c r="L395" i="13" s="1"/>
  <c r="I396" i="13" s="1"/>
  <c r="K413" i="14"/>
  <c r="L413" i="14" s="1"/>
  <c r="I414" i="14" s="1"/>
  <c r="J534" i="14" a="1"/>
  <c r="J534" i="14" s="1"/>
  <c r="N535" i="14"/>
  <c r="M539" i="14"/>
  <c r="M538" i="13"/>
  <c r="N536" i="13"/>
  <c r="J535" i="13" a="1"/>
  <c r="J535" i="13" s="1"/>
  <c r="K414" i="14" l="1"/>
  <c r="L414" i="14" s="1"/>
  <c r="I415" i="14" s="1"/>
  <c r="M540" i="14"/>
  <c r="N537" i="13"/>
  <c r="J536" i="13" a="1"/>
  <c r="J536" i="13" s="1"/>
  <c r="M539" i="13"/>
  <c r="J535" i="14" a="1"/>
  <c r="J535" i="14" s="1"/>
  <c r="N536" i="14"/>
  <c r="K396" i="13"/>
  <c r="L396" i="13" s="1"/>
  <c r="I397" i="13" s="1"/>
  <c r="K397" i="13" l="1"/>
  <c r="L397" i="13" s="1"/>
  <c r="I398" i="13" s="1"/>
  <c r="K415" i="14"/>
  <c r="L415" i="14" s="1"/>
  <c r="I416" i="14" s="1"/>
  <c r="M540" i="13"/>
  <c r="M541" i="14"/>
  <c r="J536" i="14" a="1"/>
  <c r="J536" i="14" s="1"/>
  <c r="N537" i="14"/>
  <c r="N538" i="13"/>
  <c r="J537" i="13" a="1"/>
  <c r="J537" i="13" s="1"/>
  <c r="K416" i="14" l="1"/>
  <c r="K398" i="13"/>
  <c r="L398" i="13" s="1"/>
  <c r="I399" i="13" s="1"/>
  <c r="J537" i="14" a="1"/>
  <c r="J537" i="14" s="1"/>
  <c r="N538" i="14"/>
  <c r="M541" i="13"/>
  <c r="N539" i="13"/>
  <c r="J538" i="13" a="1"/>
  <c r="J538" i="13" s="1"/>
  <c r="M542" i="14"/>
  <c r="K399" i="13" l="1"/>
  <c r="L399" i="13" s="1"/>
  <c r="I400" i="13" s="1"/>
  <c r="J538" i="14" a="1"/>
  <c r="J538" i="14" s="1"/>
  <c r="N539" i="14"/>
  <c r="N540" i="13"/>
  <c r="J539" i="13" a="1"/>
  <c r="J539" i="13" s="1"/>
  <c r="M543" i="14"/>
  <c r="M542" i="13"/>
  <c r="L416" i="14"/>
  <c r="I417" i="14" s="1"/>
  <c r="K400" i="13" l="1"/>
  <c r="L400" i="13" s="1"/>
  <c r="I401" i="13" s="1"/>
  <c r="M544" i="14"/>
  <c r="J539" i="14" a="1"/>
  <c r="J539" i="14" s="1"/>
  <c r="N540" i="14"/>
  <c r="M543" i="13"/>
  <c r="K417" i="14"/>
  <c r="N541" i="13"/>
  <c r="J540" i="13" a="1"/>
  <c r="J540" i="13" s="1"/>
  <c r="K401" i="13" l="1"/>
  <c r="L401" i="13" s="1"/>
  <c r="I402" i="13" s="1"/>
  <c r="M544" i="13"/>
  <c r="M545" i="14"/>
  <c r="N542" i="13"/>
  <c r="J541" i="13" a="1"/>
  <c r="J541" i="13" s="1"/>
  <c r="J540" i="14" a="1"/>
  <c r="J540" i="14" s="1"/>
  <c r="N541" i="14"/>
  <c r="L417" i="14"/>
  <c r="I418" i="14" s="1"/>
  <c r="K402" i="13" l="1"/>
  <c r="L402" i="13" s="1"/>
  <c r="I403" i="13" s="1"/>
  <c r="N543" i="13"/>
  <c r="J542" i="13" a="1"/>
  <c r="J542" i="13" s="1"/>
  <c r="J541" i="14" a="1"/>
  <c r="J541" i="14" s="1"/>
  <c r="N542" i="14"/>
  <c r="M546" i="14"/>
  <c r="K418" i="14"/>
  <c r="L418" i="14" s="1"/>
  <c r="I419" i="14" s="1"/>
  <c r="M545" i="13"/>
  <c r="K419" i="14" l="1"/>
  <c r="L419" i="14" s="1"/>
  <c r="I420" i="14" s="1"/>
  <c r="K403" i="13"/>
  <c r="L403" i="13" s="1"/>
  <c r="I404" i="13" s="1"/>
  <c r="M546" i="13"/>
  <c r="M547" i="14"/>
  <c r="N544" i="13"/>
  <c r="J543" i="13" a="1"/>
  <c r="J543" i="13" s="1"/>
  <c r="J542" i="14" a="1"/>
  <c r="J542" i="14" s="1"/>
  <c r="N543" i="14"/>
  <c r="K404" i="13" l="1"/>
  <c r="K420" i="14"/>
  <c r="L420" i="14" s="1"/>
  <c r="I421" i="14" s="1"/>
  <c r="J543" i="14" a="1"/>
  <c r="J543" i="14" s="1"/>
  <c r="N544" i="14"/>
  <c r="M548" i="14"/>
  <c r="M547" i="13"/>
  <c r="N545" i="13"/>
  <c r="J544" i="13" a="1"/>
  <c r="J544" i="13" s="1"/>
  <c r="K421" i="14" l="1"/>
  <c r="L421" i="14" s="1"/>
  <c r="I422" i="14" s="1"/>
  <c r="M549" i="14"/>
  <c r="N546" i="13"/>
  <c r="J545" i="13" a="1"/>
  <c r="J545" i="13" s="1"/>
  <c r="M548" i="13"/>
  <c r="J544" i="14" a="1"/>
  <c r="J544" i="14" s="1"/>
  <c r="N545" i="14"/>
  <c r="L404" i="13"/>
  <c r="I405" i="13" s="1"/>
  <c r="K422" i="14" l="1"/>
  <c r="L422" i="14" s="1"/>
  <c r="I423" i="14" s="1"/>
  <c r="K405" i="13"/>
  <c r="M549" i="13"/>
  <c r="M550" i="14"/>
  <c r="J545" i="14" a="1"/>
  <c r="J545" i="14" s="1"/>
  <c r="N546" i="14"/>
  <c r="N547" i="13"/>
  <c r="J546" i="13" a="1"/>
  <c r="J546" i="13" s="1"/>
  <c r="K423" i="14" l="1"/>
  <c r="L423" i="14" s="1"/>
  <c r="I424" i="14" s="1"/>
  <c r="L405" i="13"/>
  <c r="I406" i="13" s="1"/>
  <c r="J546" i="14" a="1"/>
  <c r="J546" i="14" s="1"/>
  <c r="N547" i="14"/>
  <c r="M550" i="13"/>
  <c r="M551" i="14"/>
  <c r="N548" i="13"/>
  <c r="J547" i="13" a="1"/>
  <c r="J547" i="13" s="1"/>
  <c r="K424" i="14" l="1"/>
  <c r="L424" i="14" s="1"/>
  <c r="I425" i="14" s="1"/>
  <c r="K406" i="13"/>
  <c r="L406" i="13" s="1"/>
  <c r="I407" i="13" s="1"/>
  <c r="J547" i="14" a="1"/>
  <c r="J547" i="14" s="1"/>
  <c r="N548" i="14"/>
  <c r="M551" i="13"/>
  <c r="N549" i="13"/>
  <c r="J548" i="13" a="1"/>
  <c r="J548" i="13" s="1"/>
  <c r="M552" i="14"/>
  <c r="K407" i="13" l="1"/>
  <c r="L407" i="13" s="1"/>
  <c r="I408" i="13" s="1"/>
  <c r="K425" i="14"/>
  <c r="L425" i="14" s="1"/>
  <c r="I426" i="14" s="1"/>
  <c r="N550" i="13"/>
  <c r="J549" i="13" a="1"/>
  <c r="J549" i="13" s="1"/>
  <c r="M553" i="14"/>
  <c r="M552" i="13"/>
  <c r="J548" i="14" a="1"/>
  <c r="J548" i="14" s="1"/>
  <c r="N549" i="14"/>
  <c r="K426" i="14" l="1"/>
  <c r="L426" i="14" s="1"/>
  <c r="I427" i="14" s="1"/>
  <c r="K408" i="13"/>
  <c r="L408" i="13" s="1"/>
  <c r="I409" i="13" s="1"/>
  <c r="M554" i="14"/>
  <c r="M553" i="13"/>
  <c r="J549" i="14" a="1"/>
  <c r="J549" i="14" s="1"/>
  <c r="N550" i="14"/>
  <c r="N551" i="13"/>
  <c r="J550" i="13" a="1"/>
  <c r="J550" i="13" s="1"/>
  <c r="K409" i="13" l="1"/>
  <c r="L409" i="13" s="1"/>
  <c r="I410" i="13" s="1"/>
  <c r="K427" i="14"/>
  <c r="L427" i="14" s="1"/>
  <c r="I428" i="14" s="1"/>
  <c r="N552" i="13"/>
  <c r="J551" i="13" a="1"/>
  <c r="J551" i="13" s="1"/>
  <c r="M554" i="13"/>
  <c r="J550" i="14" a="1"/>
  <c r="J550" i="14" s="1"/>
  <c r="N551" i="14"/>
  <c r="M555" i="14"/>
  <c r="K410" i="13" l="1"/>
  <c r="L410" i="13" s="1"/>
  <c r="I411" i="13" s="1"/>
  <c r="K428" i="14"/>
  <c r="N553" i="13"/>
  <c r="J552" i="13" a="1"/>
  <c r="J552" i="13" s="1"/>
  <c r="J551" i="14" a="1"/>
  <c r="J551" i="14" s="1"/>
  <c r="N552" i="14"/>
  <c r="M556" i="14"/>
  <c r="M555" i="13"/>
  <c r="K411" i="13" l="1"/>
  <c r="L411" i="13" s="1"/>
  <c r="I412" i="13" s="1"/>
  <c r="M556" i="13"/>
  <c r="J552" i="14" a="1"/>
  <c r="J552" i="14" s="1"/>
  <c r="N553" i="14"/>
  <c r="L428" i="14"/>
  <c r="I429" i="14" s="1"/>
  <c r="M557" i="14"/>
  <c r="N554" i="13"/>
  <c r="J553" i="13" a="1"/>
  <c r="J553" i="13" s="1"/>
  <c r="K412" i="13" l="1"/>
  <c r="L412" i="13" s="1"/>
  <c r="I413" i="13" s="1"/>
  <c r="K429" i="14"/>
  <c r="J553" i="14" a="1"/>
  <c r="J553" i="14" s="1"/>
  <c r="N554" i="14"/>
  <c r="M558" i="14"/>
  <c r="N555" i="13"/>
  <c r="J554" i="13" a="1"/>
  <c r="J554" i="13" s="1"/>
  <c r="M557" i="13"/>
  <c r="K413" i="13" l="1"/>
  <c r="L413" i="13" s="1"/>
  <c r="I414" i="13" s="1"/>
  <c r="N556" i="13"/>
  <c r="J555" i="13" a="1"/>
  <c r="J555" i="13" s="1"/>
  <c r="M558" i="13"/>
  <c r="M559" i="14"/>
  <c r="L429" i="14"/>
  <c r="I430" i="14" s="1"/>
  <c r="J554" i="14" a="1"/>
  <c r="J554" i="14" s="1"/>
  <c r="N555" i="14"/>
  <c r="K414" i="13" l="1"/>
  <c r="L414" i="13" s="1"/>
  <c r="I415" i="13" s="1"/>
  <c r="N557" i="13"/>
  <c r="J556" i="13" a="1"/>
  <c r="J556" i="13" s="1"/>
  <c r="J555" i="14" a="1"/>
  <c r="J555" i="14" s="1"/>
  <c r="N556" i="14"/>
  <c r="M559" i="13"/>
  <c r="K430" i="14"/>
  <c r="L430" i="14" s="1"/>
  <c r="I431" i="14" s="1"/>
  <c r="M560" i="14"/>
  <c r="K431" i="14" l="1"/>
  <c r="L431" i="14" s="1"/>
  <c r="I432" i="14" s="1"/>
  <c r="K415" i="13"/>
  <c r="L415" i="13" s="1"/>
  <c r="I416" i="13" s="1"/>
  <c r="M561" i="14"/>
  <c r="M560" i="13"/>
  <c r="N558" i="13"/>
  <c r="J557" i="13" a="1"/>
  <c r="J557" i="13" s="1"/>
  <c r="J556" i="14" a="1"/>
  <c r="J556" i="14" s="1"/>
  <c r="N557" i="14"/>
  <c r="K416" i="13" l="1"/>
  <c r="K432" i="14"/>
  <c r="L432" i="14" s="1"/>
  <c r="I433" i="14" s="1"/>
  <c r="J557" i="14" a="1"/>
  <c r="J557" i="14" s="1"/>
  <c r="N558" i="14"/>
  <c r="M561" i="13"/>
  <c r="M562" i="14"/>
  <c r="N559" i="13"/>
  <c r="J558" i="13" a="1"/>
  <c r="J558" i="13" s="1"/>
  <c r="K433" i="14" l="1"/>
  <c r="L433" i="14" s="1"/>
  <c r="I434" i="14" s="1"/>
  <c r="M562" i="13"/>
  <c r="M563" i="14"/>
  <c r="J558" i="14" a="1"/>
  <c r="J558" i="14" s="1"/>
  <c r="N559" i="14"/>
  <c r="N560" i="13"/>
  <c r="J559" i="13" a="1"/>
  <c r="J559" i="13" s="1"/>
  <c r="L416" i="13"/>
  <c r="I417" i="13" s="1"/>
  <c r="K434" i="14" l="1"/>
  <c r="L434" i="14" s="1"/>
  <c r="I435" i="14" s="1"/>
  <c r="M564" i="14"/>
  <c r="K417" i="13"/>
  <c r="J559" i="14" a="1"/>
  <c r="J559" i="14" s="1"/>
  <c r="N560" i="14"/>
  <c r="M563" i="13"/>
  <c r="N561" i="13"/>
  <c r="J560" i="13" a="1"/>
  <c r="J560" i="13" s="1"/>
  <c r="K435" i="14" l="1"/>
  <c r="L435" i="14" s="1"/>
  <c r="I436" i="14" s="1"/>
  <c r="J560" i="14" a="1"/>
  <c r="J560" i="14" s="1"/>
  <c r="N561" i="14"/>
  <c r="M565" i="14"/>
  <c r="N562" i="13"/>
  <c r="J561" i="13" a="1"/>
  <c r="J561" i="13" s="1"/>
  <c r="M564" i="13"/>
  <c r="L417" i="13"/>
  <c r="I418" i="13" s="1"/>
  <c r="K436" i="14" l="1"/>
  <c r="L436" i="14" s="1"/>
  <c r="I437" i="14" s="1"/>
  <c r="K418" i="13"/>
  <c r="L418" i="13" s="1"/>
  <c r="I419" i="13" s="1"/>
  <c r="J561" i="14" a="1"/>
  <c r="J561" i="14" s="1"/>
  <c r="N562" i="14"/>
  <c r="M565" i="13"/>
  <c r="N563" i="13"/>
  <c r="J562" i="13" a="1"/>
  <c r="J562" i="13" s="1"/>
  <c r="M566" i="14"/>
  <c r="K419" i="13" l="1"/>
  <c r="L419" i="13" s="1"/>
  <c r="I420" i="13" s="1"/>
  <c r="K437" i="14"/>
  <c r="L437" i="14" s="1"/>
  <c r="I438" i="14" s="1"/>
  <c r="M566" i="13"/>
  <c r="N564" i="13"/>
  <c r="J563" i="13" a="1"/>
  <c r="J563" i="13" s="1"/>
  <c r="J562" i="14" a="1"/>
  <c r="J562" i="14" s="1"/>
  <c r="N563" i="14"/>
  <c r="M567" i="14"/>
  <c r="K438" i="14" l="1"/>
  <c r="L438" i="14" s="1"/>
  <c r="I439" i="14" s="1"/>
  <c r="K420" i="13"/>
  <c r="L420" i="13" s="1"/>
  <c r="I421" i="13" s="1"/>
  <c r="M568" i="14"/>
  <c r="N565" i="13"/>
  <c r="J564" i="13" a="1"/>
  <c r="J564" i="13" s="1"/>
  <c r="J563" i="14" a="1"/>
  <c r="J563" i="14" s="1"/>
  <c r="N564" i="14"/>
  <c r="M567" i="13"/>
  <c r="K421" i="13" l="1"/>
  <c r="L421" i="13" s="1"/>
  <c r="I422" i="13" s="1"/>
  <c r="K439" i="14"/>
  <c r="L439" i="14" s="1"/>
  <c r="I440" i="14" s="1"/>
  <c r="M568" i="13"/>
  <c r="N566" i="13"/>
  <c r="J565" i="13" a="1"/>
  <c r="J565" i="13" s="1"/>
  <c r="J564" i="14" a="1"/>
  <c r="J564" i="14" s="1"/>
  <c r="N565" i="14"/>
  <c r="M569" i="14"/>
  <c r="K440" i="14" l="1"/>
  <c r="K422" i="13"/>
  <c r="L422" i="13" s="1"/>
  <c r="I423" i="13" s="1"/>
  <c r="M570" i="14"/>
  <c r="N567" i="13"/>
  <c r="J566" i="13" a="1"/>
  <c r="J566" i="13" s="1"/>
  <c r="J565" i="14" a="1"/>
  <c r="J565" i="14" s="1"/>
  <c r="N566" i="14"/>
  <c r="M569" i="13"/>
  <c r="K423" i="13" l="1"/>
  <c r="L423" i="13" s="1"/>
  <c r="I424" i="13" s="1"/>
  <c r="M570" i="13"/>
  <c r="N568" i="13"/>
  <c r="J567" i="13" a="1"/>
  <c r="J567" i="13" s="1"/>
  <c r="J566" i="14" a="1"/>
  <c r="J566" i="14" s="1"/>
  <c r="N567" i="14"/>
  <c r="M571" i="14"/>
  <c r="L440" i="14"/>
  <c r="I441" i="14" s="1"/>
  <c r="K424" i="13" l="1"/>
  <c r="L424" i="13" s="1"/>
  <c r="I425" i="13" s="1"/>
  <c r="M572" i="14"/>
  <c r="N569" i="13"/>
  <c r="J568" i="13" a="1"/>
  <c r="J568" i="13" s="1"/>
  <c r="K441" i="14"/>
  <c r="J567" i="14" a="1"/>
  <c r="J567" i="14" s="1"/>
  <c r="N568" i="14"/>
  <c r="M571" i="13"/>
  <c r="K425" i="13" l="1"/>
  <c r="L425" i="13" s="1"/>
  <c r="I426" i="13" s="1"/>
  <c r="M573" i="14"/>
  <c r="L441" i="14"/>
  <c r="I442" i="14" s="1"/>
  <c r="M572" i="13"/>
  <c r="J568" i="14" a="1"/>
  <c r="J568" i="14" s="1"/>
  <c r="N569" i="14"/>
  <c r="N570" i="13"/>
  <c r="J569" i="13" a="1"/>
  <c r="J569" i="13" s="1"/>
  <c r="K426" i="13" l="1"/>
  <c r="L426" i="13" s="1"/>
  <c r="I427" i="13" s="1"/>
  <c r="M573" i="13"/>
  <c r="J569" i="14" a="1"/>
  <c r="J569" i="14" s="1"/>
  <c r="N570" i="14"/>
  <c r="K442" i="14"/>
  <c r="L442" i="14" s="1"/>
  <c r="I443" i="14" s="1"/>
  <c r="N571" i="13"/>
  <c r="J570" i="13" a="1"/>
  <c r="J570" i="13" s="1"/>
  <c r="M574" i="14"/>
  <c r="K443" i="14" l="1"/>
  <c r="L443" i="14" s="1"/>
  <c r="I444" i="14" s="1"/>
  <c r="K427" i="13"/>
  <c r="L427" i="13" s="1"/>
  <c r="I428" i="13" s="1"/>
  <c r="M575" i="14"/>
  <c r="M574" i="13"/>
  <c r="J570" i="14" a="1"/>
  <c r="J570" i="14" s="1"/>
  <c r="N571" i="14"/>
  <c r="N572" i="13"/>
  <c r="J571" i="13" a="1"/>
  <c r="J571" i="13" s="1"/>
  <c r="K428" i="13" l="1"/>
  <c r="K444" i="14"/>
  <c r="L444" i="14" s="1"/>
  <c r="I445" i="14" s="1"/>
  <c r="N573" i="13"/>
  <c r="J572" i="13" a="1"/>
  <c r="J572" i="13" s="1"/>
  <c r="J571" i="14" a="1"/>
  <c r="J571" i="14" s="1"/>
  <c r="N572" i="14"/>
  <c r="M576" i="14"/>
  <c r="M575" i="13"/>
  <c r="K445" i="14" l="1"/>
  <c r="L445" i="14" s="1"/>
  <c r="I446" i="14" s="1"/>
  <c r="J572" i="14" a="1"/>
  <c r="J572" i="14" s="1"/>
  <c r="N573" i="14"/>
  <c r="M577" i="14"/>
  <c r="M576" i="13"/>
  <c r="N574" i="13"/>
  <c r="J573" i="13" a="1"/>
  <c r="J573" i="13" s="1"/>
  <c r="L428" i="13"/>
  <c r="I429" i="13" s="1"/>
  <c r="K446" i="14" l="1"/>
  <c r="L446" i="14" s="1"/>
  <c r="I447" i="14" s="1"/>
  <c r="J573" i="14" a="1"/>
  <c r="J573" i="14" s="1"/>
  <c r="N574" i="14"/>
  <c r="N575" i="13"/>
  <c r="J574" i="13" a="1"/>
  <c r="J574" i="13" s="1"/>
  <c r="M578" i="14"/>
  <c r="K429" i="13"/>
  <c r="L429" i="13" s="1"/>
  <c r="I430" i="13" s="1"/>
  <c r="M577" i="13"/>
  <c r="K430" i="13" l="1"/>
  <c r="L430" i="13" s="1"/>
  <c r="I431" i="13" s="1"/>
  <c r="K447" i="14"/>
  <c r="L447" i="14" s="1"/>
  <c r="I448" i="14" s="1"/>
  <c r="N576" i="13"/>
  <c r="J575" i="13" a="1"/>
  <c r="J575" i="13" s="1"/>
  <c r="M578" i="13"/>
  <c r="M579" i="14"/>
  <c r="J574" i="14" a="1"/>
  <c r="J574" i="14" s="1"/>
  <c r="N575" i="14"/>
  <c r="K431" i="13" l="1"/>
  <c r="L431" i="13" s="1"/>
  <c r="I432" i="13" s="1"/>
  <c r="K448" i="14"/>
  <c r="L448" i="14" s="1"/>
  <c r="I449" i="14" s="1"/>
  <c r="J575" i="14" a="1"/>
  <c r="J575" i="14" s="1"/>
  <c r="N576" i="14"/>
  <c r="M579" i="13"/>
  <c r="M580" i="14"/>
  <c r="N577" i="13"/>
  <c r="J576" i="13" a="1"/>
  <c r="J576" i="13" s="1"/>
  <c r="K432" i="13" l="1"/>
  <c r="L432" i="13" s="1"/>
  <c r="I433" i="13" s="1"/>
  <c r="K449" i="14"/>
  <c r="L449" i="14" s="1"/>
  <c r="I450" i="14" s="1"/>
  <c r="N578" i="13"/>
  <c r="J577" i="13" a="1"/>
  <c r="J577" i="13" s="1"/>
  <c r="J576" i="14" a="1"/>
  <c r="J576" i="14" s="1"/>
  <c r="N577" i="14"/>
  <c r="M580" i="13"/>
  <c r="M581" i="14"/>
  <c r="K450" i="14" l="1"/>
  <c r="L450" i="14" s="1"/>
  <c r="I451" i="14" s="1"/>
  <c r="K433" i="13"/>
  <c r="L433" i="13" s="1"/>
  <c r="I434" i="13" s="1"/>
  <c r="J577" i="14" a="1"/>
  <c r="J577" i="14" s="1"/>
  <c r="N578" i="14"/>
  <c r="M581" i="13"/>
  <c r="M582" i="14"/>
  <c r="N579" i="13"/>
  <c r="J578" i="13" a="1"/>
  <c r="J578" i="13" s="1"/>
  <c r="K434" i="13" l="1"/>
  <c r="L434" i="13" s="1"/>
  <c r="I435" i="13" s="1"/>
  <c r="M582" i="13"/>
  <c r="N580" i="13"/>
  <c r="J579" i="13" a="1"/>
  <c r="J579" i="13" s="1"/>
  <c r="M583" i="14"/>
  <c r="J578" i="14" a="1"/>
  <c r="J578" i="14" s="1"/>
  <c r="N579" i="14"/>
  <c r="K451" i="14"/>
  <c r="L451" i="14" s="1"/>
  <c r="I452" i="14" s="1"/>
  <c r="K452" i="14" l="1"/>
  <c r="K435" i="13"/>
  <c r="L435" i="13" s="1"/>
  <c r="I436" i="13" s="1"/>
  <c r="M584" i="14"/>
  <c r="M583" i="13"/>
  <c r="J579" i="14" a="1"/>
  <c r="J579" i="14" s="1"/>
  <c r="N580" i="14"/>
  <c r="N581" i="13"/>
  <c r="J580" i="13" a="1"/>
  <c r="J580" i="13" s="1"/>
  <c r="K436" i="13" l="1"/>
  <c r="L436" i="13" s="1"/>
  <c r="I437" i="13" s="1"/>
  <c r="M584" i="13"/>
  <c r="N582" i="13"/>
  <c r="J581" i="13" a="1"/>
  <c r="J581" i="13" s="1"/>
  <c r="J580" i="14" a="1"/>
  <c r="J580" i="14" s="1"/>
  <c r="N581" i="14"/>
  <c r="M585" i="14"/>
  <c r="L452" i="14"/>
  <c r="I453" i="14" s="1"/>
  <c r="K437" i="13" l="1"/>
  <c r="L437" i="13" s="1"/>
  <c r="I438" i="13" s="1"/>
  <c r="K453" i="14"/>
  <c r="L453" i="14" s="1"/>
  <c r="I454" i="14" s="1"/>
  <c r="M585" i="13"/>
  <c r="M586" i="14"/>
  <c r="J581" i="14" a="1"/>
  <c r="J581" i="14" s="1"/>
  <c r="N582" i="14"/>
  <c r="N583" i="13"/>
  <c r="J582" i="13" a="1"/>
  <c r="J582" i="13" s="1"/>
  <c r="K454" i="14" l="1"/>
  <c r="L454" i="14" s="1"/>
  <c r="I455" i="14" s="1"/>
  <c r="N584" i="13"/>
  <c r="J583" i="13" a="1"/>
  <c r="J583" i="13" s="1"/>
  <c r="J582" i="14" a="1"/>
  <c r="J582" i="14" s="1"/>
  <c r="N583" i="14"/>
  <c r="M586" i="13"/>
  <c r="M587" i="14"/>
  <c r="K438" i="13"/>
  <c r="L438" i="13" s="1"/>
  <c r="I439" i="13" s="1"/>
  <c r="K439" i="13" l="1"/>
  <c r="L439" i="13" s="1"/>
  <c r="I440" i="13" s="1"/>
  <c r="K455" i="14"/>
  <c r="L455" i="14" s="1"/>
  <c r="I456" i="14" s="1"/>
  <c r="M588" i="14"/>
  <c r="J583" i="14" a="1"/>
  <c r="J583" i="14" s="1"/>
  <c r="N584" i="14"/>
  <c r="N585" i="13"/>
  <c r="J584" i="13" a="1"/>
  <c r="J584" i="13" s="1"/>
  <c r="M587" i="13"/>
  <c r="K456" i="14" l="1"/>
  <c r="L456" i="14" s="1"/>
  <c r="I457" i="14" s="1"/>
  <c r="M588" i="13"/>
  <c r="J584" i="14" a="1"/>
  <c r="J584" i="14" s="1"/>
  <c r="N585" i="14"/>
  <c r="M589" i="14"/>
  <c r="N586" i="13"/>
  <c r="J585" i="13" a="1"/>
  <c r="J585" i="13" s="1"/>
  <c r="K440" i="13"/>
  <c r="L440" i="13" s="1"/>
  <c r="I441" i="13" s="1"/>
  <c r="K457" i="14" l="1"/>
  <c r="L457" i="14" s="1"/>
  <c r="I458" i="14" s="1"/>
  <c r="K441" i="13"/>
  <c r="L441" i="13" s="1"/>
  <c r="I442" i="13" s="1"/>
  <c r="M589" i="13"/>
  <c r="N587" i="13"/>
  <c r="J586" i="13" a="1"/>
  <c r="J586" i="13" s="1"/>
  <c r="J585" i="14" a="1"/>
  <c r="J585" i="14" s="1"/>
  <c r="N586" i="14"/>
  <c r="M590" i="14"/>
  <c r="K442" i="13" l="1"/>
  <c r="N588" i="13"/>
  <c r="J587" i="13" a="1"/>
  <c r="J587" i="13" s="1"/>
  <c r="J586" i="14" a="1"/>
  <c r="J586" i="14" s="1"/>
  <c r="N587" i="14"/>
  <c r="M590" i="13"/>
  <c r="M591" i="14"/>
  <c r="K458" i="14"/>
  <c r="L458" i="14" s="1"/>
  <c r="I459" i="14" s="1"/>
  <c r="K459" i="14" l="1"/>
  <c r="L459" i="14" s="1"/>
  <c r="I460" i="14" s="1"/>
  <c r="M592" i="14"/>
  <c r="J587" i="14" a="1"/>
  <c r="J587" i="14" s="1"/>
  <c r="N588" i="14"/>
  <c r="M591" i="13"/>
  <c r="N589" i="13"/>
  <c r="J588" i="13" a="1"/>
  <c r="J588" i="13" s="1"/>
  <c r="L442" i="13"/>
  <c r="I443" i="13" s="1"/>
  <c r="K460" i="14" l="1"/>
  <c r="L460" i="14" s="1"/>
  <c r="I461" i="14" s="1"/>
  <c r="M592" i="13"/>
  <c r="M593" i="14"/>
  <c r="J588" i="14" a="1"/>
  <c r="J588" i="14" s="1"/>
  <c r="N589" i="14"/>
  <c r="K443" i="13"/>
  <c r="L443" i="13" s="1"/>
  <c r="I444" i="13" s="1"/>
  <c r="N590" i="13"/>
  <c r="J589" i="13" a="1"/>
  <c r="J589" i="13" s="1"/>
  <c r="K444" i="13" l="1"/>
  <c r="L444" i="13" s="1"/>
  <c r="I445" i="13" s="1"/>
  <c r="K461" i="14"/>
  <c r="L461" i="14" s="1"/>
  <c r="I462" i="14" s="1"/>
  <c r="J589" i="14" a="1"/>
  <c r="J589" i="14" s="1"/>
  <c r="N590" i="14"/>
  <c r="M593" i="13"/>
  <c r="N591" i="13"/>
  <c r="J590" i="13" a="1"/>
  <c r="J590" i="13" s="1"/>
  <c r="M594" i="14"/>
  <c r="K462" i="14" l="1"/>
  <c r="L462" i="14" s="1"/>
  <c r="I463" i="14" s="1"/>
  <c r="K445" i="13"/>
  <c r="L445" i="13" s="1"/>
  <c r="I446" i="13" s="1"/>
  <c r="M595" i="14"/>
  <c r="M594" i="13"/>
  <c r="J590" i="14" a="1"/>
  <c r="J590" i="14" s="1"/>
  <c r="N591" i="14"/>
  <c r="N592" i="13"/>
  <c r="J591" i="13" a="1"/>
  <c r="J591" i="13" s="1"/>
  <c r="K446" i="13" l="1"/>
  <c r="L446" i="13" s="1"/>
  <c r="I447" i="13" s="1"/>
  <c r="K463" i="14"/>
  <c r="L463" i="14" s="1"/>
  <c r="I464" i="14" s="1"/>
  <c r="M595" i="13"/>
  <c r="N593" i="13"/>
  <c r="J592" i="13" a="1"/>
  <c r="J592" i="13" s="1"/>
  <c r="J591" i="14" a="1"/>
  <c r="J591" i="14" s="1"/>
  <c r="N592" i="14"/>
  <c r="M596" i="14"/>
  <c r="K464" i="14" l="1"/>
  <c r="K447" i="13"/>
  <c r="L447" i="13" s="1"/>
  <c r="I448" i="13" s="1"/>
  <c r="M597" i="14"/>
  <c r="N594" i="13"/>
  <c r="J593" i="13" a="1"/>
  <c r="J593" i="13" s="1"/>
  <c r="J592" i="14" a="1"/>
  <c r="J592" i="14" s="1"/>
  <c r="N593" i="14"/>
  <c r="M596" i="13"/>
  <c r="K448" i="13" l="1"/>
  <c r="L448" i="13" s="1"/>
  <c r="I449" i="13" s="1"/>
  <c r="M597" i="13"/>
  <c r="N595" i="13"/>
  <c r="J594" i="13" a="1"/>
  <c r="J594" i="13" s="1"/>
  <c r="J593" i="14" a="1"/>
  <c r="J593" i="14" s="1"/>
  <c r="N594" i="14"/>
  <c r="M598" i="14"/>
  <c r="L464" i="14"/>
  <c r="I465" i="14" s="1"/>
  <c r="K449" i="13" l="1"/>
  <c r="L449" i="13" s="1"/>
  <c r="I450" i="13" s="1"/>
  <c r="M598" i="13"/>
  <c r="K465" i="14"/>
  <c r="M599" i="14"/>
  <c r="J594" i="14" a="1"/>
  <c r="J594" i="14" s="1"/>
  <c r="N595" i="14"/>
  <c r="N596" i="13"/>
  <c r="J595" i="13" a="1"/>
  <c r="J595" i="13" s="1"/>
  <c r="K450" i="13" l="1"/>
  <c r="L450" i="13" s="1"/>
  <c r="I451" i="13" s="1"/>
  <c r="M600" i="14"/>
  <c r="M599" i="13"/>
  <c r="N597" i="13"/>
  <c r="J596" i="13" a="1"/>
  <c r="J596" i="13" s="1"/>
  <c r="J595" i="14" a="1"/>
  <c r="J595" i="14" s="1"/>
  <c r="N596" i="14"/>
  <c r="L465" i="14"/>
  <c r="I466" i="14" s="1"/>
  <c r="K451" i="13" l="1"/>
  <c r="L451" i="13" s="1"/>
  <c r="I452" i="13" s="1"/>
  <c r="M601" i="14"/>
  <c r="J596" i="14" a="1"/>
  <c r="J596" i="14" s="1"/>
  <c r="N597" i="14"/>
  <c r="N598" i="13"/>
  <c r="J597" i="13" a="1"/>
  <c r="J597" i="13" s="1"/>
  <c r="K466" i="14"/>
  <c r="L466" i="14" s="1"/>
  <c r="I467" i="14" s="1"/>
  <c r="M600" i="13"/>
  <c r="M602" i="14" l="1"/>
  <c r="K452" i="13"/>
  <c r="L452" i="13" s="1"/>
  <c r="I453" i="13" s="1"/>
  <c r="N599" i="13"/>
  <c r="J598" i="13" a="1"/>
  <c r="J598" i="13" s="1"/>
  <c r="J597" i="14" a="1"/>
  <c r="J597" i="14" s="1"/>
  <c r="N598" i="14"/>
  <c r="K467" i="14"/>
  <c r="L467" i="14" s="1"/>
  <c r="I468" i="14" s="1"/>
  <c r="M601" i="13"/>
  <c r="K468" i="14" l="1"/>
  <c r="L468" i="14" s="1"/>
  <c r="I469" i="14" s="1"/>
  <c r="K453" i="13"/>
  <c r="L453" i="13" s="1"/>
  <c r="I454" i="13" s="1"/>
  <c r="M602" i="13"/>
  <c r="J598" i="14" a="1"/>
  <c r="J598" i="14" s="1"/>
  <c r="N599" i="14"/>
  <c r="M603" i="14"/>
  <c r="N600" i="13"/>
  <c r="J599" i="13" a="1"/>
  <c r="J599" i="13" s="1"/>
  <c r="K454" i="13" l="1"/>
  <c r="K469" i="14"/>
  <c r="L469" i="14" s="1"/>
  <c r="I470" i="14" s="1"/>
  <c r="J599" i="14" a="1"/>
  <c r="J599" i="14" s="1"/>
  <c r="N600" i="14"/>
  <c r="N601" i="13"/>
  <c r="J600" i="13" a="1"/>
  <c r="J600" i="13" s="1"/>
  <c r="M604" i="14"/>
  <c r="M603" i="13"/>
  <c r="K470" i="14" l="1"/>
  <c r="L470" i="14" s="1"/>
  <c r="I471" i="14" s="1"/>
  <c r="M604" i="13"/>
  <c r="N602" i="13"/>
  <c r="J601" i="13" a="1"/>
  <c r="J601" i="13" s="1"/>
  <c r="M605" i="14"/>
  <c r="J600" i="14" a="1"/>
  <c r="J600" i="14" s="1"/>
  <c r="N601" i="14"/>
  <c r="L454" i="13"/>
  <c r="I455" i="13" s="1"/>
  <c r="K471" i="14" l="1"/>
  <c r="L471" i="14" s="1"/>
  <c r="I472" i="14" s="1"/>
  <c r="K455" i="13"/>
  <c r="L455" i="13" s="1"/>
  <c r="I456" i="13" s="1"/>
  <c r="M606" i="14"/>
  <c r="M605" i="13"/>
  <c r="J601" i="14" a="1"/>
  <c r="J601" i="14" s="1"/>
  <c r="N602" i="14"/>
  <c r="N603" i="13"/>
  <c r="J602" i="13" a="1"/>
  <c r="J602" i="13" s="1"/>
  <c r="K456" i="13" l="1"/>
  <c r="L456" i="13" s="1"/>
  <c r="I457" i="13" s="1"/>
  <c r="K472" i="14"/>
  <c r="L472" i="14" s="1"/>
  <c r="I473" i="14" s="1"/>
  <c r="M606" i="13"/>
  <c r="N604" i="13"/>
  <c r="J603" i="13" a="1"/>
  <c r="J603" i="13" s="1"/>
  <c r="J602" i="14" a="1"/>
  <c r="J602" i="14" s="1"/>
  <c r="N603" i="14"/>
  <c r="M607" i="14"/>
  <c r="K473" i="14" l="1"/>
  <c r="L473" i="14" s="1"/>
  <c r="I474" i="14" s="1"/>
  <c r="M608" i="14"/>
  <c r="N605" i="13"/>
  <c r="J604" i="13" a="1"/>
  <c r="J604" i="13" s="1"/>
  <c r="J603" i="14" a="1"/>
  <c r="J603" i="14" s="1"/>
  <c r="N604" i="14"/>
  <c r="M607" i="13"/>
  <c r="K457" i="13"/>
  <c r="L457" i="13" s="1"/>
  <c r="I458" i="13" s="1"/>
  <c r="K474" i="14" l="1"/>
  <c r="L474" i="14" s="1"/>
  <c r="I475" i="14" s="1"/>
  <c r="K458" i="13"/>
  <c r="L458" i="13" s="1"/>
  <c r="I459" i="13" s="1"/>
  <c r="J604" i="14" a="1"/>
  <c r="J604" i="14" s="1"/>
  <c r="N605" i="14"/>
  <c r="M609" i="14"/>
  <c r="M608" i="13"/>
  <c r="N606" i="13"/>
  <c r="J605" i="13" a="1"/>
  <c r="J605" i="13" s="1"/>
  <c r="K475" i="14" l="1"/>
  <c r="L475" i="14" s="1"/>
  <c r="I476" i="14" s="1"/>
  <c r="M610" i="14"/>
  <c r="K459" i="13"/>
  <c r="L459" i="13" s="1"/>
  <c r="I460" i="13" s="1"/>
  <c r="J605" i="14" a="1"/>
  <c r="J605" i="14" s="1"/>
  <c r="N606" i="14"/>
  <c r="N607" i="13"/>
  <c r="J606" i="13" a="1"/>
  <c r="J606" i="13" s="1"/>
  <c r="M609" i="13"/>
  <c r="K476" i="14" l="1"/>
  <c r="L476" i="14" s="1"/>
  <c r="I477" i="14" s="1"/>
  <c r="K460" i="13"/>
  <c r="L460" i="13" s="1"/>
  <c r="I461" i="13" s="1"/>
  <c r="J606" i="14" a="1"/>
  <c r="J606" i="14" s="1"/>
  <c r="N607" i="14"/>
  <c r="M611" i="14"/>
  <c r="M610" i="13"/>
  <c r="N608" i="13"/>
  <c r="J607" i="13" a="1"/>
  <c r="J607" i="13" s="1"/>
  <c r="K461" i="13" l="1"/>
  <c r="L461" i="13" s="1"/>
  <c r="I462" i="13" s="1"/>
  <c r="J607" i="14" a="1"/>
  <c r="J607" i="14" s="1"/>
  <c r="N608" i="14"/>
  <c r="M611" i="13"/>
  <c r="M612" i="14"/>
  <c r="N609" i="13"/>
  <c r="J608" i="13" a="1"/>
  <c r="J608" i="13" s="1"/>
  <c r="K477" i="14"/>
  <c r="L477" i="14" s="1"/>
  <c r="I478" i="14" s="1"/>
  <c r="K462" i="13" l="1"/>
  <c r="L462" i="13" s="1"/>
  <c r="I463" i="13" s="1"/>
  <c r="K478" i="14"/>
  <c r="M613" i="14"/>
  <c r="J608" i="14" a="1"/>
  <c r="J608" i="14" s="1"/>
  <c r="N609" i="14"/>
  <c r="M612" i="13"/>
  <c r="N610" i="13"/>
  <c r="J609" i="13" a="1"/>
  <c r="J609" i="13" s="1"/>
  <c r="K463" i="13" l="1"/>
  <c r="L463" i="13" s="1"/>
  <c r="I464" i="13" s="1"/>
  <c r="N611" i="13"/>
  <c r="J610" i="13" a="1"/>
  <c r="J610" i="13" s="1"/>
  <c r="M613" i="13"/>
  <c r="M614" i="14"/>
  <c r="L478" i="14"/>
  <c r="I479" i="14" s="1"/>
  <c r="J609" i="14" a="1"/>
  <c r="J609" i="14" s="1"/>
  <c r="N610" i="14"/>
  <c r="K464" i="13" l="1"/>
  <c r="M614" i="13"/>
  <c r="N612" i="13"/>
  <c r="J611" i="13" a="1"/>
  <c r="J611" i="13" s="1"/>
  <c r="K479" i="14"/>
  <c r="L479" i="14" s="1"/>
  <c r="I480" i="14" s="1"/>
  <c r="J610" i="14" a="1"/>
  <c r="J610" i="14" s="1"/>
  <c r="N611" i="14"/>
  <c r="M615" i="14"/>
  <c r="K480" i="14" l="1"/>
  <c r="L480" i="14" s="1"/>
  <c r="I481" i="14" s="1"/>
  <c r="N613" i="13"/>
  <c r="J612" i="13" a="1"/>
  <c r="J612" i="13" s="1"/>
  <c r="L464" i="13"/>
  <c r="I465" i="13" s="1"/>
  <c r="J611" i="14" a="1"/>
  <c r="J611" i="14" s="1"/>
  <c r="N612" i="14"/>
  <c r="M616" i="14"/>
  <c r="M615" i="13"/>
  <c r="K481" i="14" l="1"/>
  <c r="L481" i="14" s="1"/>
  <c r="I482" i="14" s="1"/>
  <c r="J612" i="14" a="1"/>
  <c r="J612" i="14" s="1"/>
  <c r="N613" i="14"/>
  <c r="M617" i="14"/>
  <c r="K465" i="13"/>
  <c r="M616" i="13"/>
  <c r="N614" i="13"/>
  <c r="J613" i="13" a="1"/>
  <c r="J613" i="13" s="1"/>
  <c r="K482" i="14" l="1"/>
  <c r="L482" i="14" s="1"/>
  <c r="I483" i="14" s="1"/>
  <c r="N615" i="13"/>
  <c r="J614" i="13" a="1"/>
  <c r="J614" i="13" s="1"/>
  <c r="M617" i="13"/>
  <c r="J613" i="14" a="1"/>
  <c r="J613" i="14" s="1"/>
  <c r="N614" i="14"/>
  <c r="L465" i="13"/>
  <c r="I466" i="13" s="1"/>
  <c r="M618" i="14"/>
  <c r="K483" i="14" l="1"/>
  <c r="L483" i="14" s="1"/>
  <c r="I484" i="14" s="1"/>
  <c r="M619" i="14"/>
  <c r="N616" i="13"/>
  <c r="J615" i="13" a="1"/>
  <c r="J615" i="13" s="1"/>
  <c r="M618" i="13"/>
  <c r="K466" i="13"/>
  <c r="L466" i="13" s="1"/>
  <c r="I467" i="13" s="1"/>
  <c r="J614" i="14" a="1"/>
  <c r="J614" i="14" s="1"/>
  <c r="N615" i="14"/>
  <c r="K467" i="13" l="1"/>
  <c r="L467" i="13" s="1"/>
  <c r="I468" i="13" s="1"/>
  <c r="K484" i="14"/>
  <c r="L484" i="14" s="1"/>
  <c r="I485" i="14" s="1"/>
  <c r="J615" i="14" a="1"/>
  <c r="J615" i="14" s="1"/>
  <c r="N616" i="14"/>
  <c r="M619" i="13"/>
  <c r="M620" i="14"/>
  <c r="N617" i="13"/>
  <c r="J616" i="13" a="1"/>
  <c r="J616" i="13" s="1"/>
  <c r="K485" i="14" l="1"/>
  <c r="L485" i="14" s="1"/>
  <c r="I486" i="14" s="1"/>
  <c r="K468" i="13"/>
  <c r="L468" i="13" s="1"/>
  <c r="I469" i="13" s="1"/>
  <c r="N618" i="13"/>
  <c r="J617" i="13" a="1"/>
  <c r="J617" i="13" s="1"/>
  <c r="M621" i="14"/>
  <c r="J616" i="14" a="1"/>
  <c r="J616" i="14" s="1"/>
  <c r="N617" i="14"/>
  <c r="M620" i="13"/>
  <c r="K469" i="13" l="1"/>
  <c r="L469" i="13" s="1"/>
  <c r="I470" i="13" s="1"/>
  <c r="K486" i="14"/>
  <c r="L486" i="14" s="1"/>
  <c r="I487" i="14" s="1"/>
  <c r="M621" i="13"/>
  <c r="M622" i="14"/>
  <c r="J617" i="14" a="1"/>
  <c r="J617" i="14" s="1"/>
  <c r="N618" i="14"/>
  <c r="N619" i="13"/>
  <c r="J618" i="13" a="1"/>
  <c r="J618" i="13" s="1"/>
  <c r="K487" i="14" l="1"/>
  <c r="L487" i="14" s="1"/>
  <c r="I488" i="14" s="1"/>
  <c r="K470" i="13"/>
  <c r="L470" i="13" s="1"/>
  <c r="I471" i="13" s="1"/>
  <c r="M623" i="14"/>
  <c r="N620" i="13"/>
  <c r="J619" i="13" a="1"/>
  <c r="J619" i="13" s="1"/>
  <c r="J618" i="14" a="1"/>
  <c r="J618" i="14" s="1"/>
  <c r="N619" i="14"/>
  <c r="M622" i="13"/>
  <c r="K471" i="13" l="1"/>
  <c r="L471" i="13" s="1"/>
  <c r="I472" i="13" s="1"/>
  <c r="K488" i="14"/>
  <c r="M623" i="13"/>
  <c r="N621" i="13"/>
  <c r="J620" i="13" a="1"/>
  <c r="J620" i="13" s="1"/>
  <c r="M624" i="14"/>
  <c r="J619" i="14" a="1"/>
  <c r="J619" i="14" s="1"/>
  <c r="N620" i="14"/>
  <c r="K472" i="13" l="1"/>
  <c r="L472" i="13" s="1"/>
  <c r="I473" i="13" s="1"/>
  <c r="L488" i="14"/>
  <c r="I489" i="14" s="1"/>
  <c r="J620" i="14" a="1"/>
  <c r="J620" i="14" s="1"/>
  <c r="N621" i="14"/>
  <c r="M624" i="13"/>
  <c r="N622" i="13"/>
  <c r="J621" i="13" a="1"/>
  <c r="J621" i="13" s="1"/>
  <c r="M625" i="14"/>
  <c r="K473" i="13" l="1"/>
  <c r="L473" i="13" s="1"/>
  <c r="I474" i="13" s="1"/>
  <c r="M626" i="14"/>
  <c r="M625" i="13"/>
  <c r="K489" i="14"/>
  <c r="N623" i="13"/>
  <c r="J622" i="13" a="1"/>
  <c r="J622" i="13" s="1"/>
  <c r="J621" i="14" a="1"/>
  <c r="J621" i="14" s="1"/>
  <c r="N622" i="14"/>
  <c r="K474" i="13" l="1"/>
  <c r="L474" i="13" s="1"/>
  <c r="I475" i="13" s="1"/>
  <c r="J622" i="14" a="1"/>
  <c r="J622" i="14" s="1"/>
  <c r="N623" i="14"/>
  <c r="M626" i="13"/>
  <c r="M627" i="14"/>
  <c r="L489" i="14"/>
  <c r="I490" i="14" s="1"/>
  <c r="N624" i="13"/>
  <c r="J623" i="13" a="1"/>
  <c r="J623" i="13" s="1"/>
  <c r="K475" i="13" l="1"/>
  <c r="L475" i="13" s="1"/>
  <c r="I476" i="13" s="1"/>
  <c r="J623" i="14" a="1"/>
  <c r="J623" i="14" s="1"/>
  <c r="N624" i="14"/>
  <c r="K490" i="14"/>
  <c r="L490" i="14" s="1"/>
  <c r="I491" i="14" s="1"/>
  <c r="M627" i="13"/>
  <c r="M628" i="14"/>
  <c r="N625" i="13"/>
  <c r="J624" i="13" a="1"/>
  <c r="J624" i="13" s="1"/>
  <c r="K491" i="14" l="1"/>
  <c r="L491" i="14" s="1"/>
  <c r="I492" i="14" s="1"/>
  <c r="K476" i="13"/>
  <c r="M628" i="13"/>
  <c r="M629" i="14"/>
  <c r="J624" i="14" a="1"/>
  <c r="J624" i="14" s="1"/>
  <c r="N625" i="14"/>
  <c r="N626" i="13"/>
  <c r="J625" i="13" a="1"/>
  <c r="J625" i="13" s="1"/>
  <c r="K492" i="14" l="1"/>
  <c r="L492" i="14" s="1"/>
  <c r="I493" i="14" s="1"/>
  <c r="L476" i="13"/>
  <c r="I477" i="13" s="1"/>
  <c r="J625" i="14" a="1"/>
  <c r="J625" i="14" s="1"/>
  <c r="N626" i="14"/>
  <c r="M629" i="13"/>
  <c r="M630" i="14"/>
  <c r="N627" i="13"/>
  <c r="J626" i="13" a="1"/>
  <c r="J626" i="13" s="1"/>
  <c r="K493" i="14" l="1"/>
  <c r="L493" i="14" s="1"/>
  <c r="I494" i="14" s="1"/>
  <c r="M630" i="13"/>
  <c r="K477" i="13"/>
  <c r="L477" i="13" s="1"/>
  <c r="I478" i="13" s="1"/>
  <c r="N628" i="13"/>
  <c r="J627" i="13" a="1"/>
  <c r="J627" i="13" s="1"/>
  <c r="M631" i="14"/>
  <c r="J626" i="14" a="1"/>
  <c r="J626" i="14" s="1"/>
  <c r="N627" i="14"/>
  <c r="M631" i="13" l="1"/>
  <c r="J627" i="14" a="1"/>
  <c r="J627" i="14" s="1"/>
  <c r="N628" i="14"/>
  <c r="N629" i="13"/>
  <c r="J628" i="13" a="1"/>
  <c r="J628" i="13" s="1"/>
  <c r="M632" i="14"/>
  <c r="K478" i="13"/>
  <c r="L478" i="13" s="1"/>
  <c r="I479" i="13" s="1"/>
  <c r="K494" i="14"/>
  <c r="L494" i="14" s="1"/>
  <c r="I495" i="14" s="1"/>
  <c r="K479" i="13" l="1"/>
  <c r="L479" i="13" s="1"/>
  <c r="I480" i="13" s="1"/>
  <c r="N630" i="13"/>
  <c r="J629" i="13" a="1"/>
  <c r="J629" i="13" s="1"/>
  <c r="M632" i="13"/>
  <c r="K495" i="14"/>
  <c r="L495" i="14" s="1"/>
  <c r="I496" i="14" s="1"/>
  <c r="M633" i="14"/>
  <c r="J628" i="14" a="1"/>
  <c r="J628" i="14" s="1"/>
  <c r="N629" i="14"/>
  <c r="K496" i="14" l="1"/>
  <c r="L496" i="14" s="1"/>
  <c r="I497" i="14" s="1"/>
  <c r="K480" i="13"/>
  <c r="L480" i="13" s="1"/>
  <c r="I481" i="13" s="1"/>
  <c r="J629" i="14" a="1"/>
  <c r="J629" i="14" s="1"/>
  <c r="N630" i="14"/>
  <c r="N631" i="13"/>
  <c r="J630" i="13" a="1"/>
  <c r="J630" i="13" s="1"/>
  <c r="M634" i="14"/>
  <c r="M633" i="13"/>
  <c r="K497" i="14" l="1"/>
  <c r="L497" i="14" s="1"/>
  <c r="I498" i="14" s="1"/>
  <c r="K481" i="13"/>
  <c r="L481" i="13" s="1"/>
  <c r="I482" i="13" s="1"/>
  <c r="M635" i="14"/>
  <c r="J630" i="14" a="1"/>
  <c r="J630" i="14" s="1"/>
  <c r="N631" i="14"/>
  <c r="M634" i="13"/>
  <c r="N632" i="13"/>
  <c r="J631" i="13" a="1"/>
  <c r="J631" i="13" s="1"/>
  <c r="K482" i="13" l="1"/>
  <c r="L482" i="13" s="1"/>
  <c r="I483" i="13" s="1"/>
  <c r="K498" i="14"/>
  <c r="L498" i="14" s="1"/>
  <c r="I499" i="14" s="1"/>
  <c r="J631" i="14" a="1"/>
  <c r="J631" i="14" s="1"/>
  <c r="N632" i="14"/>
  <c r="N633" i="13"/>
  <c r="J632" i="13" a="1"/>
  <c r="J632" i="13" s="1"/>
  <c r="M636" i="14"/>
  <c r="M635" i="13"/>
  <c r="K499" i="14" l="1"/>
  <c r="L499" i="14" s="1"/>
  <c r="I500" i="14" s="1"/>
  <c r="K483" i="13"/>
  <c r="L483" i="13" s="1"/>
  <c r="I484" i="13" s="1"/>
  <c r="M636" i="13"/>
  <c r="N634" i="13"/>
  <c r="J633" i="13" a="1"/>
  <c r="J633" i="13" s="1"/>
  <c r="M637" i="14"/>
  <c r="J632" i="14" a="1"/>
  <c r="J632" i="14" s="1"/>
  <c r="N633" i="14"/>
  <c r="K484" i="13" l="1"/>
  <c r="L484" i="13" s="1"/>
  <c r="I485" i="13" s="1"/>
  <c r="K500" i="14"/>
  <c r="L500" i="14" s="1"/>
  <c r="I501" i="14" s="1"/>
  <c r="N635" i="13"/>
  <c r="J634" i="13" a="1"/>
  <c r="J634" i="13" s="1"/>
  <c r="M638" i="14"/>
  <c r="M637" i="13"/>
  <c r="J633" i="14" a="1"/>
  <c r="J633" i="14" s="1"/>
  <c r="N634" i="14"/>
  <c r="K501" i="14" l="1"/>
  <c r="L501" i="14" s="1"/>
  <c r="I502" i="14" s="1"/>
  <c r="K485" i="13"/>
  <c r="L485" i="13" s="1"/>
  <c r="I486" i="13" s="1"/>
  <c r="J634" i="14" a="1"/>
  <c r="J634" i="14" s="1"/>
  <c r="N635" i="14"/>
  <c r="M639" i="14"/>
  <c r="M638" i="13"/>
  <c r="N636" i="13"/>
  <c r="J635" i="13" a="1"/>
  <c r="J635" i="13" s="1"/>
  <c r="K486" i="13" l="1"/>
  <c r="L486" i="13" s="1"/>
  <c r="I487" i="13" s="1"/>
  <c r="K502" i="14"/>
  <c r="L502" i="14" s="1"/>
  <c r="I503" i="14" s="1"/>
  <c r="N637" i="13"/>
  <c r="J636" i="13" a="1"/>
  <c r="J636" i="13" s="1"/>
  <c r="M639" i="13"/>
  <c r="J635" i="14" a="1"/>
  <c r="J635" i="14" s="1"/>
  <c r="N636" i="14"/>
  <c r="M640" i="14"/>
  <c r="K503" i="14" l="1"/>
  <c r="L503" i="14" s="1"/>
  <c r="I504" i="14" s="1"/>
  <c r="K487" i="13"/>
  <c r="L487" i="13" s="1"/>
  <c r="I488" i="13" s="1"/>
  <c r="M641" i="14"/>
  <c r="M640" i="13"/>
  <c r="J636" i="14" a="1"/>
  <c r="J636" i="14" s="1"/>
  <c r="N637" i="14"/>
  <c r="N638" i="13"/>
  <c r="J637" i="13" a="1"/>
  <c r="J637" i="13" s="1"/>
  <c r="K488" i="13" l="1"/>
  <c r="K504" i="14"/>
  <c r="L504" i="14" s="1"/>
  <c r="I505" i="14" s="1"/>
  <c r="M641" i="13"/>
  <c r="N639" i="13"/>
  <c r="J638" i="13" a="1"/>
  <c r="J638" i="13" s="1"/>
  <c r="J637" i="14" a="1"/>
  <c r="J637" i="14" s="1"/>
  <c r="N638" i="14"/>
  <c r="M642" i="14"/>
  <c r="K505" i="14" l="1"/>
  <c r="L505" i="14" s="1"/>
  <c r="I506" i="14" s="1"/>
  <c r="M643" i="14"/>
  <c r="N640" i="13"/>
  <c r="J639" i="13" a="1"/>
  <c r="J639" i="13" s="1"/>
  <c r="J638" i="14" a="1"/>
  <c r="J638" i="14" s="1"/>
  <c r="N639" i="14"/>
  <c r="M642" i="13"/>
  <c r="L488" i="13"/>
  <c r="I489" i="13" s="1"/>
  <c r="K506" i="14" l="1"/>
  <c r="L506" i="14" s="1"/>
  <c r="I507" i="14" s="1"/>
  <c r="K489" i="13"/>
  <c r="J639" i="14" a="1"/>
  <c r="J639" i="14" s="1"/>
  <c r="N640" i="14"/>
  <c r="M644" i="14"/>
  <c r="M643" i="13"/>
  <c r="N641" i="13"/>
  <c r="J640" i="13" a="1"/>
  <c r="J640" i="13" s="1"/>
  <c r="K507" i="14" l="1"/>
  <c r="L507" i="14" s="1"/>
  <c r="I508" i="14" s="1"/>
  <c r="M645" i="14"/>
  <c r="N642" i="13"/>
  <c r="J641" i="13" a="1"/>
  <c r="J641" i="13" s="1"/>
  <c r="L489" i="13"/>
  <c r="I490" i="13" s="1"/>
  <c r="M644" i="13"/>
  <c r="J640" i="14" a="1"/>
  <c r="J640" i="14" s="1"/>
  <c r="N641" i="14"/>
  <c r="K508" i="14" l="1"/>
  <c r="L508" i="14" s="1"/>
  <c r="I509" i="14" s="1"/>
  <c r="J641" i="14" a="1"/>
  <c r="J641" i="14" s="1"/>
  <c r="N642" i="14"/>
  <c r="K490" i="13"/>
  <c r="L490" i="13" s="1"/>
  <c r="I491" i="13" s="1"/>
  <c r="M646" i="14"/>
  <c r="M645" i="13"/>
  <c r="N643" i="13"/>
  <c r="J642" i="13" a="1"/>
  <c r="J642" i="13" s="1"/>
  <c r="K491" i="13" l="1"/>
  <c r="L491" i="13" s="1"/>
  <c r="I492" i="13" s="1"/>
  <c r="K509" i="14"/>
  <c r="L509" i="14" s="1"/>
  <c r="I510" i="14" s="1"/>
  <c r="M647" i="14"/>
  <c r="J642" i="14" a="1"/>
  <c r="J642" i="14" s="1"/>
  <c r="N643" i="14"/>
  <c r="N644" i="13"/>
  <c r="J643" i="13" a="1"/>
  <c r="J643" i="13" s="1"/>
  <c r="M646" i="13"/>
  <c r="K510" i="14" l="1"/>
  <c r="L510" i="14" s="1"/>
  <c r="I511" i="14" s="1"/>
  <c r="K492" i="13"/>
  <c r="L492" i="13" s="1"/>
  <c r="I493" i="13" s="1"/>
  <c r="M647" i="13"/>
  <c r="J643" i="14" a="1"/>
  <c r="J643" i="14" s="1"/>
  <c r="N644" i="14"/>
  <c r="M648" i="14"/>
  <c r="N645" i="13"/>
  <c r="J644" i="13" a="1"/>
  <c r="J644" i="13" s="1"/>
  <c r="K493" i="13" l="1"/>
  <c r="L493" i="13" s="1"/>
  <c r="I494" i="13" s="1"/>
  <c r="K511" i="14"/>
  <c r="L511" i="14" s="1"/>
  <c r="I512" i="14" s="1"/>
  <c r="J644" i="14" a="1"/>
  <c r="J644" i="14" s="1"/>
  <c r="N645" i="14"/>
  <c r="N646" i="13"/>
  <c r="J645" i="13" a="1"/>
  <c r="J645" i="13" s="1"/>
  <c r="M649" i="14"/>
  <c r="M648" i="13"/>
  <c r="K512" i="14" l="1"/>
  <c r="K494" i="13"/>
  <c r="L494" i="13" s="1"/>
  <c r="I495" i="13" s="1"/>
  <c r="N647" i="13"/>
  <c r="J646" i="13" a="1"/>
  <c r="J646" i="13" s="1"/>
  <c r="M650" i="14"/>
  <c r="J645" i="14" a="1"/>
  <c r="J645" i="14" s="1"/>
  <c r="N646" i="14"/>
  <c r="M649" i="13"/>
  <c r="K495" i="13" l="1"/>
  <c r="L495" i="13" s="1"/>
  <c r="I496" i="13" s="1"/>
  <c r="J646" i="14" a="1"/>
  <c r="J646" i="14" s="1"/>
  <c r="N647" i="14"/>
  <c r="M650" i="13"/>
  <c r="M651" i="14"/>
  <c r="N648" i="13"/>
  <c r="J647" i="13" a="1"/>
  <c r="J647" i="13" s="1"/>
  <c r="L512" i="14"/>
  <c r="I513" i="14" s="1"/>
  <c r="K496" i="13" l="1"/>
  <c r="L496" i="13" s="1"/>
  <c r="I497" i="13" s="1"/>
  <c r="M652" i="14"/>
  <c r="M651" i="13"/>
  <c r="J647" i="14" a="1"/>
  <c r="J647" i="14" s="1"/>
  <c r="N648" i="14"/>
  <c r="N649" i="13"/>
  <c r="J648" i="13" a="1"/>
  <c r="J648" i="13" s="1"/>
  <c r="K513" i="14"/>
  <c r="L513" i="14" s="1"/>
  <c r="I514" i="14" s="1"/>
  <c r="K497" i="13" l="1"/>
  <c r="L497" i="13" s="1"/>
  <c r="I498" i="13" s="1"/>
  <c r="K514" i="14"/>
  <c r="L514" i="14" s="1"/>
  <c r="I515" i="14" s="1"/>
  <c r="M652" i="13"/>
  <c r="N650" i="13"/>
  <c r="J649" i="13" a="1"/>
  <c r="J649" i="13" s="1"/>
  <c r="J648" i="14" a="1"/>
  <c r="J648" i="14" s="1"/>
  <c r="N649" i="14"/>
  <c r="M653" i="14"/>
  <c r="K515" i="14" l="1"/>
  <c r="L515" i="14" s="1"/>
  <c r="I516" i="14" s="1"/>
  <c r="K498" i="13"/>
  <c r="L498" i="13" s="1"/>
  <c r="I499" i="13" s="1"/>
  <c r="N651" i="13"/>
  <c r="J650" i="13" a="1"/>
  <c r="J650" i="13" s="1"/>
  <c r="M653" i="13"/>
  <c r="J649" i="14" a="1"/>
  <c r="J649" i="14" s="1"/>
  <c r="N650" i="14"/>
  <c r="M654" i="14"/>
  <c r="K516" i="14" l="1"/>
  <c r="L516" i="14" s="1"/>
  <c r="I517" i="14" s="1"/>
  <c r="K499" i="13"/>
  <c r="L499" i="13" s="1"/>
  <c r="I500" i="13" s="1"/>
  <c r="M655" i="14"/>
  <c r="M654" i="13"/>
  <c r="J650" i="14" a="1"/>
  <c r="J650" i="14" s="1"/>
  <c r="N651" i="14"/>
  <c r="N652" i="13"/>
  <c r="J651" i="13" a="1"/>
  <c r="J651" i="13" s="1"/>
  <c r="K500" i="13" l="1"/>
  <c r="K517" i="14"/>
  <c r="L517" i="14" s="1"/>
  <c r="I518" i="14" s="1"/>
  <c r="M655" i="13"/>
  <c r="N653" i="13"/>
  <c r="J652" i="13" a="1"/>
  <c r="J652" i="13" s="1"/>
  <c r="J651" i="14" a="1"/>
  <c r="J651" i="14" s="1"/>
  <c r="N652" i="14"/>
  <c r="M656" i="14"/>
  <c r="K518" i="14" l="1"/>
  <c r="L518" i="14" s="1"/>
  <c r="I519" i="14" s="1"/>
  <c r="N654" i="13"/>
  <c r="J653" i="13" a="1"/>
  <c r="J653" i="13" s="1"/>
  <c r="M657" i="14"/>
  <c r="J652" i="14" a="1"/>
  <c r="J652" i="14" s="1"/>
  <c r="N653" i="14"/>
  <c r="M656" i="13"/>
  <c r="L500" i="13"/>
  <c r="I501" i="13" s="1"/>
  <c r="K519" i="14" l="1"/>
  <c r="L519" i="14" s="1"/>
  <c r="I520" i="14" s="1"/>
  <c r="M657" i="13"/>
  <c r="M658" i="14"/>
  <c r="N655" i="13"/>
  <c r="J654" i="13" a="1"/>
  <c r="J654" i="13" s="1"/>
  <c r="K501" i="13"/>
  <c r="J653" i="14" a="1"/>
  <c r="J653" i="14" s="1"/>
  <c r="N654" i="14"/>
  <c r="K520" i="14" l="1"/>
  <c r="L520" i="14" s="1"/>
  <c r="I521" i="14" s="1"/>
  <c r="M658" i="13"/>
  <c r="J654" i="14" a="1"/>
  <c r="J654" i="14" s="1"/>
  <c r="N655" i="14"/>
  <c r="N656" i="13"/>
  <c r="J655" i="13" a="1"/>
  <c r="J655" i="13" s="1"/>
  <c r="M659" i="14"/>
  <c r="L501" i="13"/>
  <c r="I502" i="13" s="1"/>
  <c r="K502" i="13" l="1"/>
  <c r="L502" i="13" s="1"/>
  <c r="I503" i="13" s="1"/>
  <c r="M659" i="13"/>
  <c r="M660" i="14"/>
  <c r="N657" i="13"/>
  <c r="J656" i="13" a="1"/>
  <c r="J656" i="13" s="1"/>
  <c r="J655" i="14" a="1"/>
  <c r="J655" i="14" s="1"/>
  <c r="N656" i="14"/>
  <c r="K521" i="14"/>
  <c r="L521" i="14" s="1"/>
  <c r="I522" i="14" s="1"/>
  <c r="K503" i="13" l="1"/>
  <c r="L503" i="13" s="1"/>
  <c r="I504" i="13" s="1"/>
  <c r="K522" i="14"/>
  <c r="L522" i="14" s="1"/>
  <c r="I523" i="14" s="1"/>
  <c r="M660" i="13"/>
  <c r="N658" i="13"/>
  <c r="J657" i="13" a="1"/>
  <c r="J657" i="13" s="1"/>
  <c r="J656" i="14" a="1"/>
  <c r="J656" i="14" s="1"/>
  <c r="N657" i="14"/>
  <c r="M661" i="14"/>
  <c r="K523" i="14" l="1"/>
  <c r="L523" i="14" s="1"/>
  <c r="I524" i="14" s="1"/>
  <c r="N659" i="13"/>
  <c r="J658" i="13" a="1"/>
  <c r="J658" i="13" s="1"/>
  <c r="J657" i="14" a="1"/>
  <c r="J657" i="14" s="1"/>
  <c r="N658" i="14"/>
  <c r="M661" i="13"/>
  <c r="M662" i="14"/>
  <c r="K504" i="13"/>
  <c r="L504" i="13" s="1"/>
  <c r="I505" i="13" s="1"/>
  <c r="K505" i="13" l="1"/>
  <c r="L505" i="13" s="1"/>
  <c r="I506" i="13" s="1"/>
  <c r="J658" i="14" a="1"/>
  <c r="J658" i="14" s="1"/>
  <c r="N659" i="14"/>
  <c r="M663" i="14"/>
  <c r="N660" i="13"/>
  <c r="J659" i="13" a="1"/>
  <c r="J659" i="13" s="1"/>
  <c r="M662" i="13"/>
  <c r="K524" i="14"/>
  <c r="L524" i="14" s="1"/>
  <c r="I525" i="14" s="1"/>
  <c r="K525" i="14" l="1"/>
  <c r="L525" i="14" s="1"/>
  <c r="I526" i="14" s="1"/>
  <c r="N661" i="13"/>
  <c r="J660" i="13" a="1"/>
  <c r="J660" i="13" s="1"/>
  <c r="M663" i="13"/>
  <c r="M664" i="14"/>
  <c r="J659" i="14" a="1"/>
  <c r="J659" i="14" s="1"/>
  <c r="N660" i="14"/>
  <c r="K506" i="13"/>
  <c r="L506" i="13" s="1"/>
  <c r="I507" i="13" s="1"/>
  <c r="K526" i="14" l="1"/>
  <c r="K507" i="13"/>
  <c r="L507" i="13" s="1"/>
  <c r="I508" i="13" s="1"/>
  <c r="M665" i="14"/>
  <c r="J660" i="14" a="1"/>
  <c r="J660" i="14" s="1"/>
  <c r="N661" i="14"/>
  <c r="N662" i="13"/>
  <c r="J661" i="13" a="1"/>
  <c r="J661" i="13" s="1"/>
  <c r="M664" i="13"/>
  <c r="M665" i="13" l="1"/>
  <c r="J661" i="14" a="1"/>
  <c r="J661" i="14" s="1"/>
  <c r="N662" i="14"/>
  <c r="K508" i="13"/>
  <c r="L508" i="13" s="1"/>
  <c r="I509" i="13" s="1"/>
  <c r="M666" i="14"/>
  <c r="N663" i="13"/>
  <c r="J662" i="13" a="1"/>
  <c r="J662" i="13" s="1"/>
  <c r="L526" i="14"/>
  <c r="I527" i="14" s="1"/>
  <c r="K509" i="13" l="1"/>
  <c r="L509" i="13" s="1"/>
  <c r="I510" i="13" s="1"/>
  <c r="J662" i="14" a="1"/>
  <c r="J662" i="14" s="1"/>
  <c r="N663" i="14"/>
  <c r="K527" i="14"/>
  <c r="L527" i="14" s="1"/>
  <c r="I528" i="14" s="1"/>
  <c r="N664" i="13"/>
  <c r="J663" i="13" a="1"/>
  <c r="J663" i="13" s="1"/>
  <c r="M666" i="13"/>
  <c r="M667" i="14"/>
  <c r="K528" i="14" l="1"/>
  <c r="L528" i="14" s="1"/>
  <c r="I529" i="14" s="1"/>
  <c r="K510" i="13"/>
  <c r="L510" i="13" s="1"/>
  <c r="I511" i="13" s="1"/>
  <c r="M668" i="14"/>
  <c r="N665" i="13"/>
  <c r="J664" i="13" a="1"/>
  <c r="J664" i="13" s="1"/>
  <c r="J663" i="14" a="1"/>
  <c r="J663" i="14" s="1"/>
  <c r="N664" i="14"/>
  <c r="M667" i="13"/>
  <c r="K529" i="14" l="1"/>
  <c r="L529" i="14" s="1"/>
  <c r="I530" i="14" s="1"/>
  <c r="K511" i="13"/>
  <c r="L511" i="13" s="1"/>
  <c r="I512" i="13" s="1"/>
  <c r="N666" i="13"/>
  <c r="J665" i="13" a="1"/>
  <c r="J665" i="13" s="1"/>
  <c r="M668" i="13"/>
  <c r="J664" i="14" a="1"/>
  <c r="J664" i="14" s="1"/>
  <c r="N665" i="14"/>
  <c r="M669" i="14"/>
  <c r="K530" i="14" l="1"/>
  <c r="L530" i="14" s="1"/>
  <c r="I531" i="14" s="1"/>
  <c r="K512" i="13"/>
  <c r="J665" i="14" a="1"/>
  <c r="J665" i="14" s="1"/>
  <c r="N666" i="14"/>
  <c r="M670" i="14"/>
  <c r="M669" i="13"/>
  <c r="N667" i="13"/>
  <c r="J666" i="13" a="1"/>
  <c r="J666" i="13" s="1"/>
  <c r="K531" i="14" l="1"/>
  <c r="L531" i="14" s="1"/>
  <c r="I532" i="14" s="1"/>
  <c r="N668" i="13"/>
  <c r="J667" i="13" a="1"/>
  <c r="J667" i="13" s="1"/>
  <c r="L512" i="13"/>
  <c r="I513" i="13" s="1"/>
  <c r="M670" i="13"/>
  <c r="J666" i="14" a="1"/>
  <c r="J666" i="14" s="1"/>
  <c r="N667" i="14"/>
  <c r="M671" i="14"/>
  <c r="N669" i="13" l="1"/>
  <c r="J668" i="13" a="1"/>
  <c r="J668" i="13" s="1"/>
  <c r="M672" i="14"/>
  <c r="M671" i="13"/>
  <c r="J667" i="14" a="1"/>
  <c r="J667" i="14" s="1"/>
  <c r="N668" i="14"/>
  <c r="K513" i="13"/>
  <c r="K532" i="14"/>
  <c r="L532" i="14" s="1"/>
  <c r="I533" i="14" s="1"/>
  <c r="K533" i="14" l="1"/>
  <c r="L533" i="14" s="1"/>
  <c r="I534" i="14" s="1"/>
  <c r="J668" i="14" a="1"/>
  <c r="J668" i="14" s="1"/>
  <c r="N669" i="14"/>
  <c r="M673" i="14"/>
  <c r="M672" i="13"/>
  <c r="L513" i="13"/>
  <c r="I514" i="13" s="1"/>
  <c r="N670" i="13"/>
  <c r="J669" i="13" a="1"/>
  <c r="J669" i="13" s="1"/>
  <c r="K534" i="14" l="1"/>
  <c r="L534" i="14" s="1"/>
  <c r="I535" i="14" s="1"/>
  <c r="N671" i="13"/>
  <c r="J670" i="13" a="1"/>
  <c r="J670" i="13" s="1"/>
  <c r="M673" i="13"/>
  <c r="M674" i="14"/>
  <c r="J669" i="14" a="1"/>
  <c r="J669" i="14" s="1"/>
  <c r="N670" i="14"/>
  <c r="K514" i="13"/>
  <c r="L514" i="13" s="1"/>
  <c r="I515" i="13" s="1"/>
  <c r="K535" i="14" l="1"/>
  <c r="L535" i="14" s="1"/>
  <c r="I536" i="14" s="1"/>
  <c r="J670" i="14" a="1"/>
  <c r="J670" i="14" s="1"/>
  <c r="N671" i="14"/>
  <c r="M674" i="13"/>
  <c r="N672" i="13"/>
  <c r="J671" i="13" a="1"/>
  <c r="J671" i="13" s="1"/>
  <c r="K515" i="13"/>
  <c r="L515" i="13" s="1"/>
  <c r="I516" i="13" s="1"/>
  <c r="M675" i="14"/>
  <c r="K516" i="13" l="1"/>
  <c r="L516" i="13" s="1"/>
  <c r="I517" i="13" s="1"/>
  <c r="K536" i="14"/>
  <c r="L536" i="14" s="1"/>
  <c r="I537" i="14" s="1"/>
  <c r="M675" i="13"/>
  <c r="J671" i="14" a="1"/>
  <c r="J671" i="14" s="1"/>
  <c r="N672" i="14"/>
  <c r="M676" i="14"/>
  <c r="N673" i="13"/>
  <c r="J672" i="13" a="1"/>
  <c r="J672" i="13" s="1"/>
  <c r="K537" i="14" l="1"/>
  <c r="L537" i="14" s="1"/>
  <c r="I538" i="14" s="1"/>
  <c r="J672" i="14" a="1"/>
  <c r="J672" i="14" s="1"/>
  <c r="N673" i="14"/>
  <c r="N674" i="13"/>
  <c r="J673" i="13" a="1"/>
  <c r="J673" i="13" s="1"/>
  <c r="M677" i="14"/>
  <c r="M676" i="13"/>
  <c r="K517" i="13"/>
  <c r="L517" i="13" s="1"/>
  <c r="I518" i="13" s="1"/>
  <c r="K538" i="14" l="1"/>
  <c r="J673" i="14" a="1"/>
  <c r="J673" i="14" s="1"/>
  <c r="N674" i="14"/>
  <c r="M677" i="13"/>
  <c r="K518" i="13"/>
  <c r="L518" i="13" s="1"/>
  <c r="I519" i="13" s="1"/>
  <c r="M678" i="14"/>
  <c r="N675" i="13"/>
  <c r="J674" i="13" a="1"/>
  <c r="J674" i="13" s="1"/>
  <c r="K519" i="13" l="1"/>
  <c r="L519" i="13" s="1"/>
  <c r="I520" i="13" s="1"/>
  <c r="J674" i="14" a="1"/>
  <c r="J674" i="14" s="1"/>
  <c r="N675" i="14"/>
  <c r="N676" i="13"/>
  <c r="J675" i="13" a="1"/>
  <c r="J675" i="13" s="1"/>
  <c r="M679" i="14"/>
  <c r="M678" i="13"/>
  <c r="L538" i="14"/>
  <c r="I539" i="14" s="1"/>
  <c r="M680" i="14" l="1"/>
  <c r="K520" i="13"/>
  <c r="L520" i="13" s="1"/>
  <c r="I521" i="13" s="1"/>
  <c r="J675" i="14" a="1"/>
  <c r="J675" i="14" s="1"/>
  <c r="N676" i="14"/>
  <c r="M679" i="13"/>
  <c r="K539" i="14"/>
  <c r="L539" i="14" s="1"/>
  <c r="I540" i="14" s="1"/>
  <c r="N677" i="13"/>
  <c r="J676" i="13" a="1"/>
  <c r="J676" i="13" s="1"/>
  <c r="K540" i="14" l="1"/>
  <c r="L540" i="14" s="1"/>
  <c r="I541" i="14" s="1"/>
  <c r="K521" i="13"/>
  <c r="L521" i="13" s="1"/>
  <c r="I522" i="13" s="1"/>
  <c r="M680" i="13"/>
  <c r="N678" i="13"/>
  <c r="J677" i="13" a="1"/>
  <c r="J677" i="13" s="1"/>
  <c r="J676" i="14" a="1"/>
  <c r="J676" i="14" s="1"/>
  <c r="N677" i="14"/>
  <c r="M681" i="14"/>
  <c r="K522" i="13" l="1"/>
  <c r="L522" i="13" s="1"/>
  <c r="I523" i="13" s="1"/>
  <c r="K541" i="14"/>
  <c r="L541" i="14" s="1"/>
  <c r="I542" i="14" s="1"/>
  <c r="N679" i="13"/>
  <c r="J678" i="13" a="1"/>
  <c r="J678" i="13" s="1"/>
  <c r="M682" i="14"/>
  <c r="J677" i="14" a="1"/>
  <c r="J677" i="14" s="1"/>
  <c r="N678" i="14"/>
  <c r="M681" i="13"/>
  <c r="K523" i="13" l="1"/>
  <c r="L523" i="13" s="1"/>
  <c r="I524" i="13" s="1"/>
  <c r="K542" i="14"/>
  <c r="L542" i="14" s="1"/>
  <c r="I543" i="14" s="1"/>
  <c r="J678" i="14" a="1"/>
  <c r="J678" i="14" s="1"/>
  <c r="N679" i="14"/>
  <c r="M682" i="13"/>
  <c r="M683" i="14"/>
  <c r="N680" i="13"/>
  <c r="J679" i="13" a="1"/>
  <c r="J679" i="13" s="1"/>
  <c r="K543" i="14" l="1"/>
  <c r="L543" i="14" s="1"/>
  <c r="I544" i="14" s="1"/>
  <c r="K524" i="13"/>
  <c r="L524" i="13" s="1"/>
  <c r="I525" i="13" s="1"/>
  <c r="N681" i="13"/>
  <c r="J680" i="13" a="1"/>
  <c r="J680" i="13" s="1"/>
  <c r="M683" i="13"/>
  <c r="M684" i="14"/>
  <c r="J679" i="14" a="1"/>
  <c r="J679" i="14" s="1"/>
  <c r="N680" i="14"/>
  <c r="K525" i="13" l="1"/>
  <c r="L525" i="13" s="1"/>
  <c r="I526" i="13" s="1"/>
  <c r="K544" i="14"/>
  <c r="L544" i="14" s="1"/>
  <c r="I545" i="14" s="1"/>
  <c r="J680" i="14" a="1"/>
  <c r="J680" i="14" s="1"/>
  <c r="N681" i="14"/>
  <c r="M684" i="13"/>
  <c r="M685" i="14"/>
  <c r="N682" i="13"/>
  <c r="J681" i="13" a="1"/>
  <c r="J681" i="13" s="1"/>
  <c r="K545" i="14" l="1"/>
  <c r="L545" i="14" s="1"/>
  <c r="I546" i="14" s="1"/>
  <c r="K526" i="13"/>
  <c r="M686" i="14"/>
  <c r="M685" i="13"/>
  <c r="N683" i="13"/>
  <c r="J682" i="13" a="1"/>
  <c r="J682" i="13" s="1"/>
  <c r="J681" i="14" a="1"/>
  <c r="J681" i="14" s="1"/>
  <c r="N682" i="14"/>
  <c r="K546" i="14" l="1"/>
  <c r="L546" i="14" s="1"/>
  <c r="I547" i="14" s="1"/>
  <c r="L526" i="13"/>
  <c r="I527" i="13" s="1"/>
  <c r="M687" i="14"/>
  <c r="J682" i="14" a="1"/>
  <c r="J682" i="14" s="1"/>
  <c r="N683" i="14"/>
  <c r="M686" i="13"/>
  <c r="N684" i="13"/>
  <c r="J683" i="13" a="1"/>
  <c r="J683" i="13" s="1"/>
  <c r="K547" i="14" l="1"/>
  <c r="L547" i="14" s="1"/>
  <c r="I548" i="14" s="1"/>
  <c r="N685" i="13"/>
  <c r="J684" i="13" a="1"/>
  <c r="J684" i="13" s="1"/>
  <c r="J683" i="14" a="1"/>
  <c r="J683" i="14" s="1"/>
  <c r="N684" i="14"/>
  <c r="K527" i="13"/>
  <c r="L527" i="13" s="1"/>
  <c r="I528" i="13" s="1"/>
  <c r="M687" i="13"/>
  <c r="M688" i="14"/>
  <c r="K548" i="14" l="1"/>
  <c r="N686" i="13"/>
  <c r="J685" i="13" a="1"/>
  <c r="J685" i="13" s="1"/>
  <c r="K528" i="13"/>
  <c r="L528" i="13" s="1"/>
  <c r="I529" i="13" s="1"/>
  <c r="J684" i="14" a="1"/>
  <c r="J684" i="14" s="1"/>
  <c r="N685" i="14"/>
  <c r="M688" i="13"/>
  <c r="M689" i="14"/>
  <c r="K529" i="13" l="1"/>
  <c r="L529" i="13" s="1"/>
  <c r="I530" i="13" s="1"/>
  <c r="M690" i="14"/>
  <c r="J685" i="14" a="1"/>
  <c r="J685" i="14" s="1"/>
  <c r="N686" i="14"/>
  <c r="N687" i="13"/>
  <c r="J686" i="13" a="1"/>
  <c r="J686" i="13" s="1"/>
  <c r="M689" i="13"/>
  <c r="L548" i="14"/>
  <c r="I549" i="14" s="1"/>
  <c r="K530" i="13" l="1"/>
  <c r="L530" i="13" s="1"/>
  <c r="I531" i="13" s="1"/>
  <c r="N688" i="13"/>
  <c r="J687" i="13" a="1"/>
  <c r="J687" i="13" s="1"/>
  <c r="M691" i="14"/>
  <c r="M690" i="13"/>
  <c r="J686" i="14" a="1"/>
  <c r="J686" i="14" s="1"/>
  <c r="N687" i="14"/>
  <c r="K549" i="14"/>
  <c r="L549" i="14" s="1"/>
  <c r="I550" i="14" s="1"/>
  <c r="K531" i="13" l="1"/>
  <c r="L531" i="13" s="1"/>
  <c r="I532" i="13" s="1"/>
  <c r="K550" i="14"/>
  <c r="L550" i="14" s="1"/>
  <c r="I551" i="14" s="1"/>
  <c r="J687" i="14" a="1"/>
  <c r="J687" i="14" s="1"/>
  <c r="N688" i="14"/>
  <c r="M692" i="14"/>
  <c r="M691" i="13"/>
  <c r="N689" i="13"/>
  <c r="J688" i="13" a="1"/>
  <c r="J688" i="13" s="1"/>
  <c r="K551" i="14" l="1"/>
  <c r="L551" i="14" s="1"/>
  <c r="I552" i="14" s="1"/>
  <c r="K532" i="13"/>
  <c r="L532" i="13" s="1"/>
  <c r="I533" i="13" s="1"/>
  <c r="N690" i="13"/>
  <c r="J689" i="13" a="1"/>
  <c r="J689" i="13" s="1"/>
  <c r="M693" i="14"/>
  <c r="M692" i="13"/>
  <c r="J688" i="14" a="1"/>
  <c r="J688" i="14" s="1"/>
  <c r="N689" i="14"/>
  <c r="K552" i="14" l="1"/>
  <c r="L552" i="14" s="1"/>
  <c r="I553" i="14" s="1"/>
  <c r="K533" i="13"/>
  <c r="L533" i="13" s="1"/>
  <c r="I534" i="13" s="1"/>
  <c r="J689" i="14" a="1"/>
  <c r="J689" i="14" s="1"/>
  <c r="N690" i="14"/>
  <c r="M694" i="14"/>
  <c r="M693" i="13"/>
  <c r="N691" i="13"/>
  <c r="J690" i="13" a="1"/>
  <c r="J690" i="13" s="1"/>
  <c r="K534" i="13" l="1"/>
  <c r="L534" i="13" s="1"/>
  <c r="I535" i="13" s="1"/>
  <c r="K553" i="14"/>
  <c r="L553" i="14" s="1"/>
  <c r="I554" i="14" s="1"/>
  <c r="N692" i="13"/>
  <c r="J691" i="13" a="1"/>
  <c r="J691" i="13" s="1"/>
  <c r="M695" i="14"/>
  <c r="M694" i="13"/>
  <c r="J690" i="14" a="1"/>
  <c r="J690" i="14" s="1"/>
  <c r="N691" i="14"/>
  <c r="K535" i="13" l="1"/>
  <c r="L535" i="13" s="1"/>
  <c r="I536" i="13" s="1"/>
  <c r="K554" i="14"/>
  <c r="L554" i="14" s="1"/>
  <c r="I555" i="14" s="1"/>
  <c r="J691" i="14" a="1"/>
  <c r="J691" i="14" s="1"/>
  <c r="N692" i="14"/>
  <c r="M696" i="14"/>
  <c r="M695" i="13"/>
  <c r="N693" i="13"/>
  <c r="J692" i="13" a="1"/>
  <c r="J692" i="13" s="1"/>
  <c r="K555" i="14" l="1"/>
  <c r="L555" i="14" s="1"/>
  <c r="I556" i="14" s="1"/>
  <c r="M697" i="14"/>
  <c r="N694" i="13"/>
  <c r="J693" i="13" a="1"/>
  <c r="J693" i="13" s="1"/>
  <c r="M696" i="13"/>
  <c r="J692" i="14" a="1"/>
  <c r="J692" i="14" s="1"/>
  <c r="N693" i="14"/>
  <c r="K536" i="13"/>
  <c r="L536" i="13" s="1"/>
  <c r="I537" i="13" s="1"/>
  <c r="K537" i="13" l="1"/>
  <c r="L537" i="13" s="1"/>
  <c r="I538" i="13" s="1"/>
  <c r="M698" i="14"/>
  <c r="J693" i="14" a="1"/>
  <c r="J693" i="14" s="1"/>
  <c r="N694" i="14"/>
  <c r="M697" i="13"/>
  <c r="N695" i="13"/>
  <c r="J694" i="13" a="1"/>
  <c r="J694" i="13" s="1"/>
  <c r="K556" i="14"/>
  <c r="L556" i="14" s="1"/>
  <c r="I557" i="14" s="1"/>
  <c r="K557" i="14" l="1"/>
  <c r="L557" i="14" s="1"/>
  <c r="I558" i="14" s="1"/>
  <c r="M699" i="14"/>
  <c r="N696" i="13"/>
  <c r="J695" i="13" a="1"/>
  <c r="J695" i="13" s="1"/>
  <c r="M698" i="13"/>
  <c r="N695" i="14"/>
  <c r="J694" i="14" a="1"/>
  <c r="J694" i="14" s="1"/>
  <c r="K538" i="13"/>
  <c r="K558" i="14" l="1"/>
  <c r="L558" i="14" s="1"/>
  <c r="I559" i="14" s="1"/>
  <c r="N696" i="14"/>
  <c r="J695" i="14" a="1"/>
  <c r="J695" i="14" s="1"/>
  <c r="N697" i="13"/>
  <c r="J696" i="13" a="1"/>
  <c r="J696" i="13" s="1"/>
  <c r="M699" i="13"/>
  <c r="M700" i="14"/>
  <c r="L538" i="13"/>
  <c r="I539" i="13" s="1"/>
  <c r="K559" i="14" l="1"/>
  <c r="L559" i="14" s="1"/>
  <c r="I560" i="14" s="1"/>
  <c r="N697" i="14"/>
  <c r="J696" i="14" a="1"/>
  <c r="J696" i="14" s="1"/>
  <c r="K539" i="13"/>
  <c r="L539" i="13" s="1"/>
  <c r="I540" i="13" s="1"/>
  <c r="M700" i="13"/>
  <c r="M701" i="14"/>
  <c r="N698" i="13"/>
  <c r="J697" i="13" a="1"/>
  <c r="J697" i="13" s="1"/>
  <c r="M701" i="13" l="1"/>
  <c r="N699" i="13"/>
  <c r="J698" i="13" a="1"/>
  <c r="J698" i="13" s="1"/>
  <c r="N698" i="14"/>
  <c r="J697" i="14" a="1"/>
  <c r="J697" i="14" s="1"/>
  <c r="M702" i="14"/>
  <c r="K540" i="13"/>
  <c r="L540" i="13" s="1"/>
  <c r="I541" i="13" s="1"/>
  <c r="K560" i="14"/>
  <c r="M703" i="14" l="1"/>
  <c r="N700" i="13"/>
  <c r="J699" i="13" a="1"/>
  <c r="J699" i="13" s="1"/>
  <c r="L560" i="14"/>
  <c r="I561" i="14" s="1"/>
  <c r="M702" i="13"/>
  <c r="K541" i="13"/>
  <c r="L541" i="13" s="1"/>
  <c r="I542" i="13" s="1"/>
  <c r="N699" i="14"/>
  <c r="J698" i="14" a="1"/>
  <c r="J698" i="14" s="1"/>
  <c r="K542" i="13" l="1"/>
  <c r="L542" i="13" s="1"/>
  <c r="I543" i="13" s="1"/>
  <c r="N701" i="13"/>
  <c r="J700" i="13" a="1"/>
  <c r="J700" i="13" s="1"/>
  <c r="N700" i="14"/>
  <c r="J699" i="14" a="1"/>
  <c r="J699" i="14" s="1"/>
  <c r="M704" i="14"/>
  <c r="M703" i="13"/>
  <c r="K561" i="14"/>
  <c r="L561" i="14" s="1"/>
  <c r="I562" i="14" s="1"/>
  <c r="K562" i="14" l="1"/>
  <c r="L562" i="14" s="1"/>
  <c r="I563" i="14" s="1"/>
  <c r="K543" i="13"/>
  <c r="L543" i="13" s="1"/>
  <c r="I544" i="13" s="1"/>
  <c r="N702" i="13"/>
  <c r="J701" i="13" a="1"/>
  <c r="J701" i="13" s="1"/>
  <c r="M705" i="14"/>
  <c r="M704" i="13"/>
  <c r="N701" i="14"/>
  <c r="J700" i="14" a="1"/>
  <c r="J700" i="14" s="1"/>
  <c r="K544" i="13" l="1"/>
  <c r="L544" i="13" s="1"/>
  <c r="I545" i="13" s="1"/>
  <c r="K563" i="14"/>
  <c r="L563" i="14" s="1"/>
  <c r="I564" i="14" s="1"/>
  <c r="N702" i="14"/>
  <c r="J701" i="14" a="1"/>
  <c r="J701" i="14" s="1"/>
  <c r="M706" i="14"/>
  <c r="M705" i="13"/>
  <c r="N703" i="13"/>
  <c r="J702" i="13" a="1"/>
  <c r="J702" i="13" s="1"/>
  <c r="K564" i="14" l="1"/>
  <c r="L564" i="14" s="1"/>
  <c r="I565" i="14" s="1"/>
  <c r="K545" i="13"/>
  <c r="L545" i="13" s="1"/>
  <c r="I546" i="13" s="1"/>
  <c r="N704" i="13"/>
  <c r="J703" i="13" a="1"/>
  <c r="J703" i="13" s="1"/>
  <c r="M707" i="14"/>
  <c r="M706" i="13"/>
  <c r="N703" i="14"/>
  <c r="J702" i="14" a="1"/>
  <c r="J702" i="14" s="1"/>
  <c r="K565" i="14" l="1"/>
  <c r="L565" i="14" s="1"/>
  <c r="I566" i="14" s="1"/>
  <c r="K546" i="13"/>
  <c r="L546" i="13" s="1"/>
  <c r="I547" i="13" s="1"/>
  <c r="M708" i="14"/>
  <c r="N704" i="14"/>
  <c r="J703" i="14" a="1"/>
  <c r="J703" i="14" s="1"/>
  <c r="M707" i="13"/>
  <c r="N705" i="13"/>
  <c r="J704" i="13" a="1"/>
  <c r="J704" i="13" s="1"/>
  <c r="K566" i="14" l="1"/>
  <c r="L566" i="14" s="1"/>
  <c r="I567" i="14" s="1"/>
  <c r="K547" i="13"/>
  <c r="L547" i="13" s="1"/>
  <c r="I548" i="13" s="1"/>
  <c r="N705" i="14"/>
  <c r="J704" i="14" a="1"/>
  <c r="J704" i="14" s="1"/>
  <c r="N706" i="13"/>
  <c r="J705" i="13" a="1"/>
  <c r="J705" i="13" s="1"/>
  <c r="M708" i="13"/>
  <c r="M709" i="14"/>
  <c r="K567" i="14" l="1"/>
  <c r="L567" i="14" s="1"/>
  <c r="I568" i="14" s="1"/>
  <c r="K548" i="13"/>
  <c r="M709" i="13"/>
  <c r="M710" i="14"/>
  <c r="N707" i="13"/>
  <c r="J706" i="13" a="1"/>
  <c r="J706" i="13" s="1"/>
  <c r="N706" i="14"/>
  <c r="J705" i="14" a="1"/>
  <c r="J705" i="14" s="1"/>
  <c r="K568" i="14" l="1"/>
  <c r="L568" i="14" s="1"/>
  <c r="I569" i="14" s="1"/>
  <c r="L548" i="13"/>
  <c r="I549" i="13" s="1"/>
  <c r="M710" i="13"/>
  <c r="N707" i="14"/>
  <c r="J706" i="14" a="1"/>
  <c r="J706" i="14" s="1"/>
  <c r="M711" i="14"/>
  <c r="N708" i="13"/>
  <c r="J707" i="13" a="1"/>
  <c r="J707" i="13" s="1"/>
  <c r="K569" i="14" l="1"/>
  <c r="L569" i="14" s="1"/>
  <c r="I570" i="14" s="1"/>
  <c r="N708" i="14"/>
  <c r="J707" i="14" a="1"/>
  <c r="J707" i="14" s="1"/>
  <c r="K549" i="13"/>
  <c r="N709" i="13"/>
  <c r="J708" i="13" a="1"/>
  <c r="J708" i="13" s="1"/>
  <c r="M712" i="14"/>
  <c r="M711" i="13"/>
  <c r="K570" i="14" l="1"/>
  <c r="L570" i="14" s="1"/>
  <c r="I571" i="14" s="1"/>
  <c r="M712" i="13"/>
  <c r="N710" i="13"/>
  <c r="J709" i="13" a="1"/>
  <c r="J709" i="13" s="1"/>
  <c r="N709" i="14"/>
  <c r="J708" i="14" a="1"/>
  <c r="J708" i="14" s="1"/>
  <c r="M713" i="14"/>
  <c r="L549" i="13"/>
  <c r="I550" i="13" s="1"/>
  <c r="K571" i="14" l="1"/>
  <c r="L571" i="14" s="1"/>
  <c r="I572" i="14" s="1"/>
  <c r="K550" i="13"/>
  <c r="L550" i="13" s="1"/>
  <c r="I551" i="13" s="1"/>
  <c r="N710" i="14"/>
  <c r="J709" i="14" a="1"/>
  <c r="J709" i="14" s="1"/>
  <c r="M714" i="14"/>
  <c r="N711" i="13"/>
  <c r="J710" i="13" a="1"/>
  <c r="J710" i="13" s="1"/>
  <c r="M713" i="13"/>
  <c r="K551" i="13" l="1"/>
  <c r="L551" i="13" s="1"/>
  <c r="I552" i="13" s="1"/>
  <c r="K572" i="14"/>
  <c r="M715" i="14"/>
  <c r="N712" i="13"/>
  <c r="J711" i="13" a="1"/>
  <c r="J711" i="13" s="1"/>
  <c r="M714" i="13"/>
  <c r="N711" i="14"/>
  <c r="J710" i="14" a="1"/>
  <c r="J710" i="14" s="1"/>
  <c r="K552" i="13" l="1"/>
  <c r="L552" i="13" s="1"/>
  <c r="I553" i="13" s="1"/>
  <c r="L572" i="14"/>
  <c r="I573" i="14" s="1"/>
  <c r="N712" i="14"/>
  <c r="J711" i="14" a="1"/>
  <c r="J711" i="14" s="1"/>
  <c r="M715" i="13"/>
  <c r="N713" i="13"/>
  <c r="J712" i="13" a="1"/>
  <c r="J712" i="13" s="1"/>
  <c r="M716" i="14"/>
  <c r="K553" i="13" l="1"/>
  <c r="L553" i="13" s="1"/>
  <c r="I554" i="13" s="1"/>
  <c r="N714" i="13"/>
  <c r="J713" i="13" a="1"/>
  <c r="J713" i="13" s="1"/>
  <c r="M717" i="14"/>
  <c r="M716" i="13"/>
  <c r="K573" i="14"/>
  <c r="N713" i="14"/>
  <c r="J712" i="14" a="1"/>
  <c r="J712" i="14" s="1"/>
  <c r="K554" i="13" l="1"/>
  <c r="L554" i="13" s="1"/>
  <c r="I555" i="13" s="1"/>
  <c r="M717" i="13"/>
  <c r="N715" i="13"/>
  <c r="J714" i="13" a="1"/>
  <c r="J714" i="13" s="1"/>
  <c r="N714" i="14"/>
  <c r="J713" i="14" a="1"/>
  <c r="J713" i="14" s="1"/>
  <c r="M718" i="14"/>
  <c r="L573" i="14"/>
  <c r="I574" i="14" s="1"/>
  <c r="K555" i="13" l="1"/>
  <c r="L555" i="13" s="1"/>
  <c r="I556" i="13" s="1"/>
  <c r="K574" i="14"/>
  <c r="L574" i="14" s="1"/>
  <c r="I575" i="14" s="1"/>
  <c r="N715" i="14"/>
  <c r="J714" i="14" a="1"/>
  <c r="J714" i="14" s="1"/>
  <c r="M718" i="13"/>
  <c r="M719" i="14"/>
  <c r="N716" i="13"/>
  <c r="J715" i="13" a="1"/>
  <c r="J715" i="13" s="1"/>
  <c r="K556" i="13" l="1"/>
  <c r="L556" i="13" s="1"/>
  <c r="I557" i="13" s="1"/>
  <c r="M719" i="13"/>
  <c r="K575" i="14"/>
  <c r="L575" i="14" s="1"/>
  <c r="I576" i="14" s="1"/>
  <c r="N717" i="13"/>
  <c r="J716" i="13" a="1"/>
  <c r="J716" i="13" s="1"/>
  <c r="M720" i="14"/>
  <c r="N716" i="14"/>
  <c r="J715" i="14" a="1"/>
  <c r="J715" i="14" s="1"/>
  <c r="K576" i="14" l="1"/>
  <c r="L576" i="14" s="1"/>
  <c r="I577" i="14" s="1"/>
  <c r="K557" i="13"/>
  <c r="L557" i="13" s="1"/>
  <c r="I558" i="13" s="1"/>
  <c r="M720" i="13"/>
  <c r="N718" i="13"/>
  <c r="J717" i="13" a="1"/>
  <c r="J717" i="13" s="1"/>
  <c r="M721" i="14"/>
  <c r="N717" i="14"/>
  <c r="J716" i="14" a="1"/>
  <c r="J716" i="14" s="1"/>
  <c r="K577" i="14" l="1"/>
  <c r="L577" i="14" s="1"/>
  <c r="I578" i="14" s="1"/>
  <c r="N719" i="13"/>
  <c r="J718" i="13" a="1"/>
  <c r="J718" i="13" s="1"/>
  <c r="N718" i="14"/>
  <c r="J717" i="14" a="1"/>
  <c r="J717" i="14" s="1"/>
  <c r="M722" i="14"/>
  <c r="M721" i="13"/>
  <c r="K558" i="13"/>
  <c r="L558" i="13" s="1"/>
  <c r="I559" i="13" s="1"/>
  <c r="K578" i="14" l="1"/>
  <c r="L578" i="14" s="1"/>
  <c r="I579" i="14" s="1"/>
  <c r="N720" i="13"/>
  <c r="J719" i="13" a="1"/>
  <c r="J719" i="13" s="1"/>
  <c r="K559" i="13"/>
  <c r="L559" i="13" s="1"/>
  <c r="I560" i="13" s="1"/>
  <c r="M722" i="13"/>
  <c r="N719" i="14"/>
  <c r="J718" i="14" a="1"/>
  <c r="J718" i="14" s="1"/>
  <c r="M723" i="14"/>
  <c r="K579" i="14" l="1"/>
  <c r="L579" i="14" s="1"/>
  <c r="I580" i="14" s="1"/>
  <c r="K560" i="13"/>
  <c r="M724" i="14"/>
  <c r="M723" i="13"/>
  <c r="N721" i="13"/>
  <c r="J720" i="13" a="1"/>
  <c r="J720" i="13" s="1"/>
  <c r="N720" i="14"/>
  <c r="J719" i="14" a="1"/>
  <c r="J719" i="14" s="1"/>
  <c r="K580" i="14" l="1"/>
  <c r="L580" i="14" s="1"/>
  <c r="I581" i="14" s="1"/>
  <c r="N721" i="14"/>
  <c r="J720" i="14" a="1"/>
  <c r="J720" i="14" s="1"/>
  <c r="L560" i="13"/>
  <c r="I561" i="13" s="1"/>
  <c r="M724" i="13"/>
  <c r="M725" i="14"/>
  <c r="N722" i="13"/>
  <c r="J721" i="13" a="1"/>
  <c r="J721" i="13" s="1"/>
  <c r="K581" i="14" l="1"/>
  <c r="L581" i="14" s="1"/>
  <c r="I582" i="14" s="1"/>
  <c r="M725" i="13"/>
  <c r="N722" i="14"/>
  <c r="J721" i="14" a="1"/>
  <c r="J721" i="14" s="1"/>
  <c r="N723" i="13"/>
  <c r="J722" i="13" a="1"/>
  <c r="J722" i="13" s="1"/>
  <c r="M726" i="14"/>
  <c r="K561" i="13"/>
  <c r="K582" i="14" l="1"/>
  <c r="L582" i="14" s="1"/>
  <c r="I583" i="14" s="1"/>
  <c r="M726" i="13"/>
  <c r="N724" i="13"/>
  <c r="J723" i="13" a="1"/>
  <c r="J723" i="13" s="1"/>
  <c r="L561" i="13"/>
  <c r="I562" i="13" s="1"/>
  <c r="M727" i="14"/>
  <c r="N723" i="14"/>
  <c r="J722" i="14" a="1"/>
  <c r="J722" i="14" s="1"/>
  <c r="K583" i="14" l="1"/>
  <c r="L583" i="14" s="1"/>
  <c r="I584" i="14" s="1"/>
  <c r="K562" i="13"/>
  <c r="L562" i="13" s="1"/>
  <c r="I563" i="13" s="1"/>
  <c r="M727" i="13"/>
  <c r="N724" i="14"/>
  <c r="J723" i="14" a="1"/>
  <c r="J723" i="14" s="1"/>
  <c r="M728" i="14"/>
  <c r="N725" i="13"/>
  <c r="J724" i="13" a="1"/>
  <c r="J724" i="13" s="1"/>
  <c r="K563" i="13" l="1"/>
  <c r="L563" i="13" s="1"/>
  <c r="I564" i="13" s="1"/>
  <c r="K584" i="14"/>
  <c r="N726" i="13"/>
  <c r="J725" i="13" a="1"/>
  <c r="J725" i="13" s="1"/>
  <c r="N725" i="14"/>
  <c r="J724" i="14" a="1"/>
  <c r="J724" i="14" s="1"/>
  <c r="M729" i="14"/>
  <c r="M728" i="13"/>
  <c r="K564" i="13" l="1"/>
  <c r="L564" i="13" s="1"/>
  <c r="I565" i="13" s="1"/>
  <c r="M729" i="13"/>
  <c r="N726" i="14"/>
  <c r="J725" i="14" a="1"/>
  <c r="J725" i="14" s="1"/>
  <c r="L584" i="14"/>
  <c r="I585" i="14" s="1"/>
  <c r="M730" i="14"/>
  <c r="N727" i="13"/>
  <c r="J726" i="13" a="1"/>
  <c r="J726" i="13" s="1"/>
  <c r="K565" i="13" l="1"/>
  <c r="L565" i="13" s="1"/>
  <c r="I566" i="13" s="1"/>
  <c r="K585" i="14"/>
  <c r="N728" i="13"/>
  <c r="J727" i="13" a="1"/>
  <c r="J727" i="13" s="1"/>
  <c r="M731" i="14"/>
  <c r="N727" i="14"/>
  <c r="J726" i="14" a="1"/>
  <c r="J726" i="14" s="1"/>
  <c r="M730" i="13"/>
  <c r="K566" i="13" l="1"/>
  <c r="L566" i="13" s="1"/>
  <c r="I567" i="13" s="1"/>
  <c r="M731" i="13"/>
  <c r="M732" i="14"/>
  <c r="L585" i="14"/>
  <c r="I586" i="14" s="1"/>
  <c r="N728" i="14"/>
  <c r="J727" i="14" a="1"/>
  <c r="J727" i="14" s="1"/>
  <c r="N729" i="13"/>
  <c r="J728" i="13" a="1"/>
  <c r="J728" i="13" s="1"/>
  <c r="K567" i="13" l="1"/>
  <c r="L567" i="13" s="1"/>
  <c r="I568" i="13" s="1"/>
  <c r="K586" i="14"/>
  <c r="L586" i="14" s="1"/>
  <c r="I587" i="14" s="1"/>
  <c r="N730" i="13"/>
  <c r="J729" i="13" a="1"/>
  <c r="J729" i="13" s="1"/>
  <c r="M733" i="14"/>
  <c r="N729" i="14"/>
  <c r="J728" i="14" a="1"/>
  <c r="J728" i="14" s="1"/>
  <c r="M732" i="13"/>
  <c r="K587" i="14" l="1"/>
  <c r="L587" i="14" s="1"/>
  <c r="I588" i="14" s="1"/>
  <c r="K568" i="13"/>
  <c r="L568" i="13" s="1"/>
  <c r="I569" i="13" s="1"/>
  <c r="N730" i="14"/>
  <c r="J729" i="14" a="1"/>
  <c r="J729" i="14" s="1"/>
  <c r="M733" i="13"/>
  <c r="M734" i="14"/>
  <c r="N731" i="13"/>
  <c r="J730" i="13" a="1"/>
  <c r="J730" i="13" s="1"/>
  <c r="K588" i="14" l="1"/>
  <c r="L588" i="14" s="1"/>
  <c r="I589" i="14" s="1"/>
  <c r="M734" i="13"/>
  <c r="N732" i="13"/>
  <c r="J731" i="13" a="1"/>
  <c r="J731" i="13" s="1"/>
  <c r="K569" i="13"/>
  <c r="L569" i="13" s="1"/>
  <c r="I570" i="13" s="1"/>
  <c r="M735" i="14"/>
  <c r="N731" i="14"/>
  <c r="J730" i="14" a="1"/>
  <c r="J730" i="14" s="1"/>
  <c r="K589" i="14" l="1"/>
  <c r="L589" i="14" s="1"/>
  <c r="I590" i="14" s="1"/>
  <c r="K570" i="13"/>
  <c r="L570" i="13" s="1"/>
  <c r="I571" i="13" s="1"/>
  <c r="N732" i="14"/>
  <c r="J731" i="14" a="1"/>
  <c r="J731" i="14" s="1"/>
  <c r="M736" i="14"/>
  <c r="N733" i="13"/>
  <c r="J732" i="13" a="1"/>
  <c r="J732" i="13" s="1"/>
  <c r="M735" i="13"/>
  <c r="K590" i="14" l="1"/>
  <c r="L590" i="14" s="1"/>
  <c r="I591" i="14" s="1"/>
  <c r="K571" i="13"/>
  <c r="L571" i="13" s="1"/>
  <c r="I572" i="13" s="1"/>
  <c r="M737" i="14"/>
  <c r="M736" i="13"/>
  <c r="N734" i="13"/>
  <c r="J733" i="13" a="1"/>
  <c r="J733" i="13" s="1"/>
  <c r="N733" i="14"/>
  <c r="J732" i="14" a="1"/>
  <c r="J732" i="14" s="1"/>
  <c r="K591" i="14" l="1"/>
  <c r="L591" i="14" s="1"/>
  <c r="I592" i="14" s="1"/>
  <c r="M737" i="13"/>
  <c r="M738" i="14"/>
  <c r="N734" i="14"/>
  <c r="J733" i="14" a="1"/>
  <c r="J733" i="14" s="1"/>
  <c r="K572" i="13"/>
  <c r="L572" i="13" s="1"/>
  <c r="I573" i="13" s="1"/>
  <c r="N735" i="13"/>
  <c r="J734" i="13" a="1"/>
  <c r="J734" i="13" s="1"/>
  <c r="M738" i="13" l="1"/>
  <c r="N735" i="14"/>
  <c r="J734" i="14" a="1"/>
  <c r="J734" i="14" s="1"/>
  <c r="M739" i="14"/>
  <c r="N736" i="13"/>
  <c r="J735" i="13" a="1"/>
  <c r="J735" i="13" s="1"/>
  <c r="K573" i="13"/>
  <c r="L573" i="13" s="1"/>
  <c r="I574" i="13" s="1"/>
  <c r="K592" i="14"/>
  <c r="L592" i="14" s="1"/>
  <c r="I593" i="14" s="1"/>
  <c r="K593" i="14" l="1"/>
  <c r="L593" i="14" s="1"/>
  <c r="I594" i="14" s="1"/>
  <c r="K574" i="13"/>
  <c r="N737" i="13"/>
  <c r="J736" i="13" a="1"/>
  <c r="J736" i="13" s="1"/>
  <c r="N736" i="14"/>
  <c r="J735" i="14" a="1"/>
  <c r="J735" i="14" s="1"/>
  <c r="M740" i="14"/>
  <c r="M739" i="13"/>
  <c r="N737" i="14" l="1"/>
  <c r="J736" i="14" a="1"/>
  <c r="J736" i="14" s="1"/>
  <c r="L574" i="13"/>
  <c r="I575" i="13" s="1"/>
  <c r="M740" i="13"/>
  <c r="M741" i="14"/>
  <c r="N738" i="13"/>
  <c r="J737" i="13" a="1"/>
  <c r="J737" i="13" s="1"/>
  <c r="K594" i="14"/>
  <c r="L594" i="14" s="1"/>
  <c r="I595" i="14" s="1"/>
  <c r="K595" i="14" l="1"/>
  <c r="L595" i="14" s="1"/>
  <c r="I596" i="14" s="1"/>
  <c r="M742" i="14"/>
  <c r="K575" i="13"/>
  <c r="L575" i="13" s="1"/>
  <c r="I576" i="13" s="1"/>
  <c r="N739" i="13"/>
  <c r="J738" i="13" a="1"/>
  <c r="J738" i="13" s="1"/>
  <c r="M741" i="13"/>
  <c r="N738" i="14"/>
  <c r="J737" i="14" a="1"/>
  <c r="J737" i="14" s="1"/>
  <c r="K576" i="13" l="1"/>
  <c r="L576" i="13" s="1"/>
  <c r="I577" i="13" s="1"/>
  <c r="K596" i="14"/>
  <c r="N740" i="13"/>
  <c r="J739" i="13" a="1"/>
  <c r="J739" i="13" s="1"/>
  <c r="M743" i="14"/>
  <c r="M742" i="13"/>
  <c r="N739" i="14"/>
  <c r="J738" i="14" a="1"/>
  <c r="J738" i="14" s="1"/>
  <c r="K577" i="13" l="1"/>
  <c r="L577" i="13" s="1"/>
  <c r="I578" i="13" s="1"/>
  <c r="N740" i="14"/>
  <c r="J739" i="14" a="1"/>
  <c r="J739" i="14" s="1"/>
  <c r="L596" i="14"/>
  <c r="I597" i="14" s="1"/>
  <c r="M744" i="14"/>
  <c r="M743" i="13"/>
  <c r="N741" i="13"/>
  <c r="J740" i="13" a="1"/>
  <c r="J740" i="13" s="1"/>
  <c r="K578" i="13" l="1"/>
  <c r="L578" i="13" s="1"/>
  <c r="I579" i="13" s="1"/>
  <c r="M745" i="14"/>
  <c r="N741" i="14"/>
  <c r="J740" i="14" a="1"/>
  <c r="J740" i="14" s="1"/>
  <c r="N742" i="13"/>
  <c r="J741" i="13" a="1"/>
  <c r="J741" i="13" s="1"/>
  <c r="M744" i="13"/>
  <c r="K597" i="14"/>
  <c r="L597" i="14" s="1"/>
  <c r="I598" i="14" s="1"/>
  <c r="K598" i="14" l="1"/>
  <c r="L598" i="14" s="1"/>
  <c r="I599" i="14" s="1"/>
  <c r="K579" i="13"/>
  <c r="L579" i="13" s="1"/>
  <c r="I580" i="13" s="1"/>
  <c r="N743" i="13"/>
  <c r="J742" i="13" a="1"/>
  <c r="J742" i="13" s="1"/>
  <c r="M745" i="13"/>
  <c r="N742" i="14"/>
  <c r="J741" i="14" a="1"/>
  <c r="J741" i="14" s="1"/>
  <c r="M746" i="14"/>
  <c r="K580" i="13" l="1"/>
  <c r="L580" i="13" s="1"/>
  <c r="I581" i="13" s="1"/>
  <c r="K599" i="14"/>
  <c r="L599" i="14" s="1"/>
  <c r="I600" i="14" s="1"/>
  <c r="M747" i="14"/>
  <c r="N743" i="14"/>
  <c r="J742" i="14" a="1"/>
  <c r="J742" i="14" s="1"/>
  <c r="N744" i="13"/>
  <c r="J743" i="13" a="1"/>
  <c r="J743" i="13" s="1"/>
  <c r="M746" i="13"/>
  <c r="K600" i="14" l="1"/>
  <c r="L600" i="14" s="1"/>
  <c r="I601" i="14" s="1"/>
  <c r="N744" i="14"/>
  <c r="J743" i="14" a="1"/>
  <c r="J743" i="14" s="1"/>
  <c r="M748" i="14"/>
  <c r="N745" i="13"/>
  <c r="J744" i="13" a="1"/>
  <c r="J744" i="13" s="1"/>
  <c r="K581" i="13"/>
  <c r="L581" i="13" s="1"/>
  <c r="I582" i="13" s="1"/>
  <c r="M747" i="13"/>
  <c r="N745" i="14" l="1"/>
  <c r="J744" i="14" a="1"/>
  <c r="J744" i="14" s="1"/>
  <c r="M748" i="13"/>
  <c r="N746" i="13"/>
  <c r="J745" i="13" a="1"/>
  <c r="J745" i="13" s="1"/>
  <c r="M749" i="14"/>
  <c r="K582" i="13"/>
  <c r="L582" i="13" s="1"/>
  <c r="I583" i="13" s="1"/>
  <c r="K601" i="14"/>
  <c r="L601" i="14" s="1"/>
  <c r="I602" i="14" s="1"/>
  <c r="K602" i="14" l="1"/>
  <c r="L602" i="14" s="1"/>
  <c r="I603" i="14" s="1"/>
  <c r="K583" i="13"/>
  <c r="L583" i="13" s="1"/>
  <c r="I584" i="13" s="1"/>
  <c r="N747" i="13"/>
  <c r="J746" i="13" a="1"/>
  <c r="J746" i="13" s="1"/>
  <c r="M750" i="14"/>
  <c r="M749" i="13"/>
  <c r="N746" i="14"/>
  <c r="J745" i="14" a="1"/>
  <c r="J745" i="14" s="1"/>
  <c r="K584" i="13" l="1"/>
  <c r="K603" i="14"/>
  <c r="L603" i="14" s="1"/>
  <c r="I604" i="14" s="1"/>
  <c r="M751" i="14"/>
  <c r="N747" i="14"/>
  <c r="J746" i="14" a="1"/>
  <c r="J746" i="14" s="1"/>
  <c r="M750" i="13"/>
  <c r="N748" i="13"/>
  <c r="J747" i="13" a="1"/>
  <c r="J747" i="13" s="1"/>
  <c r="K604" i="14" l="1"/>
  <c r="L604" i="14" s="1"/>
  <c r="I605" i="14" s="1"/>
  <c r="N749" i="13"/>
  <c r="J748" i="13" a="1"/>
  <c r="J748" i="13" s="1"/>
  <c r="N748" i="14"/>
  <c r="J747" i="14" a="1"/>
  <c r="J747" i="14" s="1"/>
  <c r="M751" i="13"/>
  <c r="M752" i="14"/>
  <c r="L584" i="13"/>
  <c r="I585" i="13" s="1"/>
  <c r="K605" i="14" l="1"/>
  <c r="L605" i="14" s="1"/>
  <c r="I606" i="14" s="1"/>
  <c r="M753" i="14"/>
  <c r="M752" i="13"/>
  <c r="K585" i="13"/>
  <c r="L585" i="13" s="1"/>
  <c r="I586" i="13" s="1"/>
  <c r="N750" i="13"/>
  <c r="J749" i="13" a="1"/>
  <c r="J749" i="13" s="1"/>
  <c r="N749" i="14"/>
  <c r="J748" i="14" a="1"/>
  <c r="J748" i="14" s="1"/>
  <c r="K606" i="14" l="1"/>
  <c r="L606" i="14" s="1"/>
  <c r="I607" i="14" s="1"/>
  <c r="M754" i="14"/>
  <c r="N750" i="14"/>
  <c r="J749" i="14" a="1"/>
  <c r="J749" i="14" s="1"/>
  <c r="K586" i="13"/>
  <c r="L586" i="13" s="1"/>
  <c r="I587" i="13" s="1"/>
  <c r="M753" i="13"/>
  <c r="N751" i="13"/>
  <c r="J750" i="13" a="1"/>
  <c r="J750" i="13" s="1"/>
  <c r="K587" i="13" l="1"/>
  <c r="L587" i="13" s="1"/>
  <c r="I588" i="13" s="1"/>
  <c r="K607" i="14"/>
  <c r="L607" i="14" s="1"/>
  <c r="I608" i="14" s="1"/>
  <c r="N752" i="13"/>
  <c r="J751" i="13" a="1"/>
  <c r="J751" i="13" s="1"/>
  <c r="N751" i="14"/>
  <c r="J750" i="14" a="1"/>
  <c r="J750" i="14" s="1"/>
  <c r="M754" i="13"/>
  <c r="M755" i="14"/>
  <c r="K608" i="14" l="1"/>
  <c r="K588" i="13"/>
  <c r="L588" i="13" s="1"/>
  <c r="I589" i="13" s="1"/>
  <c r="M755" i="13"/>
  <c r="M756" i="14"/>
  <c r="N752" i="14"/>
  <c r="J751" i="14" a="1"/>
  <c r="J751" i="14" s="1"/>
  <c r="N753" i="13"/>
  <c r="J752" i="13" a="1"/>
  <c r="J752" i="13" s="1"/>
  <c r="K589" i="13" l="1"/>
  <c r="L589" i="13" s="1"/>
  <c r="I590" i="13" s="1"/>
  <c r="M757" i="14"/>
  <c r="N754" i="13"/>
  <c r="J753" i="13" a="1"/>
  <c r="J753" i="13" s="1"/>
  <c r="M756" i="13"/>
  <c r="N753" i="14"/>
  <c r="J752" i="14" a="1"/>
  <c r="J752" i="14" s="1"/>
  <c r="L608" i="14"/>
  <c r="I609" i="14" s="1"/>
  <c r="N754" i="14" l="1"/>
  <c r="J753" i="14" a="1"/>
  <c r="J753" i="14" s="1"/>
  <c r="M757" i="13"/>
  <c r="N755" i="13"/>
  <c r="J754" i="13" a="1"/>
  <c r="J754" i="13" s="1"/>
  <c r="K609" i="14"/>
  <c r="M758" i="14"/>
  <c r="K590" i="13"/>
  <c r="L590" i="13" s="1"/>
  <c r="I591" i="13" s="1"/>
  <c r="K591" i="13" l="1"/>
  <c r="L591" i="13" s="1"/>
  <c r="I592" i="13" s="1"/>
  <c r="M758" i="13"/>
  <c r="L609" i="14"/>
  <c r="I610" i="14" s="1"/>
  <c r="N756" i="13"/>
  <c r="J755" i="13" a="1"/>
  <c r="J755" i="13" s="1"/>
  <c r="N755" i="14"/>
  <c r="J754" i="14" a="1"/>
  <c r="J754" i="14" s="1"/>
  <c r="M759" i="14"/>
  <c r="N756" i="14" l="1"/>
  <c r="J755" i="14" a="1"/>
  <c r="J755" i="14" s="1"/>
  <c r="K610" i="14"/>
  <c r="L610" i="14" s="1"/>
  <c r="I611" i="14" s="1"/>
  <c r="M760" i="14"/>
  <c r="M759" i="13"/>
  <c r="N757" i="13"/>
  <c r="J756" i="13" a="1"/>
  <c r="J756" i="13" s="1"/>
  <c r="K592" i="13"/>
  <c r="L592" i="13" s="1"/>
  <c r="I593" i="13" s="1"/>
  <c r="M761" i="14" l="1"/>
  <c r="M760" i="13"/>
  <c r="K611" i="14"/>
  <c r="L611" i="14" s="1"/>
  <c r="I612" i="14" s="1"/>
  <c r="K593" i="13"/>
  <c r="L593" i="13" s="1"/>
  <c r="I594" i="13" s="1"/>
  <c r="N758" i="13"/>
  <c r="J757" i="13" a="1"/>
  <c r="J757" i="13" s="1"/>
  <c r="N757" i="14"/>
  <c r="J756" i="14" a="1"/>
  <c r="J756" i="14" s="1"/>
  <c r="K612" i="14" l="1"/>
  <c r="L612" i="14" s="1"/>
  <c r="I613" i="14" s="1"/>
  <c r="M761" i="13"/>
  <c r="K594" i="13"/>
  <c r="L594" i="13" s="1"/>
  <c r="I595" i="13" s="1"/>
  <c r="N758" i="14"/>
  <c r="J757" i="14" a="1"/>
  <c r="J757" i="14" s="1"/>
  <c r="M762" i="14"/>
  <c r="N759" i="13"/>
  <c r="J758" i="13" a="1"/>
  <c r="J758" i="13" s="1"/>
  <c r="K595" i="13" l="1"/>
  <c r="L595" i="13" s="1"/>
  <c r="I596" i="13" s="1"/>
  <c r="K613" i="14"/>
  <c r="L613" i="14" s="1"/>
  <c r="I614" i="14" s="1"/>
  <c r="M762" i="13"/>
  <c r="N760" i="13"/>
  <c r="J759" i="13" a="1"/>
  <c r="J759" i="13" s="1"/>
  <c r="N759" i="14"/>
  <c r="J758" i="14" a="1"/>
  <c r="J758" i="14" s="1"/>
  <c r="M763" i="14"/>
  <c r="K596" i="13" l="1"/>
  <c r="M763" i="13"/>
  <c r="M764" i="14"/>
  <c r="N761" i="13"/>
  <c r="J760" i="13" a="1"/>
  <c r="J760" i="13" s="1"/>
  <c r="K614" i="14"/>
  <c r="L614" i="14" s="1"/>
  <c r="I615" i="14" s="1"/>
  <c r="N760" i="14"/>
  <c r="J759" i="14" a="1"/>
  <c r="J759" i="14" s="1"/>
  <c r="K615" i="14" l="1"/>
  <c r="L615" i="14" s="1"/>
  <c r="I616" i="14" s="1"/>
  <c r="M764" i="13"/>
  <c r="N762" i="13"/>
  <c r="J761" i="13" a="1"/>
  <c r="J761" i="13" s="1"/>
  <c r="N761" i="14"/>
  <c r="J760" i="14" a="1"/>
  <c r="J760" i="14" s="1"/>
  <c r="M765" i="14"/>
  <c r="L596" i="13"/>
  <c r="I597" i="13" s="1"/>
  <c r="K597" i="13" l="1"/>
  <c r="N762" i="14"/>
  <c r="J761" i="14" a="1"/>
  <c r="J761" i="14" s="1"/>
  <c r="M765" i="13"/>
  <c r="M766" i="14"/>
  <c r="N763" i="13"/>
  <c r="J762" i="13" a="1"/>
  <c r="J762" i="13" s="1"/>
  <c r="K616" i="14"/>
  <c r="L616" i="14" s="1"/>
  <c r="I617" i="14" s="1"/>
  <c r="K617" i="14" l="1"/>
  <c r="L617" i="14" s="1"/>
  <c r="I618" i="14" s="1"/>
  <c r="M767" i="14"/>
  <c r="N763" i="14"/>
  <c r="J762" i="14" a="1"/>
  <c r="J762" i="14" s="1"/>
  <c r="M766" i="13"/>
  <c r="N764" i="13"/>
  <c r="J763" i="13" a="1"/>
  <c r="J763" i="13" s="1"/>
  <c r="L597" i="13"/>
  <c r="I598" i="13" s="1"/>
  <c r="K618" i="14" l="1"/>
  <c r="L618" i="14" s="1"/>
  <c r="I619" i="14" s="1"/>
  <c r="M768" i="14"/>
  <c r="K598" i="13"/>
  <c r="L598" i="13" s="1"/>
  <c r="I599" i="13" s="1"/>
  <c r="N765" i="13"/>
  <c r="J764" i="13" a="1"/>
  <c r="J764" i="13" s="1"/>
  <c r="M767" i="13"/>
  <c r="N764" i="14"/>
  <c r="J763" i="14" a="1"/>
  <c r="J763" i="14" s="1"/>
  <c r="K619" i="14" l="1"/>
  <c r="L619" i="14" s="1"/>
  <c r="I620" i="14" s="1"/>
  <c r="K599" i="13"/>
  <c r="L599" i="13" s="1"/>
  <c r="I600" i="13" s="1"/>
  <c r="M769" i="14"/>
  <c r="N766" i="13"/>
  <c r="J765" i="13" a="1"/>
  <c r="J765" i="13" s="1"/>
  <c r="N765" i="14"/>
  <c r="J764" i="14" a="1"/>
  <c r="J764" i="14" s="1"/>
  <c r="M768" i="13"/>
  <c r="K620" i="14" l="1"/>
  <c r="K600" i="13"/>
  <c r="L600" i="13" s="1"/>
  <c r="I601" i="13" s="1"/>
  <c r="N767" i="13"/>
  <c r="J766" i="13" a="1"/>
  <c r="J766" i="13" s="1"/>
  <c r="M770" i="14"/>
  <c r="M769" i="13"/>
  <c r="N766" i="14"/>
  <c r="J765" i="14" a="1"/>
  <c r="J765" i="14" s="1"/>
  <c r="K601" i="13" l="1"/>
  <c r="L601" i="13" s="1"/>
  <c r="I602" i="13" s="1"/>
  <c r="M770" i="13"/>
  <c r="N767" i="14"/>
  <c r="J766" i="14" a="1"/>
  <c r="J766" i="14" s="1"/>
  <c r="M771" i="14"/>
  <c r="N768" i="13"/>
  <c r="J767" i="13" a="1"/>
  <c r="J767" i="13" s="1"/>
  <c r="L620" i="14"/>
  <c r="I621" i="14" s="1"/>
  <c r="K602" i="13" l="1"/>
  <c r="L602" i="13" s="1"/>
  <c r="I603" i="13" s="1"/>
  <c r="M771" i="13"/>
  <c r="N769" i="13"/>
  <c r="J768" i="13" a="1"/>
  <c r="J768" i="13" s="1"/>
  <c r="M772" i="14"/>
  <c r="K621" i="14"/>
  <c r="L621" i="14" s="1"/>
  <c r="I622" i="14" s="1"/>
  <c r="N768" i="14"/>
  <c r="J767" i="14" a="1"/>
  <c r="J767" i="14" s="1"/>
  <c r="K622" i="14" l="1"/>
  <c r="L622" i="14" s="1"/>
  <c r="I623" i="14" s="1"/>
  <c r="K603" i="13"/>
  <c r="L603" i="13" s="1"/>
  <c r="I604" i="13" s="1"/>
  <c r="M773" i="14"/>
  <c r="N769" i="14"/>
  <c r="J768" i="14" a="1"/>
  <c r="J768" i="14" s="1"/>
  <c r="M772" i="13"/>
  <c r="N770" i="13"/>
  <c r="J769" i="13" a="1"/>
  <c r="J769" i="13" s="1"/>
  <c r="K623" i="14" l="1"/>
  <c r="L623" i="14" s="1"/>
  <c r="I624" i="14" s="1"/>
  <c r="N771" i="13"/>
  <c r="J770" i="13" a="1"/>
  <c r="J770" i="13" s="1"/>
  <c r="N770" i="14"/>
  <c r="J769" i="14" a="1"/>
  <c r="J769" i="14" s="1"/>
  <c r="K604" i="13"/>
  <c r="L604" i="13" s="1"/>
  <c r="I605" i="13" s="1"/>
  <c r="M773" i="13"/>
  <c r="M774" i="14"/>
  <c r="K605" i="13" l="1"/>
  <c r="L605" i="13" s="1"/>
  <c r="I606" i="13" s="1"/>
  <c r="K624" i="14"/>
  <c r="L624" i="14" s="1"/>
  <c r="I625" i="14" s="1"/>
  <c r="M774" i="13"/>
  <c r="M775" i="14"/>
  <c r="N772" i="13"/>
  <c r="J771" i="13" a="1"/>
  <c r="J771" i="13" s="1"/>
  <c r="N771" i="14"/>
  <c r="J770" i="14" a="1"/>
  <c r="J770" i="14" s="1"/>
  <c r="K606" i="13" l="1"/>
  <c r="L606" i="13" s="1"/>
  <c r="I607" i="13" s="1"/>
  <c r="M776" i="14"/>
  <c r="M775" i="13"/>
  <c r="N772" i="14"/>
  <c r="J771" i="14" a="1"/>
  <c r="J771" i="14" s="1"/>
  <c r="K625" i="14"/>
  <c r="L625" i="14" s="1"/>
  <c r="I626" i="14" s="1"/>
  <c r="N773" i="13"/>
  <c r="J772" i="13" a="1"/>
  <c r="J772" i="13" s="1"/>
  <c r="K626" i="14" l="1"/>
  <c r="L626" i="14" s="1"/>
  <c r="I627" i="14" s="1"/>
  <c r="K607" i="13"/>
  <c r="L607" i="13" s="1"/>
  <c r="I608" i="13" s="1"/>
  <c r="M777" i="14"/>
  <c r="N773" i="14"/>
  <c r="J772" i="14" a="1"/>
  <c r="J772" i="14" s="1"/>
  <c r="N774" i="13"/>
  <c r="J773" i="13" a="1"/>
  <c r="J773" i="13" s="1"/>
  <c r="M776" i="13"/>
  <c r="K608" i="13" l="1"/>
  <c r="K627" i="14"/>
  <c r="L627" i="14" s="1"/>
  <c r="I628" i="14" s="1"/>
  <c r="N774" i="14"/>
  <c r="J773" i="14" a="1"/>
  <c r="J773" i="14" s="1"/>
  <c r="M778" i="14"/>
  <c r="M777" i="13"/>
  <c r="N775" i="13"/>
  <c r="J774" i="13" a="1"/>
  <c r="J774" i="13" s="1"/>
  <c r="K628" i="14" l="1"/>
  <c r="L628" i="14" s="1"/>
  <c r="I629" i="14" s="1"/>
  <c r="M778" i="13"/>
  <c r="M779" i="14"/>
  <c r="N776" i="13"/>
  <c r="J775" i="13" a="1"/>
  <c r="J775" i="13" s="1"/>
  <c r="N775" i="14"/>
  <c r="J774" i="14" a="1"/>
  <c r="J774" i="14" s="1"/>
  <c r="L608" i="13"/>
  <c r="I609" i="13" s="1"/>
  <c r="K629" i="14" l="1"/>
  <c r="L629" i="14" s="1"/>
  <c r="I630" i="14" s="1"/>
  <c r="K609" i="13"/>
  <c r="N777" i="13"/>
  <c r="J776" i="13" a="1"/>
  <c r="J776" i="13" s="1"/>
  <c r="M779" i="13"/>
  <c r="N776" i="14"/>
  <c r="J775" i="14" a="1"/>
  <c r="J775" i="14" s="1"/>
  <c r="M780" i="14"/>
  <c r="K630" i="14" l="1"/>
  <c r="L630" i="14" s="1"/>
  <c r="I631" i="14" s="1"/>
  <c r="M781" i="14"/>
  <c r="M780" i="13"/>
  <c r="L609" i="13"/>
  <c r="I610" i="13" s="1"/>
  <c r="N777" i="14"/>
  <c r="J776" i="14" a="1"/>
  <c r="J776" i="14" s="1"/>
  <c r="N778" i="13"/>
  <c r="J777" i="13" a="1"/>
  <c r="J777" i="13" s="1"/>
  <c r="K631" i="14" l="1"/>
  <c r="L631" i="14" s="1"/>
  <c r="I632" i="14" s="1"/>
  <c r="N779" i="13"/>
  <c r="J778" i="13" a="1"/>
  <c r="J778" i="13" s="1"/>
  <c r="K610" i="13"/>
  <c r="L610" i="13" s="1"/>
  <c r="I611" i="13" s="1"/>
  <c r="M781" i="13"/>
  <c r="N778" i="14"/>
  <c r="J777" i="14" a="1"/>
  <c r="J777" i="14" s="1"/>
  <c r="M782" i="14"/>
  <c r="K611" i="13" l="1"/>
  <c r="L611" i="13" s="1"/>
  <c r="I612" i="13" s="1"/>
  <c r="K632" i="14"/>
  <c r="M783" i="14"/>
  <c r="M782" i="13"/>
  <c r="N780" i="13"/>
  <c r="J779" i="13" a="1"/>
  <c r="J779" i="13" s="1"/>
  <c r="N779" i="14"/>
  <c r="J778" i="14" a="1"/>
  <c r="J778" i="14" s="1"/>
  <c r="K612" i="13" l="1"/>
  <c r="L612" i="13" s="1"/>
  <c r="I613" i="13" s="1"/>
  <c r="N780" i="14"/>
  <c r="J779" i="14" a="1"/>
  <c r="J779" i="14" s="1"/>
  <c r="M784" i="14"/>
  <c r="L632" i="14"/>
  <c r="I633" i="14" s="1"/>
  <c r="N781" i="13"/>
  <c r="J780" i="13" a="1"/>
  <c r="J780" i="13" s="1"/>
  <c r="M783" i="13"/>
  <c r="K613" i="13" l="1"/>
  <c r="L613" i="13" s="1"/>
  <c r="I614" i="13" s="1"/>
  <c r="M784" i="13"/>
  <c r="K633" i="14"/>
  <c r="L633" i="14" s="1"/>
  <c r="I634" i="14" s="1"/>
  <c r="N781" i="14"/>
  <c r="J780" i="14" a="1"/>
  <c r="J780" i="14" s="1"/>
  <c r="M785" i="14"/>
  <c r="N782" i="13"/>
  <c r="J781" i="13" a="1"/>
  <c r="J781" i="13" s="1"/>
  <c r="K614" i="13" l="1"/>
  <c r="L614" i="13" s="1"/>
  <c r="I615" i="13" s="1"/>
  <c r="M785" i="13"/>
  <c r="N782" i="14"/>
  <c r="J781" i="14" a="1"/>
  <c r="J781" i="14" s="1"/>
  <c r="N783" i="13"/>
  <c r="J782" i="13" a="1"/>
  <c r="J782" i="13" s="1"/>
  <c r="M786" i="14"/>
  <c r="K634" i="14"/>
  <c r="L634" i="14" s="1"/>
  <c r="I635" i="14" s="1"/>
  <c r="K635" i="14" l="1"/>
  <c r="L635" i="14" s="1"/>
  <c r="I636" i="14" s="1"/>
  <c r="K615" i="13"/>
  <c r="L615" i="13" s="1"/>
  <c r="I616" i="13" s="1"/>
  <c r="N784" i="13"/>
  <c r="J783" i="13" a="1"/>
  <c r="J783" i="13" s="1"/>
  <c r="M786" i="13"/>
  <c r="M787" i="14"/>
  <c r="N783" i="14"/>
  <c r="J782" i="14" a="1"/>
  <c r="J782" i="14" s="1"/>
  <c r="K616" i="13" l="1"/>
  <c r="L616" i="13" s="1"/>
  <c r="I617" i="13" s="1"/>
  <c r="K636" i="14"/>
  <c r="L636" i="14" s="1"/>
  <c r="I637" i="14" s="1"/>
  <c r="M787" i="13"/>
  <c r="N784" i="14"/>
  <c r="J783" i="14" a="1"/>
  <c r="J783" i="14" s="1"/>
  <c r="M788" i="14"/>
  <c r="N785" i="13"/>
  <c r="J784" i="13" a="1"/>
  <c r="J784" i="13" s="1"/>
  <c r="K637" i="14" l="1"/>
  <c r="L637" i="14" s="1"/>
  <c r="I638" i="14" s="1"/>
  <c r="K617" i="13"/>
  <c r="L617" i="13" s="1"/>
  <c r="I618" i="13" s="1"/>
  <c r="N785" i="14"/>
  <c r="J784" i="14" a="1"/>
  <c r="J784" i="14" s="1"/>
  <c r="N786" i="13"/>
  <c r="J785" i="13" a="1"/>
  <c r="J785" i="13" s="1"/>
  <c r="M789" i="14"/>
  <c r="M788" i="13"/>
  <c r="K618" i="13" l="1"/>
  <c r="L618" i="13" s="1"/>
  <c r="I619" i="13" s="1"/>
  <c r="K638" i="14"/>
  <c r="L638" i="14" s="1"/>
  <c r="I639" i="14" s="1"/>
  <c r="M789" i="13"/>
  <c r="N787" i="13"/>
  <c r="J786" i="13" a="1"/>
  <c r="J786" i="13" s="1"/>
  <c r="M790" i="14"/>
  <c r="N786" i="14"/>
  <c r="J785" i="14" a="1"/>
  <c r="J785" i="14" s="1"/>
  <c r="K639" i="14" l="1"/>
  <c r="L639" i="14" s="1"/>
  <c r="I640" i="14" s="1"/>
  <c r="K619" i="13"/>
  <c r="L619" i="13" s="1"/>
  <c r="I620" i="13" s="1"/>
  <c r="N788" i="13"/>
  <c r="J787" i="13" a="1"/>
  <c r="J787" i="13" s="1"/>
  <c r="N787" i="14"/>
  <c r="J786" i="14" a="1"/>
  <c r="J786" i="14" s="1"/>
  <c r="M791" i="14"/>
  <c r="M790" i="13"/>
  <c r="K620" i="13" l="1"/>
  <c r="K640" i="14"/>
  <c r="L640" i="14" s="1"/>
  <c r="I641" i="14" s="1"/>
  <c r="N788" i="14"/>
  <c r="J787" i="14" a="1"/>
  <c r="J787" i="14" s="1"/>
  <c r="M791" i="13"/>
  <c r="M792" i="14"/>
  <c r="N789" i="13"/>
  <c r="J788" i="13" a="1"/>
  <c r="J788" i="13" s="1"/>
  <c r="K641" i="14" l="1"/>
  <c r="L641" i="14" s="1"/>
  <c r="I642" i="14" s="1"/>
  <c r="M792" i="13"/>
  <c r="N790" i="13"/>
  <c r="J789" i="13" a="1"/>
  <c r="J789" i="13" s="1"/>
  <c r="M793" i="14"/>
  <c r="N789" i="14"/>
  <c r="J788" i="14" a="1"/>
  <c r="J788" i="14" s="1"/>
  <c r="L620" i="13"/>
  <c r="I621" i="13" s="1"/>
  <c r="K642" i="14" l="1"/>
  <c r="L642" i="14" s="1"/>
  <c r="I643" i="14" s="1"/>
  <c r="M794" i="14"/>
  <c r="N790" i="14"/>
  <c r="J789" i="14" a="1"/>
  <c r="J789" i="14" s="1"/>
  <c r="N791" i="13"/>
  <c r="J790" i="13" a="1"/>
  <c r="J790" i="13" s="1"/>
  <c r="K621" i="13"/>
  <c r="M793" i="13"/>
  <c r="K643" i="14" l="1"/>
  <c r="L643" i="14" s="1"/>
  <c r="I644" i="14" s="1"/>
  <c r="M795" i="14"/>
  <c r="N792" i="13"/>
  <c r="J791" i="13" a="1"/>
  <c r="J791" i="13" s="1"/>
  <c r="M794" i="13"/>
  <c r="L621" i="13"/>
  <c r="I622" i="13" s="1"/>
  <c r="N791" i="14"/>
  <c r="J790" i="14" a="1"/>
  <c r="J790" i="14" s="1"/>
  <c r="K644" i="14" l="1"/>
  <c r="N792" i="14"/>
  <c r="J791" i="14" a="1"/>
  <c r="J791" i="14" s="1"/>
  <c r="N793" i="13"/>
  <c r="J792" i="13" a="1"/>
  <c r="J792" i="13" s="1"/>
  <c r="K622" i="13"/>
  <c r="L622" i="13" s="1"/>
  <c r="I623" i="13" s="1"/>
  <c r="M795" i="13"/>
  <c r="M796" i="14"/>
  <c r="K623" i="13" l="1"/>
  <c r="L623" i="13" s="1"/>
  <c r="I624" i="13" s="1"/>
  <c r="M797" i="14"/>
  <c r="N793" i="14"/>
  <c r="J792" i="14" a="1"/>
  <c r="J792" i="14" s="1"/>
  <c r="M796" i="13"/>
  <c r="N794" i="13"/>
  <c r="J793" i="13" a="1"/>
  <c r="J793" i="13" s="1"/>
  <c r="L644" i="14"/>
  <c r="I645" i="14" s="1"/>
  <c r="K624" i="13" l="1"/>
  <c r="L624" i="13" s="1"/>
  <c r="I625" i="13" s="1"/>
  <c r="N795" i="13"/>
  <c r="J794" i="13" a="1"/>
  <c r="J794" i="13" s="1"/>
  <c r="K645" i="14"/>
  <c r="M798" i="14"/>
  <c r="M797" i="13"/>
  <c r="N794" i="14"/>
  <c r="J793" i="14" a="1"/>
  <c r="J793" i="14" s="1"/>
  <c r="K625" i="13" l="1"/>
  <c r="L625" i="13" s="1"/>
  <c r="I626" i="13" s="1"/>
  <c r="N796" i="13"/>
  <c r="J795" i="13" a="1"/>
  <c r="J795" i="13" s="1"/>
  <c r="M799" i="14"/>
  <c r="N795" i="14"/>
  <c r="J794" i="14" a="1"/>
  <c r="J794" i="14" s="1"/>
  <c r="M798" i="13"/>
  <c r="L645" i="14"/>
  <c r="I646" i="14" s="1"/>
  <c r="K626" i="13" l="1"/>
  <c r="L626" i="13" s="1"/>
  <c r="I627" i="13" s="1"/>
  <c r="K646" i="14"/>
  <c r="L646" i="14" s="1"/>
  <c r="I647" i="14" s="1"/>
  <c r="N797" i="13"/>
  <c r="J796" i="13" a="1"/>
  <c r="J796" i="13" s="1"/>
  <c r="N796" i="14"/>
  <c r="J795" i="14" a="1"/>
  <c r="J795" i="14" s="1"/>
  <c r="M799" i="13"/>
  <c r="M800" i="14"/>
  <c r="K627" i="13" l="1"/>
  <c r="L627" i="13" s="1"/>
  <c r="I628" i="13" s="1"/>
  <c r="K647" i="14"/>
  <c r="L647" i="14" s="1"/>
  <c r="I648" i="14" s="1"/>
  <c r="M801" i="14"/>
  <c r="N797" i="14"/>
  <c r="J796" i="14" a="1"/>
  <c r="J796" i="14" s="1"/>
  <c r="M800" i="13"/>
  <c r="N798" i="13"/>
  <c r="J797" i="13" a="1"/>
  <c r="J797" i="13" s="1"/>
  <c r="K648" i="14" l="1"/>
  <c r="L648" i="14" s="1"/>
  <c r="I649" i="14" s="1"/>
  <c r="K628" i="13"/>
  <c r="L628" i="13" s="1"/>
  <c r="I629" i="13" s="1"/>
  <c r="N799" i="13"/>
  <c r="J798" i="13" a="1"/>
  <c r="J798" i="13" s="1"/>
  <c r="N798" i="14"/>
  <c r="J797" i="14" a="1"/>
  <c r="J797" i="14" s="1"/>
  <c r="M801" i="13"/>
  <c r="M802" i="14"/>
  <c r="K629" i="13" l="1"/>
  <c r="L629" i="13" s="1"/>
  <c r="I630" i="13" s="1"/>
  <c r="K649" i="14"/>
  <c r="L649" i="14" s="1"/>
  <c r="I650" i="14" s="1"/>
  <c r="M803" i="14"/>
  <c r="N799" i="14"/>
  <c r="J798" i="14" a="1"/>
  <c r="J798" i="14" s="1"/>
  <c r="M802" i="13"/>
  <c r="N800" i="13"/>
  <c r="J799" i="13" a="1"/>
  <c r="J799" i="13" s="1"/>
  <c r="K630" i="13" l="1"/>
  <c r="L630" i="13" s="1"/>
  <c r="I631" i="13" s="1"/>
  <c r="K650" i="14"/>
  <c r="L650" i="14" s="1"/>
  <c r="I651" i="14" s="1"/>
  <c r="N800" i="14"/>
  <c r="J799" i="14" a="1"/>
  <c r="J799" i="14" s="1"/>
  <c r="N801" i="13"/>
  <c r="J800" i="13" a="1"/>
  <c r="J800" i="13" s="1"/>
  <c r="M803" i="13"/>
  <c r="M804" i="14"/>
  <c r="K651" i="14" l="1"/>
  <c r="L651" i="14" s="1"/>
  <c r="I652" i="14" s="1"/>
  <c r="K631" i="13"/>
  <c r="L631" i="13" s="1"/>
  <c r="I632" i="13" s="1"/>
  <c r="M805" i="14"/>
  <c r="N802" i="13"/>
  <c r="J801" i="13" a="1"/>
  <c r="J801" i="13" s="1"/>
  <c r="M804" i="13"/>
  <c r="N801" i="14"/>
  <c r="J800" i="14" a="1"/>
  <c r="J800" i="14" s="1"/>
  <c r="K632" i="13" l="1"/>
  <c r="K652" i="14"/>
  <c r="L652" i="14" s="1"/>
  <c r="I653" i="14" s="1"/>
  <c r="N803" i="13"/>
  <c r="J802" i="13" a="1"/>
  <c r="J802" i="13" s="1"/>
  <c r="M805" i="13"/>
  <c r="M806" i="14"/>
  <c r="N802" i="14"/>
  <c r="J801" i="14" a="1"/>
  <c r="J801" i="14" s="1"/>
  <c r="K653" i="14" l="1"/>
  <c r="L653" i="14" s="1"/>
  <c r="I654" i="14" s="1"/>
  <c r="M806" i="13"/>
  <c r="N803" i="14"/>
  <c r="J802" i="14" a="1"/>
  <c r="J802" i="14" s="1"/>
  <c r="M807" i="14"/>
  <c r="N804" i="13"/>
  <c r="J803" i="13" a="1"/>
  <c r="J803" i="13" s="1"/>
  <c r="L632" i="13"/>
  <c r="I633" i="13" s="1"/>
  <c r="K654" i="14" l="1"/>
  <c r="L654" i="14" s="1"/>
  <c r="I655" i="14" s="1"/>
  <c r="N805" i="13"/>
  <c r="J804" i="13" a="1"/>
  <c r="J804" i="13" s="1"/>
  <c r="N804" i="14"/>
  <c r="J803" i="14" a="1"/>
  <c r="J803" i="14" s="1"/>
  <c r="K633" i="13"/>
  <c r="L633" i="13" s="1"/>
  <c r="I634" i="13" s="1"/>
  <c r="M808" i="14"/>
  <c r="M807" i="13"/>
  <c r="K634" i="13" l="1"/>
  <c r="L634" i="13" s="1"/>
  <c r="I635" i="13" s="1"/>
  <c r="K655" i="14"/>
  <c r="L655" i="14" s="1"/>
  <c r="I656" i="14" s="1"/>
  <c r="N806" i="13"/>
  <c r="J805" i="13" a="1"/>
  <c r="J805" i="13" s="1"/>
  <c r="M809" i="14"/>
  <c r="M808" i="13"/>
  <c r="N805" i="14"/>
  <c r="J804" i="14" a="1"/>
  <c r="J804" i="14" s="1"/>
  <c r="K635" i="13" l="1"/>
  <c r="L635" i="13" s="1"/>
  <c r="I636" i="13" s="1"/>
  <c r="M810" i="14"/>
  <c r="N806" i="14"/>
  <c r="J805" i="14" a="1"/>
  <c r="J805" i="14" s="1"/>
  <c r="M809" i="13"/>
  <c r="K656" i="14"/>
  <c r="N807" i="13"/>
  <c r="J806" i="13" a="1"/>
  <c r="J806" i="13" s="1"/>
  <c r="K636" i="13" l="1"/>
  <c r="L636" i="13" s="1"/>
  <c r="I637" i="13" s="1"/>
  <c r="M810" i="13"/>
  <c r="M811" i="14"/>
  <c r="N808" i="13"/>
  <c r="J807" i="13" a="1"/>
  <c r="J807" i="13" s="1"/>
  <c r="L656" i="14"/>
  <c r="I657" i="14" s="1"/>
  <c r="N807" i="14"/>
  <c r="J806" i="14" a="1"/>
  <c r="J806" i="14" s="1"/>
  <c r="K637" i="13" l="1"/>
  <c r="L637" i="13" s="1"/>
  <c r="I638" i="13" s="1"/>
  <c r="N808" i="14"/>
  <c r="J807" i="14" a="1"/>
  <c r="J807" i="14" s="1"/>
  <c r="N809" i="13"/>
  <c r="J808" i="13" a="1"/>
  <c r="J808" i="13" s="1"/>
  <c r="M811" i="13"/>
  <c r="K657" i="14"/>
  <c r="M812" i="14"/>
  <c r="K638" i="13" l="1"/>
  <c r="L638" i="13" s="1"/>
  <c r="I639" i="13" s="1"/>
  <c r="N809" i="14"/>
  <c r="J808" i="14" a="1"/>
  <c r="J808" i="14" s="1"/>
  <c r="M813" i="14"/>
  <c r="M812" i="13"/>
  <c r="L657" i="14"/>
  <c r="I658" i="14" s="1"/>
  <c r="N810" i="13"/>
  <c r="J809" i="13" a="1"/>
  <c r="J809" i="13" s="1"/>
  <c r="K639" i="13" l="1"/>
  <c r="L639" i="13" s="1"/>
  <c r="I640" i="13" s="1"/>
  <c r="M813" i="13"/>
  <c r="N811" i="13"/>
  <c r="J810" i="13" a="1"/>
  <c r="J810" i="13" s="1"/>
  <c r="N810" i="14"/>
  <c r="J809" i="14" a="1"/>
  <c r="J809" i="14" s="1"/>
  <c r="K658" i="14"/>
  <c r="L658" i="14" s="1"/>
  <c r="I659" i="14" s="1"/>
  <c r="M814" i="14"/>
  <c r="M814" i="13" l="1"/>
  <c r="N811" i="14"/>
  <c r="J810" i="14" a="1"/>
  <c r="J810" i="14" s="1"/>
  <c r="M815" i="14"/>
  <c r="K659" i="14"/>
  <c r="L659" i="14" s="1"/>
  <c r="I660" i="14" s="1"/>
  <c r="N812" i="13"/>
  <c r="J811" i="13" a="1"/>
  <c r="J811" i="13" s="1"/>
  <c r="K640" i="13"/>
  <c r="L640" i="13" s="1"/>
  <c r="I641" i="13" s="1"/>
  <c r="K641" i="13" l="1"/>
  <c r="L641" i="13" s="1"/>
  <c r="I642" i="13" s="1"/>
  <c r="K660" i="14"/>
  <c r="L660" i="14" s="1"/>
  <c r="I661" i="14" s="1"/>
  <c r="M816" i="14"/>
  <c r="M815" i="13"/>
  <c r="N812" i="14"/>
  <c r="J811" i="14" a="1"/>
  <c r="J811" i="14" s="1"/>
  <c r="N813" i="13"/>
  <c r="J812" i="13" a="1"/>
  <c r="J812" i="13" s="1"/>
  <c r="K661" i="14" l="1"/>
  <c r="L661" i="14" s="1"/>
  <c r="I662" i="14" s="1"/>
  <c r="M816" i="13"/>
  <c r="N814" i="13"/>
  <c r="J813" i="13" a="1"/>
  <c r="J813" i="13" s="1"/>
  <c r="M817" i="14"/>
  <c r="N813" i="14"/>
  <c r="J812" i="14" a="1"/>
  <c r="J812" i="14" s="1"/>
  <c r="K642" i="13"/>
  <c r="L642" i="13" s="1"/>
  <c r="I643" i="13" s="1"/>
  <c r="K662" i="14" l="1"/>
  <c r="L662" i="14" s="1"/>
  <c r="I663" i="14" s="1"/>
  <c r="K643" i="13"/>
  <c r="L643" i="13" s="1"/>
  <c r="I644" i="13" s="1"/>
  <c r="N814" i="14"/>
  <c r="J813" i="14" a="1"/>
  <c r="J813" i="14" s="1"/>
  <c r="N815" i="13"/>
  <c r="J814" i="13" a="1"/>
  <c r="J814" i="13" s="1"/>
  <c r="M818" i="14"/>
  <c r="M817" i="13"/>
  <c r="K644" i="13" l="1"/>
  <c r="N816" i="13"/>
  <c r="J815" i="13" a="1"/>
  <c r="J815" i="13" s="1"/>
  <c r="M819" i="14"/>
  <c r="M818" i="13"/>
  <c r="N815" i="14"/>
  <c r="J814" i="14" a="1"/>
  <c r="J814" i="14" s="1"/>
  <c r="K663" i="14"/>
  <c r="L663" i="14" s="1"/>
  <c r="I664" i="14" s="1"/>
  <c r="K664" i="14" l="1"/>
  <c r="L664" i="14" s="1"/>
  <c r="I665" i="14" s="1"/>
  <c r="M820" i="14"/>
  <c r="N817" i="13"/>
  <c r="J816" i="13" a="1"/>
  <c r="J816" i="13" s="1"/>
  <c r="N816" i="14"/>
  <c r="J815" i="14" a="1"/>
  <c r="J815" i="14" s="1"/>
  <c r="M819" i="13"/>
  <c r="L644" i="13"/>
  <c r="I645" i="13" s="1"/>
  <c r="K645" i="13" l="1"/>
  <c r="N817" i="14"/>
  <c r="J816" i="14" a="1"/>
  <c r="J816" i="14" s="1"/>
  <c r="M821" i="14"/>
  <c r="M820" i="13"/>
  <c r="N818" i="13"/>
  <c r="J817" i="13" a="1"/>
  <c r="J817" i="13" s="1"/>
  <c r="K665" i="14"/>
  <c r="L665" i="14" s="1"/>
  <c r="I666" i="14" s="1"/>
  <c r="K666" i="14" l="1"/>
  <c r="L666" i="14" s="1"/>
  <c r="I667" i="14" s="1"/>
  <c r="M821" i="13"/>
  <c r="N818" i="14"/>
  <c r="J817" i="14" a="1"/>
  <c r="J817" i="14" s="1"/>
  <c r="M822" i="14"/>
  <c r="N819" i="13"/>
  <c r="J818" i="13" a="1"/>
  <c r="J818" i="13" s="1"/>
  <c r="L645" i="13"/>
  <c r="I646" i="13" s="1"/>
  <c r="K667" i="14" l="1"/>
  <c r="L667" i="14" s="1"/>
  <c r="I668" i="14" s="1"/>
  <c r="N820" i="13"/>
  <c r="J819" i="13" a="1"/>
  <c r="J819" i="13" s="1"/>
  <c r="N819" i="14"/>
  <c r="J818" i="14" a="1"/>
  <c r="J818" i="14" s="1"/>
  <c r="K646" i="13"/>
  <c r="L646" i="13" s="1"/>
  <c r="I647" i="13" s="1"/>
  <c r="M822" i="13"/>
  <c r="M823" i="14"/>
  <c r="K647" i="13" l="1"/>
  <c r="L647" i="13" s="1"/>
  <c r="I648" i="13" s="1"/>
  <c r="M824" i="14"/>
  <c r="N821" i="13"/>
  <c r="J820" i="13" a="1"/>
  <c r="J820" i="13" s="1"/>
  <c r="M823" i="13"/>
  <c r="N820" i="14"/>
  <c r="J819" i="14" a="1"/>
  <c r="J819" i="14" s="1"/>
  <c r="K668" i="14"/>
  <c r="K648" i="13" l="1"/>
  <c r="L648" i="13" s="1"/>
  <c r="I649" i="13" s="1"/>
  <c r="M824" i="13"/>
  <c r="M825" i="14"/>
  <c r="L668" i="14"/>
  <c r="I669" i="14" s="1"/>
  <c r="N821" i="14"/>
  <c r="J820" i="14" a="1"/>
  <c r="J820" i="14" s="1"/>
  <c r="N822" i="13"/>
  <c r="J821" i="13" a="1"/>
  <c r="J821" i="13" s="1"/>
  <c r="K649" i="13" l="1"/>
  <c r="L649" i="13" s="1"/>
  <c r="I650" i="13" s="1"/>
  <c r="K669" i="14"/>
  <c r="N823" i="13"/>
  <c r="J822" i="13" a="1"/>
  <c r="J822" i="13" s="1"/>
  <c r="M826" i="14"/>
  <c r="N822" i="14"/>
  <c r="J821" i="14" a="1"/>
  <c r="J821" i="14" s="1"/>
  <c r="M825" i="13"/>
  <c r="K650" i="13" l="1"/>
  <c r="L650" i="13" s="1"/>
  <c r="I651" i="13" s="1"/>
  <c r="L669" i="14"/>
  <c r="I670" i="14" s="1"/>
  <c r="M826" i="13"/>
  <c r="M827" i="14"/>
  <c r="N823" i="14"/>
  <c r="J822" i="14" a="1"/>
  <c r="J822" i="14" s="1"/>
  <c r="N824" i="13"/>
  <c r="J823" i="13" a="1"/>
  <c r="J823" i="13" s="1"/>
  <c r="K651" i="13" l="1"/>
  <c r="L651" i="13" s="1"/>
  <c r="I652" i="13" s="1"/>
  <c r="M828" i="14"/>
  <c r="K670" i="14"/>
  <c r="L670" i="14" s="1"/>
  <c r="I671" i="14" s="1"/>
  <c r="N825" i="13"/>
  <c r="J824" i="13" a="1"/>
  <c r="J824" i="13" s="1"/>
  <c r="M827" i="13"/>
  <c r="N824" i="14"/>
  <c r="J823" i="14" a="1"/>
  <c r="J823" i="14" s="1"/>
  <c r="K671" i="14" l="1"/>
  <c r="L671" i="14" s="1"/>
  <c r="I672" i="14" s="1"/>
  <c r="K652" i="13"/>
  <c r="L652" i="13" s="1"/>
  <c r="I653" i="13" s="1"/>
  <c r="N826" i="13"/>
  <c r="J825" i="13" a="1"/>
  <c r="J825" i="13" s="1"/>
  <c r="N825" i="14"/>
  <c r="J824" i="14" a="1"/>
  <c r="J824" i="14" s="1"/>
  <c r="M828" i="13"/>
  <c r="M829" i="14"/>
  <c r="K653" i="13" l="1"/>
  <c r="L653" i="13" s="1"/>
  <c r="I654" i="13" s="1"/>
  <c r="K672" i="14"/>
  <c r="L672" i="14" s="1"/>
  <c r="I673" i="14" s="1"/>
  <c r="N826" i="14"/>
  <c r="J825" i="14" a="1"/>
  <c r="J825" i="14" s="1"/>
  <c r="M829" i="13"/>
  <c r="M830" i="14"/>
  <c r="N827" i="13"/>
  <c r="J826" i="13" a="1"/>
  <c r="J826" i="13" s="1"/>
  <c r="K673" i="14" l="1"/>
  <c r="L673" i="14" s="1"/>
  <c r="I674" i="14" s="1"/>
  <c r="K654" i="13"/>
  <c r="L654" i="13" s="1"/>
  <c r="I655" i="13" s="1"/>
  <c r="N828" i="13"/>
  <c r="J827" i="13" a="1"/>
  <c r="J827" i="13" s="1"/>
  <c r="M831" i="14"/>
  <c r="N827" i="14"/>
  <c r="J826" i="14" a="1"/>
  <c r="J826" i="14" s="1"/>
  <c r="M830" i="13"/>
  <c r="K674" i="14" l="1"/>
  <c r="L674" i="14" s="1"/>
  <c r="I675" i="14" s="1"/>
  <c r="K655" i="13"/>
  <c r="L655" i="13" s="1"/>
  <c r="I656" i="13" s="1"/>
  <c r="M831" i="13"/>
  <c r="M832" i="14"/>
  <c r="N828" i="14"/>
  <c r="J827" i="14" a="1"/>
  <c r="J827" i="14" s="1"/>
  <c r="N829" i="13"/>
  <c r="J828" i="13" a="1"/>
  <c r="J828" i="13" s="1"/>
  <c r="K656" i="13" l="1"/>
  <c r="K675" i="14"/>
  <c r="L675" i="14" s="1"/>
  <c r="I676" i="14" s="1"/>
  <c r="M833" i="14"/>
  <c r="N830" i="13"/>
  <c r="J829" i="13" a="1"/>
  <c r="J829" i="13" s="1"/>
  <c r="M832" i="13"/>
  <c r="N829" i="14"/>
  <c r="J828" i="14" a="1"/>
  <c r="J828" i="14" s="1"/>
  <c r="K676" i="14" l="1"/>
  <c r="L676" i="14" s="1"/>
  <c r="I677" i="14" s="1"/>
  <c r="N831" i="13"/>
  <c r="J830" i="13" a="1"/>
  <c r="J830" i="13" s="1"/>
  <c r="N830" i="14"/>
  <c r="J829" i="14" a="1"/>
  <c r="J829" i="14" s="1"/>
  <c r="M833" i="13"/>
  <c r="M834" i="14"/>
  <c r="L656" i="13"/>
  <c r="I657" i="13" s="1"/>
  <c r="K677" i="14" l="1"/>
  <c r="L677" i="14" s="1"/>
  <c r="I678" i="14" s="1"/>
  <c r="N832" i="13"/>
  <c r="J831" i="13" a="1"/>
  <c r="J831" i="13" s="1"/>
  <c r="M835" i="14"/>
  <c r="N831" i="14"/>
  <c r="J830" i="14" a="1"/>
  <c r="J830" i="14" s="1"/>
  <c r="K657" i="13"/>
  <c r="M834" i="13"/>
  <c r="K678" i="14" l="1"/>
  <c r="L678" i="14" s="1"/>
  <c r="I679" i="14" s="1"/>
  <c r="M835" i="13"/>
  <c r="N832" i="14"/>
  <c r="J831" i="14" a="1"/>
  <c r="J831" i="14" s="1"/>
  <c r="N833" i="13"/>
  <c r="J832" i="13" a="1"/>
  <c r="J832" i="13" s="1"/>
  <c r="M836" i="14"/>
  <c r="L657" i="13"/>
  <c r="I658" i="13" s="1"/>
  <c r="K679" i="14" l="1"/>
  <c r="L679" i="14" s="1"/>
  <c r="I680" i="14" s="1"/>
  <c r="K658" i="13"/>
  <c r="L658" i="13" s="1"/>
  <c r="I659" i="13" s="1"/>
  <c r="M836" i="13"/>
  <c r="M837" i="14"/>
  <c r="N834" i="13"/>
  <c r="J833" i="13" a="1"/>
  <c r="J833" i="13" s="1"/>
  <c r="N833" i="14"/>
  <c r="J832" i="14" a="1"/>
  <c r="J832" i="14" s="1"/>
  <c r="K680" i="14" l="1"/>
  <c r="K659" i="13"/>
  <c r="L659" i="13" s="1"/>
  <c r="I660" i="13" s="1"/>
  <c r="M838" i="14"/>
  <c r="N834" i="14"/>
  <c r="J833" i="14" a="1"/>
  <c r="J833" i="14" s="1"/>
  <c r="M837" i="13"/>
  <c r="N835" i="13"/>
  <c r="J834" i="13" a="1"/>
  <c r="J834" i="13" s="1"/>
  <c r="K660" i="13" l="1"/>
  <c r="L660" i="13" s="1"/>
  <c r="I661" i="13" s="1"/>
  <c r="N835" i="14"/>
  <c r="J834" i="14" a="1"/>
  <c r="J834" i="14" s="1"/>
  <c r="N836" i="13"/>
  <c r="J835" i="13" a="1"/>
  <c r="J835" i="13" s="1"/>
  <c r="M838" i="13"/>
  <c r="M839" i="14"/>
  <c r="L680" i="14"/>
  <c r="I681" i="14" s="1"/>
  <c r="M840" i="14" l="1"/>
  <c r="N836" i="14"/>
  <c r="J835" i="14" a="1"/>
  <c r="J835" i="14" s="1"/>
  <c r="M839" i="13"/>
  <c r="K681" i="14"/>
  <c r="N837" i="13"/>
  <c r="J836" i="13" a="1"/>
  <c r="J836" i="13" s="1"/>
  <c r="K661" i="13"/>
  <c r="L661" i="13" s="1"/>
  <c r="I662" i="13" s="1"/>
  <c r="K662" i="13" l="1"/>
  <c r="L662" i="13" s="1"/>
  <c r="I663" i="13" s="1"/>
  <c r="M840" i="13"/>
  <c r="M841" i="14"/>
  <c r="L681" i="14"/>
  <c r="I682" i="14" s="1"/>
  <c r="N837" i="14"/>
  <c r="J836" i="14" a="1"/>
  <c r="J836" i="14" s="1"/>
  <c r="N838" i="13"/>
  <c r="J837" i="13" a="1"/>
  <c r="J837" i="13" s="1"/>
  <c r="M842" i="14" l="1"/>
  <c r="N838" i="14"/>
  <c r="J837" i="14" a="1"/>
  <c r="J837" i="14" s="1"/>
  <c r="N839" i="13"/>
  <c r="J838" i="13" a="1"/>
  <c r="J838" i="13" s="1"/>
  <c r="K682" i="14"/>
  <c r="L682" i="14" s="1"/>
  <c r="I683" i="14" s="1"/>
  <c r="M841" i="13"/>
  <c r="K663" i="13"/>
  <c r="L663" i="13" s="1"/>
  <c r="I664" i="13" s="1"/>
  <c r="K664" i="13" l="1"/>
  <c r="L664" i="13" s="1"/>
  <c r="I665" i="13" s="1"/>
  <c r="K683" i="14"/>
  <c r="L683" i="14" s="1"/>
  <c r="I684" i="14" s="1"/>
  <c r="M843" i="14"/>
  <c r="N839" i="14"/>
  <c r="J838" i="14" a="1"/>
  <c r="J838" i="14" s="1"/>
  <c r="M842" i="13"/>
  <c r="N840" i="13"/>
  <c r="J839" i="13" a="1"/>
  <c r="J839" i="13" s="1"/>
  <c r="K684" i="14" l="1"/>
  <c r="L684" i="14" s="1"/>
  <c r="I685" i="14" s="1"/>
  <c r="K665" i="13"/>
  <c r="L665" i="13" s="1"/>
  <c r="I666" i="13" s="1"/>
  <c r="N841" i="13"/>
  <c r="J840" i="13" a="1"/>
  <c r="J840" i="13" s="1"/>
  <c r="N840" i="14"/>
  <c r="J839" i="14" a="1"/>
  <c r="J839" i="14" s="1"/>
  <c r="M843" i="13"/>
  <c r="M844" i="14"/>
  <c r="K666" i="13" l="1"/>
  <c r="L666" i="13" s="1"/>
  <c r="I667" i="13" s="1"/>
  <c r="K685" i="14"/>
  <c r="L685" i="14" s="1"/>
  <c r="I686" i="14" s="1"/>
  <c r="N841" i="14"/>
  <c r="J840" i="14" a="1"/>
  <c r="J840" i="14" s="1"/>
  <c r="M845" i="14"/>
  <c r="M844" i="13"/>
  <c r="N842" i="13"/>
  <c r="J841" i="13" a="1"/>
  <c r="J841" i="13" s="1"/>
  <c r="K686" i="14" l="1"/>
  <c r="L686" i="14" s="1"/>
  <c r="I687" i="14" s="1"/>
  <c r="K667" i="13"/>
  <c r="L667" i="13" s="1"/>
  <c r="I668" i="13" s="1"/>
  <c r="N843" i="13"/>
  <c r="J842" i="13" a="1"/>
  <c r="J842" i="13" s="1"/>
  <c r="M846" i="14"/>
  <c r="M845" i="13"/>
  <c r="N842" i="14"/>
  <c r="J841" i="14" a="1"/>
  <c r="J841" i="14" s="1"/>
  <c r="K668" i="13" l="1"/>
  <c r="K687" i="14"/>
  <c r="L687" i="14" s="1"/>
  <c r="I688" i="14" s="1"/>
  <c r="N843" i="14"/>
  <c r="J842" i="14" a="1"/>
  <c r="J842" i="14" s="1"/>
  <c r="M847" i="14"/>
  <c r="M846" i="13"/>
  <c r="N844" i="13"/>
  <c r="J843" i="13" a="1"/>
  <c r="J843" i="13" s="1"/>
  <c r="K688" i="14" l="1"/>
  <c r="L688" i="14" s="1"/>
  <c r="I689" i="14" s="1"/>
  <c r="M848" i="14"/>
  <c r="N845" i="13"/>
  <c r="J844" i="13" a="1"/>
  <c r="J844" i="13" s="1"/>
  <c r="M847" i="13"/>
  <c r="N844" i="14"/>
  <c r="J843" i="14" a="1"/>
  <c r="J843" i="14" s="1"/>
  <c r="L668" i="13"/>
  <c r="I669" i="13" s="1"/>
  <c r="K689" i="14" l="1"/>
  <c r="L689" i="14" s="1"/>
  <c r="I690" i="14" s="1"/>
  <c r="K669" i="13"/>
  <c r="M849" i="14"/>
  <c r="N845" i="14"/>
  <c r="J844" i="14" a="1"/>
  <c r="J844" i="14" s="1"/>
  <c r="M848" i="13"/>
  <c r="N846" i="13"/>
  <c r="J845" i="13" a="1"/>
  <c r="J845" i="13" s="1"/>
  <c r="K690" i="14" l="1"/>
  <c r="L690" i="14" s="1"/>
  <c r="I691" i="14" s="1"/>
  <c r="N847" i="13"/>
  <c r="J846" i="13" a="1"/>
  <c r="J846" i="13" s="1"/>
  <c r="N846" i="14"/>
  <c r="J845" i="14" a="1"/>
  <c r="J845" i="14" s="1"/>
  <c r="L669" i="13"/>
  <c r="I670" i="13" s="1"/>
  <c r="M849" i="13"/>
  <c r="M850" i="14"/>
  <c r="K691" i="14" l="1"/>
  <c r="L691" i="14" s="1"/>
  <c r="I692" i="14" s="1"/>
  <c r="N848" i="13"/>
  <c r="J847" i="13" a="1"/>
  <c r="J847" i="13" s="1"/>
  <c r="M850" i="13"/>
  <c r="N847" i="14"/>
  <c r="J846" i="14" a="1"/>
  <c r="J846" i="14" s="1"/>
  <c r="M851" i="14"/>
  <c r="K670" i="13"/>
  <c r="L670" i="13" s="1"/>
  <c r="I671" i="13" s="1"/>
  <c r="K692" i="14" l="1"/>
  <c r="K671" i="13"/>
  <c r="L671" i="13" s="1"/>
  <c r="I672" i="13" s="1"/>
  <c r="N848" i="14"/>
  <c r="J847" i="14" a="1"/>
  <c r="J847" i="14" s="1"/>
  <c r="N849" i="13"/>
  <c r="J848" i="13" a="1"/>
  <c r="J848" i="13" s="1"/>
  <c r="M852" i="14"/>
  <c r="M851" i="13"/>
  <c r="K672" i="13" l="1"/>
  <c r="L672" i="13" s="1"/>
  <c r="I673" i="13" s="1"/>
  <c r="M852" i="13"/>
  <c r="N850" i="13"/>
  <c r="J849" i="13" a="1"/>
  <c r="J849" i="13" s="1"/>
  <c r="M853" i="14"/>
  <c r="N849" i="14"/>
  <c r="J848" i="14" a="1"/>
  <c r="J848" i="14" s="1"/>
  <c r="L692" i="14"/>
  <c r="I693" i="14" s="1"/>
  <c r="K673" i="13" l="1"/>
  <c r="L673" i="13" s="1"/>
  <c r="I674" i="13" s="1"/>
  <c r="N850" i="14"/>
  <c r="J849" i="14" a="1"/>
  <c r="J849" i="14" s="1"/>
  <c r="M853" i="13"/>
  <c r="N851" i="13"/>
  <c r="J850" i="13" a="1"/>
  <c r="J850" i="13" s="1"/>
  <c r="M854" i="14"/>
  <c r="K693" i="14"/>
  <c r="K674" i="13" l="1"/>
  <c r="L674" i="13" s="1"/>
  <c r="I675" i="13" s="1"/>
  <c r="N852" i="13"/>
  <c r="J851" i="13" a="1"/>
  <c r="J851" i="13" s="1"/>
  <c r="L693" i="14"/>
  <c r="I694" i="14" s="1"/>
  <c r="N851" i="14"/>
  <c r="J850" i="14" a="1"/>
  <c r="J850" i="14" s="1"/>
  <c r="M855" i="14"/>
  <c r="M854" i="13"/>
  <c r="K675" i="13" l="1"/>
  <c r="L675" i="13" s="1"/>
  <c r="I676" i="13" s="1"/>
  <c r="M855" i="13"/>
  <c r="N853" i="13"/>
  <c r="J852" i="13" a="1"/>
  <c r="J852" i="13" s="1"/>
  <c r="N852" i="14"/>
  <c r="J851" i="14" a="1"/>
  <c r="J851" i="14" s="1"/>
  <c r="M856" i="14"/>
  <c r="K694" i="14"/>
  <c r="L694" i="14" s="1"/>
  <c r="I695" i="14" s="1"/>
  <c r="K695" i="14" l="1"/>
  <c r="L695" i="14" s="1"/>
  <c r="I696" i="14" s="1"/>
  <c r="K676" i="13"/>
  <c r="L676" i="13" s="1"/>
  <c r="I677" i="13" s="1"/>
  <c r="M856" i="13"/>
  <c r="N853" i="14"/>
  <c r="J852" i="14" a="1"/>
  <c r="J852" i="14" s="1"/>
  <c r="M857" i="14"/>
  <c r="N854" i="13"/>
  <c r="J853" i="13" a="1"/>
  <c r="J853" i="13" s="1"/>
  <c r="K677" i="13" l="1"/>
  <c r="L677" i="13" s="1"/>
  <c r="I678" i="13" s="1"/>
  <c r="K696" i="14"/>
  <c r="L696" i="14" s="1"/>
  <c r="I697" i="14" s="1"/>
  <c r="N854" i="14"/>
  <c r="J853" i="14" a="1"/>
  <c r="J853" i="14" s="1"/>
  <c r="N855" i="13"/>
  <c r="J854" i="13" a="1"/>
  <c r="J854" i="13" s="1"/>
  <c r="M858" i="14"/>
  <c r="M857" i="13"/>
  <c r="K697" i="14" l="1"/>
  <c r="L697" i="14" s="1"/>
  <c r="I698" i="14" s="1"/>
  <c r="K678" i="13"/>
  <c r="L678" i="13" s="1"/>
  <c r="I679" i="13" s="1"/>
  <c r="N856" i="13"/>
  <c r="J855" i="13" a="1"/>
  <c r="J855" i="13" s="1"/>
  <c r="M858" i="13"/>
  <c r="M859" i="14"/>
  <c r="N855" i="14"/>
  <c r="J854" i="14" a="1"/>
  <c r="J854" i="14" s="1"/>
  <c r="K698" i="14" l="1"/>
  <c r="L698" i="14" s="1"/>
  <c r="I699" i="14" s="1"/>
  <c r="K679" i="13"/>
  <c r="L679" i="13" s="1"/>
  <c r="I680" i="13" s="1"/>
  <c r="M859" i="13"/>
  <c r="N856" i="14"/>
  <c r="J855" i="14" a="1"/>
  <c r="J855" i="14" s="1"/>
  <c r="M860" i="14"/>
  <c r="N857" i="13"/>
  <c r="J856" i="13" a="1"/>
  <c r="J856" i="13" s="1"/>
  <c r="K680" i="13" l="1"/>
  <c r="K699" i="14"/>
  <c r="L699" i="14" s="1"/>
  <c r="I700" i="14" s="1"/>
  <c r="N857" i="14"/>
  <c r="J856" i="14" a="1"/>
  <c r="J856" i="14" s="1"/>
  <c r="N858" i="13"/>
  <c r="J857" i="13" a="1"/>
  <c r="J857" i="13" s="1"/>
  <c r="M861" i="14"/>
  <c r="M860" i="13"/>
  <c r="K700" i="14" l="1"/>
  <c r="L700" i="14" s="1"/>
  <c r="I701" i="14" s="1"/>
  <c r="N859" i="13"/>
  <c r="J858" i="13" a="1"/>
  <c r="J858" i="13" s="1"/>
  <c r="M861" i="13"/>
  <c r="M862" i="14"/>
  <c r="N858" i="14"/>
  <c r="J857" i="14" a="1"/>
  <c r="J857" i="14" s="1"/>
  <c r="L680" i="13"/>
  <c r="I681" i="13" s="1"/>
  <c r="K701" i="14" l="1"/>
  <c r="L701" i="14" s="1"/>
  <c r="I702" i="14" s="1"/>
  <c r="M862" i="13"/>
  <c r="N860" i="13"/>
  <c r="J859" i="13" a="1"/>
  <c r="J859" i="13" s="1"/>
  <c r="M863" i="14"/>
  <c r="K681" i="13"/>
  <c r="N859" i="14"/>
  <c r="J858" i="14" a="1"/>
  <c r="J858" i="14" s="1"/>
  <c r="K702" i="14" l="1"/>
  <c r="L702" i="14" s="1"/>
  <c r="I703" i="14" s="1"/>
  <c r="M864" i="14"/>
  <c r="M863" i="13"/>
  <c r="N860" i="14"/>
  <c r="J859" i="14" a="1"/>
  <c r="J859" i="14" s="1"/>
  <c r="L681" i="13"/>
  <c r="I682" i="13" s="1"/>
  <c r="N861" i="13"/>
  <c r="J860" i="13" a="1"/>
  <c r="J860" i="13" s="1"/>
  <c r="K703" i="14" l="1"/>
  <c r="L703" i="14" s="1"/>
  <c r="I704" i="14" s="1"/>
  <c r="N861" i="14"/>
  <c r="J860" i="14" a="1"/>
  <c r="J860" i="14" s="1"/>
  <c r="N862" i="13"/>
  <c r="J861" i="13" a="1"/>
  <c r="J861" i="13" s="1"/>
  <c r="M864" i="13"/>
  <c r="K682" i="13"/>
  <c r="L682" i="13" s="1"/>
  <c r="I683" i="13" s="1"/>
  <c r="M865" i="14"/>
  <c r="K683" i="13" l="1"/>
  <c r="L683" i="13" s="1"/>
  <c r="I684" i="13" s="1"/>
  <c r="K704" i="14"/>
  <c r="N862" i="14"/>
  <c r="J861" i="14" a="1"/>
  <c r="J861" i="14" s="1"/>
  <c r="M865" i="13"/>
  <c r="M866" i="14"/>
  <c r="N863" i="13"/>
  <c r="J862" i="13" a="1"/>
  <c r="J862" i="13" s="1"/>
  <c r="K684" i="13" l="1"/>
  <c r="L684" i="13" s="1"/>
  <c r="I685" i="13" s="1"/>
  <c r="N864" i="13"/>
  <c r="J863" i="13" a="1"/>
  <c r="J863" i="13" s="1"/>
  <c r="L704" i="14"/>
  <c r="I705" i="14" s="1"/>
  <c r="M866" i="13"/>
  <c r="M867" i="14"/>
  <c r="N863" i="14"/>
  <c r="J862" i="14" a="1"/>
  <c r="J862" i="14" s="1"/>
  <c r="N864" i="14" l="1"/>
  <c r="J863" i="14" a="1"/>
  <c r="J863" i="14" s="1"/>
  <c r="N865" i="13"/>
  <c r="J864" i="13" a="1"/>
  <c r="J864" i="13" s="1"/>
  <c r="M868" i="14"/>
  <c r="K705" i="14"/>
  <c r="M867" i="13"/>
  <c r="K685" i="13"/>
  <c r="L685" i="13" s="1"/>
  <c r="I686" i="13" s="1"/>
  <c r="K686" i="13" l="1"/>
  <c r="L686" i="13" s="1"/>
  <c r="I687" i="13" s="1"/>
  <c r="L705" i="14"/>
  <c r="I706" i="14" s="1"/>
  <c r="N866" i="13"/>
  <c r="J865" i="13" a="1"/>
  <c r="J865" i="13" s="1"/>
  <c r="M868" i="13"/>
  <c r="M869" i="14"/>
  <c r="N865" i="14"/>
  <c r="J864" i="14" a="1"/>
  <c r="J864" i="14" s="1"/>
  <c r="K687" i="13" l="1"/>
  <c r="L687" i="13" s="1"/>
  <c r="I688" i="13" s="1"/>
  <c r="M869" i="13"/>
  <c r="K706" i="14"/>
  <c r="L706" i="14" s="1"/>
  <c r="I707" i="14" s="1"/>
  <c r="N866" i="14"/>
  <c r="J865" i="14" a="1"/>
  <c r="J865" i="14" s="1"/>
  <c r="M870" i="14"/>
  <c r="N867" i="13"/>
  <c r="J866" i="13" a="1"/>
  <c r="J866" i="13" s="1"/>
  <c r="K707" i="14" l="1"/>
  <c r="L707" i="14" s="1"/>
  <c r="I708" i="14" s="1"/>
  <c r="K688" i="13"/>
  <c r="L688" i="13" s="1"/>
  <c r="I689" i="13" s="1"/>
  <c r="M870" i="13"/>
  <c r="N868" i="13"/>
  <c r="J867" i="13" a="1"/>
  <c r="J867" i="13" s="1"/>
  <c r="M871" i="14"/>
  <c r="N867" i="14"/>
  <c r="J866" i="14" a="1"/>
  <c r="J866" i="14" s="1"/>
  <c r="K689" i="13" l="1"/>
  <c r="L689" i="13" s="1"/>
  <c r="I690" i="13" s="1"/>
  <c r="K708" i="14"/>
  <c r="L708" i="14" s="1"/>
  <c r="I709" i="14" s="1"/>
  <c r="N869" i="13"/>
  <c r="J868" i="13" a="1"/>
  <c r="J868" i="13" s="1"/>
  <c r="M871" i="13"/>
  <c r="N868" i="14"/>
  <c r="J867" i="14" a="1"/>
  <c r="J867" i="14" s="1"/>
  <c r="M872" i="14"/>
  <c r="K709" i="14" l="1"/>
  <c r="L709" i="14" s="1"/>
  <c r="I710" i="14" s="1"/>
  <c r="K690" i="13"/>
  <c r="L690" i="13" s="1"/>
  <c r="I691" i="13" s="1"/>
  <c r="M872" i="13"/>
  <c r="N869" i="14"/>
  <c r="J868" i="14" a="1"/>
  <c r="J868" i="14" s="1"/>
  <c r="M873" i="14"/>
  <c r="N870" i="13"/>
  <c r="J869" i="13" a="1"/>
  <c r="J869" i="13" s="1"/>
  <c r="K691" i="13" l="1"/>
  <c r="L691" i="13" s="1"/>
  <c r="I692" i="13" s="1"/>
  <c r="K710" i="14"/>
  <c r="L710" i="14" s="1"/>
  <c r="I711" i="14" s="1"/>
  <c r="N871" i="13"/>
  <c r="J870" i="13" a="1"/>
  <c r="J870" i="13" s="1"/>
  <c r="M874" i="14"/>
  <c r="M873" i="13"/>
  <c r="N870" i="14"/>
  <c r="J869" i="14" a="1"/>
  <c r="J869" i="14" s="1"/>
  <c r="K711" i="14" l="1"/>
  <c r="L711" i="14" s="1"/>
  <c r="I712" i="14" s="1"/>
  <c r="K692" i="13"/>
  <c r="L692" i="13" s="1"/>
  <c r="I693" i="13" s="1"/>
  <c r="M875" i="14"/>
  <c r="M874" i="13"/>
  <c r="N871" i="14"/>
  <c r="J870" i="14" a="1"/>
  <c r="J870" i="14" s="1"/>
  <c r="N872" i="13"/>
  <c r="J871" i="13" a="1"/>
  <c r="J871" i="13" s="1"/>
  <c r="K693" i="13" l="1"/>
  <c r="L693" i="13" s="1"/>
  <c r="I694" i="13" s="1"/>
  <c r="K712" i="14"/>
  <c r="L712" i="14" s="1"/>
  <c r="I713" i="14" s="1"/>
  <c r="M875" i="13"/>
  <c r="N873" i="13"/>
  <c r="J872" i="13" a="1"/>
  <c r="J872" i="13" s="1"/>
  <c r="M876" i="14"/>
  <c r="N872" i="14"/>
  <c r="J871" i="14" a="1"/>
  <c r="J871" i="14" s="1"/>
  <c r="K694" i="13" l="1"/>
  <c r="N873" i="14"/>
  <c r="J872" i="14" a="1"/>
  <c r="J872" i="14" s="1"/>
  <c r="K713" i="14"/>
  <c r="L713" i="14" s="1"/>
  <c r="I714" i="14" s="1"/>
  <c r="M877" i="14"/>
  <c r="M876" i="13"/>
  <c r="N874" i="13"/>
  <c r="J873" i="13" a="1"/>
  <c r="J873" i="13" s="1"/>
  <c r="K714" i="14" l="1"/>
  <c r="L714" i="14" s="1"/>
  <c r="I715" i="14" s="1"/>
  <c r="M878" i="14"/>
  <c r="N875" i="13"/>
  <c r="J874" i="13" a="1"/>
  <c r="J874" i="13" s="1"/>
  <c r="N874" i="14"/>
  <c r="J873" i="14" a="1"/>
  <c r="J873" i="14" s="1"/>
  <c r="M877" i="13"/>
  <c r="L694" i="13"/>
  <c r="I695" i="13" s="1"/>
  <c r="K715" i="14" l="1"/>
  <c r="L715" i="14" s="1"/>
  <c r="I716" i="14" s="1"/>
  <c r="M879" i="14"/>
  <c r="K695" i="13"/>
  <c r="L695" i="13" s="1"/>
  <c r="I696" i="13" s="1"/>
  <c r="M878" i="13"/>
  <c r="N875" i="14"/>
  <c r="J874" i="14" a="1"/>
  <c r="J874" i="14" s="1"/>
  <c r="N876" i="13"/>
  <c r="J875" i="13" a="1"/>
  <c r="J875" i="13" s="1"/>
  <c r="K696" i="13" l="1"/>
  <c r="L696" i="13" s="1"/>
  <c r="I697" i="13" s="1"/>
  <c r="K716" i="14"/>
  <c r="L716" i="14" s="1"/>
  <c r="I717" i="14" s="1"/>
  <c r="M879" i="13"/>
  <c r="N877" i="13"/>
  <c r="J876" i="13" a="1"/>
  <c r="J876" i="13" s="1"/>
  <c r="M880" i="14"/>
  <c r="N876" i="14"/>
  <c r="J875" i="14" a="1"/>
  <c r="J875" i="14" s="1"/>
  <c r="K697" i="13" l="1"/>
  <c r="L697" i="13" s="1"/>
  <c r="I698" i="13" s="1"/>
  <c r="N877" i="14"/>
  <c r="J876" i="14" a="1"/>
  <c r="J876" i="14" s="1"/>
  <c r="M881" i="14"/>
  <c r="N878" i="13"/>
  <c r="J877" i="13" a="1"/>
  <c r="J877" i="13" s="1"/>
  <c r="K717" i="14"/>
  <c r="M880" i="13"/>
  <c r="K698" i="13" l="1"/>
  <c r="L698" i="13" s="1"/>
  <c r="I699" i="13" s="1"/>
  <c r="N878" i="14"/>
  <c r="J877" i="14" a="1"/>
  <c r="J877" i="14" s="1"/>
  <c r="M882" i="14"/>
  <c r="L717" i="14"/>
  <c r="I718" i="14" s="1"/>
  <c r="N879" i="13"/>
  <c r="J878" i="13" a="1"/>
  <c r="J878" i="13" s="1"/>
  <c r="M881" i="13"/>
  <c r="K699" i="13" l="1"/>
  <c r="L699" i="13" s="1"/>
  <c r="I700" i="13" s="1"/>
  <c r="M883" i="14"/>
  <c r="N879" i="14"/>
  <c r="J878" i="14" a="1"/>
  <c r="J878" i="14" s="1"/>
  <c r="M882" i="13"/>
  <c r="K718" i="14"/>
  <c r="N880" i="13"/>
  <c r="J879" i="13" a="1"/>
  <c r="J879" i="13" s="1"/>
  <c r="K700" i="13" l="1"/>
  <c r="L700" i="13" s="1"/>
  <c r="I701" i="13" s="1"/>
  <c r="M883" i="13"/>
  <c r="M884" i="14"/>
  <c r="N881" i="13"/>
  <c r="J880" i="13" a="1"/>
  <c r="J880" i="13" s="1"/>
  <c r="L718" i="14"/>
  <c r="I719" i="14" s="1"/>
  <c r="N880" i="14"/>
  <c r="J879" i="14" a="1"/>
  <c r="J879" i="14" s="1"/>
  <c r="K701" i="13" l="1"/>
  <c r="L701" i="13" s="1"/>
  <c r="I702" i="13" s="1"/>
  <c r="M884" i="13"/>
  <c r="N882" i="13"/>
  <c r="J881" i="13" a="1"/>
  <c r="J881" i="13" s="1"/>
  <c r="N881" i="14"/>
  <c r="J880" i="14" a="1"/>
  <c r="J880" i="14" s="1"/>
  <c r="K719" i="14"/>
  <c r="M885" i="14"/>
  <c r="K702" i="13" l="1"/>
  <c r="L702" i="13" s="1"/>
  <c r="I703" i="13" s="1"/>
  <c r="M885" i="13"/>
  <c r="N882" i="14"/>
  <c r="J881" i="14" a="1"/>
  <c r="J881" i="14" s="1"/>
  <c r="M886" i="14"/>
  <c r="L719" i="14"/>
  <c r="I720" i="14" s="1"/>
  <c r="N883" i="13"/>
  <c r="J882" i="13" a="1"/>
  <c r="J882" i="13" s="1"/>
  <c r="K703" i="13" l="1"/>
  <c r="L703" i="13" s="1"/>
  <c r="I704" i="13" s="1"/>
  <c r="M887" i="14"/>
  <c r="M886" i="13"/>
  <c r="N884" i="13"/>
  <c r="J883" i="13" a="1"/>
  <c r="J883" i="13" s="1"/>
  <c r="K720" i="14"/>
  <c r="N883" i="14"/>
  <c r="J882" i="14" a="1"/>
  <c r="J882" i="14" s="1"/>
  <c r="K704" i="13" l="1"/>
  <c r="M888" i="14"/>
  <c r="N884" i="14"/>
  <c r="J883" i="14" a="1"/>
  <c r="J883" i="14" s="1"/>
  <c r="N885" i="13"/>
  <c r="J884" i="13" a="1"/>
  <c r="J884" i="13" s="1"/>
  <c r="M887" i="13"/>
  <c r="L720" i="14"/>
  <c r="I721" i="14" s="1"/>
  <c r="M889" i="14" l="1"/>
  <c r="K721" i="14"/>
  <c r="L721" i="14" s="1"/>
  <c r="I722" i="14" s="1"/>
  <c r="M888" i="13"/>
  <c r="N886" i="13"/>
  <c r="J885" i="13" a="1"/>
  <c r="J885" i="13" s="1"/>
  <c r="N885" i="14"/>
  <c r="J884" i="14" a="1"/>
  <c r="J884" i="14" s="1"/>
  <c r="L704" i="13"/>
  <c r="I705" i="13" s="1"/>
  <c r="K722" i="14" l="1"/>
  <c r="L722" i="14" s="1"/>
  <c r="I723" i="14" s="1"/>
  <c r="N887" i="13"/>
  <c r="J886" i="13" a="1"/>
  <c r="J886" i="13" s="1"/>
  <c r="N886" i="14"/>
  <c r="J885" i="14" a="1"/>
  <c r="J885" i="14" s="1"/>
  <c r="M889" i="13"/>
  <c r="M890" i="14"/>
  <c r="K705" i="13"/>
  <c r="K723" i="14" l="1"/>
  <c r="L723" i="14" s="1"/>
  <c r="I724" i="14" s="1"/>
  <c r="M890" i="13"/>
  <c r="L705" i="13"/>
  <c r="I706" i="13" s="1"/>
  <c r="N888" i="13"/>
  <c r="J887" i="13" a="1"/>
  <c r="J887" i="13" s="1"/>
  <c r="N887" i="14"/>
  <c r="J886" i="14" a="1"/>
  <c r="J886" i="14" s="1"/>
  <c r="M891" i="14"/>
  <c r="M892" i="14" l="1"/>
  <c r="N889" i="13"/>
  <c r="J888" i="13" a="1"/>
  <c r="J888" i="13" s="1"/>
  <c r="K706" i="13"/>
  <c r="L706" i="13" s="1"/>
  <c r="I707" i="13" s="1"/>
  <c r="N888" i="14"/>
  <c r="J887" i="14" a="1"/>
  <c r="J887" i="14" s="1"/>
  <c r="M891" i="13"/>
  <c r="K724" i="14"/>
  <c r="L724" i="14" s="1"/>
  <c r="I725" i="14" s="1"/>
  <c r="K725" i="14" l="1"/>
  <c r="L725" i="14" s="1"/>
  <c r="I726" i="14" s="1"/>
  <c r="K707" i="13"/>
  <c r="L707" i="13" s="1"/>
  <c r="I708" i="13" s="1"/>
  <c r="N890" i="13"/>
  <c r="J889" i="13" a="1"/>
  <c r="J889" i="13" s="1"/>
  <c r="N889" i="14"/>
  <c r="J888" i="14" a="1"/>
  <c r="J888" i="14" s="1"/>
  <c r="M892" i="13"/>
  <c r="M893" i="14"/>
  <c r="K708" i="13" l="1"/>
  <c r="L708" i="13" s="1"/>
  <c r="I709" i="13" s="1"/>
  <c r="K726" i="14"/>
  <c r="L726" i="14" s="1"/>
  <c r="I727" i="14" s="1"/>
  <c r="N890" i="14"/>
  <c r="J889" i="14" a="1"/>
  <c r="J889" i="14" s="1"/>
  <c r="M894" i="14"/>
  <c r="M893" i="13"/>
  <c r="N891" i="13"/>
  <c r="J890" i="13" a="1"/>
  <c r="J890" i="13" s="1"/>
  <c r="K727" i="14" l="1"/>
  <c r="L727" i="14" s="1"/>
  <c r="I728" i="14" s="1"/>
  <c r="K709" i="13"/>
  <c r="L709" i="13" s="1"/>
  <c r="I710" i="13" s="1"/>
  <c r="M895" i="14"/>
  <c r="N892" i="13"/>
  <c r="J891" i="13" a="1"/>
  <c r="J891" i="13" s="1"/>
  <c r="M894" i="13"/>
  <c r="N891" i="14"/>
  <c r="J890" i="14" a="1"/>
  <c r="J890" i="14" s="1"/>
  <c r="K710" i="13" l="1"/>
  <c r="L710" i="13" s="1"/>
  <c r="I711" i="13" s="1"/>
  <c r="K728" i="14"/>
  <c r="L728" i="14" s="1"/>
  <c r="I729" i="14" s="1"/>
  <c r="N893" i="13"/>
  <c r="J892" i="13" a="1"/>
  <c r="J892" i="13" s="1"/>
  <c r="M896" i="14"/>
  <c r="N892" i="14"/>
  <c r="J891" i="14" a="1"/>
  <c r="J891" i="14" s="1"/>
  <c r="M895" i="13"/>
  <c r="K729" i="14" l="1"/>
  <c r="L729" i="14" s="1"/>
  <c r="I730" i="14" s="1"/>
  <c r="K711" i="13"/>
  <c r="L711" i="13" s="1"/>
  <c r="I712" i="13" s="1"/>
  <c r="M896" i="13"/>
  <c r="M897" i="14"/>
  <c r="N893" i="14"/>
  <c r="J892" i="14" a="1"/>
  <c r="J892" i="14" s="1"/>
  <c r="N894" i="13"/>
  <c r="J893" i="13" a="1"/>
  <c r="J893" i="13" s="1"/>
  <c r="K712" i="13" l="1"/>
  <c r="L712" i="13" s="1"/>
  <c r="I713" i="13" s="1"/>
  <c r="K730" i="14"/>
  <c r="L730" i="14" s="1"/>
  <c r="I731" i="14" s="1"/>
  <c r="M898" i="14"/>
  <c r="N895" i="13"/>
  <c r="J894" i="13" a="1"/>
  <c r="J894" i="13" s="1"/>
  <c r="M897" i="13"/>
  <c r="N894" i="14"/>
  <c r="J893" i="14" a="1"/>
  <c r="J893" i="14" s="1"/>
  <c r="K731" i="14" l="1"/>
  <c r="L731" i="14" s="1"/>
  <c r="I732" i="14" s="1"/>
  <c r="K713" i="13"/>
  <c r="L713" i="13" s="1"/>
  <c r="I714" i="13" s="1"/>
  <c r="N896" i="13"/>
  <c r="J895" i="13" a="1"/>
  <c r="J895" i="13" s="1"/>
  <c r="N895" i="14"/>
  <c r="J894" i="14" a="1"/>
  <c r="J894" i="14" s="1"/>
  <c r="M898" i="13"/>
  <c r="M899" i="14"/>
  <c r="K714" i="13" l="1"/>
  <c r="L714" i="13" s="1"/>
  <c r="I715" i="13" s="1"/>
  <c r="K732" i="14"/>
  <c r="L732" i="14" s="1"/>
  <c r="I733" i="14" s="1"/>
  <c r="M900" i="14"/>
  <c r="N896" i="14"/>
  <c r="J895" i="14" a="1"/>
  <c r="J895" i="14" s="1"/>
  <c r="M899" i="13"/>
  <c r="N897" i="13"/>
  <c r="J896" i="13" a="1"/>
  <c r="J896" i="13" s="1"/>
  <c r="K733" i="14" l="1"/>
  <c r="L733" i="14" s="1"/>
  <c r="I734" i="14" s="1"/>
  <c r="K715" i="13"/>
  <c r="L715" i="13" s="1"/>
  <c r="I716" i="13" s="1"/>
  <c r="N897" i="14"/>
  <c r="J896" i="14" a="1"/>
  <c r="J896" i="14" s="1"/>
  <c r="M900" i="13"/>
  <c r="N898" i="13"/>
  <c r="J897" i="13" a="1"/>
  <c r="J897" i="13" s="1"/>
  <c r="M901" i="14"/>
  <c r="K716" i="13" l="1"/>
  <c r="K734" i="14"/>
  <c r="L734" i="14" s="1"/>
  <c r="I735" i="14" s="1"/>
  <c r="M902" i="14"/>
  <c r="M901" i="13"/>
  <c r="N899" i="13"/>
  <c r="J898" i="13" a="1"/>
  <c r="J898" i="13" s="1"/>
  <c r="N898" i="14"/>
  <c r="J897" i="14" a="1"/>
  <c r="J897" i="14" s="1"/>
  <c r="K735" i="14" l="1"/>
  <c r="L735" i="14" s="1"/>
  <c r="I736" i="14" s="1"/>
  <c r="M902" i="13"/>
  <c r="N899" i="14"/>
  <c r="J898" i="14" a="1"/>
  <c r="J898" i="14" s="1"/>
  <c r="M903" i="14"/>
  <c r="N900" i="13"/>
  <c r="J899" i="13" a="1"/>
  <c r="J899" i="13" s="1"/>
  <c r="L716" i="13"/>
  <c r="I717" i="13" s="1"/>
  <c r="K736" i="14" l="1"/>
  <c r="L736" i="14" s="1"/>
  <c r="I737" i="14" s="1"/>
  <c r="M903" i="13"/>
  <c r="N901" i="13"/>
  <c r="J900" i="13" a="1"/>
  <c r="J900" i="13" s="1"/>
  <c r="K717" i="13"/>
  <c r="M904" i="14"/>
  <c r="N900" i="14"/>
  <c r="J899" i="14" a="1"/>
  <c r="J899" i="14" s="1"/>
  <c r="K737" i="14" l="1"/>
  <c r="L737" i="14" s="1"/>
  <c r="I738" i="14" s="1"/>
  <c r="M904" i="13"/>
  <c r="M905" i="14"/>
  <c r="N901" i="14"/>
  <c r="J900" i="14" a="1"/>
  <c r="J900" i="14" s="1"/>
  <c r="L717" i="13"/>
  <c r="I718" i="13" s="1"/>
  <c r="N902" i="13"/>
  <c r="J901" i="13" a="1"/>
  <c r="J901" i="13" s="1"/>
  <c r="K738" i="14" l="1"/>
  <c r="L738" i="14" s="1"/>
  <c r="I739" i="14" s="1"/>
  <c r="N903" i="13"/>
  <c r="J902" i="13" a="1"/>
  <c r="J902" i="13" s="1"/>
  <c r="M906" i="14"/>
  <c r="K718" i="13"/>
  <c r="M905" i="13"/>
  <c r="N902" i="14"/>
  <c r="J901" i="14" a="1"/>
  <c r="J901" i="14" s="1"/>
  <c r="K739" i="14" l="1"/>
  <c r="L739" i="14" s="1"/>
  <c r="I740" i="14" s="1"/>
  <c r="N904" i="13"/>
  <c r="J903" i="13" a="1"/>
  <c r="J903" i="13" s="1"/>
  <c r="N903" i="14"/>
  <c r="J902" i="14" a="1"/>
  <c r="J902" i="14" s="1"/>
  <c r="L718" i="13"/>
  <c r="I719" i="13" s="1"/>
  <c r="M906" i="13"/>
  <c r="M907" i="14"/>
  <c r="K740" i="14" l="1"/>
  <c r="L740" i="14" s="1"/>
  <c r="I741" i="14" s="1"/>
  <c r="N904" i="14"/>
  <c r="J903" i="14" a="1"/>
  <c r="J903" i="14" s="1"/>
  <c r="M907" i="13"/>
  <c r="M908" i="14"/>
  <c r="K719" i="13"/>
  <c r="N905" i="13"/>
  <c r="J904" i="13" a="1"/>
  <c r="J904" i="13" s="1"/>
  <c r="K741" i="14" l="1"/>
  <c r="L741" i="14" s="1"/>
  <c r="I742" i="14" s="1"/>
  <c r="M909" i="14"/>
  <c r="N905" i="14"/>
  <c r="J904" i="14" a="1"/>
  <c r="J904" i="14" s="1"/>
  <c r="N906" i="13"/>
  <c r="J905" i="13" a="1"/>
  <c r="J905" i="13" s="1"/>
  <c r="M908" i="13"/>
  <c r="L719" i="13"/>
  <c r="I720" i="13" s="1"/>
  <c r="K742" i="14" l="1"/>
  <c r="L742" i="14" s="1"/>
  <c r="I743" i="14" s="1"/>
  <c r="M910" i="14"/>
  <c r="K720" i="13"/>
  <c r="L720" i="13" s="1"/>
  <c r="I721" i="13" s="1"/>
  <c r="M909" i="13"/>
  <c r="N907" i="13"/>
  <c r="J906" i="13" a="1"/>
  <c r="J906" i="13" s="1"/>
  <c r="N906" i="14"/>
  <c r="J905" i="14" a="1"/>
  <c r="J905" i="14" s="1"/>
  <c r="K721" i="13" l="1"/>
  <c r="L721" i="13" s="1"/>
  <c r="I722" i="13" s="1"/>
  <c r="K743" i="14"/>
  <c r="L743" i="14" s="1"/>
  <c r="I744" i="14" s="1"/>
  <c r="M910" i="13"/>
  <c r="M911" i="14"/>
  <c r="N907" i="14"/>
  <c r="J906" i="14" a="1"/>
  <c r="J906" i="14" s="1"/>
  <c r="N908" i="13"/>
  <c r="J907" i="13" a="1"/>
  <c r="J907" i="13" s="1"/>
  <c r="K744" i="14" l="1"/>
  <c r="L744" i="14" s="1"/>
  <c r="I745" i="14" s="1"/>
  <c r="K722" i="13"/>
  <c r="L722" i="13" s="1"/>
  <c r="I723" i="13" s="1"/>
  <c r="M912" i="14"/>
  <c r="N909" i="13"/>
  <c r="J908" i="13" a="1"/>
  <c r="J908" i="13" s="1"/>
  <c r="M911" i="13"/>
  <c r="N908" i="14"/>
  <c r="J907" i="14" a="1"/>
  <c r="J907" i="14" s="1"/>
  <c r="K723" i="13" l="1"/>
  <c r="L723" i="13" s="1"/>
  <c r="I724" i="13" s="1"/>
  <c r="K745" i="14"/>
  <c r="L745" i="14" s="1"/>
  <c r="I746" i="14" s="1"/>
  <c r="N909" i="14"/>
  <c r="J908" i="14" a="1"/>
  <c r="J908" i="14" s="1"/>
  <c r="N910" i="13"/>
  <c r="J909" i="13" a="1"/>
  <c r="J909" i="13" s="1"/>
  <c r="M912" i="13"/>
  <c r="M913" i="14"/>
  <c r="K746" i="14" l="1"/>
  <c r="L746" i="14" s="1"/>
  <c r="I747" i="14" s="1"/>
  <c r="K724" i="13"/>
  <c r="L724" i="13" s="1"/>
  <c r="I725" i="13" s="1"/>
  <c r="N911" i="13"/>
  <c r="J910" i="13" a="1"/>
  <c r="J910" i="13" s="1"/>
  <c r="M913" i="13"/>
  <c r="N910" i="14"/>
  <c r="J909" i="14" a="1"/>
  <c r="J909" i="14" s="1"/>
  <c r="M914" i="14"/>
  <c r="K747" i="14" l="1"/>
  <c r="L747" i="14" s="1"/>
  <c r="I748" i="14" s="1"/>
  <c r="N911" i="14"/>
  <c r="J910" i="14" a="1"/>
  <c r="J910" i="14" s="1"/>
  <c r="N912" i="13"/>
  <c r="J911" i="13" a="1"/>
  <c r="J911" i="13" s="1"/>
  <c r="K725" i="13"/>
  <c r="L725" i="13" s="1"/>
  <c r="I726" i="13" s="1"/>
  <c r="M915" i="14"/>
  <c r="M914" i="13"/>
  <c r="K726" i="13" l="1"/>
  <c r="L726" i="13" s="1"/>
  <c r="I727" i="13" s="1"/>
  <c r="K748" i="14"/>
  <c r="L748" i="14" s="1"/>
  <c r="I749" i="14" s="1"/>
  <c r="M915" i="13"/>
  <c r="N912" i="14"/>
  <c r="J911" i="14" a="1"/>
  <c r="J911" i="14" s="1"/>
  <c r="M916" i="14"/>
  <c r="N913" i="13"/>
  <c r="J912" i="13" a="1"/>
  <c r="J912" i="13" s="1"/>
  <c r="K749" i="14" l="1"/>
  <c r="L749" i="14" s="1"/>
  <c r="I750" i="14" s="1"/>
  <c r="K727" i="13"/>
  <c r="L727" i="13" s="1"/>
  <c r="I728" i="13" s="1"/>
  <c r="N913" i="14"/>
  <c r="J912" i="14" a="1"/>
  <c r="J912" i="14" s="1"/>
  <c r="N914" i="13"/>
  <c r="J913" i="13" a="1"/>
  <c r="J913" i="13" s="1"/>
  <c r="M917" i="14"/>
  <c r="M916" i="13"/>
  <c r="K728" i="13" l="1"/>
  <c r="L728" i="13" s="1"/>
  <c r="I729" i="13" s="1"/>
  <c r="M917" i="13"/>
  <c r="N915" i="13"/>
  <c r="J914" i="13" a="1"/>
  <c r="J914" i="13" s="1"/>
  <c r="M918" i="14"/>
  <c r="N914" i="14"/>
  <c r="J913" i="14" a="1"/>
  <c r="J913" i="14" s="1"/>
  <c r="K750" i="14"/>
  <c r="L750" i="14" s="1"/>
  <c r="I751" i="14" s="1"/>
  <c r="K751" i="14" l="1"/>
  <c r="L751" i="14" s="1"/>
  <c r="I752" i="14" s="1"/>
  <c r="K729" i="13"/>
  <c r="L729" i="13" s="1"/>
  <c r="I730" i="13" s="1"/>
  <c r="M918" i="13"/>
  <c r="M919" i="14"/>
  <c r="N915" i="14"/>
  <c r="J914" i="14" a="1"/>
  <c r="J914" i="14" s="1"/>
  <c r="N916" i="13"/>
  <c r="J915" i="13" a="1"/>
  <c r="J915" i="13" s="1"/>
  <c r="K730" i="13" l="1"/>
  <c r="L730" i="13" s="1"/>
  <c r="I731" i="13" s="1"/>
  <c r="K752" i="14"/>
  <c r="L752" i="14" s="1"/>
  <c r="I753" i="14" s="1"/>
  <c r="M919" i="13"/>
  <c r="M920" i="14"/>
  <c r="N917" i="13"/>
  <c r="J916" i="13" a="1"/>
  <c r="J916" i="13" s="1"/>
  <c r="N916" i="14"/>
  <c r="J915" i="14" a="1"/>
  <c r="J915" i="14" s="1"/>
  <c r="K731" i="13" l="1"/>
  <c r="L731" i="13" s="1"/>
  <c r="I732" i="13" s="1"/>
  <c r="K753" i="14"/>
  <c r="L753" i="14" s="1"/>
  <c r="I754" i="14" s="1"/>
  <c r="M920" i="13"/>
  <c r="M921" i="14"/>
  <c r="N917" i="14"/>
  <c r="J916" i="14" a="1"/>
  <c r="J916" i="14" s="1"/>
  <c r="N918" i="13"/>
  <c r="J917" i="13" a="1"/>
  <c r="J917" i="13" s="1"/>
  <c r="K732" i="13" l="1"/>
  <c r="L732" i="13" s="1"/>
  <c r="I733" i="13" s="1"/>
  <c r="K754" i="14"/>
  <c r="L754" i="14" s="1"/>
  <c r="I755" i="14" s="1"/>
  <c r="M922" i="14"/>
  <c r="M921" i="13"/>
  <c r="N919" i="13"/>
  <c r="J918" i="13" a="1"/>
  <c r="J918" i="13" s="1"/>
  <c r="N918" i="14"/>
  <c r="J917" i="14" a="1"/>
  <c r="J917" i="14" s="1"/>
  <c r="K733" i="13" l="1"/>
  <c r="L733" i="13" s="1"/>
  <c r="I734" i="13" s="1"/>
  <c r="K755" i="14"/>
  <c r="L755" i="14" s="1"/>
  <c r="I756" i="14" s="1"/>
  <c r="N919" i="14"/>
  <c r="J918" i="14" a="1"/>
  <c r="J918" i="14" s="1"/>
  <c r="M922" i="13"/>
  <c r="M923" i="14"/>
  <c r="N920" i="13"/>
  <c r="J919" i="13" a="1"/>
  <c r="J919" i="13" s="1"/>
  <c r="K734" i="13" l="1"/>
  <c r="L734" i="13" s="1"/>
  <c r="I735" i="13" s="1"/>
  <c r="K756" i="14"/>
  <c r="L756" i="14" s="1"/>
  <c r="I757" i="14" s="1"/>
  <c r="N921" i="13"/>
  <c r="J920" i="13" a="1"/>
  <c r="J920" i="13" s="1"/>
  <c r="M923" i="13"/>
  <c r="M924" i="14"/>
  <c r="N920" i="14"/>
  <c r="J919" i="14" a="1"/>
  <c r="J919" i="14" s="1"/>
  <c r="K757" i="14" l="1"/>
  <c r="L757" i="14" s="1"/>
  <c r="I758" i="14" s="1"/>
  <c r="M924" i="13"/>
  <c r="N921" i="14"/>
  <c r="J920" i="14" a="1"/>
  <c r="J920" i="14" s="1"/>
  <c r="M925" i="14"/>
  <c r="N922" i="13"/>
  <c r="J921" i="13" a="1"/>
  <c r="J921" i="13" s="1"/>
  <c r="K735" i="13"/>
  <c r="L735" i="13" s="1"/>
  <c r="I736" i="13" s="1"/>
  <c r="K758" i="14" l="1"/>
  <c r="L758" i="14" s="1"/>
  <c r="I759" i="14" s="1"/>
  <c r="K736" i="13"/>
  <c r="L736" i="13" s="1"/>
  <c r="I737" i="13" s="1"/>
  <c r="M925" i="13"/>
  <c r="N923" i="13"/>
  <c r="J922" i="13" a="1"/>
  <c r="J922" i="13" s="1"/>
  <c r="M926" i="14"/>
  <c r="N922" i="14"/>
  <c r="J921" i="14" a="1"/>
  <c r="J921" i="14" s="1"/>
  <c r="K737" i="13" l="1"/>
  <c r="L737" i="13" s="1"/>
  <c r="I738" i="13" s="1"/>
  <c r="K759" i="14"/>
  <c r="L759" i="14" s="1"/>
  <c r="I760" i="14" s="1"/>
  <c r="N923" i="14"/>
  <c r="J922" i="14" a="1"/>
  <c r="J922" i="14" s="1"/>
  <c r="N924" i="13"/>
  <c r="J923" i="13" a="1"/>
  <c r="J923" i="13" s="1"/>
  <c r="M926" i="13"/>
  <c r="M927" i="14"/>
  <c r="K760" i="14" l="1"/>
  <c r="L760" i="14" s="1"/>
  <c r="I761" i="14" s="1"/>
  <c r="K738" i="13"/>
  <c r="L738" i="13" s="1"/>
  <c r="I739" i="13" s="1"/>
  <c r="M928" i="14"/>
  <c r="M927" i="13"/>
  <c r="N925" i="13"/>
  <c r="J924" i="13" a="1"/>
  <c r="J924" i="13" s="1"/>
  <c r="N924" i="14"/>
  <c r="J923" i="14" a="1"/>
  <c r="J923" i="14" s="1"/>
  <c r="K761" i="14" l="1"/>
  <c r="L761" i="14" s="1"/>
  <c r="I762" i="14" s="1"/>
  <c r="K739" i="13"/>
  <c r="L739" i="13" s="1"/>
  <c r="I740" i="13" s="1"/>
  <c r="M928" i="13"/>
  <c r="N925" i="14"/>
  <c r="J924" i="14" a="1"/>
  <c r="J924" i="14" s="1"/>
  <c r="M929" i="14"/>
  <c r="N926" i="13"/>
  <c r="J925" i="13" a="1"/>
  <c r="J925" i="13" s="1"/>
  <c r="K740" i="13" l="1"/>
  <c r="L740" i="13" s="1"/>
  <c r="I741" i="13" s="1"/>
  <c r="K762" i="14"/>
  <c r="L762" i="14" s="1"/>
  <c r="I763" i="14" s="1"/>
  <c r="N926" i="14"/>
  <c r="J925" i="14" a="1"/>
  <c r="J925" i="14" s="1"/>
  <c r="M930" i="14"/>
  <c r="N927" i="13"/>
  <c r="J926" i="13" a="1"/>
  <c r="J926" i="13" s="1"/>
  <c r="M929" i="13"/>
  <c r="K763" i="14" l="1"/>
  <c r="L763" i="14" s="1"/>
  <c r="I764" i="14" s="1"/>
  <c r="K741" i="13"/>
  <c r="L741" i="13" s="1"/>
  <c r="I742" i="13" s="1"/>
  <c r="M930" i="13"/>
  <c r="M931" i="14"/>
  <c r="N928" i="13"/>
  <c r="J927" i="13" a="1"/>
  <c r="J927" i="13" s="1"/>
  <c r="N927" i="14"/>
  <c r="J926" i="14" a="1"/>
  <c r="J926" i="14" s="1"/>
  <c r="K742" i="13" l="1"/>
  <c r="L742" i="13" s="1"/>
  <c r="I743" i="13" s="1"/>
  <c r="K764" i="14"/>
  <c r="L764" i="14" s="1"/>
  <c r="I765" i="14" s="1"/>
  <c r="M932" i="14"/>
  <c r="M931" i="13"/>
  <c r="N928" i="14"/>
  <c r="J927" i="14" a="1"/>
  <c r="J927" i="14" s="1"/>
  <c r="N929" i="13"/>
  <c r="J928" i="13" a="1"/>
  <c r="J928" i="13" s="1"/>
  <c r="K765" i="14" l="1"/>
  <c r="L765" i="14" s="1"/>
  <c r="I766" i="14" s="1"/>
  <c r="K743" i="13"/>
  <c r="L743" i="13" s="1"/>
  <c r="I744" i="13" s="1"/>
  <c r="M932" i="13"/>
  <c r="N930" i="13"/>
  <c r="J929" i="13" a="1"/>
  <c r="J929" i="13" s="1"/>
  <c r="M933" i="14"/>
  <c r="N929" i="14"/>
  <c r="J928" i="14" a="1"/>
  <c r="J928" i="14" s="1"/>
  <c r="K766" i="14" l="1"/>
  <c r="L766" i="14" s="1"/>
  <c r="I767" i="14" s="1"/>
  <c r="K744" i="13"/>
  <c r="L744" i="13" s="1"/>
  <c r="I745" i="13" s="1"/>
  <c r="N931" i="13"/>
  <c r="J930" i="13" a="1"/>
  <c r="J930" i="13" s="1"/>
  <c r="M933" i="13"/>
  <c r="J929" i="14" a="1"/>
  <c r="J929" i="14" s="1"/>
  <c r="N930" i="14"/>
  <c r="M934" i="14"/>
  <c r="K745" i="13" l="1"/>
  <c r="L745" i="13" s="1"/>
  <c r="I746" i="13" s="1"/>
  <c r="K767" i="14"/>
  <c r="L767" i="14" s="1"/>
  <c r="I768" i="14" s="1"/>
  <c r="N931" i="14"/>
  <c r="J930" i="14" a="1"/>
  <c r="J930" i="14" s="1"/>
  <c r="M935" i="14"/>
  <c r="M934" i="13"/>
  <c r="N932" i="13"/>
  <c r="J931" i="13" a="1"/>
  <c r="J931" i="13" s="1"/>
  <c r="K768" i="14" l="1"/>
  <c r="L768" i="14" s="1"/>
  <c r="I769" i="14" s="1"/>
  <c r="K746" i="13"/>
  <c r="L746" i="13" s="1"/>
  <c r="I747" i="13" s="1"/>
  <c r="N933" i="13"/>
  <c r="J932" i="13" a="1"/>
  <c r="J932" i="13" s="1"/>
  <c r="M936" i="14"/>
  <c r="M935" i="13"/>
  <c r="J931" i="14" a="1"/>
  <c r="J931" i="14" s="1"/>
  <c r="N932" i="14"/>
  <c r="K747" i="13" l="1"/>
  <c r="L747" i="13" s="1"/>
  <c r="I748" i="13" s="1"/>
  <c r="N933" i="14"/>
  <c r="J932" i="14" a="1"/>
  <c r="J932" i="14" s="1"/>
  <c r="M937" i="14"/>
  <c r="M936" i="13"/>
  <c r="N934" i="13"/>
  <c r="J933" i="13" a="1"/>
  <c r="J933" i="13" s="1"/>
  <c r="K769" i="14"/>
  <c r="L769" i="14" s="1"/>
  <c r="I770" i="14" s="1"/>
  <c r="K770" i="14" l="1"/>
  <c r="L770" i="14" s="1"/>
  <c r="I771" i="14" s="1"/>
  <c r="N935" i="13"/>
  <c r="J934" i="13" a="1"/>
  <c r="J934" i="13" s="1"/>
  <c r="J933" i="14" a="1"/>
  <c r="J933" i="14" s="1"/>
  <c r="N934" i="14"/>
  <c r="M938" i="14"/>
  <c r="M937" i="13"/>
  <c r="K748" i="13"/>
  <c r="L748" i="13" s="1"/>
  <c r="I749" i="13" s="1"/>
  <c r="K771" i="14" l="1"/>
  <c r="L771" i="14" s="1"/>
  <c r="I772" i="14" s="1"/>
  <c r="K749" i="13"/>
  <c r="L749" i="13" s="1"/>
  <c r="I750" i="13" s="1"/>
  <c r="M939" i="14"/>
  <c r="N936" i="13"/>
  <c r="J935" i="13" a="1"/>
  <c r="J935" i="13" s="1"/>
  <c r="M938" i="13"/>
  <c r="N935" i="14"/>
  <c r="J934" i="14" a="1"/>
  <c r="J934" i="14" s="1"/>
  <c r="K750" i="13" l="1"/>
  <c r="L750" i="13" s="1"/>
  <c r="I751" i="13" s="1"/>
  <c r="K772" i="14"/>
  <c r="L772" i="14" s="1"/>
  <c r="I773" i="14" s="1"/>
  <c r="J935" i="14" a="1"/>
  <c r="J935" i="14" s="1"/>
  <c r="N936" i="14"/>
  <c r="N937" i="13"/>
  <c r="J936" i="13" a="1"/>
  <c r="J936" i="13" s="1"/>
  <c r="M939" i="13"/>
  <c r="M940" i="14"/>
  <c r="K751" i="13" l="1"/>
  <c r="L751" i="13" s="1"/>
  <c r="I752" i="13" s="1"/>
  <c r="K773" i="14"/>
  <c r="L773" i="14" s="1"/>
  <c r="I774" i="14" s="1"/>
  <c r="N938" i="13"/>
  <c r="J937" i="13" a="1"/>
  <c r="J937" i="13" s="1"/>
  <c r="M941" i="14"/>
  <c r="M940" i="13"/>
  <c r="N937" i="14"/>
  <c r="J936" i="14" a="1"/>
  <c r="J936" i="14" s="1"/>
  <c r="K774" i="14" l="1"/>
  <c r="L774" i="14" s="1"/>
  <c r="I775" i="14" s="1"/>
  <c r="J937" i="14" a="1"/>
  <c r="J937" i="14" s="1"/>
  <c r="N938" i="14"/>
  <c r="M942" i="14"/>
  <c r="M941" i="13"/>
  <c r="N939" i="13"/>
  <c r="J938" i="13" a="1"/>
  <c r="J938" i="13" s="1"/>
  <c r="K752" i="13"/>
  <c r="L752" i="13" s="1"/>
  <c r="I753" i="13" s="1"/>
  <c r="K753" i="13" l="1"/>
  <c r="L753" i="13" s="1"/>
  <c r="I754" i="13" s="1"/>
  <c r="K775" i="14"/>
  <c r="L775" i="14" s="1"/>
  <c r="I776" i="14" s="1"/>
  <c r="N939" i="14"/>
  <c r="J938" i="14" a="1"/>
  <c r="J938" i="14" s="1"/>
  <c r="M943" i="14"/>
  <c r="M942" i="13"/>
  <c r="N940" i="13"/>
  <c r="J939" i="13" a="1"/>
  <c r="J939" i="13" s="1"/>
  <c r="K754" i="13" l="1"/>
  <c r="L754" i="13" s="1"/>
  <c r="I755" i="13" s="1"/>
  <c r="K776" i="14"/>
  <c r="L776" i="14" s="1"/>
  <c r="I777" i="14" s="1"/>
  <c r="M944" i="14"/>
  <c r="N941" i="13"/>
  <c r="J940" i="13" a="1"/>
  <c r="J940" i="13" s="1"/>
  <c r="M943" i="13"/>
  <c r="J939" i="14" a="1"/>
  <c r="J939" i="14" s="1"/>
  <c r="N940" i="14"/>
  <c r="K777" i="14" l="1"/>
  <c r="L777" i="14" s="1"/>
  <c r="I778" i="14" s="1"/>
  <c r="K755" i="13"/>
  <c r="L755" i="13" s="1"/>
  <c r="I756" i="13" s="1"/>
  <c r="N941" i="14"/>
  <c r="J940" i="14" a="1"/>
  <c r="J940" i="14" s="1"/>
  <c r="N942" i="13"/>
  <c r="J941" i="13" a="1"/>
  <c r="J941" i="13" s="1"/>
  <c r="M944" i="13"/>
  <c r="M945" i="14"/>
  <c r="K756" i="13" l="1"/>
  <c r="L756" i="13" s="1"/>
  <c r="I757" i="13" s="1"/>
  <c r="K778" i="14"/>
  <c r="L778" i="14" s="1"/>
  <c r="I779" i="14" s="1"/>
  <c r="M946" i="14"/>
  <c r="N943" i="13"/>
  <c r="J942" i="13" a="1"/>
  <c r="J942" i="13" s="1"/>
  <c r="M945" i="13"/>
  <c r="J941" i="14" a="1"/>
  <c r="J941" i="14" s="1"/>
  <c r="N942" i="14"/>
  <c r="K779" i="14" l="1"/>
  <c r="L779" i="14" s="1"/>
  <c r="I780" i="14" s="1"/>
  <c r="K757" i="13"/>
  <c r="L757" i="13" s="1"/>
  <c r="I758" i="13" s="1"/>
  <c r="N943" i="14"/>
  <c r="J942" i="14" a="1"/>
  <c r="J942" i="14" s="1"/>
  <c r="M947" i="14"/>
  <c r="N944" i="13"/>
  <c r="J943" i="13" a="1"/>
  <c r="J943" i="13" s="1"/>
  <c r="M946" i="13"/>
  <c r="K758" i="13" l="1"/>
  <c r="L758" i="13" s="1"/>
  <c r="I759" i="13" s="1"/>
  <c r="M947" i="13"/>
  <c r="M948" i="14"/>
  <c r="N945" i="13"/>
  <c r="J944" i="13" a="1"/>
  <c r="J944" i="13" s="1"/>
  <c r="J943" i="14" a="1"/>
  <c r="J943" i="14" s="1"/>
  <c r="N944" i="14"/>
  <c r="K780" i="14"/>
  <c r="L780" i="14" s="1"/>
  <c r="I781" i="14" s="1"/>
  <c r="K759" i="13" l="1"/>
  <c r="L759" i="13" s="1"/>
  <c r="I760" i="13" s="1"/>
  <c r="K781" i="14"/>
  <c r="L781" i="14" s="1"/>
  <c r="I782" i="14" s="1"/>
  <c r="M948" i="13"/>
  <c r="N945" i="14"/>
  <c r="J944" i="14" a="1"/>
  <c r="J944" i="14" s="1"/>
  <c r="M949" i="14"/>
  <c r="N946" i="13"/>
  <c r="J945" i="13" a="1"/>
  <c r="J945" i="13" s="1"/>
  <c r="K782" i="14" l="1"/>
  <c r="L782" i="14" s="1"/>
  <c r="I783" i="14" s="1"/>
  <c r="K760" i="13"/>
  <c r="L760" i="13" s="1"/>
  <c r="I761" i="13" s="1"/>
  <c r="N947" i="13"/>
  <c r="J946" i="13" a="1"/>
  <c r="J946" i="13" s="1"/>
  <c r="J945" i="14" a="1"/>
  <c r="J945" i="14" s="1"/>
  <c r="N946" i="14"/>
  <c r="M950" i="14"/>
  <c r="M949" i="13"/>
  <c r="K783" i="14" l="1"/>
  <c r="L783" i="14" s="1"/>
  <c r="I784" i="14" s="1"/>
  <c r="K761" i="13"/>
  <c r="L761" i="13" s="1"/>
  <c r="I762" i="13" s="1"/>
  <c r="M950" i="13"/>
  <c r="N947" i="14"/>
  <c r="J946" i="14" a="1"/>
  <c r="J946" i="14" s="1"/>
  <c r="M951" i="14"/>
  <c r="N948" i="13"/>
  <c r="J947" i="13" a="1"/>
  <c r="J947" i="13" s="1"/>
  <c r="K784" i="14" l="1"/>
  <c r="L784" i="14" s="1"/>
  <c r="I785" i="14" s="1"/>
  <c r="K762" i="13"/>
  <c r="L762" i="13" s="1"/>
  <c r="I763" i="13" s="1"/>
  <c r="N949" i="13"/>
  <c r="J948" i="13" a="1"/>
  <c r="J948" i="13" s="1"/>
  <c r="J947" i="14" a="1"/>
  <c r="J947" i="14" s="1"/>
  <c r="N948" i="14"/>
  <c r="M952" i="14"/>
  <c r="M951" i="13"/>
  <c r="K785" i="14" l="1"/>
  <c r="L785" i="14" s="1"/>
  <c r="I786" i="14" s="1"/>
  <c r="K763" i="13"/>
  <c r="L763" i="13" s="1"/>
  <c r="I764" i="13" s="1"/>
  <c r="M953" i="14"/>
  <c r="M952" i="13"/>
  <c r="N949" i="14"/>
  <c r="J948" i="14" a="1"/>
  <c r="J948" i="14" s="1"/>
  <c r="N950" i="13"/>
  <c r="J949" i="13" a="1"/>
  <c r="J949" i="13" s="1"/>
  <c r="K764" i="13" l="1"/>
  <c r="L764" i="13" s="1"/>
  <c r="I765" i="13" s="1"/>
  <c r="K786" i="14"/>
  <c r="L786" i="14" s="1"/>
  <c r="I787" i="14" s="1"/>
  <c r="M953" i="13"/>
  <c r="N951" i="13"/>
  <c r="J950" i="13" a="1"/>
  <c r="J950" i="13" s="1"/>
  <c r="M954" i="14"/>
  <c r="J949" i="14" a="1"/>
  <c r="J949" i="14" s="1"/>
  <c r="N950" i="14"/>
  <c r="K787" i="14" l="1"/>
  <c r="L787" i="14" s="1"/>
  <c r="I788" i="14" s="1"/>
  <c r="K765" i="13"/>
  <c r="L765" i="13" s="1"/>
  <c r="I766" i="13" s="1"/>
  <c r="N952" i="13"/>
  <c r="J951" i="13" a="1"/>
  <c r="J951" i="13" s="1"/>
  <c r="N951" i="14"/>
  <c r="J950" i="14" a="1"/>
  <c r="J950" i="14" s="1"/>
  <c r="M955" i="14"/>
  <c r="M954" i="13"/>
  <c r="K766" i="13" l="1"/>
  <c r="L766" i="13" s="1"/>
  <c r="I767" i="13" s="1"/>
  <c r="K788" i="14"/>
  <c r="L788" i="14" s="1"/>
  <c r="I789" i="14" s="1"/>
  <c r="J951" i="14" a="1"/>
  <c r="J951" i="14" s="1"/>
  <c r="N952" i="14"/>
  <c r="M955" i="13"/>
  <c r="M956" i="14"/>
  <c r="N953" i="13"/>
  <c r="J952" i="13" a="1"/>
  <c r="J952" i="13" s="1"/>
  <c r="K767" i="13" l="1"/>
  <c r="L767" i="13" s="1"/>
  <c r="I768" i="13" s="1"/>
  <c r="M956" i="13"/>
  <c r="N954" i="13"/>
  <c r="J953" i="13" a="1"/>
  <c r="J953" i="13" s="1"/>
  <c r="K789" i="14"/>
  <c r="L789" i="14" s="1"/>
  <c r="I790" i="14" s="1"/>
  <c r="M957" i="14"/>
  <c r="N953" i="14"/>
  <c r="J952" i="14" a="1"/>
  <c r="J952" i="14" s="1"/>
  <c r="K768" i="13" l="1"/>
  <c r="L768" i="13" s="1"/>
  <c r="I769" i="13" s="1"/>
  <c r="M957" i="13"/>
  <c r="K790" i="14"/>
  <c r="L790" i="14" s="1"/>
  <c r="I791" i="14" s="1"/>
  <c r="M958" i="14"/>
  <c r="J953" i="14" a="1"/>
  <c r="J953" i="14" s="1"/>
  <c r="N954" i="14"/>
  <c r="N955" i="13"/>
  <c r="J954" i="13" a="1"/>
  <c r="J954" i="13" s="1"/>
  <c r="K791" i="14" l="1"/>
  <c r="L791" i="14" s="1"/>
  <c r="I792" i="14" s="1"/>
  <c r="K769" i="13"/>
  <c r="L769" i="13" s="1"/>
  <c r="I770" i="13" s="1"/>
  <c r="M959" i="14"/>
  <c r="M958" i="13"/>
  <c r="N956" i="13"/>
  <c r="J955" i="13" a="1"/>
  <c r="J955" i="13" s="1"/>
  <c r="N955" i="14"/>
  <c r="J954" i="14" a="1"/>
  <c r="J954" i="14" s="1"/>
  <c r="K792" i="14" l="1"/>
  <c r="L792" i="14" s="1"/>
  <c r="I793" i="14" s="1"/>
  <c r="M959" i="13"/>
  <c r="K770" i="13"/>
  <c r="L770" i="13" s="1"/>
  <c r="I771" i="13" s="1"/>
  <c r="M960" i="14"/>
  <c r="J955" i="14" a="1"/>
  <c r="J955" i="14" s="1"/>
  <c r="N956" i="14"/>
  <c r="N957" i="13"/>
  <c r="J956" i="13" a="1"/>
  <c r="J956" i="13" s="1"/>
  <c r="K793" i="14" l="1"/>
  <c r="L793" i="14" s="1"/>
  <c r="I794" i="14" s="1"/>
  <c r="K771" i="13"/>
  <c r="L771" i="13" s="1"/>
  <c r="I772" i="13" s="1"/>
  <c r="M961" i="14"/>
  <c r="M960" i="13"/>
  <c r="N958" i="13"/>
  <c r="J957" i="13" a="1"/>
  <c r="J957" i="13" s="1"/>
  <c r="N957" i="14"/>
  <c r="J956" i="14" a="1"/>
  <c r="J956" i="14" s="1"/>
  <c r="K772" i="13" l="1"/>
  <c r="L772" i="13" s="1"/>
  <c r="I773" i="13" s="1"/>
  <c r="K794" i="14"/>
  <c r="L794" i="14" s="1"/>
  <c r="I795" i="14" s="1"/>
  <c r="M962" i="14"/>
  <c r="M961" i="13"/>
  <c r="J957" i="14" a="1"/>
  <c r="J957" i="14" s="1"/>
  <c r="N958" i="14"/>
  <c r="N959" i="13"/>
  <c r="J958" i="13" a="1"/>
  <c r="J958" i="13" s="1"/>
  <c r="K795" i="14" l="1"/>
  <c r="L795" i="14" s="1"/>
  <c r="I796" i="14" s="1"/>
  <c r="K773" i="13"/>
  <c r="L773" i="13" s="1"/>
  <c r="I774" i="13" s="1"/>
  <c r="N960" i="13"/>
  <c r="J959" i="13" a="1"/>
  <c r="J959" i="13" s="1"/>
  <c r="N959" i="14"/>
  <c r="J958" i="14" a="1"/>
  <c r="J958" i="14" s="1"/>
  <c r="M963" i="14"/>
  <c r="M962" i="13"/>
  <c r="K796" i="14" l="1"/>
  <c r="L796" i="14" s="1"/>
  <c r="I797" i="14" s="1"/>
  <c r="M964" i="14"/>
  <c r="M963" i="13"/>
  <c r="J959" i="14" a="1"/>
  <c r="J959" i="14" s="1"/>
  <c r="N960" i="14"/>
  <c r="K774" i="13"/>
  <c r="L774" i="13" s="1"/>
  <c r="I775" i="13" s="1"/>
  <c r="N961" i="13"/>
  <c r="J960" i="13" a="1"/>
  <c r="J960" i="13" s="1"/>
  <c r="K775" i="13" l="1"/>
  <c r="L775" i="13" s="1"/>
  <c r="I776" i="13" s="1"/>
  <c r="K797" i="14"/>
  <c r="L797" i="14" s="1"/>
  <c r="I798" i="14" s="1"/>
  <c r="N961" i="14"/>
  <c r="J960" i="14" a="1"/>
  <c r="J960" i="14" s="1"/>
  <c r="M965" i="14"/>
  <c r="N962" i="13"/>
  <c r="J961" i="13" a="1"/>
  <c r="J961" i="13" s="1"/>
  <c r="M964" i="13"/>
  <c r="K798" i="14" l="1"/>
  <c r="L798" i="14" s="1"/>
  <c r="I799" i="14" s="1"/>
  <c r="K776" i="13"/>
  <c r="L776" i="13" s="1"/>
  <c r="I777" i="13" s="1"/>
  <c r="M965" i="13"/>
  <c r="M966" i="14"/>
  <c r="N963" i="13"/>
  <c r="J962" i="13" a="1"/>
  <c r="J962" i="13" s="1"/>
  <c r="J961" i="14" a="1"/>
  <c r="J961" i="14" s="1"/>
  <c r="N962" i="14"/>
  <c r="K799" i="14" l="1"/>
  <c r="L799" i="14" s="1"/>
  <c r="I800" i="14" s="1"/>
  <c r="K777" i="13"/>
  <c r="L777" i="13" s="1"/>
  <c r="I778" i="13" s="1"/>
  <c r="N963" i="14"/>
  <c r="J962" i="14" a="1"/>
  <c r="J962" i="14" s="1"/>
  <c r="M967" i="14"/>
  <c r="M966" i="13"/>
  <c r="N964" i="13"/>
  <c r="J963" i="13" a="1"/>
  <c r="J963" i="13" s="1"/>
  <c r="K800" i="14" l="1"/>
  <c r="L800" i="14" s="1"/>
  <c r="I801" i="14" s="1"/>
  <c r="K778" i="13"/>
  <c r="L778" i="13" s="1"/>
  <c r="I779" i="13" s="1"/>
  <c r="M968" i="14"/>
  <c r="N965" i="13"/>
  <c r="J964" i="13" a="1"/>
  <c r="J964" i="13" s="1"/>
  <c r="M967" i="13"/>
  <c r="J963" i="14" a="1"/>
  <c r="J963" i="14" s="1"/>
  <c r="N964" i="14"/>
  <c r="K779" i="13" l="1"/>
  <c r="L779" i="13" s="1"/>
  <c r="I780" i="13" s="1"/>
  <c r="K801" i="14"/>
  <c r="L801" i="14" s="1"/>
  <c r="I802" i="14" s="1"/>
  <c r="N965" i="14"/>
  <c r="J964" i="14" a="1"/>
  <c r="J964" i="14" s="1"/>
  <c r="N966" i="13"/>
  <c r="J965" i="13" a="1"/>
  <c r="J965" i="13" s="1"/>
  <c r="M968" i="13"/>
  <c r="M969" i="14"/>
  <c r="K780" i="13" l="1"/>
  <c r="L780" i="13" s="1"/>
  <c r="I781" i="13" s="1"/>
  <c r="K802" i="14"/>
  <c r="L802" i="14" s="1"/>
  <c r="I803" i="14" s="1"/>
  <c r="N967" i="13"/>
  <c r="J966" i="13" a="1"/>
  <c r="J966" i="13" s="1"/>
  <c r="M970" i="14"/>
  <c r="M969" i="13"/>
  <c r="J965" i="14" a="1"/>
  <c r="J965" i="14" s="1"/>
  <c r="N966" i="14"/>
  <c r="K803" i="14" l="1"/>
  <c r="L803" i="14" s="1"/>
  <c r="I804" i="14" s="1"/>
  <c r="M970" i="13"/>
  <c r="N967" i="14"/>
  <c r="J966" i="14" a="1"/>
  <c r="J966" i="14" s="1"/>
  <c r="M971" i="14"/>
  <c r="N968" i="13"/>
  <c r="J967" i="13" a="1"/>
  <c r="J967" i="13" s="1"/>
  <c r="K781" i="13"/>
  <c r="L781" i="13" s="1"/>
  <c r="I782" i="13" s="1"/>
  <c r="K782" i="13" l="1"/>
  <c r="L782" i="13" s="1"/>
  <c r="I783" i="13" s="1"/>
  <c r="K804" i="14"/>
  <c r="L804" i="14" s="1"/>
  <c r="I805" i="14" s="1"/>
  <c r="M972" i="14"/>
  <c r="M971" i="13"/>
  <c r="N969" i="13"/>
  <c r="J968" i="13" a="1"/>
  <c r="J968" i="13" s="1"/>
  <c r="J967" i="14" a="1"/>
  <c r="J967" i="14" s="1"/>
  <c r="N968" i="14"/>
  <c r="K805" i="14" l="1"/>
  <c r="L805" i="14" s="1"/>
  <c r="I806" i="14" s="1"/>
  <c r="K783" i="13"/>
  <c r="L783" i="13" s="1"/>
  <c r="I784" i="13" s="1"/>
  <c r="N969" i="14"/>
  <c r="J968" i="14" a="1"/>
  <c r="J968" i="14" s="1"/>
  <c r="M973" i="14"/>
  <c r="M972" i="13"/>
  <c r="N970" i="13"/>
  <c r="J969" i="13" a="1"/>
  <c r="J969" i="13" s="1"/>
  <c r="K806" i="14" l="1"/>
  <c r="L806" i="14" s="1"/>
  <c r="I807" i="14" s="1"/>
  <c r="K784" i="13"/>
  <c r="L784" i="13" s="1"/>
  <c r="I785" i="13" s="1"/>
  <c r="N971" i="13"/>
  <c r="J970" i="13" a="1"/>
  <c r="J970" i="13" s="1"/>
  <c r="M973" i="13"/>
  <c r="M974" i="14"/>
  <c r="J969" i="14" a="1"/>
  <c r="J969" i="14" s="1"/>
  <c r="N970" i="14"/>
  <c r="K785" i="13" l="1"/>
  <c r="L785" i="13" s="1"/>
  <c r="I786" i="13" s="1"/>
  <c r="K807" i="14"/>
  <c r="L807" i="14" s="1"/>
  <c r="I808" i="14" s="1"/>
  <c r="N971" i="14"/>
  <c r="J970" i="14" a="1"/>
  <c r="J970" i="14" s="1"/>
  <c r="M974" i="13"/>
  <c r="M975" i="14"/>
  <c r="N972" i="13"/>
  <c r="J971" i="13" a="1"/>
  <c r="J971" i="13" s="1"/>
  <c r="K808" i="14" l="1"/>
  <c r="L808" i="14" s="1"/>
  <c r="I809" i="14" s="1"/>
  <c r="K786" i="13"/>
  <c r="L786" i="13" s="1"/>
  <c r="I787" i="13" s="1"/>
  <c r="N973" i="13"/>
  <c r="J972" i="13" a="1"/>
  <c r="J972" i="13" s="1"/>
  <c r="M975" i="13"/>
  <c r="M976" i="14"/>
  <c r="J971" i="14" a="1"/>
  <c r="J971" i="14" s="1"/>
  <c r="N972" i="14"/>
  <c r="K809" i="14" l="1"/>
  <c r="L809" i="14" s="1"/>
  <c r="I810" i="14" s="1"/>
  <c r="M977" i="14"/>
  <c r="N973" i="14"/>
  <c r="J972" i="14" a="1"/>
  <c r="J972" i="14" s="1"/>
  <c r="M976" i="13"/>
  <c r="K787" i="13"/>
  <c r="L787" i="13" s="1"/>
  <c r="I788" i="13" s="1"/>
  <c r="N974" i="13"/>
  <c r="J973" i="13" a="1"/>
  <c r="J973" i="13" s="1"/>
  <c r="K788" i="13" l="1"/>
  <c r="L788" i="13" s="1"/>
  <c r="I789" i="13" s="1"/>
  <c r="K810" i="14"/>
  <c r="L810" i="14" s="1"/>
  <c r="I811" i="14" s="1"/>
  <c r="M977" i="13"/>
  <c r="M978" i="14"/>
  <c r="N975" i="13"/>
  <c r="J974" i="13" a="1"/>
  <c r="J974" i="13" s="1"/>
  <c r="J973" i="14" a="1"/>
  <c r="J973" i="14" s="1"/>
  <c r="N974" i="14"/>
  <c r="K789" i="13" l="1"/>
  <c r="L789" i="13" s="1"/>
  <c r="I790" i="13" s="1"/>
  <c r="K811" i="14"/>
  <c r="L811" i="14" s="1"/>
  <c r="I812" i="14" s="1"/>
  <c r="N975" i="14"/>
  <c r="J974" i="14" a="1"/>
  <c r="J974" i="14" s="1"/>
  <c r="M978" i="13"/>
  <c r="M979" i="14"/>
  <c r="N976" i="13"/>
  <c r="J975" i="13" a="1"/>
  <c r="J975" i="13" s="1"/>
  <c r="K812" i="14" l="1"/>
  <c r="L812" i="14" s="1"/>
  <c r="I813" i="14" s="1"/>
  <c r="K790" i="13"/>
  <c r="L790" i="13" s="1"/>
  <c r="I791" i="13" s="1"/>
  <c r="M979" i="13"/>
  <c r="M980" i="14"/>
  <c r="N977" i="13"/>
  <c r="J976" i="13" a="1"/>
  <c r="J976" i="13" s="1"/>
  <c r="J975" i="14" a="1"/>
  <c r="J975" i="14" s="1"/>
  <c r="N976" i="14"/>
  <c r="K791" i="13" l="1"/>
  <c r="L791" i="13" s="1"/>
  <c r="I792" i="13" s="1"/>
  <c r="K813" i="14"/>
  <c r="L813" i="14" s="1"/>
  <c r="I814" i="14" s="1"/>
  <c r="N977" i="14"/>
  <c r="J976" i="14" a="1"/>
  <c r="J976" i="14" s="1"/>
  <c r="M981" i="14"/>
  <c r="M980" i="13"/>
  <c r="N978" i="13"/>
  <c r="J977" i="13" a="1"/>
  <c r="J977" i="13" s="1"/>
  <c r="K814" i="14" l="1"/>
  <c r="L814" i="14" s="1"/>
  <c r="I815" i="14" s="1"/>
  <c r="K792" i="13"/>
  <c r="L792" i="13" s="1"/>
  <c r="I793" i="13" s="1"/>
  <c r="M982" i="14"/>
  <c r="N979" i="13"/>
  <c r="J978" i="13" a="1"/>
  <c r="J978" i="13" s="1"/>
  <c r="M981" i="13"/>
  <c r="J977" i="14" a="1"/>
  <c r="J977" i="14" s="1"/>
  <c r="N978" i="14"/>
  <c r="K793" i="13" l="1"/>
  <c r="L793" i="13" s="1"/>
  <c r="I794" i="13" s="1"/>
  <c r="K815" i="14"/>
  <c r="L815" i="14" s="1"/>
  <c r="I816" i="14" s="1"/>
  <c r="N979" i="14"/>
  <c r="J978" i="14" a="1"/>
  <c r="J978" i="14" s="1"/>
  <c r="N980" i="13"/>
  <c r="J979" i="13" a="1"/>
  <c r="J979" i="13" s="1"/>
  <c r="M982" i="13"/>
  <c r="M983" i="14"/>
  <c r="K816" i="14" l="1"/>
  <c r="L816" i="14" s="1"/>
  <c r="I817" i="14" s="1"/>
  <c r="N981" i="13"/>
  <c r="J980" i="13" a="1"/>
  <c r="J980" i="13" s="1"/>
  <c r="M984" i="14"/>
  <c r="M983" i="13"/>
  <c r="J979" i="14" a="1"/>
  <c r="J979" i="14" s="1"/>
  <c r="N980" i="14"/>
  <c r="K794" i="13"/>
  <c r="L794" i="13" s="1"/>
  <c r="I795" i="13" s="1"/>
  <c r="K795" i="13" l="1"/>
  <c r="L795" i="13" s="1"/>
  <c r="I796" i="13" s="1"/>
  <c r="K817" i="14"/>
  <c r="L817" i="14" s="1"/>
  <c r="I818" i="14" s="1"/>
  <c r="M984" i="13"/>
  <c r="N982" i="13"/>
  <c r="J981" i="13" a="1"/>
  <c r="J981" i="13" s="1"/>
  <c r="N981" i="14"/>
  <c r="J980" i="14" a="1"/>
  <c r="J980" i="14" s="1"/>
  <c r="M985" i="14"/>
  <c r="K818" i="14" l="1"/>
  <c r="L818" i="14" s="1"/>
  <c r="I819" i="14" s="1"/>
  <c r="K796" i="13"/>
  <c r="L796" i="13" s="1"/>
  <c r="I797" i="13" s="1"/>
  <c r="N983" i="13"/>
  <c r="J982" i="13" a="1"/>
  <c r="J982" i="13" s="1"/>
  <c r="J981" i="14" a="1"/>
  <c r="J981" i="14" s="1"/>
  <c r="N982" i="14"/>
  <c r="M985" i="13"/>
  <c r="M986" i="14"/>
  <c r="K819" i="14" l="1"/>
  <c r="L819" i="14" s="1"/>
  <c r="I820" i="14" s="1"/>
  <c r="K797" i="13"/>
  <c r="L797" i="13" s="1"/>
  <c r="I798" i="13" s="1"/>
  <c r="M986" i="13"/>
  <c r="M987" i="14"/>
  <c r="N983" i="14"/>
  <c r="J982" i="14" a="1"/>
  <c r="J982" i="14" s="1"/>
  <c r="N984" i="13"/>
  <c r="J983" i="13" a="1"/>
  <c r="J983" i="13" s="1"/>
  <c r="K798" i="13" l="1"/>
  <c r="L798" i="13" s="1"/>
  <c r="I799" i="13" s="1"/>
  <c r="K820" i="14"/>
  <c r="L820" i="14" s="1"/>
  <c r="I821" i="14" s="1"/>
  <c r="N985" i="13"/>
  <c r="J984" i="13" a="1"/>
  <c r="J984" i="13" s="1"/>
  <c r="M987" i="13"/>
  <c r="M988" i="14"/>
  <c r="J983" i="14" a="1"/>
  <c r="J983" i="14" s="1"/>
  <c r="N984" i="14"/>
  <c r="K821" i="14" l="1"/>
  <c r="L821" i="14" s="1"/>
  <c r="I822" i="14" s="1"/>
  <c r="N985" i="14"/>
  <c r="J984" i="14" a="1"/>
  <c r="J984" i="14" s="1"/>
  <c r="M988" i="13"/>
  <c r="M989" i="14"/>
  <c r="N986" i="13"/>
  <c r="J985" i="13" a="1"/>
  <c r="J985" i="13" s="1"/>
  <c r="K799" i="13"/>
  <c r="L799" i="13" s="1"/>
  <c r="I800" i="13" s="1"/>
  <c r="K800" i="13" l="1"/>
  <c r="L800" i="13" s="1"/>
  <c r="I801" i="13" s="1"/>
  <c r="K822" i="14"/>
  <c r="L822" i="14" s="1"/>
  <c r="I823" i="14" s="1"/>
  <c r="M990" i="14"/>
  <c r="J985" i="14" a="1"/>
  <c r="J985" i="14" s="1"/>
  <c r="N986" i="14"/>
  <c r="M989" i="13"/>
  <c r="N987" i="13"/>
  <c r="J986" i="13" a="1"/>
  <c r="J986" i="13" s="1"/>
  <c r="K823" i="14" l="1"/>
  <c r="L823" i="14" s="1"/>
  <c r="I824" i="14" s="1"/>
  <c r="K801" i="13"/>
  <c r="L801" i="13" s="1"/>
  <c r="I802" i="13" s="1"/>
  <c r="N987" i="14"/>
  <c r="J986" i="14" a="1"/>
  <c r="J986" i="14" s="1"/>
  <c r="N988" i="13"/>
  <c r="J987" i="13" a="1"/>
  <c r="J987" i="13" s="1"/>
  <c r="M990" i="13"/>
  <c r="M991" i="14"/>
  <c r="K824" i="14" l="1"/>
  <c r="L824" i="14" s="1"/>
  <c r="I825" i="14" s="1"/>
  <c r="N989" i="13"/>
  <c r="J988" i="13" a="1"/>
  <c r="J988" i="13" s="1"/>
  <c r="K802" i="13"/>
  <c r="L802" i="13" s="1"/>
  <c r="I803" i="13" s="1"/>
  <c r="M992" i="14"/>
  <c r="M991" i="13"/>
  <c r="J987" i="14" a="1"/>
  <c r="J987" i="14" s="1"/>
  <c r="N988" i="14"/>
  <c r="K803" i="13" l="1"/>
  <c r="L803" i="13" s="1"/>
  <c r="I804" i="13" s="1"/>
  <c r="K825" i="14"/>
  <c r="L825" i="14" s="1"/>
  <c r="I826" i="14" s="1"/>
  <c r="N990" i="13"/>
  <c r="J989" i="13" a="1"/>
  <c r="J989" i="13" s="1"/>
  <c r="N989" i="14"/>
  <c r="J988" i="14" a="1"/>
  <c r="J988" i="14" s="1"/>
  <c r="M993" i="14"/>
  <c r="M992" i="13"/>
  <c r="K804" i="13" l="1"/>
  <c r="L804" i="13" s="1"/>
  <c r="I805" i="13" s="1"/>
  <c r="K826" i="14"/>
  <c r="L826" i="14" s="1"/>
  <c r="I827" i="14" s="1"/>
  <c r="M994" i="14"/>
  <c r="M993" i="13"/>
  <c r="J989" i="14" a="1"/>
  <c r="J989" i="14" s="1"/>
  <c r="N990" i="14"/>
  <c r="N991" i="13"/>
  <c r="J990" i="13" a="1"/>
  <c r="J990" i="13" s="1"/>
  <c r="K805" i="13" l="1"/>
  <c r="L805" i="13" s="1"/>
  <c r="I806" i="13" s="1"/>
  <c r="M994" i="13"/>
  <c r="N992" i="13"/>
  <c r="J991" i="13" a="1"/>
  <c r="J991" i="13" s="1"/>
  <c r="K827" i="14"/>
  <c r="L827" i="14" s="1"/>
  <c r="I828" i="14" s="1"/>
  <c r="N991" i="14"/>
  <c r="J990" i="14" a="1"/>
  <c r="J990" i="14" s="1"/>
  <c r="M995" i="14"/>
  <c r="K828" i="14" l="1"/>
  <c r="L828" i="14" s="1"/>
  <c r="I829" i="14" s="1"/>
  <c r="K806" i="13"/>
  <c r="L806" i="13" s="1"/>
  <c r="I807" i="13" s="1"/>
  <c r="M995" i="13"/>
  <c r="J991" i="14" a="1"/>
  <c r="J991" i="14" s="1"/>
  <c r="N992" i="14"/>
  <c r="M996" i="14"/>
  <c r="N993" i="13"/>
  <c r="J992" i="13" a="1"/>
  <c r="J992" i="13" s="1"/>
  <c r="K807" i="13" l="1"/>
  <c r="L807" i="13" s="1"/>
  <c r="I808" i="13" s="1"/>
  <c r="K829" i="14"/>
  <c r="L829" i="14" s="1"/>
  <c r="I830" i="14" s="1"/>
  <c r="N993" i="14"/>
  <c r="J992" i="14" a="1"/>
  <c r="J992" i="14" s="1"/>
  <c r="M997" i="14"/>
  <c r="M996" i="13"/>
  <c r="N994" i="13"/>
  <c r="J993" i="13" a="1"/>
  <c r="J993" i="13" s="1"/>
  <c r="K808" i="13" l="1"/>
  <c r="L808" i="13" s="1"/>
  <c r="I809" i="13" s="1"/>
  <c r="N995" i="13"/>
  <c r="J994" i="13" a="1"/>
  <c r="J994" i="13" s="1"/>
  <c r="M997" i="13"/>
  <c r="K830" i="14"/>
  <c r="L830" i="14" s="1"/>
  <c r="I831" i="14" s="1"/>
  <c r="M998" i="14"/>
  <c r="J993" i="14" a="1"/>
  <c r="J993" i="14" s="1"/>
  <c r="N994" i="14"/>
  <c r="K831" i="14" l="1"/>
  <c r="L831" i="14" s="1"/>
  <c r="I832" i="14" s="1"/>
  <c r="K809" i="13"/>
  <c r="L809" i="13" s="1"/>
  <c r="I810" i="13" s="1"/>
  <c r="N996" i="13"/>
  <c r="J995" i="13" a="1"/>
  <c r="J995" i="13" s="1"/>
  <c r="M999" i="14"/>
  <c r="M998" i="13"/>
  <c r="N995" i="14"/>
  <c r="J994" i="14" a="1"/>
  <c r="J994" i="14" s="1"/>
  <c r="K810" i="13" l="1"/>
  <c r="L810" i="13" s="1"/>
  <c r="I811" i="13" s="1"/>
  <c r="M1000" i="14"/>
  <c r="J995" i="14" a="1"/>
  <c r="J995" i="14" s="1"/>
  <c r="N996" i="14"/>
  <c r="M999" i="13"/>
  <c r="N997" i="13"/>
  <c r="J996" i="13" a="1"/>
  <c r="J996" i="13" s="1"/>
  <c r="K832" i="14"/>
  <c r="L832" i="14" s="1"/>
  <c r="I833" i="14" s="1"/>
  <c r="K833" i="14" l="1"/>
  <c r="L833" i="14" s="1"/>
  <c r="I834" i="14" s="1"/>
  <c r="K811" i="13"/>
  <c r="L811" i="13" s="1"/>
  <c r="I812" i="13" s="1"/>
  <c r="N998" i="13"/>
  <c r="J997" i="13" a="1"/>
  <c r="J997" i="13" s="1"/>
  <c r="M1000" i="13"/>
  <c r="M1001" i="14"/>
  <c r="N997" i="14"/>
  <c r="J996" i="14" a="1"/>
  <c r="J996" i="14" s="1"/>
  <c r="K812" i="13" l="1"/>
  <c r="L812" i="13" s="1"/>
  <c r="I813" i="13" s="1"/>
  <c r="M1001" i="13"/>
  <c r="J997" i="14" a="1"/>
  <c r="J997" i="14" s="1"/>
  <c r="N998" i="14"/>
  <c r="M1002" i="14"/>
  <c r="N999" i="13"/>
  <c r="J998" i="13" a="1"/>
  <c r="J998" i="13" s="1"/>
  <c r="K834" i="14"/>
  <c r="L834" i="14" s="1"/>
  <c r="I835" i="14" s="1"/>
  <c r="K835" i="14" l="1"/>
  <c r="L835" i="14" s="1"/>
  <c r="I836" i="14" s="1"/>
  <c r="K813" i="13"/>
  <c r="L813" i="13" s="1"/>
  <c r="I814" i="13" s="1"/>
  <c r="N1000" i="13"/>
  <c r="J999" i="13" a="1"/>
  <c r="J999" i="13" s="1"/>
  <c r="M1003" i="14"/>
  <c r="M1002" i="13"/>
  <c r="N999" i="14"/>
  <c r="J998" i="14" a="1"/>
  <c r="J998" i="14" s="1"/>
  <c r="K814" i="13" l="1"/>
  <c r="L814" i="13" s="1"/>
  <c r="I815" i="13" s="1"/>
  <c r="J999" i="14" a="1"/>
  <c r="J999" i="14" s="1"/>
  <c r="N1000" i="14"/>
  <c r="M1004" i="14"/>
  <c r="M1003" i="13"/>
  <c r="N1001" i="13"/>
  <c r="J1000" i="13" a="1"/>
  <c r="J1000" i="13" s="1"/>
  <c r="K836" i="14"/>
  <c r="L836" i="14" s="1"/>
  <c r="I837" i="14" s="1"/>
  <c r="K837" i="14" l="1"/>
  <c r="L837" i="14" s="1"/>
  <c r="I838" i="14" s="1"/>
  <c r="K815" i="13"/>
  <c r="L815" i="13" s="1"/>
  <c r="I816" i="13" s="1"/>
  <c r="M1004" i="13"/>
  <c r="N1001" i="14"/>
  <c r="J1000" i="14" a="1"/>
  <c r="J1000" i="14" s="1"/>
  <c r="M1005" i="14"/>
  <c r="N1002" i="13"/>
  <c r="J1001" i="13" a="1"/>
  <c r="J1001" i="13" s="1"/>
  <c r="K816" i="13" l="1"/>
  <c r="L816" i="13" s="1"/>
  <c r="I817" i="13" s="1"/>
  <c r="J1001" i="14" a="1"/>
  <c r="J1001" i="14" s="1"/>
  <c r="N1002" i="14"/>
  <c r="N1003" i="13"/>
  <c r="J1002" i="13" a="1"/>
  <c r="J1002" i="13" s="1"/>
  <c r="M1005" i="13"/>
  <c r="M1006" i="14"/>
  <c r="K838" i="14"/>
  <c r="L838" i="14" s="1"/>
  <c r="I839" i="14" s="1"/>
  <c r="K839" i="14" l="1"/>
  <c r="L839" i="14" s="1"/>
  <c r="I840" i="14" s="1"/>
  <c r="K817" i="13"/>
  <c r="L817" i="13" s="1"/>
  <c r="I818" i="13" s="1"/>
  <c r="M1006" i="13"/>
  <c r="N1003" i="14"/>
  <c r="J1002" i="14" a="1"/>
  <c r="J1002" i="14" s="1"/>
  <c r="M1007" i="14"/>
  <c r="N1004" i="13"/>
  <c r="J1003" i="13" a="1"/>
  <c r="J1003" i="13" s="1"/>
  <c r="K818" i="13" l="1"/>
  <c r="L818" i="13" s="1"/>
  <c r="I819" i="13" s="1"/>
  <c r="K840" i="14"/>
  <c r="L840" i="14" s="1"/>
  <c r="I841" i="14" s="1"/>
  <c r="N1004" i="14"/>
  <c r="J1003" i="14" a="1"/>
  <c r="J1003" i="14" s="1"/>
  <c r="N1005" i="13"/>
  <c r="J1004" i="13" a="1"/>
  <c r="J1004" i="13" s="1"/>
  <c r="M1008" i="14"/>
  <c r="M1007" i="13"/>
  <c r="K841" i="14" l="1"/>
  <c r="L841" i="14" s="1"/>
  <c r="I842" i="14" s="1"/>
  <c r="K819" i="13"/>
  <c r="L819" i="13" s="1"/>
  <c r="I820" i="13" s="1"/>
  <c r="M1008" i="13"/>
  <c r="N1006" i="13"/>
  <c r="J1005" i="13" a="1"/>
  <c r="J1005" i="13" s="1"/>
  <c r="M1009" i="14"/>
  <c r="N1005" i="14"/>
  <c r="J1004" i="14" a="1"/>
  <c r="J1004" i="14" s="1"/>
  <c r="K820" i="13" l="1"/>
  <c r="L820" i="13" s="1"/>
  <c r="I821" i="13" s="1"/>
  <c r="N1007" i="13"/>
  <c r="J1006" i="13" a="1"/>
  <c r="J1006" i="13" s="1"/>
  <c r="M1009" i="13"/>
  <c r="N1006" i="14"/>
  <c r="J1005" i="14" a="1"/>
  <c r="J1005" i="14" s="1"/>
  <c r="M1010" i="14"/>
  <c r="K842" i="14"/>
  <c r="L842" i="14" s="1"/>
  <c r="I843" i="14" s="1"/>
  <c r="K843" i="14" l="1"/>
  <c r="L843" i="14" s="1"/>
  <c r="I844" i="14" s="1"/>
  <c r="K821" i="13"/>
  <c r="L821" i="13" s="1"/>
  <c r="I822" i="13" s="1"/>
  <c r="J1006" i="14" a="1"/>
  <c r="J1006" i="14" s="1"/>
  <c r="N1007" i="14"/>
  <c r="N1008" i="13"/>
  <c r="J1007" i="13" a="1"/>
  <c r="J1007" i="13" s="1"/>
  <c r="M1010" i="13"/>
  <c r="M1011" i="14"/>
  <c r="K844" i="14" l="1"/>
  <c r="L844" i="14" s="1"/>
  <c r="I845" i="14" s="1"/>
  <c r="K822" i="13"/>
  <c r="L822" i="13" s="1"/>
  <c r="I823" i="13" s="1"/>
  <c r="M1011" i="13"/>
  <c r="N1009" i="13"/>
  <c r="J1008" i="13" a="1"/>
  <c r="J1008" i="13" s="1"/>
  <c r="M1012" i="14"/>
  <c r="N1008" i="14"/>
  <c r="J1007" i="14" a="1"/>
  <c r="J1007" i="14" s="1"/>
  <c r="K823" i="13" l="1"/>
  <c r="L823" i="13" s="1"/>
  <c r="I824" i="13" s="1"/>
  <c r="N1010" i="13"/>
  <c r="J1009" i="13" a="1"/>
  <c r="J1009" i="13" s="1"/>
  <c r="N1009" i="14"/>
  <c r="J1008" i="14" a="1"/>
  <c r="J1008" i="14" s="1"/>
  <c r="M1013" i="14"/>
  <c r="M1012" i="13"/>
  <c r="K845" i="14"/>
  <c r="L845" i="14" s="1"/>
  <c r="I846" i="14" s="1"/>
  <c r="K846" i="14" l="1"/>
  <c r="L846" i="14" s="1"/>
  <c r="I847" i="14" s="1"/>
  <c r="K824" i="13"/>
  <c r="L824" i="13" s="1"/>
  <c r="I825" i="13" s="1"/>
  <c r="M1014" i="14"/>
  <c r="N1011" i="13"/>
  <c r="J1010" i="13" a="1"/>
  <c r="J1010" i="13" s="1"/>
  <c r="M1013" i="13"/>
  <c r="N1010" i="14"/>
  <c r="J1009" i="14" a="1"/>
  <c r="J1009" i="14" s="1"/>
  <c r="K847" i="14" l="1"/>
  <c r="L847" i="14" s="1"/>
  <c r="I848" i="14" s="1"/>
  <c r="K825" i="13"/>
  <c r="L825" i="13" s="1"/>
  <c r="I826" i="13" s="1"/>
  <c r="N1012" i="13"/>
  <c r="J1011" i="13" a="1"/>
  <c r="J1011" i="13" s="1"/>
  <c r="J1010" i="14" a="1"/>
  <c r="J1010" i="14" s="1"/>
  <c r="N1011" i="14"/>
  <c r="M1014" i="13"/>
  <c r="M1015" i="14"/>
  <c r="K848" i="14" l="1"/>
  <c r="L848" i="14" s="1"/>
  <c r="I849" i="14" s="1"/>
  <c r="K826" i="13"/>
  <c r="L826" i="13" s="1"/>
  <c r="I827" i="13" s="1"/>
  <c r="M1016" i="14"/>
  <c r="N1012" i="14"/>
  <c r="J1011" i="14" a="1"/>
  <c r="J1011" i="14" s="1"/>
  <c r="M1015" i="13"/>
  <c r="N1013" i="13"/>
  <c r="J1012" i="13" a="1"/>
  <c r="J1012" i="13" s="1"/>
  <c r="K827" i="13" l="1"/>
  <c r="L827" i="13" s="1"/>
  <c r="I828" i="13" s="1"/>
  <c r="K849" i="14"/>
  <c r="L849" i="14" s="1"/>
  <c r="I850" i="14" s="1"/>
  <c r="N1013" i="14"/>
  <c r="J1012" i="14" a="1"/>
  <c r="J1012" i="14" s="1"/>
  <c r="N1014" i="13"/>
  <c r="J1013" i="13" a="1"/>
  <c r="J1013" i="13" s="1"/>
  <c r="M1016" i="13"/>
  <c r="M1017" i="14"/>
  <c r="K850" i="14" l="1"/>
  <c r="L850" i="14" s="1"/>
  <c r="I851" i="14" s="1"/>
  <c r="N1015" i="13"/>
  <c r="J1014" i="13" a="1"/>
  <c r="J1014" i="13" s="1"/>
  <c r="M1018" i="14"/>
  <c r="M1017" i="13"/>
  <c r="N1014" i="14"/>
  <c r="J1013" i="14" a="1"/>
  <c r="J1013" i="14" s="1"/>
  <c r="K828" i="13"/>
  <c r="L828" i="13" s="1"/>
  <c r="I829" i="13" s="1"/>
  <c r="K851" i="14" l="1"/>
  <c r="L851" i="14" s="1"/>
  <c r="I852" i="14" s="1"/>
  <c r="K829" i="13"/>
  <c r="L829" i="13" s="1"/>
  <c r="I830" i="13" s="1"/>
  <c r="M1018" i="13"/>
  <c r="N1016" i="13"/>
  <c r="J1015" i="13" a="1"/>
  <c r="J1015" i="13" s="1"/>
  <c r="M1019" i="14"/>
  <c r="J1014" i="14" a="1"/>
  <c r="J1014" i="14" s="1"/>
  <c r="N1015" i="14"/>
  <c r="K852" i="14" l="1"/>
  <c r="L852" i="14" s="1"/>
  <c r="I853" i="14" s="1"/>
  <c r="K830" i="13"/>
  <c r="L830" i="13" s="1"/>
  <c r="I831" i="13" s="1"/>
  <c r="N1017" i="13"/>
  <c r="J1016" i="13" a="1"/>
  <c r="J1016" i="13" s="1"/>
  <c r="M1019" i="13"/>
  <c r="N1016" i="14"/>
  <c r="J1015" i="14" a="1"/>
  <c r="J1015" i="14" s="1"/>
  <c r="M1020" i="14"/>
  <c r="K853" i="14" l="1"/>
  <c r="L853" i="14" s="1"/>
  <c r="I854" i="14" s="1"/>
  <c r="K831" i="13"/>
  <c r="L831" i="13" s="1"/>
  <c r="I832" i="13" s="1"/>
  <c r="N1017" i="14"/>
  <c r="J1016" i="14" a="1"/>
  <c r="J1016" i="14" s="1"/>
  <c r="M1021" i="14"/>
  <c r="M1020" i="13"/>
  <c r="N1018" i="13"/>
  <c r="J1017" i="13" a="1"/>
  <c r="J1017" i="13" s="1"/>
  <c r="K854" i="14" l="1"/>
  <c r="L854" i="14" s="1"/>
  <c r="I855" i="14" s="1"/>
  <c r="K832" i="13"/>
  <c r="L832" i="13" s="1"/>
  <c r="I833" i="13" s="1"/>
  <c r="N1019" i="13"/>
  <c r="J1018" i="13" a="1"/>
  <c r="J1018" i="13" s="1"/>
  <c r="M1022" i="14"/>
  <c r="M1021" i="13"/>
  <c r="N1018" i="14"/>
  <c r="J1017" i="14" a="1"/>
  <c r="J1017" i="14" s="1"/>
  <c r="K833" i="13" l="1"/>
  <c r="L833" i="13" s="1"/>
  <c r="I834" i="13" s="1"/>
  <c r="K855" i="14"/>
  <c r="L855" i="14" s="1"/>
  <c r="I856" i="14" s="1"/>
  <c r="J1018" i="14" a="1"/>
  <c r="J1018" i="14" s="1"/>
  <c r="N1019" i="14"/>
  <c r="M1022" i="13"/>
  <c r="N1020" i="13"/>
  <c r="J1019" i="13" a="1"/>
  <c r="J1019" i="13" s="1"/>
  <c r="M1023" i="14"/>
  <c r="K834" i="13" l="1"/>
  <c r="L834" i="13" s="1"/>
  <c r="I835" i="13" s="1"/>
  <c r="N1021" i="13"/>
  <c r="J1020" i="13" a="1"/>
  <c r="J1020" i="13" s="1"/>
  <c r="M1024" i="14"/>
  <c r="M1023" i="13"/>
  <c r="K856" i="14"/>
  <c r="L856" i="14" s="1"/>
  <c r="I857" i="14" s="1"/>
  <c r="N1020" i="14"/>
  <c r="J1019" i="14" a="1"/>
  <c r="J1019" i="14" s="1"/>
  <c r="K857" i="14" l="1"/>
  <c r="L857" i="14" s="1"/>
  <c r="I858" i="14" s="1"/>
  <c r="K835" i="13"/>
  <c r="L835" i="13" s="1"/>
  <c r="I836" i="13" s="1"/>
  <c r="M1024" i="13"/>
  <c r="N1022" i="13"/>
  <c r="J1021" i="13" a="1"/>
  <c r="J1021" i="13" s="1"/>
  <c r="N1021" i="14"/>
  <c r="J1020" i="14" a="1"/>
  <c r="J1020" i="14" s="1"/>
  <c r="M1025" i="14"/>
  <c r="K836" i="13" l="1"/>
  <c r="L836" i="13" s="1"/>
  <c r="I837" i="13" s="1"/>
  <c r="K858" i="14"/>
  <c r="L858" i="14" s="1"/>
  <c r="I859" i="14" s="1"/>
  <c r="M1026" i="14"/>
  <c r="N1023" i="13"/>
  <c r="J1022" i="13" a="1"/>
  <c r="J1022" i="13" s="1"/>
  <c r="M1025" i="13"/>
  <c r="N1022" i="14"/>
  <c r="J1021" i="14" a="1"/>
  <c r="J1021" i="14" s="1"/>
  <c r="K859" i="14" l="1"/>
  <c r="L859" i="14" s="1"/>
  <c r="I860" i="14" s="1"/>
  <c r="K837" i="13"/>
  <c r="L837" i="13" s="1"/>
  <c r="I838" i="13" s="1"/>
  <c r="N1024" i="13"/>
  <c r="J1023" i="13" a="1"/>
  <c r="J1023" i="13" s="1"/>
  <c r="J1022" i="14" a="1"/>
  <c r="J1022" i="14" s="1"/>
  <c r="N1023" i="14"/>
  <c r="M1026" i="13"/>
  <c r="M1027" i="14"/>
  <c r="K838" i="13" l="1"/>
  <c r="L838" i="13" s="1"/>
  <c r="I839" i="13" s="1"/>
  <c r="K860" i="14"/>
  <c r="L860" i="14" s="1"/>
  <c r="I861" i="14" s="1"/>
  <c r="M1028" i="14"/>
  <c r="N1024" i="14"/>
  <c r="J1023" i="14" a="1"/>
  <c r="J1023" i="14" s="1"/>
  <c r="M1027" i="13"/>
  <c r="N1025" i="13"/>
  <c r="J1024" i="13" a="1"/>
  <c r="J1024" i="13" s="1"/>
  <c r="K839" i="13" l="1"/>
  <c r="L839" i="13" s="1"/>
  <c r="I840" i="13" s="1"/>
  <c r="K861" i="14"/>
  <c r="L861" i="14" s="1"/>
  <c r="I862" i="14" s="1"/>
  <c r="N1026" i="13"/>
  <c r="J1025" i="13" a="1"/>
  <c r="J1025" i="13" s="1"/>
  <c r="N1025" i="14"/>
  <c r="J1024" i="14" a="1"/>
  <c r="J1024" i="14" s="1"/>
  <c r="M1028" i="13"/>
  <c r="M1029" i="14"/>
  <c r="K862" i="14" l="1"/>
  <c r="L862" i="14" s="1"/>
  <c r="I863" i="14" s="1"/>
  <c r="K840" i="13"/>
  <c r="L840" i="13" s="1"/>
  <c r="I841" i="13" s="1"/>
  <c r="J1025" i="14" a="1"/>
  <c r="J1025" i="14" s="1"/>
  <c r="N1026" i="14"/>
  <c r="M1030" i="14"/>
  <c r="M1029" i="13"/>
  <c r="N1027" i="13"/>
  <c r="J1026" i="13" a="1"/>
  <c r="J1026" i="13" s="1"/>
  <c r="K863" i="14" l="1"/>
  <c r="L863" i="14" s="1"/>
  <c r="I864" i="14" s="1"/>
  <c r="K841" i="13"/>
  <c r="L841" i="13" s="1"/>
  <c r="I842" i="13" s="1"/>
  <c r="M1030" i="13"/>
  <c r="N1028" i="13"/>
  <c r="J1027" i="13" a="1"/>
  <c r="J1027" i="13" s="1"/>
  <c r="M1031" i="14"/>
  <c r="J1026" i="14" a="1"/>
  <c r="J1026" i="14" s="1"/>
  <c r="N1027" i="14"/>
  <c r="K864" i="14" l="1"/>
  <c r="L864" i="14" s="1"/>
  <c r="I865" i="14" s="1"/>
  <c r="K842" i="13"/>
  <c r="L842" i="13" s="1"/>
  <c r="I843" i="13" s="1"/>
  <c r="N1029" i="13"/>
  <c r="J1028" i="13" a="1"/>
  <c r="J1028" i="13" s="1"/>
  <c r="M1032" i="14"/>
  <c r="M1031" i="13"/>
  <c r="N1028" i="14"/>
  <c r="J1027" i="14" a="1"/>
  <c r="J1027" i="14" s="1"/>
  <c r="K843" i="13" l="1"/>
  <c r="L843" i="13" s="1"/>
  <c r="I844" i="13" s="1"/>
  <c r="K865" i="14"/>
  <c r="L865" i="14" s="1"/>
  <c r="I866" i="14" s="1"/>
  <c r="N1029" i="14"/>
  <c r="J1028" i="14" a="1"/>
  <c r="J1028" i="14" s="1"/>
  <c r="M1033" i="14"/>
  <c r="M1032" i="13"/>
  <c r="N1030" i="13"/>
  <c r="J1029" i="13" a="1"/>
  <c r="J1029" i="13" s="1"/>
  <c r="K866" i="14" l="1"/>
  <c r="L866" i="14" s="1"/>
  <c r="I867" i="14" s="1"/>
  <c r="K844" i="13"/>
  <c r="L844" i="13" s="1"/>
  <c r="I845" i="13" s="1"/>
  <c r="N1031" i="13"/>
  <c r="J1030" i="13" a="1"/>
  <c r="J1030" i="13" s="1"/>
  <c r="M1033" i="13"/>
  <c r="M1034" i="14"/>
  <c r="J1029" i="14" a="1"/>
  <c r="J1029" i="14" s="1"/>
  <c r="N1030" i="14"/>
  <c r="K867" i="14" l="1"/>
  <c r="L867" i="14" s="1"/>
  <c r="I868" i="14" s="1"/>
  <c r="K845" i="13"/>
  <c r="L845" i="13" s="1"/>
  <c r="I846" i="13" s="1"/>
  <c r="M1035" i="14"/>
  <c r="J1030" i="14" a="1"/>
  <c r="J1030" i="14" s="1"/>
  <c r="N1031" i="14"/>
  <c r="M1034" i="13"/>
  <c r="N1032" i="13"/>
  <c r="J1031" i="13" a="1"/>
  <c r="J1031" i="13" s="1"/>
  <c r="K846" i="13" l="1"/>
  <c r="L846" i="13" s="1"/>
  <c r="I847" i="13" s="1"/>
  <c r="K868" i="14"/>
  <c r="L868" i="14" s="1"/>
  <c r="I869" i="14" s="1"/>
  <c r="N1033" i="13"/>
  <c r="J1032" i="13" a="1"/>
  <c r="J1032" i="13" s="1"/>
  <c r="J1031" i="14" a="1"/>
  <c r="J1031" i="14" s="1"/>
  <c r="N1032" i="14"/>
  <c r="M1035" i="13"/>
  <c r="M1036" i="14"/>
  <c r="K847" i="13" l="1"/>
  <c r="L847" i="13" s="1"/>
  <c r="I848" i="13" s="1"/>
  <c r="K869" i="14"/>
  <c r="L869" i="14" s="1"/>
  <c r="I870" i="14" s="1"/>
  <c r="N1033" i="14"/>
  <c r="J1032" i="14" a="1"/>
  <c r="J1032" i="14" s="1"/>
  <c r="M1037" i="14"/>
  <c r="M1036" i="13"/>
  <c r="N1034" i="13"/>
  <c r="J1033" i="13" a="1"/>
  <c r="J1033" i="13" s="1"/>
  <c r="K870" i="14" l="1"/>
  <c r="L870" i="14" s="1"/>
  <c r="I871" i="14" s="1"/>
  <c r="N1035" i="13"/>
  <c r="J1034" i="13" a="1"/>
  <c r="J1034" i="13" s="1"/>
  <c r="M1038" i="14"/>
  <c r="M1037" i="13"/>
  <c r="J1033" i="14" a="1"/>
  <c r="J1033" i="14" s="1"/>
  <c r="N1034" i="14"/>
  <c r="K848" i="13"/>
  <c r="L848" i="13" s="1"/>
  <c r="I849" i="13" s="1"/>
  <c r="K849" i="13" l="1"/>
  <c r="L849" i="13" s="1"/>
  <c r="I850" i="13" s="1"/>
  <c r="M1039" i="14"/>
  <c r="N1036" i="13"/>
  <c r="J1035" i="13" a="1"/>
  <c r="J1035" i="13" s="1"/>
  <c r="M1038" i="13"/>
  <c r="J1034" i="14" a="1"/>
  <c r="J1034" i="14" s="1"/>
  <c r="N1035" i="14"/>
  <c r="K871" i="14"/>
  <c r="L871" i="14" s="1"/>
  <c r="I872" i="14" s="1"/>
  <c r="K872" i="14" l="1"/>
  <c r="L872" i="14" s="1"/>
  <c r="I873" i="14" s="1"/>
  <c r="K850" i="13"/>
  <c r="L850" i="13" s="1"/>
  <c r="I851" i="13" s="1"/>
  <c r="N1036" i="14"/>
  <c r="J1035" i="14" a="1"/>
  <c r="J1035" i="14" s="1"/>
  <c r="M1039" i="13"/>
  <c r="M1040" i="14"/>
  <c r="N1037" i="13"/>
  <c r="J1036" i="13" a="1"/>
  <c r="J1036" i="13" s="1"/>
  <c r="M1040" i="13" l="1"/>
  <c r="N1038" i="13"/>
  <c r="J1037" i="13" a="1"/>
  <c r="J1037" i="13" s="1"/>
  <c r="K851" i="13"/>
  <c r="L851" i="13" s="1"/>
  <c r="I852" i="13" s="1"/>
  <c r="M1041" i="14"/>
  <c r="N1037" i="14"/>
  <c r="J1036" i="14" a="1"/>
  <c r="J1036" i="14" s="1"/>
  <c r="K873" i="14"/>
  <c r="L873" i="14" s="1"/>
  <c r="I874" i="14" s="1"/>
  <c r="K852" i="13" l="1"/>
  <c r="L852" i="13" s="1"/>
  <c r="I853" i="13" s="1"/>
  <c r="K874" i="14"/>
  <c r="L874" i="14" s="1"/>
  <c r="I875" i="14" s="1"/>
  <c r="M1042" i="14"/>
  <c r="N1039" i="13"/>
  <c r="J1038" i="13" a="1"/>
  <c r="J1038" i="13" s="1"/>
  <c r="M1041" i="13"/>
  <c r="J1037" i="14" a="1"/>
  <c r="J1037" i="14" s="1"/>
  <c r="N1038" i="14"/>
  <c r="N1040" i="13" l="1"/>
  <c r="J1039" i="13" a="1"/>
  <c r="J1039" i="13" s="1"/>
  <c r="K875" i="14"/>
  <c r="L875" i="14" s="1"/>
  <c r="I876" i="14" s="1"/>
  <c r="M1042" i="13"/>
  <c r="M1043" i="14"/>
  <c r="J1038" i="14" a="1"/>
  <c r="J1038" i="14" s="1"/>
  <c r="N1039" i="14"/>
  <c r="K853" i="13"/>
  <c r="L853" i="13" s="1"/>
  <c r="I854" i="13" s="1"/>
  <c r="K854" i="13" l="1"/>
  <c r="L854" i="13" s="1"/>
  <c r="I855" i="13" s="1"/>
  <c r="K876" i="14"/>
  <c r="L876" i="14" s="1"/>
  <c r="I877" i="14" s="1"/>
  <c r="M1043" i="13"/>
  <c r="M1044" i="14"/>
  <c r="N1040" i="14"/>
  <c r="J1039" i="14" a="1"/>
  <c r="J1039" i="14" s="1"/>
  <c r="N1041" i="13"/>
  <c r="J1040" i="13" a="1"/>
  <c r="J1040" i="13" s="1"/>
  <c r="K855" i="13" l="1"/>
  <c r="L855" i="13" s="1"/>
  <c r="I856" i="13" s="1"/>
  <c r="K877" i="14"/>
  <c r="L877" i="14" s="1"/>
  <c r="I878" i="14" s="1"/>
  <c r="M1044" i="13"/>
  <c r="N1042" i="13"/>
  <c r="J1041" i="13" a="1"/>
  <c r="J1041" i="13" s="1"/>
  <c r="M1045" i="14"/>
  <c r="N1041" i="14"/>
  <c r="J1040" i="14" a="1"/>
  <c r="J1040" i="14" s="1"/>
  <c r="K856" i="13" l="1"/>
  <c r="L856" i="13" s="1"/>
  <c r="I857" i="13" s="1"/>
  <c r="K878" i="14"/>
  <c r="L878" i="14" s="1"/>
  <c r="I879" i="14" s="1"/>
  <c r="J1041" i="14" a="1"/>
  <c r="J1041" i="14" s="1"/>
  <c r="N1042" i="14"/>
  <c r="M1045" i="13"/>
  <c r="N1043" i="13"/>
  <c r="J1042" i="13" a="1"/>
  <c r="J1042" i="13" s="1"/>
  <c r="M1046" i="14"/>
  <c r="K857" i="13" l="1"/>
  <c r="L857" i="13" s="1"/>
  <c r="I858" i="13" s="1"/>
  <c r="K879" i="14"/>
  <c r="L879" i="14" s="1"/>
  <c r="I880" i="14" s="1"/>
  <c r="J1042" i="14" a="1"/>
  <c r="J1042" i="14" s="1"/>
  <c r="N1043" i="14"/>
  <c r="M1047" i="14"/>
  <c r="N1044" i="13"/>
  <c r="J1043" i="13" a="1"/>
  <c r="J1043" i="13" s="1"/>
  <c r="M1046" i="13"/>
  <c r="K880" i="14" l="1"/>
  <c r="L880" i="14" s="1"/>
  <c r="I881" i="14" s="1"/>
  <c r="K858" i="13"/>
  <c r="L858" i="13" s="1"/>
  <c r="I859" i="13" s="1"/>
  <c r="N1045" i="13"/>
  <c r="J1044" i="13" a="1"/>
  <c r="J1044" i="13" s="1"/>
  <c r="M1047" i="13"/>
  <c r="M1048" i="14"/>
  <c r="N1044" i="14"/>
  <c r="J1043" i="14" a="1"/>
  <c r="J1043" i="14" s="1"/>
  <c r="K859" i="13" l="1"/>
  <c r="L859" i="13" s="1"/>
  <c r="I860" i="13" s="1"/>
  <c r="K881" i="14"/>
  <c r="L881" i="14" s="1"/>
  <c r="I882" i="14" s="1"/>
  <c r="M1048" i="13"/>
  <c r="N1045" i="14"/>
  <c r="J1044" i="14" a="1"/>
  <c r="J1044" i="14" s="1"/>
  <c r="M1049" i="14"/>
  <c r="N1046" i="13"/>
  <c r="J1045" i="13" a="1"/>
  <c r="J1045" i="13" s="1"/>
  <c r="K882" i="14" l="1"/>
  <c r="L882" i="14" s="1"/>
  <c r="I883" i="14" s="1"/>
  <c r="N1047" i="13"/>
  <c r="J1046" i="13" a="1"/>
  <c r="J1046" i="13" s="1"/>
  <c r="J1045" i="14" a="1"/>
  <c r="J1045" i="14" s="1"/>
  <c r="N1046" i="14"/>
  <c r="M1049" i="13"/>
  <c r="M1050" i="14"/>
  <c r="K860" i="13"/>
  <c r="L860" i="13" s="1"/>
  <c r="I861" i="13" s="1"/>
  <c r="K883" i="14" l="1"/>
  <c r="L883" i="14" s="1"/>
  <c r="I884" i="14" s="1"/>
  <c r="K861" i="13"/>
  <c r="L861" i="13" s="1"/>
  <c r="I862" i="13" s="1"/>
  <c r="M1050" i="13"/>
  <c r="N1048" i="13"/>
  <c r="J1047" i="13" a="1"/>
  <c r="J1047" i="13" s="1"/>
  <c r="M1051" i="14"/>
  <c r="J1046" i="14" a="1"/>
  <c r="J1046" i="14" s="1"/>
  <c r="N1047" i="14"/>
  <c r="K862" i="13" l="1"/>
  <c r="L862" i="13" s="1"/>
  <c r="I863" i="13" s="1"/>
  <c r="K884" i="14"/>
  <c r="L884" i="14" s="1"/>
  <c r="I885" i="14" s="1"/>
  <c r="N1049" i="13"/>
  <c r="J1048" i="13" a="1"/>
  <c r="J1048" i="13" s="1"/>
  <c r="M1051" i="13"/>
  <c r="N1048" i="14"/>
  <c r="J1047" i="14" a="1"/>
  <c r="J1047" i="14" s="1"/>
  <c r="M1052" i="14"/>
  <c r="K863" i="13" l="1"/>
  <c r="L863" i="13" s="1"/>
  <c r="I864" i="13" s="1"/>
  <c r="M1053" i="14"/>
  <c r="K885" i="14"/>
  <c r="L885" i="14" s="1"/>
  <c r="I886" i="14" s="1"/>
  <c r="N1049" i="14"/>
  <c r="J1048" i="14" a="1"/>
  <c r="J1048" i="14" s="1"/>
  <c r="M1052" i="13"/>
  <c r="N1050" i="13"/>
  <c r="J1049" i="13" a="1"/>
  <c r="J1049" i="13" s="1"/>
  <c r="K886" i="14" l="1"/>
  <c r="L886" i="14" s="1"/>
  <c r="I887" i="14" s="1"/>
  <c r="K864" i="13"/>
  <c r="L864" i="13" s="1"/>
  <c r="I865" i="13" s="1"/>
  <c r="N1051" i="13"/>
  <c r="J1050" i="13" a="1"/>
  <c r="J1050" i="13" s="1"/>
  <c r="J1049" i="14" a="1"/>
  <c r="J1049" i="14" s="1"/>
  <c r="N1050" i="14"/>
  <c r="M1054" i="14"/>
  <c r="M1053" i="13"/>
  <c r="K887" i="14" l="1"/>
  <c r="L887" i="14" s="1"/>
  <c r="I888" i="14" s="1"/>
  <c r="K865" i="13"/>
  <c r="L865" i="13" s="1"/>
  <c r="I866" i="13" s="1"/>
  <c r="J1050" i="14" a="1"/>
  <c r="J1050" i="14" s="1"/>
  <c r="N1051" i="14"/>
  <c r="M1054" i="13"/>
  <c r="M1055" i="14"/>
  <c r="N1052" i="13"/>
  <c r="J1051" i="13" a="1"/>
  <c r="J1051" i="13" s="1"/>
  <c r="K866" i="13" l="1"/>
  <c r="L866" i="13" s="1"/>
  <c r="I867" i="13" s="1"/>
  <c r="M1055" i="13"/>
  <c r="N1053" i="13"/>
  <c r="J1052" i="13" a="1"/>
  <c r="J1052" i="13" s="1"/>
  <c r="M1056" i="14"/>
  <c r="N1052" i="14"/>
  <c r="J1051" i="14" a="1"/>
  <c r="J1051" i="14" s="1"/>
  <c r="K888" i="14"/>
  <c r="L888" i="14" s="1"/>
  <c r="I889" i="14" s="1"/>
  <c r="K889" i="14" l="1"/>
  <c r="L889" i="14" s="1"/>
  <c r="I890" i="14" s="1"/>
  <c r="M1056" i="13"/>
  <c r="M1057" i="14"/>
  <c r="N1053" i="14"/>
  <c r="J1052" i="14" a="1"/>
  <c r="J1052" i="14" s="1"/>
  <c r="N1054" i="13"/>
  <c r="J1053" i="13" a="1"/>
  <c r="J1053" i="13" s="1"/>
  <c r="K867" i="13"/>
  <c r="L867" i="13" s="1"/>
  <c r="I868" i="13" s="1"/>
  <c r="K890" i="14" l="1"/>
  <c r="L890" i="14" s="1"/>
  <c r="I891" i="14" s="1"/>
  <c r="J1053" i="14" a="1"/>
  <c r="J1053" i="14" s="1"/>
  <c r="N1054" i="14"/>
  <c r="K868" i="13"/>
  <c r="L868" i="13" s="1"/>
  <c r="I869" i="13" s="1"/>
  <c r="N1055" i="13"/>
  <c r="J1054" i="13" a="1"/>
  <c r="J1054" i="13" s="1"/>
  <c r="M1058" i="14"/>
  <c r="M1057" i="13"/>
  <c r="K869" i="13" l="1"/>
  <c r="L869" i="13" s="1"/>
  <c r="I870" i="13" s="1"/>
  <c r="K891" i="14"/>
  <c r="L891" i="14" s="1"/>
  <c r="I892" i="14" s="1"/>
  <c r="J1054" i="14" a="1"/>
  <c r="J1054" i="14" s="1"/>
  <c r="N1055" i="14"/>
  <c r="N1056" i="13"/>
  <c r="J1055" i="13" a="1"/>
  <c r="J1055" i="13" s="1"/>
  <c r="M1059" i="14"/>
  <c r="M1058" i="13"/>
  <c r="K892" i="14" l="1"/>
  <c r="L892" i="14" s="1"/>
  <c r="I893" i="14" s="1"/>
  <c r="K870" i="13"/>
  <c r="L870" i="13" s="1"/>
  <c r="I871" i="13" s="1"/>
  <c r="M1059" i="13"/>
  <c r="N1057" i="13"/>
  <c r="J1056" i="13" a="1"/>
  <c r="J1056" i="13" s="1"/>
  <c r="M1060" i="14"/>
  <c r="N1056" i="14"/>
  <c r="J1055" i="14" a="1"/>
  <c r="J1055" i="14" s="1"/>
  <c r="K893" i="14" l="1"/>
  <c r="L893" i="14" s="1"/>
  <c r="I894" i="14" s="1"/>
  <c r="N1058" i="13"/>
  <c r="J1057" i="13" a="1"/>
  <c r="J1057" i="13" s="1"/>
  <c r="N1057" i="14"/>
  <c r="J1056" i="14" a="1"/>
  <c r="J1056" i="14" s="1"/>
  <c r="K871" i="13"/>
  <c r="L871" i="13" s="1"/>
  <c r="I872" i="13" s="1"/>
  <c r="M1060" i="13"/>
  <c r="M1061" i="14"/>
  <c r="K872" i="13" l="1"/>
  <c r="L872" i="13" s="1"/>
  <c r="I873" i="13" s="1"/>
  <c r="K894" i="14"/>
  <c r="L894" i="14" s="1"/>
  <c r="I895" i="14" s="1"/>
  <c r="M1062" i="14"/>
  <c r="N1059" i="13"/>
  <c r="J1058" i="13" a="1"/>
  <c r="J1058" i="13" s="1"/>
  <c r="M1061" i="13"/>
  <c r="J1057" i="14" a="1"/>
  <c r="J1057" i="14" s="1"/>
  <c r="N1058" i="14"/>
  <c r="K895" i="14" l="1"/>
  <c r="L895" i="14" s="1"/>
  <c r="I896" i="14" s="1"/>
  <c r="K873" i="13"/>
  <c r="L873" i="13" s="1"/>
  <c r="I874" i="13" s="1"/>
  <c r="J1058" i="14" a="1"/>
  <c r="J1058" i="14" s="1"/>
  <c r="N1059" i="14"/>
  <c r="N1060" i="13"/>
  <c r="J1059" i="13" a="1"/>
  <c r="J1059" i="13" s="1"/>
  <c r="M1062" i="13"/>
  <c r="M1063" i="14"/>
  <c r="K874" i="13" l="1"/>
  <c r="L874" i="13" s="1"/>
  <c r="I875" i="13" s="1"/>
  <c r="K896" i="14"/>
  <c r="L896" i="14" s="1"/>
  <c r="I897" i="14" s="1"/>
  <c r="N1061" i="13"/>
  <c r="J1060" i="13" a="1"/>
  <c r="J1060" i="13" s="1"/>
  <c r="M1064" i="14"/>
  <c r="M1063" i="13"/>
  <c r="N1060" i="14"/>
  <c r="J1059" i="14" a="1"/>
  <c r="J1059" i="14" s="1"/>
  <c r="K897" i="14" l="1"/>
  <c r="L897" i="14" s="1"/>
  <c r="I898" i="14" s="1"/>
  <c r="N1061" i="14"/>
  <c r="J1060" i="14" a="1"/>
  <c r="J1060" i="14" s="1"/>
  <c r="M1065" i="14"/>
  <c r="M1064" i="13"/>
  <c r="N1062" i="13"/>
  <c r="J1061" i="13" a="1"/>
  <c r="J1061" i="13" s="1"/>
  <c r="K875" i="13"/>
  <c r="L875" i="13" s="1"/>
  <c r="I876" i="13" s="1"/>
  <c r="K876" i="13" l="1"/>
  <c r="L876" i="13" s="1"/>
  <c r="I877" i="13" s="1"/>
  <c r="K898" i="14"/>
  <c r="L898" i="14" s="1"/>
  <c r="I899" i="14" s="1"/>
  <c r="J1061" i="14" a="1"/>
  <c r="J1061" i="14" s="1"/>
  <c r="N1062" i="14"/>
  <c r="M1065" i="13"/>
  <c r="N1063" i="13"/>
  <c r="J1062" i="13" a="1"/>
  <c r="J1062" i="13" s="1"/>
  <c r="M1066" i="14"/>
  <c r="K877" i="13" l="1"/>
  <c r="L877" i="13" s="1"/>
  <c r="I878" i="13" s="1"/>
  <c r="K899" i="14"/>
  <c r="L899" i="14" s="1"/>
  <c r="I900" i="14" s="1"/>
  <c r="M1067" i="14"/>
  <c r="M1066" i="13"/>
  <c r="J1062" i="14" a="1"/>
  <c r="J1062" i="14" s="1"/>
  <c r="N1063" i="14"/>
  <c r="N1064" i="13"/>
  <c r="J1063" i="13" a="1"/>
  <c r="J1063" i="13" s="1"/>
  <c r="K878" i="13" l="1"/>
  <c r="L878" i="13" s="1"/>
  <c r="I879" i="13" s="1"/>
  <c r="K900" i="14"/>
  <c r="L900" i="14" s="1"/>
  <c r="I901" i="14" s="1"/>
  <c r="M1067" i="13"/>
  <c r="N1065" i="13"/>
  <c r="J1064" i="13" a="1"/>
  <c r="J1064" i="13" s="1"/>
  <c r="N1064" i="14"/>
  <c r="J1063" i="14" a="1"/>
  <c r="J1063" i="14" s="1"/>
  <c r="M1068" i="14"/>
  <c r="K901" i="14" l="1"/>
  <c r="L901" i="14" s="1"/>
  <c r="I902" i="14" s="1"/>
  <c r="K879" i="13"/>
  <c r="L879" i="13" s="1"/>
  <c r="I880" i="13" s="1"/>
  <c r="M1069" i="14"/>
  <c r="N1066" i="13"/>
  <c r="J1065" i="13" a="1"/>
  <c r="J1065" i="13" s="1"/>
  <c r="M1068" i="13"/>
  <c r="N1065" i="14"/>
  <c r="J1064" i="14" a="1"/>
  <c r="J1064" i="14" s="1"/>
  <c r="K902" i="14" l="1"/>
  <c r="L902" i="14" s="1"/>
  <c r="I903" i="14" s="1"/>
  <c r="K880" i="13"/>
  <c r="L880" i="13" s="1"/>
  <c r="I881" i="13" s="1"/>
  <c r="J1065" i="14" a="1"/>
  <c r="J1065" i="14" s="1"/>
  <c r="N1066" i="14"/>
  <c r="N1067" i="13"/>
  <c r="J1066" i="13" a="1"/>
  <c r="J1066" i="13" s="1"/>
  <c r="M1069" i="13"/>
  <c r="M1070" i="14"/>
  <c r="K903" i="14" l="1"/>
  <c r="L903" i="14" s="1"/>
  <c r="I904" i="14" s="1"/>
  <c r="K881" i="13"/>
  <c r="L881" i="13" s="1"/>
  <c r="I882" i="13" s="1"/>
  <c r="M1071" i="14"/>
  <c r="N1068" i="13"/>
  <c r="J1067" i="13" a="1"/>
  <c r="J1067" i="13" s="1"/>
  <c r="M1070" i="13"/>
  <c r="J1066" i="14" a="1"/>
  <c r="J1066" i="14" s="1"/>
  <c r="N1067" i="14"/>
  <c r="K904" i="14" l="1"/>
  <c r="L904" i="14" s="1"/>
  <c r="I905" i="14" s="1"/>
  <c r="K882" i="13"/>
  <c r="L882" i="13" s="1"/>
  <c r="I883" i="13" s="1"/>
  <c r="N1068" i="14"/>
  <c r="J1067" i="14" a="1"/>
  <c r="J1067" i="14" s="1"/>
  <c r="N1069" i="13"/>
  <c r="J1068" i="13" a="1"/>
  <c r="J1068" i="13" s="1"/>
  <c r="M1071" i="13"/>
  <c r="M1072" i="14"/>
  <c r="K905" i="14" l="1"/>
  <c r="L905" i="14" s="1"/>
  <c r="I906" i="14" s="1"/>
  <c r="K883" i="13"/>
  <c r="L883" i="13" s="1"/>
  <c r="I884" i="13" s="1"/>
  <c r="N1070" i="13"/>
  <c r="J1069" i="13" a="1"/>
  <c r="J1069" i="13" s="1"/>
  <c r="M1073" i="14"/>
  <c r="M1072" i="13"/>
  <c r="N1069" i="14"/>
  <c r="J1068" i="14" a="1"/>
  <c r="J1068" i="14" s="1"/>
  <c r="K906" i="14" l="1"/>
  <c r="L906" i="14" s="1"/>
  <c r="I907" i="14" s="1"/>
  <c r="K884" i="13"/>
  <c r="L884" i="13" s="1"/>
  <c r="I885" i="13" s="1"/>
  <c r="J1069" i="14" a="1"/>
  <c r="J1069" i="14" s="1"/>
  <c r="N1070" i="14"/>
  <c r="M1074" i="14"/>
  <c r="M1073" i="13"/>
  <c r="N1071" i="13"/>
  <c r="J1070" i="13" a="1"/>
  <c r="J1070" i="13" s="1"/>
  <c r="K907" i="14" l="1"/>
  <c r="L907" i="14" s="1"/>
  <c r="I908" i="14" s="1"/>
  <c r="M1075" i="14"/>
  <c r="K885" i="13"/>
  <c r="L885" i="13" s="1"/>
  <c r="I886" i="13" s="1"/>
  <c r="N1072" i="13"/>
  <c r="J1071" i="13" a="1"/>
  <c r="J1071" i="13" s="1"/>
  <c r="M1074" i="13"/>
  <c r="J1070" i="14" a="1"/>
  <c r="J1070" i="14" s="1"/>
  <c r="N1071" i="14"/>
  <c r="M1076" i="14" l="1"/>
  <c r="N1073" i="13"/>
  <c r="J1072" i="13" a="1"/>
  <c r="J1072" i="13" s="1"/>
  <c r="M1075" i="13"/>
  <c r="N1072" i="14"/>
  <c r="J1071" i="14" a="1"/>
  <c r="J1071" i="14" s="1"/>
  <c r="K886" i="13"/>
  <c r="L886" i="13" s="1"/>
  <c r="I887" i="13" s="1"/>
  <c r="K908" i="14"/>
  <c r="L908" i="14" s="1"/>
  <c r="I909" i="14" s="1"/>
  <c r="K909" i="14" l="1"/>
  <c r="L909" i="14" s="1"/>
  <c r="I910" i="14" s="1"/>
  <c r="K887" i="13"/>
  <c r="L887" i="13" s="1"/>
  <c r="I888" i="13" s="1"/>
  <c r="N1074" i="13"/>
  <c r="J1073" i="13" a="1"/>
  <c r="J1073" i="13" s="1"/>
  <c r="N1073" i="14"/>
  <c r="J1072" i="14" a="1"/>
  <c r="J1072" i="14" s="1"/>
  <c r="M1076" i="13"/>
  <c r="M1077" i="14"/>
  <c r="K888" i="13" l="1"/>
  <c r="L888" i="13" s="1"/>
  <c r="I889" i="13" s="1"/>
  <c r="K910" i="14"/>
  <c r="L910" i="14" s="1"/>
  <c r="I911" i="14" s="1"/>
  <c r="M1078" i="14"/>
  <c r="J1073" i="14" a="1"/>
  <c r="J1073" i="14" s="1"/>
  <c r="N1074" i="14"/>
  <c r="M1077" i="13"/>
  <c r="N1075" i="13"/>
  <c r="J1074" i="13" a="1"/>
  <c r="J1074" i="13" s="1"/>
  <c r="K911" i="14" l="1"/>
  <c r="L911" i="14" s="1"/>
  <c r="I912" i="14" s="1"/>
  <c r="K889" i="13"/>
  <c r="L889" i="13" s="1"/>
  <c r="I890" i="13" s="1"/>
  <c r="J1074" i="14" a="1"/>
  <c r="J1074" i="14" s="1"/>
  <c r="N1075" i="14"/>
  <c r="N1076" i="13"/>
  <c r="J1075" i="13" a="1"/>
  <c r="J1075" i="13" s="1"/>
  <c r="M1078" i="13"/>
  <c r="M1079" i="14"/>
  <c r="K912" i="14" l="1"/>
  <c r="L912" i="14" s="1"/>
  <c r="I913" i="14" s="1"/>
  <c r="K890" i="13"/>
  <c r="L890" i="13" s="1"/>
  <c r="I891" i="13" s="1"/>
  <c r="N1077" i="13"/>
  <c r="J1076" i="13" a="1"/>
  <c r="J1076" i="13" s="1"/>
  <c r="M1080" i="14"/>
  <c r="N1076" i="14"/>
  <c r="J1075" i="14" a="1"/>
  <c r="J1075" i="14" s="1"/>
  <c r="M1079" i="13"/>
  <c r="K891" i="13" l="1"/>
  <c r="L891" i="13" s="1"/>
  <c r="I892" i="13" s="1"/>
  <c r="K913" i="14"/>
  <c r="L913" i="14" s="1"/>
  <c r="I914" i="14" s="1"/>
  <c r="M1080" i="13"/>
  <c r="M1081" i="14"/>
  <c r="N1077" i="14"/>
  <c r="J1076" i="14" a="1"/>
  <c r="J1076" i="14" s="1"/>
  <c r="N1078" i="13"/>
  <c r="J1077" i="13" a="1"/>
  <c r="J1077" i="13" s="1"/>
  <c r="K914" i="14" l="1"/>
  <c r="L914" i="14" s="1"/>
  <c r="I915" i="14" s="1"/>
  <c r="K892" i="13"/>
  <c r="L892" i="13" s="1"/>
  <c r="I893" i="13" s="1"/>
  <c r="N1079" i="13"/>
  <c r="J1078" i="13" a="1"/>
  <c r="J1078" i="13" s="1"/>
  <c r="M1082" i="14"/>
  <c r="J1077" i="14" a="1"/>
  <c r="J1077" i="14" s="1"/>
  <c r="N1078" i="14"/>
  <c r="M1081" i="13"/>
  <c r="K915" i="14" l="1"/>
  <c r="L915" i="14" s="1"/>
  <c r="I916" i="14" s="1"/>
  <c r="K893" i="13"/>
  <c r="L893" i="13" s="1"/>
  <c r="I894" i="13" s="1"/>
  <c r="N1080" i="13"/>
  <c r="J1079" i="13" a="1"/>
  <c r="J1079" i="13" s="1"/>
  <c r="J1078" i="14" a="1"/>
  <c r="J1078" i="14" s="1"/>
  <c r="N1079" i="14"/>
  <c r="M1082" i="13"/>
  <c r="M1083" i="14"/>
  <c r="K916" i="14" l="1"/>
  <c r="L916" i="14" s="1"/>
  <c r="I917" i="14" s="1"/>
  <c r="K894" i="13"/>
  <c r="L894" i="13" s="1"/>
  <c r="I895" i="13" s="1"/>
  <c r="M1083" i="13"/>
  <c r="M1084" i="14"/>
  <c r="N1080" i="14"/>
  <c r="J1079" i="14" a="1"/>
  <c r="J1079" i="14" s="1"/>
  <c r="N1081" i="13"/>
  <c r="J1080" i="13" a="1"/>
  <c r="J1080" i="13" s="1"/>
  <c r="K917" i="14" l="1"/>
  <c r="L917" i="14" s="1"/>
  <c r="I918" i="14" s="1"/>
  <c r="K895" i="13"/>
  <c r="L895" i="13" s="1"/>
  <c r="I896" i="13" s="1"/>
  <c r="N1082" i="13"/>
  <c r="J1081" i="13" a="1"/>
  <c r="J1081" i="13" s="1"/>
  <c r="M1085" i="14"/>
  <c r="M1084" i="13"/>
  <c r="N1081" i="14"/>
  <c r="J1080" i="14" a="1"/>
  <c r="J1080" i="14" s="1"/>
  <c r="K918" i="14" l="1"/>
  <c r="L918" i="14" s="1"/>
  <c r="I919" i="14" s="1"/>
  <c r="K896" i="13"/>
  <c r="L896" i="13" s="1"/>
  <c r="I897" i="13" s="1"/>
  <c r="M1085" i="13"/>
  <c r="J1081" i="14" a="1"/>
  <c r="J1081" i="14" s="1"/>
  <c r="N1082" i="14"/>
  <c r="M1086" i="14"/>
  <c r="N1083" i="13"/>
  <c r="J1082" i="13" a="1"/>
  <c r="J1082" i="13" s="1"/>
  <c r="K897" i="13" l="1"/>
  <c r="L897" i="13" s="1"/>
  <c r="I898" i="13" s="1"/>
  <c r="K919" i="14"/>
  <c r="L919" i="14" s="1"/>
  <c r="I920" i="14" s="1"/>
  <c r="J1082" i="14" a="1"/>
  <c r="J1082" i="14" s="1"/>
  <c r="N1083" i="14"/>
  <c r="N1084" i="13"/>
  <c r="J1083" i="13" a="1"/>
  <c r="J1083" i="13" s="1"/>
  <c r="M1086" i="13"/>
  <c r="M1087" i="14"/>
  <c r="K920" i="14" l="1"/>
  <c r="L920" i="14" s="1"/>
  <c r="I921" i="14" s="1"/>
  <c r="M1088" i="14"/>
  <c r="N1085" i="13"/>
  <c r="J1084" i="13" a="1"/>
  <c r="J1084" i="13" s="1"/>
  <c r="M1087" i="13"/>
  <c r="N1084" i="14"/>
  <c r="J1083" i="14" a="1"/>
  <c r="J1083" i="14" s="1"/>
  <c r="K898" i="13"/>
  <c r="L898" i="13" s="1"/>
  <c r="I899" i="13" s="1"/>
  <c r="K899" i="13" l="1"/>
  <c r="L899" i="13" s="1"/>
  <c r="I900" i="13" s="1"/>
  <c r="K921" i="14"/>
  <c r="L921" i="14" s="1"/>
  <c r="I922" i="14" s="1"/>
  <c r="M1088" i="13"/>
  <c r="M1089" i="14"/>
  <c r="N1085" i="14"/>
  <c r="J1084" i="14" a="1"/>
  <c r="J1084" i="14" s="1"/>
  <c r="N1086" i="13"/>
  <c r="J1085" i="13" a="1"/>
  <c r="J1085" i="13" s="1"/>
  <c r="K922" i="14" l="1"/>
  <c r="L922" i="14" s="1"/>
  <c r="I923" i="14" s="1"/>
  <c r="K900" i="13"/>
  <c r="L900" i="13" s="1"/>
  <c r="I901" i="13" s="1"/>
  <c r="N1087" i="13"/>
  <c r="J1086" i="13" a="1"/>
  <c r="J1086" i="13" s="1"/>
  <c r="M1090" i="14"/>
  <c r="M1089" i="13"/>
  <c r="J1085" i="14" a="1"/>
  <c r="J1085" i="14" s="1"/>
  <c r="N1086" i="14"/>
  <c r="K923" i="14" l="1"/>
  <c r="L923" i="14" s="1"/>
  <c r="I924" i="14" s="1"/>
  <c r="K901" i="13"/>
  <c r="L901" i="13" s="1"/>
  <c r="I902" i="13" s="1"/>
  <c r="M1091" i="14"/>
  <c r="J1086" i="14" a="1"/>
  <c r="J1086" i="14" s="1"/>
  <c r="N1087" i="14"/>
  <c r="M1090" i="13"/>
  <c r="N1088" i="13"/>
  <c r="J1087" i="13" a="1"/>
  <c r="J1087" i="13" s="1"/>
  <c r="K924" i="14" l="1"/>
  <c r="L924" i="14" s="1"/>
  <c r="I925" i="14" s="1"/>
  <c r="K902" i="13"/>
  <c r="L902" i="13" s="1"/>
  <c r="I903" i="13" s="1"/>
  <c r="N1088" i="14"/>
  <c r="J1087" i="14" a="1"/>
  <c r="J1087" i="14" s="1"/>
  <c r="M1091" i="13"/>
  <c r="N1089" i="13"/>
  <c r="J1088" i="13" a="1"/>
  <c r="J1088" i="13" s="1"/>
  <c r="M1092" i="14"/>
  <c r="K903" i="13" l="1"/>
  <c r="L903" i="13" s="1"/>
  <c r="I904" i="13" s="1"/>
  <c r="N1090" i="13"/>
  <c r="J1089" i="13" a="1"/>
  <c r="J1089" i="13" s="1"/>
  <c r="M1092" i="13"/>
  <c r="M1093" i="14"/>
  <c r="N1089" i="14"/>
  <c r="J1088" i="14" a="1"/>
  <c r="J1088" i="14" s="1"/>
  <c r="K925" i="14"/>
  <c r="L925" i="14" s="1"/>
  <c r="I926" i="14" s="1"/>
  <c r="K926" i="14" l="1"/>
  <c r="L926" i="14" s="1"/>
  <c r="I927" i="14" s="1"/>
  <c r="M1094" i="14"/>
  <c r="N1091" i="13"/>
  <c r="J1090" i="13" a="1"/>
  <c r="J1090" i="13" s="1"/>
  <c r="J1089" i="14" a="1"/>
  <c r="J1089" i="14" s="1"/>
  <c r="N1090" i="14"/>
  <c r="M1093" i="13"/>
  <c r="K904" i="13"/>
  <c r="L904" i="13" s="1"/>
  <c r="I905" i="13" s="1"/>
  <c r="K905" i="13" l="1"/>
  <c r="L905" i="13" s="1"/>
  <c r="I906" i="13" s="1"/>
  <c r="K927" i="14"/>
  <c r="L927" i="14" s="1"/>
  <c r="I928" i="14" s="1"/>
  <c r="J1090" i="14" a="1"/>
  <c r="J1090" i="14" s="1"/>
  <c r="N1091" i="14"/>
  <c r="M1095" i="14"/>
  <c r="M1094" i="13"/>
  <c r="N1092" i="13"/>
  <c r="J1091" i="13" a="1"/>
  <c r="J1091" i="13" s="1"/>
  <c r="K928" i="14" l="1"/>
  <c r="L928" i="14" s="1"/>
  <c r="I929" i="14" s="1"/>
  <c r="N1093" i="13"/>
  <c r="J1092" i="13" a="1"/>
  <c r="J1092" i="13" s="1"/>
  <c r="M1096" i="14"/>
  <c r="M1095" i="13"/>
  <c r="N1092" i="14"/>
  <c r="J1091" i="14" a="1"/>
  <c r="J1091" i="14" s="1"/>
  <c r="K906" i="13"/>
  <c r="L906" i="13" s="1"/>
  <c r="I907" i="13" s="1"/>
  <c r="K929" i="14" l="1"/>
  <c r="L929" i="14" s="1"/>
  <c r="I930" i="14" s="1"/>
  <c r="K907" i="13"/>
  <c r="L907" i="13" s="1"/>
  <c r="I908" i="13" s="1"/>
  <c r="M1096" i="13"/>
  <c r="N1094" i="13"/>
  <c r="J1093" i="13" a="1"/>
  <c r="J1093" i="13" s="1"/>
  <c r="N1093" i="14"/>
  <c r="J1092" i="14" a="1"/>
  <c r="J1092" i="14" s="1"/>
  <c r="M1097" i="14"/>
  <c r="K908" i="13" l="1"/>
  <c r="L908" i="13" s="1"/>
  <c r="I909" i="13" s="1"/>
  <c r="K930" i="14"/>
  <c r="L930" i="14" s="1"/>
  <c r="I931" i="14" s="1"/>
  <c r="M1098" i="14"/>
  <c r="N1095" i="13"/>
  <c r="J1094" i="13" a="1"/>
  <c r="J1094" i="13" s="1"/>
  <c r="M1097" i="13"/>
  <c r="J1093" i="14" a="1"/>
  <c r="J1093" i="14" s="1"/>
  <c r="N1094" i="14"/>
  <c r="K931" i="14" l="1"/>
  <c r="L931" i="14" s="1"/>
  <c r="I932" i="14" s="1"/>
  <c r="K909" i="13"/>
  <c r="L909" i="13" s="1"/>
  <c r="I910" i="13" s="1"/>
  <c r="N1096" i="13"/>
  <c r="J1095" i="13" a="1"/>
  <c r="J1095" i="13" s="1"/>
  <c r="J1094" i="14" a="1"/>
  <c r="J1094" i="14" s="1"/>
  <c r="N1095" i="14"/>
  <c r="M1098" i="13"/>
  <c r="M1099" i="14"/>
  <c r="K910" i="13" l="1"/>
  <c r="L910" i="13" s="1"/>
  <c r="I911" i="13" s="1"/>
  <c r="K932" i="14"/>
  <c r="L932" i="14" s="1"/>
  <c r="I933" i="14" s="1"/>
  <c r="N1096" i="14"/>
  <c r="J1095" i="14" a="1"/>
  <c r="J1095" i="14" s="1"/>
  <c r="M1100" i="14"/>
  <c r="M1099" i="13"/>
  <c r="N1097" i="13"/>
  <c r="J1096" i="13" a="1"/>
  <c r="J1096" i="13" s="1"/>
  <c r="K933" i="14" l="1"/>
  <c r="L933" i="14" s="1"/>
  <c r="I934" i="14" s="1"/>
  <c r="K911" i="13"/>
  <c r="L911" i="13" s="1"/>
  <c r="I912" i="13" s="1"/>
  <c r="N1098" i="13"/>
  <c r="J1097" i="13" a="1"/>
  <c r="J1097" i="13" s="1"/>
  <c r="M1101" i="14"/>
  <c r="M1100" i="13"/>
  <c r="N1097" i="14"/>
  <c r="J1096" i="14" a="1"/>
  <c r="J1096" i="14" s="1"/>
  <c r="K934" i="14" l="1"/>
  <c r="L934" i="14" s="1"/>
  <c r="I935" i="14" s="1"/>
  <c r="K912" i="13"/>
  <c r="L912" i="13" s="1"/>
  <c r="I913" i="13" s="1"/>
  <c r="J1097" i="14" a="1"/>
  <c r="J1097" i="14" s="1"/>
  <c r="N1098" i="14"/>
  <c r="M1102" i="14"/>
  <c r="M1101" i="13"/>
  <c r="N1099" i="13"/>
  <c r="J1098" i="13" a="1"/>
  <c r="J1098" i="13" s="1"/>
  <c r="K913" i="13" l="1"/>
  <c r="L913" i="13" s="1"/>
  <c r="I914" i="13" s="1"/>
  <c r="N1100" i="13"/>
  <c r="J1099" i="13" a="1"/>
  <c r="J1099" i="13" s="1"/>
  <c r="M1103" i="14"/>
  <c r="M1102" i="13"/>
  <c r="J1098" i="14" a="1"/>
  <c r="J1098" i="14" s="1"/>
  <c r="N1099" i="14"/>
  <c r="K935" i="14"/>
  <c r="L935" i="14" s="1"/>
  <c r="I936" i="14" s="1"/>
  <c r="K936" i="14" l="1"/>
  <c r="L936" i="14" s="1"/>
  <c r="I937" i="14" s="1"/>
  <c r="M1103" i="13"/>
  <c r="N1101" i="13"/>
  <c r="J1100" i="13" a="1"/>
  <c r="J1100" i="13" s="1"/>
  <c r="N1100" i="14"/>
  <c r="J1099" i="14" a="1"/>
  <c r="J1099" i="14" s="1"/>
  <c r="M1104" i="14"/>
  <c r="K914" i="13"/>
  <c r="L914" i="13" s="1"/>
  <c r="I915" i="13" s="1"/>
  <c r="K915" i="13" l="1"/>
  <c r="L915" i="13" s="1"/>
  <c r="I916" i="13" s="1"/>
  <c r="K937" i="14"/>
  <c r="L937" i="14" s="1"/>
  <c r="I938" i="14" s="1"/>
  <c r="N1101" i="14"/>
  <c r="J1100" i="14" a="1"/>
  <c r="J1100" i="14" s="1"/>
  <c r="M1104" i="13"/>
  <c r="M1105" i="14"/>
  <c r="N1102" i="13"/>
  <c r="J1101" i="13" a="1"/>
  <c r="J1101" i="13" s="1"/>
  <c r="K916" i="13" l="1"/>
  <c r="L916" i="13" s="1"/>
  <c r="I917" i="13" s="1"/>
  <c r="M1106" i="14"/>
  <c r="N1103" i="13"/>
  <c r="J1102" i="13" a="1"/>
  <c r="J1102" i="13" s="1"/>
  <c r="K938" i="14"/>
  <c r="L938" i="14" s="1"/>
  <c r="I939" i="14" s="1"/>
  <c r="M1105" i="13"/>
  <c r="J1101" i="14" a="1"/>
  <c r="J1101" i="14" s="1"/>
  <c r="N1102" i="14"/>
  <c r="K939" i="14" l="1"/>
  <c r="L939" i="14" s="1"/>
  <c r="I940" i="14" s="1"/>
  <c r="K917" i="13"/>
  <c r="L917" i="13" s="1"/>
  <c r="I918" i="13" s="1"/>
  <c r="J1102" i="14" a="1"/>
  <c r="J1102" i="14" s="1"/>
  <c r="N1103" i="14"/>
  <c r="M1107" i="14"/>
  <c r="M1106" i="13"/>
  <c r="N1104" i="13"/>
  <c r="J1103" i="13" a="1"/>
  <c r="J1103" i="13" s="1"/>
  <c r="K918" i="13" l="1"/>
  <c r="L918" i="13" s="1"/>
  <c r="I919" i="13" s="1"/>
  <c r="K940" i="14"/>
  <c r="L940" i="14" s="1"/>
  <c r="I941" i="14" s="1"/>
  <c r="N1105" i="13"/>
  <c r="J1104" i="13" a="1"/>
  <c r="J1104" i="13" s="1"/>
  <c r="M1108" i="14"/>
  <c r="M1107" i="13"/>
  <c r="N1104" i="14"/>
  <c r="J1103" i="14" a="1"/>
  <c r="J1103" i="14" s="1"/>
  <c r="K941" i="14" l="1"/>
  <c r="L941" i="14" s="1"/>
  <c r="I942" i="14" s="1"/>
  <c r="K919" i="13"/>
  <c r="L919" i="13" s="1"/>
  <c r="I920" i="13" s="1"/>
  <c r="M1108" i="13"/>
  <c r="N1105" i="14"/>
  <c r="J1104" i="14" a="1"/>
  <c r="J1104" i="14" s="1"/>
  <c r="M1109" i="14"/>
  <c r="N1106" i="13"/>
  <c r="J1105" i="13" a="1"/>
  <c r="J1105" i="13" s="1"/>
  <c r="K920" i="13" l="1"/>
  <c r="L920" i="13" s="1"/>
  <c r="I921" i="13" s="1"/>
  <c r="K942" i="14"/>
  <c r="L942" i="14" s="1"/>
  <c r="I943" i="14" s="1"/>
  <c r="N1107" i="13"/>
  <c r="J1106" i="13" a="1"/>
  <c r="J1106" i="13" s="1"/>
  <c r="J1105" i="14" a="1"/>
  <c r="J1105" i="14" s="1"/>
  <c r="N1106" i="14"/>
  <c r="M1109" i="13"/>
  <c r="M1110" i="14"/>
  <c r="K943" i="14" l="1"/>
  <c r="L943" i="14" s="1"/>
  <c r="I944" i="14" s="1"/>
  <c r="K921" i="13"/>
  <c r="L921" i="13" s="1"/>
  <c r="I922" i="13" s="1"/>
  <c r="M1110" i="13"/>
  <c r="M1111" i="14"/>
  <c r="J1106" i="14" a="1"/>
  <c r="J1106" i="14" s="1"/>
  <c r="N1107" i="14"/>
  <c r="N1108" i="13"/>
  <c r="J1107" i="13" a="1"/>
  <c r="J1107" i="13" s="1"/>
  <c r="K922" i="13" l="1"/>
  <c r="L922" i="13" s="1"/>
  <c r="I923" i="13" s="1"/>
  <c r="K944" i="14"/>
  <c r="L944" i="14" s="1"/>
  <c r="I945" i="14" s="1"/>
  <c r="M1112" i="14"/>
  <c r="N1109" i="13"/>
  <c r="J1108" i="13" a="1"/>
  <c r="J1108" i="13" s="1"/>
  <c r="N1108" i="14"/>
  <c r="J1107" i="14" a="1"/>
  <c r="J1107" i="14" s="1"/>
  <c r="M1111" i="13"/>
  <c r="K945" i="14" l="1"/>
  <c r="L945" i="14" s="1"/>
  <c r="I946" i="14" s="1"/>
  <c r="K923" i="13"/>
  <c r="L923" i="13" s="1"/>
  <c r="I924" i="13" s="1"/>
  <c r="M1112" i="13"/>
  <c r="N1110" i="13"/>
  <c r="J1109" i="13" a="1"/>
  <c r="J1109" i="13" s="1"/>
  <c r="N1109" i="14"/>
  <c r="J1108" i="14" a="1"/>
  <c r="J1108" i="14" s="1"/>
  <c r="M1113" i="14"/>
  <c r="K924" i="13" l="1"/>
  <c r="L924" i="13" s="1"/>
  <c r="I925" i="13" s="1"/>
  <c r="K946" i="14"/>
  <c r="L946" i="14" s="1"/>
  <c r="I947" i="14" s="1"/>
  <c r="M1114" i="14"/>
  <c r="N1111" i="13"/>
  <c r="J1110" i="13" a="1"/>
  <c r="J1110" i="13" s="1"/>
  <c r="M1113" i="13"/>
  <c r="J1109" i="14" a="1"/>
  <c r="J1109" i="14" s="1"/>
  <c r="N1110" i="14"/>
  <c r="K925" i="13" l="1"/>
  <c r="L925" i="13" s="1"/>
  <c r="I926" i="13" s="1"/>
  <c r="J1110" i="14" a="1"/>
  <c r="J1110" i="14" s="1"/>
  <c r="N1111" i="14"/>
  <c r="K947" i="14"/>
  <c r="L947" i="14" s="1"/>
  <c r="I948" i="14" s="1"/>
  <c r="N1112" i="13"/>
  <c r="J1111" i="13" a="1"/>
  <c r="J1111" i="13" s="1"/>
  <c r="M1114" i="13"/>
  <c r="M1115" i="14"/>
  <c r="K926" i="13" l="1"/>
  <c r="L926" i="13" s="1"/>
  <c r="I927" i="13" s="1"/>
  <c r="K948" i="14"/>
  <c r="L948" i="14" s="1"/>
  <c r="I949" i="14" s="1"/>
  <c r="N1112" i="14"/>
  <c r="J1111" i="14" a="1"/>
  <c r="J1111" i="14" s="1"/>
  <c r="N1113" i="13"/>
  <c r="J1112" i="13" a="1"/>
  <c r="J1112" i="13" s="1"/>
  <c r="M1115" i="13"/>
  <c r="M1116" i="14"/>
  <c r="K927" i="13" l="1"/>
  <c r="L927" i="13" s="1"/>
  <c r="I928" i="13" s="1"/>
  <c r="K949" i="14"/>
  <c r="L949" i="14" s="1"/>
  <c r="I950" i="14" s="1"/>
  <c r="N1114" i="13"/>
  <c r="J1113" i="13" a="1"/>
  <c r="J1113" i="13" s="1"/>
  <c r="M1117" i="14"/>
  <c r="M1116" i="13"/>
  <c r="N1113" i="14"/>
  <c r="J1112" i="14" a="1"/>
  <c r="J1112" i="14" s="1"/>
  <c r="K928" i="13" l="1"/>
  <c r="L928" i="13" s="1"/>
  <c r="I929" i="13" s="1"/>
  <c r="J1113" i="14" a="1"/>
  <c r="J1113" i="14" s="1"/>
  <c r="N1114" i="14"/>
  <c r="M1118" i="14"/>
  <c r="M1117" i="13"/>
  <c r="K950" i="14"/>
  <c r="L950" i="14" s="1"/>
  <c r="I951" i="14" s="1"/>
  <c r="N1115" i="13"/>
  <c r="J1114" i="13" a="1"/>
  <c r="J1114" i="13" s="1"/>
  <c r="K929" i="13" l="1"/>
  <c r="L929" i="13" s="1"/>
  <c r="I930" i="13" s="1"/>
  <c r="K951" i="14"/>
  <c r="L951" i="14" s="1"/>
  <c r="I952" i="14" s="1"/>
  <c r="M1119" i="14"/>
  <c r="N1116" i="13"/>
  <c r="J1115" i="13" a="1"/>
  <c r="J1115" i="13" s="1"/>
  <c r="M1118" i="13"/>
  <c r="J1114" i="14" a="1"/>
  <c r="J1114" i="14" s="1"/>
  <c r="N1115" i="14"/>
  <c r="K952" i="14" l="1"/>
  <c r="L952" i="14" s="1"/>
  <c r="I953" i="14" s="1"/>
  <c r="K930" i="13"/>
  <c r="L930" i="13" s="1"/>
  <c r="I931" i="13" s="1"/>
  <c r="N1116" i="14"/>
  <c r="J1115" i="14" a="1"/>
  <c r="J1115" i="14" s="1"/>
  <c r="N1117" i="13"/>
  <c r="J1116" i="13" a="1"/>
  <c r="J1116" i="13" s="1"/>
  <c r="M1119" i="13"/>
  <c r="M1120" i="14"/>
  <c r="K931" i="13" l="1"/>
  <c r="L931" i="13" s="1"/>
  <c r="I932" i="13" s="1"/>
  <c r="K953" i="14"/>
  <c r="L953" i="14" s="1"/>
  <c r="I954" i="14" s="1"/>
  <c r="N1118" i="13"/>
  <c r="J1117" i="13" a="1"/>
  <c r="J1117" i="13" s="1"/>
  <c r="M1121" i="14"/>
  <c r="M1120" i="13"/>
  <c r="N1117" i="14"/>
  <c r="J1116" i="14" a="1"/>
  <c r="J1116" i="14" s="1"/>
  <c r="K954" i="14" l="1"/>
  <c r="L954" i="14" s="1"/>
  <c r="I955" i="14" s="1"/>
  <c r="K932" i="13"/>
  <c r="L932" i="13" s="1"/>
  <c r="I933" i="13" s="1"/>
  <c r="J1117" i="14" a="1"/>
  <c r="J1117" i="14" s="1"/>
  <c r="N1118" i="14"/>
  <c r="M1122" i="14"/>
  <c r="M1121" i="13"/>
  <c r="N1119" i="13"/>
  <c r="J1118" i="13" a="1"/>
  <c r="J1118" i="13" s="1"/>
  <c r="K933" i="13" l="1"/>
  <c r="L933" i="13" s="1"/>
  <c r="I934" i="13" s="1"/>
  <c r="K955" i="14"/>
  <c r="L955" i="14" s="1"/>
  <c r="I956" i="14" s="1"/>
  <c r="M1123" i="14"/>
  <c r="M1122" i="13"/>
  <c r="N1120" i="13"/>
  <c r="J1119" i="13" a="1"/>
  <c r="J1119" i="13" s="1"/>
  <c r="J1118" i="14" a="1"/>
  <c r="J1118" i="14" s="1"/>
  <c r="N1119" i="14"/>
  <c r="K934" i="13" l="1"/>
  <c r="L934" i="13" s="1"/>
  <c r="I935" i="13" s="1"/>
  <c r="N1120" i="14"/>
  <c r="J1119" i="14" a="1"/>
  <c r="J1119" i="14" s="1"/>
  <c r="M1123" i="13"/>
  <c r="K956" i="14"/>
  <c r="L956" i="14" s="1"/>
  <c r="I957" i="14" s="1"/>
  <c r="M1124" i="14"/>
  <c r="N1121" i="13"/>
  <c r="J1120" i="13" a="1"/>
  <c r="J1120" i="13" s="1"/>
  <c r="K957" i="14" l="1"/>
  <c r="L957" i="14" s="1"/>
  <c r="I958" i="14" s="1"/>
  <c r="K935" i="13"/>
  <c r="L935" i="13" s="1"/>
  <c r="I936" i="13" s="1"/>
  <c r="N1121" i="14"/>
  <c r="J1120" i="14" a="1"/>
  <c r="J1120" i="14" s="1"/>
  <c r="N1122" i="13"/>
  <c r="J1121" i="13" a="1"/>
  <c r="J1121" i="13" s="1"/>
  <c r="M1124" i="13"/>
  <c r="M1125" i="14"/>
  <c r="K958" i="14" l="1"/>
  <c r="L958" i="14" s="1"/>
  <c r="I959" i="14" s="1"/>
  <c r="K936" i="13"/>
  <c r="L936" i="13" s="1"/>
  <c r="I937" i="13" s="1"/>
  <c r="N1123" i="13"/>
  <c r="J1122" i="13" a="1"/>
  <c r="J1122" i="13" s="1"/>
  <c r="M1126" i="14"/>
  <c r="M1125" i="13"/>
  <c r="J1121" i="14" a="1"/>
  <c r="J1121" i="14" s="1"/>
  <c r="N1122" i="14"/>
  <c r="K959" i="14" l="1"/>
  <c r="L959" i="14" s="1"/>
  <c r="I960" i="14" s="1"/>
  <c r="K937" i="13"/>
  <c r="L937" i="13" s="1"/>
  <c r="I938" i="13" s="1"/>
  <c r="M1127" i="14"/>
  <c r="M1126" i="13"/>
  <c r="J1122" i="14" a="1"/>
  <c r="J1122" i="14" s="1"/>
  <c r="N1123" i="14"/>
  <c r="N1124" i="13"/>
  <c r="J1123" i="13" a="1"/>
  <c r="J1123" i="13" s="1"/>
  <c r="K938" i="13" l="1"/>
  <c r="L938" i="13" s="1"/>
  <c r="I939" i="13" s="1"/>
  <c r="K960" i="14"/>
  <c r="L960" i="14" s="1"/>
  <c r="I961" i="14" s="1"/>
  <c r="M1127" i="13"/>
  <c r="N1125" i="13"/>
  <c r="J1124" i="13" a="1"/>
  <c r="J1124" i="13" s="1"/>
  <c r="M1128" i="14"/>
  <c r="N1124" i="14"/>
  <c r="J1123" i="14" a="1"/>
  <c r="J1123" i="14" s="1"/>
  <c r="K961" i="14" l="1"/>
  <c r="L961" i="14" s="1"/>
  <c r="I962" i="14" s="1"/>
  <c r="K939" i="13"/>
  <c r="L939" i="13" s="1"/>
  <c r="I940" i="13" s="1"/>
  <c r="N1126" i="13"/>
  <c r="J1125" i="13" a="1"/>
  <c r="J1125" i="13" s="1"/>
  <c r="M1128" i="13"/>
  <c r="N1125" i="14"/>
  <c r="J1124" i="14" a="1"/>
  <c r="J1124" i="14" s="1"/>
  <c r="M1129" i="14"/>
  <c r="K962" i="14" l="1"/>
  <c r="L962" i="14" s="1"/>
  <c r="I963" i="14" s="1"/>
  <c r="K940" i="13"/>
  <c r="L940" i="13" s="1"/>
  <c r="I941" i="13" s="1"/>
  <c r="J1125" i="14" a="1"/>
  <c r="J1125" i="14" s="1"/>
  <c r="N1126" i="14"/>
  <c r="M1130" i="14"/>
  <c r="M1129" i="13"/>
  <c r="N1127" i="13"/>
  <c r="J1126" i="13" a="1"/>
  <c r="J1126" i="13" s="1"/>
  <c r="K941" i="13" l="1"/>
  <c r="L941" i="13" s="1"/>
  <c r="I942" i="13" s="1"/>
  <c r="K963" i="14"/>
  <c r="L963" i="14" s="1"/>
  <c r="I964" i="14" s="1"/>
  <c r="M1131" i="14"/>
  <c r="N1128" i="13"/>
  <c r="J1127" i="13" a="1"/>
  <c r="J1127" i="13" s="1"/>
  <c r="J1126" i="14" a="1"/>
  <c r="J1126" i="14" s="1"/>
  <c r="N1127" i="14"/>
  <c r="M1130" i="13"/>
  <c r="K942" i="13" l="1"/>
  <c r="L942" i="13" s="1"/>
  <c r="I943" i="13" s="1"/>
  <c r="N1129" i="13"/>
  <c r="J1128" i="13" a="1"/>
  <c r="J1128" i="13" s="1"/>
  <c r="M1131" i="13"/>
  <c r="N1128" i="14"/>
  <c r="J1127" i="14" a="1"/>
  <c r="J1127" i="14" s="1"/>
  <c r="M1132" i="14"/>
  <c r="K964" i="14"/>
  <c r="L964" i="14" s="1"/>
  <c r="I965" i="14" s="1"/>
  <c r="K965" i="14" l="1"/>
  <c r="L965" i="14" s="1"/>
  <c r="I966" i="14" s="1"/>
  <c r="K943" i="13"/>
  <c r="L943" i="13" s="1"/>
  <c r="I944" i="13" s="1"/>
  <c r="N1130" i="13"/>
  <c r="J1129" i="13" a="1"/>
  <c r="J1129" i="13" s="1"/>
  <c r="N1129" i="14"/>
  <c r="J1128" i="14" a="1"/>
  <c r="J1128" i="14" s="1"/>
  <c r="M1132" i="13"/>
  <c r="M1133" i="14"/>
  <c r="K944" i="13" l="1"/>
  <c r="L944" i="13" s="1"/>
  <c r="I945" i="13" s="1"/>
  <c r="M1134" i="14"/>
  <c r="J1129" i="14" a="1"/>
  <c r="J1129" i="14" s="1"/>
  <c r="N1130" i="14"/>
  <c r="M1133" i="13"/>
  <c r="N1131" i="13"/>
  <c r="J1130" i="13" a="1"/>
  <c r="J1130" i="13" s="1"/>
  <c r="K966" i="14"/>
  <c r="L966" i="14" s="1"/>
  <c r="I967" i="14" s="1"/>
  <c r="K945" i="13" l="1"/>
  <c r="L945" i="13" s="1"/>
  <c r="I946" i="13" s="1"/>
  <c r="N1132" i="13"/>
  <c r="J1131" i="13" a="1"/>
  <c r="J1131" i="13" s="1"/>
  <c r="M1134" i="13"/>
  <c r="K967" i="14"/>
  <c r="L967" i="14" s="1"/>
  <c r="I968" i="14" s="1"/>
  <c r="M1135" i="14"/>
  <c r="J1130" i="14" a="1"/>
  <c r="J1130" i="14" s="1"/>
  <c r="N1131" i="14"/>
  <c r="K968" i="14" l="1"/>
  <c r="L968" i="14" s="1"/>
  <c r="I969" i="14" s="1"/>
  <c r="K946" i="13"/>
  <c r="L946" i="13" s="1"/>
  <c r="I947" i="13" s="1"/>
  <c r="N1133" i="13"/>
  <c r="J1132" i="13" a="1"/>
  <c r="J1132" i="13" s="1"/>
  <c r="N1132" i="14"/>
  <c r="J1131" i="14" a="1"/>
  <c r="J1131" i="14" s="1"/>
  <c r="M1136" i="14"/>
  <c r="M1135" i="13"/>
  <c r="K947" i="13" l="1"/>
  <c r="L947" i="13" s="1"/>
  <c r="I948" i="13" s="1"/>
  <c r="K969" i="14"/>
  <c r="L969" i="14" s="1"/>
  <c r="I970" i="14" s="1"/>
  <c r="N1133" i="14"/>
  <c r="J1132" i="14" a="1"/>
  <c r="J1132" i="14" s="1"/>
  <c r="M1136" i="13"/>
  <c r="M1137" i="14"/>
  <c r="N1134" i="13"/>
  <c r="J1133" i="13" a="1"/>
  <c r="J1133" i="13" s="1"/>
  <c r="K948" i="13" l="1"/>
  <c r="L948" i="13" s="1"/>
  <c r="I949" i="13" s="1"/>
  <c r="K970" i="14"/>
  <c r="L970" i="14" s="1"/>
  <c r="I971" i="14" s="1"/>
  <c r="N1135" i="13"/>
  <c r="J1134" i="13" a="1"/>
  <c r="J1134" i="13" s="1"/>
  <c r="M1137" i="13"/>
  <c r="M1138" i="14"/>
  <c r="J1133" i="14" a="1"/>
  <c r="J1133" i="14" s="1"/>
  <c r="N1134" i="14"/>
  <c r="K971" i="14" l="1"/>
  <c r="L971" i="14" s="1"/>
  <c r="I972" i="14" s="1"/>
  <c r="K949" i="13"/>
  <c r="L949" i="13" s="1"/>
  <c r="I950" i="13" s="1"/>
  <c r="J1134" i="14" a="1"/>
  <c r="J1134" i="14" s="1"/>
  <c r="N1135" i="14"/>
  <c r="M1138" i="13"/>
  <c r="M1139" i="14"/>
  <c r="N1136" i="13"/>
  <c r="J1135" i="13" a="1"/>
  <c r="J1135" i="13" s="1"/>
  <c r="K950" i="13" l="1"/>
  <c r="L950" i="13" s="1"/>
  <c r="I951" i="13" s="1"/>
  <c r="K972" i="14"/>
  <c r="L972" i="14" s="1"/>
  <c r="I973" i="14" s="1"/>
  <c r="N1137" i="13"/>
  <c r="J1136" i="13" a="1"/>
  <c r="J1136" i="13" s="1"/>
  <c r="M1139" i="13"/>
  <c r="M1140" i="14"/>
  <c r="N1136" i="14"/>
  <c r="J1135" i="14" a="1"/>
  <c r="J1135" i="14" s="1"/>
  <c r="K973" i="14" l="1"/>
  <c r="L973" i="14" s="1"/>
  <c r="I974" i="14" s="1"/>
  <c r="K951" i="13"/>
  <c r="L951" i="13" s="1"/>
  <c r="I952" i="13" s="1"/>
  <c r="N1137" i="14"/>
  <c r="J1136" i="14" a="1"/>
  <c r="J1136" i="14" s="1"/>
  <c r="M1140" i="13"/>
  <c r="M1141" i="14"/>
  <c r="N1138" i="13"/>
  <c r="J1137" i="13" a="1"/>
  <c r="J1137" i="13" s="1"/>
  <c r="K974" i="14" l="1"/>
  <c r="L974" i="14" s="1"/>
  <c r="I975" i="14" s="1"/>
  <c r="N1139" i="13"/>
  <c r="J1138" i="13" a="1"/>
  <c r="J1138" i="13" s="1"/>
  <c r="K952" i="13"/>
  <c r="L952" i="13" s="1"/>
  <c r="I953" i="13" s="1"/>
  <c r="M1142" i="14"/>
  <c r="M1141" i="13"/>
  <c r="J1137" i="14" a="1"/>
  <c r="J1137" i="14" s="1"/>
  <c r="N1138" i="14"/>
  <c r="K953" i="13" l="1"/>
  <c r="L953" i="13" s="1"/>
  <c r="I954" i="13" s="1"/>
  <c r="K975" i="14"/>
  <c r="L975" i="14" s="1"/>
  <c r="I976" i="14" s="1"/>
  <c r="M1143" i="14"/>
  <c r="N1140" i="13"/>
  <c r="J1139" i="13" a="1"/>
  <c r="J1139" i="13" s="1"/>
  <c r="M1142" i="13"/>
  <c r="J1138" i="14" a="1"/>
  <c r="J1138" i="14" s="1"/>
  <c r="N1139" i="14"/>
  <c r="K976" i="14" l="1"/>
  <c r="L976" i="14" s="1"/>
  <c r="I977" i="14" s="1"/>
  <c r="K954" i="13"/>
  <c r="L954" i="13" s="1"/>
  <c r="I955" i="13" s="1"/>
  <c r="N1141" i="13"/>
  <c r="J1140" i="13" a="1"/>
  <c r="J1140" i="13" s="1"/>
  <c r="M1143" i="13"/>
  <c r="M1144" i="14"/>
  <c r="N1140" i="14"/>
  <c r="J1139" i="14" a="1"/>
  <c r="J1139" i="14" s="1"/>
  <c r="K955" i="13" l="1"/>
  <c r="L955" i="13" s="1"/>
  <c r="I956" i="13" s="1"/>
  <c r="K977" i="14"/>
  <c r="L977" i="14" s="1"/>
  <c r="I978" i="14" s="1"/>
  <c r="M1144" i="13"/>
  <c r="N1141" i="14"/>
  <c r="J1140" i="14" a="1"/>
  <c r="J1140" i="14" s="1"/>
  <c r="M1145" i="14"/>
  <c r="N1142" i="13"/>
  <c r="J1141" i="13" a="1"/>
  <c r="J1141" i="13" s="1"/>
  <c r="K978" i="14" l="1"/>
  <c r="L978" i="14" s="1"/>
  <c r="I979" i="14" s="1"/>
  <c r="J1141" i="14" a="1"/>
  <c r="J1141" i="14" s="1"/>
  <c r="N1142" i="14"/>
  <c r="N1143" i="13"/>
  <c r="J1142" i="13" a="1"/>
  <c r="J1142" i="13" s="1"/>
  <c r="M1145" i="13"/>
  <c r="M1146" i="14"/>
  <c r="K956" i="13"/>
  <c r="L956" i="13" s="1"/>
  <c r="I957" i="13" s="1"/>
  <c r="K957" i="13" l="1"/>
  <c r="L957" i="13" s="1"/>
  <c r="I958" i="13" s="1"/>
  <c r="K979" i="14"/>
  <c r="L979" i="14" s="1"/>
  <c r="I980" i="14" s="1"/>
  <c r="M1146" i="13"/>
  <c r="J1142" i="14" a="1"/>
  <c r="J1142" i="14" s="1"/>
  <c r="N1143" i="14"/>
  <c r="M1147" i="14"/>
  <c r="N1144" i="13"/>
  <c r="J1143" i="13" a="1"/>
  <c r="J1143" i="13" s="1"/>
  <c r="K958" i="13" l="1"/>
  <c r="L958" i="13" s="1"/>
  <c r="I959" i="13" s="1"/>
  <c r="K980" i="14"/>
  <c r="L980" i="14" s="1"/>
  <c r="I981" i="14" s="1"/>
  <c r="N1144" i="14"/>
  <c r="J1143" i="14" a="1"/>
  <c r="J1143" i="14" s="1"/>
  <c r="N1145" i="13"/>
  <c r="J1144" i="13" a="1"/>
  <c r="J1144" i="13" s="1"/>
  <c r="M1148" i="14"/>
  <c r="M1147" i="13"/>
  <c r="K959" i="13" l="1"/>
  <c r="L959" i="13" s="1"/>
  <c r="I960" i="13" s="1"/>
  <c r="K981" i="14"/>
  <c r="L981" i="14" s="1"/>
  <c r="I982" i="14" s="1"/>
  <c r="N1146" i="13"/>
  <c r="J1145" i="13" a="1"/>
  <c r="J1145" i="13" s="1"/>
  <c r="M1148" i="13"/>
  <c r="M1149" i="14"/>
  <c r="N1145" i="14"/>
  <c r="J1144" i="14" a="1"/>
  <c r="J1144" i="14" s="1"/>
  <c r="K960" i="13" l="1"/>
  <c r="L960" i="13" s="1"/>
  <c r="I961" i="13" s="1"/>
  <c r="M1149" i="13"/>
  <c r="K982" i="14"/>
  <c r="L982" i="14" s="1"/>
  <c r="I983" i="14" s="1"/>
  <c r="J1145" i="14" a="1"/>
  <c r="J1145" i="14" s="1"/>
  <c r="N1146" i="14"/>
  <c r="M1150" i="14"/>
  <c r="N1147" i="13"/>
  <c r="J1146" i="13" a="1"/>
  <c r="J1146" i="13" s="1"/>
  <c r="K983" i="14" l="1"/>
  <c r="L983" i="14" s="1"/>
  <c r="I984" i="14" s="1"/>
  <c r="K961" i="13"/>
  <c r="L961" i="13" s="1"/>
  <c r="I962" i="13" s="1"/>
  <c r="J1146" i="14" a="1"/>
  <c r="J1146" i="14" s="1"/>
  <c r="N1147" i="14"/>
  <c r="M1150" i="13"/>
  <c r="N1148" i="13"/>
  <c r="J1147" i="13" a="1"/>
  <c r="J1147" i="13" s="1"/>
  <c r="M1151" i="14"/>
  <c r="K962" i="13" l="1"/>
  <c r="L962" i="13" s="1"/>
  <c r="I963" i="13" s="1"/>
  <c r="M1152" i="14"/>
  <c r="M1151" i="13"/>
  <c r="N1149" i="13"/>
  <c r="J1148" i="13" a="1"/>
  <c r="J1148" i="13" s="1"/>
  <c r="N1148" i="14"/>
  <c r="J1147" i="14" a="1"/>
  <c r="J1147" i="14" s="1"/>
  <c r="K984" i="14"/>
  <c r="L984" i="14" s="1"/>
  <c r="I985" i="14" s="1"/>
  <c r="K985" i="14" l="1"/>
  <c r="L985" i="14" s="1"/>
  <c r="I986" i="14" s="1"/>
  <c r="K963" i="13"/>
  <c r="L963" i="13" s="1"/>
  <c r="I964" i="13" s="1"/>
  <c r="N1150" i="13"/>
  <c r="J1149" i="13" a="1"/>
  <c r="J1149" i="13" s="1"/>
  <c r="M1153" i="14"/>
  <c r="M1152" i="13"/>
  <c r="N1149" i="14"/>
  <c r="J1148" i="14" a="1"/>
  <c r="J1148" i="14" s="1"/>
  <c r="K986" i="14" l="1"/>
  <c r="L986" i="14" s="1"/>
  <c r="I987" i="14" s="1"/>
  <c r="K964" i="13"/>
  <c r="L964" i="13" s="1"/>
  <c r="I965" i="13" s="1"/>
  <c r="J1149" i="14" a="1"/>
  <c r="J1149" i="14" s="1"/>
  <c r="N1150" i="14"/>
  <c r="M1154" i="14"/>
  <c r="M1153" i="13"/>
  <c r="N1151" i="13"/>
  <c r="J1150" i="13" a="1"/>
  <c r="J1150" i="13" s="1"/>
  <c r="K965" i="13" l="1"/>
  <c r="L965" i="13" s="1"/>
  <c r="I966" i="13" s="1"/>
  <c r="K987" i="14"/>
  <c r="L987" i="14" s="1"/>
  <c r="I988" i="14" s="1"/>
  <c r="M1155" i="14"/>
  <c r="N1152" i="13"/>
  <c r="J1151" i="13" a="1"/>
  <c r="J1151" i="13" s="1"/>
  <c r="M1154" i="13"/>
  <c r="J1150" i="14" a="1"/>
  <c r="J1150" i="14" s="1"/>
  <c r="N1151" i="14"/>
  <c r="K988" i="14" l="1"/>
  <c r="L988" i="14" s="1"/>
  <c r="I989" i="14" s="1"/>
  <c r="K966" i="13"/>
  <c r="L966" i="13" s="1"/>
  <c r="I967" i="13" s="1"/>
  <c r="N1153" i="13"/>
  <c r="J1152" i="13" a="1"/>
  <c r="J1152" i="13" s="1"/>
  <c r="M1155" i="13"/>
  <c r="M1156" i="14"/>
  <c r="N1152" i="14"/>
  <c r="J1151" i="14" a="1"/>
  <c r="J1151" i="14" s="1"/>
  <c r="K967" i="13" l="1"/>
  <c r="L967" i="13" s="1"/>
  <c r="I968" i="13" s="1"/>
  <c r="K989" i="14"/>
  <c r="L989" i="14" s="1"/>
  <c r="I990" i="14" s="1"/>
  <c r="M1156" i="13"/>
  <c r="N1153" i="14"/>
  <c r="J1152" i="14" a="1"/>
  <c r="J1152" i="14" s="1"/>
  <c r="M1157" i="14"/>
  <c r="N1154" i="13"/>
  <c r="J1153" i="13" a="1"/>
  <c r="J1153" i="13" s="1"/>
  <c r="K990" i="14" l="1"/>
  <c r="L990" i="14" s="1"/>
  <c r="I991" i="14" s="1"/>
  <c r="K968" i="13"/>
  <c r="L968" i="13" s="1"/>
  <c r="I969" i="13" s="1"/>
  <c r="N1155" i="13"/>
  <c r="J1154" i="13" a="1"/>
  <c r="J1154" i="13" s="1"/>
  <c r="J1153" i="14" a="1"/>
  <c r="J1153" i="14" s="1"/>
  <c r="N1154" i="14"/>
  <c r="M1157" i="13"/>
  <c r="M1158" i="14"/>
  <c r="K991" i="14" l="1"/>
  <c r="L991" i="14" s="1"/>
  <c r="I992" i="14" s="1"/>
  <c r="K969" i="13"/>
  <c r="L969" i="13" s="1"/>
  <c r="I970" i="13" s="1"/>
  <c r="J1154" i="14" a="1"/>
  <c r="J1154" i="14" s="1"/>
  <c r="N1155" i="14"/>
  <c r="M1158" i="13"/>
  <c r="M1159" i="14"/>
  <c r="N1156" i="13"/>
  <c r="J1155" i="13" a="1"/>
  <c r="J1155" i="13" s="1"/>
  <c r="K970" i="13" l="1"/>
  <c r="L970" i="13" s="1"/>
  <c r="I971" i="13" s="1"/>
  <c r="K992" i="14"/>
  <c r="L992" i="14" s="1"/>
  <c r="I993" i="14" s="1"/>
  <c r="M1160" i="14"/>
  <c r="M1159" i="13"/>
  <c r="N1157" i="13"/>
  <c r="J1156" i="13" a="1"/>
  <c r="J1156" i="13" s="1"/>
  <c r="N1156" i="14"/>
  <c r="J1155" i="14" a="1"/>
  <c r="J1155" i="14" s="1"/>
  <c r="K971" i="13" l="1"/>
  <c r="L971" i="13" s="1"/>
  <c r="I972" i="13" s="1"/>
  <c r="M1160" i="13"/>
  <c r="N1157" i="14"/>
  <c r="J1156" i="14" a="1"/>
  <c r="J1156" i="14" s="1"/>
  <c r="K993" i="14"/>
  <c r="L993" i="14" s="1"/>
  <c r="I994" i="14" s="1"/>
  <c r="N1158" i="13"/>
  <c r="J1157" i="13" a="1"/>
  <c r="J1157" i="13" s="1"/>
  <c r="M1161" i="14"/>
  <c r="K994" i="14" l="1"/>
  <c r="L994" i="14" s="1"/>
  <c r="I995" i="14" s="1"/>
  <c r="K972" i="13"/>
  <c r="L972" i="13" s="1"/>
  <c r="I973" i="13" s="1"/>
  <c r="M1161" i="13"/>
  <c r="M1162" i="14"/>
  <c r="N1159" i="13"/>
  <c r="J1158" i="13" a="1"/>
  <c r="J1158" i="13" s="1"/>
  <c r="J1157" i="14" a="1"/>
  <c r="J1157" i="14" s="1"/>
  <c r="N1158" i="14"/>
  <c r="K973" i="13" l="1"/>
  <c r="L973" i="13" s="1"/>
  <c r="I974" i="13" s="1"/>
  <c r="K995" i="14"/>
  <c r="L995" i="14" s="1"/>
  <c r="I996" i="14" s="1"/>
  <c r="M1163" i="14"/>
  <c r="M1162" i="13"/>
  <c r="J1158" i="14" a="1"/>
  <c r="J1158" i="14" s="1"/>
  <c r="N1159" i="14"/>
  <c r="N1160" i="13"/>
  <c r="J1159" i="13" a="1"/>
  <c r="J1159" i="13" s="1"/>
  <c r="K996" i="14" l="1"/>
  <c r="L996" i="14" s="1"/>
  <c r="I997" i="14" s="1"/>
  <c r="K974" i="13"/>
  <c r="L974" i="13" s="1"/>
  <c r="I975" i="13" s="1"/>
  <c r="M1163" i="13"/>
  <c r="N1161" i="13"/>
  <c r="J1160" i="13" a="1"/>
  <c r="J1160" i="13" s="1"/>
  <c r="N1160" i="14"/>
  <c r="J1159" i="14" a="1"/>
  <c r="J1159" i="14" s="1"/>
  <c r="M1164" i="14"/>
  <c r="K997" i="14" l="1"/>
  <c r="L997" i="14" s="1"/>
  <c r="I998" i="14" s="1"/>
  <c r="N1162" i="13"/>
  <c r="J1161" i="13" a="1"/>
  <c r="J1161" i="13" s="1"/>
  <c r="K975" i="13"/>
  <c r="L975" i="13" s="1"/>
  <c r="I976" i="13" s="1"/>
  <c r="M1164" i="13"/>
  <c r="M1165" i="14"/>
  <c r="N1161" i="14"/>
  <c r="J1160" i="14" a="1"/>
  <c r="J1160" i="14" s="1"/>
  <c r="K998" i="14" l="1"/>
  <c r="L998" i="14" s="1"/>
  <c r="I999" i="14" s="1"/>
  <c r="K976" i="13"/>
  <c r="L976" i="13" s="1"/>
  <c r="I977" i="13" s="1"/>
  <c r="M1165" i="13"/>
  <c r="J1161" i="14" a="1"/>
  <c r="J1161" i="14" s="1"/>
  <c r="N1162" i="14"/>
  <c r="N1163" i="13"/>
  <c r="J1162" i="13" a="1"/>
  <c r="J1162" i="13" s="1"/>
  <c r="M1166" i="14"/>
  <c r="K977" i="13" l="1"/>
  <c r="L977" i="13" s="1"/>
  <c r="I978" i="13" s="1"/>
  <c r="K999" i="14"/>
  <c r="L999" i="14" s="1"/>
  <c r="I1000" i="14" s="1"/>
  <c r="M1166" i="13"/>
  <c r="J1162" i="14" a="1"/>
  <c r="J1162" i="14" s="1"/>
  <c r="N1163" i="14"/>
  <c r="M1167" i="14"/>
  <c r="N1164" i="13"/>
  <c r="J1163" i="13" a="1"/>
  <c r="J1163" i="13" s="1"/>
  <c r="K978" i="13" l="1"/>
  <c r="L978" i="13" s="1"/>
  <c r="I979" i="13" s="1"/>
  <c r="K1000" i="14"/>
  <c r="L1000" i="14" s="1"/>
  <c r="I1001" i="14" s="1"/>
  <c r="N1164" i="14"/>
  <c r="J1163" i="14" a="1"/>
  <c r="J1163" i="14" s="1"/>
  <c r="N1165" i="13"/>
  <c r="J1164" i="13" a="1"/>
  <c r="J1164" i="13" s="1"/>
  <c r="M1168" i="14"/>
  <c r="M1167" i="13"/>
  <c r="K1001" i="14" l="1"/>
  <c r="L1001" i="14" s="1"/>
  <c r="I1002" i="14" s="1"/>
  <c r="K979" i="13"/>
  <c r="L979" i="13" s="1"/>
  <c r="I980" i="13" s="1"/>
  <c r="M1168" i="13"/>
  <c r="N1166" i="13"/>
  <c r="J1165" i="13" a="1"/>
  <c r="J1165" i="13" s="1"/>
  <c r="M1169" i="14"/>
  <c r="N1165" i="14"/>
  <c r="J1164" i="14" a="1"/>
  <c r="J1164" i="14" s="1"/>
  <c r="K980" i="13" l="1"/>
  <c r="L980" i="13" s="1"/>
  <c r="I981" i="13" s="1"/>
  <c r="K1002" i="14"/>
  <c r="L1002" i="14" s="1"/>
  <c r="I1003" i="14" s="1"/>
  <c r="N1167" i="13"/>
  <c r="J1166" i="13" a="1"/>
  <c r="J1166" i="13" s="1"/>
  <c r="M1169" i="13"/>
  <c r="J1165" i="14" a="1"/>
  <c r="J1165" i="14" s="1"/>
  <c r="N1166" i="14"/>
  <c r="M1170" i="14"/>
  <c r="K1003" i="14" l="1"/>
  <c r="L1003" i="14" s="1"/>
  <c r="I1004" i="14" s="1"/>
  <c r="J1166" i="14" a="1"/>
  <c r="J1166" i="14" s="1"/>
  <c r="N1167" i="14"/>
  <c r="M1170" i="13"/>
  <c r="M1171" i="14"/>
  <c r="N1168" i="13"/>
  <c r="J1167" i="13" a="1"/>
  <c r="J1167" i="13" s="1"/>
  <c r="K981" i="13"/>
  <c r="L981" i="13" s="1"/>
  <c r="I982" i="13" s="1"/>
  <c r="K982" i="13" l="1"/>
  <c r="L982" i="13" s="1"/>
  <c r="I983" i="13" s="1"/>
  <c r="K1004" i="14"/>
  <c r="L1004" i="14" s="1"/>
  <c r="I1005" i="14" s="1"/>
  <c r="J1167" i="14" a="1"/>
  <c r="J1167" i="14" s="1"/>
  <c r="N1168" i="14"/>
  <c r="M1171" i="13"/>
  <c r="M1172" i="14"/>
  <c r="N1169" i="13"/>
  <c r="J1168" i="13" a="1"/>
  <c r="J1168" i="13" s="1"/>
  <c r="K1005" i="14" l="1"/>
  <c r="L1005" i="14" s="1"/>
  <c r="I1006" i="14" s="1"/>
  <c r="K983" i="13"/>
  <c r="L983" i="13" s="1"/>
  <c r="I984" i="13" s="1"/>
  <c r="M1172" i="13"/>
  <c r="N1170" i="13"/>
  <c r="J1169" i="13" a="1"/>
  <c r="J1169" i="13" s="1"/>
  <c r="N1169" i="14"/>
  <c r="J1168" i="14" a="1"/>
  <c r="J1168" i="14" s="1"/>
  <c r="M1173" i="14"/>
  <c r="K984" i="13" l="1"/>
  <c r="L984" i="13" s="1"/>
  <c r="I985" i="13" s="1"/>
  <c r="K1006" i="14"/>
  <c r="L1006" i="14" s="1"/>
  <c r="I1007" i="14" s="1"/>
  <c r="M1174" i="14"/>
  <c r="N1171" i="13"/>
  <c r="J1170" i="13" a="1"/>
  <c r="J1170" i="13" s="1"/>
  <c r="M1173" i="13"/>
  <c r="J1169" i="14" a="1"/>
  <c r="J1169" i="14" s="1"/>
  <c r="N1170" i="14"/>
  <c r="K1007" i="14" l="1"/>
  <c r="L1007" i="14" s="1"/>
  <c r="I1008" i="14" s="1"/>
  <c r="K985" i="13"/>
  <c r="L985" i="13" s="1"/>
  <c r="I986" i="13" s="1"/>
  <c r="J1170" i="14" a="1"/>
  <c r="J1170" i="14" s="1"/>
  <c r="N1171" i="14"/>
  <c r="N1172" i="13"/>
  <c r="J1171" i="13" a="1"/>
  <c r="J1171" i="13" s="1"/>
  <c r="M1174" i="13"/>
  <c r="M1175" i="14"/>
  <c r="K986" i="13" l="1"/>
  <c r="L986" i="13" s="1"/>
  <c r="I987" i="13" s="1"/>
  <c r="K1008" i="14"/>
  <c r="L1008" i="14" s="1"/>
  <c r="I1009" i="14" s="1"/>
  <c r="N1173" i="13"/>
  <c r="J1172" i="13" a="1"/>
  <c r="J1172" i="13" s="1"/>
  <c r="M1176" i="14"/>
  <c r="M1175" i="13"/>
  <c r="N1172" i="14"/>
  <c r="J1171" i="14" a="1"/>
  <c r="J1171" i="14" s="1"/>
  <c r="K1009" i="14" l="1"/>
  <c r="L1009" i="14" s="1"/>
  <c r="I1010" i="14" s="1"/>
  <c r="N1173" i="14"/>
  <c r="J1172" i="14" a="1"/>
  <c r="J1172" i="14" s="1"/>
  <c r="M1177" i="14"/>
  <c r="M1176" i="13"/>
  <c r="N1174" i="13"/>
  <c r="J1173" i="13" a="1"/>
  <c r="J1173" i="13" s="1"/>
  <c r="K987" i="13"/>
  <c r="L987" i="13" s="1"/>
  <c r="I988" i="13" s="1"/>
  <c r="K1010" i="14" l="1"/>
  <c r="L1010" i="14" s="1"/>
  <c r="I1011" i="14" s="1"/>
  <c r="K988" i="13"/>
  <c r="L988" i="13" s="1"/>
  <c r="I989" i="13" s="1"/>
  <c r="N1175" i="13"/>
  <c r="J1174" i="13" a="1"/>
  <c r="J1174" i="13" s="1"/>
  <c r="M1178" i="14"/>
  <c r="J1173" i="14" a="1"/>
  <c r="J1173" i="14" s="1"/>
  <c r="N1174" i="14"/>
  <c r="M1177" i="13"/>
  <c r="K989" i="13" l="1"/>
  <c r="L989" i="13" s="1"/>
  <c r="I990" i="13" s="1"/>
  <c r="K1011" i="14"/>
  <c r="L1011" i="14" s="1"/>
  <c r="I1012" i="14" s="1"/>
  <c r="M1179" i="14"/>
  <c r="J1174" i="14" a="1"/>
  <c r="J1174" i="14" s="1"/>
  <c r="N1175" i="14"/>
  <c r="M1178" i="13"/>
  <c r="N1176" i="13"/>
  <c r="J1175" i="13" a="1"/>
  <c r="J1175" i="13" s="1"/>
  <c r="K1012" i="14" l="1"/>
  <c r="L1012" i="14" s="1"/>
  <c r="I1013" i="14" s="1"/>
  <c r="K990" i="13"/>
  <c r="L990" i="13" s="1"/>
  <c r="I991" i="13" s="1"/>
  <c r="N1177" i="13"/>
  <c r="J1176" i="13" a="1"/>
  <c r="J1176" i="13" s="1"/>
  <c r="J1175" i="14" a="1"/>
  <c r="J1175" i="14" s="1"/>
  <c r="N1176" i="14"/>
  <c r="M1179" i="13"/>
  <c r="M1180" i="14"/>
  <c r="K991" i="13" l="1"/>
  <c r="L991" i="13" s="1"/>
  <c r="I992" i="13" s="1"/>
  <c r="K1013" i="14"/>
  <c r="L1013" i="14" s="1"/>
  <c r="I1014" i="14" s="1"/>
  <c r="M1181" i="14"/>
  <c r="N1177" i="14"/>
  <c r="J1176" i="14" a="1"/>
  <c r="J1176" i="14" s="1"/>
  <c r="M1180" i="13"/>
  <c r="N1178" i="13"/>
  <c r="J1177" i="13" a="1"/>
  <c r="J1177" i="13" s="1"/>
  <c r="K1014" i="14" l="1"/>
  <c r="L1014" i="14" s="1"/>
  <c r="I1015" i="14" s="1"/>
  <c r="K992" i="13"/>
  <c r="L992" i="13" s="1"/>
  <c r="I993" i="13" s="1"/>
  <c r="N1179" i="13"/>
  <c r="J1178" i="13" a="1"/>
  <c r="J1178" i="13" s="1"/>
  <c r="J1177" i="14" a="1"/>
  <c r="J1177" i="14" s="1"/>
  <c r="N1178" i="14"/>
  <c r="M1181" i="13"/>
  <c r="M1182" i="14"/>
  <c r="K993" i="13" l="1"/>
  <c r="L993" i="13" s="1"/>
  <c r="I994" i="13" s="1"/>
  <c r="K1015" i="14"/>
  <c r="L1015" i="14" s="1"/>
  <c r="I1016" i="14" s="1"/>
  <c r="J1178" i="14" a="1"/>
  <c r="J1178" i="14" s="1"/>
  <c r="N1179" i="14"/>
  <c r="M1183" i="14"/>
  <c r="M1182" i="13"/>
  <c r="N1180" i="13"/>
  <c r="J1179" i="13" a="1"/>
  <c r="J1179" i="13" s="1"/>
  <c r="K1016" i="14" l="1"/>
  <c r="L1016" i="14" s="1"/>
  <c r="I1017" i="14" s="1"/>
  <c r="N1181" i="13"/>
  <c r="J1180" i="13" a="1"/>
  <c r="J1180" i="13" s="1"/>
  <c r="M1183" i="13"/>
  <c r="N1180" i="14"/>
  <c r="J1179" i="14" a="1"/>
  <c r="J1179" i="14" s="1"/>
  <c r="M1184" i="14"/>
  <c r="K994" i="13"/>
  <c r="L994" i="13" s="1"/>
  <c r="I995" i="13" s="1"/>
  <c r="K995" i="13" l="1"/>
  <c r="L995" i="13" s="1"/>
  <c r="I996" i="13" s="1"/>
  <c r="M1185" i="14"/>
  <c r="N1181" i="14"/>
  <c r="J1180" i="14" a="1"/>
  <c r="J1180" i="14" s="1"/>
  <c r="N1182" i="13"/>
  <c r="J1181" i="13" a="1"/>
  <c r="J1181" i="13" s="1"/>
  <c r="M1184" i="13"/>
  <c r="K1017" i="14"/>
  <c r="L1017" i="14" s="1"/>
  <c r="I1018" i="14" s="1"/>
  <c r="K1018" i="14" l="1"/>
  <c r="L1018" i="14" s="1"/>
  <c r="I1019" i="14" s="1"/>
  <c r="K996" i="13"/>
  <c r="L996" i="13" s="1"/>
  <c r="I997" i="13" s="1"/>
  <c r="N1183" i="13"/>
  <c r="J1182" i="13" a="1"/>
  <c r="J1182" i="13" s="1"/>
  <c r="M1186" i="14"/>
  <c r="M1185" i="13"/>
  <c r="J1181" i="14" a="1"/>
  <c r="J1181" i="14" s="1"/>
  <c r="N1182" i="14"/>
  <c r="K997" i="13" l="1"/>
  <c r="L997" i="13" s="1"/>
  <c r="I998" i="13" s="1"/>
  <c r="K1019" i="14"/>
  <c r="L1019" i="14" s="1"/>
  <c r="I1020" i="14" s="1"/>
  <c r="J1182" i="14" a="1"/>
  <c r="J1182" i="14" s="1"/>
  <c r="N1183" i="14"/>
  <c r="M1187" i="14"/>
  <c r="M1186" i="13"/>
  <c r="N1184" i="13"/>
  <c r="J1183" i="13" a="1"/>
  <c r="J1183" i="13" s="1"/>
  <c r="K1020" i="14" l="1"/>
  <c r="L1020" i="14" s="1"/>
  <c r="I1021" i="14" s="1"/>
  <c r="K998" i="13"/>
  <c r="L998" i="13" s="1"/>
  <c r="I999" i="13" s="1"/>
  <c r="M1188" i="14"/>
  <c r="N1185" i="13"/>
  <c r="J1184" i="13" a="1"/>
  <c r="J1184" i="13" s="1"/>
  <c r="J1183" i="14" a="1"/>
  <c r="J1183" i="14" s="1"/>
  <c r="N1184" i="14"/>
  <c r="M1187" i="13"/>
  <c r="K1021" i="14" l="1"/>
  <c r="L1021" i="14" s="1"/>
  <c r="I1022" i="14" s="1"/>
  <c r="N1186" i="13"/>
  <c r="J1185" i="13" a="1"/>
  <c r="J1185" i="13" s="1"/>
  <c r="K999" i="13"/>
  <c r="L999" i="13" s="1"/>
  <c r="I1000" i="13" s="1"/>
  <c r="M1188" i="13"/>
  <c r="N1185" i="14"/>
  <c r="J1184" i="14" a="1"/>
  <c r="J1184" i="14" s="1"/>
  <c r="M1189" i="14"/>
  <c r="K1000" i="13" l="1"/>
  <c r="L1000" i="13" s="1"/>
  <c r="I1001" i="13" s="1"/>
  <c r="K1022" i="14"/>
  <c r="L1022" i="14" s="1"/>
  <c r="I1023" i="14" s="1"/>
  <c r="M1190" i="14"/>
  <c r="J1185" i="14" a="1"/>
  <c r="J1185" i="14" s="1"/>
  <c r="N1186" i="14"/>
  <c r="N1187" i="13"/>
  <c r="J1186" i="13" a="1"/>
  <c r="J1186" i="13" s="1"/>
  <c r="M1189" i="13"/>
  <c r="K1023" i="14" l="1"/>
  <c r="L1023" i="14" s="1"/>
  <c r="I1024" i="14" s="1"/>
  <c r="J1186" i="14" a="1"/>
  <c r="J1186" i="14" s="1"/>
  <c r="N1187" i="14"/>
  <c r="M1190" i="13"/>
  <c r="N1188" i="13"/>
  <c r="J1187" i="13" a="1"/>
  <c r="J1187" i="13" s="1"/>
  <c r="M1191" i="14"/>
  <c r="K1001" i="13"/>
  <c r="L1001" i="13" s="1"/>
  <c r="I1002" i="13" s="1"/>
  <c r="K1002" i="13" l="1"/>
  <c r="L1002" i="13" s="1"/>
  <c r="I1003" i="13" s="1"/>
  <c r="K1024" i="14"/>
  <c r="L1024" i="14" s="1"/>
  <c r="I1025" i="14" s="1"/>
  <c r="N1189" i="13"/>
  <c r="J1188" i="13" a="1"/>
  <c r="J1188" i="13" s="1"/>
  <c r="J1187" i="14" a="1"/>
  <c r="J1187" i="14" s="1"/>
  <c r="N1188" i="14"/>
  <c r="M1192" i="14"/>
  <c r="M1191" i="13"/>
  <c r="K1025" i="14" l="1"/>
  <c r="L1025" i="14" s="1"/>
  <c r="I1026" i="14" s="1"/>
  <c r="K1003" i="13"/>
  <c r="L1003" i="13" s="1"/>
  <c r="I1004" i="13" s="1"/>
  <c r="M1192" i="13"/>
  <c r="N1189" i="14"/>
  <c r="J1188" i="14" a="1"/>
  <c r="J1188" i="14" s="1"/>
  <c r="M1193" i="14"/>
  <c r="N1190" i="13"/>
  <c r="J1189" i="13" a="1"/>
  <c r="J1189" i="13" s="1"/>
  <c r="K1026" i="14" l="1"/>
  <c r="L1026" i="14" s="1"/>
  <c r="I1027" i="14" s="1"/>
  <c r="K1004" i="13"/>
  <c r="L1004" i="13" s="1"/>
  <c r="I1005" i="13" s="1"/>
  <c r="N1191" i="13"/>
  <c r="J1190" i="13" a="1"/>
  <c r="J1190" i="13" s="1"/>
  <c r="J1189" i="14" a="1"/>
  <c r="J1189" i="14" s="1"/>
  <c r="N1190" i="14"/>
  <c r="M1193" i="13"/>
  <c r="M1194" i="14"/>
  <c r="K1005" i="13" l="1"/>
  <c r="L1005" i="13" s="1"/>
  <c r="I1006" i="13" s="1"/>
  <c r="K1027" i="14"/>
  <c r="L1027" i="14" s="1"/>
  <c r="I1028" i="14" s="1"/>
  <c r="J1190" i="14" a="1"/>
  <c r="J1190" i="14" s="1"/>
  <c r="N1191" i="14"/>
  <c r="M1195" i="14"/>
  <c r="M1194" i="13"/>
  <c r="N1192" i="13"/>
  <c r="J1191" i="13" a="1"/>
  <c r="J1191" i="13" s="1"/>
  <c r="K1028" i="14" l="1"/>
  <c r="L1028" i="14" s="1"/>
  <c r="I1029" i="14" s="1"/>
  <c r="K1006" i="13"/>
  <c r="L1006" i="13" s="1"/>
  <c r="I1007" i="13" s="1"/>
  <c r="M1196" i="14"/>
  <c r="N1193" i="13"/>
  <c r="J1192" i="13" a="1"/>
  <c r="J1192" i="13" s="1"/>
  <c r="J1191" i="14" a="1"/>
  <c r="J1191" i="14" s="1"/>
  <c r="N1192" i="14"/>
  <c r="M1195" i="13"/>
  <c r="K1007" i="13" l="1"/>
  <c r="L1007" i="13" s="1"/>
  <c r="I1008" i="13" s="1"/>
  <c r="K1029" i="14"/>
  <c r="L1029" i="14" s="1"/>
  <c r="I1030" i="14" s="1"/>
  <c r="N1194" i="13"/>
  <c r="J1193" i="13" a="1"/>
  <c r="J1193" i="13" s="1"/>
  <c r="N1193" i="14"/>
  <c r="J1192" i="14" a="1"/>
  <c r="J1192" i="14" s="1"/>
  <c r="M1196" i="13"/>
  <c r="M1197" i="14"/>
  <c r="K1030" i="14" l="1"/>
  <c r="L1030" i="14" s="1"/>
  <c r="I1031" i="14" s="1"/>
  <c r="K1008" i="13"/>
  <c r="L1008" i="13" s="1"/>
  <c r="I1009" i="13" s="1"/>
  <c r="J1193" i="14" a="1"/>
  <c r="J1193" i="14" s="1"/>
  <c r="N1194" i="14"/>
  <c r="M1198" i="14"/>
  <c r="M1197" i="13"/>
  <c r="N1195" i="13"/>
  <c r="J1194" i="13" a="1"/>
  <c r="J1194" i="13" s="1"/>
  <c r="K1009" i="13" l="1"/>
  <c r="L1009" i="13" s="1"/>
  <c r="I1010" i="13" s="1"/>
  <c r="K1031" i="14"/>
  <c r="L1031" i="14" s="1"/>
  <c r="I1032" i="14" s="1"/>
  <c r="N1196" i="13"/>
  <c r="J1195" i="13" a="1"/>
  <c r="J1195" i="13" s="1"/>
  <c r="M1199" i="14"/>
  <c r="M1198" i="13"/>
  <c r="J1194" i="14" a="1"/>
  <c r="J1194" i="14" s="1"/>
  <c r="N1195" i="14"/>
  <c r="K1032" i="14" l="1"/>
  <c r="L1032" i="14" s="1"/>
  <c r="I1033" i="14" s="1"/>
  <c r="K1010" i="13"/>
  <c r="L1010" i="13" s="1"/>
  <c r="I1011" i="13" s="1"/>
  <c r="J1195" i="14" a="1"/>
  <c r="J1195" i="14" s="1"/>
  <c r="N1196" i="14"/>
  <c r="M1200" i="14"/>
  <c r="M1199" i="13"/>
  <c r="N1197" i="13"/>
  <c r="J1196" i="13" a="1"/>
  <c r="J1196" i="13" s="1"/>
  <c r="K1011" i="13" l="1"/>
  <c r="L1011" i="13" s="1"/>
  <c r="I1012" i="13" s="1"/>
  <c r="K1033" i="14"/>
  <c r="L1033" i="14" s="1"/>
  <c r="I1034" i="14" s="1"/>
  <c r="N1198" i="13"/>
  <c r="J1197" i="13" a="1"/>
  <c r="J1197" i="13" s="1"/>
  <c r="M1201" i="14"/>
  <c r="N1197" i="14"/>
  <c r="J1196" i="14" a="1"/>
  <c r="J1196" i="14" s="1"/>
  <c r="M1200" i="13"/>
  <c r="K1034" i="14" l="1"/>
  <c r="L1034" i="14" s="1"/>
  <c r="I1035" i="14" s="1"/>
  <c r="K1012" i="13"/>
  <c r="L1012" i="13" s="1"/>
  <c r="I1013" i="13" s="1"/>
  <c r="M1201" i="13"/>
  <c r="J1197" i="14" a="1"/>
  <c r="J1197" i="14" s="1"/>
  <c r="N1198" i="14"/>
  <c r="M1202" i="14"/>
  <c r="N1199" i="13"/>
  <c r="J1198" i="13" a="1"/>
  <c r="J1198" i="13" s="1"/>
  <c r="K1035" i="14" l="1"/>
  <c r="L1035" i="14" s="1"/>
  <c r="I1036" i="14" s="1"/>
  <c r="J1198" i="14" a="1"/>
  <c r="J1198" i="14" s="1"/>
  <c r="N1199" i="14"/>
  <c r="K1013" i="13"/>
  <c r="L1013" i="13" s="1"/>
  <c r="I1014" i="13" s="1"/>
  <c r="N1200" i="13"/>
  <c r="J1199" i="13" a="1"/>
  <c r="J1199" i="13" s="1"/>
  <c r="M1202" i="13"/>
  <c r="M1203" i="14"/>
  <c r="K1014" i="13" l="1"/>
  <c r="L1014" i="13" s="1"/>
  <c r="I1015" i="13" s="1"/>
  <c r="K1036" i="14"/>
  <c r="L1036" i="14" s="1"/>
  <c r="I1037" i="14" s="1"/>
  <c r="M1204" i="14"/>
  <c r="N1201" i="13"/>
  <c r="J1200" i="13" a="1"/>
  <c r="J1200" i="13" s="1"/>
  <c r="J1199" i="14" a="1"/>
  <c r="J1199" i="14" s="1"/>
  <c r="N1200" i="14"/>
  <c r="M1203" i="13"/>
  <c r="K1015" i="13" l="1"/>
  <c r="L1015" i="13" s="1"/>
  <c r="I1016" i="13" s="1"/>
  <c r="N1202" i="13"/>
  <c r="J1201" i="13" a="1"/>
  <c r="J1201" i="13" s="1"/>
  <c r="K1037" i="14"/>
  <c r="L1037" i="14" s="1"/>
  <c r="I1038" i="14" s="1"/>
  <c r="M1204" i="13"/>
  <c r="N1201" i="14"/>
  <c r="J1200" i="14" a="1"/>
  <c r="J1200" i="14" s="1"/>
  <c r="M1205" i="14"/>
  <c r="K1038" i="14" l="1"/>
  <c r="L1038" i="14" s="1"/>
  <c r="I1039" i="14" s="1"/>
  <c r="K1016" i="13"/>
  <c r="L1016" i="13" s="1"/>
  <c r="I1017" i="13" s="1"/>
  <c r="M1205" i="13"/>
  <c r="M1206" i="14"/>
  <c r="N1203" i="13"/>
  <c r="J1202" i="13" a="1"/>
  <c r="J1202" i="13" s="1"/>
  <c r="J1201" i="14" a="1"/>
  <c r="J1201" i="14" s="1"/>
  <c r="N1202" i="14"/>
  <c r="K1017" i="13" l="1"/>
  <c r="L1017" i="13" s="1"/>
  <c r="I1018" i="13" s="1"/>
  <c r="K1039" i="14"/>
  <c r="L1039" i="14" s="1"/>
  <c r="I1040" i="14" s="1"/>
  <c r="M1207" i="14"/>
  <c r="M1206" i="13"/>
  <c r="J1202" i="14" a="1"/>
  <c r="J1202" i="14" s="1"/>
  <c r="N1203" i="14"/>
  <c r="N1204" i="13"/>
  <c r="J1203" i="13" a="1"/>
  <c r="J1203" i="13" s="1"/>
  <c r="K1040" i="14" l="1"/>
  <c r="L1040" i="14" s="1"/>
  <c r="I1041" i="14" s="1"/>
  <c r="K1018" i="13"/>
  <c r="L1018" i="13" s="1"/>
  <c r="I1019" i="13" s="1"/>
  <c r="M1207" i="13"/>
  <c r="N1205" i="13"/>
  <c r="J1204" i="13" a="1"/>
  <c r="J1204" i="13" s="1"/>
  <c r="M1208" i="14"/>
  <c r="J1203" i="14" a="1"/>
  <c r="J1203" i="14" s="1"/>
  <c r="N1204" i="14"/>
  <c r="K1019" i="13" l="1"/>
  <c r="L1019" i="13" s="1"/>
  <c r="I1020" i="13" s="1"/>
  <c r="K1041" i="14"/>
  <c r="L1041" i="14" s="1"/>
  <c r="I1042" i="14" s="1"/>
  <c r="N1205" i="14"/>
  <c r="J1204" i="14" a="1"/>
  <c r="J1204" i="14" s="1"/>
  <c r="N1206" i="13"/>
  <c r="J1205" i="13" a="1"/>
  <c r="J1205" i="13" s="1"/>
  <c r="M1208" i="13"/>
  <c r="M1209" i="14"/>
  <c r="K1042" i="14" l="1"/>
  <c r="L1042" i="14" s="1"/>
  <c r="I1043" i="14" s="1"/>
  <c r="K1020" i="13"/>
  <c r="L1020" i="13" s="1"/>
  <c r="I1021" i="13" s="1"/>
  <c r="N1207" i="13"/>
  <c r="J1206" i="13" a="1"/>
  <c r="J1206" i="13" s="1"/>
  <c r="M1210" i="14"/>
  <c r="M1209" i="13"/>
  <c r="J1205" i="14" a="1"/>
  <c r="J1205" i="14" s="1"/>
  <c r="N1206" i="14"/>
  <c r="K1021" i="13" l="1"/>
  <c r="L1021" i="13" s="1"/>
  <c r="I1022" i="13" s="1"/>
  <c r="K1043" i="14"/>
  <c r="L1043" i="14" s="1"/>
  <c r="I1044" i="14" s="1"/>
  <c r="J1206" i="14" a="1"/>
  <c r="J1206" i="14" s="1"/>
  <c r="N1207" i="14"/>
  <c r="M1211" i="14"/>
  <c r="M1210" i="13"/>
  <c r="N1208" i="13"/>
  <c r="J1207" i="13" a="1"/>
  <c r="J1207" i="13" s="1"/>
  <c r="K1044" i="14" l="1"/>
  <c r="L1044" i="14" s="1"/>
  <c r="I1045" i="14" s="1"/>
  <c r="K1022" i="13"/>
  <c r="L1022" i="13" s="1"/>
  <c r="I1023" i="13" s="1"/>
  <c r="N1209" i="13"/>
  <c r="J1208" i="13" a="1"/>
  <c r="J1208" i="13" s="1"/>
  <c r="M1212" i="14"/>
  <c r="J1207" i="14" a="1"/>
  <c r="J1207" i="14" s="1"/>
  <c r="N1208" i="14"/>
  <c r="M1211" i="13"/>
  <c r="K1023" i="13" l="1"/>
  <c r="L1023" i="13" s="1"/>
  <c r="I1024" i="13" s="1"/>
  <c r="K1045" i="14"/>
  <c r="L1045" i="14" s="1"/>
  <c r="I1046" i="14" s="1"/>
  <c r="N1209" i="14"/>
  <c r="J1208" i="14" a="1"/>
  <c r="J1208" i="14" s="1"/>
  <c r="M1212" i="13"/>
  <c r="M1213" i="14"/>
  <c r="N1210" i="13"/>
  <c r="J1209" i="13" a="1"/>
  <c r="J1209" i="13" s="1"/>
  <c r="K1046" i="14" l="1"/>
  <c r="L1046" i="14" s="1"/>
  <c r="I1047" i="14" s="1"/>
  <c r="K1024" i="13"/>
  <c r="L1024" i="13" s="1"/>
  <c r="I1025" i="13" s="1"/>
  <c r="N1211" i="13"/>
  <c r="J1210" i="13" a="1"/>
  <c r="J1210" i="13" s="1"/>
  <c r="M1213" i="13"/>
  <c r="M1214" i="14"/>
  <c r="J1209" i="14" a="1"/>
  <c r="J1209" i="14" s="1"/>
  <c r="N1210" i="14"/>
  <c r="K1025" i="13" l="1"/>
  <c r="L1025" i="13" s="1"/>
  <c r="I1026" i="13" s="1"/>
  <c r="K1047" i="14"/>
  <c r="L1047" i="14" s="1"/>
  <c r="I1048" i="14" s="1"/>
  <c r="J1210" i="14" a="1"/>
  <c r="J1210" i="14" s="1"/>
  <c r="N1211" i="14"/>
  <c r="M1214" i="13"/>
  <c r="M1215" i="14"/>
  <c r="N1212" i="13"/>
  <c r="J1211" i="13" a="1"/>
  <c r="J1211" i="13" s="1"/>
  <c r="K1048" i="14" l="1"/>
  <c r="L1048" i="14" s="1"/>
  <c r="I1049" i="14" s="1"/>
  <c r="K1026" i="13"/>
  <c r="L1026" i="13" s="1"/>
  <c r="I1027" i="13" s="1"/>
  <c r="N1213" i="13"/>
  <c r="J1212" i="13" a="1"/>
  <c r="J1212" i="13" s="1"/>
  <c r="M1215" i="13"/>
  <c r="M1216" i="14"/>
  <c r="J1211" i="14" a="1"/>
  <c r="J1211" i="14" s="1"/>
  <c r="N1212" i="14"/>
  <c r="K1027" i="13" l="1"/>
  <c r="L1027" i="13" s="1"/>
  <c r="I1028" i="13" s="1"/>
  <c r="K1049" i="14"/>
  <c r="L1049" i="14" s="1"/>
  <c r="I1050" i="14" s="1"/>
  <c r="N1213" i="14"/>
  <c r="J1212" i="14" a="1"/>
  <c r="J1212" i="14" s="1"/>
  <c r="M1216" i="13"/>
  <c r="M1217" i="14"/>
  <c r="N1214" i="13"/>
  <c r="J1213" i="13" a="1"/>
  <c r="J1213" i="13" s="1"/>
  <c r="K1050" i="14" l="1"/>
  <c r="L1050" i="14" s="1"/>
  <c r="I1051" i="14" s="1"/>
  <c r="K1028" i="13"/>
  <c r="L1028" i="13" s="1"/>
  <c r="I1029" i="13" s="1"/>
  <c r="N1215" i="13"/>
  <c r="J1214" i="13" a="1"/>
  <c r="J1214" i="13" s="1"/>
  <c r="M1217" i="13"/>
  <c r="M1218" i="14"/>
  <c r="J1213" i="14" a="1"/>
  <c r="J1213" i="14" s="1"/>
  <c r="N1214" i="14"/>
  <c r="K1029" i="13" l="1"/>
  <c r="L1029" i="13" s="1"/>
  <c r="I1030" i="13" s="1"/>
  <c r="K1051" i="14"/>
  <c r="L1051" i="14" s="1"/>
  <c r="I1052" i="14" s="1"/>
  <c r="J1214" i="14" a="1"/>
  <c r="J1214" i="14" s="1"/>
  <c r="N1215" i="14"/>
  <c r="M1218" i="13"/>
  <c r="M1219" i="14"/>
  <c r="N1216" i="13"/>
  <c r="J1215" i="13" a="1"/>
  <c r="J1215" i="13" s="1"/>
  <c r="K1052" i="14" l="1"/>
  <c r="L1052" i="14" s="1"/>
  <c r="I1053" i="14" s="1"/>
  <c r="K1030" i="13"/>
  <c r="L1030" i="13" s="1"/>
  <c r="I1031" i="13" s="1"/>
  <c r="M1219" i="13"/>
  <c r="N1217" i="13"/>
  <c r="J1216" i="13" a="1"/>
  <c r="J1216" i="13" s="1"/>
  <c r="J1215" i="14" a="1"/>
  <c r="J1215" i="14" s="1"/>
  <c r="N1216" i="14"/>
  <c r="M1220" i="14"/>
  <c r="K1031" i="13" l="1"/>
  <c r="L1031" i="13" s="1"/>
  <c r="I1032" i="13" s="1"/>
  <c r="K1053" i="14"/>
  <c r="L1053" i="14" s="1"/>
  <c r="I1054" i="14" s="1"/>
  <c r="N1218" i="13"/>
  <c r="J1217" i="13" a="1"/>
  <c r="J1217" i="13" s="1"/>
  <c r="N1217" i="14"/>
  <c r="J1216" i="14" a="1"/>
  <c r="J1216" i="14" s="1"/>
  <c r="M1220" i="13"/>
  <c r="M1221" i="14"/>
  <c r="K1054" i="14" l="1"/>
  <c r="L1054" i="14" s="1"/>
  <c r="I1055" i="14" s="1"/>
  <c r="K1032" i="13"/>
  <c r="L1032" i="13" s="1"/>
  <c r="I1033" i="13" s="1"/>
  <c r="M1222" i="14"/>
  <c r="J1217" i="14" a="1"/>
  <c r="J1217" i="14" s="1"/>
  <c r="N1218" i="14"/>
  <c r="M1221" i="13"/>
  <c r="N1219" i="13"/>
  <c r="J1218" i="13" a="1"/>
  <c r="J1218" i="13" s="1"/>
  <c r="K1033" i="13" l="1"/>
  <c r="L1033" i="13" s="1"/>
  <c r="I1034" i="13" s="1"/>
  <c r="K1055" i="14"/>
  <c r="L1055" i="14" s="1"/>
  <c r="I1056" i="14" s="1"/>
  <c r="J1218" i="14" a="1"/>
  <c r="J1218" i="14" s="1"/>
  <c r="N1219" i="14"/>
  <c r="J1219" i="13" a="1"/>
  <c r="J1219" i="13" s="1"/>
  <c r="N1220" i="13"/>
  <c r="M1222" i="13"/>
  <c r="M1223" i="14"/>
  <c r="K1056" i="14" l="1"/>
  <c r="L1056" i="14" s="1"/>
  <c r="I1057" i="14" s="1"/>
  <c r="K1034" i="13"/>
  <c r="L1034" i="13" s="1"/>
  <c r="I1035" i="13" s="1"/>
  <c r="J1220" i="13" a="1"/>
  <c r="J1220" i="13" s="1"/>
  <c r="N1221" i="13"/>
  <c r="J1219" i="14" a="1"/>
  <c r="J1219" i="14" s="1"/>
  <c r="N1220" i="14"/>
  <c r="M1224" i="14"/>
  <c r="M1223" i="13"/>
  <c r="K1035" i="13" l="1"/>
  <c r="L1035" i="13" s="1"/>
  <c r="I1036" i="13" s="1"/>
  <c r="K1057" i="14"/>
  <c r="L1057" i="14" s="1"/>
  <c r="I1058" i="14" s="1"/>
  <c r="N1221" i="14"/>
  <c r="J1220" i="14" a="1"/>
  <c r="J1220" i="14" s="1"/>
  <c r="N1222" i="13"/>
  <c r="J1221" i="13" a="1"/>
  <c r="J1221" i="13" s="1"/>
  <c r="M1224" i="13"/>
  <c r="M1225" i="14"/>
  <c r="K1058" i="14" l="1"/>
  <c r="L1058" i="14" s="1"/>
  <c r="I1059" i="14" s="1"/>
  <c r="K1036" i="13"/>
  <c r="L1036" i="13" s="1"/>
  <c r="I1037" i="13" s="1"/>
  <c r="M1226" i="14"/>
  <c r="J1222" i="13" a="1"/>
  <c r="J1222" i="13" s="1"/>
  <c r="N1223" i="13"/>
  <c r="M1225" i="13"/>
  <c r="J1221" i="14" a="1"/>
  <c r="J1221" i="14" s="1"/>
  <c r="N1222" i="14"/>
  <c r="K1059" i="14" l="1"/>
  <c r="L1059" i="14" s="1"/>
  <c r="I1060" i="14" s="1"/>
  <c r="J1223" i="13" a="1"/>
  <c r="J1223" i="13" s="1"/>
  <c r="N1224" i="13"/>
  <c r="K1037" i="13"/>
  <c r="L1037" i="13" s="1"/>
  <c r="I1038" i="13" s="1"/>
  <c r="J1222" i="14" a="1"/>
  <c r="J1222" i="14" s="1"/>
  <c r="N1223" i="14"/>
  <c r="M1226" i="13"/>
  <c r="M1227" i="14"/>
  <c r="K1038" i="13" l="1"/>
  <c r="L1038" i="13" s="1"/>
  <c r="I1039" i="13" s="1"/>
  <c r="K1060" i="14"/>
  <c r="L1060" i="14" s="1"/>
  <c r="I1061" i="14" s="1"/>
  <c r="J1223" i="14" a="1"/>
  <c r="J1223" i="14" s="1"/>
  <c r="N1224" i="14"/>
  <c r="J1224" i="13" a="1"/>
  <c r="J1224" i="13" s="1"/>
  <c r="N1225" i="13"/>
  <c r="M1228" i="14"/>
  <c r="M1227" i="13"/>
  <c r="K1061" i="14" l="1"/>
  <c r="L1061" i="14" s="1"/>
  <c r="I1062" i="14" s="1"/>
  <c r="K1039" i="13"/>
  <c r="L1039" i="13" s="1"/>
  <c r="I1040" i="13" s="1"/>
  <c r="M1228" i="13"/>
  <c r="N1226" i="13"/>
  <c r="J1225" i="13" a="1"/>
  <c r="J1225" i="13" s="1"/>
  <c r="N1225" i="14"/>
  <c r="J1224" i="14" a="1"/>
  <c r="J1224" i="14" s="1"/>
  <c r="M1229" i="14"/>
  <c r="K1040" i="13" l="1"/>
  <c r="L1040" i="13" s="1"/>
  <c r="I1041" i="13" s="1"/>
  <c r="K1062" i="14"/>
  <c r="L1062" i="14" s="1"/>
  <c r="I1063" i="14" s="1"/>
  <c r="M1230" i="14"/>
  <c r="J1226" i="13" a="1"/>
  <c r="J1226" i="13" s="1"/>
  <c r="N1227" i="13"/>
  <c r="M1229" i="13"/>
  <c r="J1225" i="14" a="1"/>
  <c r="J1225" i="14" s="1"/>
  <c r="N1226" i="14"/>
  <c r="K1063" i="14" l="1"/>
  <c r="L1063" i="14" s="1"/>
  <c r="I1064" i="14" s="1"/>
  <c r="K1041" i="13"/>
  <c r="L1041" i="13" s="1"/>
  <c r="I1042" i="13" s="1"/>
  <c r="J1227" i="13" a="1"/>
  <c r="J1227" i="13" s="1"/>
  <c r="N1228" i="13"/>
  <c r="J1226" i="14" a="1"/>
  <c r="J1226" i="14" s="1"/>
  <c r="N1227" i="14"/>
  <c r="M1230" i="13"/>
  <c r="M1231" i="14"/>
  <c r="K1042" i="13" l="1"/>
  <c r="L1042" i="13" s="1"/>
  <c r="I1043" i="13" s="1"/>
  <c r="K1064" i="14"/>
  <c r="L1064" i="14" s="1"/>
  <c r="I1065" i="14" s="1"/>
  <c r="J1227" i="14" a="1"/>
  <c r="J1227" i="14" s="1"/>
  <c r="N1228" i="14"/>
  <c r="M1232" i="14"/>
  <c r="J1228" i="13" a="1"/>
  <c r="J1228" i="13" s="1"/>
  <c r="N1229" i="13"/>
  <c r="M1231" i="13"/>
  <c r="K1065" i="14" l="1"/>
  <c r="L1065" i="14" s="1"/>
  <c r="I1066" i="14" s="1"/>
  <c r="K1043" i="13"/>
  <c r="L1043" i="13" s="1"/>
  <c r="I1044" i="13" s="1"/>
  <c r="N1230" i="13"/>
  <c r="J1229" i="13" a="1"/>
  <c r="J1229" i="13" s="1"/>
  <c r="M1232" i="13"/>
  <c r="M1233" i="14"/>
  <c r="N1229" i="14"/>
  <c r="J1228" i="14" a="1"/>
  <c r="J1228" i="14" s="1"/>
  <c r="K1066" i="14" l="1"/>
  <c r="L1066" i="14" s="1"/>
  <c r="I1067" i="14" s="1"/>
  <c r="M1233" i="13"/>
  <c r="J1229" i="14" a="1"/>
  <c r="J1229" i="14" s="1"/>
  <c r="N1230" i="14"/>
  <c r="K1044" i="13"/>
  <c r="L1044" i="13" s="1"/>
  <c r="I1045" i="13" s="1"/>
  <c r="M1234" i="14"/>
  <c r="J1230" i="13" a="1"/>
  <c r="J1230" i="13" s="1"/>
  <c r="N1231" i="13"/>
  <c r="K1045" i="13" l="1"/>
  <c r="L1045" i="13" s="1"/>
  <c r="I1046" i="13" s="1"/>
  <c r="K1067" i="14"/>
  <c r="L1067" i="14" s="1"/>
  <c r="I1068" i="14" s="1"/>
  <c r="J1231" i="13" a="1"/>
  <c r="J1231" i="13" s="1"/>
  <c r="N1232" i="13"/>
  <c r="M1234" i="13"/>
  <c r="J1230" i="14" a="1"/>
  <c r="J1230" i="14" s="1"/>
  <c r="N1231" i="14"/>
  <c r="M1235" i="14"/>
  <c r="K1068" i="14" l="1"/>
  <c r="L1068" i="14" s="1"/>
  <c r="I1069" i="14" s="1"/>
  <c r="K1046" i="13"/>
  <c r="L1046" i="13" s="1"/>
  <c r="I1047" i="13" s="1"/>
  <c r="M1236" i="14"/>
  <c r="M1235" i="13"/>
  <c r="J1232" i="13" a="1"/>
  <c r="J1232" i="13" s="1"/>
  <c r="N1233" i="13"/>
  <c r="J1231" i="14" a="1"/>
  <c r="J1231" i="14" s="1"/>
  <c r="N1232" i="14"/>
  <c r="K1047" i="13" l="1"/>
  <c r="L1047" i="13" s="1"/>
  <c r="I1048" i="13" s="1"/>
  <c r="K1069" i="14"/>
  <c r="L1069" i="14" s="1"/>
  <c r="I1070" i="14" s="1"/>
  <c r="M1236" i="13"/>
  <c r="N1234" i="13"/>
  <c r="J1233" i="13" a="1"/>
  <c r="J1233" i="13" s="1"/>
  <c r="N1233" i="14"/>
  <c r="J1232" i="14" a="1"/>
  <c r="J1232" i="14" s="1"/>
  <c r="M1237" i="14"/>
  <c r="K1070" i="14" l="1"/>
  <c r="L1070" i="14" s="1"/>
  <c r="I1071" i="14" s="1"/>
  <c r="K1048" i="13"/>
  <c r="L1048" i="13" s="1"/>
  <c r="I1049" i="13" s="1"/>
  <c r="J1234" i="13" a="1"/>
  <c r="J1234" i="13" s="1"/>
  <c r="N1235" i="13"/>
  <c r="M1237" i="13"/>
  <c r="M1238" i="14"/>
  <c r="J1233" i="14" a="1"/>
  <c r="J1233" i="14" s="1"/>
  <c r="N1234" i="14"/>
  <c r="K1049" i="13" l="1"/>
  <c r="L1049" i="13" s="1"/>
  <c r="I1050" i="13" s="1"/>
  <c r="K1071" i="14"/>
  <c r="L1071" i="14" s="1"/>
  <c r="I1072" i="14" s="1"/>
  <c r="J1234" i="14" a="1"/>
  <c r="J1234" i="14" s="1"/>
  <c r="N1235" i="14"/>
  <c r="M1238" i="13"/>
  <c r="J1235" i="13" a="1"/>
  <c r="J1235" i="13" s="1"/>
  <c r="N1236" i="13"/>
  <c r="M1239" i="14"/>
  <c r="K1072" i="14" l="1"/>
  <c r="L1072" i="14" s="1"/>
  <c r="I1073" i="14" s="1"/>
  <c r="K1050" i="13"/>
  <c r="L1050" i="13" s="1"/>
  <c r="I1051" i="13" s="1"/>
  <c r="M1240" i="14"/>
  <c r="M1239" i="13"/>
  <c r="J1235" i="14" a="1"/>
  <c r="J1235" i="14" s="1"/>
  <c r="N1236" i="14"/>
  <c r="J1236" i="13" a="1"/>
  <c r="J1236" i="13" s="1"/>
  <c r="N1237" i="13"/>
  <c r="K1051" i="13" l="1"/>
  <c r="L1051" i="13" s="1"/>
  <c r="I1052" i="13" s="1"/>
  <c r="K1073" i="14"/>
  <c r="L1073" i="14" s="1"/>
  <c r="I1074" i="14" s="1"/>
  <c r="M1240" i="13"/>
  <c r="N1238" i="13"/>
  <c r="J1237" i="13" a="1"/>
  <c r="J1237" i="13" s="1"/>
  <c r="N1237" i="14"/>
  <c r="J1236" i="14" a="1"/>
  <c r="J1236" i="14" s="1"/>
  <c r="M1241" i="14"/>
  <c r="K1074" i="14" l="1"/>
  <c r="L1074" i="14" s="1"/>
  <c r="I1075" i="14" s="1"/>
  <c r="K1052" i="13"/>
  <c r="L1052" i="13" s="1"/>
  <c r="I1053" i="13" s="1"/>
  <c r="J1238" i="13" a="1"/>
  <c r="J1238" i="13" s="1"/>
  <c r="N1239" i="13"/>
  <c r="M1241" i="13"/>
  <c r="M1242" i="14"/>
  <c r="J1237" i="14" a="1"/>
  <c r="J1237" i="14" s="1"/>
  <c r="N1238" i="14"/>
  <c r="K1075" i="14" l="1"/>
  <c r="L1075" i="14" s="1"/>
  <c r="I1076" i="14" s="1"/>
  <c r="J1238" i="14" a="1"/>
  <c r="J1238" i="14" s="1"/>
  <c r="N1239" i="14"/>
  <c r="K1053" i="13"/>
  <c r="L1053" i="13" s="1"/>
  <c r="I1054" i="13" s="1"/>
  <c r="J1239" i="13" a="1"/>
  <c r="J1239" i="13" s="1"/>
  <c r="N1240" i="13"/>
  <c r="M1242" i="13"/>
  <c r="M1243" i="14"/>
  <c r="K1054" i="13" l="1"/>
  <c r="L1054" i="13" s="1"/>
  <c r="I1055" i="13" s="1"/>
  <c r="K1076" i="14"/>
  <c r="L1076" i="14" s="1"/>
  <c r="I1077" i="14" s="1"/>
  <c r="J1240" i="13" a="1"/>
  <c r="J1240" i="13" s="1"/>
  <c r="N1241" i="13"/>
  <c r="J1239" i="14" a="1"/>
  <c r="J1239" i="14" s="1"/>
  <c r="N1240" i="14"/>
  <c r="M1244" i="14"/>
  <c r="M1243" i="13"/>
  <c r="K1077" i="14" l="1"/>
  <c r="L1077" i="14" s="1"/>
  <c r="I1078" i="14" s="1"/>
  <c r="K1055" i="13"/>
  <c r="L1055" i="13" s="1"/>
  <c r="I1056" i="13" s="1"/>
  <c r="N1241" i="14"/>
  <c r="J1240" i="14" a="1"/>
  <c r="J1240" i="14" s="1"/>
  <c r="M1244" i="13"/>
  <c r="N1242" i="13"/>
  <c r="J1241" i="13" a="1"/>
  <c r="J1241" i="13" s="1"/>
  <c r="M1245" i="14"/>
  <c r="K1056" i="13" l="1"/>
  <c r="L1056" i="13" s="1"/>
  <c r="I1057" i="13" s="1"/>
  <c r="K1078" i="14"/>
  <c r="L1078" i="14" s="1"/>
  <c r="I1079" i="14" s="1"/>
  <c r="J1242" i="13" a="1"/>
  <c r="J1242" i="13" s="1"/>
  <c r="N1243" i="13"/>
  <c r="M1245" i="13"/>
  <c r="M1246" i="14"/>
  <c r="J1241" i="14" a="1"/>
  <c r="J1241" i="14" s="1"/>
  <c r="N1242" i="14"/>
  <c r="K1057" i="13" l="1"/>
  <c r="L1057" i="13" s="1"/>
  <c r="I1058" i="13" s="1"/>
  <c r="J1242" i="14" a="1"/>
  <c r="J1242" i="14" s="1"/>
  <c r="N1243" i="14"/>
  <c r="M1246" i="13"/>
  <c r="K1079" i="14"/>
  <c r="L1079" i="14" s="1"/>
  <c r="I1080" i="14" s="1"/>
  <c r="J1243" i="13" a="1"/>
  <c r="J1243" i="13" s="1"/>
  <c r="N1244" i="13"/>
  <c r="M1247" i="14"/>
  <c r="K1080" i="14" l="1"/>
  <c r="L1080" i="14" s="1"/>
  <c r="I1081" i="14" s="1"/>
  <c r="K1058" i="13"/>
  <c r="L1058" i="13" s="1"/>
  <c r="I1059" i="13" s="1"/>
  <c r="J1243" i="14" a="1"/>
  <c r="J1243" i="14" s="1"/>
  <c r="N1244" i="14"/>
  <c r="J1244" i="13" a="1"/>
  <c r="J1244" i="13" s="1"/>
  <c r="N1245" i="13"/>
  <c r="M1248" i="14"/>
  <c r="M1247" i="13"/>
  <c r="K1059" i="13" l="1"/>
  <c r="L1059" i="13" s="1"/>
  <c r="I1060" i="13" s="1"/>
  <c r="K1081" i="14"/>
  <c r="L1081" i="14" s="1"/>
  <c r="I1082" i="14" s="1"/>
  <c r="N1246" i="13"/>
  <c r="J1245" i="13" a="1"/>
  <c r="J1245" i="13" s="1"/>
  <c r="N1245" i="14"/>
  <c r="J1244" i="14" a="1"/>
  <c r="J1244" i="14" s="1"/>
  <c r="M1248" i="13"/>
  <c r="M1249" i="14"/>
  <c r="K1082" i="14" l="1"/>
  <c r="L1082" i="14" s="1"/>
  <c r="I1083" i="14" s="1"/>
  <c r="K1060" i="13"/>
  <c r="L1060" i="13" s="1"/>
  <c r="I1061" i="13" s="1"/>
  <c r="J1245" i="14" a="1"/>
  <c r="J1245" i="14" s="1"/>
  <c r="N1246" i="14"/>
  <c r="M1250" i="14"/>
  <c r="M1249" i="13"/>
  <c r="J1246" i="13" a="1"/>
  <c r="J1246" i="13" s="1"/>
  <c r="N1247" i="13"/>
  <c r="K1061" i="13" l="1"/>
  <c r="L1061" i="13" s="1"/>
  <c r="I1062" i="13" s="1"/>
  <c r="K1083" i="14"/>
  <c r="L1083" i="14" s="1"/>
  <c r="I1084" i="14" s="1"/>
  <c r="J1247" i="13" a="1"/>
  <c r="J1247" i="13" s="1"/>
  <c r="N1248" i="13"/>
  <c r="M1251" i="14"/>
  <c r="J1246" i="14" a="1"/>
  <c r="J1246" i="14" s="1"/>
  <c r="N1247" i="14"/>
  <c r="M1250" i="13"/>
  <c r="K1084" i="14" l="1"/>
  <c r="L1084" i="14" s="1"/>
  <c r="I1085" i="14" s="1"/>
  <c r="K1062" i="13"/>
  <c r="L1062" i="13" s="1"/>
  <c r="I1063" i="13" s="1"/>
  <c r="M1252" i="14"/>
  <c r="M1251" i="13"/>
  <c r="J1248" i="13" a="1"/>
  <c r="J1248" i="13" s="1"/>
  <c r="N1249" i="13"/>
  <c r="J1247" i="14" a="1"/>
  <c r="J1247" i="14" s="1"/>
  <c r="N1248" i="14"/>
  <c r="K1063" i="13" l="1"/>
  <c r="L1063" i="13" s="1"/>
  <c r="I1064" i="13" s="1"/>
  <c r="K1085" i="14"/>
  <c r="L1085" i="14" s="1"/>
  <c r="I1086" i="14" s="1"/>
  <c r="N1249" i="14"/>
  <c r="J1248" i="14" a="1"/>
  <c r="J1248" i="14" s="1"/>
  <c r="M1252" i="13"/>
  <c r="N1250" i="13"/>
  <c r="J1249" i="13" a="1"/>
  <c r="J1249" i="13" s="1"/>
  <c r="M1253" i="14"/>
  <c r="K1086" i="14" l="1"/>
  <c r="L1086" i="14" s="1"/>
  <c r="I1087" i="14" s="1"/>
  <c r="K1064" i="13"/>
  <c r="L1064" i="13" s="1"/>
  <c r="I1065" i="13" s="1"/>
  <c r="M1253" i="13"/>
  <c r="M1254" i="14"/>
  <c r="J1250" i="13" a="1"/>
  <c r="J1250" i="13" s="1"/>
  <c r="N1251" i="13"/>
  <c r="J1249" i="14" a="1"/>
  <c r="J1249" i="14" s="1"/>
  <c r="N1250" i="14"/>
  <c r="K1065" i="13" l="1"/>
  <c r="L1065" i="13" s="1"/>
  <c r="I1066" i="13" s="1"/>
  <c r="K1087" i="14"/>
  <c r="L1087" i="14" s="1"/>
  <c r="I1088" i="14" s="1"/>
  <c r="J1250" i="14" a="1"/>
  <c r="J1250" i="14" s="1"/>
  <c r="N1251" i="14"/>
  <c r="M1255" i="14"/>
  <c r="J1251" i="13" a="1"/>
  <c r="J1251" i="13" s="1"/>
  <c r="N1252" i="13"/>
  <c r="M1254" i="13"/>
  <c r="K1088" i="14" l="1"/>
  <c r="L1088" i="14" s="1"/>
  <c r="I1089" i="14" s="1"/>
  <c r="K1066" i="13"/>
  <c r="L1066" i="13" s="1"/>
  <c r="I1067" i="13" s="1"/>
  <c r="J1252" i="13" a="1"/>
  <c r="J1252" i="13" s="1"/>
  <c r="N1253" i="13"/>
  <c r="M1256" i="14"/>
  <c r="M1255" i="13"/>
  <c r="J1251" i="14" a="1"/>
  <c r="J1251" i="14" s="1"/>
  <c r="N1252" i="14"/>
  <c r="K1067" i="13" l="1"/>
  <c r="L1067" i="13" s="1"/>
  <c r="I1068" i="13" s="1"/>
  <c r="K1089" i="14"/>
  <c r="L1089" i="14" s="1"/>
  <c r="I1090" i="14" s="1"/>
  <c r="M1257" i="14"/>
  <c r="N1254" i="13"/>
  <c r="J1253" i="13" a="1"/>
  <c r="J1253" i="13" s="1"/>
  <c r="N1253" i="14"/>
  <c r="J1252" i="14" a="1"/>
  <c r="J1252" i="14" s="1"/>
  <c r="M1256" i="13"/>
  <c r="K1068" i="13" l="1"/>
  <c r="L1068" i="13" s="1"/>
  <c r="I1069" i="13" s="1"/>
  <c r="K1090" i="14"/>
  <c r="L1090" i="14" s="1"/>
  <c r="I1091" i="14" s="1"/>
  <c r="J1254" i="13" a="1"/>
  <c r="J1254" i="13" s="1"/>
  <c r="N1255" i="13"/>
  <c r="M1257" i="13"/>
  <c r="J1253" i="14" a="1"/>
  <c r="J1253" i="14" s="1"/>
  <c r="N1254" i="14"/>
  <c r="M1258" i="14"/>
  <c r="K1091" i="14" l="1"/>
  <c r="L1091" i="14" s="1"/>
  <c r="I1092" i="14" s="1"/>
  <c r="K1069" i="13"/>
  <c r="L1069" i="13" s="1"/>
  <c r="I1070" i="13" s="1"/>
  <c r="J1254" i="14" a="1"/>
  <c r="J1254" i="14" s="1"/>
  <c r="N1255" i="14"/>
  <c r="M1259" i="14"/>
  <c r="M1258" i="13"/>
  <c r="J1255" i="13" a="1"/>
  <c r="J1255" i="13" s="1"/>
  <c r="N1256" i="13"/>
  <c r="K1070" i="13" l="1"/>
  <c r="L1070" i="13" s="1"/>
  <c r="I1071" i="13" s="1"/>
  <c r="K1092" i="14"/>
  <c r="L1092" i="14" s="1"/>
  <c r="I1093" i="14" s="1"/>
  <c r="M1260" i="14"/>
  <c r="J1256" i="13" a="1"/>
  <c r="J1256" i="13" s="1"/>
  <c r="N1257" i="13"/>
  <c r="J1255" i="14" a="1"/>
  <c r="J1255" i="14" s="1"/>
  <c r="N1256" i="14"/>
  <c r="M1259" i="13"/>
  <c r="K1093" i="14" l="1"/>
  <c r="L1093" i="14" s="1"/>
  <c r="I1094" i="14" s="1"/>
  <c r="K1071" i="13"/>
  <c r="L1071" i="13" s="1"/>
  <c r="I1072" i="13" s="1"/>
  <c r="N1258" i="13"/>
  <c r="J1257" i="13" a="1"/>
  <c r="J1257" i="13" s="1"/>
  <c r="M1260" i="13"/>
  <c r="N1257" i="14"/>
  <c r="J1256" i="14" a="1"/>
  <c r="J1256" i="14" s="1"/>
  <c r="M1261" i="14"/>
  <c r="K1072" i="13" l="1"/>
  <c r="L1072" i="13" s="1"/>
  <c r="I1073" i="13" s="1"/>
  <c r="K1094" i="14"/>
  <c r="L1094" i="14" s="1"/>
  <c r="I1095" i="14" s="1"/>
  <c r="M1261" i="13"/>
  <c r="M1262" i="14"/>
  <c r="J1257" i="14" a="1"/>
  <c r="J1257" i="14" s="1"/>
  <c r="N1258" i="14"/>
  <c r="J1258" i="13" a="1"/>
  <c r="J1258" i="13" s="1"/>
  <c r="N1259" i="13"/>
  <c r="K1095" i="14" l="1"/>
  <c r="L1095" i="14" s="1"/>
  <c r="I1096" i="14" s="1"/>
  <c r="K1073" i="13"/>
  <c r="L1073" i="13" s="1"/>
  <c r="I1074" i="13" s="1"/>
  <c r="M1263" i="14"/>
  <c r="J1258" i="14" a="1"/>
  <c r="J1258" i="14" s="1"/>
  <c r="N1259" i="14"/>
  <c r="J1259" i="13" a="1"/>
  <c r="J1259" i="13" s="1"/>
  <c r="N1260" i="13"/>
  <c r="M1262" i="13"/>
  <c r="K1074" i="13" l="1"/>
  <c r="L1074" i="13" s="1"/>
  <c r="I1075" i="13" s="1"/>
  <c r="K1096" i="14"/>
  <c r="L1096" i="14" s="1"/>
  <c r="I1097" i="14" s="1"/>
  <c r="J1259" i="14" a="1"/>
  <c r="J1259" i="14" s="1"/>
  <c r="N1260" i="14"/>
  <c r="J1260" i="13" a="1"/>
  <c r="J1260" i="13" s="1"/>
  <c r="N1261" i="13"/>
  <c r="M1264" i="14"/>
  <c r="M1263" i="13"/>
  <c r="K1097" i="14" l="1"/>
  <c r="L1097" i="14" s="1"/>
  <c r="I1098" i="14" s="1"/>
  <c r="K1075" i="13"/>
  <c r="L1075" i="13" s="1"/>
  <c r="I1076" i="13" s="1"/>
  <c r="N1262" i="13"/>
  <c r="J1261" i="13" a="1"/>
  <c r="J1261" i="13" s="1"/>
  <c r="M1265" i="14"/>
  <c r="M1264" i="13"/>
  <c r="N1261" i="14"/>
  <c r="J1260" i="14" a="1"/>
  <c r="J1260" i="14" s="1"/>
  <c r="K1076" i="13" l="1"/>
  <c r="L1076" i="13" s="1"/>
  <c r="I1077" i="13" s="1"/>
  <c r="K1098" i="14"/>
  <c r="L1098" i="14" s="1"/>
  <c r="I1099" i="14" s="1"/>
  <c r="J1261" i="14" a="1"/>
  <c r="J1261" i="14" s="1"/>
  <c r="N1262" i="14"/>
  <c r="M1266" i="14"/>
  <c r="M1265" i="13"/>
  <c r="J1262" i="13" a="1"/>
  <c r="J1262" i="13" s="1"/>
  <c r="N1263" i="13"/>
  <c r="K1099" i="14" l="1"/>
  <c r="L1099" i="14" s="1"/>
  <c r="I1100" i="14" s="1"/>
  <c r="K1077" i="13"/>
  <c r="L1077" i="13" s="1"/>
  <c r="I1078" i="13" s="1"/>
  <c r="M1267" i="14"/>
  <c r="J1263" i="13" a="1"/>
  <c r="J1263" i="13" s="1"/>
  <c r="N1264" i="13"/>
  <c r="J1262" i="14" a="1"/>
  <c r="J1262" i="14" s="1"/>
  <c r="N1263" i="14"/>
  <c r="M1266" i="13"/>
  <c r="K1078" i="13" l="1"/>
  <c r="L1078" i="13" s="1"/>
  <c r="I1079" i="13" s="1"/>
  <c r="K1100" i="14"/>
  <c r="L1100" i="14" s="1"/>
  <c r="I1101" i="14" s="1"/>
  <c r="J1264" i="13" a="1"/>
  <c r="J1264" i="13" s="1"/>
  <c r="N1265" i="13"/>
  <c r="J1263" i="14" a="1"/>
  <c r="J1263" i="14" s="1"/>
  <c r="N1264" i="14"/>
  <c r="M1268" i="14"/>
  <c r="M1267" i="13"/>
  <c r="M1269" i="14" l="1"/>
  <c r="N1265" i="14"/>
  <c r="J1264" i="14" a="1"/>
  <c r="J1264" i="14" s="1"/>
  <c r="K1101" i="14"/>
  <c r="L1101" i="14" s="1"/>
  <c r="I1102" i="14" s="1"/>
  <c r="M1268" i="13"/>
  <c r="N1266" i="13"/>
  <c r="J1265" i="13" a="1"/>
  <c r="J1265" i="13" s="1"/>
  <c r="K1079" i="13"/>
  <c r="L1079" i="13" s="1"/>
  <c r="I1080" i="13" s="1"/>
  <c r="K1080" i="13" l="1"/>
  <c r="L1080" i="13" s="1"/>
  <c r="I1081" i="13" s="1"/>
  <c r="K1102" i="14"/>
  <c r="L1102" i="14" s="1"/>
  <c r="I1103" i="14" s="1"/>
  <c r="M1269" i="13"/>
  <c r="J1265" i="14" a="1"/>
  <c r="J1265" i="14" s="1"/>
  <c r="N1266" i="14"/>
  <c r="J1266" i="13" a="1"/>
  <c r="J1266" i="13" s="1"/>
  <c r="N1267" i="13"/>
  <c r="M1270" i="14"/>
  <c r="K1103" i="14" l="1"/>
  <c r="L1103" i="14" s="1"/>
  <c r="I1104" i="14" s="1"/>
  <c r="K1081" i="13"/>
  <c r="L1081" i="13" s="1"/>
  <c r="I1082" i="13" s="1"/>
  <c r="J1267" i="13" a="1"/>
  <c r="J1267" i="13" s="1"/>
  <c r="N1268" i="13"/>
  <c r="J1266" i="14" a="1"/>
  <c r="J1266" i="14" s="1"/>
  <c r="N1267" i="14"/>
  <c r="M1271" i="14"/>
  <c r="M1270" i="13"/>
  <c r="K1104" i="14" l="1"/>
  <c r="L1104" i="14" s="1"/>
  <c r="I1105" i="14" s="1"/>
  <c r="J1267" i="14" a="1"/>
  <c r="J1267" i="14" s="1"/>
  <c r="N1268" i="14"/>
  <c r="M1271" i="13"/>
  <c r="K1082" i="13"/>
  <c r="L1082" i="13" s="1"/>
  <c r="I1083" i="13" s="1"/>
  <c r="J1268" i="13" a="1"/>
  <c r="J1268" i="13" s="1"/>
  <c r="N1269" i="13"/>
  <c r="M1272" i="14"/>
  <c r="K1083" i="13" l="1"/>
  <c r="L1083" i="13" s="1"/>
  <c r="I1084" i="13" s="1"/>
  <c r="K1105" i="14"/>
  <c r="L1105" i="14" s="1"/>
  <c r="I1106" i="14" s="1"/>
  <c r="N1269" i="14"/>
  <c r="J1268" i="14" a="1"/>
  <c r="J1268" i="14" s="1"/>
  <c r="M1273" i="14"/>
  <c r="N1270" i="13"/>
  <c r="J1269" i="13" a="1"/>
  <c r="J1269" i="13" s="1"/>
  <c r="M1272" i="13"/>
  <c r="K1106" i="14" l="1"/>
  <c r="L1106" i="14" s="1"/>
  <c r="I1107" i="14" s="1"/>
  <c r="K1084" i="13"/>
  <c r="L1084" i="13" s="1"/>
  <c r="I1085" i="13" s="1"/>
  <c r="M1273" i="13"/>
  <c r="M1274" i="14"/>
  <c r="J1270" i="13" a="1"/>
  <c r="J1270" i="13" s="1"/>
  <c r="N1271" i="13"/>
  <c r="J1269" i="14" a="1"/>
  <c r="J1269" i="14" s="1"/>
  <c r="N1270" i="14"/>
  <c r="K1085" i="13" l="1"/>
  <c r="L1085" i="13" s="1"/>
  <c r="I1086" i="13" s="1"/>
  <c r="K1107" i="14"/>
  <c r="L1107" i="14" s="1"/>
  <c r="I1108" i="14" s="1"/>
  <c r="J1270" i="14" a="1"/>
  <c r="J1270" i="14" s="1"/>
  <c r="N1271" i="14"/>
  <c r="J1271" i="13" a="1"/>
  <c r="J1271" i="13" s="1"/>
  <c r="N1272" i="13"/>
  <c r="M1275" i="14"/>
  <c r="M1274" i="13"/>
  <c r="K1108" i="14" l="1"/>
  <c r="L1108" i="14" s="1"/>
  <c r="I1109" i="14" s="1"/>
  <c r="K1086" i="13"/>
  <c r="L1086" i="13" s="1"/>
  <c r="I1087" i="13" s="1"/>
  <c r="J1272" i="13" a="1"/>
  <c r="J1272" i="13" s="1"/>
  <c r="N1273" i="13"/>
  <c r="J1271" i="14" a="1"/>
  <c r="J1271" i="14" s="1"/>
  <c r="N1272" i="14"/>
  <c r="M1275" i="13"/>
  <c r="M1276" i="14"/>
  <c r="K1087" i="13" l="1"/>
  <c r="L1087" i="13" s="1"/>
  <c r="I1088" i="13" s="1"/>
  <c r="K1109" i="14"/>
  <c r="L1109" i="14" s="1"/>
  <c r="I1110" i="14" s="1"/>
  <c r="N1273" i="14"/>
  <c r="J1272" i="14" a="1"/>
  <c r="J1272" i="14" s="1"/>
  <c r="N1274" i="13"/>
  <c r="J1273" i="13" a="1"/>
  <c r="J1273" i="13" s="1"/>
  <c r="M1277" i="14"/>
  <c r="M1276" i="13"/>
  <c r="K1110" i="14" l="1"/>
  <c r="L1110" i="14" s="1"/>
  <c r="I1111" i="14" s="1"/>
  <c r="K1088" i="13"/>
  <c r="L1088" i="13" s="1"/>
  <c r="I1089" i="13" s="1"/>
  <c r="M1277" i="13"/>
  <c r="J1274" i="13" a="1"/>
  <c r="J1274" i="13" s="1"/>
  <c r="N1275" i="13"/>
  <c r="M1278" i="14"/>
  <c r="J1273" i="14" a="1"/>
  <c r="J1273" i="14" s="1"/>
  <c r="N1274" i="14"/>
  <c r="K1089" i="13" l="1"/>
  <c r="L1089" i="13" s="1"/>
  <c r="I1090" i="13" s="1"/>
  <c r="K1111" i="14"/>
  <c r="L1111" i="14" s="1"/>
  <c r="I1112" i="14" s="1"/>
  <c r="J1275" i="13" a="1"/>
  <c r="J1275" i="13" s="1"/>
  <c r="N1276" i="13"/>
  <c r="J1274" i="14" a="1"/>
  <c r="J1274" i="14" s="1"/>
  <c r="N1275" i="14"/>
  <c r="M1279" i="14"/>
  <c r="M1278" i="13"/>
  <c r="K1112" i="14" l="1"/>
  <c r="L1112" i="14" s="1"/>
  <c r="I1113" i="14" s="1"/>
  <c r="K1090" i="13"/>
  <c r="L1090" i="13" s="1"/>
  <c r="I1091" i="13" s="1"/>
  <c r="J1275" i="14" a="1"/>
  <c r="J1275" i="14" s="1"/>
  <c r="N1276" i="14"/>
  <c r="J1276" i="13" a="1"/>
  <c r="J1276" i="13" s="1"/>
  <c r="N1277" i="13"/>
  <c r="M1279" i="13"/>
  <c r="M1280" i="14"/>
  <c r="K1091" i="13" l="1"/>
  <c r="L1091" i="13" s="1"/>
  <c r="I1092" i="13" s="1"/>
  <c r="K1113" i="14"/>
  <c r="L1113" i="14" s="1"/>
  <c r="I1114" i="14" s="1"/>
  <c r="N1278" i="13"/>
  <c r="J1277" i="13" a="1"/>
  <c r="J1277" i="13" s="1"/>
  <c r="M1281" i="14"/>
  <c r="N1277" i="14"/>
  <c r="J1276" i="14" a="1"/>
  <c r="J1276" i="14" s="1"/>
  <c r="M1280" i="13"/>
  <c r="K1114" i="14" l="1"/>
  <c r="L1114" i="14" s="1"/>
  <c r="I1115" i="14" s="1"/>
  <c r="K1092" i="13"/>
  <c r="L1092" i="13" s="1"/>
  <c r="I1093" i="13" s="1"/>
  <c r="M1281" i="13"/>
  <c r="M1282" i="14"/>
  <c r="J1277" i="14" a="1"/>
  <c r="J1277" i="14" s="1"/>
  <c r="N1278" i="14"/>
  <c r="J1278" i="13" a="1"/>
  <c r="J1278" i="13" s="1"/>
  <c r="N1279" i="13"/>
  <c r="K1093" i="13" l="1"/>
  <c r="L1093" i="13" s="1"/>
  <c r="I1094" i="13" s="1"/>
  <c r="K1115" i="14"/>
  <c r="L1115" i="14" s="1"/>
  <c r="I1116" i="14" s="1"/>
  <c r="M1283" i="14"/>
  <c r="J1278" i="14" a="1"/>
  <c r="J1278" i="14" s="1"/>
  <c r="N1279" i="14"/>
  <c r="J1279" i="13" a="1"/>
  <c r="J1279" i="13" s="1"/>
  <c r="N1280" i="13"/>
  <c r="M1282" i="13"/>
  <c r="K1116" i="14" l="1"/>
  <c r="L1116" i="14" s="1"/>
  <c r="I1117" i="14" s="1"/>
  <c r="K1094" i="13"/>
  <c r="L1094" i="13" s="1"/>
  <c r="I1095" i="13" s="1"/>
  <c r="J1279" i="14" a="1"/>
  <c r="J1279" i="14" s="1"/>
  <c r="N1280" i="14"/>
  <c r="M1283" i="13"/>
  <c r="J1280" i="13" a="1"/>
  <c r="J1280" i="13" s="1"/>
  <c r="N1281" i="13"/>
  <c r="M1284" i="14"/>
  <c r="K1095" i="13" l="1"/>
  <c r="L1095" i="13" s="1"/>
  <c r="I1096" i="13" s="1"/>
  <c r="K1117" i="14"/>
  <c r="L1117" i="14" s="1"/>
  <c r="I1118" i="14" s="1"/>
  <c r="N1282" i="13"/>
  <c r="J1281" i="13" a="1"/>
  <c r="J1281" i="13" s="1"/>
  <c r="M1285" i="14"/>
  <c r="M1284" i="13"/>
  <c r="N1281" i="14"/>
  <c r="J1280" i="14" a="1"/>
  <c r="J1280" i="14" s="1"/>
  <c r="K1118" i="14" l="1"/>
  <c r="L1118" i="14" s="1"/>
  <c r="I1119" i="14" s="1"/>
  <c r="K1096" i="13"/>
  <c r="L1096" i="13" s="1"/>
  <c r="I1097" i="13" s="1"/>
  <c r="J1281" i="14" a="1"/>
  <c r="J1281" i="14" s="1"/>
  <c r="N1282" i="14"/>
  <c r="M1286" i="14"/>
  <c r="M1285" i="13"/>
  <c r="J1282" i="13" a="1"/>
  <c r="J1282" i="13" s="1"/>
  <c r="N1283" i="13"/>
  <c r="K1097" i="13" l="1"/>
  <c r="L1097" i="13" s="1"/>
  <c r="I1098" i="13" s="1"/>
  <c r="K1119" i="14"/>
  <c r="L1119" i="14" s="1"/>
  <c r="I1120" i="14" s="1"/>
  <c r="M1287" i="14"/>
  <c r="J1282" i="14" a="1"/>
  <c r="J1282" i="14" s="1"/>
  <c r="N1283" i="14"/>
  <c r="J1283" i="13" a="1"/>
  <c r="J1283" i="13" s="1"/>
  <c r="N1284" i="13"/>
  <c r="M1286" i="13"/>
  <c r="K1120" i="14" l="1"/>
  <c r="L1120" i="14" s="1"/>
  <c r="I1121" i="14" s="1"/>
  <c r="K1098" i="13"/>
  <c r="L1098" i="13" s="1"/>
  <c r="I1099" i="13" s="1"/>
  <c r="J1283" i="14" a="1"/>
  <c r="J1283" i="14" s="1"/>
  <c r="N1284" i="14"/>
  <c r="M1287" i="13"/>
  <c r="J1284" i="13" a="1"/>
  <c r="J1284" i="13" s="1"/>
  <c r="N1285" i="13"/>
  <c r="M1288" i="14"/>
  <c r="K1099" i="13" l="1"/>
  <c r="L1099" i="13" s="1"/>
  <c r="I1100" i="13" s="1"/>
  <c r="K1121" i="14"/>
  <c r="L1121" i="14" s="1"/>
  <c r="I1122" i="14" s="1"/>
  <c r="M1289" i="14"/>
  <c r="M1288" i="13"/>
  <c r="N1286" i="13"/>
  <c r="J1285" i="13" a="1"/>
  <c r="J1285" i="13" s="1"/>
  <c r="N1285" i="14"/>
  <c r="J1284" i="14" a="1"/>
  <c r="J1284" i="14" s="1"/>
  <c r="K1122" i="14" l="1"/>
  <c r="L1122" i="14" s="1"/>
  <c r="I1123" i="14" s="1"/>
  <c r="K1100" i="13"/>
  <c r="L1100" i="13" s="1"/>
  <c r="I1101" i="13" s="1"/>
  <c r="M1289" i="13"/>
  <c r="J1285" i="14" a="1"/>
  <c r="J1285" i="14" s="1"/>
  <c r="N1286" i="14"/>
  <c r="J1286" i="13" a="1"/>
  <c r="J1286" i="13" s="1"/>
  <c r="N1287" i="13"/>
  <c r="M1290" i="14"/>
  <c r="K1101" i="13" l="1"/>
  <c r="L1101" i="13" s="1"/>
  <c r="I1102" i="13" s="1"/>
  <c r="K1123" i="14"/>
  <c r="L1123" i="14" s="1"/>
  <c r="I1124" i="14" s="1"/>
  <c r="J1286" i="14" a="1"/>
  <c r="J1286" i="14" s="1"/>
  <c r="N1287" i="14"/>
  <c r="J1287" i="13" a="1"/>
  <c r="J1287" i="13" s="1"/>
  <c r="N1288" i="13"/>
  <c r="M1291" i="14"/>
  <c r="M1290" i="13"/>
  <c r="K1124" i="14" l="1"/>
  <c r="L1124" i="14" s="1"/>
  <c r="I1125" i="14" s="1"/>
  <c r="J1288" i="13" a="1"/>
  <c r="J1288" i="13" s="1"/>
  <c r="N1289" i="13"/>
  <c r="M1291" i="13"/>
  <c r="M1292" i="14"/>
  <c r="J1287" i="14" a="1"/>
  <c r="J1287" i="14" s="1"/>
  <c r="N1288" i="14"/>
  <c r="K1102" i="13"/>
  <c r="L1102" i="13" s="1"/>
  <c r="I1103" i="13" s="1"/>
  <c r="K1103" i="13" l="1"/>
  <c r="L1103" i="13" s="1"/>
  <c r="I1104" i="13" s="1"/>
  <c r="K1125" i="14"/>
  <c r="L1125" i="14" s="1"/>
  <c r="I1126" i="14" s="1"/>
  <c r="N1290" i="13"/>
  <c r="J1289" i="13" a="1"/>
  <c r="J1289" i="13" s="1"/>
  <c r="M1293" i="14"/>
  <c r="N1289" i="14"/>
  <c r="J1288" i="14" a="1"/>
  <c r="J1288" i="14" s="1"/>
  <c r="M1292" i="13"/>
  <c r="K1126" i="14" l="1"/>
  <c r="L1126" i="14" s="1"/>
  <c r="I1127" i="14" s="1"/>
  <c r="K1104" i="13"/>
  <c r="L1104" i="13" s="1"/>
  <c r="I1105" i="13" s="1"/>
  <c r="M1293" i="13"/>
  <c r="M1294" i="14"/>
  <c r="J1289" i="14" a="1"/>
  <c r="J1289" i="14" s="1"/>
  <c r="N1290" i="14"/>
  <c r="J1290" i="13" a="1"/>
  <c r="J1290" i="13" s="1"/>
  <c r="N1291" i="13"/>
  <c r="K1105" i="13" l="1"/>
  <c r="L1105" i="13" s="1"/>
  <c r="I1106" i="13" s="1"/>
  <c r="K1127" i="14"/>
  <c r="L1127" i="14" s="1"/>
  <c r="I1128" i="14" s="1"/>
  <c r="M1295" i="14"/>
  <c r="J1290" i="14" a="1"/>
  <c r="J1290" i="14" s="1"/>
  <c r="N1291" i="14"/>
  <c r="J1291" i="13" a="1"/>
  <c r="J1291" i="13" s="1"/>
  <c r="N1292" i="13"/>
  <c r="M1294" i="13"/>
  <c r="K1128" i="14" l="1"/>
  <c r="L1128" i="14" s="1"/>
  <c r="I1129" i="14" s="1"/>
  <c r="K1106" i="13"/>
  <c r="L1106" i="13" s="1"/>
  <c r="I1107" i="13" s="1"/>
  <c r="J1291" i="14" a="1"/>
  <c r="J1291" i="14" s="1"/>
  <c r="N1292" i="14"/>
  <c r="J1292" i="13" a="1"/>
  <c r="J1292" i="13" s="1"/>
  <c r="N1293" i="13"/>
  <c r="M1296" i="14"/>
  <c r="M1295" i="13"/>
  <c r="K1129" i="14" l="1"/>
  <c r="L1129" i="14" s="1"/>
  <c r="I1130" i="14" s="1"/>
  <c r="K1107" i="13"/>
  <c r="L1107" i="13" s="1"/>
  <c r="I1108" i="13" s="1"/>
  <c r="N1294" i="13"/>
  <c r="J1293" i="13" a="1"/>
  <c r="J1293" i="13" s="1"/>
  <c r="N1293" i="14"/>
  <c r="J1292" i="14" a="1"/>
  <c r="J1292" i="14" s="1"/>
  <c r="M1296" i="13"/>
  <c r="M1297" i="14"/>
  <c r="K1108" i="13" l="1"/>
  <c r="L1108" i="13" s="1"/>
  <c r="I1109" i="13" s="1"/>
  <c r="K1130" i="14"/>
  <c r="L1130" i="14" s="1"/>
  <c r="I1131" i="14" s="1"/>
  <c r="M1298" i="14"/>
  <c r="J1293" i="14" a="1"/>
  <c r="J1293" i="14" s="1"/>
  <c r="N1294" i="14"/>
  <c r="M1297" i="13"/>
  <c r="J1294" i="13" a="1"/>
  <c r="J1294" i="13" s="1"/>
  <c r="N1295" i="13"/>
  <c r="K1131" i="14" l="1"/>
  <c r="L1131" i="14" s="1"/>
  <c r="I1132" i="14" s="1"/>
  <c r="K1109" i="13"/>
  <c r="L1109" i="13" s="1"/>
  <c r="I1110" i="13" s="1"/>
  <c r="J1294" i="14" a="1"/>
  <c r="J1294" i="14" s="1"/>
  <c r="N1295" i="14"/>
  <c r="J1295" i="13" a="1"/>
  <c r="J1295" i="13" s="1"/>
  <c r="N1296" i="13"/>
  <c r="M1298" i="13"/>
  <c r="M1299" i="14"/>
  <c r="K1110" i="13" l="1"/>
  <c r="L1110" i="13" s="1"/>
  <c r="I1111" i="13" s="1"/>
  <c r="K1132" i="14"/>
  <c r="L1132" i="14" s="1"/>
  <c r="I1133" i="14" s="1"/>
  <c r="M1300" i="14"/>
  <c r="J1296" i="13" a="1"/>
  <c r="J1296" i="13" s="1"/>
  <c r="N1297" i="13"/>
  <c r="J1295" i="14" a="1"/>
  <c r="J1295" i="14" s="1"/>
  <c r="N1296" i="14"/>
  <c r="M1299" i="13"/>
  <c r="K1133" i="14" l="1"/>
  <c r="L1133" i="14" s="1"/>
  <c r="I1134" i="14" s="1"/>
  <c r="K1111" i="13"/>
  <c r="L1111" i="13" s="1"/>
  <c r="I1112" i="13" s="1"/>
  <c r="M1300" i="13"/>
  <c r="N1298" i="13"/>
  <c r="J1297" i="13" a="1"/>
  <c r="J1297" i="13" s="1"/>
  <c r="N1297" i="14"/>
  <c r="J1296" i="14" a="1"/>
  <c r="J1296" i="14" s="1"/>
  <c r="M1301" i="14"/>
  <c r="K1112" i="13" l="1"/>
  <c r="L1112" i="13" s="1"/>
  <c r="I1113" i="13" s="1"/>
  <c r="K1134" i="14"/>
  <c r="L1134" i="14" s="1"/>
  <c r="I1135" i="14" s="1"/>
  <c r="J1298" i="13" a="1"/>
  <c r="J1298" i="13" s="1"/>
  <c r="N1299" i="13"/>
  <c r="M1302" i="14"/>
  <c r="M1301" i="13"/>
  <c r="J1297" i="14" a="1"/>
  <c r="J1297" i="14" s="1"/>
  <c r="N1298" i="14"/>
  <c r="K1135" i="14" l="1"/>
  <c r="L1135" i="14" s="1"/>
  <c r="I1136" i="14" s="1"/>
  <c r="K1113" i="13"/>
  <c r="L1113" i="13" s="1"/>
  <c r="I1114" i="13" s="1"/>
  <c r="J1298" i="14" a="1"/>
  <c r="J1298" i="14" s="1"/>
  <c r="N1299" i="14"/>
  <c r="M1303" i="14"/>
  <c r="J1299" i="13" a="1"/>
  <c r="J1299" i="13" s="1"/>
  <c r="N1300" i="13"/>
  <c r="M1302" i="13"/>
  <c r="K1114" i="13" l="1"/>
  <c r="L1114" i="13" s="1"/>
  <c r="I1115" i="13" s="1"/>
  <c r="K1136" i="14"/>
  <c r="L1136" i="14" s="1"/>
  <c r="I1137" i="14" s="1"/>
  <c r="M1304" i="14"/>
  <c r="M1303" i="13"/>
  <c r="J1300" i="13" a="1"/>
  <c r="J1300" i="13" s="1"/>
  <c r="N1301" i="13"/>
  <c r="J1299" i="14" a="1"/>
  <c r="J1299" i="14" s="1"/>
  <c r="N1300" i="14"/>
  <c r="K1137" i="14" l="1"/>
  <c r="L1137" i="14" s="1"/>
  <c r="I1138" i="14" s="1"/>
  <c r="K1115" i="13"/>
  <c r="L1115" i="13" s="1"/>
  <c r="I1116" i="13" s="1"/>
  <c r="M1304" i="13"/>
  <c r="N1301" i="14"/>
  <c r="J1300" i="14" a="1"/>
  <c r="J1300" i="14" s="1"/>
  <c r="N1302" i="13"/>
  <c r="J1301" i="13" a="1"/>
  <c r="J1301" i="13" s="1"/>
  <c r="M1305" i="14"/>
  <c r="K1116" i="13" l="1"/>
  <c r="L1116" i="13" s="1"/>
  <c r="I1117" i="13" s="1"/>
  <c r="K1138" i="14"/>
  <c r="L1138" i="14" s="1"/>
  <c r="I1139" i="14" s="1"/>
  <c r="J1301" i="14" a="1"/>
  <c r="J1301" i="14" s="1"/>
  <c r="N1302" i="14"/>
  <c r="M1305" i="13"/>
  <c r="M1306" i="14"/>
  <c r="J1302" i="13" a="1"/>
  <c r="J1302" i="13" s="1"/>
  <c r="N1303" i="13"/>
  <c r="K1139" i="14" l="1"/>
  <c r="L1139" i="14" s="1"/>
  <c r="I1140" i="14" s="1"/>
  <c r="K1117" i="13"/>
  <c r="L1117" i="13" s="1"/>
  <c r="I1118" i="13" s="1"/>
  <c r="J1303" i="13" a="1"/>
  <c r="J1303" i="13" s="1"/>
  <c r="N1304" i="13"/>
  <c r="M1306" i="13"/>
  <c r="J1302" i="14" a="1"/>
  <c r="J1302" i="14" s="1"/>
  <c r="N1303" i="14"/>
  <c r="M1307" i="14"/>
  <c r="K1118" i="13" l="1"/>
  <c r="L1118" i="13" s="1"/>
  <c r="I1119" i="13" s="1"/>
  <c r="K1140" i="14"/>
  <c r="L1140" i="14" s="1"/>
  <c r="I1141" i="14" s="1"/>
  <c r="M1308" i="14"/>
  <c r="M1307" i="13"/>
  <c r="J1304" i="13" a="1"/>
  <c r="J1304" i="13" s="1"/>
  <c r="N1305" i="13"/>
  <c r="J1303" i="14" a="1"/>
  <c r="J1303" i="14" s="1"/>
  <c r="N1304" i="14"/>
  <c r="K1141" i="14" l="1"/>
  <c r="L1141" i="14" s="1"/>
  <c r="I1142" i="14" s="1"/>
  <c r="K1119" i="13"/>
  <c r="L1119" i="13" s="1"/>
  <c r="I1120" i="13" s="1"/>
  <c r="M1308" i="13"/>
  <c r="N1305" i="14"/>
  <c r="J1304" i="14" a="1"/>
  <c r="J1304" i="14" s="1"/>
  <c r="N1306" i="13"/>
  <c r="J1305" i="13" a="1"/>
  <c r="J1305" i="13" s="1"/>
  <c r="M1309" i="14"/>
  <c r="K1120" i="13" l="1"/>
  <c r="L1120" i="13" s="1"/>
  <c r="I1121" i="13" s="1"/>
  <c r="K1142" i="14"/>
  <c r="L1142" i="14" s="1"/>
  <c r="I1143" i="14" s="1"/>
  <c r="J1305" i="14" a="1"/>
  <c r="J1305" i="14" s="1"/>
  <c r="N1306" i="14"/>
  <c r="M1309" i="13"/>
  <c r="M1310" i="14"/>
  <c r="J1306" i="13" a="1"/>
  <c r="J1306" i="13" s="1"/>
  <c r="N1307" i="13"/>
  <c r="K1143" i="14" l="1"/>
  <c r="L1143" i="14" s="1"/>
  <c r="I1144" i="14" s="1"/>
  <c r="K1121" i="13"/>
  <c r="L1121" i="13" s="1"/>
  <c r="I1122" i="13" s="1"/>
  <c r="J1307" i="13" a="1"/>
  <c r="J1307" i="13" s="1"/>
  <c r="N1308" i="13"/>
  <c r="M1310" i="13"/>
  <c r="J1306" i="14" a="1"/>
  <c r="J1306" i="14" s="1"/>
  <c r="N1307" i="14"/>
  <c r="M1311" i="14"/>
  <c r="K1122" i="13" l="1"/>
  <c r="L1122" i="13" s="1"/>
  <c r="I1123" i="13" s="1"/>
  <c r="K1144" i="14"/>
  <c r="L1144" i="14" s="1"/>
  <c r="I1145" i="14" s="1"/>
  <c r="M1311" i="13"/>
  <c r="J1307" i="14" a="1"/>
  <c r="J1307" i="14" s="1"/>
  <c r="N1308" i="14"/>
  <c r="J1308" i="13" a="1"/>
  <c r="J1308" i="13" s="1"/>
  <c r="N1309" i="13"/>
  <c r="M1312" i="14"/>
  <c r="K1145" i="14" l="1"/>
  <c r="L1145" i="14" s="1"/>
  <c r="I1146" i="14" s="1"/>
  <c r="K1123" i="13"/>
  <c r="L1123" i="13" s="1"/>
  <c r="I1124" i="13" s="1"/>
  <c r="N1310" i="13"/>
  <c r="J1309" i="13" a="1"/>
  <c r="J1309" i="13" s="1"/>
  <c r="N1309" i="14"/>
  <c r="J1308" i="14" a="1"/>
  <c r="J1308" i="14" s="1"/>
  <c r="M1313" i="14"/>
  <c r="M1312" i="13"/>
  <c r="K1124" i="13" l="1"/>
  <c r="L1124" i="13" s="1"/>
  <c r="I1125" i="13" s="1"/>
  <c r="K1146" i="14"/>
  <c r="L1146" i="14" s="1"/>
  <c r="I1147" i="14" s="1"/>
  <c r="M1313" i="13"/>
  <c r="J1309" i="14" a="1"/>
  <c r="J1309" i="14" s="1"/>
  <c r="N1310" i="14"/>
  <c r="M1314" i="14"/>
  <c r="J1310" i="13" a="1"/>
  <c r="J1310" i="13" s="1"/>
  <c r="N1311" i="13"/>
  <c r="K1147" i="14" l="1"/>
  <c r="L1147" i="14" s="1"/>
  <c r="I1148" i="14" s="1"/>
  <c r="K1125" i="13"/>
  <c r="L1125" i="13" s="1"/>
  <c r="I1126" i="13" s="1"/>
  <c r="J1311" i="13" a="1"/>
  <c r="J1311" i="13" s="1"/>
  <c r="N1312" i="13"/>
  <c r="J1310" i="14" a="1"/>
  <c r="J1310" i="14" s="1"/>
  <c r="N1311" i="14"/>
  <c r="M1315" i="14"/>
  <c r="M1314" i="13"/>
  <c r="K1126" i="13" l="1"/>
  <c r="L1126" i="13" s="1"/>
  <c r="I1127" i="13" s="1"/>
  <c r="K1148" i="14"/>
  <c r="L1148" i="14" s="1"/>
  <c r="I1149" i="14" s="1"/>
  <c r="J1311" i="14" a="1"/>
  <c r="J1311" i="14" s="1"/>
  <c r="N1312" i="14"/>
  <c r="J1312" i="13" a="1"/>
  <c r="J1312" i="13" s="1"/>
  <c r="N1313" i="13"/>
  <c r="M1315" i="13"/>
  <c r="M1316" i="14"/>
  <c r="K1149" i="14" l="1"/>
  <c r="L1149" i="14" s="1"/>
  <c r="I1150" i="14" s="1"/>
  <c r="K1127" i="13"/>
  <c r="L1127" i="13" s="1"/>
  <c r="I1128" i="13" s="1"/>
  <c r="N1314" i="13"/>
  <c r="J1313" i="13" a="1"/>
  <c r="J1313" i="13" s="1"/>
  <c r="N1313" i="14"/>
  <c r="J1312" i="14" a="1"/>
  <c r="J1312" i="14" s="1"/>
  <c r="M1317" i="14"/>
  <c r="M1316" i="13"/>
  <c r="K1128" i="13" l="1"/>
  <c r="L1128" i="13" s="1"/>
  <c r="I1129" i="13" s="1"/>
  <c r="K1150" i="14"/>
  <c r="L1150" i="14" s="1"/>
  <c r="I1151" i="14" s="1"/>
  <c r="J1313" i="14" a="1"/>
  <c r="J1313" i="14" s="1"/>
  <c r="N1314" i="14"/>
  <c r="M1317" i="13"/>
  <c r="M1318" i="14"/>
  <c r="J1314" i="13" a="1"/>
  <c r="J1314" i="13" s="1"/>
  <c r="N1315" i="13"/>
  <c r="K1151" i="14" l="1"/>
  <c r="L1151" i="14" s="1"/>
  <c r="I1152" i="14" s="1"/>
  <c r="K1129" i="13"/>
  <c r="L1129" i="13" s="1"/>
  <c r="I1130" i="13" s="1"/>
  <c r="M1318" i="13"/>
  <c r="J1315" i="13" a="1"/>
  <c r="J1315" i="13" s="1"/>
  <c r="N1316" i="13"/>
  <c r="J1314" i="14" a="1"/>
  <c r="J1314" i="14" s="1"/>
  <c r="N1315" i="14"/>
  <c r="M1319" i="14"/>
  <c r="K1130" i="13" l="1"/>
  <c r="L1130" i="13" s="1"/>
  <c r="I1131" i="13" s="1"/>
  <c r="K1152" i="14"/>
  <c r="L1152" i="14" s="1"/>
  <c r="I1153" i="14" s="1"/>
  <c r="J1316" i="13" a="1"/>
  <c r="J1316" i="13" s="1"/>
  <c r="N1317" i="13"/>
  <c r="M1320" i="14"/>
  <c r="J1315" i="14" a="1"/>
  <c r="J1315" i="14" s="1"/>
  <c r="N1316" i="14"/>
  <c r="M1319" i="13"/>
  <c r="K1153" i="14" l="1"/>
  <c r="L1153" i="14" s="1"/>
  <c r="I1154" i="14" s="1"/>
  <c r="K1131" i="13"/>
  <c r="L1131" i="13" s="1"/>
  <c r="I1132" i="13" s="1"/>
  <c r="M1320" i="13"/>
  <c r="M1321" i="14"/>
  <c r="N1317" i="14"/>
  <c r="J1316" i="14" a="1"/>
  <c r="J1316" i="14" s="1"/>
  <c r="N1318" i="13"/>
  <c r="J1317" i="13" a="1"/>
  <c r="J1317" i="13" s="1"/>
  <c r="K1132" i="13" l="1"/>
  <c r="L1132" i="13" s="1"/>
  <c r="I1133" i="13" s="1"/>
  <c r="K1154" i="14"/>
  <c r="L1154" i="14" s="1"/>
  <c r="I1155" i="14" s="1"/>
  <c r="J1318" i="13" a="1"/>
  <c r="J1318" i="13" s="1"/>
  <c r="N1319" i="13"/>
  <c r="M1322" i="14"/>
  <c r="M1321" i="13"/>
  <c r="J1317" i="14" a="1"/>
  <c r="J1317" i="14" s="1"/>
  <c r="N1318" i="14"/>
  <c r="K1155" i="14" l="1"/>
  <c r="L1155" i="14" s="1"/>
  <c r="I1156" i="14" s="1"/>
  <c r="K1133" i="13"/>
  <c r="L1133" i="13" s="1"/>
  <c r="I1134" i="13" s="1"/>
  <c r="J1318" i="14" a="1"/>
  <c r="J1318" i="14" s="1"/>
  <c r="N1319" i="14"/>
  <c r="M1323" i="14"/>
  <c r="J1319" i="13" a="1"/>
  <c r="J1319" i="13" s="1"/>
  <c r="N1320" i="13"/>
  <c r="M1322" i="13"/>
  <c r="K1134" i="13" l="1"/>
  <c r="L1134" i="13" s="1"/>
  <c r="I1135" i="13" s="1"/>
  <c r="K1156" i="14"/>
  <c r="L1156" i="14" s="1"/>
  <c r="I1157" i="14" s="1"/>
  <c r="M1324" i="14"/>
  <c r="M1323" i="13"/>
  <c r="J1320" i="13" a="1"/>
  <c r="J1320" i="13" s="1"/>
  <c r="N1321" i="13"/>
  <c r="J1319" i="14" a="1"/>
  <c r="J1319" i="14" s="1"/>
  <c r="N1320" i="14"/>
  <c r="K1157" i="14" l="1"/>
  <c r="L1157" i="14" s="1"/>
  <c r="I1158" i="14" s="1"/>
  <c r="K1135" i="13"/>
  <c r="L1135" i="13" s="1"/>
  <c r="I1136" i="13" s="1"/>
  <c r="N1321" i="14"/>
  <c r="J1320" i="14" a="1"/>
  <c r="J1320" i="14" s="1"/>
  <c r="M1324" i="13"/>
  <c r="N1322" i="13"/>
  <c r="J1321" i="13" a="1"/>
  <c r="J1321" i="13" s="1"/>
  <c r="M1325" i="14"/>
  <c r="K1136" i="13" l="1"/>
  <c r="L1136" i="13" s="1"/>
  <c r="I1137" i="13" s="1"/>
  <c r="K1158" i="14"/>
  <c r="L1158" i="14" s="1"/>
  <c r="I1159" i="14" s="1"/>
  <c r="M1325" i="13"/>
  <c r="M1326" i="14"/>
  <c r="J1322" i="13" a="1"/>
  <c r="J1322" i="13" s="1"/>
  <c r="N1323" i="13"/>
  <c r="J1321" i="14" a="1"/>
  <c r="J1321" i="14" s="1"/>
  <c r="N1322" i="14"/>
  <c r="K1159" i="14" l="1"/>
  <c r="L1159" i="14" s="1"/>
  <c r="I1160" i="14" s="1"/>
  <c r="K1137" i="13"/>
  <c r="L1137" i="13" s="1"/>
  <c r="I1138" i="13" s="1"/>
  <c r="J1322" i="14" a="1"/>
  <c r="J1322" i="14" s="1"/>
  <c r="N1323" i="14"/>
  <c r="M1327" i="14"/>
  <c r="J1323" i="13" a="1"/>
  <c r="J1323" i="13" s="1"/>
  <c r="N1324" i="13"/>
  <c r="M1326" i="13"/>
  <c r="K1138" i="13" l="1"/>
  <c r="L1138" i="13" s="1"/>
  <c r="I1139" i="13" s="1"/>
  <c r="K1160" i="14"/>
  <c r="L1160" i="14" s="1"/>
  <c r="I1161" i="14" s="1"/>
  <c r="M1328" i="14"/>
  <c r="M1327" i="13"/>
  <c r="J1324" i="13" a="1"/>
  <c r="J1324" i="13" s="1"/>
  <c r="N1325" i="13"/>
  <c r="J1323" i="14" a="1"/>
  <c r="J1323" i="14" s="1"/>
  <c r="N1324" i="14"/>
  <c r="K1139" i="13" l="1"/>
  <c r="L1139" i="13" s="1"/>
  <c r="I1140" i="13" s="1"/>
  <c r="K1161" i="14"/>
  <c r="L1161" i="14" s="1"/>
  <c r="I1162" i="14" s="1"/>
  <c r="N1325" i="14"/>
  <c r="J1324" i="14" a="1"/>
  <c r="J1324" i="14" s="1"/>
  <c r="M1328" i="13"/>
  <c r="N1326" i="13"/>
  <c r="J1325" i="13" a="1"/>
  <c r="J1325" i="13" s="1"/>
  <c r="M1329" i="14"/>
  <c r="K1140" i="13" l="1"/>
  <c r="L1140" i="13" s="1"/>
  <c r="I1141" i="13" s="1"/>
  <c r="M1329" i="13"/>
  <c r="K1162" i="14"/>
  <c r="L1162" i="14" s="1"/>
  <c r="I1163" i="14" s="1"/>
  <c r="M1330" i="14"/>
  <c r="J1326" i="13" a="1"/>
  <c r="J1326" i="13" s="1"/>
  <c r="N1327" i="13"/>
  <c r="J1325" i="14" a="1"/>
  <c r="J1325" i="14" s="1"/>
  <c r="N1326" i="14"/>
  <c r="K1163" i="14" l="1"/>
  <c r="L1163" i="14" s="1"/>
  <c r="I1164" i="14" s="1"/>
  <c r="K1141" i="13"/>
  <c r="L1141" i="13" s="1"/>
  <c r="I1142" i="13" s="1"/>
  <c r="M1330" i="13"/>
  <c r="J1326" i="14" a="1"/>
  <c r="J1326" i="14" s="1"/>
  <c r="N1327" i="14"/>
  <c r="M1331" i="14"/>
  <c r="J1327" i="13" a="1"/>
  <c r="J1327" i="13" s="1"/>
  <c r="N1328" i="13"/>
  <c r="K1142" i="13" l="1"/>
  <c r="L1142" i="13" s="1"/>
  <c r="I1143" i="13" s="1"/>
  <c r="K1164" i="14"/>
  <c r="L1164" i="14" s="1"/>
  <c r="I1165" i="14" s="1"/>
  <c r="J1328" i="13" a="1"/>
  <c r="J1328" i="13" s="1"/>
  <c r="N1329" i="13"/>
  <c r="J1327" i="14" a="1"/>
  <c r="J1327" i="14" s="1"/>
  <c r="N1328" i="14"/>
  <c r="M1332" i="14"/>
  <c r="M1331" i="13"/>
  <c r="K1165" i="14" l="1"/>
  <c r="L1165" i="14" s="1"/>
  <c r="I1166" i="14" s="1"/>
  <c r="K1143" i="13"/>
  <c r="L1143" i="13" s="1"/>
  <c r="I1144" i="13" s="1"/>
  <c r="M1332" i="13"/>
  <c r="N1330" i="13"/>
  <c r="J1329" i="13" a="1"/>
  <c r="J1329" i="13" s="1"/>
  <c r="N1329" i="14"/>
  <c r="J1328" i="14" a="1"/>
  <c r="J1328" i="14" s="1"/>
  <c r="M1333" i="14"/>
  <c r="K1144" i="13" l="1"/>
  <c r="L1144" i="13" s="1"/>
  <c r="I1145" i="13" s="1"/>
  <c r="K1166" i="14"/>
  <c r="L1166" i="14" s="1"/>
  <c r="I1167" i="14" s="1"/>
  <c r="M1334" i="14"/>
  <c r="J1330" i="13" a="1"/>
  <c r="J1330" i="13" s="1"/>
  <c r="N1331" i="13"/>
  <c r="M1333" i="13"/>
  <c r="J1329" i="14" a="1"/>
  <c r="J1329" i="14" s="1"/>
  <c r="N1330" i="14"/>
  <c r="K1167" i="14" l="1"/>
  <c r="L1167" i="14" s="1"/>
  <c r="I1168" i="14" s="1"/>
  <c r="K1145" i="13"/>
  <c r="L1145" i="13" s="1"/>
  <c r="I1146" i="13" s="1"/>
  <c r="J1330" i="14" a="1"/>
  <c r="J1330" i="14" s="1"/>
  <c r="N1331" i="14"/>
  <c r="J1331" i="13" a="1"/>
  <c r="J1331" i="13" s="1"/>
  <c r="N1332" i="13"/>
  <c r="M1334" i="13"/>
  <c r="M1335" i="14"/>
  <c r="K1146" i="13" l="1"/>
  <c r="L1146" i="13" s="1"/>
  <c r="I1147" i="13" s="1"/>
  <c r="K1168" i="14"/>
  <c r="L1168" i="14" s="1"/>
  <c r="I1169" i="14" s="1"/>
  <c r="J1332" i="13" a="1"/>
  <c r="J1332" i="13" s="1"/>
  <c r="N1333" i="13"/>
  <c r="J1331" i="14" a="1"/>
  <c r="J1331" i="14" s="1"/>
  <c r="N1332" i="14"/>
  <c r="M1336" i="14"/>
  <c r="M1335" i="13"/>
  <c r="K1169" i="14" l="1"/>
  <c r="L1169" i="14" s="1"/>
  <c r="I1170" i="14" s="1"/>
  <c r="K1147" i="13"/>
  <c r="L1147" i="13" s="1"/>
  <c r="I1148" i="13" s="1"/>
  <c r="N1333" i="14"/>
  <c r="J1332" i="14" a="1"/>
  <c r="J1332" i="14" s="1"/>
  <c r="N1334" i="13"/>
  <c r="J1333" i="13" a="1"/>
  <c r="J1333" i="13" s="1"/>
  <c r="M1336" i="13"/>
  <c r="M1337" i="14"/>
  <c r="K1148" i="13" l="1"/>
  <c r="L1148" i="13" s="1"/>
  <c r="I1149" i="13" s="1"/>
  <c r="K1170" i="14"/>
  <c r="L1170" i="14" s="1"/>
  <c r="I1171" i="14" s="1"/>
  <c r="M1338" i="14"/>
  <c r="J1334" i="13" a="1"/>
  <c r="J1334" i="13" s="1"/>
  <c r="N1335" i="13"/>
  <c r="M1337" i="13"/>
  <c r="J1333" i="14" a="1"/>
  <c r="J1333" i="14" s="1"/>
  <c r="N1334" i="14"/>
  <c r="K1171" i="14" l="1"/>
  <c r="L1171" i="14" s="1"/>
  <c r="I1172" i="14" s="1"/>
  <c r="K1149" i="13"/>
  <c r="L1149" i="13" s="1"/>
  <c r="I1150" i="13" s="1"/>
  <c r="J1334" i="14" a="1"/>
  <c r="J1334" i="14" s="1"/>
  <c r="N1335" i="14"/>
  <c r="J1335" i="13" a="1"/>
  <c r="J1335" i="13" s="1"/>
  <c r="N1336" i="13"/>
  <c r="M1338" i="13"/>
  <c r="M1339" i="14"/>
  <c r="K1150" i="13" l="1"/>
  <c r="L1150" i="13" s="1"/>
  <c r="I1151" i="13" s="1"/>
  <c r="K1172" i="14"/>
  <c r="L1172" i="14" s="1"/>
  <c r="I1173" i="14" s="1"/>
  <c r="J1336" i="13" a="1"/>
  <c r="J1336" i="13" s="1"/>
  <c r="N1337" i="13"/>
  <c r="J1335" i="14" a="1"/>
  <c r="J1335" i="14" s="1"/>
  <c r="N1336" i="14"/>
  <c r="M1340" i="14"/>
  <c r="M1339" i="13"/>
  <c r="K1173" i="14" l="1"/>
  <c r="L1173" i="14" s="1"/>
  <c r="I1174" i="14" s="1"/>
  <c r="K1151" i="13"/>
  <c r="L1151" i="13" s="1"/>
  <c r="I1152" i="13" s="1"/>
  <c r="N1337" i="14"/>
  <c r="J1336" i="14" a="1"/>
  <c r="J1336" i="14" s="1"/>
  <c r="N1338" i="13"/>
  <c r="J1337" i="13" a="1"/>
  <c r="J1337" i="13" s="1"/>
  <c r="M1340" i="13"/>
  <c r="M1341" i="14"/>
  <c r="K1152" i="13" l="1"/>
  <c r="L1152" i="13" s="1"/>
  <c r="I1153" i="13" s="1"/>
  <c r="K1174" i="14"/>
  <c r="L1174" i="14" s="1"/>
  <c r="I1175" i="14" s="1"/>
  <c r="M1342" i="14"/>
  <c r="J1338" i="13" a="1"/>
  <c r="J1338" i="13" s="1"/>
  <c r="N1339" i="13"/>
  <c r="M1341" i="13"/>
  <c r="J1337" i="14" a="1"/>
  <c r="J1337" i="14" s="1"/>
  <c r="N1338" i="14"/>
  <c r="K1175" i="14" l="1"/>
  <c r="L1175" i="14" s="1"/>
  <c r="I1176" i="14" s="1"/>
  <c r="K1153" i="13"/>
  <c r="L1153" i="13" s="1"/>
  <c r="I1154" i="13" s="1"/>
  <c r="J1339" i="13" a="1"/>
  <c r="J1339" i="13" s="1"/>
  <c r="N1340" i="13"/>
  <c r="J1338" i="14" a="1"/>
  <c r="J1338" i="14" s="1"/>
  <c r="N1339" i="14"/>
  <c r="M1342" i="13"/>
  <c r="M1343" i="14"/>
  <c r="K1154" i="13" l="1"/>
  <c r="L1154" i="13" s="1"/>
  <c r="I1155" i="13" s="1"/>
  <c r="K1176" i="14"/>
  <c r="L1176" i="14" s="1"/>
  <c r="I1177" i="14" s="1"/>
  <c r="M1344" i="14"/>
  <c r="J1340" i="13" a="1"/>
  <c r="J1340" i="13" s="1"/>
  <c r="N1341" i="13"/>
  <c r="J1339" i="14" a="1"/>
  <c r="J1339" i="14" s="1"/>
  <c r="N1340" i="14"/>
  <c r="M1343" i="13"/>
  <c r="K1177" i="14" l="1"/>
  <c r="L1177" i="14" s="1"/>
  <c r="I1178" i="14" s="1"/>
  <c r="K1155" i="13"/>
  <c r="L1155" i="13" s="1"/>
  <c r="I1156" i="13" s="1"/>
  <c r="N1342" i="13"/>
  <c r="J1341" i="13" a="1"/>
  <c r="J1341" i="13" s="1"/>
  <c r="M1344" i="13"/>
  <c r="N1341" i="14"/>
  <c r="J1340" i="14" a="1"/>
  <c r="J1340" i="14" s="1"/>
  <c r="M1345" i="14"/>
  <c r="K1156" i="13" l="1"/>
  <c r="L1156" i="13" s="1"/>
  <c r="I1157" i="13" s="1"/>
  <c r="K1178" i="14"/>
  <c r="L1178" i="14" s="1"/>
  <c r="I1179" i="14" s="1"/>
  <c r="M1345" i="13"/>
  <c r="M1346" i="14"/>
  <c r="J1341" i="14" a="1"/>
  <c r="J1341" i="14" s="1"/>
  <c r="N1342" i="14"/>
  <c r="J1342" i="13" a="1"/>
  <c r="J1342" i="13" s="1"/>
  <c r="N1343" i="13"/>
  <c r="K1179" i="14" l="1"/>
  <c r="L1179" i="14" s="1"/>
  <c r="I1180" i="14" s="1"/>
  <c r="K1157" i="13"/>
  <c r="L1157" i="13" s="1"/>
  <c r="I1158" i="13" s="1"/>
  <c r="J1343" i="13" a="1"/>
  <c r="J1343" i="13" s="1"/>
  <c r="N1344" i="13"/>
  <c r="M1347" i="14"/>
  <c r="J1342" i="14" a="1"/>
  <c r="J1342" i="14" s="1"/>
  <c r="N1343" i="14"/>
  <c r="M1346" i="13"/>
  <c r="K1158" i="13" l="1"/>
  <c r="L1158" i="13" s="1"/>
  <c r="I1159" i="13" s="1"/>
  <c r="K1180" i="14"/>
  <c r="L1180" i="14" s="1"/>
  <c r="I1181" i="14" s="1"/>
  <c r="M1348" i="14"/>
  <c r="M1347" i="13"/>
  <c r="J1343" i="14" a="1"/>
  <c r="J1343" i="14" s="1"/>
  <c r="N1344" i="14"/>
  <c r="J1344" i="13" a="1"/>
  <c r="J1344" i="13" s="1"/>
  <c r="N1345" i="13"/>
  <c r="K1181" i="14" l="1"/>
  <c r="L1181" i="14" s="1"/>
  <c r="I1182" i="14" s="1"/>
  <c r="K1159" i="13"/>
  <c r="L1159" i="13" s="1"/>
  <c r="I1160" i="13" s="1"/>
  <c r="M1348" i="13"/>
  <c r="N1345" i="14"/>
  <c r="J1344" i="14" a="1"/>
  <c r="J1344" i="14" s="1"/>
  <c r="N1346" i="13"/>
  <c r="J1345" i="13" a="1"/>
  <c r="J1345" i="13" s="1"/>
  <c r="M1349" i="14"/>
  <c r="K1182" i="14" l="1"/>
  <c r="L1182" i="14" s="1"/>
  <c r="I1183" i="14" s="1"/>
  <c r="K1160" i="13"/>
  <c r="L1160" i="13" s="1"/>
  <c r="I1161" i="13" s="1"/>
  <c r="M1350" i="14"/>
  <c r="J1345" i="14" a="1"/>
  <c r="J1345" i="14" s="1"/>
  <c r="N1346" i="14"/>
  <c r="M1349" i="13"/>
  <c r="J1346" i="13" a="1"/>
  <c r="J1346" i="13" s="1"/>
  <c r="N1347" i="13"/>
  <c r="K1161" i="13" l="1"/>
  <c r="L1161" i="13" s="1"/>
  <c r="I1162" i="13" s="1"/>
  <c r="K1183" i="14"/>
  <c r="L1183" i="14" s="1"/>
  <c r="I1184" i="14" s="1"/>
  <c r="J1347" i="13" a="1"/>
  <c r="J1347" i="13" s="1"/>
  <c r="N1348" i="13"/>
  <c r="J1346" i="14" a="1"/>
  <c r="J1346" i="14" s="1"/>
  <c r="N1347" i="14"/>
  <c r="M1350" i="13"/>
  <c r="M1351" i="14"/>
  <c r="K1184" i="14" l="1"/>
  <c r="L1184" i="14" s="1"/>
  <c r="I1185" i="14" s="1"/>
  <c r="K1162" i="13"/>
  <c r="L1162" i="13" s="1"/>
  <c r="I1163" i="13" s="1"/>
  <c r="J1347" i="14" a="1"/>
  <c r="J1347" i="14" s="1"/>
  <c r="N1348" i="14"/>
  <c r="J1348" i="13" a="1"/>
  <c r="J1348" i="13" s="1"/>
  <c r="N1349" i="13"/>
  <c r="M1352" i="14"/>
  <c r="M1351" i="13"/>
  <c r="K1163" i="13" l="1"/>
  <c r="L1163" i="13" s="1"/>
  <c r="I1164" i="13" s="1"/>
  <c r="K1185" i="14"/>
  <c r="L1185" i="14" s="1"/>
  <c r="I1186" i="14" s="1"/>
  <c r="N1350" i="13"/>
  <c r="J1349" i="13" a="1"/>
  <c r="J1349" i="13" s="1"/>
  <c r="M1352" i="13"/>
  <c r="N1349" i="14"/>
  <c r="J1348" i="14" a="1"/>
  <c r="J1348" i="14" s="1"/>
  <c r="M1353" i="14"/>
  <c r="K1186" i="14" l="1"/>
  <c r="L1186" i="14" s="1"/>
  <c r="I1187" i="14" s="1"/>
  <c r="K1164" i="13"/>
  <c r="L1164" i="13" s="1"/>
  <c r="I1165" i="13" s="1"/>
  <c r="M1354" i="14"/>
  <c r="M1353" i="13"/>
  <c r="J1349" i="14" a="1"/>
  <c r="J1349" i="14" s="1"/>
  <c r="N1350" i="14"/>
  <c r="J1350" i="13" a="1"/>
  <c r="J1350" i="13" s="1"/>
  <c r="N1351" i="13"/>
  <c r="K1165" i="13" l="1"/>
  <c r="L1165" i="13" s="1"/>
  <c r="I1166" i="13" s="1"/>
  <c r="K1187" i="14"/>
  <c r="L1187" i="14" s="1"/>
  <c r="I1188" i="14" s="1"/>
  <c r="J1351" i="13" a="1"/>
  <c r="J1351" i="13" s="1"/>
  <c r="N1352" i="13"/>
  <c r="M1354" i="13"/>
  <c r="J1350" i="14" a="1"/>
  <c r="J1350" i="14" s="1"/>
  <c r="N1351" i="14"/>
  <c r="M1355" i="14"/>
  <c r="K1188" i="14" l="1"/>
  <c r="L1188" i="14" s="1"/>
  <c r="I1189" i="14" s="1"/>
  <c r="K1166" i="13"/>
  <c r="L1166" i="13" s="1"/>
  <c r="I1167" i="13" s="1"/>
  <c r="M1356" i="14"/>
  <c r="M1355" i="13"/>
  <c r="J1351" i="14" a="1"/>
  <c r="J1351" i="14" s="1"/>
  <c r="N1352" i="14"/>
  <c r="J1352" i="13" a="1"/>
  <c r="J1352" i="13" s="1"/>
  <c r="N1353" i="13"/>
  <c r="K1189" i="14" l="1"/>
  <c r="L1189" i="14" s="1"/>
  <c r="I1190" i="14" s="1"/>
  <c r="K1167" i="13"/>
  <c r="L1167" i="13" s="1"/>
  <c r="I1168" i="13" s="1"/>
  <c r="N1354" i="13"/>
  <c r="J1353" i="13" a="1"/>
  <c r="J1353" i="13" s="1"/>
  <c r="M1356" i="13"/>
  <c r="N1353" i="14"/>
  <c r="J1352" i="14" a="1"/>
  <c r="J1352" i="14" s="1"/>
  <c r="M1357" i="14"/>
  <c r="K1168" i="13" l="1"/>
  <c r="L1168" i="13" s="1"/>
  <c r="I1169" i="13" s="1"/>
  <c r="K1190" i="14"/>
  <c r="L1190" i="14" s="1"/>
  <c r="I1191" i="14" s="1"/>
  <c r="J1353" i="14" a="1"/>
  <c r="J1353" i="14" s="1"/>
  <c r="N1354" i="14"/>
  <c r="J1354" i="13" a="1"/>
  <c r="J1354" i="13" s="1"/>
  <c r="N1355" i="13"/>
  <c r="M1357" i="13"/>
  <c r="M1358" i="14"/>
  <c r="K1169" i="13" l="1"/>
  <c r="L1169" i="13" s="1"/>
  <c r="I1170" i="13" s="1"/>
  <c r="K1191" i="14"/>
  <c r="L1191" i="14" s="1"/>
  <c r="I1192" i="14" s="1"/>
  <c r="J1355" i="13" a="1"/>
  <c r="J1355" i="13" s="1"/>
  <c r="N1356" i="13"/>
  <c r="M1359" i="14"/>
  <c r="J1354" i="14" a="1"/>
  <c r="J1354" i="14" s="1"/>
  <c r="N1355" i="14"/>
  <c r="M1358" i="13"/>
  <c r="K1170" i="13" l="1"/>
  <c r="L1170" i="13" s="1"/>
  <c r="I1171" i="13" s="1"/>
  <c r="K1192" i="14"/>
  <c r="L1192" i="14" s="1"/>
  <c r="I1193" i="14" s="1"/>
  <c r="M1360" i="14"/>
  <c r="M1359" i="13"/>
  <c r="J1355" i="14" a="1"/>
  <c r="J1355" i="14" s="1"/>
  <c r="N1356" i="14"/>
  <c r="J1356" i="13" a="1"/>
  <c r="J1356" i="13" s="1"/>
  <c r="N1357" i="13"/>
  <c r="K1193" i="14" l="1"/>
  <c r="L1193" i="14" s="1"/>
  <c r="I1194" i="14" s="1"/>
  <c r="K1171" i="13"/>
  <c r="L1171" i="13" s="1"/>
  <c r="I1172" i="13" s="1"/>
  <c r="N1358" i="13"/>
  <c r="J1357" i="13" a="1"/>
  <c r="J1357" i="13" s="1"/>
  <c r="M1360" i="13"/>
  <c r="N1357" i="14"/>
  <c r="J1356" i="14" a="1"/>
  <c r="J1356" i="14" s="1"/>
  <c r="M1361" i="14"/>
  <c r="K1194" i="14" l="1"/>
  <c r="L1194" i="14" s="1"/>
  <c r="I1195" i="14" s="1"/>
  <c r="K1172" i="13"/>
  <c r="L1172" i="13" s="1"/>
  <c r="I1173" i="13" s="1"/>
  <c r="M1361" i="13"/>
  <c r="M1362" i="14"/>
  <c r="J1357" i="14" a="1"/>
  <c r="J1357" i="14" s="1"/>
  <c r="N1358" i="14"/>
  <c r="J1358" i="13" a="1"/>
  <c r="J1358" i="13" s="1"/>
  <c r="N1359" i="13"/>
  <c r="K1173" i="13" l="1"/>
  <c r="L1173" i="13" s="1"/>
  <c r="I1174" i="13" s="1"/>
  <c r="K1195" i="14"/>
  <c r="L1195" i="14" s="1"/>
  <c r="I1196" i="14" s="1"/>
  <c r="J1359" i="13" a="1"/>
  <c r="J1359" i="13" s="1"/>
  <c r="N1360" i="13"/>
  <c r="J1358" i="14" a="1"/>
  <c r="J1358" i="14" s="1"/>
  <c r="N1359" i="14"/>
  <c r="M1363" i="14"/>
  <c r="M1362" i="13"/>
  <c r="K1196" i="14" l="1"/>
  <c r="L1196" i="14" s="1"/>
  <c r="I1197" i="14" s="1"/>
  <c r="K1174" i="13"/>
  <c r="L1174" i="13" s="1"/>
  <c r="I1175" i="13" s="1"/>
  <c r="J1359" i="14" a="1"/>
  <c r="J1359" i="14" s="1"/>
  <c r="N1360" i="14"/>
  <c r="M1363" i="13"/>
  <c r="M1364" i="14"/>
  <c r="J1360" i="13" a="1"/>
  <c r="J1360" i="13" s="1"/>
  <c r="N1361" i="13"/>
  <c r="K1197" i="14" l="1"/>
  <c r="L1197" i="14" s="1"/>
  <c r="I1198" i="14" s="1"/>
  <c r="K1175" i="13"/>
  <c r="L1175" i="13" s="1"/>
  <c r="I1176" i="13" s="1"/>
  <c r="N1362" i="13"/>
  <c r="J1361" i="13" a="1"/>
  <c r="J1361" i="13" s="1"/>
  <c r="M1364" i="13"/>
  <c r="N1361" i="14"/>
  <c r="J1360" i="14" a="1"/>
  <c r="J1360" i="14" s="1"/>
  <c r="M1365" i="14"/>
  <c r="K1176" i="13" l="1"/>
  <c r="L1176" i="13" s="1"/>
  <c r="I1177" i="13" s="1"/>
  <c r="M1365" i="13"/>
  <c r="M1366" i="14"/>
  <c r="J1361" i="14" a="1"/>
  <c r="J1361" i="14" s="1"/>
  <c r="N1362" i="14"/>
  <c r="J1362" i="13" a="1"/>
  <c r="J1362" i="13" s="1"/>
  <c r="N1363" i="13"/>
  <c r="K1198" i="14"/>
  <c r="L1198" i="14" s="1"/>
  <c r="I1199" i="14" s="1"/>
  <c r="K1199" i="14" l="1"/>
  <c r="L1199" i="14" s="1"/>
  <c r="I1200" i="14" s="1"/>
  <c r="K1177" i="13"/>
  <c r="L1177" i="13" s="1"/>
  <c r="I1178" i="13" s="1"/>
  <c r="M1366" i="13"/>
  <c r="J1362" i="14" a="1"/>
  <c r="J1362" i="14" s="1"/>
  <c r="N1363" i="14"/>
  <c r="J1363" i="13" a="1"/>
  <c r="J1363" i="13" s="1"/>
  <c r="N1364" i="13"/>
  <c r="M1367" i="14"/>
  <c r="K1178" i="13" l="1"/>
  <c r="L1178" i="13" s="1"/>
  <c r="I1179" i="13" s="1"/>
  <c r="K1200" i="14"/>
  <c r="L1200" i="14" s="1"/>
  <c r="I1201" i="14" s="1"/>
  <c r="M1368" i="14"/>
  <c r="J1363" i="14" a="1"/>
  <c r="J1363" i="14" s="1"/>
  <c r="N1364" i="14"/>
  <c r="J1364" i="13" a="1"/>
  <c r="J1364" i="13" s="1"/>
  <c r="N1365" i="13"/>
  <c r="M1367" i="13"/>
  <c r="K1201" i="14" l="1"/>
  <c r="L1201" i="14" s="1"/>
  <c r="I1202" i="14" s="1"/>
  <c r="K1179" i="13"/>
  <c r="L1179" i="13" s="1"/>
  <c r="I1180" i="13" s="1"/>
  <c r="N1365" i="14"/>
  <c r="J1364" i="14" a="1"/>
  <c r="J1364" i="14" s="1"/>
  <c r="M1368" i="13"/>
  <c r="N1366" i="13"/>
  <c r="J1365" i="13" a="1"/>
  <c r="J1365" i="13" s="1"/>
  <c r="M1369" i="14"/>
  <c r="K1180" i="13" l="1"/>
  <c r="L1180" i="13" s="1"/>
  <c r="I1181" i="13" s="1"/>
  <c r="K1202" i="14"/>
  <c r="L1202" i="14" s="1"/>
  <c r="I1203" i="14" s="1"/>
  <c r="M1369" i="13"/>
  <c r="M1370" i="14"/>
  <c r="J1366" i="13" a="1"/>
  <c r="J1366" i="13" s="1"/>
  <c r="N1367" i="13"/>
  <c r="J1365" i="14" a="1"/>
  <c r="J1365" i="14" s="1"/>
  <c r="N1366" i="14"/>
  <c r="K1203" i="14" l="1"/>
  <c r="L1203" i="14" s="1"/>
  <c r="I1204" i="14" s="1"/>
  <c r="M1370" i="13"/>
  <c r="K1181" i="13"/>
  <c r="L1181" i="13" s="1"/>
  <c r="I1182" i="13" s="1"/>
  <c r="M1371" i="14"/>
  <c r="J1366" i="14" a="1"/>
  <c r="J1366" i="14" s="1"/>
  <c r="N1367" i="14"/>
  <c r="J1367" i="13" a="1"/>
  <c r="J1367" i="13" s="1"/>
  <c r="N1368" i="13"/>
  <c r="J1368" i="13" l="1" a="1"/>
  <c r="J1368" i="13" s="1"/>
  <c r="N1369" i="13"/>
  <c r="M1372" i="14"/>
  <c r="M1371" i="13"/>
  <c r="K1182" i="13"/>
  <c r="L1182" i="13" s="1"/>
  <c r="I1183" i="13" s="1"/>
  <c r="K1204" i="14"/>
  <c r="L1204" i="14" s="1"/>
  <c r="I1205" i="14" s="1"/>
  <c r="J1367" i="14" a="1"/>
  <c r="J1367" i="14" s="1"/>
  <c r="N1368" i="14"/>
  <c r="K1205" i="14" l="1"/>
  <c r="L1205" i="14" s="1"/>
  <c r="I1206" i="14" s="1"/>
  <c r="K1183" i="13"/>
  <c r="L1183" i="13" s="1"/>
  <c r="I1184" i="13" s="1"/>
  <c r="N1370" i="13"/>
  <c r="J1369" i="13" a="1"/>
  <c r="J1369" i="13" s="1"/>
  <c r="N1369" i="14"/>
  <c r="J1368" i="14" a="1"/>
  <c r="J1368" i="14" s="1"/>
  <c r="M1373" i="14"/>
  <c r="M1372" i="13"/>
  <c r="K1184" i="13" l="1"/>
  <c r="L1184" i="13" s="1"/>
  <c r="I1185" i="13" s="1"/>
  <c r="K1206" i="14"/>
  <c r="L1206" i="14" s="1"/>
  <c r="I1207" i="14" s="1"/>
  <c r="M1373" i="13"/>
  <c r="J1369" i="14" a="1"/>
  <c r="J1369" i="14" s="1"/>
  <c r="N1370" i="14"/>
  <c r="M1374" i="14"/>
  <c r="J1370" i="13" a="1"/>
  <c r="J1370" i="13" s="1"/>
  <c r="N1371" i="13"/>
  <c r="K1185" i="13" l="1"/>
  <c r="L1185" i="13" s="1"/>
  <c r="I1186" i="13" s="1"/>
  <c r="K1207" i="14"/>
  <c r="L1207" i="14" s="1"/>
  <c r="I1208" i="14" s="1"/>
  <c r="J1371" i="13" a="1"/>
  <c r="J1371" i="13" s="1"/>
  <c r="N1372" i="13"/>
  <c r="J1370" i="14" a="1"/>
  <c r="J1370" i="14" s="1"/>
  <c r="N1371" i="14"/>
  <c r="M1375" i="14"/>
  <c r="M1374" i="13"/>
  <c r="K1208" i="14" l="1"/>
  <c r="L1208" i="14" s="1"/>
  <c r="I1209" i="14" s="1"/>
  <c r="K1186" i="13"/>
  <c r="L1186" i="13" s="1"/>
  <c r="I1187" i="13" s="1"/>
  <c r="M1375" i="13"/>
  <c r="M1376" i="14"/>
  <c r="J1372" i="13" a="1"/>
  <c r="J1372" i="13" s="1"/>
  <c r="N1373" i="13"/>
  <c r="J1371" i="14" a="1"/>
  <c r="J1371" i="14" s="1"/>
  <c r="N1372" i="14"/>
  <c r="K1187" i="13" l="1"/>
  <c r="L1187" i="13" s="1"/>
  <c r="I1188" i="13" s="1"/>
  <c r="K1209" i="14"/>
  <c r="L1209" i="14" s="1"/>
  <c r="I1210" i="14" s="1"/>
  <c r="N1373" i="14"/>
  <c r="J1372" i="14" a="1"/>
  <c r="J1372" i="14" s="1"/>
  <c r="M1377" i="14"/>
  <c r="N1374" i="13"/>
  <c r="J1373" i="13" a="1"/>
  <c r="J1373" i="13" s="1"/>
  <c r="M1376" i="13"/>
  <c r="K1188" i="13" l="1"/>
  <c r="L1188" i="13" s="1"/>
  <c r="I1189" i="13" s="1"/>
  <c r="K1210" i="14"/>
  <c r="L1210" i="14" s="1"/>
  <c r="I1211" i="14" s="1"/>
  <c r="M1377" i="13"/>
  <c r="M1378" i="14"/>
  <c r="J1374" i="13" a="1"/>
  <c r="J1374" i="13" s="1"/>
  <c r="N1375" i="13"/>
  <c r="J1373" i="14" a="1"/>
  <c r="J1373" i="14" s="1"/>
  <c r="N1374" i="14"/>
  <c r="K1211" i="14" l="1"/>
  <c r="L1211" i="14" s="1"/>
  <c r="I1212" i="14" s="1"/>
  <c r="K1189" i="13"/>
  <c r="L1189" i="13" s="1"/>
  <c r="I1190" i="13" s="1"/>
  <c r="J1374" i="14" a="1"/>
  <c r="J1374" i="14" s="1"/>
  <c r="N1375" i="14"/>
  <c r="M1379" i="14"/>
  <c r="J1375" i="13" a="1"/>
  <c r="J1375" i="13" s="1"/>
  <c r="N1376" i="13"/>
  <c r="M1378" i="13"/>
  <c r="K1190" i="13" l="1"/>
  <c r="L1190" i="13" s="1"/>
  <c r="I1191" i="13" s="1"/>
  <c r="K1212" i="14"/>
  <c r="L1212" i="14" s="1"/>
  <c r="I1213" i="14" s="1"/>
  <c r="J1375" i="14" a="1"/>
  <c r="J1375" i="14" s="1"/>
  <c r="N1376" i="14"/>
  <c r="M1380" i="14"/>
  <c r="M1379" i="13"/>
  <c r="J1376" i="13" a="1"/>
  <c r="J1376" i="13" s="1"/>
  <c r="N1377" i="13"/>
  <c r="K1213" i="14" l="1"/>
  <c r="L1213" i="14" s="1"/>
  <c r="I1214" i="14" s="1"/>
  <c r="K1191" i="13"/>
  <c r="L1191" i="13" s="1"/>
  <c r="I1192" i="13" s="1"/>
  <c r="N1378" i="13"/>
  <c r="J1377" i="13" a="1"/>
  <c r="J1377" i="13" s="1"/>
  <c r="M1381" i="14"/>
  <c r="N1377" i="14"/>
  <c r="J1376" i="14" a="1"/>
  <c r="J1376" i="14" s="1"/>
  <c r="M1380" i="13"/>
  <c r="K1192" i="13" l="1"/>
  <c r="L1192" i="13" s="1"/>
  <c r="I1193" i="13" s="1"/>
  <c r="K1214" i="14"/>
  <c r="L1214" i="14" s="1"/>
  <c r="I1215" i="14" s="1"/>
  <c r="M1381" i="13"/>
  <c r="M1382" i="14"/>
  <c r="J1377" i="14" a="1"/>
  <c r="J1377" i="14" s="1"/>
  <c r="N1378" i="14"/>
  <c r="J1378" i="13" a="1"/>
  <c r="J1378" i="13" s="1"/>
  <c r="N1379" i="13"/>
  <c r="K1215" i="14" l="1"/>
  <c r="L1215" i="14" s="1"/>
  <c r="I1216" i="14" s="1"/>
  <c r="K1193" i="13"/>
  <c r="L1193" i="13" s="1"/>
  <c r="I1194" i="13" s="1"/>
  <c r="M1383" i="14"/>
  <c r="J1379" i="13" a="1"/>
  <c r="J1379" i="13" s="1"/>
  <c r="N1380" i="13"/>
  <c r="J1378" i="14" a="1"/>
  <c r="J1378" i="14" s="1"/>
  <c r="N1379" i="14"/>
  <c r="M1382" i="13"/>
  <c r="K1194" i="13" l="1"/>
  <c r="L1194" i="13" s="1"/>
  <c r="I1195" i="13" s="1"/>
  <c r="K1216" i="14"/>
  <c r="L1216" i="14" s="1"/>
  <c r="I1217" i="14" s="1"/>
  <c r="J1380" i="13" a="1"/>
  <c r="J1380" i="13" s="1"/>
  <c r="N1381" i="13"/>
  <c r="J1379" i="14" a="1"/>
  <c r="J1379" i="14" s="1"/>
  <c r="N1380" i="14"/>
  <c r="M1384" i="14"/>
  <c r="M1383" i="13"/>
  <c r="K1217" i="14" l="1"/>
  <c r="L1217" i="14" s="1"/>
  <c r="I1218" i="14" s="1"/>
  <c r="K1195" i="13"/>
  <c r="L1195" i="13" s="1"/>
  <c r="I1196" i="13" s="1"/>
  <c r="N1382" i="13"/>
  <c r="J1381" i="13" a="1"/>
  <c r="J1381" i="13" s="1"/>
  <c r="N1381" i="14"/>
  <c r="J1380" i="14" a="1"/>
  <c r="J1380" i="14" s="1"/>
  <c r="M1384" i="13"/>
  <c r="M1385" i="14"/>
  <c r="K1196" i="13" l="1"/>
  <c r="L1196" i="13" s="1"/>
  <c r="I1197" i="13" s="1"/>
  <c r="K1218" i="14"/>
  <c r="L1218" i="14" s="1"/>
  <c r="I1219" i="14" s="1"/>
  <c r="J1381" i="14" a="1"/>
  <c r="J1381" i="14" s="1"/>
  <c r="N1382" i="14"/>
  <c r="M1386" i="14"/>
  <c r="M1385" i="13"/>
  <c r="J1382" i="13" a="1"/>
  <c r="J1382" i="13" s="1"/>
  <c r="N1383" i="13"/>
  <c r="K1219" i="14" l="1"/>
  <c r="L1219" i="14" s="1"/>
  <c r="I1220" i="14" s="1"/>
  <c r="J1383" i="13" a="1"/>
  <c r="J1383" i="13" s="1"/>
  <c r="N1384" i="13"/>
  <c r="M1387" i="14"/>
  <c r="M1386" i="13"/>
  <c r="J1382" i="14" a="1"/>
  <c r="J1382" i="14" s="1"/>
  <c r="N1383" i="14"/>
  <c r="K1197" i="13"/>
  <c r="L1197" i="13" s="1"/>
  <c r="I1198" i="13" s="1"/>
  <c r="K1198" i="13" l="1"/>
  <c r="L1198" i="13" s="1"/>
  <c r="I1199" i="13" s="1"/>
  <c r="K1220" i="14"/>
  <c r="L1220" i="14" s="1"/>
  <c r="I1221" i="14" s="1"/>
  <c r="J1384" i="13" a="1"/>
  <c r="J1384" i="13" s="1"/>
  <c r="N1385" i="13"/>
  <c r="M1387" i="13"/>
  <c r="J1383" i="14" a="1"/>
  <c r="J1383" i="14" s="1"/>
  <c r="N1384" i="14"/>
  <c r="M1388" i="14"/>
  <c r="K1199" i="13" l="1"/>
  <c r="L1199" i="13" s="1"/>
  <c r="I1200" i="13" s="1"/>
  <c r="M1389" i="14"/>
  <c r="M1388" i="13"/>
  <c r="K1221" i="14"/>
  <c r="L1221" i="14" s="1"/>
  <c r="I1222" i="14" s="1"/>
  <c r="N1385" i="14"/>
  <c r="J1384" i="14" a="1"/>
  <c r="J1384" i="14" s="1"/>
  <c r="N1386" i="13"/>
  <c r="J1385" i="13" a="1"/>
  <c r="J1385" i="13" s="1"/>
  <c r="K1222" i="14" l="1"/>
  <c r="L1222" i="14" s="1"/>
  <c r="I1223" i="14" s="1"/>
  <c r="K1200" i="13"/>
  <c r="L1200" i="13" s="1"/>
  <c r="I1201" i="13" s="1"/>
  <c r="J1386" i="13" a="1"/>
  <c r="J1386" i="13" s="1"/>
  <c r="N1387" i="13"/>
  <c r="M1390" i="14"/>
  <c r="M1389" i="13"/>
  <c r="J1385" i="14" a="1"/>
  <c r="J1385" i="14" s="1"/>
  <c r="N1386" i="14"/>
  <c r="K1201" i="13" l="1"/>
  <c r="L1201" i="13" s="1"/>
  <c r="I1202" i="13" s="1"/>
  <c r="K1223" i="14"/>
  <c r="L1223" i="14" s="1"/>
  <c r="I1224" i="14" s="1"/>
  <c r="J1386" i="14" a="1"/>
  <c r="J1386" i="14" s="1"/>
  <c r="N1387" i="14"/>
  <c r="M1391" i="14"/>
  <c r="J1387" i="13" a="1"/>
  <c r="J1387" i="13" s="1"/>
  <c r="N1388" i="13"/>
  <c r="M1390" i="13"/>
  <c r="K1224" i="14" l="1"/>
  <c r="L1224" i="14" s="1"/>
  <c r="I1225" i="14" s="1"/>
  <c r="K1202" i="13"/>
  <c r="L1202" i="13" s="1"/>
  <c r="I1203" i="13" s="1"/>
  <c r="M1392" i="14"/>
  <c r="J1388" i="13" a="1"/>
  <c r="J1388" i="13" s="1"/>
  <c r="N1389" i="13"/>
  <c r="M1391" i="13"/>
  <c r="J1387" i="14" a="1"/>
  <c r="J1387" i="14" s="1"/>
  <c r="N1388" i="14"/>
  <c r="K1203" i="13" l="1"/>
  <c r="L1203" i="13" s="1"/>
  <c r="I1204" i="13" s="1"/>
  <c r="K1225" i="14"/>
  <c r="L1225" i="14" s="1"/>
  <c r="I1226" i="14" s="1"/>
  <c r="N1389" i="14"/>
  <c r="J1388" i="14" a="1"/>
  <c r="J1388" i="14" s="1"/>
  <c r="N1390" i="13"/>
  <c r="J1389" i="13" a="1"/>
  <c r="J1389" i="13" s="1"/>
  <c r="M1392" i="13"/>
  <c r="M1393" i="14"/>
  <c r="K1226" i="14" l="1"/>
  <c r="L1226" i="14" s="1"/>
  <c r="I1227" i="14" s="1"/>
  <c r="K1204" i="13"/>
  <c r="L1204" i="13" s="1"/>
  <c r="I1205" i="13" s="1"/>
  <c r="J1390" i="13" a="1"/>
  <c r="J1390" i="13" s="1"/>
  <c r="N1391" i="13"/>
  <c r="M1394" i="14"/>
  <c r="M1393" i="13"/>
  <c r="J1389" i="14" a="1"/>
  <c r="J1389" i="14" s="1"/>
  <c r="N1390" i="14"/>
  <c r="K1205" i="13" l="1"/>
  <c r="L1205" i="13" s="1"/>
  <c r="I1206" i="13" s="1"/>
  <c r="K1227" i="14"/>
  <c r="L1227" i="14" s="1"/>
  <c r="I1228" i="14" s="1"/>
  <c r="J1390" i="14" a="1"/>
  <c r="J1390" i="14" s="1"/>
  <c r="N1391" i="14"/>
  <c r="M1395" i="14"/>
  <c r="J1391" i="13" a="1"/>
  <c r="J1391" i="13" s="1"/>
  <c r="N1392" i="13"/>
  <c r="M1394" i="13"/>
  <c r="K1228" i="14" l="1"/>
  <c r="L1228" i="14" s="1"/>
  <c r="I1229" i="14" s="1"/>
  <c r="K1206" i="13"/>
  <c r="L1206" i="13" s="1"/>
  <c r="I1207" i="13" s="1"/>
  <c r="J1392" i="13" a="1"/>
  <c r="J1392" i="13" s="1"/>
  <c r="N1393" i="13"/>
  <c r="M1396" i="14"/>
  <c r="M1395" i="13"/>
  <c r="J1391" i="14" a="1"/>
  <c r="J1391" i="14" s="1"/>
  <c r="N1392" i="14"/>
  <c r="K1229" i="14" l="1"/>
  <c r="L1229" i="14" s="1"/>
  <c r="I1230" i="14" s="1"/>
  <c r="K1207" i="13"/>
  <c r="L1207" i="13" s="1"/>
  <c r="I1208" i="13" s="1"/>
  <c r="M1397" i="14"/>
  <c r="N1393" i="14"/>
  <c r="J1392" i="14" a="1"/>
  <c r="J1392" i="14" s="1"/>
  <c r="N1394" i="13"/>
  <c r="J1393" i="13" a="1"/>
  <c r="J1393" i="13" s="1"/>
  <c r="M1396" i="13"/>
  <c r="K1208" i="13" l="1"/>
  <c r="L1208" i="13" s="1"/>
  <c r="I1209" i="13" s="1"/>
  <c r="K1230" i="14"/>
  <c r="L1230" i="14" s="1"/>
  <c r="I1231" i="14" s="1"/>
  <c r="M1397" i="13"/>
  <c r="J1393" i="14" a="1"/>
  <c r="J1393" i="14" s="1"/>
  <c r="N1394" i="14"/>
  <c r="J1394" i="13" a="1"/>
  <c r="J1394" i="13" s="1"/>
  <c r="N1395" i="13"/>
  <c r="M1398" i="14"/>
  <c r="K1231" i="14" l="1"/>
  <c r="L1231" i="14" s="1"/>
  <c r="I1232" i="14" s="1"/>
  <c r="K1209" i="13"/>
  <c r="L1209" i="13" s="1"/>
  <c r="I1210" i="13" s="1"/>
  <c r="J1394" i="14" a="1"/>
  <c r="J1394" i="14" s="1"/>
  <c r="N1395" i="14"/>
  <c r="J1395" i="13" a="1"/>
  <c r="J1395" i="13" s="1"/>
  <c r="N1396" i="13"/>
  <c r="M1399" i="14"/>
  <c r="M1398" i="13"/>
  <c r="K1210" i="13" l="1"/>
  <c r="L1210" i="13" s="1"/>
  <c r="I1211" i="13" s="1"/>
  <c r="K1232" i="14"/>
  <c r="L1232" i="14" s="1"/>
  <c r="I1233" i="14" s="1"/>
  <c r="J1396" i="13" a="1"/>
  <c r="J1396" i="13" s="1"/>
  <c r="N1397" i="13"/>
  <c r="J1395" i="14" a="1"/>
  <c r="J1395" i="14" s="1"/>
  <c r="N1396" i="14"/>
  <c r="M1399" i="13"/>
  <c r="M1400" i="14"/>
  <c r="K1233" i="14" l="1"/>
  <c r="L1233" i="14" s="1"/>
  <c r="I1234" i="14" s="1"/>
  <c r="K1211" i="13"/>
  <c r="L1211" i="13" s="1"/>
  <c r="I1212" i="13" s="1"/>
  <c r="N1397" i="14"/>
  <c r="J1396" i="14" a="1"/>
  <c r="J1396" i="14" s="1"/>
  <c r="N1398" i="13"/>
  <c r="J1397" i="13" a="1"/>
  <c r="J1397" i="13" s="1"/>
  <c r="M1401" i="14"/>
  <c r="M1400" i="13"/>
  <c r="K1212" i="13" l="1"/>
  <c r="L1212" i="13" s="1"/>
  <c r="I1213" i="13" s="1"/>
  <c r="K1234" i="14"/>
  <c r="L1234" i="14" s="1"/>
  <c r="I1235" i="14" s="1"/>
  <c r="J1398" i="13" a="1"/>
  <c r="J1398" i="13" s="1"/>
  <c r="N1399" i="13"/>
  <c r="M1401" i="13"/>
  <c r="M1402" i="14"/>
  <c r="J1397" i="14" a="1"/>
  <c r="J1397" i="14" s="1"/>
  <c r="N1398" i="14"/>
  <c r="K1235" i="14" l="1"/>
  <c r="L1235" i="14" s="1"/>
  <c r="I1236" i="14" s="1"/>
  <c r="K1213" i="13"/>
  <c r="L1213" i="13" s="1"/>
  <c r="I1214" i="13" s="1"/>
  <c r="J1398" i="14" a="1"/>
  <c r="J1398" i="14" s="1"/>
  <c r="N1399" i="14"/>
  <c r="M1402" i="13"/>
  <c r="J1399" i="13" a="1"/>
  <c r="J1399" i="13" s="1"/>
  <c r="N1400" i="13"/>
  <c r="M1403" i="14"/>
  <c r="K1214" i="13" l="1"/>
  <c r="L1214" i="13" s="1"/>
  <c r="I1215" i="13" s="1"/>
  <c r="K1236" i="14"/>
  <c r="L1236" i="14" s="1"/>
  <c r="I1237" i="14" s="1"/>
  <c r="M1403" i="13"/>
  <c r="J1400" i="13" a="1"/>
  <c r="J1400" i="13" s="1"/>
  <c r="N1401" i="13"/>
  <c r="J1399" i="14" a="1"/>
  <c r="J1399" i="14" s="1"/>
  <c r="N1400" i="14"/>
  <c r="M1404" i="14"/>
  <c r="K1237" i="14" l="1"/>
  <c r="L1237" i="14" s="1"/>
  <c r="I1238" i="14" s="1"/>
  <c r="K1215" i="13"/>
  <c r="L1215" i="13" s="1"/>
  <c r="I1216" i="13" s="1"/>
  <c r="N1402" i="13"/>
  <c r="J1401" i="13" a="1"/>
  <c r="J1401" i="13" s="1"/>
  <c r="M1405" i="14"/>
  <c r="N1401" i="14"/>
  <c r="J1400" i="14" a="1"/>
  <c r="J1400" i="14" s="1"/>
  <c r="M1404" i="13"/>
  <c r="K1216" i="13" l="1"/>
  <c r="L1216" i="13" s="1"/>
  <c r="I1217" i="13" s="1"/>
  <c r="K1238" i="14"/>
  <c r="L1238" i="14" s="1"/>
  <c r="I1239" i="14" s="1"/>
  <c r="M1405" i="13"/>
  <c r="M1406" i="14"/>
  <c r="J1401" i="14" a="1"/>
  <c r="J1401" i="14" s="1"/>
  <c r="N1402" i="14"/>
  <c r="J1402" i="13" a="1"/>
  <c r="J1402" i="13" s="1"/>
  <c r="N1403" i="13"/>
  <c r="K1239" i="14" l="1"/>
  <c r="L1239" i="14" s="1"/>
  <c r="I1240" i="14" s="1"/>
  <c r="K1217" i="13"/>
  <c r="L1217" i="13" s="1"/>
  <c r="I1218" i="13" s="1"/>
  <c r="M1407" i="14"/>
  <c r="J1402" i="14" a="1"/>
  <c r="J1402" i="14" s="1"/>
  <c r="N1403" i="14"/>
  <c r="J1403" i="13" a="1"/>
  <c r="J1403" i="13" s="1"/>
  <c r="N1404" i="13"/>
  <c r="M1406" i="13"/>
  <c r="K1218" i="13" l="1"/>
  <c r="L1218" i="13" s="1"/>
  <c r="I1219" i="13" s="1"/>
  <c r="K1240" i="14"/>
  <c r="L1240" i="14" s="1"/>
  <c r="I1241" i="14" s="1"/>
  <c r="J1403" i="14" a="1"/>
  <c r="J1403" i="14" s="1"/>
  <c r="N1404" i="14"/>
  <c r="J1404" i="13" a="1"/>
  <c r="J1404" i="13" s="1"/>
  <c r="N1405" i="13"/>
  <c r="M1408" i="14"/>
  <c r="M1407" i="13"/>
  <c r="K1241" i="14" l="1"/>
  <c r="L1241" i="14" s="1"/>
  <c r="I1242" i="14" s="1"/>
  <c r="K1219" i="13"/>
  <c r="L1219" i="13" s="1"/>
  <c r="I1220" i="13" s="1"/>
  <c r="N1406" i="13"/>
  <c r="J1405" i="13" a="1"/>
  <c r="J1405" i="13" s="1"/>
  <c r="N1405" i="14"/>
  <c r="J1404" i="14" a="1"/>
  <c r="J1404" i="14" s="1"/>
  <c r="M1408" i="13"/>
  <c r="M1409" i="14"/>
  <c r="K1220" i="13" l="1"/>
  <c r="L1220" i="13" s="1"/>
  <c r="I1221" i="13" s="1"/>
  <c r="K1242" i="14"/>
  <c r="L1242" i="14" s="1"/>
  <c r="I1243" i="14" s="1"/>
  <c r="J1405" i="14" a="1"/>
  <c r="J1405" i="14" s="1"/>
  <c r="N1406" i="14"/>
  <c r="M1410" i="14"/>
  <c r="M1409" i="13"/>
  <c r="J1406" i="13" a="1"/>
  <c r="J1406" i="13" s="1"/>
  <c r="N1407" i="13"/>
  <c r="K1243" i="14" l="1"/>
  <c r="L1243" i="14" s="1"/>
  <c r="I1244" i="14" s="1"/>
  <c r="K1221" i="13"/>
  <c r="L1221" i="13" s="1"/>
  <c r="I1222" i="13" s="1"/>
  <c r="M1411" i="14"/>
  <c r="J1407" i="13" a="1"/>
  <c r="J1407" i="13" s="1"/>
  <c r="N1408" i="13"/>
  <c r="J1406" i="14" a="1"/>
  <c r="J1406" i="14" s="1"/>
  <c r="N1407" i="14"/>
  <c r="M1410" i="13"/>
  <c r="K1222" i="13" l="1"/>
  <c r="L1222" i="13" s="1"/>
  <c r="I1223" i="13" s="1"/>
  <c r="K1244" i="14"/>
  <c r="L1244" i="14" s="1"/>
  <c r="I1245" i="14" s="1"/>
  <c r="J1408" i="13" a="1"/>
  <c r="J1408" i="13" s="1"/>
  <c r="N1409" i="13"/>
  <c r="J1407" i="14" a="1"/>
  <c r="J1407" i="14" s="1"/>
  <c r="N1408" i="14"/>
  <c r="M1412" i="14"/>
  <c r="M1411" i="13"/>
  <c r="K1245" i="14" l="1"/>
  <c r="L1245" i="14" s="1"/>
  <c r="I1246" i="14" s="1"/>
  <c r="K1223" i="13"/>
  <c r="L1223" i="13" s="1"/>
  <c r="I1224" i="13" s="1"/>
  <c r="N1410" i="13"/>
  <c r="J1409" i="13" a="1"/>
  <c r="J1409" i="13" s="1"/>
  <c r="N1409" i="14"/>
  <c r="J1408" i="14" a="1"/>
  <c r="J1408" i="14" s="1"/>
  <c r="M1412" i="13"/>
  <c r="M1413" i="14"/>
  <c r="K1224" i="13" l="1"/>
  <c r="L1224" i="13" s="1"/>
  <c r="I1225" i="13" s="1"/>
  <c r="K1246" i="14"/>
  <c r="L1246" i="14" s="1"/>
  <c r="I1247" i="14" s="1"/>
  <c r="J1409" i="14" a="1"/>
  <c r="J1409" i="14" s="1"/>
  <c r="N1410" i="14"/>
  <c r="M1414" i="14"/>
  <c r="M1413" i="13"/>
  <c r="J1410" i="13" a="1"/>
  <c r="J1410" i="13" s="1"/>
  <c r="N1411" i="13"/>
  <c r="K1247" i="14" l="1"/>
  <c r="L1247" i="14" s="1"/>
  <c r="I1248" i="14" s="1"/>
  <c r="K1225" i="13"/>
  <c r="L1225" i="13" s="1"/>
  <c r="I1226" i="13" s="1"/>
  <c r="M1415" i="14"/>
  <c r="J1411" i="13" a="1"/>
  <c r="J1411" i="13" s="1"/>
  <c r="N1412" i="13"/>
  <c r="J1410" i="14" a="1"/>
  <c r="J1410" i="14" s="1"/>
  <c r="N1411" i="14"/>
  <c r="M1414" i="13"/>
  <c r="K1226" i="13" l="1"/>
  <c r="L1226" i="13" s="1"/>
  <c r="I1227" i="13" s="1"/>
  <c r="K1248" i="14"/>
  <c r="L1248" i="14" s="1"/>
  <c r="I1249" i="14" s="1"/>
  <c r="J1412" i="13" a="1"/>
  <c r="J1412" i="13" s="1"/>
  <c r="N1413" i="13"/>
  <c r="J1411" i="14" a="1"/>
  <c r="J1411" i="14" s="1"/>
  <c r="N1412" i="14"/>
  <c r="M1416" i="14"/>
  <c r="M1415" i="13"/>
  <c r="K1227" i="13" l="1"/>
  <c r="L1227" i="13" s="1"/>
  <c r="I1228" i="13" s="1"/>
  <c r="K1249" i="14"/>
  <c r="L1249" i="14" s="1"/>
  <c r="I1250" i="14" s="1"/>
  <c r="N1413" i="14"/>
  <c r="J1412" i="14" a="1"/>
  <c r="J1412" i="14" s="1"/>
  <c r="N1414" i="13"/>
  <c r="J1413" i="13" a="1"/>
  <c r="J1413" i="13" s="1"/>
  <c r="M1416" i="13"/>
  <c r="M1417" i="14"/>
  <c r="K1250" i="14" l="1"/>
  <c r="L1250" i="14" s="1"/>
  <c r="I1251" i="14" s="1"/>
  <c r="K1228" i="13"/>
  <c r="L1228" i="13" s="1"/>
  <c r="I1229" i="13" s="1"/>
  <c r="J1414" i="13" a="1"/>
  <c r="J1414" i="13" s="1"/>
  <c r="N1415" i="13"/>
  <c r="M1418" i="14"/>
  <c r="M1417" i="13"/>
  <c r="J1413" i="14" a="1"/>
  <c r="J1413" i="14" s="1"/>
  <c r="N1414" i="14"/>
  <c r="K1229" i="13" l="1"/>
  <c r="L1229" i="13" s="1"/>
  <c r="I1230" i="13" s="1"/>
  <c r="K1251" i="14"/>
  <c r="L1251" i="14" s="1"/>
  <c r="I1252" i="14" s="1"/>
  <c r="J1414" i="14" a="1"/>
  <c r="J1414" i="14" s="1"/>
  <c r="N1415" i="14"/>
  <c r="M1419" i="14"/>
  <c r="J1415" i="13" a="1"/>
  <c r="J1415" i="13" s="1"/>
  <c r="N1416" i="13"/>
  <c r="M1418" i="13"/>
  <c r="K1252" i="14" l="1"/>
  <c r="L1252" i="14" s="1"/>
  <c r="I1253" i="14" s="1"/>
  <c r="K1230" i="13"/>
  <c r="L1230" i="13" s="1"/>
  <c r="I1231" i="13" s="1"/>
  <c r="J1416" i="13" a="1"/>
  <c r="J1416" i="13" s="1"/>
  <c r="N1417" i="13"/>
  <c r="J1415" i="14" a="1"/>
  <c r="J1415" i="14" s="1"/>
  <c r="N1416" i="14"/>
  <c r="M1420" i="14"/>
  <c r="M1419" i="13"/>
  <c r="K1231" i="13" l="1"/>
  <c r="L1231" i="13" s="1"/>
  <c r="I1232" i="13" s="1"/>
  <c r="K1253" i="14"/>
  <c r="L1253" i="14" s="1"/>
  <c r="I1254" i="14" s="1"/>
  <c r="N1418" i="13"/>
  <c r="J1417" i="13" a="1"/>
  <c r="J1417" i="13" s="1"/>
  <c r="N1417" i="14"/>
  <c r="J1416" i="14" a="1"/>
  <c r="J1416" i="14" s="1"/>
  <c r="M1420" i="13"/>
  <c r="M1421" i="14"/>
  <c r="K1232" i="13" l="1"/>
  <c r="L1232" i="13" s="1"/>
  <c r="I1233" i="13" s="1"/>
  <c r="K1254" i="14"/>
  <c r="L1254" i="14" s="1"/>
  <c r="I1255" i="14" s="1"/>
  <c r="M1422" i="14"/>
  <c r="J1417" i="14" a="1"/>
  <c r="J1417" i="14" s="1"/>
  <c r="N1418" i="14"/>
  <c r="M1421" i="13"/>
  <c r="J1418" i="13" a="1"/>
  <c r="J1418" i="13" s="1"/>
  <c r="N1419" i="13"/>
  <c r="K1255" i="14" l="1"/>
  <c r="L1255" i="14" s="1"/>
  <c r="I1256" i="14" s="1"/>
  <c r="K1233" i="13"/>
  <c r="L1233" i="13" s="1"/>
  <c r="I1234" i="13" s="1"/>
  <c r="J1418" i="14" a="1"/>
  <c r="J1418" i="14" s="1"/>
  <c r="N1419" i="14"/>
  <c r="J1419" i="13" a="1"/>
  <c r="J1419" i="13" s="1"/>
  <c r="N1420" i="13"/>
  <c r="M1422" i="13"/>
  <c r="M1423" i="14"/>
  <c r="K1234" i="13" l="1"/>
  <c r="L1234" i="13" s="1"/>
  <c r="I1235" i="13" s="1"/>
  <c r="K1256" i="14"/>
  <c r="L1256" i="14" s="1"/>
  <c r="I1257" i="14" s="1"/>
  <c r="J1420" i="13" a="1"/>
  <c r="J1420" i="13" s="1"/>
  <c r="N1421" i="13"/>
  <c r="J1419" i="14" a="1"/>
  <c r="J1419" i="14" s="1"/>
  <c r="N1420" i="14"/>
  <c r="M1424" i="14"/>
  <c r="M1423" i="13"/>
  <c r="K1257" i="14" l="1"/>
  <c r="L1257" i="14" s="1"/>
  <c r="I1258" i="14" s="1"/>
  <c r="K1235" i="13"/>
  <c r="L1235" i="13" s="1"/>
  <c r="I1236" i="13" s="1"/>
  <c r="M1424" i="13"/>
  <c r="N1422" i="13"/>
  <c r="J1421" i="13" a="1"/>
  <c r="J1421" i="13" s="1"/>
  <c r="N1421" i="14"/>
  <c r="J1420" i="14" a="1"/>
  <c r="J1420" i="14" s="1"/>
  <c r="M1425" i="14"/>
  <c r="K1236" i="13" l="1"/>
  <c r="L1236" i="13" s="1"/>
  <c r="I1237" i="13" s="1"/>
  <c r="K1258" i="14"/>
  <c r="L1258" i="14" s="1"/>
  <c r="I1259" i="14" s="1"/>
  <c r="M1426" i="14"/>
  <c r="M1425" i="13"/>
  <c r="J1422" i="13" a="1"/>
  <c r="J1422" i="13" s="1"/>
  <c r="N1423" i="13"/>
  <c r="J1421" i="14" a="1"/>
  <c r="J1421" i="14" s="1"/>
  <c r="N1422" i="14"/>
  <c r="K1237" i="13" l="1"/>
  <c r="L1237" i="13" s="1"/>
  <c r="I1238" i="13" s="1"/>
  <c r="K1259" i="14"/>
  <c r="L1259" i="14" s="1"/>
  <c r="I1260" i="14" s="1"/>
  <c r="J1423" i="13" a="1"/>
  <c r="J1423" i="13" s="1"/>
  <c r="N1424" i="13"/>
  <c r="J1422" i="14" a="1"/>
  <c r="J1422" i="14" s="1"/>
  <c r="N1423" i="14"/>
  <c r="M1426" i="13"/>
  <c r="M1427" i="14"/>
  <c r="K1260" i="14" l="1"/>
  <c r="L1260" i="14" s="1"/>
  <c r="I1261" i="14" s="1"/>
  <c r="J1423" i="14" a="1"/>
  <c r="J1423" i="14" s="1"/>
  <c r="N1424" i="14"/>
  <c r="J1424" i="13" a="1"/>
  <c r="J1424" i="13" s="1"/>
  <c r="N1425" i="13"/>
  <c r="M1428" i="14"/>
  <c r="M1427" i="13"/>
  <c r="K1238" i="13"/>
  <c r="L1238" i="13" s="1"/>
  <c r="I1239" i="13" s="1"/>
  <c r="K1239" i="13" l="1"/>
  <c r="L1239" i="13" s="1"/>
  <c r="I1240" i="13" s="1"/>
  <c r="N1426" i="13"/>
  <c r="J1425" i="13" a="1"/>
  <c r="J1425" i="13" s="1"/>
  <c r="N1425" i="14"/>
  <c r="J1424" i="14" a="1"/>
  <c r="J1424" i="14" s="1"/>
  <c r="M1429" i="14"/>
  <c r="M1428" i="13"/>
  <c r="K1261" i="14"/>
  <c r="L1261" i="14" s="1"/>
  <c r="I1262" i="14" s="1"/>
  <c r="K1262" i="14" l="1"/>
  <c r="L1262" i="14" s="1"/>
  <c r="I1263" i="14" s="1"/>
  <c r="K1240" i="13"/>
  <c r="L1240" i="13" s="1"/>
  <c r="I1241" i="13" s="1"/>
  <c r="M1430" i="14"/>
  <c r="J1426" i="13" a="1"/>
  <c r="J1426" i="13" s="1"/>
  <c r="N1427" i="13"/>
  <c r="M1429" i="13"/>
  <c r="J1425" i="14" a="1"/>
  <c r="J1425" i="14" s="1"/>
  <c r="N1426" i="14"/>
  <c r="K1241" i="13" l="1"/>
  <c r="L1241" i="13" s="1"/>
  <c r="I1242" i="13" s="1"/>
  <c r="J1426" i="14" a="1"/>
  <c r="J1426" i="14" s="1"/>
  <c r="N1427" i="14"/>
  <c r="J1427" i="13" a="1"/>
  <c r="J1427" i="13" s="1"/>
  <c r="N1428" i="13"/>
  <c r="M1430" i="13"/>
  <c r="M1431" i="14"/>
  <c r="K1263" i="14"/>
  <c r="L1263" i="14" s="1"/>
  <c r="I1264" i="14" s="1"/>
  <c r="K1264" i="14" l="1"/>
  <c r="L1264" i="14" s="1"/>
  <c r="I1265" i="14" s="1"/>
  <c r="K1242" i="13"/>
  <c r="L1242" i="13" s="1"/>
  <c r="I1243" i="13" s="1"/>
  <c r="J1427" i="14" a="1"/>
  <c r="J1427" i="14" s="1"/>
  <c r="N1428" i="14"/>
  <c r="M1431" i="13"/>
  <c r="J1428" i="13" a="1"/>
  <c r="J1428" i="13" s="1"/>
  <c r="N1429" i="13"/>
  <c r="M1432" i="14"/>
  <c r="K1243" i="13" l="1"/>
  <c r="L1243" i="13" s="1"/>
  <c r="I1244" i="13" s="1"/>
  <c r="K1265" i="14"/>
  <c r="L1265" i="14" s="1"/>
  <c r="I1266" i="14" s="1"/>
  <c r="M1432" i="13"/>
  <c r="N1430" i="13"/>
  <c r="J1429" i="13" a="1"/>
  <c r="J1429" i="13" s="1"/>
  <c r="N1429" i="14"/>
  <c r="J1428" i="14" a="1"/>
  <c r="J1428" i="14" s="1"/>
  <c r="M1433" i="14"/>
  <c r="K1266" i="14" l="1"/>
  <c r="L1266" i="14" s="1"/>
  <c r="I1267" i="14" s="1"/>
  <c r="K1244" i="13"/>
  <c r="L1244" i="13" s="1"/>
  <c r="I1245" i="13" s="1"/>
  <c r="M1434" i="14"/>
  <c r="M1433" i="13"/>
  <c r="J1430" i="13" a="1"/>
  <c r="J1430" i="13" s="1"/>
  <c r="N1431" i="13"/>
  <c r="J1429" i="14" a="1"/>
  <c r="J1429" i="14" s="1"/>
  <c r="N1430" i="14"/>
  <c r="K1245" i="13" l="1"/>
  <c r="L1245" i="13" s="1"/>
  <c r="I1246" i="13" s="1"/>
  <c r="K1267" i="14"/>
  <c r="L1267" i="14" s="1"/>
  <c r="I1268" i="14" s="1"/>
  <c r="M1434" i="13"/>
  <c r="J1431" i="13" a="1"/>
  <c r="J1431" i="13" s="1"/>
  <c r="N1432" i="13"/>
  <c r="J1430" i="14" a="1"/>
  <c r="J1430" i="14" s="1"/>
  <c r="N1431" i="14"/>
  <c r="M1435" i="14"/>
  <c r="K1268" i="14" l="1"/>
  <c r="L1268" i="14" s="1"/>
  <c r="I1269" i="14" s="1"/>
  <c r="K1246" i="13"/>
  <c r="L1246" i="13" s="1"/>
  <c r="I1247" i="13" s="1"/>
  <c r="M1436" i="14"/>
  <c r="J1431" i="14" a="1"/>
  <c r="J1431" i="14" s="1"/>
  <c r="N1432" i="14"/>
  <c r="J1432" i="13" a="1"/>
  <c r="J1432" i="13" s="1"/>
  <c r="N1433" i="13"/>
  <c r="M1435" i="13"/>
  <c r="K1247" i="13" l="1"/>
  <c r="L1247" i="13" s="1"/>
  <c r="I1248" i="13" s="1"/>
  <c r="K1269" i="14"/>
  <c r="L1269" i="14" s="1"/>
  <c r="I1270" i="14" s="1"/>
  <c r="N1433" i="14"/>
  <c r="J1432" i="14" a="1"/>
  <c r="J1432" i="14" s="1"/>
  <c r="M1436" i="13"/>
  <c r="N1434" i="13"/>
  <c r="J1433" i="13" a="1"/>
  <c r="J1433" i="13" s="1"/>
  <c r="M1437" i="14"/>
  <c r="K1270" i="14" l="1"/>
  <c r="L1270" i="14" s="1"/>
  <c r="I1271" i="14" s="1"/>
  <c r="K1248" i="13"/>
  <c r="L1248" i="13" s="1"/>
  <c r="I1249" i="13" s="1"/>
  <c r="M1437" i="13"/>
  <c r="M1438" i="14"/>
  <c r="J1434" i="13" a="1"/>
  <c r="J1434" i="13" s="1"/>
  <c r="N1435" i="13"/>
  <c r="J1433" i="14" a="1"/>
  <c r="J1433" i="14" s="1"/>
  <c r="N1434" i="14"/>
  <c r="K1249" i="13" l="1"/>
  <c r="L1249" i="13" s="1"/>
  <c r="I1250" i="13" s="1"/>
  <c r="K1271" i="14"/>
  <c r="L1271" i="14" s="1"/>
  <c r="I1272" i="14" s="1"/>
  <c r="J1434" i="14" a="1"/>
  <c r="J1434" i="14" s="1"/>
  <c r="N1435" i="14"/>
  <c r="M1439" i="14"/>
  <c r="J1435" i="13" a="1"/>
  <c r="J1435" i="13" s="1"/>
  <c r="N1436" i="13"/>
  <c r="M1438" i="13"/>
  <c r="K1272" i="14" l="1"/>
  <c r="L1272" i="14" s="1"/>
  <c r="I1273" i="14" s="1"/>
  <c r="K1250" i="13"/>
  <c r="L1250" i="13" s="1"/>
  <c r="I1251" i="13" s="1"/>
  <c r="M1440" i="14"/>
  <c r="M1439" i="13"/>
  <c r="J1436" i="13" a="1"/>
  <c r="J1436" i="13" s="1"/>
  <c r="N1437" i="13"/>
  <c r="J1435" i="14" a="1"/>
  <c r="J1435" i="14" s="1"/>
  <c r="N1436" i="14"/>
  <c r="K1251" i="13" l="1"/>
  <c r="L1251" i="13" s="1"/>
  <c r="I1252" i="13" s="1"/>
  <c r="K1273" i="14"/>
  <c r="L1273" i="14" s="1"/>
  <c r="I1274" i="14" s="1"/>
  <c r="M1440" i="13"/>
  <c r="N1438" i="13"/>
  <c r="J1437" i="13" a="1"/>
  <c r="J1437" i="13" s="1"/>
  <c r="N1437" i="14"/>
  <c r="J1436" i="14" a="1"/>
  <c r="J1436" i="14" s="1"/>
  <c r="M1441" i="14"/>
  <c r="K1274" i="14" l="1"/>
  <c r="L1274" i="14" s="1"/>
  <c r="I1275" i="14" s="1"/>
  <c r="K1252" i="13"/>
  <c r="L1252" i="13" s="1"/>
  <c r="I1253" i="13" s="1"/>
  <c r="J1438" i="13" a="1"/>
  <c r="J1438" i="13" s="1"/>
  <c r="N1439" i="13"/>
  <c r="M1441" i="13"/>
  <c r="M1442" i="14"/>
  <c r="J1437" i="14" a="1"/>
  <c r="J1437" i="14" s="1"/>
  <c r="N1438" i="14"/>
  <c r="K1253" i="13" l="1"/>
  <c r="L1253" i="13" s="1"/>
  <c r="I1254" i="13" s="1"/>
  <c r="K1275" i="14"/>
  <c r="L1275" i="14" s="1"/>
  <c r="I1276" i="14" s="1"/>
  <c r="J1439" i="13" a="1"/>
  <c r="J1439" i="13" s="1"/>
  <c r="N1440" i="13"/>
  <c r="J1438" i="14" a="1"/>
  <c r="J1438" i="14" s="1"/>
  <c r="N1439" i="14"/>
  <c r="M1442" i="13"/>
  <c r="M1443" i="14"/>
  <c r="K1254" i="13" l="1"/>
  <c r="L1254" i="13" s="1"/>
  <c r="I1255" i="13" s="1"/>
  <c r="K1276" i="14"/>
  <c r="L1276" i="14" s="1"/>
  <c r="I1277" i="14" s="1"/>
  <c r="M1444" i="14"/>
  <c r="J1440" i="13" a="1"/>
  <c r="J1440" i="13" s="1"/>
  <c r="N1441" i="13"/>
  <c r="J1439" i="14" a="1"/>
  <c r="J1439" i="14" s="1"/>
  <c r="N1440" i="14"/>
  <c r="M1443" i="13"/>
  <c r="K1255" i="13" l="1"/>
  <c r="L1255" i="13" s="1"/>
  <c r="I1256" i="13" s="1"/>
  <c r="K1277" i="14"/>
  <c r="L1277" i="14" s="1"/>
  <c r="I1278" i="14" s="1"/>
  <c r="N1442" i="13"/>
  <c r="J1441" i="13" a="1"/>
  <c r="J1441" i="13" s="1"/>
  <c r="M1444" i="13"/>
  <c r="N1441" i="14"/>
  <c r="J1440" i="14" a="1"/>
  <c r="J1440" i="14" s="1"/>
  <c r="M1445" i="14"/>
  <c r="K1256" i="13" l="1"/>
  <c r="L1256" i="13" s="1"/>
  <c r="I1257" i="13" s="1"/>
  <c r="K1278" i="14"/>
  <c r="L1278" i="14" s="1"/>
  <c r="I1279" i="14" s="1"/>
  <c r="M1445" i="13"/>
  <c r="M1446" i="14"/>
  <c r="J1441" i="14" a="1"/>
  <c r="J1441" i="14" s="1"/>
  <c r="N1442" i="14"/>
  <c r="J1442" i="13" a="1"/>
  <c r="J1442" i="13" s="1"/>
  <c r="N1443" i="13"/>
  <c r="K1257" i="13" l="1"/>
  <c r="L1257" i="13" s="1"/>
  <c r="I1258" i="13" s="1"/>
  <c r="K1279" i="14"/>
  <c r="L1279" i="14" s="1"/>
  <c r="I1280" i="14" s="1"/>
  <c r="J1443" i="13" a="1"/>
  <c r="J1443" i="13" s="1"/>
  <c r="N1444" i="13"/>
  <c r="M1447" i="14"/>
  <c r="J1442" i="14" a="1"/>
  <c r="J1442" i="14" s="1"/>
  <c r="N1443" i="14"/>
  <c r="M1446" i="13"/>
  <c r="K1258" i="13" l="1"/>
  <c r="L1258" i="13" s="1"/>
  <c r="I1259" i="13" s="1"/>
  <c r="K1280" i="14"/>
  <c r="L1280" i="14" s="1"/>
  <c r="I1281" i="14" s="1"/>
  <c r="J1443" i="14" a="1"/>
  <c r="J1443" i="14" s="1"/>
  <c r="N1444" i="14"/>
  <c r="M1448" i="14"/>
  <c r="M1447" i="13"/>
  <c r="J1444" i="13" a="1"/>
  <c r="J1444" i="13" s="1"/>
  <c r="N1445" i="13"/>
  <c r="K1281" i="14" l="1"/>
  <c r="L1281" i="14" s="1"/>
  <c r="I1282" i="14" s="1"/>
  <c r="K1259" i="13"/>
  <c r="L1259" i="13" s="1"/>
  <c r="I1260" i="13" s="1"/>
  <c r="N1446" i="13"/>
  <c r="J1445" i="13" a="1"/>
  <c r="J1445" i="13" s="1"/>
  <c r="M1449" i="14"/>
  <c r="M1448" i="13"/>
  <c r="N1445" i="14"/>
  <c r="J1444" i="14" a="1"/>
  <c r="J1444" i="14" s="1"/>
  <c r="K1260" i="13" l="1"/>
  <c r="L1260" i="13" s="1"/>
  <c r="I1261" i="13" s="1"/>
  <c r="K1282" i="14"/>
  <c r="L1282" i="14" s="1"/>
  <c r="I1283" i="14" s="1"/>
  <c r="J1445" i="14" a="1"/>
  <c r="J1445" i="14" s="1"/>
  <c r="N1446" i="14"/>
  <c r="M1450" i="14"/>
  <c r="M1449" i="13"/>
  <c r="J1446" i="13" a="1"/>
  <c r="J1446" i="13" s="1"/>
  <c r="N1447" i="13"/>
  <c r="K1283" i="14" l="1"/>
  <c r="L1283" i="14" s="1"/>
  <c r="I1284" i="14" s="1"/>
  <c r="K1261" i="13"/>
  <c r="L1261" i="13" s="1"/>
  <c r="I1262" i="13" s="1"/>
  <c r="M1451" i="14"/>
  <c r="J1446" i="14" a="1"/>
  <c r="J1446" i="14" s="1"/>
  <c r="N1447" i="14"/>
  <c r="J1447" i="13" a="1"/>
  <c r="J1447" i="13" s="1"/>
  <c r="N1448" i="13"/>
  <c r="M1450" i="13"/>
  <c r="K1262" i="13" l="1"/>
  <c r="L1262" i="13" s="1"/>
  <c r="I1263" i="13" s="1"/>
  <c r="K1284" i="14"/>
  <c r="L1284" i="14" s="1"/>
  <c r="I1285" i="14" s="1"/>
  <c r="J1447" i="14" a="1"/>
  <c r="J1447" i="14" s="1"/>
  <c r="N1448" i="14"/>
  <c r="J1448" i="13" a="1"/>
  <c r="J1448" i="13" s="1"/>
  <c r="N1449" i="13"/>
  <c r="M1452" i="14"/>
  <c r="M1451" i="13"/>
  <c r="K1285" i="14" l="1"/>
  <c r="L1285" i="14" s="1"/>
  <c r="I1286" i="14" s="1"/>
  <c r="K1263" i="13"/>
  <c r="L1263" i="13" s="1"/>
  <c r="I1264" i="13" s="1"/>
  <c r="N1450" i="13"/>
  <c r="J1449" i="13" a="1"/>
  <c r="J1449" i="13" s="1"/>
  <c r="N1449" i="14"/>
  <c r="J1448" i="14" a="1"/>
  <c r="J1448" i="14" s="1"/>
  <c r="M1452" i="13"/>
  <c r="M1453" i="14"/>
  <c r="K1264" i="13" l="1"/>
  <c r="L1264" i="13" s="1"/>
  <c r="I1265" i="13" s="1"/>
  <c r="K1286" i="14"/>
  <c r="L1286" i="14" s="1"/>
  <c r="I1287" i="14" s="1"/>
  <c r="J1449" i="14" a="1"/>
  <c r="J1449" i="14" s="1"/>
  <c r="N1450" i="14"/>
  <c r="M1454" i="14"/>
  <c r="M1453" i="13"/>
  <c r="J1450" i="13" a="1"/>
  <c r="J1450" i="13" s="1"/>
  <c r="N1451" i="13"/>
  <c r="K1287" i="14" l="1"/>
  <c r="L1287" i="14" s="1"/>
  <c r="I1288" i="14" s="1"/>
  <c r="M1454" i="13"/>
  <c r="J1451" i="13" a="1"/>
  <c r="J1451" i="13" s="1"/>
  <c r="N1452" i="13"/>
  <c r="M1455" i="14"/>
  <c r="K1265" i="13"/>
  <c r="L1265" i="13" s="1"/>
  <c r="I1266" i="13" s="1"/>
  <c r="J1450" i="14" a="1"/>
  <c r="J1450" i="14" s="1"/>
  <c r="N1451" i="14"/>
  <c r="K1266" i="13" l="1"/>
  <c r="L1266" i="13" s="1"/>
  <c r="I1267" i="13" s="1"/>
  <c r="K1288" i="14"/>
  <c r="L1288" i="14" s="1"/>
  <c r="I1289" i="14" s="1"/>
  <c r="M1456" i="14"/>
  <c r="M1455" i="13"/>
  <c r="J1452" i="13" a="1"/>
  <c r="J1452" i="13" s="1"/>
  <c r="N1453" i="13"/>
  <c r="J1451" i="14" a="1"/>
  <c r="J1451" i="14" s="1"/>
  <c r="N1452" i="14"/>
  <c r="K1289" i="14" l="1"/>
  <c r="L1289" i="14" s="1"/>
  <c r="I1290" i="14" s="1"/>
  <c r="K1267" i="13"/>
  <c r="L1267" i="13" s="1"/>
  <c r="I1268" i="13" s="1"/>
  <c r="M1456" i="13"/>
  <c r="N1453" i="14"/>
  <c r="J1452" i="14" a="1"/>
  <c r="J1452" i="14" s="1"/>
  <c r="N1454" i="13"/>
  <c r="J1453" i="13" a="1"/>
  <c r="J1453" i="13" s="1"/>
  <c r="M1457" i="14"/>
  <c r="K1268" i="13" l="1"/>
  <c r="L1268" i="13" s="1"/>
  <c r="I1269" i="13" s="1"/>
  <c r="K1290" i="14"/>
  <c r="L1290" i="14" s="1"/>
  <c r="I1291" i="14" s="1"/>
  <c r="J1453" i="14" a="1"/>
  <c r="J1453" i="14" s="1"/>
  <c r="N1454" i="14"/>
  <c r="M1457" i="13"/>
  <c r="M1458" i="14"/>
  <c r="J1454" i="13" a="1"/>
  <c r="J1454" i="13" s="1"/>
  <c r="N1455" i="13"/>
  <c r="K1291" i="14" l="1"/>
  <c r="L1291" i="14" s="1"/>
  <c r="I1292" i="14" s="1"/>
  <c r="K1269" i="13"/>
  <c r="L1269" i="13" s="1"/>
  <c r="I1270" i="13" s="1"/>
  <c r="M1458" i="13"/>
  <c r="J1454" i="14" a="1"/>
  <c r="J1454" i="14" s="1"/>
  <c r="N1455" i="14"/>
  <c r="J1455" i="13" a="1"/>
  <c r="J1455" i="13" s="1"/>
  <c r="N1456" i="13"/>
  <c r="M1459" i="14"/>
  <c r="K1270" i="13" l="1"/>
  <c r="L1270" i="13" s="1"/>
  <c r="I1271" i="13" s="1"/>
  <c r="K1292" i="14"/>
  <c r="L1292" i="14" s="1"/>
  <c r="I1293" i="14" s="1"/>
  <c r="M1460" i="14"/>
  <c r="J1456" i="13" a="1"/>
  <c r="J1456" i="13" s="1"/>
  <c r="N1457" i="13"/>
  <c r="J1455" i="14" a="1"/>
  <c r="J1455" i="14" s="1"/>
  <c r="N1456" i="14"/>
  <c r="M1459" i="13"/>
  <c r="K1293" i="14" l="1"/>
  <c r="L1293" i="14" s="1"/>
  <c r="I1294" i="14" s="1"/>
  <c r="K1271" i="13"/>
  <c r="L1271" i="13" s="1"/>
  <c r="I1272" i="13" s="1"/>
  <c r="N1457" i="14"/>
  <c r="J1456" i="14" a="1"/>
  <c r="J1456" i="14" s="1"/>
  <c r="N1458" i="13"/>
  <c r="J1457" i="13" a="1"/>
  <c r="J1457" i="13" s="1"/>
  <c r="M1460" i="13"/>
  <c r="M1461" i="14"/>
  <c r="K1272" i="13" l="1"/>
  <c r="L1272" i="13" s="1"/>
  <c r="I1273" i="13" s="1"/>
  <c r="K1294" i="14"/>
  <c r="L1294" i="14" s="1"/>
  <c r="I1295" i="14" s="1"/>
  <c r="M1462" i="14"/>
  <c r="J1458" i="13" a="1"/>
  <c r="J1458" i="13" s="1"/>
  <c r="N1459" i="13"/>
  <c r="M1461" i="13"/>
  <c r="J1457" i="14" a="1"/>
  <c r="J1457" i="14" s="1"/>
  <c r="N1458" i="14"/>
  <c r="K1295" i="14" l="1"/>
  <c r="L1295" i="14" s="1"/>
  <c r="I1296" i="14" s="1"/>
  <c r="K1273" i="13"/>
  <c r="L1273" i="13" s="1"/>
  <c r="I1274" i="13" s="1"/>
  <c r="J1459" i="13" a="1"/>
  <c r="J1459" i="13" s="1"/>
  <c r="N1460" i="13"/>
  <c r="J1458" i="14" a="1"/>
  <c r="J1458" i="14" s="1"/>
  <c r="N1459" i="14"/>
  <c r="M1462" i="13"/>
  <c r="M1463" i="14"/>
  <c r="K1274" i="13" l="1"/>
  <c r="L1274" i="13" s="1"/>
  <c r="I1275" i="13" s="1"/>
  <c r="K1296" i="14"/>
  <c r="L1296" i="14" s="1"/>
  <c r="I1297" i="14" s="1"/>
  <c r="M1464" i="14"/>
  <c r="J1460" i="13" a="1"/>
  <c r="J1460" i="13" s="1"/>
  <c r="N1461" i="13"/>
  <c r="J1459" i="14" a="1"/>
  <c r="J1459" i="14" s="1"/>
  <c r="N1460" i="14"/>
  <c r="M1463" i="13"/>
  <c r="K1297" i="14" l="1"/>
  <c r="L1297" i="14" s="1"/>
  <c r="I1298" i="14" s="1"/>
  <c r="K1275" i="13"/>
  <c r="L1275" i="13" s="1"/>
  <c r="I1276" i="13" s="1"/>
  <c r="M1464" i="13"/>
  <c r="N1461" i="14"/>
  <c r="J1460" i="14" a="1"/>
  <c r="J1460" i="14" s="1"/>
  <c r="N1462" i="13"/>
  <c r="J1461" i="13" a="1"/>
  <c r="J1461" i="13" s="1"/>
  <c r="M1465" i="14"/>
  <c r="K1276" i="13" l="1"/>
  <c r="L1276" i="13" s="1"/>
  <c r="I1277" i="13" s="1"/>
  <c r="K1298" i="14"/>
  <c r="L1298" i="14" s="1"/>
  <c r="I1299" i="14" s="1"/>
  <c r="J1461" i="14" a="1"/>
  <c r="J1461" i="14" s="1"/>
  <c r="N1462" i="14"/>
  <c r="M1465" i="13"/>
  <c r="M1466" i="14"/>
  <c r="J1462" i="13" a="1"/>
  <c r="J1462" i="13" s="1"/>
  <c r="N1463" i="13"/>
  <c r="K1299" i="14" l="1"/>
  <c r="L1299" i="14" s="1"/>
  <c r="I1300" i="14" s="1"/>
  <c r="K1277" i="13"/>
  <c r="L1277" i="13" s="1"/>
  <c r="I1278" i="13" s="1"/>
  <c r="M1466" i="13"/>
  <c r="J1463" i="13" a="1"/>
  <c r="J1463" i="13" s="1"/>
  <c r="N1464" i="13"/>
  <c r="J1462" i="14" a="1"/>
  <c r="J1462" i="14" s="1"/>
  <c r="N1463" i="14"/>
  <c r="M1467" i="14"/>
  <c r="K1278" i="13" l="1"/>
  <c r="L1278" i="13" s="1"/>
  <c r="I1279" i="13" s="1"/>
  <c r="K1300" i="14"/>
  <c r="L1300" i="14" s="1"/>
  <c r="I1301" i="14" s="1"/>
  <c r="M1468" i="14"/>
  <c r="J1463" i="14" a="1"/>
  <c r="J1463" i="14" s="1"/>
  <c r="N1464" i="14"/>
  <c r="J1464" i="13" a="1"/>
  <c r="J1464" i="13" s="1"/>
  <c r="N1465" i="13"/>
  <c r="M1467" i="13"/>
  <c r="K1301" i="14" l="1"/>
  <c r="L1301" i="14" s="1"/>
  <c r="I1302" i="14" s="1"/>
  <c r="K1279" i="13"/>
  <c r="L1279" i="13" s="1"/>
  <c r="I1280" i="13" s="1"/>
  <c r="N1465" i="14"/>
  <c r="J1464" i="14" a="1"/>
  <c r="J1464" i="14" s="1"/>
  <c r="N1466" i="13"/>
  <c r="J1465" i="13" a="1"/>
  <c r="J1465" i="13" s="1"/>
  <c r="M1468" i="13"/>
  <c r="M1469" i="14"/>
  <c r="K1280" i="13" l="1"/>
  <c r="L1280" i="13" s="1"/>
  <c r="I1281" i="13" s="1"/>
  <c r="K1302" i="14"/>
  <c r="L1302" i="14" s="1"/>
  <c r="I1303" i="14" s="1"/>
  <c r="M1470" i="14"/>
  <c r="J1466" i="13" a="1"/>
  <c r="J1466" i="13" s="1"/>
  <c r="N1467" i="13"/>
  <c r="M1469" i="13"/>
  <c r="J1465" i="14" a="1"/>
  <c r="J1465" i="14" s="1"/>
  <c r="N1466" i="14"/>
  <c r="K1303" i="14" l="1"/>
  <c r="L1303" i="14" s="1"/>
  <c r="I1304" i="14" s="1"/>
  <c r="K1281" i="13"/>
  <c r="L1281" i="13" s="1"/>
  <c r="I1282" i="13" s="1"/>
  <c r="J1467" i="13" a="1"/>
  <c r="J1467" i="13" s="1"/>
  <c r="N1468" i="13"/>
  <c r="J1466" i="14" a="1"/>
  <c r="J1466" i="14" s="1"/>
  <c r="N1467" i="14"/>
  <c r="M1470" i="13"/>
  <c r="M1471" i="14"/>
  <c r="K1282" i="13" l="1"/>
  <c r="L1282" i="13" s="1"/>
  <c r="I1283" i="13" s="1"/>
  <c r="K1304" i="14"/>
  <c r="L1304" i="14" s="1"/>
  <c r="I1305" i="14" s="1"/>
  <c r="M1472" i="14"/>
  <c r="J1467" i="14" a="1"/>
  <c r="J1467" i="14" s="1"/>
  <c r="N1468" i="14"/>
  <c r="J1468" i="13" a="1"/>
  <c r="J1468" i="13" s="1"/>
  <c r="N1469" i="13"/>
  <c r="M1471" i="13"/>
  <c r="K1305" i="14" l="1"/>
  <c r="L1305" i="14" s="1"/>
  <c r="I1306" i="14" s="1"/>
  <c r="K1283" i="13"/>
  <c r="L1283" i="13" s="1"/>
  <c r="I1284" i="13" s="1"/>
  <c r="N1469" i="14"/>
  <c r="J1468" i="14" a="1"/>
  <c r="J1468" i="14" s="1"/>
  <c r="M1472" i="13"/>
  <c r="N1470" i="13"/>
  <c r="J1469" i="13" a="1"/>
  <c r="J1469" i="13" s="1"/>
  <c r="M1473" i="14"/>
  <c r="K1284" i="13" l="1"/>
  <c r="L1284" i="13" s="1"/>
  <c r="I1285" i="13" s="1"/>
  <c r="K1306" i="14"/>
  <c r="L1306" i="14" s="1"/>
  <c r="I1307" i="14" s="1"/>
  <c r="M1473" i="13"/>
  <c r="M1474" i="14"/>
  <c r="J1470" i="13" a="1"/>
  <c r="J1470" i="13" s="1"/>
  <c r="N1471" i="13"/>
  <c r="J1469" i="14" a="1"/>
  <c r="J1469" i="14" s="1"/>
  <c r="N1470" i="14"/>
  <c r="K1307" i="14" l="1"/>
  <c r="L1307" i="14" s="1"/>
  <c r="I1308" i="14" s="1"/>
  <c r="K1285" i="13"/>
  <c r="L1285" i="13" s="1"/>
  <c r="I1286" i="13" s="1"/>
  <c r="M1475" i="14"/>
  <c r="J1470" i="14" a="1"/>
  <c r="J1470" i="14" s="1"/>
  <c r="N1471" i="14"/>
  <c r="J1471" i="13" a="1"/>
  <c r="J1471" i="13" s="1"/>
  <c r="N1472" i="13"/>
  <c r="M1474" i="13"/>
  <c r="K1286" i="13" l="1"/>
  <c r="L1286" i="13" s="1"/>
  <c r="I1287" i="13" s="1"/>
  <c r="K1308" i="14"/>
  <c r="L1308" i="14" s="1"/>
  <c r="I1309" i="14" s="1"/>
  <c r="J1471" i="14" a="1"/>
  <c r="J1471" i="14" s="1"/>
  <c r="N1472" i="14"/>
  <c r="J1472" i="13" a="1"/>
  <c r="J1472" i="13" s="1"/>
  <c r="N1473" i="13"/>
  <c r="M1476" i="14"/>
  <c r="M1475" i="13"/>
  <c r="K1309" i="14" l="1"/>
  <c r="L1309" i="14" s="1"/>
  <c r="I1310" i="14" s="1"/>
  <c r="K1287" i="13"/>
  <c r="L1287" i="13" s="1"/>
  <c r="I1288" i="13" s="1"/>
  <c r="M1476" i="13"/>
  <c r="N1473" i="14"/>
  <c r="J1472" i="14" a="1"/>
  <c r="J1472" i="14" s="1"/>
  <c r="N1474" i="13"/>
  <c r="J1473" i="13" a="1"/>
  <c r="J1473" i="13" s="1"/>
  <c r="M1477" i="14"/>
  <c r="K1288" i="13" l="1"/>
  <c r="L1288" i="13" s="1"/>
  <c r="I1289" i="13" s="1"/>
  <c r="K1310" i="14"/>
  <c r="L1310" i="14" s="1"/>
  <c r="I1311" i="14" s="1"/>
  <c r="J1473" i="14" a="1"/>
  <c r="J1473" i="14" s="1"/>
  <c r="N1474" i="14"/>
  <c r="M1478" i="14"/>
  <c r="M1477" i="13"/>
  <c r="J1474" i="13" a="1"/>
  <c r="J1474" i="13" s="1"/>
  <c r="N1475" i="13"/>
  <c r="K1311" i="14" l="1"/>
  <c r="L1311" i="14" s="1"/>
  <c r="I1312" i="14" s="1"/>
  <c r="K1289" i="13"/>
  <c r="L1289" i="13" s="1"/>
  <c r="I1290" i="13" s="1"/>
  <c r="J1475" i="13" a="1"/>
  <c r="J1475" i="13" s="1"/>
  <c r="N1476" i="13"/>
  <c r="J1474" i="14" a="1"/>
  <c r="J1474" i="14" s="1"/>
  <c r="N1475" i="14"/>
  <c r="M1479" i="14"/>
  <c r="M1478" i="13"/>
  <c r="K1290" i="13" l="1"/>
  <c r="L1290" i="13" s="1"/>
  <c r="I1291" i="13" s="1"/>
  <c r="K1312" i="14"/>
  <c r="L1312" i="14" s="1"/>
  <c r="I1313" i="14" s="1"/>
  <c r="M1479" i="13"/>
  <c r="M1480" i="14"/>
  <c r="J1476" i="13" a="1"/>
  <c r="J1476" i="13" s="1"/>
  <c r="N1477" i="13"/>
  <c r="J1475" i="14" a="1"/>
  <c r="J1475" i="14" s="1"/>
  <c r="N1476" i="14"/>
  <c r="K1291" i="13" l="1"/>
  <c r="L1291" i="13" s="1"/>
  <c r="I1292" i="13" s="1"/>
  <c r="K1313" i="14"/>
  <c r="L1313" i="14" s="1"/>
  <c r="I1314" i="14" s="1"/>
  <c r="N1477" i="14"/>
  <c r="J1476" i="14" a="1"/>
  <c r="J1476" i="14" s="1"/>
  <c r="M1481" i="14"/>
  <c r="N1478" i="13"/>
  <c r="J1477" i="13" a="1"/>
  <c r="J1477" i="13" s="1"/>
  <c r="M1480" i="13"/>
  <c r="K1314" i="14" l="1"/>
  <c r="L1314" i="14" s="1"/>
  <c r="I1315" i="14" s="1"/>
  <c r="K1292" i="13"/>
  <c r="L1292" i="13" s="1"/>
  <c r="I1293" i="13" s="1"/>
  <c r="M1481" i="13"/>
  <c r="M1482" i="14"/>
  <c r="J1478" i="13" a="1"/>
  <c r="J1478" i="13" s="1"/>
  <c r="N1479" i="13"/>
  <c r="J1477" i="14" a="1"/>
  <c r="J1477" i="14" s="1"/>
  <c r="N1478" i="14"/>
  <c r="K1293" i="13" l="1"/>
  <c r="L1293" i="13" s="1"/>
  <c r="I1294" i="13" s="1"/>
  <c r="K1315" i="14"/>
  <c r="L1315" i="14" s="1"/>
  <c r="I1316" i="14" s="1"/>
  <c r="J1478" i="14" a="1"/>
  <c r="J1478" i="14" s="1"/>
  <c r="N1479" i="14"/>
  <c r="M1483" i="14"/>
  <c r="J1479" i="13" a="1"/>
  <c r="J1479" i="13" s="1"/>
  <c r="N1480" i="13"/>
  <c r="M1482" i="13"/>
  <c r="K1316" i="14" l="1"/>
  <c r="L1316" i="14" s="1"/>
  <c r="I1317" i="14" s="1"/>
  <c r="K1294" i="13"/>
  <c r="L1294" i="13" s="1"/>
  <c r="I1295" i="13" s="1"/>
  <c r="J1480" i="13" a="1"/>
  <c r="J1480" i="13" s="1"/>
  <c r="N1481" i="13"/>
  <c r="M1484" i="14"/>
  <c r="M1483" i="13"/>
  <c r="J1479" i="14" a="1"/>
  <c r="J1479" i="14" s="1"/>
  <c r="N1480" i="14"/>
  <c r="K1295" i="13" l="1"/>
  <c r="L1295" i="13" s="1"/>
  <c r="I1296" i="13" s="1"/>
  <c r="K1317" i="14"/>
  <c r="L1317" i="14" s="1"/>
  <c r="I1318" i="14" s="1"/>
  <c r="N1481" i="14"/>
  <c r="J1480" i="14" a="1"/>
  <c r="J1480" i="14" s="1"/>
  <c r="M1485" i="14"/>
  <c r="N1482" i="13"/>
  <c r="J1481" i="13" a="1"/>
  <c r="J1481" i="13" s="1"/>
  <c r="M1484" i="13"/>
  <c r="K1318" i="14" l="1"/>
  <c r="L1318" i="14" s="1"/>
  <c r="I1319" i="14" s="1"/>
  <c r="K1296" i="13"/>
  <c r="L1296" i="13" s="1"/>
  <c r="I1297" i="13" s="1"/>
  <c r="M1485" i="13"/>
  <c r="M1486" i="14"/>
  <c r="J1482" i="13" a="1"/>
  <c r="J1482" i="13" s="1"/>
  <c r="N1483" i="13"/>
  <c r="J1481" i="14" a="1"/>
  <c r="J1481" i="14" s="1"/>
  <c r="N1482" i="14"/>
  <c r="K1297" i="13" l="1"/>
  <c r="L1297" i="13" s="1"/>
  <c r="I1298" i="13" s="1"/>
  <c r="K1319" i="14"/>
  <c r="L1319" i="14" s="1"/>
  <c r="I1320" i="14" s="1"/>
  <c r="J1482" i="14" a="1"/>
  <c r="J1482" i="14" s="1"/>
  <c r="N1483" i="14"/>
  <c r="M1487" i="14"/>
  <c r="J1483" i="13" a="1"/>
  <c r="J1483" i="13" s="1"/>
  <c r="N1484" i="13"/>
  <c r="M1486" i="13"/>
  <c r="K1320" i="14" l="1"/>
  <c r="L1320" i="14" s="1"/>
  <c r="I1321" i="14" s="1"/>
  <c r="K1298" i="13"/>
  <c r="L1298" i="13" s="1"/>
  <c r="I1299" i="13" s="1"/>
  <c r="M1488" i="14"/>
  <c r="M1487" i="13"/>
  <c r="J1483" i="14" a="1"/>
  <c r="J1483" i="14" s="1"/>
  <c r="N1484" i="14"/>
  <c r="J1484" i="13" a="1"/>
  <c r="J1484" i="13" s="1"/>
  <c r="N1485" i="13"/>
  <c r="K1299" i="13" l="1"/>
  <c r="L1299" i="13" s="1"/>
  <c r="I1300" i="13" s="1"/>
  <c r="K1321" i="14"/>
  <c r="L1321" i="14" s="1"/>
  <c r="I1322" i="14" s="1"/>
  <c r="N1486" i="13"/>
  <c r="J1485" i="13" a="1"/>
  <c r="J1485" i="13" s="1"/>
  <c r="M1488" i="13"/>
  <c r="N1485" i="14"/>
  <c r="J1484" i="14" a="1"/>
  <c r="J1484" i="14" s="1"/>
  <c r="M1489" i="14"/>
  <c r="K1322" i="14" l="1"/>
  <c r="L1322" i="14" s="1"/>
  <c r="I1323" i="14" s="1"/>
  <c r="K1300" i="13"/>
  <c r="L1300" i="13" s="1"/>
  <c r="I1301" i="13" s="1"/>
  <c r="M1489" i="13"/>
  <c r="M1490" i="14"/>
  <c r="J1485" i="14" a="1"/>
  <c r="J1485" i="14" s="1"/>
  <c r="N1486" i="14"/>
  <c r="J1486" i="13" a="1"/>
  <c r="J1486" i="13" s="1"/>
  <c r="N1487" i="13"/>
  <c r="K1301" i="13" l="1"/>
  <c r="L1301" i="13" s="1"/>
  <c r="I1302" i="13" s="1"/>
  <c r="K1323" i="14"/>
  <c r="L1323" i="14" s="1"/>
  <c r="I1324" i="14" s="1"/>
  <c r="M1491" i="14"/>
  <c r="J1486" i="14" a="1"/>
  <c r="J1486" i="14" s="1"/>
  <c r="N1487" i="14"/>
  <c r="J1487" i="13" a="1"/>
  <c r="J1487" i="13" s="1"/>
  <c r="N1488" i="13"/>
  <c r="M1490" i="13"/>
  <c r="K1324" i="14" l="1"/>
  <c r="L1324" i="14" s="1"/>
  <c r="I1325" i="14" s="1"/>
  <c r="K1302" i="13"/>
  <c r="L1302" i="13" s="1"/>
  <c r="I1303" i="13" s="1"/>
  <c r="J1487" i="14" a="1"/>
  <c r="J1487" i="14" s="1"/>
  <c r="N1488" i="14"/>
  <c r="J1488" i="13" a="1"/>
  <c r="J1488" i="13" s="1"/>
  <c r="N1489" i="13"/>
  <c r="M1492" i="14"/>
  <c r="M1491" i="13"/>
  <c r="K1303" i="13" l="1"/>
  <c r="L1303" i="13" s="1"/>
  <c r="I1304" i="13" s="1"/>
  <c r="K1325" i="14"/>
  <c r="L1325" i="14" s="1"/>
  <c r="I1326" i="14" s="1"/>
  <c r="N1490" i="13"/>
  <c r="J1489" i="13" a="1"/>
  <c r="J1489" i="13" s="1"/>
  <c r="M1492" i="13"/>
  <c r="N1489" i="14"/>
  <c r="J1488" i="14" a="1"/>
  <c r="J1488" i="14" s="1"/>
  <c r="M1493" i="14"/>
  <c r="K1326" i="14" l="1"/>
  <c r="L1326" i="14" s="1"/>
  <c r="I1327" i="14" s="1"/>
  <c r="K1304" i="13"/>
  <c r="L1304" i="13" s="1"/>
  <c r="I1305" i="13" s="1"/>
  <c r="M1493" i="13"/>
  <c r="M1494" i="14"/>
  <c r="J1489" i="14" a="1"/>
  <c r="J1489" i="14" s="1"/>
  <c r="N1490" i="14"/>
  <c r="J1490" i="13" a="1"/>
  <c r="J1490" i="13" s="1"/>
  <c r="N1491" i="13"/>
  <c r="K1305" i="13" l="1"/>
  <c r="L1305" i="13" s="1"/>
  <c r="I1306" i="13" s="1"/>
  <c r="K1327" i="14"/>
  <c r="L1327" i="14" s="1"/>
  <c r="I1328" i="14" s="1"/>
  <c r="J1491" i="13" a="1"/>
  <c r="J1491" i="13" s="1"/>
  <c r="N1492" i="13"/>
  <c r="M1495" i="14"/>
  <c r="J1490" i="14" a="1"/>
  <c r="J1490" i="14" s="1"/>
  <c r="N1491" i="14"/>
  <c r="M1494" i="13"/>
  <c r="K1328" i="14" l="1"/>
  <c r="L1328" i="14" s="1"/>
  <c r="I1329" i="14" s="1"/>
  <c r="K1306" i="13"/>
  <c r="L1306" i="13" s="1"/>
  <c r="I1307" i="13" s="1"/>
  <c r="M1496" i="14"/>
  <c r="J1491" i="14" a="1"/>
  <c r="J1491" i="14" s="1"/>
  <c r="N1492" i="14"/>
  <c r="M1495" i="13"/>
  <c r="J1492" i="13" a="1"/>
  <c r="J1492" i="13" s="1"/>
  <c r="N1493" i="13"/>
  <c r="K1307" i="13" l="1"/>
  <c r="L1307" i="13" s="1"/>
  <c r="I1308" i="13" s="1"/>
  <c r="K1329" i="14"/>
  <c r="L1329" i="14" s="1"/>
  <c r="I1330" i="14" s="1"/>
  <c r="N1493" i="14"/>
  <c r="J1492" i="14" a="1"/>
  <c r="J1492" i="14" s="1"/>
  <c r="N1494" i="13"/>
  <c r="J1493" i="13" a="1"/>
  <c r="J1493" i="13" s="1"/>
  <c r="M1496" i="13"/>
  <c r="M1497" i="14"/>
  <c r="K1330" i="14" l="1"/>
  <c r="L1330" i="14" s="1"/>
  <c r="I1331" i="14" s="1"/>
  <c r="K1308" i="13"/>
  <c r="L1308" i="13" s="1"/>
  <c r="I1309" i="13" s="1"/>
  <c r="J1494" i="13" a="1"/>
  <c r="J1494" i="13" s="1"/>
  <c r="N1495" i="13"/>
  <c r="M1498" i="14"/>
  <c r="M1497" i="13"/>
  <c r="J1493" i="14" a="1"/>
  <c r="J1493" i="14" s="1"/>
  <c r="N1494" i="14"/>
  <c r="K1309" i="13" l="1"/>
  <c r="L1309" i="13" s="1"/>
  <c r="I1310" i="13" s="1"/>
  <c r="K1331" i="14"/>
  <c r="L1331" i="14" s="1"/>
  <c r="I1332" i="14" s="1"/>
  <c r="J1494" i="14" a="1"/>
  <c r="J1494" i="14" s="1"/>
  <c r="N1495" i="14"/>
  <c r="M1499" i="14"/>
  <c r="J1495" i="13" a="1"/>
  <c r="J1495" i="13" s="1"/>
  <c r="N1496" i="13"/>
  <c r="M1498" i="13"/>
  <c r="K1332" i="14" l="1"/>
  <c r="L1332" i="14" s="1"/>
  <c r="I1333" i="14" s="1"/>
  <c r="K1310" i="13"/>
  <c r="L1310" i="13" s="1"/>
  <c r="I1311" i="13" s="1"/>
  <c r="J1496" i="13" a="1"/>
  <c r="J1496" i="13" s="1"/>
  <c r="N1497" i="13"/>
  <c r="M1500" i="14"/>
  <c r="M1499" i="13"/>
  <c r="J1495" i="14" a="1"/>
  <c r="J1495" i="14" s="1"/>
  <c r="N1496" i="14"/>
  <c r="K1333" i="14" l="1"/>
  <c r="L1333" i="14" s="1"/>
  <c r="I1334" i="14" s="1"/>
  <c r="K1311" i="13"/>
  <c r="L1311" i="13" s="1"/>
  <c r="I1312" i="13" s="1"/>
  <c r="M1501" i="14"/>
  <c r="N1498" i="13"/>
  <c r="J1497" i="13" a="1"/>
  <c r="J1497" i="13" s="1"/>
  <c r="N1497" i="14"/>
  <c r="J1496" i="14" a="1"/>
  <c r="J1496" i="14" s="1"/>
  <c r="M1500" i="13"/>
  <c r="K1334" i="14" l="1"/>
  <c r="L1334" i="14" s="1"/>
  <c r="I1335" i="14" s="1"/>
  <c r="K1312" i="13"/>
  <c r="L1312" i="13" s="1"/>
  <c r="I1313" i="13" s="1"/>
  <c r="M1501" i="13"/>
  <c r="J1498" i="13" a="1"/>
  <c r="J1498" i="13" s="1"/>
  <c r="N1499" i="13"/>
  <c r="J1497" i="14" a="1"/>
  <c r="J1497" i="14" s="1"/>
  <c r="N1498" i="14"/>
  <c r="M1502" i="14"/>
  <c r="K1313" i="13" l="1"/>
  <c r="L1313" i="13" s="1"/>
  <c r="I1314" i="13" s="1"/>
  <c r="K1335" i="14"/>
  <c r="L1335" i="14" s="1"/>
  <c r="I1336" i="14" s="1"/>
  <c r="M1503" i="14"/>
  <c r="J1499" i="13" a="1"/>
  <c r="J1499" i="13" s="1"/>
  <c r="N1500" i="13"/>
  <c r="J1498" i="14" a="1"/>
  <c r="J1498" i="14" s="1"/>
  <c r="N1499" i="14"/>
  <c r="M1502" i="13"/>
  <c r="K1336" i="14" l="1"/>
  <c r="L1336" i="14" s="1"/>
  <c r="I1337" i="14" s="1"/>
  <c r="K1314" i="13"/>
  <c r="L1314" i="13" s="1"/>
  <c r="I1315" i="13" s="1"/>
  <c r="M1503" i="13"/>
  <c r="J1499" i="14" a="1"/>
  <c r="J1499" i="14" s="1"/>
  <c r="N1500" i="14"/>
  <c r="M1504" i="14"/>
  <c r="J1500" i="13" a="1"/>
  <c r="J1500" i="13" s="1"/>
  <c r="N1501" i="13"/>
  <c r="K1337" i="14" l="1"/>
  <c r="L1337" i="14" s="1"/>
  <c r="I1338" i="14" s="1"/>
  <c r="K1315" i="13"/>
  <c r="L1315" i="13" s="1"/>
  <c r="I1316" i="13" s="1"/>
  <c r="N1501" i="14"/>
  <c r="J1500" i="14" a="1"/>
  <c r="J1500" i="14" s="1"/>
  <c r="N1502" i="13"/>
  <c r="J1501" i="13" a="1"/>
  <c r="J1501" i="13" s="1"/>
  <c r="M1505" i="14"/>
  <c r="M1504" i="13"/>
  <c r="K1316" i="13" l="1"/>
  <c r="L1316" i="13" s="1"/>
  <c r="I1317" i="13" s="1"/>
  <c r="J1502" i="13" a="1"/>
  <c r="J1502" i="13" s="1"/>
  <c r="N1503" i="13"/>
  <c r="M1506" i="14"/>
  <c r="M1505" i="13"/>
  <c r="J1501" i="14" a="1"/>
  <c r="J1501" i="14" s="1"/>
  <c r="N1502" i="14"/>
  <c r="K1338" i="14"/>
  <c r="L1338" i="14" s="1"/>
  <c r="I1339" i="14" s="1"/>
  <c r="K1317" i="13" l="1"/>
  <c r="L1317" i="13" s="1"/>
  <c r="I1318" i="13" s="1"/>
  <c r="K1339" i="14"/>
  <c r="L1339" i="14" s="1"/>
  <c r="I1340" i="14" s="1"/>
  <c r="J1503" i="13" a="1"/>
  <c r="J1503" i="13" s="1"/>
  <c r="N1504" i="13"/>
  <c r="M1506" i="13"/>
  <c r="J1502" i="14" a="1"/>
  <c r="J1502" i="14" s="1"/>
  <c r="N1503" i="14"/>
  <c r="M1507" i="14"/>
  <c r="K1318" i="13" l="1"/>
  <c r="L1318" i="13" s="1"/>
  <c r="I1319" i="13" s="1"/>
  <c r="K1340" i="14"/>
  <c r="L1340" i="14" s="1"/>
  <c r="I1341" i="14" s="1"/>
  <c r="M1508" i="14"/>
  <c r="M1507" i="13"/>
  <c r="J1503" i="14" a="1"/>
  <c r="J1503" i="14" s="1"/>
  <c r="N1504" i="14"/>
  <c r="J1504" i="13" a="1"/>
  <c r="J1504" i="13" s="1"/>
  <c r="N1505" i="13"/>
  <c r="K1341" i="14" l="1"/>
  <c r="L1341" i="14" s="1"/>
  <c r="I1342" i="14" s="1"/>
  <c r="K1319" i="13"/>
  <c r="L1319" i="13" s="1"/>
  <c r="I1320" i="13" s="1"/>
  <c r="N1506" i="13"/>
  <c r="J1505" i="13" a="1"/>
  <c r="J1505" i="13" s="1"/>
  <c r="M1508" i="13"/>
  <c r="N1505" i="14"/>
  <c r="J1504" i="14" a="1"/>
  <c r="J1504" i="14" s="1"/>
  <c r="M1509" i="14"/>
  <c r="K1320" i="13" l="1"/>
  <c r="L1320" i="13" s="1"/>
  <c r="I1321" i="13" s="1"/>
  <c r="K1342" i="14"/>
  <c r="L1342" i="14" s="1"/>
  <c r="I1343" i="14" s="1"/>
  <c r="J1505" i="14" a="1"/>
  <c r="J1505" i="14" s="1"/>
  <c r="N1506" i="14"/>
  <c r="M1509" i="13"/>
  <c r="M1510" i="14"/>
  <c r="J1506" i="13" a="1"/>
  <c r="J1506" i="13" s="1"/>
  <c r="N1507" i="13"/>
  <c r="K1321" i="13" l="1"/>
  <c r="L1321" i="13" s="1"/>
  <c r="I1322" i="13" s="1"/>
  <c r="M1511" i="14"/>
  <c r="J1507" i="13" a="1"/>
  <c r="J1507" i="13" s="1"/>
  <c r="N1508" i="13"/>
  <c r="M1510" i="13"/>
  <c r="K1343" i="14"/>
  <c r="L1343" i="14" s="1"/>
  <c r="I1344" i="14" s="1"/>
  <c r="J1506" i="14" a="1"/>
  <c r="J1506" i="14" s="1"/>
  <c r="N1507" i="14"/>
  <c r="K1344" i="14" l="1"/>
  <c r="L1344" i="14" s="1"/>
  <c r="I1345" i="14" s="1"/>
  <c r="J1507" i="14" a="1"/>
  <c r="J1507" i="14" s="1"/>
  <c r="N1508" i="14"/>
  <c r="M1512" i="14"/>
  <c r="M1511" i="13"/>
  <c r="J1508" i="13" a="1"/>
  <c r="J1508" i="13" s="1"/>
  <c r="N1509" i="13"/>
  <c r="K1322" i="13"/>
  <c r="L1322" i="13" s="1"/>
  <c r="I1323" i="13" s="1"/>
  <c r="K1323" i="13" l="1"/>
  <c r="L1323" i="13" s="1"/>
  <c r="I1324" i="13" s="1"/>
  <c r="K1345" i="14"/>
  <c r="L1345" i="14" s="1"/>
  <c r="I1346" i="14" s="1"/>
  <c r="N1510" i="13"/>
  <c r="J1509" i="13" a="1"/>
  <c r="J1509" i="13" s="1"/>
  <c r="N1509" i="14"/>
  <c r="J1508" i="14" a="1"/>
  <c r="J1508" i="14" s="1"/>
  <c r="M1512" i="13"/>
  <c r="M1513" i="14"/>
  <c r="K1346" i="14" l="1"/>
  <c r="L1346" i="14" s="1"/>
  <c r="I1347" i="14" s="1"/>
  <c r="K1324" i="13"/>
  <c r="L1324" i="13" s="1"/>
  <c r="I1325" i="13" s="1"/>
  <c r="M1513" i="13"/>
  <c r="M1514" i="14"/>
  <c r="J1509" i="14" a="1"/>
  <c r="J1509" i="14" s="1"/>
  <c r="N1510" i="14"/>
  <c r="J1510" i="13" a="1"/>
  <c r="J1510" i="13" s="1"/>
  <c r="N1511" i="13"/>
  <c r="K1347" i="14" l="1"/>
  <c r="L1347" i="14" s="1"/>
  <c r="I1348" i="14" s="1"/>
  <c r="M1515" i="14"/>
  <c r="J1511" i="13" a="1"/>
  <c r="J1511" i="13" s="1"/>
  <c r="N1512" i="13"/>
  <c r="K1325" i="13"/>
  <c r="L1325" i="13" s="1"/>
  <c r="I1326" i="13" s="1"/>
  <c r="J1510" i="14" a="1"/>
  <c r="J1510" i="14" s="1"/>
  <c r="N1511" i="14"/>
  <c r="M1514" i="13"/>
  <c r="K1326" i="13" l="1"/>
  <c r="L1326" i="13" s="1"/>
  <c r="I1327" i="13" s="1"/>
  <c r="K1348" i="14"/>
  <c r="L1348" i="14" s="1"/>
  <c r="I1349" i="14" s="1"/>
  <c r="J1512" i="13" a="1"/>
  <c r="J1512" i="13" s="1"/>
  <c r="N1513" i="13"/>
  <c r="M1516" i="14"/>
  <c r="M1515" i="13"/>
  <c r="J1511" i="14" a="1"/>
  <c r="J1511" i="14" s="1"/>
  <c r="N1512" i="14"/>
  <c r="K1327" i="13" l="1"/>
  <c r="L1327" i="13" s="1"/>
  <c r="I1328" i="13" s="1"/>
  <c r="N1513" i="14"/>
  <c r="J1512" i="14" a="1"/>
  <c r="J1512" i="14" s="1"/>
  <c r="K1349" i="14"/>
  <c r="L1349" i="14" s="1"/>
  <c r="I1350" i="14" s="1"/>
  <c r="M1517" i="14"/>
  <c r="N1514" i="13"/>
  <c r="J1513" i="13" a="1"/>
  <c r="J1513" i="13" s="1"/>
  <c r="M1516" i="13"/>
  <c r="K1350" i="14" l="1"/>
  <c r="L1350" i="14" s="1"/>
  <c r="I1351" i="14" s="1"/>
  <c r="K1328" i="13"/>
  <c r="L1328" i="13" s="1"/>
  <c r="I1329" i="13" s="1"/>
  <c r="M1517" i="13"/>
  <c r="M1518" i="14"/>
  <c r="J1513" i="14" a="1"/>
  <c r="J1513" i="14" s="1"/>
  <c r="N1514" i="14"/>
  <c r="J1514" i="13" a="1"/>
  <c r="J1514" i="13" s="1"/>
  <c r="N1515" i="13"/>
  <c r="K1351" i="14" l="1"/>
  <c r="L1351" i="14" s="1"/>
  <c r="I1352" i="14" s="1"/>
  <c r="K1329" i="13"/>
  <c r="L1329" i="13" s="1"/>
  <c r="I1330" i="13" s="1"/>
  <c r="J1515" i="13" a="1"/>
  <c r="J1515" i="13" s="1"/>
  <c r="N1516" i="13"/>
  <c r="M1519" i="14"/>
  <c r="J1514" i="14" a="1"/>
  <c r="J1514" i="14" s="1"/>
  <c r="N1515" i="14"/>
  <c r="M1518" i="13"/>
  <c r="K1352" i="14" l="1"/>
  <c r="L1352" i="14" s="1"/>
  <c r="I1353" i="14" s="1"/>
  <c r="K1330" i="13"/>
  <c r="L1330" i="13" s="1"/>
  <c r="I1331" i="13" s="1"/>
  <c r="M1520" i="14"/>
  <c r="M1519" i="13"/>
  <c r="J1515" i="14" a="1"/>
  <c r="J1515" i="14" s="1"/>
  <c r="N1516" i="14"/>
  <c r="J1516" i="13" a="1"/>
  <c r="J1516" i="13" s="1"/>
  <c r="N1517" i="13"/>
  <c r="K1331" i="13" l="1"/>
  <c r="L1331" i="13" s="1"/>
  <c r="I1332" i="13" s="1"/>
  <c r="K1353" i="14"/>
  <c r="L1353" i="14" s="1"/>
  <c r="I1354" i="14" s="1"/>
  <c r="N1517" i="14"/>
  <c r="J1516" i="14" a="1"/>
  <c r="J1516" i="14" s="1"/>
  <c r="N1518" i="13"/>
  <c r="J1517" i="13" a="1"/>
  <c r="J1517" i="13" s="1"/>
  <c r="M1520" i="13"/>
  <c r="M1521" i="14"/>
  <c r="K1332" i="13" l="1"/>
  <c r="L1332" i="13" s="1"/>
  <c r="I1333" i="13" s="1"/>
  <c r="K1354" i="14"/>
  <c r="L1354" i="14" s="1"/>
  <c r="I1355" i="14" s="1"/>
  <c r="M1522" i="14"/>
  <c r="J1518" i="13" a="1"/>
  <c r="J1518" i="13" s="1"/>
  <c r="N1519" i="13"/>
  <c r="M1521" i="13"/>
  <c r="J1517" i="14" a="1"/>
  <c r="J1517" i="14" s="1"/>
  <c r="N1518" i="14"/>
  <c r="K1355" i="14" l="1"/>
  <c r="L1355" i="14" s="1"/>
  <c r="I1356" i="14" s="1"/>
  <c r="K1333" i="13"/>
  <c r="L1333" i="13" s="1"/>
  <c r="I1334" i="13" s="1"/>
  <c r="J1519" i="13" a="1"/>
  <c r="J1519" i="13" s="1"/>
  <c r="N1520" i="13"/>
  <c r="J1518" i="14" a="1"/>
  <c r="J1518" i="14" s="1"/>
  <c r="N1519" i="14"/>
  <c r="M1522" i="13"/>
  <c r="M1523" i="14"/>
  <c r="K1334" i="13" l="1"/>
  <c r="L1334" i="13" s="1"/>
  <c r="I1335" i="13" s="1"/>
  <c r="K1356" i="14"/>
  <c r="L1356" i="14" s="1"/>
  <c r="I1357" i="14" s="1"/>
  <c r="J1519" i="14" a="1"/>
  <c r="J1519" i="14" s="1"/>
  <c r="N1520" i="14"/>
  <c r="M1523" i="13"/>
  <c r="M1524" i="14"/>
  <c r="J1520" i="13" a="1"/>
  <c r="J1520" i="13" s="1"/>
  <c r="N1521" i="13"/>
  <c r="K1357" i="14" l="1"/>
  <c r="L1357" i="14" s="1"/>
  <c r="I1358" i="14" s="1"/>
  <c r="K1335" i="13"/>
  <c r="L1335" i="13" s="1"/>
  <c r="I1336" i="13" s="1"/>
  <c r="N1522" i="13"/>
  <c r="J1521" i="13" a="1"/>
  <c r="J1521" i="13" s="1"/>
  <c r="M1524" i="13"/>
  <c r="N1521" i="14"/>
  <c r="J1520" i="14" a="1"/>
  <c r="J1520" i="14" s="1"/>
  <c r="M1525" i="14"/>
  <c r="J1522" i="13" l="1" a="1"/>
  <c r="J1522" i="13" s="1"/>
  <c r="N1523" i="13"/>
  <c r="K1358" i="14"/>
  <c r="L1358" i="14" s="1"/>
  <c r="I1359" i="14" s="1"/>
  <c r="M1525" i="13"/>
  <c r="J1521" i="14" a="1"/>
  <c r="J1521" i="14" s="1"/>
  <c r="N1522" i="14"/>
  <c r="M1526" i="14"/>
  <c r="K1336" i="13"/>
  <c r="L1336" i="13" s="1"/>
  <c r="I1337" i="13" s="1"/>
  <c r="K1337" i="13" l="1"/>
  <c r="L1337" i="13" s="1"/>
  <c r="I1338" i="13" s="1"/>
  <c r="K1359" i="14"/>
  <c r="L1359" i="14" s="1"/>
  <c r="I1360" i="14" s="1"/>
  <c r="J1522" i="14" a="1"/>
  <c r="J1522" i="14" s="1"/>
  <c r="N1523" i="14"/>
  <c r="J1523" i="13" a="1"/>
  <c r="J1523" i="13" s="1"/>
  <c r="N1524" i="13"/>
  <c r="M1527" i="14"/>
  <c r="M1526" i="13"/>
  <c r="K1338" i="13" l="1"/>
  <c r="L1338" i="13" s="1"/>
  <c r="I1339" i="13" s="1"/>
  <c r="J1524" i="13" a="1"/>
  <c r="J1524" i="13" s="1"/>
  <c r="N1525" i="13"/>
  <c r="M1527" i="13"/>
  <c r="K1360" i="14"/>
  <c r="L1360" i="14" s="1"/>
  <c r="I1361" i="14" s="1"/>
  <c r="J1523" i="14" a="1"/>
  <c r="J1523" i="14" s="1"/>
  <c r="N1524" i="14"/>
  <c r="M1528" i="14"/>
  <c r="K1339" i="13" l="1"/>
  <c r="L1339" i="13" s="1"/>
  <c r="I1340" i="13" s="1"/>
  <c r="M1529" i="14"/>
  <c r="N1526" i="13"/>
  <c r="J1525" i="13" a="1"/>
  <c r="J1525" i="13" s="1"/>
  <c r="N1525" i="14"/>
  <c r="J1524" i="14" a="1"/>
  <c r="J1524" i="14" s="1"/>
  <c r="K1361" i="14"/>
  <c r="L1361" i="14" s="1"/>
  <c r="I1362" i="14" s="1"/>
  <c r="M1528" i="13"/>
  <c r="K1362" i="14" l="1"/>
  <c r="L1362" i="14" s="1"/>
  <c r="I1363" i="14" s="1"/>
  <c r="K1340" i="13"/>
  <c r="L1340" i="13" s="1"/>
  <c r="I1341" i="13" s="1"/>
  <c r="M1529" i="13"/>
  <c r="J1525" i="14" a="1"/>
  <c r="J1525" i="14" s="1"/>
  <c r="N1526" i="14"/>
  <c r="M1530" i="14"/>
  <c r="J1526" i="13" a="1"/>
  <c r="J1526" i="13" s="1"/>
  <c r="N1527" i="13"/>
  <c r="K1341" i="13" l="1"/>
  <c r="L1341" i="13" s="1"/>
  <c r="I1342" i="13" s="1"/>
  <c r="K1363" i="14"/>
  <c r="L1363" i="14" s="1"/>
  <c r="I1364" i="14" s="1"/>
  <c r="J1526" i="14" a="1"/>
  <c r="J1526" i="14" s="1"/>
  <c r="N1527" i="14"/>
  <c r="J1527" i="13" a="1"/>
  <c r="J1527" i="13" s="1"/>
  <c r="N1528" i="13"/>
  <c r="M1531" i="14"/>
  <c r="M1530" i="13"/>
  <c r="K1364" i="14" l="1"/>
  <c r="L1364" i="14" s="1"/>
  <c r="I1365" i="14" s="1"/>
  <c r="K1342" i="13"/>
  <c r="L1342" i="13" s="1"/>
  <c r="I1343" i="13" s="1"/>
  <c r="M1532" i="14"/>
  <c r="J1528" i="13" a="1"/>
  <c r="J1528" i="13" s="1"/>
  <c r="N1529" i="13"/>
  <c r="M1531" i="13"/>
  <c r="J1527" i="14" a="1"/>
  <c r="J1527" i="14" s="1"/>
  <c r="N1528" i="14"/>
  <c r="K1343" i="13" l="1"/>
  <c r="L1343" i="13" s="1"/>
  <c r="I1344" i="13" s="1"/>
  <c r="K1365" i="14"/>
  <c r="L1365" i="14" s="1"/>
  <c r="I1366" i="14" s="1"/>
  <c r="N1530" i="13"/>
  <c r="J1529" i="13" a="1"/>
  <c r="J1529" i="13" s="1"/>
  <c r="N1529" i="14"/>
  <c r="J1528" i="14" a="1"/>
  <c r="J1528" i="14" s="1"/>
  <c r="M1532" i="13"/>
  <c r="M1533" i="14"/>
  <c r="K1366" i="14" l="1"/>
  <c r="L1366" i="14" s="1"/>
  <c r="I1367" i="14" s="1"/>
  <c r="K1344" i="13"/>
  <c r="L1344" i="13" s="1"/>
  <c r="I1345" i="13" s="1"/>
  <c r="J1529" i="14" a="1"/>
  <c r="J1529" i="14" s="1"/>
  <c r="N1530" i="14"/>
  <c r="M1534" i="14"/>
  <c r="M1533" i="13"/>
  <c r="J1530" i="13" a="1"/>
  <c r="J1530" i="13" s="1"/>
  <c r="N1531" i="13"/>
  <c r="K1345" i="13" l="1"/>
  <c r="L1345" i="13" s="1"/>
  <c r="I1346" i="13" s="1"/>
  <c r="K1367" i="14"/>
  <c r="L1367" i="14" s="1"/>
  <c r="I1368" i="14" s="1"/>
  <c r="M1535" i="14"/>
  <c r="J1530" i="14" a="1"/>
  <c r="J1530" i="14" s="1"/>
  <c r="N1531" i="14"/>
  <c r="J1531" i="13" a="1"/>
  <c r="J1531" i="13" s="1"/>
  <c r="N1532" i="13"/>
  <c r="M1534" i="13"/>
  <c r="K1368" i="14" l="1"/>
  <c r="L1368" i="14" s="1"/>
  <c r="I1369" i="14" s="1"/>
  <c r="K1346" i="13"/>
  <c r="L1346" i="13" s="1"/>
  <c r="I1347" i="13" s="1"/>
  <c r="J1531" i="14" a="1"/>
  <c r="J1531" i="14" s="1"/>
  <c r="N1532" i="14"/>
  <c r="M1535" i="13"/>
  <c r="J1532" i="13" a="1"/>
  <c r="J1532" i="13" s="1"/>
  <c r="N1533" i="13"/>
  <c r="M1536" i="14"/>
  <c r="K1347" i="13" l="1"/>
  <c r="L1347" i="13" s="1"/>
  <c r="I1348" i="13" s="1"/>
  <c r="K1369" i="14"/>
  <c r="L1369" i="14" s="1"/>
  <c r="I1370" i="14" s="1"/>
  <c r="N1534" i="13"/>
  <c r="J1533" i="13" a="1"/>
  <c r="J1533" i="13" s="1"/>
  <c r="N1533" i="14"/>
  <c r="J1532" i="14" a="1"/>
  <c r="J1532" i="14" s="1"/>
  <c r="M1537" i="14"/>
  <c r="M1536" i="13"/>
  <c r="K1370" i="14" l="1"/>
  <c r="L1370" i="14" s="1"/>
  <c r="I1371" i="14" s="1"/>
  <c r="K1348" i="13"/>
  <c r="L1348" i="13" s="1"/>
  <c r="I1349" i="13" s="1"/>
  <c r="M1537" i="13"/>
  <c r="J1533" i="14" a="1"/>
  <c r="J1533" i="14" s="1"/>
  <c r="N1534" i="14"/>
  <c r="M1538" i="14"/>
  <c r="J1534" i="13" a="1"/>
  <c r="J1534" i="13" s="1"/>
  <c r="N1535" i="13"/>
  <c r="K1349" i="13" l="1"/>
  <c r="L1349" i="13" s="1"/>
  <c r="I1350" i="13" s="1"/>
  <c r="K1371" i="14"/>
  <c r="L1371" i="14" s="1"/>
  <c r="I1372" i="14" s="1"/>
  <c r="J1534" i="14" a="1"/>
  <c r="J1534" i="14" s="1"/>
  <c r="N1535" i="14"/>
  <c r="J1535" i="13" a="1"/>
  <c r="J1535" i="13" s="1"/>
  <c r="N1536" i="13"/>
  <c r="M1539" i="14"/>
  <c r="M1538" i="13"/>
  <c r="K1372" i="14" l="1"/>
  <c r="L1372" i="14" s="1"/>
  <c r="I1373" i="14" s="1"/>
  <c r="K1350" i="13"/>
  <c r="L1350" i="13" s="1"/>
  <c r="I1351" i="13" s="1"/>
  <c r="J1536" i="13" a="1"/>
  <c r="J1536" i="13" s="1"/>
  <c r="N1537" i="13"/>
  <c r="J1535" i="14" a="1"/>
  <c r="J1535" i="14" s="1"/>
  <c r="N1536" i="14"/>
  <c r="M1539" i="13"/>
  <c r="M1540" i="14"/>
  <c r="K1373" i="14" l="1"/>
  <c r="L1373" i="14" s="1"/>
  <c r="I1374" i="14" s="1"/>
  <c r="N1537" i="14"/>
  <c r="J1536" i="14" a="1"/>
  <c r="J1536" i="14" s="1"/>
  <c r="N1538" i="13"/>
  <c r="J1537" i="13" a="1"/>
  <c r="J1537" i="13" s="1"/>
  <c r="M1541" i="14"/>
  <c r="K1351" i="13"/>
  <c r="L1351" i="13" s="1"/>
  <c r="I1352" i="13" s="1"/>
  <c r="M1540" i="13"/>
  <c r="K1352" i="13" l="1"/>
  <c r="L1352" i="13" s="1"/>
  <c r="I1353" i="13" s="1"/>
  <c r="K1374" i="14"/>
  <c r="L1374" i="14" s="1"/>
  <c r="I1375" i="14" s="1"/>
  <c r="M1542" i="14"/>
  <c r="J1537" i="14" a="1"/>
  <c r="J1537" i="14" s="1"/>
  <c r="N1538" i="14"/>
  <c r="M1541" i="13"/>
  <c r="J1538" i="13" a="1"/>
  <c r="J1538" i="13" s="1"/>
  <c r="N1539" i="13"/>
  <c r="K1353" i="13" l="1"/>
  <c r="L1353" i="13" s="1"/>
  <c r="I1354" i="13" s="1"/>
  <c r="J1539" i="13" a="1"/>
  <c r="J1539" i="13" s="1"/>
  <c r="N1540" i="13"/>
  <c r="J1538" i="14" a="1"/>
  <c r="J1538" i="14" s="1"/>
  <c r="N1539" i="14"/>
  <c r="K1375" i="14"/>
  <c r="L1375" i="14" s="1"/>
  <c r="I1376" i="14" s="1"/>
  <c r="M1542" i="13"/>
  <c r="M1543" i="14"/>
  <c r="K1354" i="13" l="1"/>
  <c r="L1354" i="13" s="1"/>
  <c r="I1355" i="13" s="1"/>
  <c r="M1543" i="13"/>
  <c r="M1544" i="14"/>
  <c r="J1540" i="13" a="1"/>
  <c r="J1540" i="13" s="1"/>
  <c r="N1541" i="13"/>
  <c r="K1376" i="14"/>
  <c r="L1376" i="14" s="1"/>
  <c r="I1377" i="14" s="1"/>
  <c r="J1539" i="14" a="1"/>
  <c r="J1539" i="14" s="1"/>
  <c r="N1540" i="14"/>
  <c r="K1377" i="14" l="1"/>
  <c r="L1377" i="14" s="1"/>
  <c r="I1378" i="14" s="1"/>
  <c r="K1355" i="13"/>
  <c r="L1355" i="13" s="1"/>
  <c r="I1356" i="13" s="1"/>
  <c r="N1542" i="13"/>
  <c r="J1541" i="13" a="1"/>
  <c r="J1541" i="13" s="1"/>
  <c r="M1544" i="13"/>
  <c r="N1541" i="14"/>
  <c r="J1540" i="14" a="1"/>
  <c r="J1540" i="14" s="1"/>
  <c r="M1545" i="14"/>
  <c r="K1356" i="13" l="1"/>
  <c r="L1356" i="13" s="1"/>
  <c r="I1357" i="13" s="1"/>
  <c r="K1378" i="14"/>
  <c r="L1378" i="14" s="1"/>
  <c r="I1379" i="14" s="1"/>
  <c r="M1545" i="13"/>
  <c r="M1546" i="14"/>
  <c r="J1541" i="14" a="1"/>
  <c r="J1541" i="14" s="1"/>
  <c r="N1542" i="14"/>
  <c r="J1542" i="13" a="1"/>
  <c r="J1542" i="13" s="1"/>
  <c r="N1543" i="13"/>
  <c r="K1379" i="14" l="1"/>
  <c r="L1379" i="14" s="1"/>
  <c r="I1380" i="14" s="1"/>
  <c r="K1357" i="13"/>
  <c r="L1357" i="13" s="1"/>
  <c r="I1358" i="13" s="1"/>
  <c r="J1543" i="13" a="1"/>
  <c r="J1543" i="13" s="1"/>
  <c r="N1544" i="13"/>
  <c r="M1547" i="14"/>
  <c r="J1542" i="14" a="1"/>
  <c r="J1542" i="14" s="1"/>
  <c r="N1543" i="14"/>
  <c r="M1546" i="13"/>
  <c r="K1380" i="14" l="1"/>
  <c r="L1380" i="14" s="1"/>
  <c r="I1381" i="14" s="1"/>
  <c r="M1548" i="14"/>
  <c r="M1547" i="13"/>
  <c r="K1358" i="13"/>
  <c r="L1358" i="13" s="1"/>
  <c r="I1359" i="13" s="1"/>
  <c r="J1544" i="13" a="1"/>
  <c r="J1544" i="13" s="1"/>
  <c r="N1545" i="13"/>
  <c r="J1543" i="14" a="1"/>
  <c r="J1543" i="14" s="1"/>
  <c r="N1544" i="14"/>
  <c r="K1359" i="13" l="1"/>
  <c r="L1359" i="13" s="1"/>
  <c r="I1360" i="13" s="1"/>
  <c r="K1381" i="14"/>
  <c r="L1381" i="14" s="1"/>
  <c r="I1382" i="14" s="1"/>
  <c r="N1545" i="14"/>
  <c r="J1544" i="14" a="1"/>
  <c r="J1544" i="14" s="1"/>
  <c r="M1549" i="14"/>
  <c r="N1546" i="13"/>
  <c r="J1545" i="13" a="1"/>
  <c r="J1545" i="13" s="1"/>
  <c r="M1548" i="13"/>
  <c r="K1382" i="14" l="1"/>
  <c r="L1382" i="14" s="1"/>
  <c r="I1383" i="14" s="1"/>
  <c r="K1360" i="13"/>
  <c r="L1360" i="13" s="1"/>
  <c r="I1361" i="13" s="1"/>
  <c r="M1549" i="13"/>
  <c r="M1550" i="14"/>
  <c r="J1546" i="13" a="1"/>
  <c r="J1546" i="13" s="1"/>
  <c r="N1547" i="13"/>
  <c r="J1545" i="14" a="1"/>
  <c r="J1545" i="14" s="1"/>
  <c r="N1546" i="14"/>
  <c r="K1383" i="14" l="1"/>
  <c r="L1383" i="14" s="1"/>
  <c r="I1384" i="14" s="1"/>
  <c r="J1546" i="14" a="1"/>
  <c r="J1546" i="14" s="1"/>
  <c r="N1547" i="14"/>
  <c r="M1551" i="14"/>
  <c r="K1361" i="13"/>
  <c r="L1361" i="13" s="1"/>
  <c r="I1362" i="13" s="1"/>
  <c r="J1547" i="13" a="1"/>
  <c r="J1547" i="13" s="1"/>
  <c r="N1548" i="13"/>
  <c r="M1550" i="13"/>
  <c r="K1362" i="13" l="1"/>
  <c r="L1362" i="13" s="1"/>
  <c r="I1363" i="13" s="1"/>
  <c r="K1384" i="14"/>
  <c r="L1384" i="14" s="1"/>
  <c r="I1385" i="14" s="1"/>
  <c r="J1547" i="14" a="1"/>
  <c r="J1547" i="14" s="1"/>
  <c r="N1548" i="14"/>
  <c r="J1548" i="13" a="1"/>
  <c r="J1548" i="13" s="1"/>
  <c r="N1549" i="13"/>
  <c r="M1552" i="14"/>
  <c r="M1551" i="13"/>
  <c r="K1385" i="14" l="1"/>
  <c r="L1385" i="14" s="1"/>
  <c r="I1386" i="14" s="1"/>
  <c r="K1363" i="13"/>
  <c r="L1363" i="13" s="1"/>
  <c r="I1364" i="13" s="1"/>
  <c r="N1550" i="13"/>
  <c r="J1549" i="13" a="1"/>
  <c r="J1549" i="13" s="1"/>
  <c r="N1549" i="14"/>
  <c r="J1548" i="14" a="1"/>
  <c r="J1548" i="14" s="1"/>
  <c r="M1552" i="13"/>
  <c r="M1553" i="14"/>
  <c r="K1364" i="13" l="1"/>
  <c r="L1364" i="13" s="1"/>
  <c r="I1365" i="13" s="1"/>
  <c r="K1386" i="14"/>
  <c r="L1386" i="14" s="1"/>
  <c r="I1387" i="14" s="1"/>
  <c r="M1553" i="13"/>
  <c r="M1554" i="14"/>
  <c r="J1549" i="14" a="1"/>
  <c r="J1549" i="14" s="1"/>
  <c r="N1550" i="14"/>
  <c r="J1550" i="13" a="1"/>
  <c r="J1550" i="13" s="1"/>
  <c r="N1551" i="13"/>
  <c r="K1387" i="14" l="1"/>
  <c r="L1387" i="14" s="1"/>
  <c r="I1388" i="14" s="1"/>
  <c r="K1365" i="13"/>
  <c r="L1365" i="13" s="1"/>
  <c r="I1366" i="13" s="1"/>
  <c r="M1555" i="14"/>
  <c r="J1551" i="13" a="1"/>
  <c r="J1551" i="13" s="1"/>
  <c r="N1552" i="13"/>
  <c r="J1550" i="14" a="1"/>
  <c r="J1550" i="14" s="1"/>
  <c r="N1551" i="14"/>
  <c r="M1554" i="13"/>
  <c r="K1366" i="13" l="1"/>
  <c r="L1366" i="13" s="1"/>
  <c r="I1367" i="13" s="1"/>
  <c r="J1552" i="13" a="1"/>
  <c r="J1552" i="13" s="1"/>
  <c r="N1553" i="13"/>
  <c r="M1555" i="13"/>
  <c r="J1551" i="14" a="1"/>
  <c r="J1551" i="14" s="1"/>
  <c r="N1552" i="14"/>
  <c r="M1556" i="14"/>
  <c r="K1388" i="14"/>
  <c r="L1388" i="14" s="1"/>
  <c r="I1389" i="14" s="1"/>
  <c r="K1389" i="14" l="1"/>
  <c r="L1389" i="14" s="1"/>
  <c r="I1390" i="14" s="1"/>
  <c r="K1367" i="13"/>
  <c r="L1367" i="13" s="1"/>
  <c r="I1368" i="13" s="1"/>
  <c r="N1553" i="14"/>
  <c r="J1552" i="14" a="1"/>
  <c r="J1552" i="14" s="1"/>
  <c r="N1554" i="13"/>
  <c r="J1553" i="13" a="1"/>
  <c r="J1553" i="13" s="1"/>
  <c r="M1557" i="14"/>
  <c r="M1556" i="13"/>
  <c r="K1368" i="13" l="1"/>
  <c r="L1368" i="13" s="1"/>
  <c r="I1369" i="13" s="1"/>
  <c r="K1390" i="14"/>
  <c r="L1390" i="14" s="1"/>
  <c r="I1391" i="14" s="1"/>
  <c r="M1557" i="13"/>
  <c r="J1554" i="13" a="1"/>
  <c r="J1554" i="13" s="1"/>
  <c r="N1555" i="13"/>
  <c r="M1558" i="14"/>
  <c r="J1553" i="14" a="1"/>
  <c r="J1553" i="14" s="1"/>
  <c r="N1554" i="14"/>
  <c r="K1391" i="14" l="1"/>
  <c r="L1391" i="14" s="1"/>
  <c r="I1392" i="14" s="1"/>
  <c r="K1369" i="13"/>
  <c r="L1369" i="13" s="1"/>
  <c r="I1370" i="13" s="1"/>
  <c r="J1555" i="13" a="1"/>
  <c r="J1555" i="13" s="1"/>
  <c r="N1556" i="13"/>
  <c r="J1554" i="14" a="1"/>
  <c r="J1554" i="14" s="1"/>
  <c r="N1555" i="14"/>
  <c r="M1559" i="14"/>
  <c r="M1558" i="13"/>
  <c r="K1392" i="14" l="1"/>
  <c r="L1392" i="14" s="1"/>
  <c r="I1393" i="14" s="1"/>
  <c r="K1370" i="13"/>
  <c r="L1370" i="13" s="1"/>
  <c r="I1371" i="13" s="1"/>
  <c r="M1560" i="14"/>
  <c r="J1555" i="14" a="1"/>
  <c r="J1555" i="14" s="1"/>
  <c r="N1556" i="14"/>
  <c r="M1559" i="13"/>
  <c r="J1556" i="13" a="1"/>
  <c r="J1556" i="13" s="1"/>
  <c r="N1557" i="13"/>
  <c r="K1371" i="13" l="1"/>
  <c r="L1371" i="13" s="1"/>
  <c r="I1372" i="13" s="1"/>
  <c r="K1393" i="14"/>
  <c r="L1393" i="14" s="1"/>
  <c r="I1394" i="14" s="1"/>
  <c r="N1557" i="14"/>
  <c r="J1556" i="14" a="1"/>
  <c r="J1556" i="14" s="1"/>
  <c r="N1558" i="13"/>
  <c r="J1557" i="13" a="1"/>
  <c r="J1557" i="13" s="1"/>
  <c r="M1560" i="13"/>
  <c r="M1561" i="14"/>
  <c r="K1394" i="14" l="1"/>
  <c r="L1394" i="14" s="1"/>
  <c r="I1395" i="14" s="1"/>
  <c r="K1372" i="13"/>
  <c r="L1372" i="13" s="1"/>
  <c r="I1373" i="13" s="1"/>
  <c r="J1558" i="13" a="1"/>
  <c r="J1558" i="13" s="1"/>
  <c r="N1559" i="13"/>
  <c r="M1562" i="14"/>
  <c r="M1561" i="13"/>
  <c r="J1557" i="14" a="1"/>
  <c r="J1557" i="14" s="1"/>
  <c r="N1558" i="14"/>
  <c r="K1373" i="13" l="1"/>
  <c r="L1373" i="13" s="1"/>
  <c r="I1374" i="13" s="1"/>
  <c r="K1395" i="14"/>
  <c r="L1395" i="14" s="1"/>
  <c r="I1396" i="14" s="1"/>
  <c r="M1563" i="14"/>
  <c r="J1558" i="14" a="1"/>
  <c r="J1558" i="14" s="1"/>
  <c r="N1559" i="14"/>
  <c r="J1559" i="13" a="1"/>
  <c r="J1559" i="13" s="1"/>
  <c r="N1560" i="13"/>
  <c r="M1562" i="13"/>
  <c r="K1396" i="14" l="1"/>
  <c r="L1396" i="14" s="1"/>
  <c r="I1397" i="14" s="1"/>
  <c r="K1374" i="13"/>
  <c r="L1374" i="13" s="1"/>
  <c r="I1375" i="13" s="1"/>
  <c r="J1560" i="13" a="1"/>
  <c r="J1560" i="13" s="1"/>
  <c r="N1561" i="13"/>
  <c r="M1564" i="14"/>
  <c r="J1559" i="14" a="1"/>
  <c r="J1559" i="14" s="1"/>
  <c r="N1560" i="14"/>
  <c r="M1563" i="13"/>
  <c r="K1375" i="13" l="1"/>
  <c r="L1375" i="13" s="1"/>
  <c r="I1376" i="13" s="1"/>
  <c r="K1397" i="14"/>
  <c r="L1397" i="14" s="1"/>
  <c r="I1398" i="14" s="1"/>
  <c r="M1564" i="13"/>
  <c r="M1565" i="14"/>
  <c r="N1562" i="13"/>
  <c r="J1561" i="13" a="1"/>
  <c r="J1561" i="13" s="1"/>
  <c r="N1561" i="14"/>
  <c r="J1560" i="14" a="1"/>
  <c r="J1560" i="14" s="1"/>
  <c r="K1398" i="14" l="1"/>
  <c r="L1398" i="14" s="1"/>
  <c r="I1399" i="14" s="1"/>
  <c r="K1376" i="13"/>
  <c r="L1376" i="13" s="1"/>
  <c r="I1377" i="13" s="1"/>
  <c r="J1561" i="14" a="1"/>
  <c r="J1561" i="14" s="1"/>
  <c r="N1562" i="14"/>
  <c r="M1566" i="14"/>
  <c r="M1565" i="13"/>
  <c r="J1562" i="13" a="1"/>
  <c r="J1562" i="13" s="1"/>
  <c r="N1563" i="13"/>
  <c r="K1399" i="14" l="1"/>
  <c r="L1399" i="14" s="1"/>
  <c r="I1400" i="14" s="1"/>
  <c r="K1377" i="13"/>
  <c r="L1377" i="13" s="1"/>
  <c r="I1378" i="13" s="1"/>
  <c r="M1566" i="13"/>
  <c r="J1563" i="13" a="1"/>
  <c r="J1563" i="13" s="1"/>
  <c r="N1564" i="13"/>
  <c r="M1567" i="14"/>
  <c r="J1562" i="14" a="1"/>
  <c r="J1562" i="14" s="1"/>
  <c r="N1563" i="14"/>
  <c r="K1378" i="13" l="1"/>
  <c r="L1378" i="13" s="1"/>
  <c r="I1379" i="13" s="1"/>
  <c r="K1400" i="14"/>
  <c r="L1400" i="14" s="1"/>
  <c r="I1401" i="14" s="1"/>
  <c r="J1564" i="13" a="1"/>
  <c r="J1564" i="13" s="1"/>
  <c r="N1565" i="13"/>
  <c r="J1563" i="14" a="1"/>
  <c r="J1563" i="14" s="1"/>
  <c r="N1564" i="14"/>
  <c r="M1568" i="14"/>
  <c r="M1567" i="13"/>
  <c r="K1401" i="14" l="1"/>
  <c r="L1401" i="14" s="1"/>
  <c r="I1402" i="14" s="1"/>
  <c r="M1569" i="14"/>
  <c r="N1565" i="14"/>
  <c r="J1564" i="14" a="1"/>
  <c r="J1564" i="14" s="1"/>
  <c r="M1568" i="13"/>
  <c r="N1566" i="13"/>
  <c r="J1565" i="13" a="1"/>
  <c r="J1565" i="13" s="1"/>
  <c r="K1379" i="13"/>
  <c r="L1379" i="13" s="1"/>
  <c r="I1380" i="13" s="1"/>
  <c r="K1380" i="13" l="1"/>
  <c r="L1380" i="13" s="1"/>
  <c r="I1381" i="13" s="1"/>
  <c r="K1402" i="14"/>
  <c r="L1402" i="14" s="1"/>
  <c r="I1403" i="14" s="1"/>
  <c r="M1569" i="13"/>
  <c r="J1566" i="13" a="1"/>
  <c r="J1566" i="13" s="1"/>
  <c r="N1567" i="13"/>
  <c r="M1570" i="14"/>
  <c r="J1565" i="14" a="1"/>
  <c r="J1565" i="14" s="1"/>
  <c r="N1566" i="14"/>
  <c r="K1403" i="14" l="1"/>
  <c r="L1403" i="14" s="1"/>
  <c r="I1404" i="14" s="1"/>
  <c r="K1381" i="13"/>
  <c r="L1381" i="13" s="1"/>
  <c r="I1382" i="13" s="1"/>
  <c r="J1567" i="13" a="1"/>
  <c r="J1567" i="13" s="1"/>
  <c r="N1568" i="13"/>
  <c r="J1566" i="14" a="1"/>
  <c r="J1566" i="14" s="1"/>
  <c r="N1567" i="14"/>
  <c r="M1571" i="14"/>
  <c r="M1570" i="13"/>
  <c r="K1382" i="13" l="1"/>
  <c r="L1382" i="13" s="1"/>
  <c r="I1383" i="13" s="1"/>
  <c r="K1404" i="14"/>
  <c r="L1404" i="14" s="1"/>
  <c r="I1405" i="14" s="1"/>
  <c r="J1567" i="14" a="1"/>
  <c r="J1567" i="14" s="1"/>
  <c r="N1568" i="14"/>
  <c r="J1568" i="13" a="1"/>
  <c r="J1568" i="13" s="1"/>
  <c r="N1569" i="13"/>
  <c r="M1571" i="13"/>
  <c r="M1572" i="14"/>
  <c r="K1405" i="14" l="1"/>
  <c r="L1405" i="14" s="1"/>
  <c r="I1406" i="14" s="1"/>
  <c r="K1383" i="13"/>
  <c r="L1383" i="13" s="1"/>
  <c r="I1384" i="13" s="1"/>
  <c r="N1570" i="13"/>
  <c r="J1569" i="13" a="1"/>
  <c r="J1569" i="13" s="1"/>
  <c r="N1569" i="14"/>
  <c r="J1568" i="14" a="1"/>
  <c r="J1568" i="14" s="1"/>
  <c r="M1573" i="14"/>
  <c r="M1572" i="13"/>
  <c r="K1406" i="14" l="1"/>
  <c r="L1406" i="14" s="1"/>
  <c r="I1407" i="14" s="1"/>
  <c r="M1573" i="13"/>
  <c r="K1384" i="13"/>
  <c r="L1384" i="13" s="1"/>
  <c r="I1385" i="13" s="1"/>
  <c r="J1569" i="14" a="1"/>
  <c r="J1569" i="14" s="1"/>
  <c r="N1570" i="14"/>
  <c r="M1574" i="14"/>
  <c r="J1570" i="13" a="1"/>
  <c r="J1570" i="13" s="1"/>
  <c r="N1571" i="13"/>
  <c r="K1407" i="14" l="1"/>
  <c r="L1407" i="14" s="1"/>
  <c r="I1408" i="14" s="1"/>
  <c r="K1385" i="13"/>
  <c r="L1385" i="13" s="1"/>
  <c r="I1386" i="13" s="1"/>
  <c r="J1570" i="14" a="1"/>
  <c r="J1570" i="14" s="1"/>
  <c r="N1571" i="14"/>
  <c r="J1571" i="13" a="1"/>
  <c r="J1571" i="13" s="1"/>
  <c r="N1572" i="13"/>
  <c r="M1574" i="13"/>
  <c r="M1575" i="14"/>
  <c r="K1408" i="14" l="1"/>
  <c r="L1408" i="14" s="1"/>
  <c r="I1409" i="14" s="1"/>
  <c r="M1576" i="14"/>
  <c r="J1572" i="13" a="1"/>
  <c r="J1572" i="13" s="1"/>
  <c r="N1573" i="13"/>
  <c r="K1386" i="13"/>
  <c r="L1386" i="13" s="1"/>
  <c r="I1387" i="13" s="1"/>
  <c r="J1571" i="14" a="1"/>
  <c r="J1571" i="14" s="1"/>
  <c r="N1572" i="14"/>
  <c r="M1575" i="13"/>
  <c r="K1387" i="13" l="1"/>
  <c r="L1387" i="13" s="1"/>
  <c r="I1388" i="13" s="1"/>
  <c r="K1409" i="14"/>
  <c r="L1409" i="14" s="1"/>
  <c r="I1410" i="14" s="1"/>
  <c r="N1574" i="13"/>
  <c r="J1573" i="13" a="1"/>
  <c r="J1573" i="13" s="1"/>
  <c r="M1576" i="13"/>
  <c r="M1577" i="14"/>
  <c r="N1573" i="14"/>
  <c r="J1572" i="14" a="1"/>
  <c r="J1572" i="14" s="1"/>
  <c r="K1410" i="14" l="1"/>
  <c r="L1410" i="14" s="1"/>
  <c r="I1411" i="14" s="1"/>
  <c r="K1388" i="13"/>
  <c r="L1388" i="13" s="1"/>
  <c r="I1389" i="13" s="1"/>
  <c r="M1577" i="13"/>
  <c r="J1573" i="14" a="1"/>
  <c r="J1573" i="14" s="1"/>
  <c r="N1574" i="14"/>
  <c r="M1578" i="14"/>
  <c r="J1574" i="13" a="1"/>
  <c r="J1574" i="13" s="1"/>
  <c r="N1575" i="13"/>
  <c r="K1389" i="13" l="1"/>
  <c r="L1389" i="13" s="1"/>
  <c r="I1390" i="13" s="1"/>
  <c r="J1575" i="13" a="1"/>
  <c r="J1575" i="13" s="1"/>
  <c r="N1576" i="13"/>
  <c r="J1574" i="14" a="1"/>
  <c r="J1574" i="14" s="1"/>
  <c r="N1575" i="14"/>
  <c r="M1579" i="14"/>
  <c r="M1578" i="13"/>
  <c r="K1411" i="14"/>
  <c r="L1411" i="14" s="1"/>
  <c r="I1412" i="14" s="1"/>
  <c r="K1390" i="13" l="1"/>
  <c r="L1390" i="13" s="1"/>
  <c r="I1391" i="13" s="1"/>
  <c r="M1579" i="13"/>
  <c r="M1580" i="14"/>
  <c r="J1576" i="13" a="1"/>
  <c r="J1576" i="13" s="1"/>
  <c r="N1577" i="13"/>
  <c r="J1575" i="14" a="1"/>
  <c r="J1575" i="14" s="1"/>
  <c r="N1576" i="14"/>
  <c r="K1412" i="14"/>
  <c r="L1412" i="14" s="1"/>
  <c r="I1413" i="14" s="1"/>
  <c r="K1391" i="13" l="1"/>
  <c r="L1391" i="13" s="1"/>
  <c r="I1392" i="13" s="1"/>
  <c r="K1413" i="14"/>
  <c r="L1413" i="14" s="1"/>
  <c r="I1414" i="14" s="1"/>
  <c r="M1580" i="13"/>
  <c r="N1578" i="13"/>
  <c r="J1577" i="13" a="1"/>
  <c r="J1577" i="13" s="1"/>
  <c r="N1577" i="14"/>
  <c r="J1576" i="14" a="1"/>
  <c r="J1576" i="14" s="1"/>
  <c r="M1581" i="14"/>
  <c r="K1414" i="14" l="1"/>
  <c r="L1414" i="14" s="1"/>
  <c r="I1415" i="14" s="1"/>
  <c r="K1392" i="13"/>
  <c r="L1392" i="13" s="1"/>
  <c r="I1393" i="13" s="1"/>
  <c r="M1582" i="14"/>
  <c r="J1578" i="13" a="1"/>
  <c r="J1578" i="13" s="1"/>
  <c r="N1579" i="13"/>
  <c r="M1581" i="13"/>
  <c r="J1577" i="14" a="1"/>
  <c r="J1577" i="14" s="1"/>
  <c r="N1578" i="14"/>
  <c r="K1415" i="14" l="1"/>
  <c r="L1415" i="14" s="1"/>
  <c r="I1416" i="14" s="1"/>
  <c r="K1393" i="13"/>
  <c r="L1393" i="13" s="1"/>
  <c r="I1394" i="13" s="1"/>
  <c r="J1578" i="14" a="1"/>
  <c r="J1578" i="14" s="1"/>
  <c r="N1579" i="14"/>
  <c r="J1579" i="13" a="1"/>
  <c r="J1579" i="13" s="1"/>
  <c r="N1580" i="13"/>
  <c r="M1582" i="13"/>
  <c r="M1583" i="14"/>
  <c r="K1394" i="13" l="1"/>
  <c r="L1394" i="13" s="1"/>
  <c r="I1395" i="13" s="1"/>
  <c r="K1416" i="14"/>
  <c r="L1416" i="14" s="1"/>
  <c r="I1417" i="14" s="1"/>
  <c r="M1584" i="14"/>
  <c r="J1580" i="13" a="1"/>
  <c r="J1580" i="13" s="1"/>
  <c r="N1581" i="13"/>
  <c r="J1579" i="14" a="1"/>
  <c r="J1579" i="14" s="1"/>
  <c r="N1580" i="14"/>
  <c r="M1583" i="13"/>
  <c r="K1395" i="13" l="1"/>
  <c r="L1395" i="13" s="1"/>
  <c r="I1396" i="13" s="1"/>
  <c r="N1581" i="14"/>
  <c r="J1580" i="14" a="1"/>
  <c r="J1580" i="14" s="1"/>
  <c r="N1582" i="13"/>
  <c r="J1581" i="13" a="1"/>
  <c r="J1581" i="13" s="1"/>
  <c r="K1417" i="14"/>
  <c r="L1417" i="14" s="1"/>
  <c r="I1418" i="14" s="1"/>
  <c r="M1584" i="13"/>
  <c r="M1585" i="14"/>
  <c r="K1418" i="14" l="1"/>
  <c r="L1418" i="14" s="1"/>
  <c r="I1419" i="14" s="1"/>
  <c r="K1396" i="13"/>
  <c r="L1396" i="13" s="1"/>
  <c r="I1397" i="13" s="1"/>
  <c r="J1581" i="14" a="1"/>
  <c r="J1581" i="14" s="1"/>
  <c r="N1582" i="14"/>
  <c r="M1586" i="14"/>
  <c r="M1585" i="13"/>
  <c r="J1582" i="13" a="1"/>
  <c r="J1582" i="13" s="1"/>
  <c r="N1583" i="13"/>
  <c r="K1419" i="14" l="1"/>
  <c r="L1419" i="14" s="1"/>
  <c r="I1420" i="14" s="1"/>
  <c r="K1397" i="13"/>
  <c r="L1397" i="13" s="1"/>
  <c r="I1398" i="13" s="1"/>
  <c r="J1583" i="13" a="1"/>
  <c r="J1583" i="13" s="1"/>
  <c r="N1584" i="13"/>
  <c r="M1587" i="14"/>
  <c r="J1582" i="14" a="1"/>
  <c r="J1582" i="14" s="1"/>
  <c r="N1583" i="14"/>
  <c r="M1586" i="13"/>
  <c r="K1398" i="13" l="1"/>
  <c r="L1398" i="13" s="1"/>
  <c r="I1399" i="13" s="1"/>
  <c r="K1420" i="14"/>
  <c r="L1420" i="14" s="1"/>
  <c r="I1421" i="14" s="1"/>
  <c r="J1584" i="13" a="1"/>
  <c r="J1584" i="13" s="1"/>
  <c r="N1585" i="13"/>
  <c r="M1588" i="14"/>
  <c r="M1587" i="13"/>
  <c r="J1583" i="14" a="1"/>
  <c r="J1583" i="14" s="1"/>
  <c r="N1584" i="14"/>
  <c r="K1421" i="14" l="1"/>
  <c r="L1421" i="14" s="1"/>
  <c r="I1422" i="14" s="1"/>
  <c r="N1585" i="14"/>
  <c r="J1584" i="14" a="1"/>
  <c r="J1584" i="14" s="1"/>
  <c r="M1588" i="13"/>
  <c r="M1589" i="14"/>
  <c r="N1586" i="13"/>
  <c r="J1585" i="13" a="1"/>
  <c r="J1585" i="13" s="1"/>
  <c r="K1399" i="13"/>
  <c r="L1399" i="13" s="1"/>
  <c r="I1400" i="13" s="1"/>
  <c r="K1400" i="13" l="1"/>
  <c r="L1400" i="13" s="1"/>
  <c r="I1401" i="13" s="1"/>
  <c r="K1422" i="14"/>
  <c r="L1422" i="14" s="1"/>
  <c r="I1423" i="14" s="1"/>
  <c r="M1590" i="14"/>
  <c r="J1585" i="14" a="1"/>
  <c r="J1585" i="14" s="1"/>
  <c r="N1586" i="14"/>
  <c r="M1589" i="13"/>
  <c r="J1586" i="13" a="1"/>
  <c r="J1586" i="13" s="1"/>
  <c r="N1587" i="13"/>
  <c r="K1423" i="14" l="1"/>
  <c r="L1423" i="14" s="1"/>
  <c r="I1424" i="14" s="1"/>
  <c r="K1401" i="13"/>
  <c r="L1401" i="13" s="1"/>
  <c r="I1402" i="13" s="1"/>
  <c r="J1586" i="14" a="1"/>
  <c r="J1586" i="14" s="1"/>
  <c r="N1587" i="14"/>
  <c r="J1587" i="13" a="1"/>
  <c r="J1587" i="13" s="1"/>
  <c r="N1588" i="13"/>
  <c r="M1590" i="13"/>
  <c r="M1591" i="14"/>
  <c r="K1402" i="13" l="1"/>
  <c r="L1402" i="13" s="1"/>
  <c r="I1403" i="13" s="1"/>
  <c r="K1424" i="14"/>
  <c r="L1424" i="14" s="1"/>
  <c r="I1425" i="14" s="1"/>
  <c r="M1592" i="14"/>
  <c r="J1588" i="13" a="1"/>
  <c r="J1588" i="13" s="1"/>
  <c r="N1589" i="13"/>
  <c r="J1587" i="14" a="1"/>
  <c r="J1587" i="14" s="1"/>
  <c r="N1588" i="14"/>
  <c r="M1591" i="13"/>
  <c r="K1425" i="14" l="1"/>
  <c r="L1425" i="14" s="1"/>
  <c r="I1426" i="14" s="1"/>
  <c r="K1403" i="13"/>
  <c r="L1403" i="13" s="1"/>
  <c r="I1404" i="13" s="1"/>
  <c r="N1590" i="13"/>
  <c r="J1589" i="13" a="1"/>
  <c r="J1589" i="13" s="1"/>
  <c r="M1592" i="13"/>
  <c r="N1589" i="14"/>
  <c r="J1588" i="14" a="1"/>
  <c r="J1588" i="14" s="1"/>
  <c r="M1593" i="14"/>
  <c r="K1426" i="14" l="1"/>
  <c r="L1426" i="14" s="1"/>
  <c r="I1427" i="14" s="1"/>
  <c r="K1404" i="13"/>
  <c r="L1404" i="13" s="1"/>
  <c r="I1405" i="13" s="1"/>
  <c r="J1589" i="14" a="1"/>
  <c r="J1589" i="14" s="1"/>
  <c r="N1590" i="14"/>
  <c r="M1593" i="13"/>
  <c r="M1594" i="14"/>
  <c r="J1590" i="13" a="1"/>
  <c r="J1590" i="13" s="1"/>
  <c r="N1591" i="13"/>
  <c r="K1427" i="14" l="1"/>
  <c r="L1427" i="14" s="1"/>
  <c r="I1428" i="14" s="1"/>
  <c r="K1405" i="13"/>
  <c r="L1405" i="13" s="1"/>
  <c r="I1406" i="13" s="1"/>
  <c r="M1594" i="13"/>
  <c r="J1590" i="14" a="1"/>
  <c r="J1590" i="14" s="1"/>
  <c r="N1591" i="14"/>
  <c r="J1591" i="13" a="1"/>
  <c r="J1591" i="13" s="1"/>
  <c r="N1592" i="13"/>
  <c r="M1595" i="14"/>
  <c r="K1406" i="13" l="1"/>
  <c r="L1406" i="13" s="1"/>
  <c r="I1407" i="13" s="1"/>
  <c r="K1428" i="14"/>
  <c r="L1428" i="14" s="1"/>
  <c r="I1429" i="14" s="1"/>
  <c r="J1592" i="13" a="1"/>
  <c r="J1592" i="13" s="1"/>
  <c r="N1593" i="13"/>
  <c r="M1596" i="14"/>
  <c r="J1591" i="14" a="1"/>
  <c r="J1591" i="14" s="1"/>
  <c r="N1592" i="14"/>
  <c r="M1595" i="13"/>
  <c r="K1429" i="14" l="1"/>
  <c r="L1429" i="14" s="1"/>
  <c r="I1430" i="14" s="1"/>
  <c r="K1407" i="13"/>
  <c r="L1407" i="13" s="1"/>
  <c r="I1408" i="13" s="1"/>
  <c r="N1594" i="13"/>
  <c r="J1593" i="13" a="1"/>
  <c r="J1593" i="13" s="1"/>
  <c r="M1596" i="13"/>
  <c r="M1597" i="14"/>
  <c r="N1593" i="14"/>
  <c r="J1592" i="14" a="1"/>
  <c r="J1592" i="14" s="1"/>
  <c r="K1430" i="14" l="1"/>
  <c r="L1430" i="14" s="1"/>
  <c r="I1431" i="14" s="1"/>
  <c r="M1597" i="13"/>
  <c r="J1593" i="14" a="1"/>
  <c r="J1593" i="14" s="1"/>
  <c r="N1594" i="14"/>
  <c r="K1408" i="13"/>
  <c r="L1408" i="13" s="1"/>
  <c r="I1409" i="13" s="1"/>
  <c r="M1598" i="14"/>
  <c r="J1594" i="13" a="1"/>
  <c r="J1594" i="13" s="1"/>
  <c r="N1595" i="13"/>
  <c r="K1431" i="14" l="1"/>
  <c r="L1431" i="14" s="1"/>
  <c r="I1432" i="14" s="1"/>
  <c r="M1599" i="14"/>
  <c r="J1595" i="13" a="1"/>
  <c r="J1595" i="13" s="1"/>
  <c r="N1596" i="13"/>
  <c r="K1409" i="13"/>
  <c r="L1409" i="13" s="1"/>
  <c r="I1410" i="13" s="1"/>
  <c r="M1598" i="13"/>
  <c r="J1594" i="14" a="1"/>
  <c r="J1594" i="14" s="1"/>
  <c r="N1595" i="14"/>
  <c r="K1410" i="13" l="1"/>
  <c r="L1410" i="13" s="1"/>
  <c r="I1411" i="13" s="1"/>
  <c r="K1432" i="14"/>
  <c r="L1432" i="14" s="1"/>
  <c r="I1433" i="14" s="1"/>
  <c r="M1600" i="14"/>
  <c r="J1596" i="13" a="1"/>
  <c r="J1596" i="13" s="1"/>
  <c r="N1597" i="13"/>
  <c r="J1595" i="14" a="1"/>
  <c r="J1595" i="14" s="1"/>
  <c r="N1596" i="14"/>
  <c r="M1599" i="13"/>
  <c r="K1411" i="13" l="1"/>
  <c r="L1411" i="13" s="1"/>
  <c r="I1412" i="13" s="1"/>
  <c r="N1598" i="13"/>
  <c r="J1597" i="13" a="1"/>
  <c r="J1597" i="13" s="1"/>
  <c r="N1597" i="14"/>
  <c r="J1596" i="14" a="1"/>
  <c r="J1596" i="14" s="1"/>
  <c r="M1600" i="13"/>
  <c r="K1433" i="14"/>
  <c r="L1433" i="14" s="1"/>
  <c r="I1434" i="14" s="1"/>
  <c r="M1601" i="14"/>
  <c r="K1434" i="14" l="1"/>
  <c r="L1434" i="14" s="1"/>
  <c r="I1435" i="14" s="1"/>
  <c r="K1412" i="13"/>
  <c r="L1412" i="13" s="1"/>
  <c r="I1413" i="13" s="1"/>
  <c r="M1602" i="14"/>
  <c r="J1598" i="13" a="1"/>
  <c r="J1598" i="13" s="1"/>
  <c r="N1599" i="13"/>
  <c r="M1601" i="13"/>
  <c r="J1597" i="14" a="1"/>
  <c r="J1597" i="14" s="1"/>
  <c r="N1598" i="14"/>
  <c r="K1435" i="14" l="1"/>
  <c r="L1435" i="14" s="1"/>
  <c r="I1436" i="14" s="1"/>
  <c r="J1599" i="13" a="1"/>
  <c r="J1599" i="13" s="1"/>
  <c r="N1600" i="13"/>
  <c r="J1598" i="14" a="1"/>
  <c r="J1598" i="14" s="1"/>
  <c r="N1599" i="14"/>
  <c r="K1413" i="13"/>
  <c r="L1413" i="13" s="1"/>
  <c r="I1414" i="13" s="1"/>
  <c r="M1602" i="13"/>
  <c r="M1603" i="14"/>
  <c r="K1436" i="14" l="1"/>
  <c r="L1436" i="14" s="1"/>
  <c r="I1437" i="14" s="1"/>
  <c r="M1604" i="14"/>
  <c r="J1600" i="13" a="1"/>
  <c r="J1600" i="13" s="1"/>
  <c r="N1601" i="13"/>
  <c r="J1599" i="14" a="1"/>
  <c r="J1599" i="14" s="1"/>
  <c r="N1600" i="14"/>
  <c r="K1414" i="13"/>
  <c r="L1414" i="13" s="1"/>
  <c r="I1415" i="13" s="1"/>
  <c r="M1603" i="13"/>
  <c r="K1437" i="14" l="1"/>
  <c r="L1437" i="14" s="1"/>
  <c r="I1438" i="14" s="1"/>
  <c r="N1601" i="14"/>
  <c r="J1600" i="14" a="1"/>
  <c r="J1600" i="14" s="1"/>
  <c r="M1605" i="14"/>
  <c r="N1602" i="13"/>
  <c r="J1601" i="13" a="1"/>
  <c r="J1601" i="13" s="1"/>
  <c r="M1604" i="13"/>
  <c r="K1415" i="13"/>
  <c r="L1415" i="13" s="1"/>
  <c r="I1416" i="13" s="1"/>
  <c r="K1416" i="13" l="1"/>
  <c r="L1416" i="13" s="1"/>
  <c r="I1417" i="13" s="1"/>
  <c r="K1438" i="14"/>
  <c r="L1438" i="14" s="1"/>
  <c r="I1439" i="14" s="1"/>
  <c r="J1601" i="14" a="1"/>
  <c r="J1601" i="14" s="1"/>
  <c r="N1602" i="14"/>
  <c r="J1602" i="13" a="1"/>
  <c r="J1602" i="13" s="1"/>
  <c r="N1603" i="13"/>
  <c r="M1605" i="13"/>
  <c r="M1606" i="14"/>
  <c r="K1439" i="14" l="1"/>
  <c r="L1439" i="14" s="1"/>
  <c r="I1440" i="14" s="1"/>
  <c r="K1417" i="13"/>
  <c r="L1417" i="13" s="1"/>
  <c r="I1418" i="13" s="1"/>
  <c r="J1603" i="13" a="1"/>
  <c r="J1603" i="13" s="1"/>
  <c r="N1604" i="13"/>
  <c r="M1606" i="13"/>
  <c r="M1607" i="14"/>
  <c r="J1602" i="14" a="1"/>
  <c r="J1602" i="14" s="1"/>
  <c r="N1603" i="14"/>
  <c r="K1440" i="14" l="1"/>
  <c r="L1440" i="14" s="1"/>
  <c r="I1441" i="14" s="1"/>
  <c r="M1607" i="13"/>
  <c r="J1604" i="13" a="1"/>
  <c r="J1604" i="13" s="1"/>
  <c r="N1605" i="13"/>
  <c r="J1603" i="14" a="1"/>
  <c r="J1603" i="14" s="1"/>
  <c r="N1604" i="14"/>
  <c r="K1418" i="13"/>
  <c r="L1418" i="13" s="1"/>
  <c r="I1419" i="13" s="1"/>
  <c r="M1608" i="14"/>
  <c r="K1419" i="13" l="1"/>
  <c r="L1419" i="13" s="1"/>
  <c r="I1420" i="13" s="1"/>
  <c r="K1441" i="14"/>
  <c r="L1441" i="14" s="1"/>
  <c r="I1442" i="14" s="1"/>
  <c r="N1605" i="14"/>
  <c r="J1604" i="14" a="1"/>
  <c r="J1604" i="14" s="1"/>
  <c r="M1609" i="14"/>
  <c r="M1608" i="13"/>
  <c r="N1606" i="13"/>
  <c r="J1605" i="13" a="1"/>
  <c r="J1605" i="13" s="1"/>
  <c r="K1442" i="14" l="1"/>
  <c r="L1442" i="14" s="1"/>
  <c r="I1443" i="14" s="1"/>
  <c r="K1420" i="13"/>
  <c r="L1420" i="13" s="1"/>
  <c r="I1421" i="13" s="1"/>
  <c r="J1606" i="13" a="1"/>
  <c r="J1606" i="13" s="1"/>
  <c r="N1607" i="13"/>
  <c r="M1610" i="14"/>
  <c r="M1609" i="13"/>
  <c r="J1605" i="14" a="1"/>
  <c r="J1605" i="14" s="1"/>
  <c r="N1606" i="14"/>
  <c r="K1421" i="13" l="1"/>
  <c r="L1421" i="13" s="1"/>
  <c r="I1422" i="13" s="1"/>
  <c r="K1443" i="14"/>
  <c r="L1443" i="14" s="1"/>
  <c r="I1444" i="14" s="1"/>
  <c r="M1611" i="14"/>
  <c r="J1607" i="13" a="1"/>
  <c r="J1607" i="13" s="1"/>
  <c r="N1608" i="13"/>
  <c r="J1606" i="14" a="1"/>
  <c r="J1606" i="14" s="1"/>
  <c r="N1607" i="14"/>
  <c r="M1610" i="13"/>
  <c r="K1422" i="13" l="1"/>
  <c r="L1422" i="13" s="1"/>
  <c r="I1423" i="13" s="1"/>
  <c r="J1608" i="13" a="1"/>
  <c r="J1608" i="13" s="1"/>
  <c r="N1609" i="13"/>
  <c r="M1611" i="13"/>
  <c r="J1607" i="14" a="1"/>
  <c r="J1607" i="14" s="1"/>
  <c r="N1608" i="14"/>
  <c r="M1612" i="14"/>
  <c r="K1444" i="14"/>
  <c r="L1444" i="14" s="1"/>
  <c r="I1445" i="14" s="1"/>
  <c r="K1445" i="14" l="1"/>
  <c r="L1445" i="14" s="1"/>
  <c r="I1446" i="14" s="1"/>
  <c r="K1423" i="13"/>
  <c r="L1423" i="13" s="1"/>
  <c r="I1424" i="13" s="1"/>
  <c r="N1609" i="14"/>
  <c r="J1608" i="14" a="1"/>
  <c r="J1608" i="14" s="1"/>
  <c r="N1610" i="13"/>
  <c r="J1609" i="13" a="1"/>
  <c r="J1609" i="13" s="1"/>
  <c r="M1613" i="14"/>
  <c r="M1612" i="13"/>
  <c r="K1446" i="14" l="1"/>
  <c r="L1446" i="14" s="1"/>
  <c r="I1447" i="14" s="1"/>
  <c r="M1614" i="14"/>
  <c r="M1613" i="13"/>
  <c r="K1424" i="13"/>
  <c r="L1424" i="13" s="1"/>
  <c r="I1425" i="13" s="1"/>
  <c r="J1610" i="13" a="1"/>
  <c r="J1610" i="13" s="1"/>
  <c r="N1611" i="13"/>
  <c r="J1609" i="14" a="1"/>
  <c r="J1609" i="14" s="1"/>
  <c r="N1610" i="14"/>
  <c r="K1425" i="13" l="1"/>
  <c r="L1425" i="13" s="1"/>
  <c r="I1426" i="13" s="1"/>
  <c r="K1447" i="14"/>
  <c r="L1447" i="14" s="1"/>
  <c r="I1448" i="14" s="1"/>
  <c r="J1610" i="14" a="1"/>
  <c r="J1610" i="14" s="1"/>
  <c r="N1611" i="14"/>
  <c r="M1615" i="14"/>
  <c r="J1611" i="13" a="1"/>
  <c r="J1611" i="13" s="1"/>
  <c r="N1612" i="13"/>
  <c r="M1614" i="13"/>
  <c r="K1448" i="14" l="1"/>
  <c r="L1448" i="14" s="1"/>
  <c r="I1449" i="14" s="1"/>
  <c r="K1426" i="13"/>
  <c r="L1426" i="13" s="1"/>
  <c r="I1427" i="13" s="1"/>
  <c r="M1616" i="14"/>
  <c r="J1612" i="13" a="1"/>
  <c r="J1612" i="13" s="1"/>
  <c r="N1613" i="13"/>
  <c r="M1615" i="13"/>
  <c r="J1611" i="14" a="1"/>
  <c r="J1611" i="14" s="1"/>
  <c r="N1612" i="14"/>
  <c r="K1427" i="13" l="1"/>
  <c r="L1427" i="13" s="1"/>
  <c r="I1428" i="13" s="1"/>
  <c r="K1449" i="14"/>
  <c r="L1449" i="14" s="1"/>
  <c r="I1450" i="14" s="1"/>
  <c r="N1613" i="14"/>
  <c r="J1612" i="14" a="1"/>
  <c r="J1612" i="14" s="1"/>
  <c r="N1614" i="13"/>
  <c r="J1613" i="13" a="1"/>
  <c r="J1613" i="13" s="1"/>
  <c r="M1616" i="13"/>
  <c r="M1617" i="14"/>
  <c r="K1450" i="14" l="1"/>
  <c r="L1450" i="14" s="1"/>
  <c r="I1451" i="14" s="1"/>
  <c r="K1428" i="13"/>
  <c r="L1428" i="13" s="1"/>
  <c r="I1429" i="13" s="1"/>
  <c r="M1618" i="14"/>
  <c r="J1614" i="13" a="1"/>
  <c r="J1614" i="13" s="1"/>
  <c r="N1615" i="13"/>
  <c r="M1617" i="13"/>
  <c r="J1613" i="14" a="1"/>
  <c r="J1613" i="14" s="1"/>
  <c r="N1614" i="14"/>
  <c r="K1451" i="14" l="1"/>
  <c r="L1451" i="14" s="1"/>
  <c r="I1452" i="14" s="1"/>
  <c r="K1429" i="13"/>
  <c r="L1429" i="13" s="1"/>
  <c r="I1430" i="13" s="1"/>
  <c r="J1614" i="14" a="1"/>
  <c r="J1614" i="14" s="1"/>
  <c r="N1615" i="14"/>
  <c r="J1615" i="13" a="1"/>
  <c r="J1615" i="13" s="1"/>
  <c r="N1616" i="13"/>
  <c r="M1618" i="13"/>
  <c r="M1619" i="14"/>
  <c r="K1430" i="13" l="1"/>
  <c r="L1430" i="13" s="1"/>
  <c r="I1431" i="13" s="1"/>
  <c r="K1452" i="14"/>
  <c r="L1452" i="14" s="1"/>
  <c r="I1453" i="14" s="1"/>
  <c r="M1620" i="14"/>
  <c r="J1616" i="13" a="1"/>
  <c r="J1616" i="13" s="1"/>
  <c r="N1617" i="13"/>
  <c r="J1615" i="14" a="1"/>
  <c r="J1615" i="14" s="1"/>
  <c r="N1616" i="14"/>
  <c r="M1619" i="13"/>
  <c r="K1453" i="14" l="1"/>
  <c r="L1453" i="14" s="1"/>
  <c r="I1454" i="14" s="1"/>
  <c r="K1431" i="13"/>
  <c r="L1431" i="13" s="1"/>
  <c r="I1432" i="13" s="1"/>
  <c r="N1618" i="13"/>
  <c r="J1617" i="13" a="1"/>
  <c r="J1617" i="13" s="1"/>
  <c r="N1617" i="14"/>
  <c r="J1616" i="14" a="1"/>
  <c r="J1616" i="14" s="1"/>
  <c r="M1620" i="13"/>
  <c r="M1621" i="14"/>
  <c r="K1432" i="13" l="1"/>
  <c r="L1432" i="13" s="1"/>
  <c r="I1433" i="13" s="1"/>
  <c r="K1454" i="14"/>
  <c r="L1454" i="14" s="1"/>
  <c r="I1455" i="14" s="1"/>
  <c r="J1617" i="14" a="1"/>
  <c r="J1617" i="14" s="1"/>
  <c r="N1618" i="14"/>
  <c r="M1622" i="14"/>
  <c r="M1621" i="13"/>
  <c r="J1618" i="13" a="1"/>
  <c r="J1618" i="13" s="1"/>
  <c r="N1619" i="13"/>
  <c r="K1455" i="14" l="1"/>
  <c r="L1455" i="14" s="1"/>
  <c r="I1456" i="14" s="1"/>
  <c r="K1433" i="13"/>
  <c r="L1433" i="13" s="1"/>
  <c r="I1434" i="13" s="1"/>
  <c r="J1619" i="13" a="1"/>
  <c r="J1619" i="13" s="1"/>
  <c r="N1620" i="13"/>
  <c r="M1623" i="14"/>
  <c r="J1618" i="14" a="1"/>
  <c r="J1618" i="14" s="1"/>
  <c r="N1619" i="14"/>
  <c r="M1622" i="13"/>
  <c r="K1456" i="14" l="1"/>
  <c r="L1456" i="14" s="1"/>
  <c r="I1457" i="14" s="1"/>
  <c r="J1620" i="13" a="1"/>
  <c r="J1620" i="13" s="1"/>
  <c r="N1621" i="13"/>
  <c r="M1624" i="14"/>
  <c r="J1619" i="14" a="1"/>
  <c r="J1619" i="14" s="1"/>
  <c r="N1620" i="14"/>
  <c r="M1623" i="13"/>
  <c r="K1434" i="13"/>
  <c r="L1434" i="13" s="1"/>
  <c r="I1435" i="13" s="1"/>
  <c r="K1435" i="13" l="1"/>
  <c r="L1435" i="13" s="1"/>
  <c r="I1436" i="13" s="1"/>
  <c r="K1457" i="14"/>
  <c r="L1457" i="14" s="1"/>
  <c r="I1458" i="14" s="1"/>
  <c r="N1621" i="14"/>
  <c r="J1620" i="14" a="1"/>
  <c r="J1620" i="14" s="1"/>
  <c r="N1622" i="13"/>
  <c r="J1621" i="13" a="1"/>
  <c r="J1621" i="13" s="1"/>
  <c r="M1624" i="13"/>
  <c r="M1625" i="14"/>
  <c r="K1436" i="13" l="1"/>
  <c r="L1436" i="13" s="1"/>
  <c r="I1437" i="13" s="1"/>
  <c r="J1622" i="13" a="1"/>
  <c r="J1622" i="13" s="1"/>
  <c r="N1623" i="13"/>
  <c r="M1626" i="14"/>
  <c r="K1458" i="14"/>
  <c r="L1458" i="14" s="1"/>
  <c r="I1459" i="14" s="1"/>
  <c r="M1625" i="13"/>
  <c r="J1621" i="14" a="1"/>
  <c r="J1621" i="14" s="1"/>
  <c r="N1622" i="14"/>
  <c r="K1459" i="14" l="1"/>
  <c r="L1459" i="14" s="1"/>
  <c r="I1460" i="14" s="1"/>
  <c r="K1437" i="13"/>
  <c r="L1437" i="13" s="1"/>
  <c r="I1438" i="13" s="1"/>
  <c r="J1623" i="13" a="1"/>
  <c r="J1623" i="13" s="1"/>
  <c r="N1624" i="13"/>
  <c r="J1622" i="14" a="1"/>
  <c r="J1622" i="14" s="1"/>
  <c r="N1623" i="14"/>
  <c r="M1626" i="13"/>
  <c r="M1627" i="14"/>
  <c r="K1438" i="13" l="1"/>
  <c r="L1438" i="13" s="1"/>
  <c r="I1439" i="13" s="1"/>
  <c r="K1460" i="14"/>
  <c r="L1460" i="14" s="1"/>
  <c r="I1461" i="14" s="1"/>
  <c r="M1628" i="14"/>
  <c r="J1623" i="14" a="1"/>
  <c r="J1623" i="14" s="1"/>
  <c r="N1624" i="14"/>
  <c r="J1624" i="13" a="1"/>
  <c r="J1624" i="13" s="1"/>
  <c r="N1625" i="13"/>
  <c r="M1627" i="13"/>
  <c r="K1461" i="14" l="1"/>
  <c r="L1461" i="14" s="1"/>
  <c r="I1462" i="14" s="1"/>
  <c r="K1439" i="13"/>
  <c r="L1439" i="13" s="1"/>
  <c r="I1440" i="13" s="1"/>
  <c r="N1625" i="14"/>
  <c r="J1624" i="14" a="1"/>
  <c r="J1624" i="14" s="1"/>
  <c r="M1628" i="13"/>
  <c r="N1626" i="13"/>
  <c r="J1625" i="13" a="1"/>
  <c r="J1625" i="13" s="1"/>
  <c r="M1629" i="14"/>
  <c r="K1440" i="13" l="1"/>
  <c r="L1440" i="13" s="1"/>
  <c r="I1441" i="13" s="1"/>
  <c r="K1462" i="14"/>
  <c r="L1462" i="14" s="1"/>
  <c r="I1463" i="14" s="1"/>
  <c r="J1626" i="13" a="1"/>
  <c r="J1626" i="13" s="1"/>
  <c r="N1627" i="13"/>
  <c r="M1629" i="13"/>
  <c r="M1630" i="14"/>
  <c r="J1625" i="14" a="1"/>
  <c r="J1625" i="14" s="1"/>
  <c r="N1626" i="14"/>
  <c r="K1463" i="14" l="1"/>
  <c r="L1463" i="14" s="1"/>
  <c r="I1464" i="14" s="1"/>
  <c r="K1441" i="13"/>
  <c r="L1441" i="13" s="1"/>
  <c r="I1442" i="13" s="1"/>
  <c r="J1626" i="14" a="1"/>
  <c r="J1626" i="14" s="1"/>
  <c r="N1627" i="14"/>
  <c r="M1630" i="13"/>
  <c r="J1627" i="13" a="1"/>
  <c r="J1627" i="13" s="1"/>
  <c r="N1628" i="13"/>
  <c r="M1631" i="14"/>
  <c r="K1442" i="13" l="1"/>
  <c r="L1442" i="13" s="1"/>
  <c r="I1443" i="13" s="1"/>
  <c r="K1464" i="14"/>
  <c r="L1464" i="14" s="1"/>
  <c r="I1465" i="14" s="1"/>
  <c r="M1631" i="13"/>
  <c r="J1628" i="13" a="1"/>
  <c r="J1628" i="13" s="1"/>
  <c r="N1629" i="13"/>
  <c r="J1627" i="14" a="1"/>
  <c r="J1627" i="14" s="1"/>
  <c r="N1628" i="14"/>
  <c r="M1632" i="14"/>
  <c r="K1465" i="14" l="1"/>
  <c r="L1465" i="14" s="1"/>
  <c r="I1466" i="14" s="1"/>
  <c r="N1630" i="13"/>
  <c r="J1629" i="13" a="1"/>
  <c r="J1629" i="13" s="1"/>
  <c r="M1633" i="14"/>
  <c r="N1629" i="14"/>
  <c r="J1628" i="14" a="1"/>
  <c r="J1628" i="14" s="1"/>
  <c r="M1632" i="13"/>
  <c r="K1443" i="13"/>
  <c r="L1443" i="13" s="1"/>
  <c r="I1444" i="13" s="1"/>
  <c r="K1466" i="14" l="1"/>
  <c r="L1466" i="14" s="1"/>
  <c r="I1467" i="14" s="1"/>
  <c r="K1444" i="13"/>
  <c r="L1444" i="13" s="1"/>
  <c r="I1445" i="13" s="1"/>
  <c r="J1630" i="13" a="1"/>
  <c r="J1630" i="13" s="1"/>
  <c r="N1631" i="13"/>
  <c r="J1629" i="14" a="1"/>
  <c r="J1629" i="14" s="1"/>
  <c r="N1630" i="14"/>
  <c r="M1633" i="13"/>
  <c r="M1634" i="14"/>
  <c r="K1467" i="14" l="1"/>
  <c r="L1467" i="14" s="1"/>
  <c r="I1468" i="14" s="1"/>
  <c r="M1635" i="14"/>
  <c r="J1630" i="14" a="1"/>
  <c r="J1630" i="14" s="1"/>
  <c r="N1631" i="14"/>
  <c r="K1445" i="13"/>
  <c r="L1445" i="13" s="1"/>
  <c r="I1446" i="13" s="1"/>
  <c r="J1631" i="13" a="1"/>
  <c r="J1631" i="13" s="1"/>
  <c r="N1632" i="13"/>
  <c r="M1634" i="13"/>
  <c r="K1468" i="14" l="1"/>
  <c r="L1468" i="14" s="1"/>
  <c r="I1469" i="14" s="1"/>
  <c r="M1635" i="13"/>
  <c r="M1636" i="14"/>
  <c r="K1446" i="13"/>
  <c r="L1446" i="13" s="1"/>
  <c r="I1447" i="13" s="1"/>
  <c r="J1631" i="14" a="1"/>
  <c r="J1631" i="14" s="1"/>
  <c r="N1632" i="14"/>
  <c r="J1632" i="13" a="1"/>
  <c r="J1632" i="13" s="1"/>
  <c r="N1633" i="13"/>
  <c r="K1447" i="13" l="1"/>
  <c r="L1447" i="13" s="1"/>
  <c r="I1448" i="13" s="1"/>
  <c r="K1469" i="14"/>
  <c r="L1469" i="14" s="1"/>
  <c r="I1470" i="14" s="1"/>
  <c r="M1636" i="13"/>
  <c r="N1633" i="14"/>
  <c r="J1632" i="14" a="1"/>
  <c r="J1632" i="14" s="1"/>
  <c r="N1634" i="13"/>
  <c r="J1633" i="13" a="1"/>
  <c r="J1633" i="13" s="1"/>
  <c r="M1637" i="14"/>
  <c r="K1470" i="14" l="1"/>
  <c r="L1470" i="14" s="1"/>
  <c r="I1471" i="14" s="1"/>
  <c r="K1448" i="13"/>
  <c r="L1448" i="13" s="1"/>
  <c r="I1449" i="13" s="1"/>
  <c r="J1633" i="14" a="1"/>
  <c r="J1633" i="14" s="1"/>
  <c r="N1634" i="14"/>
  <c r="M1637" i="13"/>
  <c r="M1638" i="14"/>
  <c r="J1634" i="13" a="1"/>
  <c r="J1634" i="13" s="1"/>
  <c r="N1635" i="13"/>
  <c r="K1471" i="14" l="1"/>
  <c r="L1471" i="14" s="1"/>
  <c r="I1472" i="14" s="1"/>
  <c r="M1639" i="14"/>
  <c r="J1635" i="13" a="1"/>
  <c r="J1635" i="13" s="1"/>
  <c r="N1636" i="13"/>
  <c r="M1638" i="13"/>
  <c r="K1449" i="13"/>
  <c r="L1449" i="13" s="1"/>
  <c r="I1450" i="13" s="1"/>
  <c r="J1634" i="14" a="1"/>
  <c r="J1634" i="14" s="1"/>
  <c r="N1635" i="14"/>
  <c r="K1450" i="13" l="1"/>
  <c r="L1450" i="13" s="1"/>
  <c r="I1451" i="13" s="1"/>
  <c r="K1472" i="14"/>
  <c r="L1472" i="14" s="1"/>
  <c r="I1473" i="14" s="1"/>
  <c r="J1635" i="14" a="1"/>
  <c r="J1635" i="14" s="1"/>
  <c r="N1636" i="14"/>
  <c r="M1640" i="14"/>
  <c r="M1639" i="13"/>
  <c r="J1636" i="13" a="1"/>
  <c r="J1636" i="13" s="1"/>
  <c r="N1637" i="13"/>
  <c r="K1473" i="14" l="1"/>
  <c r="L1473" i="14" s="1"/>
  <c r="I1474" i="14" s="1"/>
  <c r="K1451" i="13"/>
  <c r="L1451" i="13" s="1"/>
  <c r="I1452" i="13" s="1"/>
  <c r="N1638" i="13"/>
  <c r="J1637" i="13" a="1"/>
  <c r="J1637" i="13" s="1"/>
  <c r="N1637" i="14"/>
  <c r="J1636" i="14" a="1"/>
  <c r="J1636" i="14" s="1"/>
  <c r="M1641" i="14"/>
  <c r="M1640" i="13"/>
  <c r="K1452" i="13" l="1"/>
  <c r="L1452" i="13" s="1"/>
  <c r="I1453" i="13" s="1"/>
  <c r="K1474" i="14"/>
  <c r="L1474" i="14" s="1"/>
  <c r="I1475" i="14" s="1"/>
  <c r="J1637" i="14" a="1"/>
  <c r="J1637" i="14" s="1"/>
  <c r="N1638" i="14"/>
  <c r="M1641" i="13"/>
  <c r="M1642" i="14"/>
  <c r="J1638" i="13" a="1"/>
  <c r="J1638" i="13" s="1"/>
  <c r="N1639" i="13"/>
  <c r="K1475" i="14" l="1"/>
  <c r="L1475" i="14" s="1"/>
  <c r="I1476" i="14" s="1"/>
  <c r="K1453" i="13"/>
  <c r="L1453" i="13" s="1"/>
  <c r="I1454" i="13" s="1"/>
  <c r="J1639" i="13" a="1"/>
  <c r="J1639" i="13" s="1"/>
  <c r="N1640" i="13"/>
  <c r="M1642" i="13"/>
  <c r="J1638" i="14" a="1"/>
  <c r="J1638" i="14" s="1"/>
  <c r="N1639" i="14"/>
  <c r="M1643" i="14"/>
  <c r="K1454" i="13" l="1"/>
  <c r="L1454" i="13" s="1"/>
  <c r="I1455" i="13" s="1"/>
  <c r="K1476" i="14"/>
  <c r="L1476" i="14" s="1"/>
  <c r="I1477" i="14" s="1"/>
  <c r="J1639" i="14" a="1"/>
  <c r="J1639" i="14" s="1"/>
  <c r="N1640" i="14"/>
  <c r="M1644" i="14"/>
  <c r="M1643" i="13"/>
  <c r="J1640" i="13" a="1"/>
  <c r="J1640" i="13" s="1"/>
  <c r="N1641" i="13"/>
  <c r="K1477" i="14" l="1"/>
  <c r="L1477" i="14" s="1"/>
  <c r="I1478" i="14" s="1"/>
  <c r="K1455" i="13"/>
  <c r="L1455" i="13" s="1"/>
  <c r="I1456" i="13" s="1"/>
  <c r="N1642" i="13"/>
  <c r="J1641" i="13" a="1"/>
  <c r="J1641" i="13" s="1"/>
  <c r="M1645" i="14"/>
  <c r="N1641" i="14"/>
  <c r="J1640" i="14" a="1"/>
  <c r="J1640" i="14" s="1"/>
  <c r="M1644" i="13"/>
  <c r="K1456" i="13" l="1"/>
  <c r="L1456" i="13" s="1"/>
  <c r="I1457" i="13" s="1"/>
  <c r="K1478" i="14"/>
  <c r="L1478" i="14" s="1"/>
  <c r="I1479" i="14" s="1"/>
  <c r="J1641" i="14" a="1"/>
  <c r="J1641" i="14" s="1"/>
  <c r="N1642" i="14"/>
  <c r="M1645" i="13"/>
  <c r="M1646" i="14"/>
  <c r="J1642" i="13" a="1"/>
  <c r="J1642" i="13" s="1"/>
  <c r="N1643" i="13"/>
  <c r="K1479" i="14" l="1"/>
  <c r="L1479" i="14" s="1"/>
  <c r="I1480" i="14" s="1"/>
  <c r="K1457" i="13"/>
  <c r="L1457" i="13" s="1"/>
  <c r="I1458" i="13" s="1"/>
  <c r="J1643" i="13" a="1"/>
  <c r="J1643" i="13" s="1"/>
  <c r="N1644" i="13"/>
  <c r="M1646" i="13"/>
  <c r="J1642" i="14" a="1"/>
  <c r="J1642" i="14" s="1"/>
  <c r="N1643" i="14"/>
  <c r="M1647" i="14"/>
  <c r="K1458" i="13" l="1"/>
  <c r="L1458" i="13" s="1"/>
  <c r="I1459" i="13" s="1"/>
  <c r="K1480" i="14"/>
  <c r="L1480" i="14" s="1"/>
  <c r="I1481" i="14" s="1"/>
  <c r="M1648" i="14"/>
  <c r="M1647" i="13"/>
  <c r="J1643" i="14" a="1"/>
  <c r="J1643" i="14" s="1"/>
  <c r="N1644" i="14"/>
  <c r="J1644" i="13" a="1"/>
  <c r="J1644" i="13" s="1"/>
  <c r="N1645" i="13"/>
  <c r="K1481" i="14" l="1"/>
  <c r="L1481" i="14" s="1"/>
  <c r="I1482" i="14" s="1"/>
  <c r="K1459" i="13"/>
  <c r="L1459" i="13" s="1"/>
  <c r="I1460" i="13" s="1"/>
  <c r="M1648" i="13"/>
  <c r="N1646" i="13"/>
  <c r="J1645" i="13" a="1"/>
  <c r="J1645" i="13" s="1"/>
  <c r="N1645" i="14"/>
  <c r="J1644" i="14" a="1"/>
  <c r="J1644" i="14" s="1"/>
  <c r="M1649" i="14"/>
  <c r="K1482" i="14" l="1"/>
  <c r="L1482" i="14" s="1"/>
  <c r="I1483" i="14" s="1"/>
  <c r="J1646" i="13" a="1"/>
  <c r="J1646" i="13" s="1"/>
  <c r="N1647" i="13"/>
  <c r="M1649" i="13"/>
  <c r="M1650" i="14"/>
  <c r="K1460" i="13"/>
  <c r="L1460" i="13" s="1"/>
  <c r="I1461" i="13" s="1"/>
  <c r="J1645" i="14" a="1"/>
  <c r="J1645" i="14" s="1"/>
  <c r="N1646" i="14"/>
  <c r="K1461" i="13" l="1"/>
  <c r="L1461" i="13" s="1"/>
  <c r="I1462" i="13" s="1"/>
  <c r="K1483" i="14"/>
  <c r="L1483" i="14" s="1"/>
  <c r="I1484" i="14" s="1"/>
  <c r="J1647" i="13" a="1"/>
  <c r="J1647" i="13" s="1"/>
  <c r="N1648" i="13"/>
  <c r="J1646" i="14" a="1"/>
  <c r="J1646" i="14" s="1"/>
  <c r="N1647" i="14"/>
  <c r="M1651" i="14"/>
  <c r="M1650" i="13"/>
  <c r="K1462" i="13" l="1"/>
  <c r="L1462" i="13" s="1"/>
  <c r="I1463" i="13" s="1"/>
  <c r="J1647" i="14" a="1"/>
  <c r="J1647" i="14" s="1"/>
  <c r="N1648" i="14"/>
  <c r="K1484" i="14"/>
  <c r="L1484" i="14" s="1"/>
  <c r="I1485" i="14" s="1"/>
  <c r="M1652" i="14"/>
  <c r="J1648" i="13" a="1"/>
  <c r="J1648" i="13" s="1"/>
  <c r="N1649" i="13"/>
  <c r="M1651" i="13"/>
  <c r="K1485" i="14" l="1"/>
  <c r="L1485" i="14" s="1"/>
  <c r="I1486" i="14" s="1"/>
  <c r="K1463" i="13"/>
  <c r="L1463" i="13" s="1"/>
  <c r="I1464" i="13" s="1"/>
  <c r="M1652" i="13"/>
  <c r="M1653" i="14"/>
  <c r="N1649" i="14"/>
  <c r="J1648" i="14" a="1"/>
  <c r="J1648" i="14" s="1"/>
  <c r="N1650" i="13"/>
  <c r="J1649" i="13" a="1"/>
  <c r="J1649" i="13" s="1"/>
  <c r="K1486" i="14" l="1"/>
  <c r="L1486" i="14" s="1"/>
  <c r="I1487" i="14" s="1"/>
  <c r="J1650" i="13" a="1"/>
  <c r="J1650" i="13" s="1"/>
  <c r="N1651" i="13"/>
  <c r="M1654" i="14"/>
  <c r="K1464" i="13"/>
  <c r="L1464" i="13" s="1"/>
  <c r="I1465" i="13" s="1"/>
  <c r="M1653" i="13"/>
  <c r="J1649" i="14" a="1"/>
  <c r="J1649" i="14" s="1"/>
  <c r="N1650" i="14"/>
  <c r="K1465" i="13" l="1"/>
  <c r="L1465" i="13" s="1"/>
  <c r="I1466" i="13" s="1"/>
  <c r="K1487" i="14"/>
  <c r="L1487" i="14" s="1"/>
  <c r="I1488" i="14" s="1"/>
  <c r="J1650" i="14" a="1"/>
  <c r="J1650" i="14" s="1"/>
  <c r="N1651" i="14"/>
  <c r="J1651" i="13" a="1"/>
  <c r="J1651" i="13" s="1"/>
  <c r="N1652" i="13"/>
  <c r="M1654" i="13"/>
  <c r="M1655" i="14"/>
  <c r="K1488" i="14" l="1"/>
  <c r="L1488" i="14" s="1"/>
  <c r="I1489" i="14" s="1"/>
  <c r="K1466" i="13"/>
  <c r="L1466" i="13" s="1"/>
  <c r="I1467" i="13" s="1"/>
  <c r="J1652" i="13" a="1"/>
  <c r="J1652" i="13" s="1"/>
  <c r="N1653" i="13"/>
  <c r="J1651" i="14" a="1"/>
  <c r="J1651" i="14" s="1"/>
  <c r="N1652" i="14"/>
  <c r="M1656" i="14"/>
  <c r="M1655" i="13"/>
  <c r="K1489" i="14" l="1"/>
  <c r="L1489" i="14" s="1"/>
  <c r="I1490" i="14" s="1"/>
  <c r="K1467" i="13"/>
  <c r="L1467" i="13" s="1"/>
  <c r="I1468" i="13" s="1"/>
  <c r="M1656" i="13"/>
  <c r="N1654" i="13"/>
  <c r="J1653" i="13" a="1"/>
  <c r="J1653" i="13" s="1"/>
  <c r="N1653" i="14"/>
  <c r="J1652" i="14" a="1"/>
  <c r="J1652" i="14" s="1"/>
  <c r="M1657" i="14"/>
  <c r="K1468" i="13" l="1"/>
  <c r="L1468" i="13" s="1"/>
  <c r="I1469" i="13" s="1"/>
  <c r="K1490" i="14"/>
  <c r="L1490" i="14" s="1"/>
  <c r="I1491" i="14" s="1"/>
  <c r="M1658" i="14"/>
  <c r="J1654" i="13" a="1"/>
  <c r="J1654" i="13" s="1"/>
  <c r="N1655" i="13"/>
  <c r="M1657" i="13"/>
  <c r="J1653" i="14" a="1"/>
  <c r="J1653" i="14" s="1"/>
  <c r="N1654" i="14"/>
  <c r="K1491" i="14" l="1"/>
  <c r="L1491" i="14" s="1"/>
  <c r="I1492" i="14" s="1"/>
  <c r="K1469" i="13"/>
  <c r="L1469" i="13" s="1"/>
  <c r="I1470" i="13" s="1"/>
  <c r="J1655" i="13" a="1"/>
  <c r="J1655" i="13" s="1"/>
  <c r="N1656" i="13"/>
  <c r="J1654" i="14" a="1"/>
  <c r="J1654" i="14" s="1"/>
  <c r="N1655" i="14"/>
  <c r="M1658" i="13"/>
  <c r="M1659" i="14"/>
  <c r="K1470" i="13" l="1"/>
  <c r="L1470" i="13" s="1"/>
  <c r="I1471" i="13" s="1"/>
  <c r="M1660" i="14"/>
  <c r="J1655" i="14" a="1"/>
  <c r="J1655" i="14" s="1"/>
  <c r="N1656" i="14"/>
  <c r="J1656" i="13" a="1"/>
  <c r="J1656" i="13" s="1"/>
  <c r="N1657" i="13"/>
  <c r="M1659" i="13"/>
  <c r="K1492" i="14"/>
  <c r="L1492" i="14" s="1"/>
  <c r="I1493" i="14" s="1"/>
  <c r="K1493" i="14" l="1"/>
  <c r="L1493" i="14" s="1"/>
  <c r="I1494" i="14" s="1"/>
  <c r="M1661" i="14"/>
  <c r="N1657" i="14"/>
  <c r="J1656" i="14" a="1"/>
  <c r="J1656" i="14" s="1"/>
  <c r="N1658" i="13"/>
  <c r="J1657" i="13" a="1"/>
  <c r="J1657" i="13" s="1"/>
  <c r="M1660" i="13"/>
  <c r="K1471" i="13"/>
  <c r="L1471" i="13" s="1"/>
  <c r="I1472" i="13" s="1"/>
  <c r="K1472" i="13" l="1"/>
  <c r="L1472" i="13" s="1"/>
  <c r="I1473" i="13" s="1"/>
  <c r="K1494" i="14"/>
  <c r="L1494" i="14" s="1"/>
  <c r="I1495" i="14" s="1"/>
  <c r="J1658" i="13" a="1"/>
  <c r="J1658" i="13" s="1"/>
  <c r="N1659" i="13"/>
  <c r="M1662" i="14"/>
  <c r="M1661" i="13"/>
  <c r="J1657" i="14" a="1"/>
  <c r="J1657" i="14" s="1"/>
  <c r="N1658" i="14"/>
  <c r="K1473" i="13" l="1"/>
  <c r="L1473" i="13" s="1"/>
  <c r="I1474" i="13" s="1"/>
  <c r="K1495" i="14"/>
  <c r="L1495" i="14" s="1"/>
  <c r="I1496" i="14" s="1"/>
  <c r="J1658" i="14" a="1"/>
  <c r="J1658" i="14" s="1"/>
  <c r="N1659" i="14"/>
  <c r="M1663" i="14"/>
  <c r="J1659" i="13" a="1"/>
  <c r="J1659" i="13" s="1"/>
  <c r="N1660" i="13"/>
  <c r="M1662" i="13"/>
  <c r="K1496" i="14" l="1"/>
  <c r="L1496" i="14" s="1"/>
  <c r="I1497" i="14" s="1"/>
  <c r="M1664" i="14"/>
  <c r="M1663" i="13"/>
  <c r="J1660" i="13" a="1"/>
  <c r="J1660" i="13" s="1"/>
  <c r="N1661" i="13"/>
  <c r="J1659" i="14" a="1"/>
  <c r="J1659" i="14" s="1"/>
  <c r="N1660" i="14"/>
  <c r="K1474" i="13"/>
  <c r="L1474" i="13" s="1"/>
  <c r="I1475" i="13" s="1"/>
  <c r="K1475" i="13" l="1"/>
  <c r="L1475" i="13" s="1"/>
  <c r="I1476" i="13" s="1"/>
  <c r="N1662" i="13"/>
  <c r="J1661" i="13" a="1"/>
  <c r="J1661" i="13" s="1"/>
  <c r="M1665" i="14"/>
  <c r="N1661" i="14"/>
  <c r="J1660" i="14" a="1"/>
  <c r="J1660" i="14" s="1"/>
  <c r="M1664" i="13"/>
  <c r="K1497" i="14"/>
  <c r="L1497" i="14" s="1"/>
  <c r="I1498" i="14" s="1"/>
  <c r="K1498" i="14" l="1"/>
  <c r="L1498" i="14" s="1"/>
  <c r="I1499" i="14" s="1"/>
  <c r="M1666" i="14"/>
  <c r="J1661" i="14" a="1"/>
  <c r="J1661" i="14" s="1"/>
  <c r="N1662" i="14"/>
  <c r="J1662" i="13" a="1"/>
  <c r="J1662" i="13" s="1"/>
  <c r="N1663" i="13"/>
  <c r="M1665" i="13"/>
  <c r="K1476" i="13"/>
  <c r="L1476" i="13" s="1"/>
  <c r="I1477" i="13" s="1"/>
  <c r="K1477" i="13" l="1"/>
  <c r="L1477" i="13" s="1"/>
  <c r="I1478" i="13" s="1"/>
  <c r="K1499" i="14"/>
  <c r="L1499" i="14" s="1"/>
  <c r="I1500" i="14" s="1"/>
  <c r="J1663" i="13" a="1"/>
  <c r="J1663" i="13" s="1"/>
  <c r="N1664" i="13"/>
  <c r="M1667" i="14"/>
  <c r="J1662" i="14" a="1"/>
  <c r="J1662" i="14" s="1"/>
  <c r="N1663" i="14"/>
  <c r="M1666" i="13"/>
  <c r="K1500" i="14" l="1"/>
  <c r="L1500" i="14" s="1"/>
  <c r="I1501" i="14" s="1"/>
  <c r="M1668" i="14"/>
  <c r="M1667" i="13"/>
  <c r="J1663" i="14" a="1"/>
  <c r="J1663" i="14" s="1"/>
  <c r="N1664" i="14"/>
  <c r="J1664" i="13" a="1"/>
  <c r="J1664" i="13" s="1"/>
  <c r="N1665" i="13"/>
  <c r="K1478" i="13"/>
  <c r="L1478" i="13" s="1"/>
  <c r="I1479" i="13" s="1"/>
  <c r="K1479" i="13" l="1"/>
  <c r="L1479" i="13" s="1"/>
  <c r="I1480" i="13" s="1"/>
  <c r="M1669" i="14"/>
  <c r="N1666" i="13"/>
  <c r="J1665" i="13" a="1"/>
  <c r="J1665" i="13" s="1"/>
  <c r="N1665" i="14"/>
  <c r="J1664" i="14" a="1"/>
  <c r="J1664" i="14" s="1"/>
  <c r="M1668" i="13"/>
  <c r="K1501" i="14"/>
  <c r="L1501" i="14" s="1"/>
  <c r="I1502" i="14" s="1"/>
  <c r="K1502" i="14" l="1"/>
  <c r="L1502" i="14" s="1"/>
  <c r="I1503" i="14" s="1"/>
  <c r="K1480" i="13"/>
  <c r="L1480" i="13" s="1"/>
  <c r="I1481" i="13" s="1"/>
  <c r="J1665" i="14" a="1"/>
  <c r="J1665" i="14" s="1"/>
  <c r="N1666" i="14"/>
  <c r="M1670" i="14"/>
  <c r="M1669" i="13"/>
  <c r="J1666" i="13" a="1"/>
  <c r="J1666" i="13" s="1"/>
  <c r="N1667" i="13"/>
  <c r="K1481" i="13" l="1"/>
  <c r="L1481" i="13" s="1"/>
  <c r="I1482" i="13" s="1"/>
  <c r="M1670" i="13"/>
  <c r="J1667" i="13" a="1"/>
  <c r="J1667" i="13" s="1"/>
  <c r="N1668" i="13"/>
  <c r="M1671" i="14"/>
  <c r="J1666" i="14" a="1"/>
  <c r="J1666" i="14" s="1"/>
  <c r="N1667" i="14"/>
  <c r="K1503" i="14"/>
  <c r="L1503" i="14" s="1"/>
  <c r="I1504" i="14" s="1"/>
  <c r="K1482" i="13" l="1"/>
  <c r="L1482" i="13" s="1"/>
  <c r="I1483" i="13" s="1"/>
  <c r="K1504" i="14"/>
  <c r="L1504" i="14" s="1"/>
  <c r="I1505" i="14" s="1"/>
  <c r="M1671" i="13"/>
  <c r="J1667" i="14" a="1"/>
  <c r="J1667" i="14" s="1"/>
  <c r="N1668" i="14"/>
  <c r="J1668" i="13" a="1"/>
  <c r="J1668" i="13" s="1"/>
  <c r="N1669" i="13"/>
  <c r="M1672" i="14"/>
  <c r="K1483" i="13" l="1"/>
  <c r="L1483" i="13" s="1"/>
  <c r="I1484" i="13" s="1"/>
  <c r="K1505" i="14"/>
  <c r="L1505" i="14" s="1"/>
  <c r="I1506" i="14" s="1"/>
  <c r="M1673" i="14"/>
  <c r="N1670" i="13"/>
  <c r="J1669" i="13" a="1"/>
  <c r="J1669" i="13" s="1"/>
  <c r="N1669" i="14"/>
  <c r="J1668" i="14" a="1"/>
  <c r="J1668" i="14" s="1"/>
  <c r="M1672" i="13"/>
  <c r="K1506" i="14" l="1"/>
  <c r="L1506" i="14" s="1"/>
  <c r="I1507" i="14" s="1"/>
  <c r="M1673" i="13"/>
  <c r="J1670" i="13" a="1"/>
  <c r="J1670" i="13" s="1"/>
  <c r="N1671" i="13"/>
  <c r="J1669" i="14" a="1"/>
  <c r="J1669" i="14" s="1"/>
  <c r="N1670" i="14"/>
  <c r="M1674" i="14"/>
  <c r="K1484" i="13"/>
  <c r="L1484" i="13" s="1"/>
  <c r="I1485" i="13" s="1"/>
  <c r="K1507" i="14" l="1"/>
  <c r="L1507" i="14" s="1"/>
  <c r="I1508" i="14" s="1"/>
  <c r="K1485" i="13"/>
  <c r="L1485" i="13" s="1"/>
  <c r="I1486" i="13" s="1"/>
  <c r="J1670" i="14" a="1"/>
  <c r="J1670" i="14" s="1"/>
  <c r="N1671" i="14"/>
  <c r="J1671" i="13" a="1"/>
  <c r="J1671" i="13" s="1"/>
  <c r="N1672" i="13"/>
  <c r="M1674" i="13"/>
  <c r="M1675" i="14"/>
  <c r="K1486" i="13" l="1"/>
  <c r="L1486" i="13" s="1"/>
  <c r="I1487" i="13" s="1"/>
  <c r="M1676" i="14"/>
  <c r="J1671" i="14" a="1"/>
  <c r="J1671" i="14" s="1"/>
  <c r="N1672" i="14"/>
  <c r="J1672" i="13" a="1"/>
  <c r="J1672" i="13" s="1"/>
  <c r="N1673" i="13"/>
  <c r="M1675" i="13"/>
  <c r="K1508" i="14"/>
  <c r="L1508" i="14" s="1"/>
  <c r="I1509" i="14" s="1"/>
  <c r="K1509" i="14" l="1"/>
  <c r="L1509" i="14" s="1"/>
  <c r="I1510" i="14" s="1"/>
  <c r="K1487" i="13"/>
  <c r="L1487" i="13" s="1"/>
  <c r="I1488" i="13" s="1"/>
  <c r="N1674" i="13"/>
  <c r="J1673" i="13" a="1"/>
  <c r="J1673" i="13" s="1"/>
  <c r="M1677" i="14"/>
  <c r="N1673" i="14"/>
  <c r="J1672" i="14" a="1"/>
  <c r="J1672" i="14" s="1"/>
  <c r="M1676" i="13"/>
  <c r="K1510" i="14" l="1"/>
  <c r="L1510" i="14" s="1"/>
  <c r="I1511" i="14" s="1"/>
  <c r="K1488" i="13"/>
  <c r="L1488" i="13" s="1"/>
  <c r="I1489" i="13" s="1"/>
  <c r="M1678" i="14"/>
  <c r="M1677" i="13"/>
  <c r="J1673" i="14" a="1"/>
  <c r="J1673" i="14" s="1"/>
  <c r="N1674" i="14"/>
  <c r="J1674" i="13" a="1"/>
  <c r="J1674" i="13" s="1"/>
  <c r="N1675" i="13"/>
  <c r="K1489" i="13" l="1"/>
  <c r="L1489" i="13" s="1"/>
  <c r="I1490" i="13" s="1"/>
  <c r="K1511" i="14"/>
  <c r="L1511" i="14" s="1"/>
  <c r="I1512" i="14" s="1"/>
  <c r="M1678" i="13"/>
  <c r="J1674" i="14" a="1"/>
  <c r="J1674" i="14" s="1"/>
  <c r="N1675" i="14"/>
  <c r="J1675" i="13" a="1"/>
  <c r="J1675" i="13" s="1"/>
  <c r="N1676" i="13"/>
  <c r="M1679" i="14"/>
  <c r="K1512" i="14" l="1"/>
  <c r="L1512" i="14" s="1"/>
  <c r="I1513" i="14" s="1"/>
  <c r="M1680" i="14"/>
  <c r="J1676" i="13" a="1"/>
  <c r="J1676" i="13" s="1"/>
  <c r="N1677" i="13"/>
  <c r="J1675" i="14" a="1"/>
  <c r="J1675" i="14" s="1"/>
  <c r="N1676" i="14"/>
  <c r="M1679" i="13"/>
  <c r="K1490" i="13"/>
  <c r="L1490" i="13" s="1"/>
  <c r="I1491" i="13" s="1"/>
  <c r="K1491" i="13" l="1"/>
  <c r="L1491" i="13" s="1"/>
  <c r="I1492" i="13" s="1"/>
  <c r="M1680" i="13"/>
  <c r="N1677" i="14"/>
  <c r="J1676" i="14" a="1"/>
  <c r="J1676" i="14" s="1"/>
  <c r="M1681" i="14"/>
  <c r="N1678" i="13"/>
  <c r="J1677" i="13" a="1"/>
  <c r="J1677" i="13" s="1"/>
  <c r="K1513" i="14"/>
  <c r="L1513" i="14" s="1"/>
  <c r="I1514" i="14" s="1"/>
  <c r="K1514" i="14" l="1"/>
  <c r="L1514" i="14" s="1"/>
  <c r="I1515" i="14" s="1"/>
  <c r="K1492" i="13"/>
  <c r="L1492" i="13" s="1"/>
  <c r="I1493" i="13" s="1"/>
  <c r="M1681" i="13"/>
  <c r="M1682" i="14"/>
  <c r="J1678" i="13" a="1"/>
  <c r="J1678" i="13" s="1"/>
  <c r="N1679" i="13"/>
  <c r="J1677" i="14" a="1"/>
  <c r="J1677" i="14" s="1"/>
  <c r="N1678" i="14"/>
  <c r="K1515" i="14" l="1"/>
  <c r="L1515" i="14" s="1"/>
  <c r="I1516" i="14" s="1"/>
  <c r="K1493" i="13"/>
  <c r="L1493" i="13" s="1"/>
  <c r="I1494" i="13" s="1"/>
  <c r="M1683" i="14"/>
  <c r="J1679" i="13" a="1"/>
  <c r="J1679" i="13" s="1"/>
  <c r="N1680" i="13"/>
  <c r="J1678" i="14" a="1"/>
  <c r="J1678" i="14" s="1"/>
  <c r="N1679" i="14"/>
  <c r="M1682" i="13"/>
  <c r="K1516" i="14" l="1"/>
  <c r="L1516" i="14" s="1"/>
  <c r="I1517" i="14" s="1"/>
  <c r="K1494" i="13"/>
  <c r="L1494" i="13" s="1"/>
  <c r="I1495" i="13" s="1"/>
  <c r="J1680" i="13" a="1"/>
  <c r="J1680" i="13" s="1"/>
  <c r="N1681" i="13"/>
  <c r="M1683" i="13"/>
  <c r="J1679" i="14" a="1"/>
  <c r="J1679" i="14" s="1"/>
  <c r="N1680" i="14"/>
  <c r="M1684" i="14"/>
  <c r="K1495" i="13" l="1"/>
  <c r="L1495" i="13" s="1"/>
  <c r="I1496" i="13" s="1"/>
  <c r="M1685" i="14"/>
  <c r="M1684" i="13"/>
  <c r="N1681" i="14"/>
  <c r="J1680" i="14" a="1"/>
  <c r="J1680" i="14" s="1"/>
  <c r="N1682" i="13"/>
  <c r="J1681" i="13" a="1"/>
  <c r="J1681" i="13" s="1"/>
  <c r="K1517" i="14"/>
  <c r="L1517" i="14" s="1"/>
  <c r="I1518" i="14" s="1"/>
  <c r="K1518" i="14" l="1"/>
  <c r="L1518" i="14" s="1"/>
  <c r="I1519" i="14" s="1"/>
  <c r="K1496" i="13"/>
  <c r="L1496" i="13" s="1"/>
  <c r="I1497" i="13" s="1"/>
  <c r="J1681" i="14" a="1"/>
  <c r="J1681" i="14" s="1"/>
  <c r="N1682" i="14"/>
  <c r="M1686" i="14"/>
  <c r="M1685" i="13"/>
  <c r="J1682" i="13" a="1"/>
  <c r="J1682" i="13" s="1"/>
  <c r="N1683" i="13"/>
  <c r="K1519" i="14" l="1"/>
  <c r="L1519" i="14" s="1"/>
  <c r="I1520" i="14" s="1"/>
  <c r="K1497" i="13"/>
  <c r="L1497" i="13" s="1"/>
  <c r="I1498" i="13" s="1"/>
  <c r="J1683" i="13" a="1"/>
  <c r="J1683" i="13" s="1"/>
  <c r="N1684" i="13"/>
  <c r="M1687" i="14"/>
  <c r="J1682" i="14" a="1"/>
  <c r="J1682" i="14" s="1"/>
  <c r="N1683" i="14"/>
  <c r="M1686" i="13"/>
  <c r="K1498" i="13" l="1"/>
  <c r="L1498" i="13" s="1"/>
  <c r="I1499" i="13" s="1"/>
  <c r="K1520" i="14"/>
  <c r="L1520" i="14" s="1"/>
  <c r="I1521" i="14" s="1"/>
  <c r="M1688" i="14"/>
  <c r="M1687" i="13"/>
  <c r="J1684" i="13" a="1"/>
  <c r="J1684" i="13" s="1"/>
  <c r="N1685" i="13"/>
  <c r="J1683" i="14" a="1"/>
  <c r="J1683" i="14" s="1"/>
  <c r="N1684" i="14"/>
  <c r="K1521" i="14" l="1"/>
  <c r="L1521" i="14" s="1"/>
  <c r="I1522" i="14" s="1"/>
  <c r="K1499" i="13"/>
  <c r="L1499" i="13" s="1"/>
  <c r="I1500" i="13" s="1"/>
  <c r="M1688" i="13"/>
  <c r="N1685" i="14"/>
  <c r="J1684" i="14" a="1"/>
  <c r="J1684" i="14" s="1"/>
  <c r="N1686" i="13"/>
  <c r="J1685" i="13" a="1"/>
  <c r="J1685" i="13" s="1"/>
  <c r="M1689" i="14"/>
  <c r="K1500" i="13" l="1"/>
  <c r="L1500" i="13" s="1"/>
  <c r="I1501" i="13" s="1"/>
  <c r="K1522" i="14"/>
  <c r="L1522" i="14" s="1"/>
  <c r="I1523" i="14" s="1"/>
  <c r="M1690" i="14"/>
  <c r="J1685" i="14" a="1"/>
  <c r="J1685" i="14" s="1"/>
  <c r="N1686" i="14"/>
  <c r="M1689" i="13"/>
  <c r="J1686" i="13" a="1"/>
  <c r="J1686" i="13" s="1"/>
  <c r="N1687" i="13"/>
  <c r="K1523" i="14" l="1"/>
  <c r="L1523" i="14" s="1"/>
  <c r="I1524" i="14" s="1"/>
  <c r="K1501" i="13"/>
  <c r="L1501" i="13" s="1"/>
  <c r="I1502" i="13" s="1"/>
  <c r="J1686" i="14" a="1"/>
  <c r="J1686" i="14" s="1"/>
  <c r="N1687" i="14"/>
  <c r="J1687" i="13" a="1"/>
  <c r="J1687" i="13" s="1"/>
  <c r="N1688" i="13"/>
  <c r="M1690" i="13"/>
  <c r="M1691" i="14"/>
  <c r="K1502" i="13" l="1"/>
  <c r="L1502" i="13" s="1"/>
  <c r="I1503" i="13" s="1"/>
  <c r="K1524" i="14"/>
  <c r="L1524" i="14" s="1"/>
  <c r="I1525" i="14" s="1"/>
  <c r="M1692" i="14"/>
  <c r="J1687" i="14" a="1"/>
  <c r="J1687" i="14" s="1"/>
  <c r="N1688" i="14"/>
  <c r="J1688" i="13" a="1"/>
  <c r="J1688" i="13" s="1"/>
  <c r="N1689" i="13"/>
  <c r="M1691" i="13"/>
  <c r="K1503" i="13" l="1"/>
  <c r="L1503" i="13" s="1"/>
  <c r="I1504" i="13" s="1"/>
  <c r="K1525" i="14"/>
  <c r="L1525" i="14" s="1"/>
  <c r="I1526" i="14" s="1"/>
  <c r="M1692" i="13"/>
  <c r="N1690" i="13"/>
  <c r="J1689" i="13" a="1"/>
  <c r="J1689" i="13" s="1"/>
  <c r="N1689" i="14"/>
  <c r="J1688" i="14" a="1"/>
  <c r="J1688" i="14" s="1"/>
  <c r="M1693" i="14"/>
  <c r="K1526" i="14" l="1"/>
  <c r="L1526" i="14" s="1"/>
  <c r="I1527" i="14" s="1"/>
  <c r="J1690" i="13" a="1"/>
  <c r="J1690" i="13" s="1"/>
  <c r="N1691" i="13"/>
  <c r="M1693" i="13"/>
  <c r="M1694" i="14"/>
  <c r="J1689" i="14" a="1"/>
  <c r="J1689" i="14" s="1"/>
  <c r="N1690" i="14"/>
  <c r="K1504" i="13"/>
  <c r="L1504" i="13" s="1"/>
  <c r="I1505" i="13" s="1"/>
  <c r="K1505" i="13" l="1"/>
  <c r="L1505" i="13" s="1"/>
  <c r="I1506" i="13" s="1"/>
  <c r="J1691" i="13" a="1"/>
  <c r="J1691" i="13" s="1"/>
  <c r="N1692" i="13"/>
  <c r="M1695" i="14"/>
  <c r="J1690" i="14" a="1"/>
  <c r="J1690" i="14" s="1"/>
  <c r="N1691" i="14"/>
  <c r="M1694" i="13"/>
  <c r="K1527" i="14"/>
  <c r="L1527" i="14" s="1"/>
  <c r="I1528" i="14" s="1"/>
  <c r="K1506" i="13" l="1"/>
  <c r="L1506" i="13" s="1"/>
  <c r="I1507" i="13" s="1"/>
  <c r="K1528" i="14"/>
  <c r="L1528" i="14" s="1"/>
  <c r="I1529" i="14" s="1"/>
  <c r="J1692" i="13" a="1"/>
  <c r="J1692" i="13" s="1"/>
  <c r="N1693" i="13"/>
  <c r="M1696" i="14"/>
  <c r="J1691" i="14" a="1"/>
  <c r="J1691" i="14" s="1"/>
  <c r="N1692" i="14"/>
  <c r="M1695" i="13"/>
  <c r="K1529" i="14" l="1"/>
  <c r="L1529" i="14" s="1"/>
  <c r="I1530" i="14" s="1"/>
  <c r="M1696" i="13"/>
  <c r="M1697" i="14"/>
  <c r="N1693" i="14"/>
  <c r="J1692" i="14" a="1"/>
  <c r="J1692" i="14" s="1"/>
  <c r="N1694" i="13"/>
  <c r="J1693" i="13" a="1"/>
  <c r="J1693" i="13" s="1"/>
  <c r="K1507" i="13"/>
  <c r="L1507" i="13" s="1"/>
  <c r="I1508" i="13" s="1"/>
  <c r="K1508" i="13" l="1"/>
  <c r="L1508" i="13" s="1"/>
  <c r="I1509" i="13" s="1"/>
  <c r="K1530" i="14"/>
  <c r="L1530" i="14" s="1"/>
  <c r="I1531" i="14" s="1"/>
  <c r="M1697" i="13"/>
  <c r="J1693" i="14" a="1"/>
  <c r="J1693" i="14" s="1"/>
  <c r="N1694" i="14"/>
  <c r="J1694" i="13" a="1"/>
  <c r="J1694" i="13" s="1"/>
  <c r="N1695" i="13"/>
  <c r="M1698" i="14"/>
  <c r="K1531" i="14" l="1"/>
  <c r="L1531" i="14" s="1"/>
  <c r="I1532" i="14" s="1"/>
  <c r="K1509" i="13"/>
  <c r="L1509" i="13" s="1"/>
  <c r="I1510" i="13" s="1"/>
  <c r="J1694" i="14" a="1"/>
  <c r="J1694" i="14" s="1"/>
  <c r="N1695" i="14"/>
  <c r="M1699" i="14"/>
  <c r="J1695" i="13" a="1"/>
  <c r="J1695" i="13" s="1"/>
  <c r="N1696" i="13"/>
  <c r="M1698" i="13"/>
  <c r="K1532" i="14" l="1"/>
  <c r="L1532" i="14" s="1"/>
  <c r="I1533" i="14" s="1"/>
  <c r="K1510" i="13"/>
  <c r="L1510" i="13" s="1"/>
  <c r="I1511" i="13" s="1"/>
  <c r="M1700" i="14"/>
  <c r="M1699" i="13"/>
  <c r="J1696" i="13" a="1"/>
  <c r="J1696" i="13" s="1"/>
  <c r="N1697" i="13"/>
  <c r="J1695" i="14" a="1"/>
  <c r="J1695" i="14" s="1"/>
  <c r="N1696" i="14"/>
  <c r="K1511" i="13" l="1"/>
  <c r="L1511" i="13" s="1"/>
  <c r="I1512" i="13" s="1"/>
  <c r="K1533" i="14"/>
  <c r="L1533" i="14" s="1"/>
  <c r="I1534" i="14" s="1"/>
  <c r="M1700" i="13"/>
  <c r="N1698" i="13"/>
  <c r="J1697" i="13" a="1"/>
  <c r="J1697" i="13" s="1"/>
  <c r="N1697" i="14"/>
  <c r="J1696" i="14" a="1"/>
  <c r="J1696" i="14" s="1"/>
  <c r="M1701" i="14"/>
  <c r="K1534" i="14" l="1"/>
  <c r="L1534" i="14" s="1"/>
  <c r="I1535" i="14" s="1"/>
  <c r="K1512" i="13"/>
  <c r="L1512" i="13" s="1"/>
  <c r="I1513" i="13" s="1"/>
  <c r="M1702" i="14"/>
  <c r="J1698" i="13" a="1"/>
  <c r="J1698" i="13" s="1"/>
  <c r="N1699" i="13"/>
  <c r="M1701" i="13"/>
  <c r="J1697" i="14" a="1"/>
  <c r="J1697" i="14" s="1"/>
  <c r="N1698" i="14"/>
  <c r="K1535" i="14" l="1"/>
  <c r="L1535" i="14" s="1"/>
  <c r="I1536" i="14" s="1"/>
  <c r="K1513" i="13"/>
  <c r="L1513" i="13" s="1"/>
  <c r="I1514" i="13" s="1"/>
  <c r="J1699" i="13" a="1"/>
  <c r="J1699" i="13" s="1"/>
  <c r="N1700" i="13"/>
  <c r="J1698" i="14" a="1"/>
  <c r="J1698" i="14" s="1"/>
  <c r="N1699" i="14"/>
  <c r="M1702" i="13"/>
  <c r="M1703" i="14"/>
  <c r="K1514" i="13" l="1"/>
  <c r="L1514" i="13" s="1"/>
  <c r="I1515" i="13" s="1"/>
  <c r="K1536" i="14"/>
  <c r="L1536" i="14" s="1"/>
  <c r="I1537" i="14" s="1"/>
  <c r="J1699" i="14" a="1"/>
  <c r="J1699" i="14" s="1"/>
  <c r="N1700" i="14"/>
  <c r="M1704" i="14"/>
  <c r="J1700" i="13" a="1"/>
  <c r="J1700" i="13" s="1"/>
  <c r="N1701" i="13"/>
  <c r="M1703" i="13"/>
  <c r="K1537" i="14" l="1"/>
  <c r="L1537" i="14" s="1"/>
  <c r="I1538" i="14" s="1"/>
  <c r="K1515" i="13"/>
  <c r="L1515" i="13" s="1"/>
  <c r="I1516" i="13" s="1"/>
  <c r="M1704" i="13"/>
  <c r="M1705" i="14"/>
  <c r="N1701" i="14"/>
  <c r="J1700" i="14" a="1"/>
  <c r="J1700" i="14" s="1"/>
  <c r="N1702" i="13"/>
  <c r="J1701" i="13" a="1"/>
  <c r="J1701" i="13" s="1"/>
  <c r="K1516" i="13" l="1"/>
  <c r="L1516" i="13" s="1"/>
  <c r="I1517" i="13" s="1"/>
  <c r="K1538" i="14"/>
  <c r="L1538" i="14" s="1"/>
  <c r="I1539" i="14" s="1"/>
  <c r="J1702" i="13" a="1"/>
  <c r="J1702" i="13" s="1"/>
  <c r="N1703" i="13"/>
  <c r="M1706" i="14"/>
  <c r="M1705" i="13"/>
  <c r="J1701" i="14" a="1"/>
  <c r="J1701" i="14" s="1"/>
  <c r="N1702" i="14"/>
  <c r="K1517" i="13" l="1"/>
  <c r="L1517" i="13" s="1"/>
  <c r="I1518" i="13" s="1"/>
  <c r="K1539" i="14"/>
  <c r="L1539" i="14" s="1"/>
  <c r="I1540" i="14" s="1"/>
  <c r="M1707" i="14"/>
  <c r="J1702" i="14" a="1"/>
  <c r="J1702" i="14" s="1"/>
  <c r="N1703" i="14"/>
  <c r="J1703" i="13" a="1"/>
  <c r="J1703" i="13" s="1"/>
  <c r="N1704" i="13"/>
  <c r="M1706" i="13"/>
  <c r="K1540" i="14" l="1"/>
  <c r="L1540" i="14" s="1"/>
  <c r="I1541" i="14" s="1"/>
  <c r="K1518" i="13"/>
  <c r="L1518" i="13" s="1"/>
  <c r="I1519" i="13" s="1"/>
  <c r="J1703" i="14" a="1"/>
  <c r="J1703" i="14" s="1"/>
  <c r="N1704" i="14"/>
  <c r="M1707" i="13"/>
  <c r="J1704" i="13" a="1"/>
  <c r="J1704" i="13" s="1"/>
  <c r="N1705" i="13"/>
  <c r="M1708" i="14"/>
  <c r="K1519" i="13" l="1"/>
  <c r="L1519" i="13" s="1"/>
  <c r="I1520" i="13" s="1"/>
  <c r="K1541" i="14"/>
  <c r="L1541" i="14" s="1"/>
  <c r="I1542" i="14" s="1"/>
  <c r="N1706" i="13"/>
  <c r="J1705" i="13" a="1"/>
  <c r="J1705" i="13" s="1"/>
  <c r="M1709" i="14"/>
  <c r="M1708" i="13"/>
  <c r="N1705" i="14"/>
  <c r="J1704" i="14" a="1"/>
  <c r="J1704" i="14" s="1"/>
  <c r="K1542" i="14" l="1"/>
  <c r="L1542" i="14" s="1"/>
  <c r="I1543" i="14" s="1"/>
  <c r="K1520" i="13"/>
  <c r="L1520" i="13" s="1"/>
  <c r="I1521" i="13" s="1"/>
  <c r="J1705" i="14" a="1"/>
  <c r="J1705" i="14" s="1"/>
  <c r="N1706" i="14"/>
  <c r="M1710" i="14"/>
  <c r="M1709" i="13"/>
  <c r="J1706" i="13" a="1"/>
  <c r="J1706" i="13" s="1"/>
  <c r="N1707" i="13"/>
  <c r="K1521" i="13" l="1"/>
  <c r="L1521" i="13" s="1"/>
  <c r="I1522" i="13" s="1"/>
  <c r="K1543" i="14"/>
  <c r="L1543" i="14" s="1"/>
  <c r="I1544" i="14" s="1"/>
  <c r="M1711" i="14"/>
  <c r="J1706" i="14" a="1"/>
  <c r="J1706" i="14" s="1"/>
  <c r="N1707" i="14"/>
  <c r="J1707" i="13" a="1"/>
  <c r="J1707" i="13" s="1"/>
  <c r="N1708" i="13"/>
  <c r="M1710" i="13"/>
  <c r="K1544" i="14" l="1"/>
  <c r="L1544" i="14" s="1"/>
  <c r="I1545" i="14" s="1"/>
  <c r="K1522" i="13"/>
  <c r="L1522" i="13" s="1"/>
  <c r="I1523" i="13" s="1"/>
  <c r="J1707" i="14" a="1"/>
  <c r="J1707" i="14" s="1"/>
  <c r="N1708" i="14"/>
  <c r="J1708" i="13" a="1"/>
  <c r="J1708" i="13" s="1"/>
  <c r="N1709" i="13"/>
  <c r="M1712" i="14"/>
  <c r="M1711" i="13"/>
  <c r="K1523" i="13" l="1"/>
  <c r="L1523" i="13" s="1"/>
  <c r="I1524" i="13" s="1"/>
  <c r="K1545" i="14"/>
  <c r="L1545" i="14" s="1"/>
  <c r="I1546" i="14" s="1"/>
  <c r="M1712" i="13"/>
  <c r="N1710" i="13"/>
  <c r="J1709" i="13" a="1"/>
  <c r="J1709" i="13" s="1"/>
  <c r="N1709" i="14"/>
  <c r="J1708" i="14" a="1"/>
  <c r="J1708" i="14" s="1"/>
  <c r="M1713" i="14"/>
  <c r="K1546" i="14" l="1"/>
  <c r="L1546" i="14" s="1"/>
  <c r="I1547" i="14" s="1"/>
  <c r="K1524" i="13"/>
  <c r="L1524" i="13" s="1"/>
  <c r="I1525" i="13" s="1"/>
  <c r="M1714" i="14"/>
  <c r="J1710" i="13" a="1"/>
  <c r="J1710" i="13" s="1"/>
  <c r="N1711" i="13"/>
  <c r="M1713" i="13"/>
  <c r="J1709" i="14" a="1"/>
  <c r="J1709" i="14" s="1"/>
  <c r="N1710" i="14"/>
  <c r="K1547" i="14" l="1"/>
  <c r="L1547" i="14" s="1"/>
  <c r="I1548" i="14" s="1"/>
  <c r="K1525" i="13"/>
  <c r="L1525" i="13" s="1"/>
  <c r="I1526" i="13" s="1"/>
  <c r="J1710" i="14" a="1"/>
  <c r="J1710" i="14" s="1"/>
  <c r="N1711" i="14"/>
  <c r="J1711" i="13" a="1"/>
  <c r="J1711" i="13" s="1"/>
  <c r="N1712" i="13"/>
  <c r="M1714" i="13"/>
  <c r="M1715" i="14"/>
  <c r="K1526" i="13" l="1"/>
  <c r="L1526" i="13" s="1"/>
  <c r="I1527" i="13" s="1"/>
  <c r="K1548" i="14"/>
  <c r="L1548" i="14" s="1"/>
  <c r="I1549" i="14" s="1"/>
  <c r="J1712" i="13" a="1"/>
  <c r="J1712" i="13" s="1"/>
  <c r="N1713" i="13"/>
  <c r="M1716" i="14"/>
  <c r="M1715" i="13"/>
  <c r="J1711" i="14" a="1"/>
  <c r="J1711" i="14" s="1"/>
  <c r="N1712" i="14"/>
  <c r="K1549" i="14" l="1"/>
  <c r="L1549" i="14" s="1"/>
  <c r="I1550" i="14" s="1"/>
  <c r="K1527" i="13"/>
  <c r="L1527" i="13" s="1"/>
  <c r="I1528" i="13" s="1"/>
  <c r="N1713" i="14"/>
  <c r="J1712" i="14" a="1"/>
  <c r="J1712" i="14" s="1"/>
  <c r="M1717" i="14"/>
  <c r="N1714" i="13"/>
  <c r="J1713" i="13" a="1"/>
  <c r="J1713" i="13" s="1"/>
  <c r="M1716" i="13"/>
  <c r="K1528" i="13" l="1"/>
  <c r="L1528" i="13" s="1"/>
  <c r="I1529" i="13" s="1"/>
  <c r="K1550" i="14"/>
  <c r="L1550" i="14" s="1"/>
  <c r="I1551" i="14" s="1"/>
  <c r="M1717" i="13"/>
  <c r="M1718" i="14"/>
  <c r="J1714" i="13" a="1"/>
  <c r="J1714" i="13" s="1"/>
  <c r="N1715" i="13"/>
  <c r="J1713" i="14" a="1"/>
  <c r="J1713" i="14" s="1"/>
  <c r="N1714" i="14"/>
  <c r="K1529" i="13" l="1"/>
  <c r="L1529" i="13" s="1"/>
  <c r="I1530" i="13" s="1"/>
  <c r="N1715" i="14"/>
  <c r="J1714" i="14" a="1"/>
  <c r="J1714" i="14" s="1"/>
  <c r="K1551" i="14"/>
  <c r="L1551" i="14" s="1"/>
  <c r="I1552" i="14" s="1"/>
  <c r="J1715" i="13" a="1"/>
  <c r="J1715" i="13" s="1"/>
  <c r="N1716" i="13"/>
  <c r="M1719" i="14"/>
  <c r="M1718" i="13"/>
  <c r="K1552" i="14" l="1"/>
  <c r="L1552" i="14" s="1"/>
  <c r="I1553" i="14" s="1"/>
  <c r="K1530" i="13"/>
  <c r="L1530" i="13" s="1"/>
  <c r="I1531" i="13" s="1"/>
  <c r="N1716" i="14"/>
  <c r="J1715" i="14" a="1"/>
  <c r="J1715" i="14" s="1"/>
  <c r="J1716" i="13" a="1"/>
  <c r="J1716" i="13" s="1"/>
  <c r="N1717" i="13"/>
  <c r="M1719" i="13"/>
  <c r="M1720" i="14"/>
  <c r="K1531" i="13" l="1"/>
  <c r="L1531" i="13" s="1"/>
  <c r="I1532" i="13" s="1"/>
  <c r="K1553" i="14"/>
  <c r="L1553" i="14" s="1"/>
  <c r="I1554" i="14" s="1"/>
  <c r="N1718" i="13"/>
  <c r="J1717" i="13" a="1"/>
  <c r="J1717" i="13" s="1"/>
  <c r="M1721" i="14"/>
  <c r="M1720" i="13"/>
  <c r="J1716" i="14" a="1"/>
  <c r="J1716" i="14" s="1"/>
  <c r="N1717" i="14"/>
  <c r="K1554" i="14" l="1"/>
  <c r="L1554" i="14" s="1"/>
  <c r="I1555" i="14" s="1"/>
  <c r="K1532" i="13"/>
  <c r="L1532" i="13" s="1"/>
  <c r="I1533" i="13" s="1"/>
  <c r="N1718" i="14"/>
  <c r="J1717" i="14" a="1"/>
  <c r="J1717" i="14" s="1"/>
  <c r="M1722" i="14"/>
  <c r="M1721" i="13"/>
  <c r="J1718" i="13" a="1"/>
  <c r="J1718" i="13" s="1"/>
  <c r="N1719" i="13"/>
  <c r="J1719" i="13" l="1" a="1"/>
  <c r="J1719" i="13" s="1"/>
  <c r="N1720" i="13"/>
  <c r="M1723" i="14"/>
  <c r="K1533" i="13"/>
  <c r="L1533" i="13" s="1"/>
  <c r="I1534" i="13" s="1"/>
  <c r="M1722" i="13"/>
  <c r="J1718" i="14" a="1"/>
  <c r="J1718" i="14" s="1"/>
  <c r="N1719" i="14"/>
  <c r="K1555" i="14"/>
  <c r="L1555" i="14" s="1"/>
  <c r="I1556" i="14" s="1"/>
  <c r="K1556" i="14" l="1"/>
  <c r="L1556" i="14" s="1"/>
  <c r="I1557" i="14" s="1"/>
  <c r="K1534" i="13"/>
  <c r="L1534" i="13" s="1"/>
  <c r="I1535" i="13" s="1"/>
  <c r="M1723" i="13"/>
  <c r="M1724" i="14"/>
  <c r="N1720" i="14"/>
  <c r="J1719" i="14" a="1"/>
  <c r="J1719" i="14" s="1"/>
  <c r="J1720" i="13" a="1"/>
  <c r="J1720" i="13" s="1"/>
  <c r="N1721" i="13"/>
  <c r="K1535" i="13" l="1"/>
  <c r="L1535" i="13" s="1"/>
  <c r="I1536" i="13" s="1"/>
  <c r="K1557" i="14"/>
  <c r="L1557" i="14" s="1"/>
  <c r="I1558" i="14" s="1"/>
  <c r="N1722" i="13"/>
  <c r="J1721" i="13" a="1"/>
  <c r="J1721" i="13" s="1"/>
  <c r="M1725" i="14"/>
  <c r="J1720" i="14" a="1"/>
  <c r="J1720" i="14" s="1"/>
  <c r="N1721" i="14"/>
  <c r="M1724" i="13"/>
  <c r="K1536" i="13" l="1"/>
  <c r="L1536" i="13" s="1"/>
  <c r="I1537" i="13" s="1"/>
  <c r="M1725" i="13"/>
  <c r="M1726" i="14"/>
  <c r="K1558" i="14"/>
  <c r="L1558" i="14" s="1"/>
  <c r="I1559" i="14" s="1"/>
  <c r="J1721" i="14" a="1"/>
  <c r="J1721" i="14" s="1"/>
  <c r="N1722" i="14"/>
  <c r="J1722" i="13" a="1"/>
  <c r="J1722" i="13" s="1"/>
  <c r="N1723" i="13"/>
  <c r="K1559" i="14" l="1"/>
  <c r="L1559" i="14" s="1"/>
  <c r="I1560" i="14" s="1"/>
  <c r="K1537" i="13"/>
  <c r="L1537" i="13" s="1"/>
  <c r="I1538" i="13" s="1"/>
  <c r="J1723" i="13" a="1"/>
  <c r="J1723" i="13" s="1"/>
  <c r="N1724" i="13"/>
  <c r="M1726" i="13"/>
  <c r="J1722" i="14" a="1"/>
  <c r="J1722" i="14" s="1"/>
  <c r="N1723" i="14"/>
  <c r="M1727" i="14"/>
  <c r="K1538" i="13" l="1"/>
  <c r="L1538" i="13" s="1"/>
  <c r="I1539" i="13" s="1"/>
  <c r="K1560" i="14"/>
  <c r="L1560" i="14" s="1"/>
  <c r="I1561" i="14" s="1"/>
  <c r="N1724" i="14"/>
  <c r="J1723" i="14" a="1"/>
  <c r="J1723" i="14" s="1"/>
  <c r="M1728" i="14"/>
  <c r="M1727" i="13"/>
  <c r="J1724" i="13" a="1"/>
  <c r="J1724" i="13" s="1"/>
  <c r="N1725" i="13"/>
  <c r="K1539" i="13" l="1"/>
  <c r="L1539" i="13" s="1"/>
  <c r="I1540" i="13" s="1"/>
  <c r="N1726" i="13"/>
  <c r="J1725" i="13" a="1"/>
  <c r="J1725" i="13" s="1"/>
  <c r="K1561" i="14"/>
  <c r="L1561" i="14" s="1"/>
  <c r="I1562" i="14" s="1"/>
  <c r="M1729" i="14"/>
  <c r="M1728" i="13"/>
  <c r="J1724" i="14" a="1"/>
  <c r="J1724" i="14" s="1"/>
  <c r="N1725" i="14"/>
  <c r="K1562" i="14" l="1"/>
  <c r="L1562" i="14" s="1"/>
  <c r="I1563" i="14" s="1"/>
  <c r="K1540" i="13"/>
  <c r="L1540" i="13" s="1"/>
  <c r="I1541" i="13" s="1"/>
  <c r="J1726" i="13" a="1"/>
  <c r="J1726" i="13" s="1"/>
  <c r="N1727" i="13"/>
  <c r="J1725" i="14" a="1"/>
  <c r="J1725" i="14" s="1"/>
  <c r="N1726" i="14"/>
  <c r="M1730" i="14"/>
  <c r="M1729" i="13"/>
  <c r="K1541" i="13" l="1"/>
  <c r="L1541" i="13" s="1"/>
  <c r="I1542" i="13" s="1"/>
  <c r="K1563" i="14"/>
  <c r="L1563" i="14" s="1"/>
  <c r="I1564" i="14" s="1"/>
  <c r="J1726" i="14" a="1"/>
  <c r="J1726" i="14" s="1"/>
  <c r="N1727" i="14"/>
  <c r="M1730" i="13"/>
  <c r="J1727" i="13" a="1"/>
  <c r="J1727" i="13" s="1"/>
  <c r="N1728" i="13"/>
  <c r="M1731" i="14"/>
  <c r="K1564" i="14" l="1"/>
  <c r="L1564" i="14" s="1"/>
  <c r="I1565" i="14" s="1"/>
  <c r="K1542" i="13"/>
  <c r="L1542" i="13" s="1"/>
  <c r="I1543" i="13" s="1"/>
  <c r="M1732" i="14"/>
  <c r="M1731" i="13"/>
  <c r="N1728" i="14"/>
  <c r="J1727" i="14" a="1"/>
  <c r="J1727" i="14" s="1"/>
  <c r="J1728" i="13" a="1"/>
  <c r="J1728" i="13" s="1"/>
  <c r="N1729" i="13"/>
  <c r="K1565" i="14" l="1"/>
  <c r="L1565" i="14" s="1"/>
  <c r="I1566" i="14" s="1"/>
  <c r="N1730" i="13"/>
  <c r="J1729" i="13" a="1"/>
  <c r="J1729" i="13" s="1"/>
  <c r="K1543" i="13"/>
  <c r="L1543" i="13" s="1"/>
  <c r="I1544" i="13" s="1"/>
  <c r="M1732" i="13"/>
  <c r="J1728" i="14" a="1"/>
  <c r="J1728" i="14" s="1"/>
  <c r="N1729" i="14"/>
  <c r="M1733" i="14"/>
  <c r="K1544" i="13" l="1"/>
  <c r="L1544" i="13" s="1"/>
  <c r="I1545" i="13" s="1"/>
  <c r="K1566" i="14"/>
  <c r="L1566" i="14" s="1"/>
  <c r="I1567" i="14" s="1"/>
  <c r="J1729" i="14" a="1"/>
  <c r="J1729" i="14" s="1"/>
  <c r="N1730" i="14"/>
  <c r="M1733" i="13"/>
  <c r="M1734" i="14"/>
  <c r="J1730" i="13" a="1"/>
  <c r="J1730" i="13" s="1"/>
  <c r="N1731" i="13"/>
  <c r="K1567" i="14" l="1"/>
  <c r="L1567" i="14" s="1"/>
  <c r="I1568" i="14" s="1"/>
  <c r="K1545" i="13"/>
  <c r="L1545" i="13" s="1"/>
  <c r="I1546" i="13" s="1"/>
  <c r="M1734" i="13"/>
  <c r="J1730" i="14" a="1"/>
  <c r="J1730" i="14" s="1"/>
  <c r="N1731" i="14"/>
  <c r="J1731" i="13" a="1"/>
  <c r="J1731" i="13" s="1"/>
  <c r="N1732" i="13"/>
  <c r="M1735" i="14"/>
  <c r="K1546" i="13" l="1"/>
  <c r="L1546" i="13" s="1"/>
  <c r="I1547" i="13" s="1"/>
  <c r="K1568" i="14"/>
  <c r="L1568" i="14" s="1"/>
  <c r="I1569" i="14" s="1"/>
  <c r="N1732" i="14"/>
  <c r="J1731" i="14" a="1"/>
  <c r="J1731" i="14" s="1"/>
  <c r="J1732" i="13" a="1"/>
  <c r="J1732" i="13" s="1"/>
  <c r="N1733" i="13"/>
  <c r="M1736" i="14"/>
  <c r="M1735" i="13"/>
  <c r="K1547" i="13" l="1"/>
  <c r="L1547" i="13" s="1"/>
  <c r="I1548" i="13" s="1"/>
  <c r="N1734" i="13"/>
  <c r="J1733" i="13" a="1"/>
  <c r="J1733" i="13" s="1"/>
  <c r="K1569" i="14"/>
  <c r="L1569" i="14" s="1"/>
  <c r="I1570" i="14" s="1"/>
  <c r="M1736" i="13"/>
  <c r="M1737" i="14"/>
  <c r="J1732" i="14" a="1"/>
  <c r="J1732" i="14" s="1"/>
  <c r="N1733" i="14"/>
  <c r="K1570" i="14" l="1"/>
  <c r="L1570" i="14" s="1"/>
  <c r="I1571" i="14" s="1"/>
  <c r="K1548" i="13"/>
  <c r="L1548" i="13" s="1"/>
  <c r="I1549" i="13" s="1"/>
  <c r="J1733" i="14" a="1"/>
  <c r="J1733" i="14" s="1"/>
  <c r="N1734" i="14"/>
  <c r="M1737" i="13"/>
  <c r="J1734" i="13" a="1"/>
  <c r="J1734" i="13" s="1"/>
  <c r="N1735" i="13"/>
  <c r="M1738" i="14"/>
  <c r="K1549" i="13" l="1"/>
  <c r="L1549" i="13" s="1"/>
  <c r="I1550" i="13" s="1"/>
  <c r="K1571" i="14"/>
  <c r="L1571" i="14" s="1"/>
  <c r="I1572" i="14" s="1"/>
  <c r="J1734" i="14" a="1"/>
  <c r="J1734" i="14" s="1"/>
  <c r="N1735" i="14"/>
  <c r="M1739" i="14"/>
  <c r="M1738" i="13"/>
  <c r="J1735" i="13" a="1"/>
  <c r="J1735" i="13" s="1"/>
  <c r="N1736" i="13"/>
  <c r="K1572" i="14" l="1"/>
  <c r="L1572" i="14" s="1"/>
  <c r="I1573" i="14" s="1"/>
  <c r="K1550" i="13"/>
  <c r="L1550" i="13" s="1"/>
  <c r="I1551" i="13" s="1"/>
  <c r="J1736" i="13" a="1"/>
  <c r="J1736" i="13" s="1"/>
  <c r="N1737" i="13"/>
  <c r="M1740" i="14"/>
  <c r="N1736" i="14"/>
  <c r="J1735" i="14" a="1"/>
  <c r="J1735" i="14" s="1"/>
  <c r="M1739" i="13"/>
  <c r="K1551" i="13" l="1"/>
  <c r="L1551" i="13" s="1"/>
  <c r="I1552" i="13" s="1"/>
  <c r="K1573" i="14"/>
  <c r="L1573" i="14" s="1"/>
  <c r="I1574" i="14" s="1"/>
  <c r="M1740" i="13"/>
  <c r="M1741" i="14"/>
  <c r="N1738" i="13"/>
  <c r="J1737" i="13" a="1"/>
  <c r="J1737" i="13" s="1"/>
  <c r="J1736" i="14" a="1"/>
  <c r="J1736" i="14" s="1"/>
  <c r="N1737" i="14"/>
  <c r="K1574" i="14" l="1"/>
  <c r="L1574" i="14" s="1"/>
  <c r="I1575" i="14" s="1"/>
  <c r="K1552" i="13"/>
  <c r="L1552" i="13" s="1"/>
  <c r="I1553" i="13" s="1"/>
  <c r="J1737" i="14" a="1"/>
  <c r="J1737" i="14" s="1"/>
  <c r="N1738" i="14"/>
  <c r="M1742" i="14"/>
  <c r="M1741" i="13"/>
  <c r="J1738" i="13" a="1"/>
  <c r="J1738" i="13" s="1"/>
  <c r="N1739" i="13"/>
  <c r="K1575" i="14" l="1"/>
  <c r="L1575" i="14" s="1"/>
  <c r="I1576" i="14" s="1"/>
  <c r="J1739" i="13" a="1"/>
  <c r="J1739" i="13" s="1"/>
  <c r="N1740" i="13"/>
  <c r="M1743" i="14"/>
  <c r="K1553" i="13"/>
  <c r="L1553" i="13" s="1"/>
  <c r="I1554" i="13" s="1"/>
  <c r="J1738" i="14" a="1"/>
  <c r="J1738" i="14" s="1"/>
  <c r="N1739" i="14"/>
  <c r="M1742" i="13"/>
  <c r="K1576" i="14" l="1"/>
  <c r="L1576" i="14" s="1"/>
  <c r="I1577" i="14" s="1"/>
  <c r="M1743" i="13"/>
  <c r="K1554" i="13"/>
  <c r="L1554" i="13" s="1"/>
  <c r="I1555" i="13" s="1"/>
  <c r="J1740" i="13" a="1"/>
  <c r="J1740" i="13" s="1"/>
  <c r="N1741" i="13"/>
  <c r="N1740" i="14"/>
  <c r="J1739" i="14" a="1"/>
  <c r="J1739" i="14" s="1"/>
  <c r="M1744" i="14"/>
  <c r="J1740" i="14" l="1" a="1"/>
  <c r="J1740" i="14" s="1"/>
  <c r="N1741" i="14"/>
  <c r="K1555" i="13"/>
  <c r="L1555" i="13" s="1"/>
  <c r="I1556" i="13" s="1"/>
  <c r="K1577" i="14"/>
  <c r="L1577" i="14" s="1"/>
  <c r="I1578" i="14" s="1"/>
  <c r="N1742" i="13"/>
  <c r="J1741" i="13" a="1"/>
  <c r="J1741" i="13" s="1"/>
  <c r="M1744" i="13"/>
  <c r="M1745" i="14"/>
  <c r="K1556" i="13" l="1"/>
  <c r="L1556" i="13" s="1"/>
  <c r="I1557" i="13" s="1"/>
  <c r="K1578" i="14"/>
  <c r="L1578" i="14" s="1"/>
  <c r="I1579" i="14" s="1"/>
  <c r="M1746" i="14"/>
  <c r="J1742" i="13" a="1"/>
  <c r="J1742" i="13" s="1"/>
  <c r="N1743" i="13"/>
  <c r="M1745" i="13"/>
  <c r="J1741" i="14" a="1"/>
  <c r="J1741" i="14" s="1"/>
  <c r="N1742" i="14"/>
  <c r="K1579" i="14" l="1"/>
  <c r="L1579" i="14" s="1"/>
  <c r="I1580" i="14" s="1"/>
  <c r="K1557" i="13"/>
  <c r="L1557" i="13" s="1"/>
  <c r="I1558" i="13" s="1"/>
  <c r="J1743" i="13" a="1"/>
  <c r="J1743" i="13" s="1"/>
  <c r="N1744" i="13"/>
  <c r="J1742" i="14" a="1"/>
  <c r="J1742" i="14" s="1"/>
  <c r="N1743" i="14"/>
  <c r="M1747" i="14"/>
  <c r="M1746" i="13"/>
  <c r="K1558" i="13" l="1"/>
  <c r="L1558" i="13" s="1"/>
  <c r="I1559" i="13" s="1"/>
  <c r="K1580" i="14"/>
  <c r="L1580" i="14" s="1"/>
  <c r="I1581" i="14" s="1"/>
  <c r="N1744" i="14"/>
  <c r="J1743" i="14" a="1"/>
  <c r="J1743" i="14" s="1"/>
  <c r="J1744" i="13" a="1"/>
  <c r="J1744" i="13" s="1"/>
  <c r="N1745" i="13"/>
  <c r="M1747" i="13"/>
  <c r="M1748" i="14"/>
  <c r="K1581" i="14" l="1"/>
  <c r="L1581" i="14" s="1"/>
  <c r="I1582" i="14" s="1"/>
  <c r="K1559" i="13"/>
  <c r="L1559" i="13" s="1"/>
  <c r="I1560" i="13" s="1"/>
  <c r="N1746" i="13"/>
  <c r="J1745" i="13" a="1"/>
  <c r="J1745" i="13" s="1"/>
  <c r="M1749" i="14"/>
  <c r="M1748" i="13"/>
  <c r="J1744" i="14" a="1"/>
  <c r="J1744" i="14" s="1"/>
  <c r="N1745" i="14"/>
  <c r="K1560" i="13" l="1"/>
  <c r="L1560" i="13" s="1"/>
  <c r="I1561" i="13" s="1"/>
  <c r="K1582" i="14"/>
  <c r="L1582" i="14" s="1"/>
  <c r="I1583" i="14" s="1"/>
  <c r="J1745" i="14" a="1"/>
  <c r="J1745" i="14" s="1"/>
  <c r="N1746" i="14"/>
  <c r="M1750" i="14"/>
  <c r="M1749" i="13"/>
  <c r="J1746" i="13" a="1"/>
  <c r="J1746" i="13" s="1"/>
  <c r="N1747" i="13"/>
  <c r="K1583" i="14" l="1"/>
  <c r="L1583" i="14" s="1"/>
  <c r="I1584" i="14" s="1"/>
  <c r="K1561" i="13"/>
  <c r="L1561" i="13" s="1"/>
  <c r="I1562" i="13" s="1"/>
  <c r="J1747" i="13" a="1"/>
  <c r="J1747" i="13" s="1"/>
  <c r="N1748" i="13"/>
  <c r="M1751" i="14"/>
  <c r="J1746" i="14" a="1"/>
  <c r="J1746" i="14" s="1"/>
  <c r="N1747" i="14"/>
  <c r="M1750" i="13"/>
  <c r="K1562" i="13" l="1"/>
  <c r="L1562" i="13" s="1"/>
  <c r="I1563" i="13" s="1"/>
  <c r="K1584" i="14"/>
  <c r="L1584" i="14" s="1"/>
  <c r="I1585" i="14" s="1"/>
  <c r="N1748" i="14"/>
  <c r="J1747" i="14" a="1"/>
  <c r="J1747" i="14" s="1"/>
  <c r="M1752" i="14"/>
  <c r="M1751" i="13"/>
  <c r="J1748" i="13" a="1"/>
  <c r="J1748" i="13" s="1"/>
  <c r="N1749" i="13"/>
  <c r="K1585" i="14" l="1"/>
  <c r="L1585" i="14" s="1"/>
  <c r="I1586" i="14" s="1"/>
  <c r="K1563" i="13"/>
  <c r="L1563" i="13" s="1"/>
  <c r="I1564" i="13" s="1"/>
  <c r="N1750" i="13"/>
  <c r="J1749" i="13" a="1"/>
  <c r="J1749" i="13" s="1"/>
  <c r="M1753" i="14"/>
  <c r="M1752" i="13"/>
  <c r="J1748" i="14" a="1"/>
  <c r="J1748" i="14" s="1"/>
  <c r="N1749" i="14"/>
  <c r="K1586" i="14" l="1"/>
  <c r="L1586" i="14" s="1"/>
  <c r="I1587" i="14" s="1"/>
  <c r="J1749" i="14" a="1"/>
  <c r="J1749" i="14" s="1"/>
  <c r="N1750" i="14"/>
  <c r="K1564" i="13"/>
  <c r="L1564" i="13" s="1"/>
  <c r="I1565" i="13" s="1"/>
  <c r="M1753" i="13"/>
  <c r="M1754" i="14"/>
  <c r="J1750" i="13" a="1"/>
  <c r="J1750" i="13" s="1"/>
  <c r="N1751" i="13"/>
  <c r="K1565" i="13" l="1"/>
  <c r="L1565" i="13" s="1"/>
  <c r="I1566" i="13" s="1"/>
  <c r="K1587" i="14"/>
  <c r="L1587" i="14" s="1"/>
  <c r="I1588" i="14" s="1"/>
  <c r="M1755" i="14"/>
  <c r="J1751" i="13" a="1"/>
  <c r="J1751" i="13" s="1"/>
  <c r="N1752" i="13"/>
  <c r="J1750" i="14" a="1"/>
  <c r="J1750" i="14" s="1"/>
  <c r="N1751" i="14"/>
  <c r="M1754" i="13"/>
  <c r="K1566" i="13" l="1"/>
  <c r="L1566" i="13" s="1"/>
  <c r="I1567" i="13" s="1"/>
  <c r="N1752" i="14"/>
  <c r="J1751" i="14" a="1"/>
  <c r="J1751" i="14" s="1"/>
  <c r="J1752" i="13" a="1"/>
  <c r="J1752" i="13" s="1"/>
  <c r="N1753" i="13"/>
  <c r="K1588" i="14"/>
  <c r="L1588" i="14" s="1"/>
  <c r="I1589" i="14" s="1"/>
  <c r="M1755" i="13"/>
  <c r="M1756" i="14"/>
  <c r="K1567" i="13" l="1"/>
  <c r="L1567" i="13" s="1"/>
  <c r="I1568" i="13" s="1"/>
  <c r="M1757" i="14"/>
  <c r="J1752" i="14" a="1"/>
  <c r="J1752" i="14" s="1"/>
  <c r="N1753" i="14"/>
  <c r="N1754" i="13"/>
  <c r="J1753" i="13" a="1"/>
  <c r="J1753" i="13" s="1"/>
  <c r="K1589" i="14"/>
  <c r="L1589" i="14" s="1"/>
  <c r="I1590" i="14" s="1"/>
  <c r="M1756" i="13"/>
  <c r="K1590" i="14" l="1"/>
  <c r="L1590" i="14" s="1"/>
  <c r="I1591" i="14" s="1"/>
  <c r="K1568" i="13"/>
  <c r="L1568" i="13" s="1"/>
  <c r="I1569" i="13" s="1"/>
  <c r="J1754" i="13" a="1"/>
  <c r="J1754" i="13" s="1"/>
  <c r="N1755" i="13"/>
  <c r="M1758" i="14"/>
  <c r="J1753" i="14" a="1"/>
  <c r="J1753" i="14" s="1"/>
  <c r="N1754" i="14"/>
  <c r="M1757" i="13"/>
  <c r="K1591" i="14" l="1"/>
  <c r="L1591" i="14" s="1"/>
  <c r="I1592" i="14" s="1"/>
  <c r="J1754" i="14" a="1"/>
  <c r="J1754" i="14" s="1"/>
  <c r="N1755" i="14"/>
  <c r="M1759" i="14"/>
  <c r="M1758" i="13"/>
  <c r="K1569" i="13"/>
  <c r="L1569" i="13" s="1"/>
  <c r="I1570" i="13" s="1"/>
  <c r="J1755" i="13" a="1"/>
  <c r="J1755" i="13" s="1"/>
  <c r="N1756" i="13"/>
  <c r="K1570" i="13" l="1"/>
  <c r="L1570" i="13" s="1"/>
  <c r="I1571" i="13" s="1"/>
  <c r="K1592" i="14"/>
  <c r="L1592" i="14" s="1"/>
  <c r="I1593" i="14" s="1"/>
  <c r="N1756" i="14"/>
  <c r="J1755" i="14" a="1"/>
  <c r="J1755" i="14" s="1"/>
  <c r="M1759" i="13"/>
  <c r="J1756" i="13" a="1"/>
  <c r="J1756" i="13" s="1"/>
  <c r="N1757" i="13"/>
  <c r="M1760" i="14"/>
  <c r="K1593" i="14" l="1"/>
  <c r="L1593" i="14" s="1"/>
  <c r="I1594" i="14" s="1"/>
  <c r="K1571" i="13"/>
  <c r="L1571" i="13" s="1"/>
  <c r="I1572" i="13" s="1"/>
  <c r="M1761" i="14"/>
  <c r="M1760" i="13"/>
  <c r="N1758" i="13"/>
  <c r="J1757" i="13" a="1"/>
  <c r="J1757" i="13" s="1"/>
  <c r="J1756" i="14" a="1"/>
  <c r="J1756" i="14" s="1"/>
  <c r="N1757" i="14"/>
  <c r="K1594" i="14" l="1"/>
  <c r="L1594" i="14" s="1"/>
  <c r="I1595" i="14" s="1"/>
  <c r="J1757" i="14" a="1"/>
  <c r="J1757" i="14" s="1"/>
  <c r="N1758" i="14"/>
  <c r="M1761" i="13"/>
  <c r="K1572" i="13"/>
  <c r="L1572" i="13" s="1"/>
  <c r="I1573" i="13" s="1"/>
  <c r="J1758" i="13" a="1"/>
  <c r="J1758" i="13" s="1"/>
  <c r="N1759" i="13"/>
  <c r="M1762" i="14"/>
  <c r="K1595" i="14" l="1"/>
  <c r="L1595" i="14" s="1"/>
  <c r="I1596" i="14" s="1"/>
  <c r="M1763" i="14"/>
  <c r="J1758" i="14" a="1"/>
  <c r="J1758" i="14" s="1"/>
  <c r="N1759" i="14"/>
  <c r="K1573" i="13"/>
  <c r="L1573" i="13" s="1"/>
  <c r="I1574" i="13" s="1"/>
  <c r="J1759" i="13" a="1"/>
  <c r="J1759" i="13" s="1"/>
  <c r="N1760" i="13"/>
  <c r="M1762" i="13"/>
  <c r="K1574" i="13" l="1"/>
  <c r="L1574" i="13" s="1"/>
  <c r="I1575" i="13" s="1"/>
  <c r="K1596" i="14"/>
  <c r="L1596" i="14" s="1"/>
  <c r="I1597" i="14" s="1"/>
  <c r="J1760" i="13" a="1"/>
  <c r="J1760" i="13" s="1"/>
  <c r="N1761" i="13"/>
  <c r="M1763" i="13"/>
  <c r="M1764" i="14"/>
  <c r="N1760" i="14"/>
  <c r="J1759" i="14" a="1"/>
  <c r="J1759" i="14" s="1"/>
  <c r="K1597" i="14" l="1"/>
  <c r="L1597" i="14" s="1"/>
  <c r="I1598" i="14" s="1"/>
  <c r="K1575" i="13"/>
  <c r="L1575" i="13" s="1"/>
  <c r="I1576" i="13" s="1"/>
  <c r="M1764" i="13"/>
  <c r="N1762" i="13"/>
  <c r="J1761" i="13" a="1"/>
  <c r="J1761" i="13" s="1"/>
  <c r="J1760" i="14" a="1"/>
  <c r="J1760" i="14" s="1"/>
  <c r="N1761" i="14"/>
  <c r="M1765" i="14"/>
  <c r="K1576" i="13" l="1"/>
  <c r="L1576" i="13" s="1"/>
  <c r="I1577" i="13" s="1"/>
  <c r="K1598" i="14"/>
  <c r="L1598" i="14" s="1"/>
  <c r="I1599" i="14" s="1"/>
  <c r="J1762" i="13" a="1"/>
  <c r="J1762" i="13" s="1"/>
  <c r="N1763" i="13"/>
  <c r="J1761" i="14" a="1"/>
  <c r="J1761" i="14" s="1"/>
  <c r="N1762" i="14"/>
  <c r="M1765" i="13"/>
  <c r="M1766" i="14"/>
  <c r="K1599" i="14" l="1"/>
  <c r="L1599" i="14" s="1"/>
  <c r="I1600" i="14" s="1"/>
  <c r="K1577" i="13"/>
  <c r="L1577" i="13" s="1"/>
  <c r="I1578" i="13" s="1"/>
  <c r="J1762" i="14" a="1"/>
  <c r="J1762" i="14" s="1"/>
  <c r="N1763" i="14"/>
  <c r="M1767" i="14"/>
  <c r="J1763" i="13" a="1"/>
  <c r="J1763" i="13" s="1"/>
  <c r="N1764" i="13"/>
  <c r="M1766" i="13"/>
  <c r="K1578" i="13" l="1"/>
  <c r="L1578" i="13" s="1"/>
  <c r="I1579" i="13" s="1"/>
  <c r="K1600" i="14"/>
  <c r="L1600" i="14" s="1"/>
  <c r="I1601" i="14" s="1"/>
  <c r="M1767" i="13"/>
  <c r="M1768" i="14"/>
  <c r="J1764" i="13" a="1"/>
  <c r="J1764" i="13" s="1"/>
  <c r="N1765" i="13"/>
  <c r="N1764" i="14"/>
  <c r="J1763" i="14" a="1"/>
  <c r="J1763" i="14" s="1"/>
  <c r="K1601" i="14" l="1"/>
  <c r="L1601" i="14" s="1"/>
  <c r="I1602" i="14" s="1"/>
  <c r="K1579" i="13"/>
  <c r="L1579" i="13" s="1"/>
  <c r="I1580" i="13" s="1"/>
  <c r="J1764" i="14" a="1"/>
  <c r="J1764" i="14" s="1"/>
  <c r="N1765" i="14"/>
  <c r="M1769" i="14"/>
  <c r="N1766" i="13"/>
  <c r="J1765" i="13" a="1"/>
  <c r="J1765" i="13" s="1"/>
  <c r="M1768" i="13"/>
  <c r="K1580" i="13" l="1"/>
  <c r="L1580" i="13" s="1"/>
  <c r="I1581" i="13" s="1"/>
  <c r="K1602" i="14"/>
  <c r="L1602" i="14" s="1"/>
  <c r="I1603" i="14" s="1"/>
  <c r="J1766" i="13" a="1"/>
  <c r="J1766" i="13" s="1"/>
  <c r="N1767" i="13"/>
  <c r="M1769" i="13"/>
  <c r="M1770" i="14"/>
  <c r="J1765" i="14" a="1"/>
  <c r="J1765" i="14" s="1"/>
  <c r="N1766" i="14"/>
  <c r="K1603" i="14" l="1"/>
  <c r="L1603" i="14" s="1"/>
  <c r="I1604" i="14" s="1"/>
  <c r="K1581" i="13"/>
  <c r="L1581" i="13" s="1"/>
  <c r="I1582" i="13" s="1"/>
  <c r="J1766" i="14" a="1"/>
  <c r="J1766" i="14" s="1"/>
  <c r="N1767" i="14"/>
  <c r="M1770" i="13"/>
  <c r="M1771" i="14"/>
  <c r="J1767" i="13" a="1"/>
  <c r="J1767" i="13" s="1"/>
  <c r="N1768" i="13"/>
  <c r="K1582" i="13" l="1"/>
  <c r="L1582" i="13" s="1"/>
  <c r="I1583" i="13" s="1"/>
  <c r="K1604" i="14"/>
  <c r="L1604" i="14" s="1"/>
  <c r="I1605" i="14" s="1"/>
  <c r="J1768" i="13" a="1"/>
  <c r="J1768" i="13" s="1"/>
  <c r="N1769" i="13"/>
  <c r="M1771" i="13"/>
  <c r="N1768" i="14"/>
  <c r="J1767" i="14" a="1"/>
  <c r="J1767" i="14" s="1"/>
  <c r="M1772" i="14"/>
  <c r="K1583" i="13" l="1"/>
  <c r="L1583" i="13" s="1"/>
  <c r="I1584" i="13" s="1"/>
  <c r="M1773" i="14"/>
  <c r="M1772" i="13"/>
  <c r="K1605" i="14"/>
  <c r="L1605" i="14" s="1"/>
  <c r="I1606" i="14" s="1"/>
  <c r="N1770" i="13"/>
  <c r="J1769" i="13" a="1"/>
  <c r="J1769" i="13" s="1"/>
  <c r="J1768" i="14" a="1"/>
  <c r="J1768" i="14" s="1"/>
  <c r="N1769" i="14"/>
  <c r="K1584" i="13" l="1"/>
  <c r="L1584" i="13" s="1"/>
  <c r="I1585" i="13" s="1"/>
  <c r="J1769" i="14" a="1"/>
  <c r="J1769" i="14" s="1"/>
  <c r="N1770" i="14"/>
  <c r="M1774" i="14"/>
  <c r="M1773" i="13"/>
  <c r="K1606" i="14"/>
  <c r="L1606" i="14" s="1"/>
  <c r="I1607" i="14" s="1"/>
  <c r="J1770" i="13" a="1"/>
  <c r="J1770" i="13" s="1"/>
  <c r="N1771" i="13"/>
  <c r="K1607" i="14" l="1"/>
  <c r="L1607" i="14" s="1"/>
  <c r="I1608" i="14" s="1"/>
  <c r="K1585" i="13"/>
  <c r="L1585" i="13" s="1"/>
  <c r="I1586" i="13" s="1"/>
  <c r="J1770" i="14" a="1"/>
  <c r="J1770" i="14" s="1"/>
  <c r="N1771" i="14"/>
  <c r="M1774" i="13"/>
  <c r="J1771" i="13" a="1"/>
  <c r="J1771" i="13" s="1"/>
  <c r="N1772" i="13"/>
  <c r="M1775" i="14"/>
  <c r="K1586" i="13" l="1"/>
  <c r="L1586" i="13" s="1"/>
  <c r="I1587" i="13" s="1"/>
  <c r="K1608" i="14"/>
  <c r="L1608" i="14" s="1"/>
  <c r="I1609" i="14" s="1"/>
  <c r="J1772" i="13" a="1"/>
  <c r="J1772" i="13" s="1"/>
  <c r="N1773" i="13"/>
  <c r="M1776" i="14"/>
  <c r="M1775" i="13"/>
  <c r="N1772" i="14"/>
  <c r="J1771" i="14" a="1"/>
  <c r="J1771" i="14" s="1"/>
  <c r="K1609" i="14" l="1"/>
  <c r="L1609" i="14" s="1"/>
  <c r="I1610" i="14" s="1"/>
  <c r="K1587" i="13"/>
  <c r="L1587" i="13" s="1"/>
  <c r="I1588" i="13" s="1"/>
  <c r="J1772" i="14" a="1"/>
  <c r="J1772" i="14" s="1"/>
  <c r="N1773" i="14"/>
  <c r="M1777" i="14"/>
  <c r="N1774" i="13"/>
  <c r="J1773" i="13" a="1"/>
  <c r="J1773" i="13" s="1"/>
  <c r="M1776" i="13"/>
  <c r="K1610" i="14" l="1"/>
  <c r="L1610" i="14" s="1"/>
  <c r="I1611" i="14" s="1"/>
  <c r="M1777" i="13"/>
  <c r="M1778" i="14"/>
  <c r="K1588" i="13"/>
  <c r="L1588" i="13" s="1"/>
  <c r="I1589" i="13" s="1"/>
  <c r="J1773" i="14" a="1"/>
  <c r="J1773" i="14" s="1"/>
  <c r="N1774" i="14"/>
  <c r="J1774" i="13" a="1"/>
  <c r="J1774" i="13" s="1"/>
  <c r="N1775" i="13"/>
  <c r="K1589" i="13" l="1"/>
  <c r="L1589" i="13" s="1"/>
  <c r="I1590" i="13" s="1"/>
  <c r="K1611" i="14"/>
  <c r="L1611" i="14" s="1"/>
  <c r="I1612" i="14" s="1"/>
  <c r="J1775" i="13" a="1"/>
  <c r="J1775" i="13" s="1"/>
  <c r="N1776" i="13"/>
  <c r="M1778" i="13"/>
  <c r="J1774" i="14" a="1"/>
  <c r="J1774" i="14" s="1"/>
  <c r="N1775" i="14"/>
  <c r="M1779" i="14"/>
  <c r="K1612" i="14" l="1"/>
  <c r="L1612" i="14" s="1"/>
  <c r="I1613" i="14" s="1"/>
  <c r="K1590" i="13"/>
  <c r="L1590" i="13" s="1"/>
  <c r="I1591" i="13" s="1"/>
  <c r="N1776" i="14"/>
  <c r="J1775" i="14" a="1"/>
  <c r="J1775" i="14" s="1"/>
  <c r="M1780" i="14"/>
  <c r="M1779" i="13"/>
  <c r="J1776" i="13" a="1"/>
  <c r="J1776" i="13" s="1"/>
  <c r="N1777" i="13"/>
  <c r="K1591" i="13" l="1"/>
  <c r="L1591" i="13" s="1"/>
  <c r="I1592" i="13" s="1"/>
  <c r="K1613" i="14"/>
  <c r="L1613" i="14" s="1"/>
  <c r="I1614" i="14" s="1"/>
  <c r="N1778" i="13"/>
  <c r="J1777" i="13" a="1"/>
  <c r="J1777" i="13" s="1"/>
  <c r="M1781" i="14"/>
  <c r="M1780" i="13"/>
  <c r="J1776" i="14" a="1"/>
  <c r="J1776" i="14" s="1"/>
  <c r="N1777" i="14"/>
  <c r="K1592" i="13" l="1"/>
  <c r="L1592" i="13" s="1"/>
  <c r="I1593" i="13" s="1"/>
  <c r="J1777" i="14" a="1"/>
  <c r="J1777" i="14" s="1"/>
  <c r="N1778" i="14"/>
  <c r="K1614" i="14"/>
  <c r="L1614" i="14" s="1"/>
  <c r="I1615" i="14" s="1"/>
  <c r="M1782" i="14"/>
  <c r="M1781" i="13"/>
  <c r="J1778" i="13" a="1"/>
  <c r="J1778" i="13" s="1"/>
  <c r="N1779" i="13"/>
  <c r="K1593" i="13" l="1"/>
  <c r="L1593" i="13" s="1"/>
  <c r="I1594" i="13" s="1"/>
  <c r="J1779" i="13" a="1"/>
  <c r="J1779" i="13" s="1"/>
  <c r="N1780" i="13"/>
  <c r="J1778" i="14" a="1"/>
  <c r="J1778" i="14" s="1"/>
  <c r="N1779" i="14"/>
  <c r="M1783" i="14"/>
  <c r="M1782" i="13"/>
  <c r="K1615" i="14"/>
  <c r="L1615" i="14" s="1"/>
  <c r="I1616" i="14" s="1"/>
  <c r="K1594" i="13" l="1"/>
  <c r="L1594" i="13" s="1"/>
  <c r="I1595" i="13" s="1"/>
  <c r="J1780" i="13" a="1"/>
  <c r="J1780" i="13" s="1"/>
  <c r="N1781" i="13"/>
  <c r="M1784" i="14"/>
  <c r="N1780" i="14"/>
  <c r="J1779" i="14" a="1"/>
  <c r="J1779" i="14" s="1"/>
  <c r="K1616" i="14"/>
  <c r="L1616" i="14" s="1"/>
  <c r="I1617" i="14" s="1"/>
  <c r="M1783" i="13"/>
  <c r="K1617" i="14" l="1"/>
  <c r="L1617" i="14" s="1"/>
  <c r="I1618" i="14" s="1"/>
  <c r="K1595" i="13"/>
  <c r="L1595" i="13" s="1"/>
  <c r="I1596" i="13" s="1"/>
  <c r="N1782" i="13"/>
  <c r="J1781" i="13" a="1"/>
  <c r="J1781" i="13" s="1"/>
  <c r="M1784" i="13"/>
  <c r="J1780" i="14" a="1"/>
  <c r="J1780" i="14" s="1"/>
  <c r="N1781" i="14"/>
  <c r="M1785" i="14"/>
  <c r="K1596" i="13" l="1"/>
  <c r="L1596" i="13" s="1"/>
  <c r="I1597" i="13" s="1"/>
  <c r="K1618" i="14"/>
  <c r="L1618" i="14" s="1"/>
  <c r="I1619" i="14" s="1"/>
  <c r="J1781" i="14" a="1"/>
  <c r="J1781" i="14" s="1"/>
  <c r="N1782" i="14"/>
  <c r="M1785" i="13"/>
  <c r="M1786" i="14"/>
  <c r="J1782" i="13" a="1"/>
  <c r="J1782" i="13" s="1"/>
  <c r="N1783" i="13"/>
  <c r="K1619" i="14" l="1"/>
  <c r="L1619" i="14" s="1"/>
  <c r="I1620" i="14" s="1"/>
  <c r="K1597" i="13"/>
  <c r="L1597" i="13" s="1"/>
  <c r="I1598" i="13" s="1"/>
  <c r="J1783" i="13" a="1"/>
  <c r="J1783" i="13" s="1"/>
  <c r="N1784" i="13"/>
  <c r="M1786" i="13"/>
  <c r="J1782" i="14" a="1"/>
  <c r="J1782" i="14" s="1"/>
  <c r="N1783" i="14"/>
  <c r="M1787" i="14"/>
  <c r="N1784" i="14" l="1"/>
  <c r="J1783" i="14" a="1"/>
  <c r="J1783" i="14" s="1"/>
  <c r="M1788" i="14"/>
  <c r="M1787" i="13"/>
  <c r="K1598" i="13"/>
  <c r="L1598" i="13" s="1"/>
  <c r="I1599" i="13" s="1"/>
  <c r="J1784" i="13" a="1"/>
  <c r="J1784" i="13" s="1"/>
  <c r="N1785" i="13"/>
  <c r="K1620" i="14"/>
  <c r="L1620" i="14" s="1"/>
  <c r="I1621" i="14" s="1"/>
  <c r="K1621" i="14" l="1"/>
  <c r="L1621" i="14" s="1"/>
  <c r="I1622" i="14" s="1"/>
  <c r="K1599" i="13"/>
  <c r="L1599" i="13" s="1"/>
  <c r="I1600" i="13" s="1"/>
  <c r="N1786" i="13"/>
  <c r="J1785" i="13" a="1"/>
  <c r="J1785" i="13" s="1"/>
  <c r="M1788" i="13"/>
  <c r="M1789" i="14"/>
  <c r="J1784" i="14" a="1"/>
  <c r="J1784" i="14" s="1"/>
  <c r="N1785" i="14"/>
  <c r="K1600" i="13" l="1"/>
  <c r="L1600" i="13" s="1"/>
  <c r="I1601" i="13" s="1"/>
  <c r="K1622" i="14"/>
  <c r="L1622" i="14" s="1"/>
  <c r="I1623" i="14" s="1"/>
  <c r="J1785" i="14" a="1"/>
  <c r="J1785" i="14" s="1"/>
  <c r="N1786" i="14"/>
  <c r="M1789" i="13"/>
  <c r="M1790" i="14"/>
  <c r="J1786" i="13" a="1"/>
  <c r="J1786" i="13" s="1"/>
  <c r="N1787" i="13"/>
  <c r="K1623" i="14" l="1"/>
  <c r="L1623" i="14" s="1"/>
  <c r="I1624" i="14" s="1"/>
  <c r="K1601" i="13"/>
  <c r="L1601" i="13" s="1"/>
  <c r="I1602" i="13" s="1"/>
  <c r="J1787" i="13" a="1"/>
  <c r="J1787" i="13" s="1"/>
  <c r="N1788" i="13"/>
  <c r="M1790" i="13"/>
  <c r="J1786" i="14" a="1"/>
  <c r="J1786" i="14" s="1"/>
  <c r="N1787" i="14"/>
  <c r="M1791" i="14"/>
  <c r="K1602" i="13" l="1"/>
  <c r="L1602" i="13" s="1"/>
  <c r="I1603" i="13" s="1"/>
  <c r="K1624" i="14"/>
  <c r="L1624" i="14" s="1"/>
  <c r="I1625" i="14" s="1"/>
  <c r="M1792" i="14"/>
  <c r="M1791" i="13"/>
  <c r="J1788" i="13" a="1"/>
  <c r="J1788" i="13" s="1"/>
  <c r="N1789" i="13"/>
  <c r="N1788" i="14"/>
  <c r="J1787" i="14" a="1"/>
  <c r="J1787" i="14" s="1"/>
  <c r="K1625" i="14" l="1"/>
  <c r="L1625" i="14" s="1"/>
  <c r="I1626" i="14" s="1"/>
  <c r="K1603" i="13"/>
  <c r="L1603" i="13" s="1"/>
  <c r="I1604" i="13" s="1"/>
  <c r="J1788" i="14" a="1"/>
  <c r="J1788" i="14" s="1"/>
  <c r="N1789" i="14"/>
  <c r="M1792" i="13"/>
  <c r="N1790" i="13"/>
  <c r="J1789" i="13" a="1"/>
  <c r="J1789" i="13" s="1"/>
  <c r="M1793" i="14"/>
  <c r="K1604" i="13" l="1"/>
  <c r="L1604" i="13" s="1"/>
  <c r="I1605" i="13" s="1"/>
  <c r="K1626" i="14"/>
  <c r="L1626" i="14" s="1"/>
  <c r="I1627" i="14" s="1"/>
  <c r="M1793" i="13"/>
  <c r="J1790" i="13" a="1"/>
  <c r="J1790" i="13" s="1"/>
  <c r="N1791" i="13"/>
  <c r="M1794" i="14"/>
  <c r="J1789" i="14" a="1"/>
  <c r="J1789" i="14" s="1"/>
  <c r="N1790" i="14"/>
  <c r="K1627" i="14" l="1"/>
  <c r="L1627" i="14" s="1"/>
  <c r="I1628" i="14" s="1"/>
  <c r="J1790" i="14" a="1"/>
  <c r="J1790" i="14" s="1"/>
  <c r="N1791" i="14"/>
  <c r="J1791" i="13" a="1"/>
  <c r="J1791" i="13" s="1"/>
  <c r="N1792" i="13"/>
  <c r="M1795" i="14"/>
  <c r="M1794" i="13"/>
  <c r="K1605" i="13"/>
  <c r="L1605" i="13" s="1"/>
  <c r="I1606" i="13" s="1"/>
  <c r="K1606" i="13" l="1"/>
  <c r="L1606" i="13" s="1"/>
  <c r="I1607" i="13" s="1"/>
  <c r="K1628" i="14"/>
  <c r="L1628" i="14" s="1"/>
  <c r="I1629" i="14" s="1"/>
  <c r="N1792" i="14"/>
  <c r="J1791" i="14" a="1"/>
  <c r="J1791" i="14" s="1"/>
  <c r="M1796" i="14"/>
  <c r="J1792" i="13" a="1"/>
  <c r="J1792" i="13" s="1"/>
  <c r="N1793" i="13"/>
  <c r="M1795" i="13"/>
  <c r="K1629" i="14" l="1"/>
  <c r="L1629" i="14" s="1"/>
  <c r="I1630" i="14" s="1"/>
  <c r="K1607" i="13"/>
  <c r="L1607" i="13" s="1"/>
  <c r="I1608" i="13" s="1"/>
  <c r="N1794" i="13"/>
  <c r="J1793" i="13" a="1"/>
  <c r="J1793" i="13" s="1"/>
  <c r="M1796" i="13"/>
  <c r="M1797" i="14"/>
  <c r="J1792" i="14" a="1"/>
  <c r="J1792" i="14" s="1"/>
  <c r="N1793" i="14"/>
  <c r="K1608" i="13" l="1"/>
  <c r="L1608" i="13" s="1"/>
  <c r="I1609" i="13" s="1"/>
  <c r="K1630" i="14"/>
  <c r="L1630" i="14" s="1"/>
  <c r="I1631" i="14" s="1"/>
  <c r="J1793" i="14" a="1"/>
  <c r="J1793" i="14" s="1"/>
  <c r="N1794" i="14"/>
  <c r="M1797" i="13"/>
  <c r="M1798" i="14"/>
  <c r="J1794" i="13" a="1"/>
  <c r="J1794" i="13" s="1"/>
  <c r="N1795" i="13"/>
  <c r="K1631" i="14" l="1"/>
  <c r="L1631" i="14" s="1"/>
  <c r="I1632" i="14" s="1"/>
  <c r="M1799" i="14"/>
  <c r="J1795" i="13" a="1"/>
  <c r="J1795" i="13" s="1"/>
  <c r="N1796" i="13"/>
  <c r="K1609" i="13"/>
  <c r="L1609" i="13" s="1"/>
  <c r="I1610" i="13" s="1"/>
  <c r="M1798" i="13"/>
  <c r="J1794" i="14" a="1"/>
  <c r="J1794" i="14" s="1"/>
  <c r="N1795" i="14"/>
  <c r="K1632" i="14" l="1"/>
  <c r="L1632" i="14" s="1"/>
  <c r="I1633" i="14" s="1"/>
  <c r="M1799" i="13"/>
  <c r="N1796" i="14"/>
  <c r="J1795" i="14" a="1"/>
  <c r="J1795" i="14" s="1"/>
  <c r="K1610" i="13"/>
  <c r="L1610" i="13" s="1"/>
  <c r="I1611" i="13" s="1"/>
  <c r="M1800" i="14"/>
  <c r="J1796" i="13" a="1"/>
  <c r="J1796" i="13" s="1"/>
  <c r="N1797" i="13"/>
  <c r="K1611" i="13" l="1"/>
  <c r="L1611" i="13" s="1"/>
  <c r="I1612" i="13" s="1"/>
  <c r="K1633" i="14"/>
  <c r="L1633" i="14" s="1"/>
  <c r="I1634" i="14" s="1"/>
  <c r="N1798" i="13"/>
  <c r="J1797" i="13" a="1"/>
  <c r="J1797" i="13" s="1"/>
  <c r="M1800" i="13"/>
  <c r="M1801" i="14"/>
  <c r="J1796" i="14" a="1"/>
  <c r="J1796" i="14" s="1"/>
  <c r="N1797" i="14"/>
  <c r="K1634" i="14" l="1"/>
  <c r="L1634" i="14" s="1"/>
  <c r="I1635" i="14" s="1"/>
  <c r="K1612" i="13"/>
  <c r="L1612" i="13" s="1"/>
  <c r="I1613" i="13" s="1"/>
  <c r="J1797" i="14" a="1"/>
  <c r="J1797" i="14" s="1"/>
  <c r="N1798" i="14"/>
  <c r="M1801" i="13"/>
  <c r="M1802" i="14"/>
  <c r="J1798" i="13" a="1"/>
  <c r="J1798" i="13" s="1"/>
  <c r="N1799" i="13"/>
  <c r="K1613" i="13" l="1"/>
  <c r="L1613" i="13" s="1"/>
  <c r="I1614" i="13" s="1"/>
  <c r="K1635" i="14"/>
  <c r="L1635" i="14" s="1"/>
  <c r="I1636" i="14" s="1"/>
  <c r="J1799" i="13" a="1"/>
  <c r="J1799" i="13" s="1"/>
  <c r="N1800" i="13"/>
  <c r="M1802" i="13"/>
  <c r="J1798" i="14" a="1"/>
  <c r="J1798" i="14" s="1"/>
  <c r="N1799" i="14"/>
  <c r="M1803" i="14"/>
  <c r="K1614" i="13" l="1"/>
  <c r="L1614" i="13" s="1"/>
  <c r="I1615" i="13" s="1"/>
  <c r="M1803" i="13"/>
  <c r="N1800" i="14"/>
  <c r="J1799" i="14" a="1"/>
  <c r="J1799" i="14" s="1"/>
  <c r="M1804" i="14"/>
  <c r="K1636" i="14"/>
  <c r="L1636" i="14" s="1"/>
  <c r="I1637" i="14" s="1"/>
  <c r="J1800" i="13" a="1"/>
  <c r="J1800" i="13" s="1"/>
  <c r="N1801" i="13"/>
  <c r="K1637" i="14" l="1"/>
  <c r="L1637" i="14" s="1"/>
  <c r="I1638" i="14" s="1"/>
  <c r="K1615" i="13"/>
  <c r="L1615" i="13" s="1"/>
  <c r="I1616" i="13" s="1"/>
  <c r="N1802" i="13"/>
  <c r="J1801" i="13" a="1"/>
  <c r="J1801" i="13" s="1"/>
  <c r="M1805" i="14"/>
  <c r="M1804" i="13"/>
  <c r="J1800" i="14" a="1"/>
  <c r="J1800" i="14" s="1"/>
  <c r="N1801" i="14"/>
  <c r="K1616" i="13" l="1"/>
  <c r="L1616" i="13" s="1"/>
  <c r="I1617" i="13" s="1"/>
  <c r="K1638" i="14"/>
  <c r="L1638" i="14" s="1"/>
  <c r="I1639" i="14" s="1"/>
  <c r="J1801" i="14" a="1"/>
  <c r="J1801" i="14" s="1"/>
  <c r="N1802" i="14"/>
  <c r="M1806" i="14"/>
  <c r="M1805" i="13"/>
  <c r="J1802" i="13" a="1"/>
  <c r="J1802" i="13" s="1"/>
  <c r="N1803" i="13"/>
  <c r="K1639" i="14" l="1"/>
  <c r="L1639" i="14" s="1"/>
  <c r="I1640" i="14" s="1"/>
  <c r="K1617" i="13"/>
  <c r="L1617" i="13" s="1"/>
  <c r="I1618" i="13" s="1"/>
  <c r="J1803" i="13" a="1"/>
  <c r="J1803" i="13" s="1"/>
  <c r="N1804" i="13"/>
  <c r="M1807" i="14"/>
  <c r="J1802" i="14" a="1"/>
  <c r="J1802" i="14" s="1"/>
  <c r="N1803" i="14"/>
  <c r="M1806" i="13"/>
  <c r="K1618" i="13" l="1"/>
  <c r="L1618" i="13" s="1"/>
  <c r="I1619" i="13" s="1"/>
  <c r="K1640" i="14"/>
  <c r="L1640" i="14" s="1"/>
  <c r="I1641" i="14" s="1"/>
  <c r="N1804" i="14"/>
  <c r="J1803" i="14" a="1"/>
  <c r="J1803" i="14" s="1"/>
  <c r="M1807" i="13"/>
  <c r="M1808" i="14"/>
  <c r="J1804" i="13" a="1"/>
  <c r="J1804" i="13" s="1"/>
  <c r="N1805" i="13"/>
  <c r="K1641" i="14" l="1"/>
  <c r="L1641" i="14" s="1"/>
  <c r="I1642" i="14" s="1"/>
  <c r="K1619" i="13"/>
  <c r="L1619" i="13" s="1"/>
  <c r="I1620" i="13" s="1"/>
  <c r="M1808" i="13"/>
  <c r="N1806" i="13"/>
  <c r="J1805" i="13" a="1"/>
  <c r="J1805" i="13" s="1"/>
  <c r="M1809" i="14"/>
  <c r="J1804" i="14" a="1"/>
  <c r="J1804" i="14" s="1"/>
  <c r="N1805" i="14"/>
  <c r="K1620" i="13" l="1"/>
  <c r="L1620" i="13" s="1"/>
  <c r="I1621" i="13" s="1"/>
  <c r="K1642" i="14"/>
  <c r="L1642" i="14" s="1"/>
  <c r="I1643" i="14" s="1"/>
  <c r="J1806" i="13" a="1"/>
  <c r="J1806" i="13" s="1"/>
  <c r="N1807" i="13"/>
  <c r="M1809" i="13"/>
  <c r="J1805" i="14" a="1"/>
  <c r="J1805" i="14" s="1"/>
  <c r="N1806" i="14"/>
  <c r="M1810" i="14"/>
  <c r="K1643" i="14" l="1"/>
  <c r="L1643" i="14" s="1"/>
  <c r="I1644" i="14" s="1"/>
  <c r="K1621" i="13"/>
  <c r="L1621" i="13" s="1"/>
  <c r="I1622" i="13" s="1"/>
  <c r="M1811" i="14"/>
  <c r="M1810" i="13"/>
  <c r="J1806" i="14" a="1"/>
  <c r="J1806" i="14" s="1"/>
  <c r="N1807" i="14"/>
  <c r="J1807" i="13" a="1"/>
  <c r="J1807" i="13" s="1"/>
  <c r="N1808" i="13"/>
  <c r="K1644" i="14" l="1"/>
  <c r="L1644" i="14" s="1"/>
  <c r="I1645" i="14" s="1"/>
  <c r="K1622" i="13"/>
  <c r="L1622" i="13" s="1"/>
  <c r="I1623" i="13" s="1"/>
  <c r="J1808" i="13" a="1"/>
  <c r="J1808" i="13" s="1"/>
  <c r="N1809" i="13"/>
  <c r="M1811" i="13"/>
  <c r="N1808" i="14"/>
  <c r="J1807" i="14" a="1"/>
  <c r="J1807" i="14" s="1"/>
  <c r="M1812" i="14"/>
  <c r="K1623" i="13" l="1"/>
  <c r="L1623" i="13" s="1"/>
  <c r="I1624" i="13" s="1"/>
  <c r="K1645" i="14"/>
  <c r="L1645" i="14" s="1"/>
  <c r="I1646" i="14" s="1"/>
  <c r="J1808" i="14" a="1"/>
  <c r="J1808" i="14" s="1"/>
  <c r="N1809" i="14"/>
  <c r="M1813" i="14"/>
  <c r="M1812" i="13"/>
  <c r="N1810" i="13"/>
  <c r="J1809" i="13" a="1"/>
  <c r="J1809" i="13" s="1"/>
  <c r="K1646" i="14" l="1"/>
  <c r="L1646" i="14" s="1"/>
  <c r="I1647" i="14" s="1"/>
  <c r="K1624" i="13"/>
  <c r="L1624" i="13" s="1"/>
  <c r="I1625" i="13" s="1"/>
  <c r="J1810" i="13" a="1"/>
  <c r="J1810" i="13" s="1"/>
  <c r="N1811" i="13"/>
  <c r="M1814" i="14"/>
  <c r="M1813" i="13"/>
  <c r="J1809" i="14" a="1"/>
  <c r="J1809" i="14" s="1"/>
  <c r="N1810" i="14"/>
  <c r="K1625" i="13" l="1"/>
  <c r="L1625" i="13" s="1"/>
  <c r="I1626" i="13" s="1"/>
  <c r="K1647" i="14"/>
  <c r="L1647" i="14" s="1"/>
  <c r="I1648" i="14" s="1"/>
  <c r="J1810" i="14" a="1"/>
  <c r="J1810" i="14" s="1"/>
  <c r="N1811" i="14"/>
  <c r="M1815" i="14"/>
  <c r="J1811" i="13" a="1"/>
  <c r="J1811" i="13" s="1"/>
  <c r="N1812" i="13"/>
  <c r="M1814" i="13"/>
  <c r="K1648" i="14" l="1"/>
  <c r="L1648" i="14" s="1"/>
  <c r="I1649" i="14" s="1"/>
  <c r="K1626" i="13"/>
  <c r="L1626" i="13" s="1"/>
  <c r="I1627" i="13" s="1"/>
  <c r="J1812" i="13" a="1"/>
  <c r="J1812" i="13" s="1"/>
  <c r="N1813" i="13"/>
  <c r="M1815" i="13"/>
  <c r="M1816" i="14"/>
  <c r="N1812" i="14"/>
  <c r="J1811" i="14" a="1"/>
  <c r="J1811" i="14" s="1"/>
  <c r="K1627" i="13" l="1"/>
  <c r="L1627" i="13" s="1"/>
  <c r="I1628" i="13" s="1"/>
  <c r="K1649" i="14"/>
  <c r="L1649" i="14" s="1"/>
  <c r="I1650" i="14" s="1"/>
  <c r="J1812" i="14" a="1"/>
  <c r="J1812" i="14" s="1"/>
  <c r="N1813" i="14"/>
  <c r="M1816" i="13"/>
  <c r="N1814" i="13"/>
  <c r="J1813" i="13" a="1"/>
  <c r="J1813" i="13" s="1"/>
  <c r="M1817" i="14"/>
  <c r="K1650" i="14" l="1"/>
  <c r="L1650" i="14" s="1"/>
  <c r="I1651" i="14" s="1"/>
  <c r="K1628" i="13"/>
  <c r="L1628" i="13" s="1"/>
  <c r="I1629" i="13" s="1"/>
  <c r="M1817" i="13"/>
  <c r="M1818" i="14"/>
  <c r="J1813" i="14" a="1"/>
  <c r="J1813" i="14" s="1"/>
  <c r="N1814" i="14"/>
  <c r="J1814" i="13" a="1"/>
  <c r="J1814" i="13" s="1"/>
  <c r="N1815" i="13"/>
  <c r="K1651" i="14" l="1"/>
  <c r="L1651" i="14" s="1"/>
  <c r="I1652" i="14" s="1"/>
  <c r="J1815" i="13" a="1"/>
  <c r="J1815" i="13" s="1"/>
  <c r="N1816" i="13"/>
  <c r="M1819" i="14"/>
  <c r="K1629" i="13"/>
  <c r="L1629" i="13" s="1"/>
  <c r="I1630" i="13" s="1"/>
  <c r="J1814" i="14" a="1"/>
  <c r="J1814" i="14" s="1"/>
  <c r="N1815" i="14"/>
  <c r="M1818" i="13"/>
  <c r="K1630" i="13" l="1"/>
  <c r="L1630" i="13" s="1"/>
  <c r="I1631" i="13" s="1"/>
  <c r="K1652" i="14"/>
  <c r="L1652" i="14" s="1"/>
  <c r="I1653" i="14" s="1"/>
  <c r="J1816" i="13" a="1"/>
  <c r="J1816" i="13" s="1"/>
  <c r="N1817" i="13"/>
  <c r="N1816" i="14"/>
  <c r="J1815" i="14" a="1"/>
  <c r="J1815" i="14" s="1"/>
  <c r="M1819" i="13"/>
  <c r="M1820" i="14"/>
  <c r="K1653" i="14" l="1"/>
  <c r="L1653" i="14" s="1"/>
  <c r="I1654" i="14" s="1"/>
  <c r="K1631" i="13"/>
  <c r="L1631" i="13" s="1"/>
  <c r="I1632" i="13" s="1"/>
  <c r="M1821" i="14"/>
  <c r="J1816" i="14" a="1"/>
  <c r="J1816" i="14" s="1"/>
  <c r="N1817" i="14"/>
  <c r="N1818" i="13"/>
  <c r="J1817" i="13" a="1"/>
  <c r="J1817" i="13" s="1"/>
  <c r="M1820" i="13"/>
  <c r="K1654" i="14" l="1"/>
  <c r="L1654" i="14" s="1"/>
  <c r="I1655" i="14" s="1"/>
  <c r="M1821" i="13"/>
  <c r="J1817" i="14" a="1"/>
  <c r="J1817" i="14" s="1"/>
  <c r="N1818" i="14"/>
  <c r="K1632" i="13"/>
  <c r="L1632" i="13" s="1"/>
  <c r="I1633" i="13" s="1"/>
  <c r="J1818" i="13" a="1"/>
  <c r="J1818" i="13" s="1"/>
  <c r="N1819" i="13"/>
  <c r="M1822" i="14"/>
  <c r="K1633" i="13" l="1"/>
  <c r="L1633" i="13" s="1"/>
  <c r="I1634" i="13" s="1"/>
  <c r="K1655" i="14"/>
  <c r="L1655" i="14" s="1"/>
  <c r="I1656" i="14" s="1"/>
  <c r="J1819" i="13" a="1"/>
  <c r="J1819" i="13" s="1"/>
  <c r="N1820" i="13"/>
  <c r="M1823" i="14"/>
  <c r="M1822" i="13"/>
  <c r="J1818" i="14" a="1"/>
  <c r="J1818" i="14" s="1"/>
  <c r="N1819" i="14"/>
  <c r="K1656" i="14" l="1"/>
  <c r="L1656" i="14" s="1"/>
  <c r="I1657" i="14" s="1"/>
  <c r="K1634" i="13"/>
  <c r="L1634" i="13" s="1"/>
  <c r="I1635" i="13" s="1"/>
  <c r="N1820" i="14"/>
  <c r="J1819" i="14" a="1"/>
  <c r="J1819" i="14" s="1"/>
  <c r="M1824" i="14"/>
  <c r="J1820" i="13" a="1"/>
  <c r="J1820" i="13" s="1"/>
  <c r="N1821" i="13"/>
  <c r="M1823" i="13"/>
  <c r="K1635" i="13" l="1"/>
  <c r="L1635" i="13" s="1"/>
  <c r="I1636" i="13" s="1"/>
  <c r="K1657" i="14"/>
  <c r="L1657" i="14" s="1"/>
  <c r="I1658" i="14" s="1"/>
  <c r="M1824" i="13"/>
  <c r="M1825" i="14"/>
  <c r="N1822" i="13"/>
  <c r="J1821" i="13" a="1"/>
  <c r="J1821" i="13" s="1"/>
  <c r="J1820" i="14" a="1"/>
  <c r="J1820" i="14" s="1"/>
  <c r="N1821" i="14"/>
  <c r="K1658" i="14" l="1"/>
  <c r="L1658" i="14" s="1"/>
  <c r="I1659" i="14" s="1"/>
  <c r="K1636" i="13"/>
  <c r="L1636" i="13" s="1"/>
  <c r="I1637" i="13" s="1"/>
  <c r="J1821" i="14" a="1"/>
  <c r="J1821" i="14" s="1"/>
  <c r="N1822" i="14"/>
  <c r="M1826" i="14"/>
  <c r="M1825" i="13"/>
  <c r="J1822" i="13" a="1"/>
  <c r="J1822" i="13" s="1"/>
  <c r="N1823" i="13"/>
  <c r="K1637" i="13" l="1"/>
  <c r="L1637" i="13" s="1"/>
  <c r="I1638" i="13" s="1"/>
  <c r="K1659" i="14"/>
  <c r="L1659" i="14" s="1"/>
  <c r="I1660" i="14" s="1"/>
  <c r="J1823" i="13" a="1"/>
  <c r="J1823" i="13" s="1"/>
  <c r="N1824" i="13"/>
  <c r="M1827" i="14"/>
  <c r="J1822" i="14" a="1"/>
  <c r="J1822" i="14" s="1"/>
  <c r="N1823" i="14"/>
  <c r="M1826" i="13"/>
  <c r="K1660" i="14" l="1"/>
  <c r="L1660" i="14" s="1"/>
  <c r="I1661" i="14" s="1"/>
  <c r="K1638" i="13"/>
  <c r="L1638" i="13" s="1"/>
  <c r="I1639" i="13" s="1"/>
  <c r="M1827" i="13"/>
  <c r="M1828" i="14"/>
  <c r="N1824" i="14"/>
  <c r="J1823" i="14" a="1"/>
  <c r="J1823" i="14" s="1"/>
  <c r="J1824" i="13" a="1"/>
  <c r="J1824" i="13" s="1"/>
  <c r="N1825" i="13"/>
  <c r="K1639" i="13" l="1"/>
  <c r="L1639" i="13" s="1"/>
  <c r="I1640" i="13" s="1"/>
  <c r="K1661" i="14"/>
  <c r="L1661" i="14" s="1"/>
  <c r="I1662" i="14" s="1"/>
  <c r="M1829" i="14"/>
  <c r="N1826" i="13"/>
  <c r="J1825" i="13" a="1"/>
  <c r="J1825" i="13" s="1"/>
  <c r="J1824" i="14" a="1"/>
  <c r="J1824" i="14" s="1"/>
  <c r="N1825" i="14"/>
  <c r="M1828" i="13"/>
  <c r="K1662" i="14" l="1"/>
  <c r="L1662" i="14" s="1"/>
  <c r="I1663" i="14" s="1"/>
  <c r="K1640" i="13"/>
  <c r="L1640" i="13" s="1"/>
  <c r="I1641" i="13" s="1"/>
  <c r="J1826" i="13" a="1"/>
  <c r="J1826" i="13" s="1"/>
  <c r="N1827" i="13"/>
  <c r="M1829" i="13"/>
  <c r="J1825" i="14" a="1"/>
  <c r="J1825" i="14" s="1"/>
  <c r="N1826" i="14"/>
  <c r="M1830" i="14"/>
  <c r="K1641" i="13" l="1"/>
  <c r="L1641" i="13" s="1"/>
  <c r="I1642" i="13" s="1"/>
  <c r="K1663" i="14"/>
  <c r="L1663" i="14" s="1"/>
  <c r="I1664" i="14" s="1"/>
  <c r="J1826" i="14" a="1"/>
  <c r="J1826" i="14" s="1"/>
  <c r="N1827" i="14"/>
  <c r="M1831" i="14"/>
  <c r="M1830" i="13"/>
  <c r="J1827" i="13" a="1"/>
  <c r="J1827" i="13" s="1"/>
  <c r="N1828" i="13"/>
  <c r="K1664" i="14" l="1"/>
  <c r="L1664" i="14" s="1"/>
  <c r="I1665" i="14" s="1"/>
  <c r="K1642" i="13"/>
  <c r="L1642" i="13" s="1"/>
  <c r="I1643" i="13" s="1"/>
  <c r="M1832" i="14"/>
  <c r="N1828" i="14"/>
  <c r="J1827" i="14" a="1"/>
  <c r="J1827" i="14" s="1"/>
  <c r="J1828" i="13" a="1"/>
  <c r="J1828" i="13" s="1"/>
  <c r="N1829" i="13"/>
  <c r="M1831" i="13"/>
  <c r="K1643" i="13" l="1"/>
  <c r="L1643" i="13" s="1"/>
  <c r="I1644" i="13" s="1"/>
  <c r="K1665" i="14"/>
  <c r="L1665" i="14" s="1"/>
  <c r="I1666" i="14" s="1"/>
  <c r="J1828" i="14" a="1"/>
  <c r="J1828" i="14" s="1"/>
  <c r="N1829" i="14"/>
  <c r="N1830" i="13"/>
  <c r="J1829" i="13" a="1"/>
  <c r="J1829" i="13" s="1"/>
  <c r="M1832" i="13"/>
  <c r="M1833" i="14"/>
  <c r="K1666" i="14" l="1"/>
  <c r="L1666" i="14" s="1"/>
  <c r="I1667" i="14" s="1"/>
  <c r="K1644" i="13"/>
  <c r="L1644" i="13" s="1"/>
  <c r="I1645" i="13" s="1"/>
  <c r="M1834" i="14"/>
  <c r="J1830" i="13" a="1"/>
  <c r="J1830" i="13" s="1"/>
  <c r="N1831" i="13"/>
  <c r="J1829" i="14" a="1"/>
  <c r="J1829" i="14" s="1"/>
  <c r="N1830" i="14"/>
  <c r="M1833" i="13"/>
  <c r="K1645" i="13" l="1"/>
  <c r="L1645" i="13" s="1"/>
  <c r="I1646" i="13" s="1"/>
  <c r="K1667" i="14"/>
  <c r="L1667" i="14" s="1"/>
  <c r="I1668" i="14" s="1"/>
  <c r="J1831" i="13" a="1"/>
  <c r="J1831" i="13" s="1"/>
  <c r="N1832" i="13"/>
  <c r="J1830" i="14" a="1"/>
  <c r="J1830" i="14" s="1"/>
  <c r="N1831" i="14"/>
  <c r="M1835" i="14"/>
  <c r="M1834" i="13"/>
  <c r="K1668" i="14" l="1"/>
  <c r="L1668" i="14" s="1"/>
  <c r="I1669" i="14" s="1"/>
  <c r="K1646" i="13"/>
  <c r="L1646" i="13" s="1"/>
  <c r="I1647" i="13" s="1"/>
  <c r="N1832" i="14"/>
  <c r="J1831" i="14" a="1"/>
  <c r="J1831" i="14" s="1"/>
  <c r="M1835" i="13"/>
  <c r="J1832" i="13" a="1"/>
  <c r="J1832" i="13" s="1"/>
  <c r="N1833" i="13"/>
  <c r="M1836" i="14"/>
  <c r="K1647" i="13" l="1"/>
  <c r="L1647" i="13" s="1"/>
  <c r="I1648" i="13" s="1"/>
  <c r="K1669" i="14"/>
  <c r="L1669" i="14" s="1"/>
  <c r="I1670" i="14" s="1"/>
  <c r="N1834" i="13"/>
  <c r="J1833" i="13" a="1"/>
  <c r="J1833" i="13" s="1"/>
  <c r="M1837" i="14"/>
  <c r="M1836" i="13"/>
  <c r="J1832" i="14" a="1"/>
  <c r="J1832" i="14" s="1"/>
  <c r="N1833" i="14"/>
  <c r="K1670" i="14" l="1"/>
  <c r="L1670" i="14" s="1"/>
  <c r="I1671" i="14" s="1"/>
  <c r="K1648" i="13"/>
  <c r="L1648" i="13" s="1"/>
  <c r="I1649" i="13" s="1"/>
  <c r="M1838" i="14"/>
  <c r="J1833" i="14" a="1"/>
  <c r="J1833" i="14" s="1"/>
  <c r="N1834" i="14"/>
  <c r="M1837" i="13"/>
  <c r="J1834" i="13" a="1"/>
  <c r="J1834" i="13" s="1"/>
  <c r="N1835" i="13"/>
  <c r="K1649" i="13" l="1"/>
  <c r="L1649" i="13" s="1"/>
  <c r="I1650" i="13" s="1"/>
  <c r="K1671" i="14"/>
  <c r="L1671" i="14" s="1"/>
  <c r="I1672" i="14" s="1"/>
  <c r="J1834" i="14" a="1"/>
  <c r="J1834" i="14" s="1"/>
  <c r="N1835" i="14"/>
  <c r="J1835" i="13" a="1"/>
  <c r="J1835" i="13" s="1"/>
  <c r="N1836" i="13"/>
  <c r="M1839" i="14"/>
  <c r="M1838" i="13"/>
  <c r="K1672" i="14" l="1"/>
  <c r="L1672" i="14" s="1"/>
  <c r="I1673" i="14" s="1"/>
  <c r="K1650" i="13"/>
  <c r="L1650" i="13" s="1"/>
  <c r="I1651" i="13" s="1"/>
  <c r="M1839" i="13"/>
  <c r="N1836" i="14"/>
  <c r="J1835" i="14" a="1"/>
  <c r="J1835" i="14" s="1"/>
  <c r="J1836" i="13" a="1"/>
  <c r="J1836" i="13" s="1"/>
  <c r="N1837" i="13"/>
  <c r="M1840" i="14"/>
  <c r="K1651" i="13" l="1"/>
  <c r="L1651" i="13" s="1"/>
  <c r="I1652" i="13" s="1"/>
  <c r="K1673" i="14"/>
  <c r="L1673" i="14" s="1"/>
  <c r="I1674" i="14" s="1"/>
  <c r="M1841" i="14"/>
  <c r="J1836" i="14" a="1"/>
  <c r="J1836" i="14" s="1"/>
  <c r="N1837" i="14"/>
  <c r="N1838" i="13"/>
  <c r="J1837" i="13" a="1"/>
  <c r="J1837" i="13" s="1"/>
  <c r="M1840" i="13"/>
  <c r="K1674" i="14" l="1"/>
  <c r="L1674" i="14" s="1"/>
  <c r="I1675" i="14" s="1"/>
  <c r="K1652" i="13"/>
  <c r="L1652" i="13" s="1"/>
  <c r="I1653" i="13" s="1"/>
  <c r="J1837" i="14" a="1"/>
  <c r="J1837" i="14" s="1"/>
  <c r="N1838" i="14"/>
  <c r="M1841" i="13"/>
  <c r="J1838" i="13" a="1"/>
  <c r="J1838" i="13" s="1"/>
  <c r="N1839" i="13"/>
  <c r="M1842" i="14"/>
  <c r="K1653" i="13" l="1"/>
  <c r="L1653" i="13" s="1"/>
  <c r="I1654" i="13" s="1"/>
  <c r="K1675" i="14"/>
  <c r="L1675" i="14" s="1"/>
  <c r="I1676" i="14" s="1"/>
  <c r="M1843" i="14"/>
  <c r="M1842" i="13"/>
  <c r="J1839" i="13" a="1"/>
  <c r="J1839" i="13" s="1"/>
  <c r="N1840" i="13"/>
  <c r="J1838" i="14" a="1"/>
  <c r="J1838" i="14" s="1"/>
  <c r="N1839" i="14"/>
  <c r="K1676" i="14" l="1"/>
  <c r="L1676" i="14" s="1"/>
  <c r="I1677" i="14" s="1"/>
  <c r="K1654" i="13"/>
  <c r="L1654" i="13" s="1"/>
  <c r="I1655" i="13" s="1"/>
  <c r="M1843" i="13"/>
  <c r="J1840" i="13" a="1"/>
  <c r="J1840" i="13" s="1"/>
  <c r="N1841" i="13"/>
  <c r="N1840" i="14"/>
  <c r="J1839" i="14" a="1"/>
  <c r="J1839" i="14" s="1"/>
  <c r="M1844" i="14"/>
  <c r="K1677" i="14" l="1"/>
  <c r="L1677" i="14" s="1"/>
  <c r="I1678" i="14" s="1"/>
  <c r="K1655" i="13"/>
  <c r="L1655" i="13" s="1"/>
  <c r="I1656" i="13" s="1"/>
  <c r="N1842" i="13"/>
  <c r="J1841" i="13" a="1"/>
  <c r="J1841" i="13" s="1"/>
  <c r="M1845" i="14"/>
  <c r="J1840" i="14" a="1"/>
  <c r="J1840" i="14" s="1"/>
  <c r="N1841" i="14"/>
  <c r="M1844" i="13"/>
  <c r="K1656" i="13" l="1"/>
  <c r="L1656" i="13" s="1"/>
  <c r="I1657" i="13" s="1"/>
  <c r="K1678" i="14"/>
  <c r="L1678" i="14" s="1"/>
  <c r="I1679" i="14" s="1"/>
  <c r="J1841" i="14" a="1"/>
  <c r="J1841" i="14" s="1"/>
  <c r="N1842" i="14"/>
  <c r="M1845" i="13"/>
  <c r="M1846" i="14"/>
  <c r="J1842" i="13" a="1"/>
  <c r="J1842" i="13" s="1"/>
  <c r="N1843" i="13"/>
  <c r="K1679" i="14" l="1"/>
  <c r="L1679" i="14" s="1"/>
  <c r="I1680" i="14" s="1"/>
  <c r="K1657" i="13"/>
  <c r="L1657" i="13" s="1"/>
  <c r="I1658" i="13" s="1"/>
  <c r="J1843" i="13" a="1"/>
  <c r="J1843" i="13" s="1"/>
  <c r="N1844" i="13"/>
  <c r="M1846" i="13"/>
  <c r="M1847" i="14"/>
  <c r="J1842" i="14" a="1"/>
  <c r="J1842" i="14" s="1"/>
  <c r="N1843" i="14"/>
  <c r="K1658" i="13" l="1"/>
  <c r="L1658" i="13" s="1"/>
  <c r="I1659" i="13" s="1"/>
  <c r="K1680" i="14"/>
  <c r="L1680" i="14" s="1"/>
  <c r="I1681" i="14" s="1"/>
  <c r="M1847" i="13"/>
  <c r="N1844" i="14"/>
  <c r="J1843" i="14" a="1"/>
  <c r="J1843" i="14" s="1"/>
  <c r="J1844" i="13" a="1"/>
  <c r="J1844" i="13" s="1"/>
  <c r="N1845" i="13"/>
  <c r="M1848" i="14"/>
  <c r="K1681" i="14" l="1"/>
  <c r="L1681" i="14" s="1"/>
  <c r="I1682" i="14" s="1"/>
  <c r="K1659" i="13"/>
  <c r="L1659" i="13" s="1"/>
  <c r="I1660" i="13" s="1"/>
  <c r="M1849" i="14"/>
  <c r="J1844" i="14" a="1"/>
  <c r="J1844" i="14" s="1"/>
  <c r="N1845" i="14"/>
  <c r="N1846" i="13"/>
  <c r="J1845" i="13" a="1"/>
  <c r="J1845" i="13" s="1"/>
  <c r="M1848" i="13"/>
  <c r="K1660" i="13" l="1"/>
  <c r="L1660" i="13" s="1"/>
  <c r="I1661" i="13" s="1"/>
  <c r="K1682" i="14"/>
  <c r="L1682" i="14" s="1"/>
  <c r="I1683" i="14" s="1"/>
  <c r="J1845" i="14" a="1"/>
  <c r="J1845" i="14" s="1"/>
  <c r="N1846" i="14"/>
  <c r="M1849" i="13"/>
  <c r="J1846" i="13" a="1"/>
  <c r="J1846" i="13" s="1"/>
  <c r="N1847" i="13"/>
  <c r="M1850" i="14"/>
  <c r="K1683" i="14" l="1"/>
  <c r="L1683" i="14" s="1"/>
  <c r="I1684" i="14" s="1"/>
  <c r="K1661" i="13"/>
  <c r="L1661" i="13" s="1"/>
  <c r="I1662" i="13" s="1"/>
  <c r="M1851" i="14"/>
  <c r="M1850" i="13"/>
  <c r="J1847" i="13" a="1"/>
  <c r="J1847" i="13" s="1"/>
  <c r="N1848" i="13"/>
  <c r="J1846" i="14" a="1"/>
  <c r="J1846" i="14" s="1"/>
  <c r="N1847" i="14"/>
  <c r="K1662" i="13" l="1"/>
  <c r="L1662" i="13" s="1"/>
  <c r="I1663" i="13" s="1"/>
  <c r="M1852" i="14"/>
  <c r="K1684" i="14"/>
  <c r="L1684" i="14" s="1"/>
  <c r="I1685" i="14" s="1"/>
  <c r="M1851" i="13"/>
  <c r="N1848" i="14"/>
  <c r="J1847" i="14" a="1"/>
  <c r="J1847" i="14" s="1"/>
  <c r="J1848" i="13" a="1"/>
  <c r="J1848" i="13" s="1"/>
  <c r="N1849" i="13"/>
  <c r="K1685" i="14" l="1"/>
  <c r="L1685" i="14" s="1"/>
  <c r="I1686" i="14" s="1"/>
  <c r="K1663" i="13"/>
  <c r="L1663" i="13" s="1"/>
  <c r="I1664" i="13" s="1"/>
  <c r="M1852" i="13"/>
  <c r="M1853" i="14"/>
  <c r="N1850" i="13"/>
  <c r="J1849" i="13" a="1"/>
  <c r="J1849" i="13" s="1"/>
  <c r="J1848" i="14" a="1"/>
  <c r="J1848" i="14" s="1"/>
  <c r="N1849" i="14"/>
  <c r="K1664" i="13" l="1"/>
  <c r="L1664" i="13" s="1"/>
  <c r="I1665" i="13" s="1"/>
  <c r="K1686" i="14"/>
  <c r="L1686" i="14" s="1"/>
  <c r="I1687" i="14" s="1"/>
  <c r="M1854" i="14"/>
  <c r="M1853" i="13"/>
  <c r="J1849" i="14" a="1"/>
  <c r="J1849" i="14" s="1"/>
  <c r="N1850" i="14"/>
  <c r="J1850" i="13" a="1"/>
  <c r="J1850" i="13" s="1"/>
  <c r="N1851" i="13"/>
  <c r="K1687" i="14" l="1"/>
  <c r="L1687" i="14" s="1"/>
  <c r="I1688" i="14" s="1"/>
  <c r="J1851" i="13" a="1"/>
  <c r="J1851" i="13" s="1"/>
  <c r="N1852" i="13"/>
  <c r="M1854" i="13"/>
  <c r="J1850" i="14" a="1"/>
  <c r="J1850" i="14" s="1"/>
  <c r="N1851" i="14"/>
  <c r="M1855" i="14"/>
  <c r="K1665" i="13"/>
  <c r="L1665" i="13" s="1"/>
  <c r="I1666" i="13" s="1"/>
  <c r="K1666" i="13" l="1"/>
  <c r="L1666" i="13" s="1"/>
  <c r="I1667" i="13" s="1"/>
  <c r="K1688" i="14"/>
  <c r="L1688" i="14" s="1"/>
  <c r="I1689" i="14" s="1"/>
  <c r="N1852" i="14"/>
  <c r="J1851" i="14" a="1"/>
  <c r="J1851" i="14" s="1"/>
  <c r="J1852" i="13" a="1"/>
  <c r="J1852" i="13" s="1"/>
  <c r="N1853" i="13"/>
  <c r="M1856" i="14"/>
  <c r="M1855" i="13"/>
  <c r="K1667" i="13" l="1"/>
  <c r="L1667" i="13" s="1"/>
  <c r="I1668" i="13" s="1"/>
  <c r="K1689" i="14"/>
  <c r="L1689" i="14" s="1"/>
  <c r="I1690" i="14" s="1"/>
  <c r="N1854" i="13"/>
  <c r="J1853" i="13" a="1"/>
  <c r="J1853" i="13" s="1"/>
  <c r="M1856" i="13"/>
  <c r="M1857" i="14"/>
  <c r="J1852" i="14" a="1"/>
  <c r="J1852" i="14" s="1"/>
  <c r="N1853" i="14"/>
  <c r="K1668" i="13" l="1"/>
  <c r="L1668" i="13" s="1"/>
  <c r="I1669" i="13" s="1"/>
  <c r="K1690" i="14"/>
  <c r="L1690" i="14" s="1"/>
  <c r="I1691" i="14" s="1"/>
  <c r="J1853" i="14" a="1"/>
  <c r="J1853" i="14" s="1"/>
  <c r="N1854" i="14"/>
  <c r="M1858" i="14"/>
  <c r="M1857" i="13"/>
  <c r="J1854" i="13" a="1"/>
  <c r="J1854" i="13" s="1"/>
  <c r="N1855" i="13"/>
  <c r="K1669" i="13" l="1"/>
  <c r="L1669" i="13" s="1"/>
  <c r="I1670" i="13" s="1"/>
  <c r="K1691" i="14"/>
  <c r="L1691" i="14" s="1"/>
  <c r="I1692" i="14" s="1"/>
  <c r="J1855" i="13" a="1"/>
  <c r="J1855" i="13" s="1"/>
  <c r="N1856" i="13"/>
  <c r="M1859" i="14"/>
  <c r="J1854" i="14" a="1"/>
  <c r="J1854" i="14" s="1"/>
  <c r="N1855" i="14"/>
  <c r="M1858" i="13"/>
  <c r="K1692" i="14" l="1"/>
  <c r="L1692" i="14" s="1"/>
  <c r="I1693" i="14" s="1"/>
  <c r="K1670" i="13"/>
  <c r="L1670" i="13" s="1"/>
  <c r="I1671" i="13" s="1"/>
  <c r="M1859" i="13"/>
  <c r="M1860" i="14"/>
  <c r="J1856" i="13" a="1"/>
  <c r="J1856" i="13" s="1"/>
  <c r="N1857" i="13"/>
  <c r="N1856" i="14"/>
  <c r="J1855" i="14" a="1"/>
  <c r="J1855" i="14" s="1"/>
  <c r="K1671" i="13" l="1"/>
  <c r="L1671" i="13" s="1"/>
  <c r="I1672" i="13" s="1"/>
  <c r="K1693" i="14"/>
  <c r="L1693" i="14" s="1"/>
  <c r="I1694" i="14" s="1"/>
  <c r="J1856" i="14" a="1"/>
  <c r="J1856" i="14" s="1"/>
  <c r="N1857" i="14"/>
  <c r="M1861" i="14"/>
  <c r="N1858" i="13"/>
  <c r="J1857" i="13" a="1"/>
  <c r="J1857" i="13" s="1"/>
  <c r="M1860" i="13"/>
  <c r="K1694" i="14" l="1"/>
  <c r="L1694" i="14" s="1"/>
  <c r="I1695" i="14" s="1"/>
  <c r="K1672" i="13"/>
  <c r="L1672" i="13" s="1"/>
  <c r="I1673" i="13" s="1"/>
  <c r="J1858" i="13" a="1"/>
  <c r="J1858" i="13" s="1"/>
  <c r="N1859" i="13"/>
  <c r="M1861" i="13"/>
  <c r="M1862" i="14"/>
  <c r="J1857" i="14" a="1"/>
  <c r="J1857" i="14" s="1"/>
  <c r="N1858" i="14"/>
  <c r="K1673" i="13" l="1"/>
  <c r="L1673" i="13" s="1"/>
  <c r="I1674" i="13" s="1"/>
  <c r="K1695" i="14"/>
  <c r="L1695" i="14" s="1"/>
  <c r="I1696" i="14" s="1"/>
  <c r="M1862" i="13"/>
  <c r="J1858" i="14" a="1"/>
  <c r="J1858" i="14" s="1"/>
  <c r="N1859" i="14"/>
  <c r="M1863" i="14"/>
  <c r="J1859" i="13" a="1"/>
  <c r="J1859" i="13" s="1"/>
  <c r="N1860" i="13"/>
  <c r="K1674" i="13" l="1"/>
  <c r="L1674" i="13" s="1"/>
  <c r="I1675" i="13" s="1"/>
  <c r="K1696" i="14"/>
  <c r="L1696" i="14" s="1"/>
  <c r="I1697" i="14" s="1"/>
  <c r="J1860" i="13" a="1"/>
  <c r="J1860" i="13" s="1"/>
  <c r="N1861" i="13"/>
  <c r="N1860" i="14"/>
  <c r="J1859" i="14" a="1"/>
  <c r="J1859" i="14" s="1"/>
  <c r="M1864" i="14"/>
  <c r="M1863" i="13"/>
  <c r="K1675" i="13" l="1"/>
  <c r="L1675" i="13" s="1"/>
  <c r="I1676" i="13" s="1"/>
  <c r="K1697" i="14"/>
  <c r="L1697" i="14" s="1"/>
  <c r="I1698" i="14" s="1"/>
  <c r="M1864" i="13"/>
  <c r="J1860" i="14" a="1"/>
  <c r="J1860" i="14" s="1"/>
  <c r="N1861" i="14"/>
  <c r="N1862" i="13"/>
  <c r="J1861" i="13" a="1"/>
  <c r="J1861" i="13" s="1"/>
  <c r="M1865" i="14"/>
  <c r="K1698" i="14" l="1"/>
  <c r="L1698" i="14" s="1"/>
  <c r="I1699" i="14" s="1"/>
  <c r="J1861" i="14" a="1"/>
  <c r="J1861" i="14" s="1"/>
  <c r="N1862" i="14"/>
  <c r="M1866" i="14"/>
  <c r="M1865" i="13"/>
  <c r="J1862" i="13" a="1"/>
  <c r="J1862" i="13" s="1"/>
  <c r="N1863" i="13"/>
  <c r="K1676" i="13"/>
  <c r="L1676" i="13" s="1"/>
  <c r="I1677" i="13" s="1"/>
  <c r="K1677" i="13" l="1"/>
  <c r="L1677" i="13" s="1"/>
  <c r="I1678" i="13" s="1"/>
  <c r="M1866" i="13"/>
  <c r="J1862" i="14" a="1"/>
  <c r="J1862" i="14" s="1"/>
  <c r="N1863" i="14"/>
  <c r="J1863" i="13" a="1"/>
  <c r="J1863" i="13" s="1"/>
  <c r="N1864" i="13"/>
  <c r="M1867" i="14"/>
  <c r="K1699" i="14"/>
  <c r="L1699" i="14" s="1"/>
  <c r="I1700" i="14" s="1"/>
  <c r="K1700" i="14" l="1"/>
  <c r="L1700" i="14" s="1"/>
  <c r="I1701" i="14" s="1"/>
  <c r="K1678" i="13"/>
  <c r="L1678" i="13" s="1"/>
  <c r="I1679" i="13" s="1"/>
  <c r="J1864" i="13" a="1"/>
  <c r="J1864" i="13" s="1"/>
  <c r="N1865" i="13"/>
  <c r="M1867" i="13"/>
  <c r="N1864" i="14"/>
  <c r="J1863" i="14" a="1"/>
  <c r="J1863" i="14" s="1"/>
  <c r="M1868" i="14"/>
  <c r="K1679" i="13" l="1"/>
  <c r="L1679" i="13" s="1"/>
  <c r="I1680" i="13" s="1"/>
  <c r="K1701" i="14"/>
  <c r="L1701" i="14" s="1"/>
  <c r="I1702" i="14" s="1"/>
  <c r="J1864" i="14" a="1"/>
  <c r="J1864" i="14" s="1"/>
  <c r="N1865" i="14"/>
  <c r="M1869" i="14"/>
  <c r="M1868" i="13"/>
  <c r="N1866" i="13"/>
  <c r="J1865" i="13" a="1"/>
  <c r="J1865" i="13" s="1"/>
  <c r="K1680" i="13" l="1"/>
  <c r="L1680" i="13" s="1"/>
  <c r="I1681" i="13" s="1"/>
  <c r="K1702" i="14"/>
  <c r="L1702" i="14" s="1"/>
  <c r="I1703" i="14" s="1"/>
  <c r="J1866" i="13" a="1"/>
  <c r="J1866" i="13" s="1"/>
  <c r="N1867" i="13"/>
  <c r="M1870" i="14"/>
  <c r="M1869" i="13"/>
  <c r="J1865" i="14" a="1"/>
  <c r="J1865" i="14" s="1"/>
  <c r="N1866" i="14"/>
  <c r="K1703" i="14" l="1"/>
  <c r="L1703" i="14" s="1"/>
  <c r="I1704" i="14" s="1"/>
  <c r="K1681" i="13"/>
  <c r="L1681" i="13" s="1"/>
  <c r="I1682" i="13" s="1"/>
  <c r="J1866" i="14" a="1"/>
  <c r="J1866" i="14" s="1"/>
  <c r="N1867" i="14"/>
  <c r="M1871" i="14"/>
  <c r="J1867" i="13" a="1"/>
  <c r="J1867" i="13" s="1"/>
  <c r="N1868" i="13"/>
  <c r="M1870" i="13"/>
  <c r="K1704" i="14" l="1"/>
  <c r="L1704" i="14" s="1"/>
  <c r="I1705" i="14" s="1"/>
  <c r="K1682" i="13"/>
  <c r="L1682" i="13" s="1"/>
  <c r="I1683" i="13" s="1"/>
  <c r="M1871" i="13"/>
  <c r="M1872" i="14"/>
  <c r="J1868" i="13" a="1"/>
  <c r="J1868" i="13" s="1"/>
  <c r="N1869" i="13"/>
  <c r="N1868" i="14"/>
  <c r="J1867" i="14" a="1"/>
  <c r="J1867" i="14" s="1"/>
  <c r="K1683" i="13" l="1"/>
  <c r="L1683" i="13" s="1"/>
  <c r="I1684" i="13" s="1"/>
  <c r="K1705" i="14"/>
  <c r="L1705" i="14" s="1"/>
  <c r="I1706" i="14" s="1"/>
  <c r="J1868" i="14" a="1"/>
  <c r="J1868" i="14" s="1"/>
  <c r="N1869" i="14"/>
  <c r="M1873" i="14"/>
  <c r="N1870" i="13"/>
  <c r="J1869" i="13" a="1"/>
  <c r="J1869" i="13" s="1"/>
  <c r="M1872" i="13"/>
  <c r="K1684" i="13" l="1"/>
  <c r="L1684" i="13" s="1"/>
  <c r="I1685" i="13" s="1"/>
  <c r="K1706" i="14"/>
  <c r="L1706" i="14" s="1"/>
  <c r="I1707" i="14" s="1"/>
  <c r="M1873" i="13"/>
  <c r="M1874" i="14"/>
  <c r="J1869" i="14" a="1"/>
  <c r="J1869" i="14" s="1"/>
  <c r="N1870" i="14"/>
  <c r="J1870" i="13" a="1"/>
  <c r="J1870" i="13" s="1"/>
  <c r="N1871" i="13"/>
  <c r="K1685" i="13" l="1"/>
  <c r="L1685" i="13" s="1"/>
  <c r="I1686" i="13" s="1"/>
  <c r="K1707" i="14"/>
  <c r="L1707" i="14" s="1"/>
  <c r="I1708" i="14" s="1"/>
  <c r="J1871" i="13" a="1"/>
  <c r="J1871" i="13" s="1"/>
  <c r="N1872" i="13"/>
  <c r="M1875" i="14"/>
  <c r="J1870" i="14" a="1"/>
  <c r="J1870" i="14" s="1"/>
  <c r="N1871" i="14"/>
  <c r="M1874" i="13"/>
  <c r="K1686" i="13" l="1"/>
  <c r="L1686" i="13" s="1"/>
  <c r="I1687" i="13" s="1"/>
  <c r="K1708" i="14"/>
  <c r="L1708" i="14" s="1"/>
  <c r="I1709" i="14" s="1"/>
  <c r="M1875" i="13"/>
  <c r="M1876" i="14"/>
  <c r="J1872" i="13" a="1"/>
  <c r="J1872" i="13" s="1"/>
  <c r="N1873" i="13"/>
  <c r="N1872" i="14"/>
  <c r="J1871" i="14" a="1"/>
  <c r="J1871" i="14" s="1"/>
  <c r="K1687" i="13" l="1"/>
  <c r="L1687" i="13" s="1"/>
  <c r="I1688" i="13" s="1"/>
  <c r="K1709" i="14"/>
  <c r="L1709" i="14" s="1"/>
  <c r="I1710" i="14" s="1"/>
  <c r="J1872" i="14" a="1"/>
  <c r="J1872" i="14" s="1"/>
  <c r="N1873" i="14"/>
  <c r="M1877" i="14"/>
  <c r="N1874" i="13"/>
  <c r="J1873" i="13" a="1"/>
  <c r="J1873" i="13" s="1"/>
  <c r="M1876" i="13"/>
  <c r="K1710" i="14" l="1"/>
  <c r="L1710" i="14" s="1"/>
  <c r="I1711" i="14" s="1"/>
  <c r="K1688" i="13"/>
  <c r="L1688" i="13" s="1"/>
  <c r="I1689" i="13" s="1"/>
  <c r="J1874" i="13" a="1"/>
  <c r="J1874" i="13" s="1"/>
  <c r="N1875" i="13"/>
  <c r="M1877" i="13"/>
  <c r="M1878" i="14"/>
  <c r="J1873" i="14" a="1"/>
  <c r="J1873" i="14" s="1"/>
  <c r="N1874" i="14"/>
  <c r="K1689" i="13" l="1"/>
  <c r="L1689" i="13" s="1"/>
  <c r="I1690" i="13" s="1"/>
  <c r="M1878" i="13"/>
  <c r="J1874" i="14" a="1"/>
  <c r="J1874" i="14" s="1"/>
  <c r="N1875" i="14"/>
  <c r="M1879" i="14"/>
  <c r="J1875" i="13" a="1"/>
  <c r="J1875" i="13" s="1"/>
  <c r="N1876" i="13"/>
  <c r="K1711" i="14"/>
  <c r="L1711" i="14" s="1"/>
  <c r="I1712" i="14" s="1"/>
  <c r="K1690" i="13" l="1"/>
  <c r="L1690" i="13" s="1"/>
  <c r="I1691" i="13" s="1"/>
  <c r="M1880" i="14"/>
  <c r="K1712" i="14"/>
  <c r="L1712" i="14" s="1"/>
  <c r="I1713" i="14" s="1"/>
  <c r="M1879" i="13"/>
  <c r="N1876" i="14"/>
  <c r="J1875" i="14" a="1"/>
  <c r="J1875" i="14" s="1"/>
  <c r="J1876" i="13" a="1"/>
  <c r="J1876" i="13" s="1"/>
  <c r="N1877" i="13"/>
  <c r="K1713" i="14" l="1"/>
  <c r="L1713" i="14" s="1"/>
  <c r="I1714" i="14" s="1"/>
  <c r="K1691" i="13"/>
  <c r="L1691" i="13" s="1"/>
  <c r="I1692" i="13" s="1"/>
  <c r="N1878" i="13"/>
  <c r="J1877" i="13" a="1"/>
  <c r="J1877" i="13" s="1"/>
  <c r="M1880" i="13"/>
  <c r="M1881" i="14"/>
  <c r="J1876" i="14" a="1"/>
  <c r="J1876" i="14" s="1"/>
  <c r="N1877" i="14"/>
  <c r="M1882" i="14" l="1"/>
  <c r="J1877" i="14" a="1"/>
  <c r="J1877" i="14" s="1"/>
  <c r="N1878" i="14"/>
  <c r="M1881" i="13"/>
  <c r="K1692" i="13"/>
  <c r="L1692" i="13" s="1"/>
  <c r="I1693" i="13" s="1"/>
  <c r="J1878" i="13" a="1"/>
  <c r="J1878" i="13" s="1"/>
  <c r="N1879" i="13"/>
  <c r="K1714" i="14"/>
  <c r="L1714" i="14" s="1"/>
  <c r="I1715" i="14" s="1"/>
  <c r="K1715" i="14" l="1"/>
  <c r="L1715" i="14" s="1"/>
  <c r="I1716" i="14" s="1"/>
  <c r="K1693" i="13"/>
  <c r="L1693" i="13" s="1"/>
  <c r="I1694" i="13" s="1"/>
  <c r="J1878" i="14" a="1"/>
  <c r="J1878" i="14" s="1"/>
  <c r="N1879" i="14"/>
  <c r="J1879" i="13" a="1"/>
  <c r="J1879" i="13" s="1"/>
  <c r="N1880" i="13"/>
  <c r="M1883" i="14"/>
  <c r="M1882" i="13"/>
  <c r="K1716" i="14" l="1"/>
  <c r="L1716" i="14" s="1"/>
  <c r="I1717" i="14" s="1"/>
  <c r="K1694" i="13"/>
  <c r="L1694" i="13" s="1"/>
  <c r="I1695" i="13" s="1"/>
  <c r="M1884" i="14"/>
  <c r="J1880" i="13" a="1"/>
  <c r="J1880" i="13" s="1"/>
  <c r="N1881" i="13"/>
  <c r="N1880" i="14"/>
  <c r="J1879" i="14" a="1"/>
  <c r="J1879" i="14" s="1"/>
  <c r="M1883" i="13"/>
  <c r="K1717" i="14" l="1"/>
  <c r="L1717" i="14" s="1"/>
  <c r="I1718" i="14" s="1"/>
  <c r="N1882" i="13"/>
  <c r="J1881" i="13" a="1"/>
  <c r="J1881" i="13" s="1"/>
  <c r="M1884" i="13"/>
  <c r="K1695" i="13"/>
  <c r="L1695" i="13" s="1"/>
  <c r="I1696" i="13" s="1"/>
  <c r="J1880" i="14" a="1"/>
  <c r="J1880" i="14" s="1"/>
  <c r="N1881" i="14"/>
  <c r="M1885" i="14"/>
  <c r="K1696" i="13" l="1"/>
  <c r="L1696" i="13" s="1"/>
  <c r="I1697" i="13" s="1"/>
  <c r="K1718" i="14"/>
  <c r="L1718" i="14" s="1"/>
  <c r="I1719" i="14" s="1"/>
  <c r="J1881" i="14" a="1"/>
  <c r="J1881" i="14" s="1"/>
  <c r="N1882" i="14"/>
  <c r="M1886" i="14"/>
  <c r="J1882" i="13" a="1"/>
  <c r="J1882" i="13" s="1"/>
  <c r="N1883" i="13"/>
  <c r="M1885" i="13"/>
  <c r="K1719" i="14" l="1"/>
  <c r="L1719" i="14" s="1"/>
  <c r="I1720" i="14" s="1"/>
  <c r="K1697" i="13"/>
  <c r="L1697" i="13" s="1"/>
  <c r="I1698" i="13" s="1"/>
  <c r="J1882" i="14" a="1"/>
  <c r="J1882" i="14" s="1"/>
  <c r="N1883" i="14"/>
  <c r="M1887" i="14"/>
  <c r="M1886" i="13"/>
  <c r="J1883" i="13" a="1"/>
  <c r="J1883" i="13" s="1"/>
  <c r="N1884" i="13"/>
  <c r="K1698" i="13" l="1"/>
  <c r="L1698" i="13" s="1"/>
  <c r="I1699" i="13" s="1"/>
  <c r="K1720" i="14"/>
  <c r="L1720" i="14" s="1"/>
  <c r="I1721" i="14" s="1"/>
  <c r="M1888" i="14"/>
  <c r="J1884" i="13" a="1"/>
  <c r="J1884" i="13" s="1"/>
  <c r="N1885" i="13"/>
  <c r="N1884" i="14"/>
  <c r="J1883" i="14" a="1"/>
  <c r="J1883" i="14" s="1"/>
  <c r="M1887" i="13"/>
  <c r="K1699" i="13" l="1"/>
  <c r="L1699" i="13" s="1"/>
  <c r="I1700" i="13" s="1"/>
  <c r="N1886" i="13"/>
  <c r="J1885" i="13" a="1"/>
  <c r="J1885" i="13" s="1"/>
  <c r="K1721" i="14"/>
  <c r="L1721" i="14" s="1"/>
  <c r="I1722" i="14" s="1"/>
  <c r="M1888" i="13"/>
  <c r="J1884" i="14" a="1"/>
  <c r="J1884" i="14" s="1"/>
  <c r="N1885" i="14"/>
  <c r="M1889" i="14"/>
  <c r="K1722" i="14" l="1"/>
  <c r="L1722" i="14" s="1"/>
  <c r="I1723" i="14" s="1"/>
  <c r="K1700" i="13"/>
  <c r="L1700" i="13" s="1"/>
  <c r="I1701" i="13" s="1"/>
  <c r="J1885" i="14" a="1"/>
  <c r="J1885" i="14" s="1"/>
  <c r="N1886" i="14"/>
  <c r="M1889" i="13"/>
  <c r="J1886" i="13" a="1"/>
  <c r="J1886" i="13" s="1"/>
  <c r="N1887" i="13"/>
  <c r="M1890" i="14"/>
  <c r="K1701" i="13" l="1"/>
  <c r="L1701" i="13" s="1"/>
  <c r="I1702" i="13" s="1"/>
  <c r="K1723" i="14"/>
  <c r="L1723" i="14" s="1"/>
  <c r="I1724" i="14" s="1"/>
  <c r="M1891" i="14"/>
  <c r="M1890" i="13"/>
  <c r="J1886" i="14" a="1"/>
  <c r="J1886" i="14" s="1"/>
  <c r="N1887" i="14"/>
  <c r="J1887" i="13" a="1"/>
  <c r="J1887" i="13" s="1"/>
  <c r="N1888" i="13"/>
  <c r="K1702" i="13" l="1"/>
  <c r="L1702" i="13" s="1"/>
  <c r="I1703" i="13" s="1"/>
  <c r="J1888" i="13" a="1"/>
  <c r="J1888" i="13" s="1"/>
  <c r="N1889" i="13"/>
  <c r="M1891" i="13"/>
  <c r="K1724" i="14"/>
  <c r="L1724" i="14" s="1"/>
  <c r="I1725" i="14" s="1"/>
  <c r="N1888" i="14"/>
  <c r="J1887" i="14" a="1"/>
  <c r="J1887" i="14" s="1"/>
  <c r="M1892" i="14"/>
  <c r="K1703" i="13" l="1"/>
  <c r="L1703" i="13" s="1"/>
  <c r="I1704" i="13" s="1"/>
  <c r="M1893" i="14"/>
  <c r="N1890" i="13"/>
  <c r="J1889" i="13" a="1"/>
  <c r="J1889" i="13" s="1"/>
  <c r="K1725" i="14"/>
  <c r="L1725" i="14" s="1"/>
  <c r="I1726" i="14" s="1"/>
  <c r="J1888" i="14" a="1"/>
  <c r="J1888" i="14" s="1"/>
  <c r="N1889" i="14"/>
  <c r="M1892" i="13"/>
  <c r="K1704" i="13" l="1"/>
  <c r="L1704" i="13" s="1"/>
  <c r="I1705" i="13" s="1"/>
  <c r="J1889" i="14" a="1"/>
  <c r="J1889" i="14" s="1"/>
  <c r="N1890" i="14"/>
  <c r="M1893" i="13"/>
  <c r="K1726" i="14"/>
  <c r="L1726" i="14" s="1"/>
  <c r="I1727" i="14" s="1"/>
  <c r="M1894" i="14"/>
  <c r="J1890" i="13" a="1"/>
  <c r="J1890" i="13" s="1"/>
  <c r="N1891" i="13"/>
  <c r="K1727" i="14" l="1"/>
  <c r="L1727" i="14" s="1"/>
  <c r="I1728" i="14" s="1"/>
  <c r="K1705" i="13"/>
  <c r="L1705" i="13" s="1"/>
  <c r="I1706" i="13" s="1"/>
  <c r="J1890" i="14" a="1"/>
  <c r="J1890" i="14" s="1"/>
  <c r="N1891" i="14"/>
  <c r="J1891" i="13" a="1"/>
  <c r="J1891" i="13" s="1"/>
  <c r="N1892" i="13"/>
  <c r="M1895" i="14"/>
  <c r="M1894" i="13"/>
  <c r="K1728" i="14" l="1"/>
  <c r="L1728" i="14" s="1"/>
  <c r="I1729" i="14" s="1"/>
  <c r="N1892" i="14"/>
  <c r="J1891" i="14" a="1"/>
  <c r="J1891" i="14" s="1"/>
  <c r="M1896" i="14"/>
  <c r="J1892" i="13" a="1"/>
  <c r="J1892" i="13" s="1"/>
  <c r="N1893" i="13"/>
  <c r="M1895" i="13"/>
  <c r="K1706" i="13"/>
  <c r="L1706" i="13" s="1"/>
  <c r="I1707" i="13" s="1"/>
  <c r="K1707" i="13" l="1"/>
  <c r="L1707" i="13" s="1"/>
  <c r="I1708" i="13" s="1"/>
  <c r="K1729" i="14"/>
  <c r="L1729" i="14" s="1"/>
  <c r="I1730" i="14" s="1"/>
  <c r="N1894" i="13"/>
  <c r="J1893" i="13" a="1"/>
  <c r="J1893" i="13" s="1"/>
  <c r="J1892" i="14" a="1"/>
  <c r="J1892" i="14" s="1"/>
  <c r="N1893" i="14"/>
  <c r="M1896" i="13"/>
  <c r="M1897" i="14"/>
  <c r="K1708" i="13" l="1"/>
  <c r="L1708" i="13" s="1"/>
  <c r="I1709" i="13" s="1"/>
  <c r="J1893" i="14" a="1"/>
  <c r="J1893" i="14" s="1"/>
  <c r="N1894" i="14"/>
  <c r="M1898" i="14"/>
  <c r="K1730" i="14"/>
  <c r="L1730" i="14" s="1"/>
  <c r="I1731" i="14" s="1"/>
  <c r="M1897" i="13"/>
  <c r="J1894" i="13" a="1"/>
  <c r="J1894" i="13" s="1"/>
  <c r="N1895" i="13"/>
  <c r="K1731" i="14" l="1"/>
  <c r="L1731" i="14" s="1"/>
  <c r="I1732" i="14" s="1"/>
  <c r="K1709" i="13"/>
  <c r="L1709" i="13" s="1"/>
  <c r="I1710" i="13" s="1"/>
  <c r="J1895" i="13" a="1"/>
  <c r="J1895" i="13" s="1"/>
  <c r="N1896" i="13"/>
  <c r="J1894" i="14" a="1"/>
  <c r="J1894" i="14" s="1"/>
  <c r="N1895" i="14"/>
  <c r="M1899" i="14"/>
  <c r="M1898" i="13"/>
  <c r="K1732" i="14" l="1"/>
  <c r="L1732" i="14" s="1"/>
  <c r="I1733" i="14" s="1"/>
  <c r="N1896" i="14"/>
  <c r="J1895" i="14" a="1"/>
  <c r="J1895" i="14" s="1"/>
  <c r="K1710" i="13"/>
  <c r="L1710" i="13" s="1"/>
  <c r="I1711" i="13" s="1"/>
  <c r="M1899" i="13"/>
  <c r="J1896" i="13" a="1"/>
  <c r="J1896" i="13" s="1"/>
  <c r="N1897" i="13"/>
  <c r="M1900" i="14"/>
  <c r="K1711" i="13" l="1"/>
  <c r="L1711" i="13" s="1"/>
  <c r="I1712" i="13" s="1"/>
  <c r="K1733" i="14"/>
  <c r="L1733" i="14" s="1"/>
  <c r="I1734" i="14" s="1"/>
  <c r="M1901" i="14"/>
  <c r="M1900" i="13"/>
  <c r="J1896" i="14" a="1"/>
  <c r="J1896" i="14" s="1"/>
  <c r="N1897" i="14"/>
  <c r="N1898" i="13"/>
  <c r="J1897" i="13" a="1"/>
  <c r="J1897" i="13" s="1"/>
  <c r="K1734" i="14" l="1"/>
  <c r="L1734" i="14" s="1"/>
  <c r="I1735" i="14" s="1"/>
  <c r="K1712" i="13"/>
  <c r="L1712" i="13" s="1"/>
  <c r="I1713" i="13" s="1"/>
  <c r="M1901" i="13"/>
  <c r="J1898" i="13" a="1"/>
  <c r="J1898" i="13" s="1"/>
  <c r="N1899" i="13"/>
  <c r="J1897" i="14" a="1"/>
  <c r="J1897" i="14" s="1"/>
  <c r="N1898" i="14"/>
  <c r="M1902" i="14"/>
  <c r="K1713" i="13" l="1"/>
  <c r="L1713" i="13" s="1"/>
  <c r="I1714" i="13" s="1"/>
  <c r="K1735" i="14"/>
  <c r="L1735" i="14" s="1"/>
  <c r="I1736" i="14" s="1"/>
  <c r="J1899" i="13" a="1"/>
  <c r="J1899" i="13" s="1"/>
  <c r="N1900" i="13"/>
  <c r="J1898" i="14" a="1"/>
  <c r="J1898" i="14" s="1"/>
  <c r="N1899" i="14"/>
  <c r="M1902" i="13"/>
  <c r="M1903" i="14"/>
  <c r="K1714" i="13" l="1"/>
  <c r="L1714" i="13" s="1"/>
  <c r="I1715" i="13" s="1"/>
  <c r="J1900" i="13" a="1"/>
  <c r="J1900" i="13" s="1"/>
  <c r="N1901" i="13"/>
  <c r="M1903" i="13"/>
  <c r="N1900" i="14"/>
  <c r="J1899" i="14" a="1"/>
  <c r="J1899" i="14" s="1"/>
  <c r="M1904" i="14"/>
  <c r="K1736" i="14"/>
  <c r="L1736" i="14" s="1"/>
  <c r="I1737" i="14" s="1"/>
  <c r="K1737" i="14" l="1"/>
  <c r="L1737" i="14" s="1"/>
  <c r="I1738" i="14" s="1"/>
  <c r="K1715" i="13"/>
  <c r="L1715" i="13" s="1"/>
  <c r="I1716" i="13" s="1"/>
  <c r="N1902" i="13"/>
  <c r="J1901" i="13" a="1"/>
  <c r="J1901" i="13" s="1"/>
  <c r="J1900" i="14" a="1"/>
  <c r="J1900" i="14" s="1"/>
  <c r="N1901" i="14"/>
  <c r="M1905" i="14"/>
  <c r="M1904" i="13"/>
  <c r="K1738" i="14" l="1"/>
  <c r="L1738" i="14" s="1"/>
  <c r="I1739" i="14" s="1"/>
  <c r="M1906" i="14"/>
  <c r="M1905" i="13"/>
  <c r="J1901" i="14" a="1"/>
  <c r="J1901" i="14" s="1"/>
  <c r="N1902" i="14"/>
  <c r="K1716" i="13"/>
  <c r="L1716" i="13" s="1"/>
  <c r="I1717" i="13" s="1"/>
  <c r="J1902" i="13" a="1"/>
  <c r="J1902" i="13" s="1"/>
  <c r="N1903" i="13"/>
  <c r="K1717" i="13" l="1"/>
  <c r="L1717" i="13" s="1"/>
  <c r="I1718" i="13" s="1"/>
  <c r="K1739" i="14"/>
  <c r="L1739" i="14" s="1"/>
  <c r="I1740" i="14" s="1"/>
  <c r="J1902" i="14" a="1"/>
  <c r="J1902" i="14" s="1"/>
  <c r="N1903" i="14"/>
  <c r="M1907" i="14"/>
  <c r="J1903" i="13" a="1"/>
  <c r="J1903" i="13" s="1"/>
  <c r="N1904" i="13"/>
  <c r="M1906" i="13"/>
  <c r="K1718" i="13" l="1"/>
  <c r="L1718" i="13" s="1"/>
  <c r="I1719" i="13" s="1"/>
  <c r="N1904" i="14"/>
  <c r="J1903" i="14" a="1"/>
  <c r="J1903" i="14" s="1"/>
  <c r="K1740" i="14"/>
  <c r="L1740" i="14" s="1"/>
  <c r="I1741" i="14" s="1"/>
  <c r="J1904" i="13" a="1"/>
  <c r="J1904" i="13" s="1"/>
  <c r="N1905" i="13"/>
  <c r="M1907" i="13"/>
  <c r="M1908" i="14"/>
  <c r="K1741" i="14" l="1"/>
  <c r="L1741" i="14" s="1"/>
  <c r="I1742" i="14" s="1"/>
  <c r="K1719" i="13"/>
  <c r="L1719" i="13" s="1"/>
  <c r="I1720" i="13" s="1"/>
  <c r="J1904" i="14" a="1"/>
  <c r="J1904" i="14" s="1"/>
  <c r="N1905" i="14"/>
  <c r="N1906" i="13"/>
  <c r="J1905" i="13" a="1"/>
  <c r="J1905" i="13" s="1"/>
  <c r="M1909" i="14"/>
  <c r="M1908" i="13"/>
  <c r="K1742" i="14" l="1"/>
  <c r="L1742" i="14" s="1"/>
  <c r="I1743" i="14" s="1"/>
  <c r="K1720" i="13"/>
  <c r="L1720" i="13" s="1"/>
  <c r="I1721" i="13" s="1"/>
  <c r="M1909" i="13"/>
  <c r="J1905" i="14" a="1"/>
  <c r="J1905" i="14" s="1"/>
  <c r="N1906" i="14"/>
  <c r="J1906" i="13" a="1"/>
  <c r="J1906" i="13" s="1"/>
  <c r="N1907" i="13"/>
  <c r="M1910" i="14"/>
  <c r="K1721" i="13" l="1"/>
  <c r="L1721" i="13" s="1"/>
  <c r="I1722" i="13" s="1"/>
  <c r="K1743" i="14"/>
  <c r="L1743" i="14" s="1"/>
  <c r="I1744" i="14" s="1"/>
  <c r="J1906" i="14" a="1"/>
  <c r="J1906" i="14" s="1"/>
  <c r="N1907" i="14"/>
  <c r="J1907" i="13" a="1"/>
  <c r="J1907" i="13" s="1"/>
  <c r="N1908" i="13"/>
  <c r="M1911" i="14"/>
  <c r="M1910" i="13"/>
  <c r="K1744" i="14" l="1"/>
  <c r="L1744" i="14" s="1"/>
  <c r="I1745" i="14" s="1"/>
  <c r="M1911" i="13"/>
  <c r="M1912" i="14"/>
  <c r="J1908" i="13" a="1"/>
  <c r="J1908" i="13" s="1"/>
  <c r="N1909" i="13"/>
  <c r="N1908" i="14"/>
  <c r="J1907" i="14" a="1"/>
  <c r="J1907" i="14" s="1"/>
  <c r="K1722" i="13"/>
  <c r="L1722" i="13" s="1"/>
  <c r="I1723" i="13" s="1"/>
  <c r="K1723" i="13" l="1"/>
  <c r="L1723" i="13" s="1"/>
  <c r="I1724" i="13" s="1"/>
  <c r="K1745" i="14"/>
  <c r="L1745" i="14" s="1"/>
  <c r="I1746" i="14" s="1"/>
  <c r="N1910" i="13"/>
  <c r="J1909" i="13" a="1"/>
  <c r="J1909" i="13" s="1"/>
  <c r="M1912" i="13"/>
  <c r="J1908" i="14" a="1"/>
  <c r="J1908" i="14" s="1"/>
  <c r="N1909" i="14"/>
  <c r="M1913" i="14"/>
  <c r="K1724" i="13" l="1"/>
  <c r="L1724" i="13" s="1"/>
  <c r="I1725" i="13" s="1"/>
  <c r="M1913" i="13"/>
  <c r="J1909" i="14" a="1"/>
  <c r="J1909" i="14" s="1"/>
  <c r="N1910" i="14"/>
  <c r="M1914" i="14"/>
  <c r="K1746" i="14"/>
  <c r="L1746" i="14" s="1"/>
  <c r="I1747" i="14" s="1"/>
  <c r="J1910" i="13" a="1"/>
  <c r="J1910" i="13" s="1"/>
  <c r="N1911" i="13"/>
  <c r="K1747" i="14" l="1"/>
  <c r="L1747" i="14" s="1"/>
  <c r="I1748" i="14" s="1"/>
  <c r="K1725" i="13"/>
  <c r="L1725" i="13" s="1"/>
  <c r="I1726" i="13" s="1"/>
  <c r="J1911" i="13" a="1"/>
  <c r="J1911" i="13" s="1"/>
  <c r="N1912" i="13"/>
  <c r="M1915" i="14"/>
  <c r="M1914" i="13"/>
  <c r="J1910" i="14" a="1"/>
  <c r="J1910" i="14" s="1"/>
  <c r="N1911" i="14"/>
  <c r="K1748" i="14" l="1"/>
  <c r="L1748" i="14" s="1"/>
  <c r="I1749" i="14" s="1"/>
  <c r="M1915" i="13"/>
  <c r="N1912" i="14"/>
  <c r="J1911" i="14" a="1"/>
  <c r="J1911" i="14" s="1"/>
  <c r="K1726" i="13"/>
  <c r="L1726" i="13" s="1"/>
  <c r="I1727" i="13" s="1"/>
  <c r="M1916" i="14"/>
  <c r="J1912" i="13" a="1"/>
  <c r="J1912" i="13" s="1"/>
  <c r="N1913" i="13"/>
  <c r="K1749" i="14" l="1"/>
  <c r="L1749" i="14" s="1"/>
  <c r="I1750" i="14" s="1"/>
  <c r="N1914" i="13"/>
  <c r="J1913" i="13" a="1"/>
  <c r="J1913" i="13" s="1"/>
  <c r="K1727" i="13"/>
  <c r="L1727" i="13" s="1"/>
  <c r="I1728" i="13" s="1"/>
  <c r="M1916" i="13"/>
  <c r="M1917" i="14"/>
  <c r="J1912" i="14" a="1"/>
  <c r="J1912" i="14" s="1"/>
  <c r="N1913" i="14"/>
  <c r="K1728" i="13" l="1"/>
  <c r="L1728" i="13" s="1"/>
  <c r="I1729" i="13" s="1"/>
  <c r="K1750" i="14"/>
  <c r="L1750" i="14" s="1"/>
  <c r="I1751" i="14" s="1"/>
  <c r="J1914" i="13" a="1"/>
  <c r="J1914" i="13" s="1"/>
  <c r="N1915" i="13"/>
  <c r="J1913" i="14" a="1"/>
  <c r="J1913" i="14" s="1"/>
  <c r="N1914" i="14"/>
  <c r="M1917" i="13"/>
  <c r="M1918" i="14"/>
  <c r="M1918" i="13" l="1"/>
  <c r="M1919" i="14"/>
  <c r="J1914" i="14" a="1"/>
  <c r="J1914" i="14" s="1"/>
  <c r="N1915" i="14"/>
  <c r="K1751" i="14"/>
  <c r="L1751" i="14" s="1"/>
  <c r="I1752" i="14" s="1"/>
  <c r="J1915" i="13" a="1"/>
  <c r="J1915" i="13" s="1"/>
  <c r="N1916" i="13"/>
  <c r="K1729" i="13"/>
  <c r="L1729" i="13" s="1"/>
  <c r="I1730" i="13" s="1"/>
  <c r="K1752" i="14" l="1"/>
  <c r="L1752" i="14" s="1"/>
  <c r="I1753" i="14" s="1"/>
  <c r="K1730" i="13"/>
  <c r="L1730" i="13" s="1"/>
  <c r="I1731" i="13" s="1"/>
  <c r="J1916" i="13" a="1"/>
  <c r="J1916" i="13" s="1"/>
  <c r="N1917" i="13"/>
  <c r="M1920" i="14"/>
  <c r="N1916" i="14"/>
  <c r="J1915" i="14" a="1"/>
  <c r="J1915" i="14" s="1"/>
  <c r="M1919" i="13"/>
  <c r="K1731" i="13" l="1"/>
  <c r="L1731" i="13" s="1"/>
  <c r="I1732" i="13" s="1"/>
  <c r="K1753" i="14"/>
  <c r="L1753" i="14" s="1"/>
  <c r="I1754" i="14" s="1"/>
  <c r="N1918" i="13"/>
  <c r="J1917" i="13" a="1"/>
  <c r="J1917" i="13" s="1"/>
  <c r="J1916" i="14" a="1"/>
  <c r="J1916" i="14" s="1"/>
  <c r="N1917" i="14"/>
  <c r="M1920" i="13"/>
  <c r="M1921" i="14"/>
  <c r="K1754" i="14" l="1"/>
  <c r="L1754" i="14" s="1"/>
  <c r="I1755" i="14" s="1"/>
  <c r="K1732" i="13"/>
  <c r="L1732" i="13" s="1"/>
  <c r="I1733" i="13" s="1"/>
  <c r="M1922" i="14"/>
  <c r="M1921" i="13"/>
  <c r="J1917" i="14" a="1"/>
  <c r="J1917" i="14" s="1"/>
  <c r="N1918" i="14"/>
  <c r="J1918" i="13" a="1"/>
  <c r="J1918" i="13" s="1"/>
  <c r="N1919" i="13"/>
  <c r="K1733" i="13" l="1"/>
  <c r="L1733" i="13" s="1"/>
  <c r="I1734" i="13" s="1"/>
  <c r="K1755" i="14"/>
  <c r="L1755" i="14" s="1"/>
  <c r="I1756" i="14" s="1"/>
  <c r="J1919" i="13" a="1"/>
  <c r="J1919" i="13" s="1"/>
  <c r="N1920" i="13"/>
  <c r="M1922" i="13"/>
  <c r="J1918" i="14" a="1"/>
  <c r="J1918" i="14" s="1"/>
  <c r="N1919" i="14"/>
  <c r="M1923" i="14"/>
  <c r="K1756" i="14" l="1"/>
  <c r="L1756" i="14" s="1"/>
  <c r="I1757" i="14" s="1"/>
  <c r="K1734" i="13"/>
  <c r="L1734" i="13" s="1"/>
  <c r="I1735" i="13" s="1"/>
  <c r="J1920" i="13" a="1"/>
  <c r="J1920" i="13" s="1"/>
  <c r="N1921" i="13"/>
  <c r="N1920" i="14"/>
  <c r="J1919" i="14" a="1"/>
  <c r="J1919" i="14" s="1"/>
  <c r="M1924" i="14"/>
  <c r="M1923" i="13"/>
  <c r="K1757" i="14" l="1"/>
  <c r="L1757" i="14" s="1"/>
  <c r="I1758" i="14" s="1"/>
  <c r="M1924" i="13"/>
  <c r="K1735" i="13"/>
  <c r="L1735" i="13" s="1"/>
  <c r="I1736" i="13" s="1"/>
  <c r="N1922" i="13"/>
  <c r="J1921" i="13" a="1"/>
  <c r="J1921" i="13" s="1"/>
  <c r="J1920" i="14" a="1"/>
  <c r="J1920" i="14" s="1"/>
  <c r="N1921" i="14"/>
  <c r="M1925" i="14"/>
  <c r="K1736" i="13" l="1"/>
  <c r="L1736" i="13" s="1"/>
  <c r="I1737" i="13" s="1"/>
  <c r="K1758" i="14"/>
  <c r="L1758" i="14" s="1"/>
  <c r="I1759" i="14" s="1"/>
  <c r="M1926" i="14"/>
  <c r="M1925" i="13"/>
  <c r="J1921" i="14" a="1"/>
  <c r="J1921" i="14" s="1"/>
  <c r="N1922" i="14"/>
  <c r="J1922" i="13" a="1"/>
  <c r="J1922" i="13" s="1"/>
  <c r="N1923" i="13"/>
  <c r="K1759" i="14" l="1"/>
  <c r="L1759" i="14" s="1"/>
  <c r="I1760" i="14" s="1"/>
  <c r="K1737" i="13"/>
  <c r="L1737" i="13" s="1"/>
  <c r="I1738" i="13" s="1"/>
  <c r="J1923" i="13" a="1"/>
  <c r="J1923" i="13" s="1"/>
  <c r="N1924" i="13"/>
  <c r="M1926" i="13"/>
  <c r="J1922" i="14" a="1"/>
  <c r="J1922" i="14" s="1"/>
  <c r="N1923" i="14"/>
  <c r="M1927" i="14"/>
  <c r="K1738" i="13" l="1"/>
  <c r="L1738" i="13" s="1"/>
  <c r="I1739" i="13" s="1"/>
  <c r="K1760" i="14"/>
  <c r="L1760" i="14" s="1"/>
  <c r="I1761" i="14" s="1"/>
  <c r="J1924" i="13" a="1"/>
  <c r="J1924" i="13" s="1"/>
  <c r="N1925" i="13"/>
  <c r="M1928" i="14"/>
  <c r="M1927" i="13"/>
  <c r="N1924" i="14"/>
  <c r="J1923" i="14" a="1"/>
  <c r="J1923" i="14" s="1"/>
  <c r="K1739" i="13" l="1"/>
  <c r="L1739" i="13" s="1"/>
  <c r="I1740" i="13" s="1"/>
  <c r="K1761" i="14"/>
  <c r="L1761" i="14" s="1"/>
  <c r="I1762" i="14" s="1"/>
  <c r="M1929" i="14"/>
  <c r="N1926" i="13"/>
  <c r="J1925" i="13" a="1"/>
  <c r="J1925" i="13" s="1"/>
  <c r="J1924" i="14" a="1"/>
  <c r="J1924" i="14" s="1"/>
  <c r="N1925" i="14"/>
  <c r="M1928" i="13"/>
  <c r="K1762" i="14" l="1"/>
  <c r="L1762" i="14" s="1"/>
  <c r="I1763" i="14" s="1"/>
  <c r="K1740" i="13"/>
  <c r="L1740" i="13" s="1"/>
  <c r="I1741" i="13" s="1"/>
  <c r="M1929" i="13"/>
  <c r="J1926" i="13" a="1"/>
  <c r="J1926" i="13" s="1"/>
  <c r="N1927" i="13"/>
  <c r="J1925" i="14" a="1"/>
  <c r="J1925" i="14" s="1"/>
  <c r="N1926" i="14"/>
  <c r="M1930" i="14"/>
  <c r="K1741" i="13" l="1"/>
  <c r="L1741" i="13" s="1"/>
  <c r="I1742" i="13" s="1"/>
  <c r="M1931" i="14"/>
  <c r="J1927" i="13" a="1"/>
  <c r="J1927" i="13" s="1"/>
  <c r="N1928" i="13"/>
  <c r="J1926" i="14" a="1"/>
  <c r="J1926" i="14" s="1"/>
  <c r="N1927" i="14"/>
  <c r="M1930" i="13"/>
  <c r="K1763" i="14"/>
  <c r="L1763" i="14" s="1"/>
  <c r="I1764" i="14" s="1"/>
  <c r="K1764" i="14" l="1"/>
  <c r="L1764" i="14" s="1"/>
  <c r="I1765" i="14" s="1"/>
  <c r="N1928" i="14"/>
  <c r="J1927" i="14" a="1"/>
  <c r="J1927" i="14" s="1"/>
  <c r="M1932" i="14"/>
  <c r="J1928" i="13" a="1"/>
  <c r="J1928" i="13" s="1"/>
  <c r="N1929" i="13"/>
  <c r="M1931" i="13"/>
  <c r="K1742" i="13"/>
  <c r="L1742" i="13" s="1"/>
  <c r="I1743" i="13" s="1"/>
  <c r="K1743" i="13" l="1"/>
  <c r="L1743" i="13" s="1"/>
  <c r="I1744" i="13" s="1"/>
  <c r="J1928" i="14" a="1"/>
  <c r="J1928" i="14" s="1"/>
  <c r="N1929" i="14"/>
  <c r="N1930" i="13"/>
  <c r="J1929" i="13" a="1"/>
  <c r="J1929" i="13" s="1"/>
  <c r="M1932" i="13"/>
  <c r="M1933" i="14"/>
  <c r="K1765" i="14"/>
  <c r="L1765" i="14" s="1"/>
  <c r="I1766" i="14" s="1"/>
  <c r="K1744" i="13" l="1"/>
  <c r="L1744" i="13" s="1"/>
  <c r="I1745" i="13" s="1"/>
  <c r="K1766" i="14"/>
  <c r="L1766" i="14" s="1"/>
  <c r="I1767" i="14" s="1"/>
  <c r="J1929" i="14" a="1"/>
  <c r="J1929" i="14" s="1"/>
  <c r="N1930" i="14"/>
  <c r="M1933" i="13"/>
  <c r="M1934" i="14"/>
  <c r="J1930" i="13" a="1"/>
  <c r="J1930" i="13" s="1"/>
  <c r="N1931" i="13"/>
  <c r="K1767" i="14" l="1"/>
  <c r="L1767" i="14" s="1"/>
  <c r="I1768" i="14" s="1"/>
  <c r="K1745" i="13"/>
  <c r="L1745" i="13" s="1"/>
  <c r="I1746" i="13" s="1"/>
  <c r="J1931" i="13" a="1"/>
  <c r="J1931" i="13" s="1"/>
  <c r="N1932" i="13"/>
  <c r="M1934" i="13"/>
  <c r="M1935" i="14"/>
  <c r="J1930" i="14" a="1"/>
  <c r="J1930" i="14" s="1"/>
  <c r="N1931" i="14"/>
  <c r="K1746" i="13" l="1"/>
  <c r="L1746" i="13" s="1"/>
  <c r="I1747" i="13" s="1"/>
  <c r="K1768" i="14"/>
  <c r="L1768" i="14" s="1"/>
  <c r="I1769" i="14" s="1"/>
  <c r="M1935" i="13"/>
  <c r="N1932" i="14"/>
  <c r="J1931" i="14" a="1"/>
  <c r="J1931" i="14" s="1"/>
  <c r="J1932" i="13" a="1"/>
  <c r="J1932" i="13" s="1"/>
  <c r="N1933" i="13"/>
  <c r="M1936" i="14"/>
  <c r="K1747" i="13" l="1"/>
  <c r="L1747" i="13" s="1"/>
  <c r="I1748" i="13" s="1"/>
  <c r="K1769" i="14"/>
  <c r="L1769" i="14" s="1"/>
  <c r="I1770" i="14" s="1"/>
  <c r="J1932" i="14" a="1"/>
  <c r="J1932" i="14" s="1"/>
  <c r="N1933" i="14"/>
  <c r="M1937" i="14"/>
  <c r="N1934" i="13"/>
  <c r="J1933" i="13" a="1"/>
  <c r="J1933" i="13" s="1"/>
  <c r="M1936" i="13"/>
  <c r="K1748" i="13" l="1"/>
  <c r="L1748" i="13" s="1"/>
  <c r="I1749" i="13" s="1"/>
  <c r="K1770" i="14"/>
  <c r="L1770" i="14" s="1"/>
  <c r="I1771" i="14" s="1"/>
  <c r="J1934" i="13" a="1"/>
  <c r="J1934" i="13" s="1"/>
  <c r="N1935" i="13"/>
  <c r="M1937" i="13"/>
  <c r="M1938" i="14"/>
  <c r="J1933" i="14" a="1"/>
  <c r="J1933" i="14" s="1"/>
  <c r="N1934" i="14"/>
  <c r="K1749" i="13" l="1"/>
  <c r="L1749" i="13" s="1"/>
  <c r="I1750" i="13" s="1"/>
  <c r="K1771" i="14"/>
  <c r="L1771" i="14" s="1"/>
  <c r="I1772" i="14" s="1"/>
  <c r="M1938" i="13"/>
  <c r="J1935" i="13" a="1"/>
  <c r="J1935" i="13" s="1"/>
  <c r="N1936" i="13"/>
  <c r="J1934" i="14" a="1"/>
  <c r="J1934" i="14" s="1"/>
  <c r="N1935" i="14"/>
  <c r="M1939" i="14"/>
  <c r="K1750" i="13" l="1"/>
  <c r="L1750" i="13" s="1"/>
  <c r="I1751" i="13" s="1"/>
  <c r="K1772" i="14"/>
  <c r="L1772" i="14" s="1"/>
  <c r="I1773" i="14" s="1"/>
  <c r="M1940" i="14"/>
  <c r="N1936" i="14"/>
  <c r="J1935" i="14" a="1"/>
  <c r="J1935" i="14" s="1"/>
  <c r="J1936" i="13" a="1"/>
  <c r="J1936" i="13" s="1"/>
  <c r="N1937" i="13"/>
  <c r="M1939" i="13"/>
  <c r="K1751" i="13" l="1"/>
  <c r="L1751" i="13" s="1"/>
  <c r="I1752" i="13" s="1"/>
  <c r="K1773" i="14"/>
  <c r="L1773" i="14" s="1"/>
  <c r="I1774" i="14" s="1"/>
  <c r="M1940" i="13"/>
  <c r="J1936" i="14" a="1"/>
  <c r="J1936" i="14" s="1"/>
  <c r="N1937" i="14"/>
  <c r="N1938" i="13"/>
  <c r="J1937" i="13" a="1"/>
  <c r="J1937" i="13" s="1"/>
  <c r="M1941" i="14"/>
  <c r="K1774" i="14" l="1"/>
  <c r="L1774" i="14" s="1"/>
  <c r="I1775" i="14" s="1"/>
  <c r="K1752" i="13"/>
  <c r="L1752" i="13" s="1"/>
  <c r="I1753" i="13" s="1"/>
  <c r="J1937" i="14" a="1"/>
  <c r="J1937" i="14" s="1"/>
  <c r="N1938" i="14"/>
  <c r="M1942" i="14"/>
  <c r="M1941" i="13"/>
  <c r="J1938" i="13" a="1"/>
  <c r="J1938" i="13" s="1"/>
  <c r="N1939" i="13"/>
  <c r="K1753" i="13" l="1"/>
  <c r="L1753" i="13" s="1"/>
  <c r="I1754" i="13" s="1"/>
  <c r="K1775" i="14"/>
  <c r="L1775" i="14" s="1"/>
  <c r="I1776" i="14" s="1"/>
  <c r="J1939" i="13" a="1"/>
  <c r="J1939" i="13" s="1"/>
  <c r="N1940" i="13"/>
  <c r="M1943" i="14"/>
  <c r="J1938" i="14" a="1"/>
  <c r="J1938" i="14" s="1"/>
  <c r="N1939" i="14"/>
  <c r="M1942" i="13"/>
  <c r="K1754" i="13" l="1"/>
  <c r="L1754" i="13" s="1"/>
  <c r="I1755" i="13" s="1"/>
  <c r="K1776" i="14"/>
  <c r="L1776" i="14" s="1"/>
  <c r="I1777" i="14" s="1"/>
  <c r="N1940" i="14"/>
  <c r="J1939" i="14" a="1"/>
  <c r="J1939" i="14" s="1"/>
  <c r="M1943" i="13"/>
  <c r="M1944" i="14"/>
  <c r="J1940" i="13" a="1"/>
  <c r="J1940" i="13" s="1"/>
  <c r="N1941" i="13"/>
  <c r="K1777" i="14" l="1"/>
  <c r="L1777" i="14" s="1"/>
  <c r="I1778" i="14" s="1"/>
  <c r="N1942" i="13"/>
  <c r="J1941" i="13" a="1"/>
  <c r="J1941" i="13" s="1"/>
  <c r="M1944" i="13"/>
  <c r="M1945" i="14"/>
  <c r="J1940" i="14" a="1"/>
  <c r="J1940" i="14" s="1"/>
  <c r="N1941" i="14"/>
  <c r="K1755" i="13"/>
  <c r="L1755" i="13" s="1"/>
  <c r="I1756" i="13" s="1"/>
  <c r="K1756" i="13" l="1"/>
  <c r="L1756" i="13" s="1"/>
  <c r="I1757" i="13" s="1"/>
  <c r="K1778" i="14"/>
  <c r="L1778" i="14" s="1"/>
  <c r="I1779" i="14" s="1"/>
  <c r="M1946" i="14"/>
  <c r="J1942" i="13" a="1"/>
  <c r="J1942" i="13" s="1"/>
  <c r="N1943" i="13"/>
  <c r="J1941" i="14" a="1"/>
  <c r="J1941" i="14" s="1"/>
  <c r="N1942" i="14"/>
  <c r="M1945" i="13"/>
  <c r="K1757" i="13" l="1"/>
  <c r="L1757" i="13" s="1"/>
  <c r="I1758" i="13" s="1"/>
  <c r="K1779" i="14"/>
  <c r="L1779" i="14" s="1"/>
  <c r="I1780" i="14" s="1"/>
  <c r="J1943" i="13" a="1"/>
  <c r="J1943" i="13" s="1"/>
  <c r="N1944" i="13"/>
  <c r="M1946" i="13"/>
  <c r="J1942" i="14" a="1"/>
  <c r="J1942" i="14" s="1"/>
  <c r="N1943" i="14"/>
  <c r="M1947" i="14"/>
  <c r="K1780" i="14" l="1"/>
  <c r="L1780" i="14" s="1"/>
  <c r="I1781" i="14" s="1"/>
  <c r="K1758" i="13"/>
  <c r="L1758" i="13" s="1"/>
  <c r="I1759" i="13" s="1"/>
  <c r="N1944" i="14"/>
  <c r="J1943" i="14" a="1"/>
  <c r="J1943" i="14" s="1"/>
  <c r="M1948" i="14"/>
  <c r="M1947" i="13"/>
  <c r="J1944" i="13" a="1"/>
  <c r="J1944" i="13" s="1"/>
  <c r="N1945" i="13"/>
  <c r="K1759" i="13" l="1"/>
  <c r="L1759" i="13" s="1"/>
  <c r="I1760" i="13" s="1"/>
  <c r="K1781" i="14"/>
  <c r="L1781" i="14" s="1"/>
  <c r="I1782" i="14" s="1"/>
  <c r="M1949" i="14"/>
  <c r="N1946" i="13"/>
  <c r="J1945" i="13" a="1"/>
  <c r="J1945" i="13" s="1"/>
  <c r="M1948" i="13"/>
  <c r="J1944" i="14" a="1"/>
  <c r="J1944" i="14" s="1"/>
  <c r="N1945" i="14"/>
  <c r="K1782" i="14" l="1"/>
  <c r="L1782" i="14" s="1"/>
  <c r="I1783" i="14" s="1"/>
  <c r="K1760" i="13"/>
  <c r="L1760" i="13" s="1"/>
  <c r="I1761" i="13" s="1"/>
  <c r="J1946" i="13" a="1"/>
  <c r="J1946" i="13" s="1"/>
  <c r="N1947" i="13"/>
  <c r="J1945" i="14" a="1"/>
  <c r="J1945" i="14" s="1"/>
  <c r="N1946" i="14"/>
  <c r="M1949" i="13"/>
  <c r="M1950" i="14"/>
  <c r="K1761" i="13" l="1"/>
  <c r="L1761" i="13" s="1"/>
  <c r="I1762" i="13" s="1"/>
  <c r="K1783" i="14"/>
  <c r="L1783" i="14" s="1"/>
  <c r="I1784" i="14" s="1"/>
  <c r="J1946" i="14" a="1"/>
  <c r="J1946" i="14" s="1"/>
  <c r="N1947" i="14"/>
  <c r="J1947" i="13" a="1"/>
  <c r="J1947" i="13" s="1"/>
  <c r="N1948" i="13"/>
  <c r="M1951" i="14"/>
  <c r="M1950" i="13"/>
  <c r="K1784" i="14" l="1"/>
  <c r="L1784" i="14" s="1"/>
  <c r="I1785" i="14" s="1"/>
  <c r="K1762" i="13"/>
  <c r="L1762" i="13" s="1"/>
  <c r="I1763" i="13" s="1"/>
  <c r="J1948" i="13" a="1"/>
  <c r="J1948" i="13" s="1"/>
  <c r="N1949" i="13"/>
  <c r="N1948" i="14"/>
  <c r="J1947" i="14" a="1"/>
  <c r="J1947" i="14" s="1"/>
  <c r="M1951" i="13"/>
  <c r="M1952" i="14"/>
  <c r="K1763" i="13" l="1"/>
  <c r="L1763" i="13" s="1"/>
  <c r="I1764" i="13" s="1"/>
  <c r="K1785" i="14"/>
  <c r="L1785" i="14" s="1"/>
  <c r="I1786" i="14" s="1"/>
  <c r="J1948" i="14" a="1"/>
  <c r="J1948" i="14" s="1"/>
  <c r="N1949" i="14"/>
  <c r="N1950" i="13"/>
  <c r="J1949" i="13" a="1"/>
  <c r="J1949" i="13" s="1"/>
  <c r="M1953" i="14"/>
  <c r="M1952" i="13"/>
  <c r="K1764" i="13" l="1"/>
  <c r="L1764" i="13" s="1"/>
  <c r="I1765" i="13" s="1"/>
  <c r="K1786" i="14"/>
  <c r="L1786" i="14" s="1"/>
  <c r="I1787" i="14" s="1"/>
  <c r="J1950" i="13" a="1"/>
  <c r="J1950" i="13" s="1"/>
  <c r="N1951" i="13"/>
  <c r="M1953" i="13"/>
  <c r="J1949" i="14" a="1"/>
  <c r="J1949" i="14" s="1"/>
  <c r="N1950" i="14"/>
  <c r="M1954" i="14"/>
  <c r="K1787" i="14" l="1"/>
  <c r="L1787" i="14" s="1"/>
  <c r="I1788" i="14" s="1"/>
  <c r="K1765" i="13"/>
  <c r="L1765" i="13" s="1"/>
  <c r="I1766" i="13" s="1"/>
  <c r="J1950" i="14" a="1"/>
  <c r="J1950" i="14" s="1"/>
  <c r="N1951" i="14"/>
  <c r="M1955" i="14"/>
  <c r="M1954" i="13"/>
  <c r="J1951" i="13" a="1"/>
  <c r="J1951" i="13" s="1"/>
  <c r="N1952" i="13"/>
  <c r="K1766" i="13" l="1"/>
  <c r="L1766" i="13" s="1"/>
  <c r="I1767" i="13" s="1"/>
  <c r="K1788" i="14"/>
  <c r="L1788" i="14" s="1"/>
  <c r="I1789" i="14" s="1"/>
  <c r="J1952" i="13" a="1"/>
  <c r="J1952" i="13" s="1"/>
  <c r="N1953" i="13"/>
  <c r="M1956" i="14"/>
  <c r="N1952" i="14"/>
  <c r="J1951" i="14" a="1"/>
  <c r="J1951" i="14" s="1"/>
  <c r="M1955" i="13"/>
  <c r="K1767" i="13" l="1"/>
  <c r="L1767" i="13" s="1"/>
  <c r="I1768" i="13" s="1"/>
  <c r="K1789" i="14"/>
  <c r="L1789" i="14" s="1"/>
  <c r="I1790" i="14" s="1"/>
  <c r="N1954" i="13"/>
  <c r="J1953" i="13" a="1"/>
  <c r="J1953" i="13" s="1"/>
  <c r="J1952" i="14" a="1"/>
  <c r="J1952" i="14" s="1"/>
  <c r="N1953" i="14"/>
  <c r="M1956" i="13"/>
  <c r="M1957" i="14"/>
  <c r="K1790" i="14" l="1"/>
  <c r="L1790" i="14" s="1"/>
  <c r="I1791" i="14" s="1"/>
  <c r="J1953" i="14" a="1"/>
  <c r="J1953" i="14" s="1"/>
  <c r="N1954" i="14"/>
  <c r="M1958" i="14"/>
  <c r="M1957" i="13"/>
  <c r="J1954" i="13" a="1"/>
  <c r="J1954" i="13" s="1"/>
  <c r="N1955" i="13"/>
  <c r="K1768" i="13"/>
  <c r="L1768" i="13" s="1"/>
  <c r="I1769" i="13" s="1"/>
  <c r="K1769" i="13" l="1"/>
  <c r="L1769" i="13" s="1"/>
  <c r="I1770" i="13" s="1"/>
  <c r="K1791" i="14"/>
  <c r="L1791" i="14" s="1"/>
  <c r="I1792" i="14" s="1"/>
  <c r="J1954" i="14" a="1"/>
  <c r="J1954" i="14" s="1"/>
  <c r="N1955" i="14"/>
  <c r="J1955" i="13" a="1"/>
  <c r="J1955" i="13" s="1"/>
  <c r="N1956" i="13"/>
  <c r="M1959" i="14"/>
  <c r="M1958" i="13"/>
  <c r="K1792" i="14" l="1"/>
  <c r="L1792" i="14" s="1"/>
  <c r="I1793" i="14" s="1"/>
  <c r="K1770" i="13"/>
  <c r="L1770" i="13" s="1"/>
  <c r="I1771" i="13" s="1"/>
  <c r="M1959" i="13"/>
  <c r="J1956" i="13" a="1"/>
  <c r="J1956" i="13" s="1"/>
  <c r="N1957" i="13"/>
  <c r="N1956" i="14"/>
  <c r="J1955" i="14" a="1"/>
  <c r="J1955" i="14" s="1"/>
  <c r="M1960" i="14"/>
  <c r="K1771" i="13" l="1"/>
  <c r="L1771" i="13" s="1"/>
  <c r="I1772" i="13" s="1"/>
  <c r="K1793" i="14"/>
  <c r="L1793" i="14" s="1"/>
  <c r="I1794" i="14" s="1"/>
  <c r="N1958" i="13"/>
  <c r="J1957" i="13" a="1"/>
  <c r="J1957" i="13" s="1"/>
  <c r="M1961" i="14"/>
  <c r="J1956" i="14" a="1"/>
  <c r="J1956" i="14" s="1"/>
  <c r="N1957" i="14"/>
  <c r="M1960" i="13"/>
  <c r="K1794" i="14" l="1"/>
  <c r="L1794" i="14" s="1"/>
  <c r="I1795" i="14" s="1"/>
  <c r="K1772" i="13"/>
  <c r="L1772" i="13" s="1"/>
  <c r="I1773" i="13" s="1"/>
  <c r="M1961" i="13"/>
  <c r="M1962" i="14"/>
  <c r="J1957" i="14" a="1"/>
  <c r="J1957" i="14" s="1"/>
  <c r="N1958" i="14"/>
  <c r="J1958" i="13" a="1"/>
  <c r="J1958" i="13" s="1"/>
  <c r="N1959" i="13"/>
  <c r="K1773" i="13" l="1"/>
  <c r="L1773" i="13" s="1"/>
  <c r="I1774" i="13" s="1"/>
  <c r="K1795" i="14"/>
  <c r="L1795" i="14" s="1"/>
  <c r="I1796" i="14" s="1"/>
  <c r="J1959" i="13" a="1"/>
  <c r="J1959" i="13" s="1"/>
  <c r="N1960" i="13"/>
  <c r="M1963" i="14"/>
  <c r="J1958" i="14" a="1"/>
  <c r="J1958" i="14" s="1"/>
  <c r="N1959" i="14"/>
  <c r="M1962" i="13"/>
  <c r="K1774" i="13" l="1"/>
  <c r="L1774" i="13" s="1"/>
  <c r="I1775" i="13" s="1"/>
  <c r="N1960" i="14"/>
  <c r="J1959" i="14" a="1"/>
  <c r="J1959" i="14" s="1"/>
  <c r="M1963" i="13"/>
  <c r="M1964" i="14"/>
  <c r="K1796" i="14"/>
  <c r="L1796" i="14" s="1"/>
  <c r="I1797" i="14" s="1"/>
  <c r="J1960" i="13" a="1"/>
  <c r="J1960" i="13" s="1"/>
  <c r="N1961" i="13"/>
  <c r="K1797" i="14" l="1"/>
  <c r="L1797" i="14" s="1"/>
  <c r="I1798" i="14" s="1"/>
  <c r="K1775" i="13"/>
  <c r="L1775" i="13" s="1"/>
  <c r="I1776" i="13" s="1"/>
  <c r="M1965" i="14"/>
  <c r="J1960" i="14" a="1"/>
  <c r="J1960" i="14" s="1"/>
  <c r="N1961" i="14"/>
  <c r="N1962" i="13"/>
  <c r="J1961" i="13" a="1"/>
  <c r="J1961" i="13" s="1"/>
  <c r="M1964" i="13"/>
  <c r="K1776" i="13" l="1"/>
  <c r="L1776" i="13" s="1"/>
  <c r="I1777" i="13" s="1"/>
  <c r="K1798" i="14"/>
  <c r="L1798" i="14" s="1"/>
  <c r="I1799" i="14" s="1"/>
  <c r="J1961" i="14" a="1"/>
  <c r="J1961" i="14" s="1"/>
  <c r="N1962" i="14"/>
  <c r="M1965" i="13"/>
  <c r="J1962" i="13" a="1"/>
  <c r="J1962" i="13" s="1"/>
  <c r="N1963" i="13"/>
  <c r="M1966" i="14"/>
  <c r="K1799" i="14" l="1"/>
  <c r="L1799" i="14" s="1"/>
  <c r="I1800" i="14" s="1"/>
  <c r="K1777" i="13"/>
  <c r="L1777" i="13" s="1"/>
  <c r="I1778" i="13" s="1"/>
  <c r="M1967" i="14"/>
  <c r="M1966" i="13"/>
  <c r="J1962" i="14" a="1"/>
  <c r="J1962" i="14" s="1"/>
  <c r="N1963" i="14"/>
  <c r="J1963" i="13" a="1"/>
  <c r="J1963" i="13" s="1"/>
  <c r="N1964" i="13"/>
  <c r="K1778" i="13" l="1"/>
  <c r="L1778" i="13" s="1"/>
  <c r="I1779" i="13" s="1"/>
  <c r="M1967" i="13"/>
  <c r="J1964" i="13" a="1"/>
  <c r="J1964" i="13" s="1"/>
  <c r="N1965" i="13"/>
  <c r="N1964" i="14"/>
  <c r="J1963" i="14" a="1"/>
  <c r="J1963" i="14" s="1"/>
  <c r="M1968" i="14"/>
  <c r="K1800" i="14"/>
  <c r="L1800" i="14" s="1"/>
  <c r="I1801" i="14" s="1"/>
  <c r="K1801" i="14" l="1"/>
  <c r="L1801" i="14" s="1"/>
  <c r="I1802" i="14" s="1"/>
  <c r="J1964" i="14" a="1"/>
  <c r="J1964" i="14" s="1"/>
  <c r="N1965" i="14"/>
  <c r="M1968" i="13"/>
  <c r="N1966" i="13"/>
  <c r="J1965" i="13" a="1"/>
  <c r="J1965" i="13" s="1"/>
  <c r="M1969" i="14"/>
  <c r="K1779" i="13"/>
  <c r="L1779" i="13" s="1"/>
  <c r="I1780" i="13" s="1"/>
  <c r="K1780" i="13" l="1"/>
  <c r="L1780" i="13" s="1"/>
  <c r="I1781" i="13" s="1"/>
  <c r="K1802" i="14"/>
  <c r="L1802" i="14" s="1"/>
  <c r="I1803" i="14" s="1"/>
  <c r="J1965" i="14" a="1"/>
  <c r="J1965" i="14" s="1"/>
  <c r="N1966" i="14"/>
  <c r="J1966" i="13" a="1"/>
  <c r="J1966" i="13" s="1"/>
  <c r="N1967" i="13"/>
  <c r="M1969" i="13"/>
  <c r="M1970" i="14"/>
  <c r="K1803" i="14" l="1"/>
  <c r="L1803" i="14" s="1"/>
  <c r="I1804" i="14" s="1"/>
  <c r="K1781" i="13"/>
  <c r="L1781" i="13" s="1"/>
  <c r="I1782" i="13" s="1"/>
  <c r="M1970" i="13"/>
  <c r="M1971" i="14"/>
  <c r="J1967" i="13" a="1"/>
  <c r="J1967" i="13" s="1"/>
  <c r="N1968" i="13"/>
  <c r="J1966" i="14" a="1"/>
  <c r="J1966" i="14" s="1"/>
  <c r="N1967" i="14"/>
  <c r="K1782" i="13" l="1"/>
  <c r="L1782" i="13" s="1"/>
  <c r="I1783" i="13" s="1"/>
  <c r="K1804" i="14"/>
  <c r="L1804" i="14" s="1"/>
  <c r="I1805" i="14" s="1"/>
  <c r="N1968" i="14"/>
  <c r="J1967" i="14" a="1"/>
  <c r="J1967" i="14" s="1"/>
  <c r="M1972" i="14"/>
  <c r="J1968" i="13" a="1"/>
  <c r="J1968" i="13" s="1"/>
  <c r="N1969" i="13"/>
  <c r="M1971" i="13"/>
  <c r="K1783" i="13" l="1"/>
  <c r="L1783" i="13" s="1"/>
  <c r="I1784" i="13" s="1"/>
  <c r="M1972" i="13"/>
  <c r="M1973" i="14"/>
  <c r="K1805" i="14"/>
  <c r="L1805" i="14" s="1"/>
  <c r="I1806" i="14" s="1"/>
  <c r="N1970" i="13"/>
  <c r="J1969" i="13" a="1"/>
  <c r="J1969" i="13" s="1"/>
  <c r="J1968" i="14" a="1"/>
  <c r="J1968" i="14" s="1"/>
  <c r="N1969" i="14"/>
  <c r="K1806" i="14" l="1"/>
  <c r="L1806" i="14" s="1"/>
  <c r="I1807" i="14" s="1"/>
  <c r="K1784" i="13"/>
  <c r="L1784" i="13" s="1"/>
  <c r="I1785" i="13" s="1"/>
  <c r="M1973" i="13"/>
  <c r="J1969" i="14" a="1"/>
  <c r="J1969" i="14" s="1"/>
  <c r="N1970" i="14"/>
  <c r="J1970" i="13" a="1"/>
  <c r="J1970" i="13" s="1"/>
  <c r="N1971" i="13"/>
  <c r="M1974" i="14"/>
  <c r="K1807" i="14" l="1"/>
  <c r="L1807" i="14" s="1"/>
  <c r="I1808" i="14" s="1"/>
  <c r="J1970" i="14" a="1"/>
  <c r="J1970" i="14" s="1"/>
  <c r="N1971" i="14"/>
  <c r="M1975" i="14"/>
  <c r="K1785" i="13"/>
  <c r="L1785" i="13" s="1"/>
  <c r="I1786" i="13" s="1"/>
  <c r="J1971" i="13" a="1"/>
  <c r="J1971" i="13" s="1"/>
  <c r="N1972" i="13"/>
  <c r="M1974" i="13"/>
  <c r="K1786" i="13" l="1"/>
  <c r="L1786" i="13" s="1"/>
  <c r="I1787" i="13" s="1"/>
  <c r="K1808" i="14"/>
  <c r="L1808" i="14" s="1"/>
  <c r="I1809" i="14" s="1"/>
  <c r="N1972" i="14"/>
  <c r="J1971" i="14" a="1"/>
  <c r="J1971" i="14" s="1"/>
  <c r="M1975" i="13"/>
  <c r="J1972" i="13" a="1"/>
  <c r="J1972" i="13" s="1"/>
  <c r="N1973" i="13"/>
  <c r="M1976" i="14"/>
  <c r="K1809" i="14" l="1"/>
  <c r="L1809" i="14" s="1"/>
  <c r="I1810" i="14" s="1"/>
  <c r="K1787" i="13"/>
  <c r="L1787" i="13" s="1"/>
  <c r="I1788" i="13" s="1"/>
  <c r="N1974" i="13"/>
  <c r="J1973" i="13" a="1"/>
  <c r="J1973" i="13" s="1"/>
  <c r="M1977" i="14"/>
  <c r="M1976" i="13"/>
  <c r="J1972" i="14" a="1"/>
  <c r="J1972" i="14" s="1"/>
  <c r="N1973" i="14"/>
  <c r="K1788" i="13" l="1"/>
  <c r="L1788" i="13" s="1"/>
  <c r="I1789" i="13" s="1"/>
  <c r="K1810" i="14"/>
  <c r="L1810" i="14" s="1"/>
  <c r="I1811" i="14" s="1"/>
  <c r="J1973" i="14" a="1"/>
  <c r="J1973" i="14" s="1"/>
  <c r="N1974" i="14"/>
  <c r="M1978" i="14"/>
  <c r="M1977" i="13"/>
  <c r="J1974" i="13" a="1"/>
  <c r="J1974" i="13" s="1"/>
  <c r="N1975" i="13"/>
  <c r="K1789" i="13" l="1"/>
  <c r="L1789" i="13" s="1"/>
  <c r="I1790" i="13" s="1"/>
  <c r="J1975" i="13" a="1"/>
  <c r="J1975" i="13" s="1"/>
  <c r="N1976" i="13"/>
  <c r="M1979" i="14"/>
  <c r="K1811" i="14"/>
  <c r="L1811" i="14" s="1"/>
  <c r="I1812" i="14" s="1"/>
  <c r="J1974" i="14" a="1"/>
  <c r="J1974" i="14" s="1"/>
  <c r="N1975" i="14"/>
  <c r="M1978" i="13"/>
  <c r="K1790" i="13" l="1"/>
  <c r="L1790" i="13" s="1"/>
  <c r="I1791" i="13" s="1"/>
  <c r="K1812" i="14"/>
  <c r="L1812" i="14" s="1"/>
  <c r="I1813" i="14" s="1"/>
  <c r="J1976" i="13" a="1"/>
  <c r="J1976" i="13" s="1"/>
  <c r="N1977" i="13"/>
  <c r="M1979" i="13"/>
  <c r="N1976" i="14"/>
  <c r="J1975" i="14" a="1"/>
  <c r="J1975" i="14" s="1"/>
  <c r="M1980" i="14"/>
  <c r="K1791" i="13" l="1"/>
  <c r="L1791" i="13" s="1"/>
  <c r="I1792" i="13" s="1"/>
  <c r="J1976" i="14" a="1"/>
  <c r="J1976" i="14" s="1"/>
  <c r="N1977" i="14"/>
  <c r="M1981" i="14"/>
  <c r="M1980" i="13"/>
  <c r="K1813" i="14"/>
  <c r="L1813" i="14" s="1"/>
  <c r="I1814" i="14" s="1"/>
  <c r="N1978" i="13"/>
  <c r="J1977" i="13" a="1"/>
  <c r="J1977" i="13" s="1"/>
  <c r="K1814" i="14" l="1"/>
  <c r="L1814" i="14" s="1"/>
  <c r="I1815" i="14" s="1"/>
  <c r="K1792" i="13"/>
  <c r="L1792" i="13" s="1"/>
  <c r="I1793" i="13" s="1"/>
  <c r="J1977" i="14" a="1"/>
  <c r="J1977" i="14" s="1"/>
  <c r="N1978" i="14"/>
  <c r="M1981" i="13"/>
  <c r="J1978" i="13" a="1"/>
  <c r="J1978" i="13" s="1"/>
  <c r="N1979" i="13"/>
  <c r="M1982" i="14"/>
  <c r="K1815" i="14" l="1"/>
  <c r="L1815" i="14" s="1"/>
  <c r="I1816" i="14" s="1"/>
  <c r="K1793" i="13"/>
  <c r="L1793" i="13" s="1"/>
  <c r="I1794" i="13" s="1"/>
  <c r="J1979" i="13" a="1"/>
  <c r="J1979" i="13" s="1"/>
  <c r="N1980" i="13"/>
  <c r="J1978" i="14" a="1"/>
  <c r="J1978" i="14" s="1"/>
  <c r="N1979" i="14"/>
  <c r="M1983" i="14"/>
  <c r="M1982" i="13"/>
  <c r="K1794" i="13" l="1"/>
  <c r="L1794" i="13" s="1"/>
  <c r="I1795" i="13" s="1"/>
  <c r="K1816" i="14"/>
  <c r="L1816" i="14" s="1"/>
  <c r="I1817" i="14" s="1"/>
  <c r="N1980" i="14"/>
  <c r="J1979" i="14" a="1"/>
  <c r="J1979" i="14" s="1"/>
  <c r="M1983" i="13"/>
  <c r="J1980" i="13" a="1"/>
  <c r="J1980" i="13" s="1"/>
  <c r="N1981" i="13"/>
  <c r="M1984" i="14"/>
  <c r="K1795" i="13" l="1"/>
  <c r="L1795" i="13" s="1"/>
  <c r="I1796" i="13" s="1"/>
  <c r="M1984" i="13"/>
  <c r="K1817" i="14"/>
  <c r="L1817" i="14" s="1"/>
  <c r="I1818" i="14" s="1"/>
  <c r="M1985" i="14"/>
  <c r="N1982" i="13"/>
  <c r="J1981" i="13" a="1"/>
  <c r="J1981" i="13" s="1"/>
  <c r="J1980" i="14" a="1"/>
  <c r="J1980" i="14" s="1"/>
  <c r="N1981" i="14"/>
  <c r="K1796" i="13" l="1"/>
  <c r="L1796" i="13" s="1"/>
  <c r="I1797" i="13" s="1"/>
  <c r="K1818" i="14"/>
  <c r="L1818" i="14" s="1"/>
  <c r="I1819" i="14" s="1"/>
  <c r="J1981" i="14" a="1"/>
  <c r="J1981" i="14" s="1"/>
  <c r="N1982" i="14"/>
  <c r="M1985" i="13"/>
  <c r="M1986" i="14"/>
  <c r="J1982" i="13" a="1"/>
  <c r="J1982" i="13" s="1"/>
  <c r="N1983" i="13"/>
  <c r="K1819" i="14" l="1"/>
  <c r="L1819" i="14" s="1"/>
  <c r="I1820" i="14" s="1"/>
  <c r="K1797" i="13"/>
  <c r="L1797" i="13" s="1"/>
  <c r="I1798" i="13" s="1"/>
  <c r="J1982" i="14" a="1"/>
  <c r="J1982" i="14" s="1"/>
  <c r="N1983" i="14"/>
  <c r="J1983" i="13" a="1"/>
  <c r="J1983" i="13" s="1"/>
  <c r="N1984" i="13"/>
  <c r="M1986" i="13"/>
  <c r="M1987" i="14"/>
  <c r="K1798" i="13" l="1"/>
  <c r="L1798" i="13" s="1"/>
  <c r="I1799" i="13" s="1"/>
  <c r="K1820" i="14"/>
  <c r="L1820" i="14" s="1"/>
  <c r="I1821" i="14" s="1"/>
  <c r="J1984" i="13" a="1"/>
  <c r="J1984" i="13" s="1"/>
  <c r="N1985" i="13"/>
  <c r="M1988" i="14"/>
  <c r="N1984" i="14"/>
  <c r="J1983" i="14" a="1"/>
  <c r="J1983" i="14" s="1"/>
  <c r="M1987" i="13"/>
  <c r="K1821" i="14" l="1"/>
  <c r="L1821" i="14" s="1"/>
  <c r="I1822" i="14" s="1"/>
  <c r="K1799" i="13"/>
  <c r="L1799" i="13" s="1"/>
  <c r="I1800" i="13" s="1"/>
  <c r="M1988" i="13"/>
  <c r="M1989" i="14"/>
  <c r="N1986" i="13"/>
  <c r="J1985" i="13" a="1"/>
  <c r="J1985" i="13" s="1"/>
  <c r="J1984" i="14" a="1"/>
  <c r="J1984" i="14" s="1"/>
  <c r="N1985" i="14"/>
  <c r="K1800" i="13" l="1"/>
  <c r="L1800" i="13" s="1"/>
  <c r="I1801" i="13" s="1"/>
  <c r="K1822" i="14"/>
  <c r="L1822" i="14" s="1"/>
  <c r="I1823" i="14" s="1"/>
  <c r="M1990" i="14"/>
  <c r="J1985" i="14" a="1"/>
  <c r="J1985" i="14" s="1"/>
  <c r="N1986" i="14"/>
  <c r="M1989" i="13"/>
  <c r="J1986" i="13" a="1"/>
  <c r="J1986" i="13" s="1"/>
  <c r="N1987" i="13"/>
  <c r="K1823" i="14" l="1"/>
  <c r="L1823" i="14" s="1"/>
  <c r="I1824" i="14" s="1"/>
  <c r="K1801" i="13"/>
  <c r="L1801" i="13" s="1"/>
  <c r="I1802" i="13" s="1"/>
  <c r="J1986" i="14" a="1"/>
  <c r="J1986" i="14" s="1"/>
  <c r="N1987" i="14"/>
  <c r="J1987" i="13" a="1"/>
  <c r="J1987" i="13" s="1"/>
  <c r="N1988" i="13"/>
  <c r="M1991" i="14"/>
  <c r="M1990" i="13"/>
  <c r="K1802" i="13" l="1"/>
  <c r="L1802" i="13" s="1"/>
  <c r="I1803" i="13" s="1"/>
  <c r="K1824" i="14"/>
  <c r="L1824" i="14" s="1"/>
  <c r="I1825" i="14" s="1"/>
  <c r="N1988" i="14"/>
  <c r="J1987" i="14" a="1"/>
  <c r="J1987" i="14" s="1"/>
  <c r="M1992" i="14"/>
  <c r="J1988" i="13" a="1"/>
  <c r="J1988" i="13" s="1"/>
  <c r="N1989" i="13"/>
  <c r="M1991" i="13"/>
  <c r="K1825" i="14" l="1"/>
  <c r="L1825" i="14" s="1"/>
  <c r="I1826" i="14" s="1"/>
  <c r="K1803" i="13"/>
  <c r="L1803" i="13" s="1"/>
  <c r="I1804" i="13" s="1"/>
  <c r="N1990" i="13"/>
  <c r="J1989" i="13" a="1"/>
  <c r="J1989" i="13" s="1"/>
  <c r="J1988" i="14" a="1"/>
  <c r="J1988" i="14" s="1"/>
  <c r="N1989" i="14"/>
  <c r="M1992" i="13"/>
  <c r="M1993" i="14"/>
  <c r="K1826" i="14" l="1"/>
  <c r="L1826" i="14" s="1"/>
  <c r="I1827" i="14" s="1"/>
  <c r="K1804" i="13"/>
  <c r="L1804" i="13" s="1"/>
  <c r="I1805" i="13" s="1"/>
  <c r="M1993" i="13"/>
  <c r="J1989" i="14" a="1"/>
  <c r="J1989" i="14" s="1"/>
  <c r="N1990" i="14"/>
  <c r="M1994" i="14"/>
  <c r="J1990" i="13" a="1"/>
  <c r="J1990" i="13" s="1"/>
  <c r="N1991" i="13"/>
  <c r="K1827" i="14" l="1"/>
  <c r="L1827" i="14" s="1"/>
  <c r="I1828" i="14" s="1"/>
  <c r="K1805" i="13"/>
  <c r="L1805" i="13" s="1"/>
  <c r="I1806" i="13" s="1"/>
  <c r="J1991" i="13" a="1"/>
  <c r="J1991" i="13" s="1"/>
  <c r="N1992" i="13"/>
  <c r="J1990" i="14" a="1"/>
  <c r="J1990" i="14" s="1"/>
  <c r="N1991" i="14"/>
  <c r="M1995" i="14"/>
  <c r="M1994" i="13"/>
  <c r="K1828" i="14" l="1"/>
  <c r="L1828" i="14" s="1"/>
  <c r="I1829" i="14" s="1"/>
  <c r="K1806" i="13"/>
  <c r="L1806" i="13" s="1"/>
  <c r="I1807" i="13" s="1"/>
  <c r="N1992" i="14"/>
  <c r="J1991" i="14" a="1"/>
  <c r="J1991" i="14" s="1"/>
  <c r="M1996" i="14"/>
  <c r="M1995" i="13"/>
  <c r="J1992" i="13" a="1"/>
  <c r="J1992" i="13" s="1"/>
  <c r="N1993" i="13"/>
  <c r="K1807" i="13" l="1"/>
  <c r="L1807" i="13" s="1"/>
  <c r="I1808" i="13" s="1"/>
  <c r="M1996" i="13"/>
  <c r="N1994" i="13"/>
  <c r="J1993" i="13" a="1"/>
  <c r="J1993" i="13" s="1"/>
  <c r="M1997" i="14"/>
  <c r="J1992" i="14" a="1"/>
  <c r="J1992" i="14" s="1"/>
  <c r="N1993" i="14"/>
  <c r="K1829" i="14"/>
  <c r="L1829" i="14" s="1"/>
  <c r="I1830" i="14" s="1"/>
  <c r="K1830" i="14" l="1"/>
  <c r="L1830" i="14" s="1"/>
  <c r="I1831" i="14" s="1"/>
  <c r="K1808" i="13"/>
  <c r="L1808" i="13" s="1"/>
  <c r="I1809" i="13" s="1"/>
  <c r="J1993" i="14" a="1"/>
  <c r="J1993" i="14" s="1"/>
  <c r="N1994" i="14"/>
  <c r="M1997" i="13"/>
  <c r="M1998" i="14"/>
  <c r="J1994" i="13" a="1"/>
  <c r="J1994" i="13" s="1"/>
  <c r="N1995" i="13"/>
  <c r="K1809" i="13" l="1"/>
  <c r="L1809" i="13" s="1"/>
  <c r="I1810" i="13" s="1"/>
  <c r="K1831" i="14"/>
  <c r="L1831" i="14" s="1"/>
  <c r="I1832" i="14" s="1"/>
  <c r="J1995" i="13" a="1"/>
  <c r="J1995" i="13" s="1"/>
  <c r="N1996" i="13"/>
  <c r="M1998" i="13"/>
  <c r="M1999" i="14"/>
  <c r="J1994" i="14" a="1"/>
  <c r="J1994" i="14" s="1"/>
  <c r="N1995" i="14"/>
  <c r="K1810" i="13" l="1"/>
  <c r="L1810" i="13" s="1"/>
  <c r="I1811" i="13" s="1"/>
  <c r="N1996" i="14"/>
  <c r="J1995" i="14" a="1"/>
  <c r="J1995" i="14" s="1"/>
  <c r="M1999" i="13"/>
  <c r="K1832" i="14"/>
  <c r="L1832" i="14" s="1"/>
  <c r="I1833" i="14" s="1"/>
  <c r="J1996" i="13" a="1"/>
  <c r="J1996" i="13" s="1"/>
  <c r="N1997" i="13"/>
  <c r="M2000" i="14"/>
  <c r="K1833" i="14" l="1"/>
  <c r="L1833" i="14" s="1"/>
  <c r="I1834" i="14" s="1"/>
  <c r="K1811" i="13"/>
  <c r="L1811" i="13" s="1"/>
  <c r="I1812" i="13" s="1"/>
  <c r="N1998" i="13"/>
  <c r="J1997" i="13" a="1"/>
  <c r="J1997" i="13" s="1"/>
  <c r="M2001" i="14"/>
  <c r="J1996" i="14" a="1"/>
  <c r="J1996" i="14" s="1"/>
  <c r="N1997" i="14"/>
  <c r="M2000" i="13"/>
  <c r="K1834" i="14" l="1"/>
  <c r="L1834" i="14" s="1"/>
  <c r="I1835" i="14" s="1"/>
  <c r="K1812" i="13"/>
  <c r="L1812" i="13" s="1"/>
  <c r="I1813" i="13" s="1"/>
  <c r="J1997" i="14" a="1"/>
  <c r="J1997" i="14" s="1"/>
  <c r="N1998" i="14"/>
  <c r="M2001" i="13"/>
  <c r="M2002" i="14"/>
  <c r="J1998" i="13" a="1"/>
  <c r="J1998" i="13" s="1"/>
  <c r="N1999" i="13"/>
  <c r="K1835" i="14" l="1"/>
  <c r="L1835" i="14" s="1"/>
  <c r="I1836" i="14" s="1"/>
  <c r="K1813" i="13"/>
  <c r="L1813" i="13" s="1"/>
  <c r="I1814" i="13" s="1"/>
  <c r="J1999" i="13" a="1"/>
  <c r="J1999" i="13" s="1"/>
  <c r="N2000" i="13"/>
  <c r="J1998" i="14" a="1"/>
  <c r="J1998" i="14" s="1"/>
  <c r="N1999" i="14"/>
  <c r="M2002" i="13"/>
  <c r="M2003" i="14"/>
  <c r="K1814" i="13" l="1"/>
  <c r="L1814" i="13" s="1"/>
  <c r="I1815" i="13" s="1"/>
  <c r="K1836" i="14"/>
  <c r="L1836" i="14" s="1"/>
  <c r="I1837" i="14" s="1"/>
  <c r="N2000" i="14"/>
  <c r="J1999" i="14" a="1"/>
  <c r="J1999" i="14" s="1"/>
  <c r="M2003" i="13"/>
  <c r="M2004" i="14"/>
  <c r="J2000" i="13" a="1"/>
  <c r="J2000" i="13" s="1"/>
  <c r="N2001" i="13"/>
  <c r="K1837" i="14" l="1"/>
  <c r="L1837" i="14" s="1"/>
  <c r="I1838" i="14" s="1"/>
  <c r="N2002" i="13"/>
  <c r="J2001" i="13" a="1"/>
  <c r="J2001" i="13" s="1"/>
  <c r="M2004" i="13"/>
  <c r="M2005" i="14"/>
  <c r="J2000" i="14" a="1"/>
  <c r="J2000" i="14" s="1"/>
  <c r="N2001" i="14"/>
  <c r="K1815" i="13"/>
  <c r="L1815" i="13" s="1"/>
  <c r="I1816" i="13" s="1"/>
  <c r="K1816" i="13" l="1"/>
  <c r="L1816" i="13" s="1"/>
  <c r="I1817" i="13" s="1"/>
  <c r="K1838" i="14"/>
  <c r="L1838" i="14" s="1"/>
  <c r="I1839" i="14" s="1"/>
  <c r="M2006" i="14"/>
  <c r="J2002" i="13" a="1"/>
  <c r="J2002" i="13" s="1"/>
  <c r="N2003" i="13"/>
  <c r="M2005" i="13"/>
  <c r="J2001" i="14" a="1"/>
  <c r="J2001" i="14" s="1"/>
  <c r="N2002" i="14"/>
  <c r="K1839" i="14" l="1"/>
  <c r="L1839" i="14" s="1"/>
  <c r="I1840" i="14" s="1"/>
  <c r="K1817" i="13"/>
  <c r="L1817" i="13" s="1"/>
  <c r="I1818" i="13" s="1"/>
  <c r="J2002" i="14" a="1"/>
  <c r="J2002" i="14" s="1"/>
  <c r="N2003" i="14"/>
  <c r="J2003" i="13" a="1"/>
  <c r="J2003" i="13" s="1"/>
  <c r="N2004" i="13"/>
  <c r="M2007" i="14"/>
  <c r="M2006" i="13"/>
  <c r="K1818" i="13" l="1"/>
  <c r="L1818" i="13" s="1"/>
  <c r="I1819" i="13" s="1"/>
  <c r="K1840" i="14"/>
  <c r="L1840" i="14" s="1"/>
  <c r="I1841" i="14" s="1"/>
  <c r="J2004" i="13" a="1"/>
  <c r="J2004" i="13" s="1"/>
  <c r="N2005" i="13"/>
  <c r="M2008" i="14"/>
  <c r="M2007" i="13"/>
  <c r="N2004" i="14"/>
  <c r="J2003" i="14" a="1"/>
  <c r="J2003" i="14" s="1"/>
  <c r="K1841" i="14" l="1"/>
  <c r="L1841" i="14" s="1"/>
  <c r="I1842" i="14" s="1"/>
  <c r="K1819" i="13"/>
  <c r="L1819" i="13" s="1"/>
  <c r="I1820" i="13" s="1"/>
  <c r="N2006" i="13"/>
  <c r="J2005" i="13" a="1"/>
  <c r="J2005" i="13" s="1"/>
  <c r="M2008" i="13"/>
  <c r="J2004" i="14" a="1"/>
  <c r="J2004" i="14" s="1"/>
  <c r="N2005" i="14"/>
  <c r="M2009" i="14"/>
  <c r="K1820" i="13" l="1"/>
  <c r="L1820" i="13" s="1"/>
  <c r="I1821" i="13" s="1"/>
  <c r="K1842" i="14"/>
  <c r="L1842" i="14" s="1"/>
  <c r="I1843" i="14" s="1"/>
  <c r="M2009" i="13"/>
  <c r="M2010" i="14"/>
  <c r="J2005" i="14" a="1"/>
  <c r="J2005" i="14" s="1"/>
  <c r="N2006" i="14"/>
  <c r="J2006" i="13" a="1"/>
  <c r="J2006" i="13" s="1"/>
  <c r="N2007" i="13"/>
  <c r="K1843" i="14" l="1"/>
  <c r="L1843" i="14" s="1"/>
  <c r="I1844" i="14" s="1"/>
  <c r="K1821" i="13"/>
  <c r="L1821" i="13" s="1"/>
  <c r="I1822" i="13" s="1"/>
  <c r="M2011" i="14"/>
  <c r="J2007" i="13" a="1"/>
  <c r="J2007" i="13" s="1"/>
  <c r="N2008" i="13"/>
  <c r="J2006" i="14" a="1"/>
  <c r="J2006" i="14" s="1"/>
  <c r="N2007" i="14"/>
  <c r="M2010" i="13"/>
  <c r="K1822" i="13" l="1"/>
  <c r="L1822" i="13" s="1"/>
  <c r="I1823" i="13" s="1"/>
  <c r="K1844" i="14"/>
  <c r="L1844" i="14" s="1"/>
  <c r="I1845" i="14" s="1"/>
  <c r="J2008" i="13" a="1"/>
  <c r="J2008" i="13" s="1"/>
  <c r="N2009" i="13"/>
  <c r="N2008" i="14"/>
  <c r="J2007" i="14" a="1"/>
  <c r="J2007" i="14" s="1"/>
  <c r="M2011" i="13"/>
  <c r="M2012" i="14"/>
  <c r="K1845" i="14" l="1"/>
  <c r="L1845" i="14" s="1"/>
  <c r="I1846" i="14" s="1"/>
  <c r="K1823" i="13"/>
  <c r="L1823" i="13" s="1"/>
  <c r="I1824" i="13" s="1"/>
  <c r="M2012" i="13"/>
  <c r="M2013" i="14"/>
  <c r="J2008" i="14" a="1"/>
  <c r="J2008" i="14" s="1"/>
  <c r="N2009" i="14"/>
  <c r="N2010" i="13"/>
  <c r="J2009" i="13" a="1"/>
  <c r="J2009" i="13" s="1"/>
  <c r="K1824" i="13" l="1"/>
  <c r="L1824" i="13" s="1"/>
  <c r="I1825" i="13" s="1"/>
  <c r="K1846" i="14"/>
  <c r="L1846" i="14" s="1"/>
  <c r="I1847" i="14" s="1"/>
  <c r="J2010" i="13" a="1"/>
  <c r="J2010" i="13" s="1"/>
  <c r="N2011" i="13"/>
  <c r="M2014" i="14"/>
  <c r="J2009" i="14" a="1"/>
  <c r="J2009" i="14" s="1"/>
  <c r="N2010" i="14"/>
  <c r="M2013" i="13"/>
  <c r="K1847" i="14" l="1"/>
  <c r="L1847" i="14" s="1"/>
  <c r="I1848" i="14" s="1"/>
  <c r="K1825" i="13"/>
  <c r="L1825" i="13" s="1"/>
  <c r="I1826" i="13" s="1"/>
  <c r="J2010" i="14" a="1"/>
  <c r="J2010" i="14" s="1"/>
  <c r="N2011" i="14"/>
  <c r="M2015" i="14"/>
  <c r="M2014" i="13"/>
  <c r="J2011" i="13" a="1"/>
  <c r="J2011" i="13" s="1"/>
  <c r="N2012" i="13"/>
  <c r="K1826" i="13" l="1"/>
  <c r="L1826" i="13" s="1"/>
  <c r="I1827" i="13" s="1"/>
  <c r="K1848" i="14"/>
  <c r="L1848" i="14" s="1"/>
  <c r="I1849" i="14" s="1"/>
  <c r="J2012" i="13" a="1"/>
  <c r="J2012" i="13" s="1"/>
  <c r="N2013" i="13"/>
  <c r="M2016" i="14"/>
  <c r="N2012" i="14"/>
  <c r="J2011" i="14" a="1"/>
  <c r="J2011" i="14" s="1"/>
  <c r="M2015" i="13"/>
  <c r="K1849" i="14" l="1"/>
  <c r="L1849" i="14" s="1"/>
  <c r="I1850" i="14" s="1"/>
  <c r="K1827" i="13"/>
  <c r="L1827" i="13" s="1"/>
  <c r="I1828" i="13" s="1"/>
  <c r="M2016" i="13"/>
  <c r="M2017" i="14"/>
  <c r="N2014" i="13"/>
  <c r="J2013" i="13" a="1"/>
  <c r="J2013" i="13" s="1"/>
  <c r="J2012" i="14" a="1"/>
  <c r="J2012" i="14" s="1"/>
  <c r="N2013" i="14"/>
  <c r="K1828" i="13" l="1"/>
  <c r="L1828" i="13" s="1"/>
  <c r="I1829" i="13" s="1"/>
  <c r="K1850" i="14"/>
  <c r="L1850" i="14" s="1"/>
  <c r="I1851" i="14" s="1"/>
  <c r="M2018" i="14"/>
  <c r="M2017" i="13"/>
  <c r="J2013" i="14" a="1"/>
  <c r="J2013" i="14" s="1"/>
  <c r="N2014" i="14"/>
  <c r="J2014" i="13" a="1"/>
  <c r="J2014" i="13" s="1"/>
  <c r="N2015" i="13"/>
  <c r="K1851" i="14" l="1"/>
  <c r="L1851" i="14" s="1"/>
  <c r="I1852" i="14" s="1"/>
  <c r="K1829" i="13"/>
  <c r="L1829" i="13" s="1"/>
  <c r="I1830" i="13" s="1"/>
  <c r="J2015" i="13" a="1"/>
  <c r="J2015" i="13" s="1"/>
  <c r="N2016" i="13"/>
  <c r="M2018" i="13"/>
  <c r="J2014" i="14" a="1"/>
  <c r="J2014" i="14" s="1"/>
  <c r="N2015" i="14"/>
  <c r="M2019" i="14"/>
  <c r="K1830" i="13" l="1"/>
  <c r="L1830" i="13" s="1"/>
  <c r="I1831" i="13" s="1"/>
  <c r="K1852" i="14"/>
  <c r="L1852" i="14" s="1"/>
  <c r="I1853" i="14" s="1"/>
  <c r="N2016" i="14"/>
  <c r="J2015" i="14" a="1"/>
  <c r="J2015" i="14" s="1"/>
  <c r="M2020" i="14"/>
  <c r="M2019" i="13"/>
  <c r="J2016" i="13" a="1"/>
  <c r="J2016" i="13" s="1"/>
  <c r="N2017" i="13"/>
  <c r="K1853" i="14" l="1"/>
  <c r="L1853" i="14" s="1"/>
  <c r="I1854" i="14" s="1"/>
  <c r="K1831" i="13"/>
  <c r="L1831" i="13" s="1"/>
  <c r="I1832" i="13" s="1"/>
  <c r="M2021" i="14"/>
  <c r="N2018" i="13"/>
  <c r="J2017" i="13" a="1"/>
  <c r="J2017" i="13" s="1"/>
  <c r="M2020" i="13"/>
  <c r="J2016" i="14" a="1"/>
  <c r="J2016" i="14" s="1"/>
  <c r="N2017" i="14"/>
  <c r="K1832" i="13" l="1"/>
  <c r="L1832" i="13" s="1"/>
  <c r="I1833" i="13" s="1"/>
  <c r="K1854" i="14"/>
  <c r="L1854" i="14" s="1"/>
  <c r="I1855" i="14" s="1"/>
  <c r="J2017" i="14" a="1"/>
  <c r="J2017" i="14" s="1"/>
  <c r="N2018" i="14"/>
  <c r="J2018" i="13" a="1"/>
  <c r="J2018" i="13" s="1"/>
  <c r="N2019" i="13"/>
  <c r="M2021" i="13"/>
  <c r="M2022" i="14"/>
  <c r="K1855" i="14" l="1"/>
  <c r="L1855" i="14" s="1"/>
  <c r="I1856" i="14" s="1"/>
  <c r="K1833" i="13"/>
  <c r="L1833" i="13" s="1"/>
  <c r="I1834" i="13" s="1"/>
  <c r="M2023" i="14"/>
  <c r="J2019" i="13" a="1"/>
  <c r="J2019" i="13" s="1"/>
  <c r="N2020" i="13"/>
  <c r="M2022" i="13"/>
  <c r="J2018" i="14" a="1"/>
  <c r="J2018" i="14" s="1"/>
  <c r="N2019" i="14"/>
  <c r="K1834" i="13" l="1"/>
  <c r="L1834" i="13" s="1"/>
  <c r="I1835" i="13" s="1"/>
  <c r="K1856" i="14"/>
  <c r="L1856" i="14" s="1"/>
  <c r="I1857" i="14" s="1"/>
  <c r="J2020" i="13" a="1"/>
  <c r="J2020" i="13" s="1"/>
  <c r="N2021" i="13"/>
  <c r="N2020" i="14"/>
  <c r="J2019" i="14" a="1"/>
  <c r="J2019" i="14" s="1"/>
  <c r="M2023" i="13"/>
  <c r="M2024" i="14"/>
  <c r="K1857" i="14" l="1"/>
  <c r="L1857" i="14" s="1"/>
  <c r="I1858" i="14" s="1"/>
  <c r="K1835" i="13"/>
  <c r="L1835" i="13" s="1"/>
  <c r="I1836" i="13" s="1"/>
  <c r="J2020" i="14" a="1"/>
  <c r="J2020" i="14" s="1"/>
  <c r="N2021" i="14"/>
  <c r="N2022" i="13"/>
  <c r="J2021" i="13" a="1"/>
  <c r="J2021" i="13" s="1"/>
  <c r="M2025" i="14"/>
  <c r="M2024" i="13"/>
  <c r="K1836" i="13" l="1"/>
  <c r="L1836" i="13" s="1"/>
  <c r="I1837" i="13" s="1"/>
  <c r="K1858" i="14"/>
  <c r="L1858" i="14" s="1"/>
  <c r="I1859" i="14" s="1"/>
  <c r="M2025" i="13"/>
  <c r="J2022" i="13" a="1"/>
  <c r="J2022" i="13" s="1"/>
  <c r="N2023" i="13"/>
  <c r="J2021" i="14" a="1"/>
  <c r="J2021" i="14" s="1"/>
  <c r="N2022" i="14"/>
  <c r="M2026" i="14"/>
  <c r="K1859" i="14" l="1"/>
  <c r="L1859" i="14" s="1"/>
  <c r="I1860" i="14" s="1"/>
  <c r="K1837" i="13"/>
  <c r="L1837" i="13" s="1"/>
  <c r="I1838" i="13" s="1"/>
  <c r="J2023" i="13" a="1"/>
  <c r="J2023" i="13" s="1"/>
  <c r="N2024" i="13"/>
  <c r="J2022" i="14" a="1"/>
  <c r="J2022" i="14" s="1"/>
  <c r="N2023" i="14"/>
  <c r="M2027" i="14"/>
  <c r="M2026" i="13"/>
  <c r="K1838" i="13" l="1"/>
  <c r="L1838" i="13" s="1"/>
  <c r="I1839" i="13" s="1"/>
  <c r="K1860" i="14"/>
  <c r="L1860" i="14" s="1"/>
  <c r="I1861" i="14" s="1"/>
  <c r="M2028" i="14"/>
  <c r="N2024" i="14"/>
  <c r="J2023" i="14" a="1"/>
  <c r="J2023" i="14" s="1"/>
  <c r="M2027" i="13"/>
  <c r="J2024" i="13" a="1"/>
  <c r="J2024" i="13" s="1"/>
  <c r="N2025" i="13"/>
  <c r="K1861" i="14" l="1"/>
  <c r="L1861" i="14" s="1"/>
  <c r="I1862" i="14" s="1"/>
  <c r="N2026" i="13"/>
  <c r="J2025" i="13" a="1"/>
  <c r="J2025" i="13" s="1"/>
  <c r="J2024" i="14" a="1"/>
  <c r="J2024" i="14" s="1"/>
  <c r="N2025" i="14"/>
  <c r="M2028" i="13"/>
  <c r="M2029" i="14"/>
  <c r="K1839" i="13"/>
  <c r="L1839" i="13" s="1"/>
  <c r="I1840" i="13" s="1"/>
  <c r="K1840" i="13" l="1"/>
  <c r="L1840" i="13" s="1"/>
  <c r="I1841" i="13" s="1"/>
  <c r="K1862" i="14"/>
  <c r="L1862" i="14" s="1"/>
  <c r="I1863" i="14" s="1"/>
  <c r="J2025" i="14" a="1"/>
  <c r="J2025" i="14" s="1"/>
  <c r="N2026" i="14"/>
  <c r="M2030" i="14"/>
  <c r="M2029" i="13"/>
  <c r="J2026" i="13" a="1"/>
  <c r="J2026" i="13" s="1"/>
  <c r="N2027" i="13"/>
  <c r="K1863" i="14" l="1"/>
  <c r="L1863" i="14" s="1"/>
  <c r="I1864" i="14" s="1"/>
  <c r="K1841" i="13"/>
  <c r="L1841" i="13" s="1"/>
  <c r="I1842" i="13" s="1"/>
  <c r="J2027" i="13" a="1"/>
  <c r="J2027" i="13" s="1"/>
  <c r="N2028" i="13"/>
  <c r="M2031" i="14"/>
  <c r="J2026" i="14" a="1"/>
  <c r="J2026" i="14" s="1"/>
  <c r="N2027" i="14"/>
  <c r="M2030" i="13"/>
  <c r="K1842" i="13" l="1"/>
  <c r="L1842" i="13" s="1"/>
  <c r="I1843" i="13" s="1"/>
  <c r="K1864" i="14"/>
  <c r="L1864" i="14" s="1"/>
  <c r="I1865" i="14" s="1"/>
  <c r="N2028" i="14"/>
  <c r="J2027" i="14" a="1"/>
  <c r="J2027" i="14" s="1"/>
  <c r="J2028" i="13" a="1"/>
  <c r="J2028" i="13" s="1"/>
  <c r="N2029" i="13"/>
  <c r="M2031" i="13"/>
  <c r="M2032" i="14"/>
  <c r="K1843" i="13" l="1"/>
  <c r="L1843" i="13" s="1"/>
  <c r="I1844" i="13" s="1"/>
  <c r="M2032" i="13"/>
  <c r="N2030" i="13"/>
  <c r="J2029" i="13" a="1"/>
  <c r="J2029" i="13" s="1"/>
  <c r="K1865" i="14"/>
  <c r="L1865" i="14" s="1"/>
  <c r="I1866" i="14" s="1"/>
  <c r="M2033" i="14"/>
  <c r="J2028" i="14" a="1"/>
  <c r="J2028" i="14" s="1"/>
  <c r="N2029" i="14"/>
  <c r="K1866" i="14" l="1"/>
  <c r="L1866" i="14" s="1"/>
  <c r="I1867" i="14" s="1"/>
  <c r="K1844" i="13"/>
  <c r="L1844" i="13" s="1"/>
  <c r="I1845" i="13" s="1"/>
  <c r="M2033" i="13"/>
  <c r="M2034" i="14"/>
  <c r="J2029" i="14" a="1"/>
  <c r="J2029" i="14" s="1"/>
  <c r="N2030" i="14"/>
  <c r="J2030" i="13" a="1"/>
  <c r="J2030" i="13" s="1"/>
  <c r="N2031" i="13"/>
  <c r="K1845" i="13" l="1"/>
  <c r="L1845" i="13" s="1"/>
  <c r="I1846" i="13" s="1"/>
  <c r="J2031" i="13" a="1"/>
  <c r="J2031" i="13" s="1"/>
  <c r="N2032" i="13"/>
  <c r="M2035" i="14"/>
  <c r="J2030" i="14" a="1"/>
  <c r="J2030" i="14" s="1"/>
  <c r="N2031" i="14"/>
  <c r="M2034" i="13"/>
  <c r="K1867" i="14"/>
  <c r="L1867" i="14" s="1"/>
  <c r="I1868" i="14" s="1"/>
  <c r="K1868" i="14" l="1"/>
  <c r="L1868" i="14" s="1"/>
  <c r="I1869" i="14" s="1"/>
  <c r="J2032" i="13" a="1"/>
  <c r="J2032" i="13" s="1"/>
  <c r="N2033" i="13"/>
  <c r="N2032" i="14"/>
  <c r="J2031" i="14" a="1"/>
  <c r="J2031" i="14" s="1"/>
  <c r="M2035" i="13"/>
  <c r="M2036" i="14"/>
  <c r="K1846" i="13"/>
  <c r="L1846" i="13" s="1"/>
  <c r="I1847" i="13" s="1"/>
  <c r="K1847" i="13" l="1"/>
  <c r="L1847" i="13" s="1"/>
  <c r="I1848" i="13" s="1"/>
  <c r="K1869" i="14"/>
  <c r="L1869" i="14" s="1"/>
  <c r="I1870" i="14" s="1"/>
  <c r="N2034" i="13"/>
  <c r="J2033" i="13" a="1"/>
  <c r="J2033" i="13" s="1"/>
  <c r="M2036" i="13"/>
  <c r="M2037" i="14"/>
  <c r="J2032" i="14" a="1"/>
  <c r="J2032" i="14" s="1"/>
  <c r="N2033" i="14"/>
  <c r="K1870" i="14" l="1"/>
  <c r="L1870" i="14" s="1"/>
  <c r="I1871" i="14" s="1"/>
  <c r="K1848" i="13"/>
  <c r="L1848" i="13" s="1"/>
  <c r="I1849" i="13" s="1"/>
  <c r="J2033" i="14" a="1"/>
  <c r="J2033" i="14" s="1"/>
  <c r="N2034" i="14"/>
  <c r="M2037" i="13"/>
  <c r="M2038" i="14"/>
  <c r="J2034" i="13" a="1"/>
  <c r="J2034" i="13" s="1"/>
  <c r="N2035" i="13"/>
  <c r="K1849" i="13" l="1"/>
  <c r="L1849" i="13" s="1"/>
  <c r="I1850" i="13" s="1"/>
  <c r="K1871" i="14"/>
  <c r="L1871" i="14" s="1"/>
  <c r="I1872" i="14" s="1"/>
  <c r="J2035" i="13" a="1"/>
  <c r="J2035" i="13" s="1"/>
  <c r="N2036" i="13"/>
  <c r="M2038" i="13"/>
  <c r="J2034" i="14" a="1"/>
  <c r="J2034" i="14" s="1"/>
  <c r="N2035" i="14"/>
  <c r="M2039" i="14"/>
  <c r="K1872" i="14" l="1"/>
  <c r="L1872" i="14" s="1"/>
  <c r="I1873" i="14" s="1"/>
  <c r="K1850" i="13"/>
  <c r="L1850" i="13" s="1"/>
  <c r="I1851" i="13" s="1"/>
  <c r="J2036" i="13" a="1"/>
  <c r="J2036" i="13" s="1"/>
  <c r="N2037" i="13"/>
  <c r="N2036" i="14"/>
  <c r="J2035" i="14" a="1"/>
  <c r="J2035" i="14" s="1"/>
  <c r="M2040" i="14"/>
  <c r="M2039" i="13"/>
  <c r="K1851" i="13" l="1"/>
  <c r="L1851" i="13" s="1"/>
  <c r="I1852" i="13" s="1"/>
  <c r="K1873" i="14"/>
  <c r="L1873" i="14" s="1"/>
  <c r="I1874" i="14" s="1"/>
  <c r="N2038" i="13"/>
  <c r="J2037" i="13" a="1"/>
  <c r="J2037" i="13" s="1"/>
  <c r="M2041" i="14"/>
  <c r="M2040" i="13"/>
  <c r="J2036" i="14" a="1"/>
  <c r="J2036" i="14" s="1"/>
  <c r="N2037" i="14"/>
  <c r="K1874" i="14" l="1"/>
  <c r="L1874" i="14" s="1"/>
  <c r="I1875" i="14" s="1"/>
  <c r="K1852" i="13"/>
  <c r="L1852" i="13" s="1"/>
  <c r="I1853" i="13" s="1"/>
  <c r="J2037" i="14" a="1"/>
  <c r="J2037" i="14" s="1"/>
  <c r="N2038" i="14"/>
  <c r="M2042" i="14"/>
  <c r="M2041" i="13"/>
  <c r="J2038" i="13" a="1"/>
  <c r="J2038" i="13" s="1"/>
  <c r="N2039" i="13"/>
  <c r="K1853" i="13" l="1"/>
  <c r="L1853" i="13" s="1"/>
  <c r="I1854" i="13" s="1"/>
  <c r="K1875" i="14"/>
  <c r="L1875" i="14" s="1"/>
  <c r="I1876" i="14" s="1"/>
  <c r="J2039" i="13" a="1"/>
  <c r="J2039" i="13" s="1"/>
  <c r="N2040" i="13"/>
  <c r="M2043" i="14"/>
  <c r="J2038" i="14" a="1"/>
  <c r="J2038" i="14" s="1"/>
  <c r="N2039" i="14"/>
  <c r="M2042" i="13"/>
  <c r="K1876" i="14" l="1"/>
  <c r="L1876" i="14" s="1"/>
  <c r="I1877" i="14" s="1"/>
  <c r="K1854" i="13"/>
  <c r="L1854" i="13" s="1"/>
  <c r="I1855" i="13" s="1"/>
  <c r="N2040" i="14"/>
  <c r="J2039" i="14" a="1"/>
  <c r="J2039" i="14" s="1"/>
  <c r="J2040" i="13" a="1"/>
  <c r="J2040" i="13" s="1"/>
  <c r="N2041" i="13"/>
  <c r="M2043" i="13"/>
  <c r="M2044" i="14"/>
  <c r="K1855" i="13" l="1"/>
  <c r="L1855" i="13" s="1"/>
  <c r="I1856" i="13" s="1"/>
  <c r="K1877" i="14"/>
  <c r="L1877" i="14" s="1"/>
  <c r="I1878" i="14" s="1"/>
  <c r="N2042" i="13"/>
  <c r="J2041" i="13" a="1"/>
  <c r="J2041" i="13" s="1"/>
  <c r="M2045" i="14"/>
  <c r="M2044" i="13"/>
  <c r="J2040" i="14" a="1"/>
  <c r="J2040" i="14" s="1"/>
  <c r="N2041" i="14"/>
  <c r="K1878" i="14" l="1"/>
  <c r="L1878" i="14" s="1"/>
  <c r="I1879" i="14" s="1"/>
  <c r="K1856" i="13"/>
  <c r="L1856" i="13" s="1"/>
  <c r="I1857" i="13" s="1"/>
  <c r="J2041" i="14" a="1"/>
  <c r="J2041" i="14" s="1"/>
  <c r="N2042" i="14"/>
  <c r="M2046" i="14"/>
  <c r="M2045" i="13"/>
  <c r="J2042" i="13" a="1"/>
  <c r="J2042" i="13" s="1"/>
  <c r="N2043" i="13"/>
  <c r="K1879" i="14" l="1"/>
  <c r="L1879" i="14" s="1"/>
  <c r="I1880" i="14" s="1"/>
  <c r="K1857" i="13"/>
  <c r="L1857" i="13" s="1"/>
  <c r="I1858" i="13" s="1"/>
  <c r="M2046" i="13"/>
  <c r="J2043" i="13" a="1"/>
  <c r="J2043" i="13" s="1"/>
  <c r="N2044" i="13"/>
  <c r="M2047" i="14"/>
  <c r="J2042" i="14" a="1"/>
  <c r="J2042" i="14" s="1"/>
  <c r="N2043" i="14"/>
  <c r="K1858" i="13" l="1"/>
  <c r="L1858" i="13" s="1"/>
  <c r="I1859" i="13" s="1"/>
  <c r="K1880" i="14"/>
  <c r="L1880" i="14" s="1"/>
  <c r="I1881" i="14" s="1"/>
  <c r="N2044" i="14"/>
  <c r="J2043" i="14" a="1"/>
  <c r="J2043" i="14" s="1"/>
  <c r="J2044" i="13" a="1"/>
  <c r="J2044" i="13" s="1"/>
  <c r="N2045" i="13"/>
  <c r="M2048" i="14"/>
  <c r="M2047" i="13"/>
  <c r="K1881" i="14" l="1"/>
  <c r="L1881" i="14" s="1"/>
  <c r="I1882" i="14" s="1"/>
  <c r="N2046" i="13"/>
  <c r="J2045" i="13" a="1"/>
  <c r="J2045" i="13" s="1"/>
  <c r="M2049" i="14"/>
  <c r="M2048" i="13"/>
  <c r="J2044" i="14" a="1"/>
  <c r="J2044" i="14" s="1"/>
  <c r="N2045" i="14"/>
  <c r="K1859" i="13"/>
  <c r="L1859" i="13" s="1"/>
  <c r="I1860" i="13" s="1"/>
  <c r="K1860" i="13" l="1"/>
  <c r="L1860" i="13" s="1"/>
  <c r="I1861" i="13" s="1"/>
  <c r="K1882" i="14"/>
  <c r="L1882" i="14" s="1"/>
  <c r="I1883" i="14" s="1"/>
  <c r="J2045" i="14" a="1"/>
  <c r="J2045" i="14" s="1"/>
  <c r="N2046" i="14"/>
  <c r="M2049" i="13"/>
  <c r="J2046" i="13" a="1"/>
  <c r="J2046" i="13" s="1"/>
  <c r="N2047" i="13"/>
  <c r="M2050" i="14"/>
  <c r="K1883" i="14" l="1"/>
  <c r="L1883" i="14" s="1"/>
  <c r="I1884" i="14" s="1"/>
  <c r="K1861" i="13"/>
  <c r="L1861" i="13" s="1"/>
  <c r="I1862" i="13" s="1"/>
  <c r="M2051" i="14"/>
  <c r="M2050" i="13"/>
  <c r="J2047" i="13" a="1"/>
  <c r="J2047" i="13" s="1"/>
  <c r="N2048" i="13"/>
  <c r="J2046" i="14" a="1"/>
  <c r="J2046" i="14" s="1"/>
  <c r="N2047" i="14"/>
  <c r="K1884" i="14" l="1"/>
  <c r="L1884" i="14" s="1"/>
  <c r="I1885" i="14" s="1"/>
  <c r="K1862" i="13"/>
  <c r="L1862" i="13" s="1"/>
  <c r="I1863" i="13" s="1"/>
  <c r="N2048" i="14"/>
  <c r="J2047" i="14" a="1"/>
  <c r="J2047" i="14" s="1"/>
  <c r="M2051" i="13"/>
  <c r="J2048" i="13" a="1"/>
  <c r="J2048" i="13" s="1"/>
  <c r="N2049" i="13"/>
  <c r="M2052" i="14"/>
  <c r="K1863" i="13" l="1"/>
  <c r="L1863" i="13" s="1"/>
  <c r="I1864" i="13" s="1"/>
  <c r="K1885" i="14"/>
  <c r="L1885" i="14" s="1"/>
  <c r="I1886" i="14" s="1"/>
  <c r="N2050" i="13"/>
  <c r="J2049" i="13" a="1"/>
  <c r="J2049" i="13" s="1"/>
  <c r="M2053" i="14"/>
  <c r="M2052" i="13"/>
  <c r="J2048" i="14" a="1"/>
  <c r="J2048" i="14" s="1"/>
  <c r="N2049" i="14"/>
  <c r="K1886" i="14" l="1"/>
  <c r="L1886" i="14" s="1"/>
  <c r="I1887" i="14" s="1"/>
  <c r="K1864" i="13"/>
  <c r="L1864" i="13" s="1"/>
  <c r="I1865" i="13" s="1"/>
  <c r="J2049" i="14" a="1"/>
  <c r="J2049" i="14" s="1"/>
  <c r="N2050" i="14"/>
  <c r="M2054" i="14"/>
  <c r="M2053" i="13"/>
  <c r="J2050" i="13" a="1"/>
  <c r="J2050" i="13" s="1"/>
  <c r="N2051" i="13"/>
  <c r="K1887" i="14" l="1"/>
  <c r="L1887" i="14" s="1"/>
  <c r="I1888" i="14" s="1"/>
  <c r="K1865" i="13"/>
  <c r="L1865" i="13" s="1"/>
  <c r="I1866" i="13" s="1"/>
  <c r="M2054" i="13"/>
  <c r="M2055" i="14"/>
  <c r="J2051" i="13" a="1"/>
  <c r="J2051" i="13" s="1"/>
  <c r="N2052" i="13"/>
  <c r="J2050" i="14" a="1"/>
  <c r="J2050" i="14" s="1"/>
  <c r="N2051" i="14"/>
  <c r="K1866" i="13" l="1"/>
  <c r="L1866" i="13" s="1"/>
  <c r="I1867" i="13" s="1"/>
  <c r="N2052" i="14"/>
  <c r="J2051" i="14" a="1"/>
  <c r="J2051" i="14" s="1"/>
  <c r="M2056" i="14"/>
  <c r="J2052" i="13" a="1"/>
  <c r="J2052" i="13" s="1"/>
  <c r="N2053" i="13"/>
  <c r="M2055" i="13"/>
  <c r="K1888" i="14"/>
  <c r="L1888" i="14" s="1"/>
  <c r="I1889" i="14" s="1"/>
  <c r="K1889" i="14" l="1"/>
  <c r="L1889" i="14" s="1"/>
  <c r="I1890" i="14" s="1"/>
  <c r="K1867" i="13"/>
  <c r="L1867" i="13" s="1"/>
  <c r="I1868" i="13" s="1"/>
  <c r="N2054" i="13"/>
  <c r="J2053" i="13" a="1"/>
  <c r="J2053" i="13" s="1"/>
  <c r="J2052" i="14" a="1"/>
  <c r="J2052" i="14" s="1"/>
  <c r="N2053" i="14"/>
  <c r="M2056" i="13"/>
  <c r="M2057" i="14"/>
  <c r="K1868" i="13" l="1"/>
  <c r="L1868" i="13" s="1"/>
  <c r="I1869" i="13" s="1"/>
  <c r="K1890" i="14"/>
  <c r="L1890" i="14" s="1"/>
  <c r="I1891" i="14" s="1"/>
  <c r="J2053" i="14" a="1"/>
  <c r="J2053" i="14" s="1"/>
  <c r="N2054" i="14"/>
  <c r="M2058" i="14"/>
  <c r="M2057" i="13"/>
  <c r="J2054" i="13" a="1"/>
  <c r="J2054" i="13" s="1"/>
  <c r="N2055" i="13"/>
  <c r="K1869" i="13" l="1"/>
  <c r="L1869" i="13" s="1"/>
  <c r="I1870" i="13" s="1"/>
  <c r="K1891" i="14"/>
  <c r="L1891" i="14" s="1"/>
  <c r="I1892" i="14" s="1"/>
  <c r="J2054" i="14" a="1"/>
  <c r="J2054" i="14" s="1"/>
  <c r="N2055" i="14"/>
  <c r="M2058" i="13"/>
  <c r="J2055" i="13" a="1"/>
  <c r="J2055" i="13" s="1"/>
  <c r="N2056" i="13"/>
  <c r="M2059" i="14"/>
  <c r="K1892" i="14" l="1"/>
  <c r="L1892" i="14" s="1"/>
  <c r="I1893" i="14" s="1"/>
  <c r="M2060" i="14"/>
  <c r="M2059" i="13"/>
  <c r="J2056" i="13" a="1"/>
  <c r="J2056" i="13" s="1"/>
  <c r="N2057" i="13"/>
  <c r="N2056" i="14"/>
  <c r="J2055" i="14" a="1"/>
  <c r="J2055" i="14" s="1"/>
  <c r="K1870" i="13"/>
  <c r="L1870" i="13" s="1"/>
  <c r="I1871" i="13" s="1"/>
  <c r="K1871" i="13" l="1"/>
  <c r="L1871" i="13" s="1"/>
  <c r="I1872" i="13" s="1"/>
  <c r="N2058" i="13"/>
  <c r="J2057" i="13" a="1"/>
  <c r="J2057" i="13" s="1"/>
  <c r="M2061" i="14"/>
  <c r="J2056" i="14" a="1"/>
  <c r="J2056" i="14" s="1"/>
  <c r="N2057" i="14"/>
  <c r="M2060" i="13"/>
  <c r="K1893" i="14"/>
  <c r="L1893" i="14" s="1"/>
  <c r="I1894" i="14" s="1"/>
  <c r="K1872" i="13" l="1"/>
  <c r="L1872" i="13" s="1"/>
  <c r="I1873" i="13" s="1"/>
  <c r="K1894" i="14"/>
  <c r="L1894" i="14" s="1"/>
  <c r="I1895" i="14" s="1"/>
  <c r="J2058" i="13" a="1"/>
  <c r="J2058" i="13" s="1"/>
  <c r="N2059" i="13"/>
  <c r="J2057" i="14" a="1"/>
  <c r="J2057" i="14" s="1"/>
  <c r="N2058" i="14"/>
  <c r="M2061" i="13"/>
  <c r="M2062" i="14"/>
  <c r="K1895" i="14" l="1"/>
  <c r="L1895" i="14" s="1"/>
  <c r="I1896" i="14" s="1"/>
  <c r="J2058" i="14" a="1"/>
  <c r="J2058" i="14" s="1"/>
  <c r="N2059" i="14"/>
  <c r="M2062" i="13"/>
  <c r="M2063" i="14"/>
  <c r="J2059" i="13" a="1"/>
  <c r="J2059" i="13" s="1"/>
  <c r="N2060" i="13"/>
  <c r="K1873" i="13"/>
  <c r="L1873" i="13" s="1"/>
  <c r="I1874" i="13" s="1"/>
  <c r="K1874" i="13" l="1"/>
  <c r="L1874" i="13" s="1"/>
  <c r="I1875" i="13" s="1"/>
  <c r="N2060" i="14"/>
  <c r="J2059" i="14" a="1"/>
  <c r="J2059" i="14" s="1"/>
  <c r="M2064" i="14"/>
  <c r="J2060" i="13" a="1"/>
  <c r="J2060" i="13" s="1"/>
  <c r="N2061" i="13"/>
  <c r="M2063" i="13"/>
  <c r="K1896" i="14"/>
  <c r="L1896" i="14" s="1"/>
  <c r="I1897" i="14" s="1"/>
  <c r="K1875" i="13" l="1"/>
  <c r="L1875" i="13" s="1"/>
  <c r="I1876" i="13" s="1"/>
  <c r="K1897" i="14"/>
  <c r="L1897" i="14" s="1"/>
  <c r="I1898" i="14" s="1"/>
  <c r="N2062" i="13"/>
  <c r="J2061" i="13" a="1"/>
  <c r="J2061" i="13" s="1"/>
  <c r="J2060" i="14" a="1"/>
  <c r="J2060" i="14" s="1"/>
  <c r="N2061" i="14"/>
  <c r="M2064" i="13"/>
  <c r="M2065" i="14"/>
  <c r="K1898" i="14" l="1"/>
  <c r="L1898" i="14" s="1"/>
  <c r="I1899" i="14" s="1"/>
  <c r="J2061" i="14" a="1"/>
  <c r="J2061" i="14" s="1"/>
  <c r="N2062" i="14"/>
  <c r="M2066" i="14"/>
  <c r="M2065" i="13"/>
  <c r="J2062" i="13" a="1"/>
  <c r="J2062" i="13" s="1"/>
  <c r="N2063" i="13"/>
  <c r="K1876" i="13"/>
  <c r="L1876" i="13" s="1"/>
  <c r="I1877" i="13" s="1"/>
  <c r="K1877" i="13" l="1"/>
  <c r="L1877" i="13" s="1"/>
  <c r="I1878" i="13" s="1"/>
  <c r="J2062" i="14" a="1"/>
  <c r="J2062" i="14" s="1"/>
  <c r="N2063" i="14"/>
  <c r="M2066" i="13"/>
  <c r="J2063" i="13" a="1"/>
  <c r="J2063" i="13" s="1"/>
  <c r="N2064" i="13"/>
  <c r="M2067" i="14"/>
  <c r="K1899" i="14"/>
  <c r="L1899" i="14" s="1"/>
  <c r="I1900" i="14" s="1"/>
  <c r="K1900" i="14" l="1"/>
  <c r="L1900" i="14" s="1"/>
  <c r="I1901" i="14" s="1"/>
  <c r="J2064" i="13" a="1"/>
  <c r="J2064" i="13" s="1"/>
  <c r="N2065" i="13"/>
  <c r="N2064" i="14"/>
  <c r="J2063" i="14" a="1"/>
  <c r="J2063" i="14" s="1"/>
  <c r="M2068" i="14"/>
  <c r="M2067" i="13"/>
  <c r="K1878" i="13"/>
  <c r="L1878" i="13" s="1"/>
  <c r="I1879" i="13" s="1"/>
  <c r="K1879" i="13" l="1"/>
  <c r="L1879" i="13" s="1"/>
  <c r="I1880" i="13" s="1"/>
  <c r="K1901" i="14"/>
  <c r="L1901" i="14" s="1"/>
  <c r="I1902" i="14" s="1"/>
  <c r="N2066" i="13"/>
  <c r="J2065" i="13" a="1"/>
  <c r="J2065" i="13" s="1"/>
  <c r="M2069" i="14"/>
  <c r="M2068" i="13"/>
  <c r="J2064" i="14" a="1"/>
  <c r="J2064" i="14" s="1"/>
  <c r="N2065" i="14"/>
  <c r="K1902" i="14" l="1"/>
  <c r="L1902" i="14" s="1"/>
  <c r="I1903" i="14" s="1"/>
  <c r="J2065" i="14" a="1"/>
  <c r="J2065" i="14" s="1"/>
  <c r="N2066" i="14"/>
  <c r="M2070" i="14"/>
  <c r="M2069" i="13"/>
  <c r="J2066" i="13" a="1"/>
  <c r="J2066" i="13" s="1"/>
  <c r="N2067" i="13"/>
  <c r="K1880" i="13"/>
  <c r="L1880" i="13" s="1"/>
  <c r="I1881" i="13" s="1"/>
  <c r="K1903" i="14" l="1"/>
  <c r="L1903" i="14" s="1"/>
  <c r="I1904" i="14" s="1"/>
  <c r="K1881" i="13"/>
  <c r="L1881" i="13" s="1"/>
  <c r="I1882" i="13" s="1"/>
  <c r="J2066" i="14" a="1"/>
  <c r="J2066" i="14" s="1"/>
  <c r="N2067" i="14"/>
  <c r="M2070" i="13"/>
  <c r="M2071" i="14"/>
  <c r="J2067" i="13" a="1"/>
  <c r="J2067" i="13" s="1"/>
  <c r="N2068" i="13"/>
  <c r="K1882" i="13" l="1"/>
  <c r="L1882" i="13" s="1"/>
  <c r="I1883" i="13" s="1"/>
  <c r="K1904" i="14"/>
  <c r="L1904" i="14" s="1"/>
  <c r="I1905" i="14" s="1"/>
  <c r="M2072" i="14"/>
  <c r="M2071" i="13"/>
  <c r="J2068" i="13" a="1"/>
  <c r="J2068" i="13" s="1"/>
  <c r="N2069" i="13"/>
  <c r="N2068" i="14"/>
  <c r="J2067" i="14" a="1"/>
  <c r="J2067" i="14" s="1"/>
  <c r="K1905" i="14" l="1"/>
  <c r="L1905" i="14" s="1"/>
  <c r="I1906" i="14" s="1"/>
  <c r="K1883" i="13"/>
  <c r="L1883" i="13" s="1"/>
  <c r="I1884" i="13" s="1"/>
  <c r="M2072" i="13"/>
  <c r="N2070" i="13"/>
  <c r="J2069" i="13" a="1"/>
  <c r="J2069" i="13" s="1"/>
  <c r="J2068" i="14" a="1"/>
  <c r="J2068" i="14" s="1"/>
  <c r="N2069" i="14"/>
  <c r="M2073" i="14"/>
  <c r="K1884" i="13" l="1"/>
  <c r="L1884" i="13" s="1"/>
  <c r="I1885" i="13" s="1"/>
  <c r="M2074" i="14"/>
  <c r="J2070" i="13" a="1"/>
  <c r="J2070" i="13" s="1"/>
  <c r="N2071" i="13"/>
  <c r="J2069" i="14" a="1"/>
  <c r="J2069" i="14" s="1"/>
  <c r="N2070" i="14"/>
  <c r="M2073" i="13"/>
  <c r="K1906" i="14"/>
  <c r="L1906" i="14" s="1"/>
  <c r="I1907" i="14" s="1"/>
  <c r="K1885" i="13" l="1"/>
  <c r="L1885" i="13" s="1"/>
  <c r="I1886" i="13" s="1"/>
  <c r="K1907" i="14"/>
  <c r="L1907" i="14" s="1"/>
  <c r="I1908" i="14" s="1"/>
  <c r="J2070" i="14" a="1"/>
  <c r="J2070" i="14" s="1"/>
  <c r="N2071" i="14"/>
  <c r="M2075" i="14"/>
  <c r="J2071" i="13" a="1"/>
  <c r="J2071" i="13" s="1"/>
  <c r="N2072" i="13"/>
  <c r="M2074" i="13"/>
  <c r="K1886" i="13" l="1"/>
  <c r="L1886" i="13" s="1"/>
  <c r="I1887" i="13" s="1"/>
  <c r="K1908" i="14"/>
  <c r="L1908" i="14" s="1"/>
  <c r="I1909" i="14" s="1"/>
  <c r="J2072" i="13" a="1"/>
  <c r="J2072" i="13" s="1"/>
  <c r="N2073" i="13"/>
  <c r="M2075" i="13"/>
  <c r="M2076" i="14"/>
  <c r="N2072" i="14"/>
  <c r="J2071" i="14" a="1"/>
  <c r="J2071" i="14" s="1"/>
  <c r="K1909" i="14" l="1"/>
  <c r="L1909" i="14" s="1"/>
  <c r="I1910" i="14" s="1"/>
  <c r="J2072" i="14" a="1"/>
  <c r="J2072" i="14" s="1"/>
  <c r="N2073" i="14"/>
  <c r="M2076" i="13"/>
  <c r="M2077" i="14"/>
  <c r="N2074" i="13"/>
  <c r="J2073" i="13" a="1"/>
  <c r="J2073" i="13" s="1"/>
  <c r="K1887" i="13"/>
  <c r="L1887" i="13" s="1"/>
  <c r="I1888" i="13" s="1"/>
  <c r="K1888" i="13" l="1"/>
  <c r="L1888" i="13" s="1"/>
  <c r="I1889" i="13" s="1"/>
  <c r="J2073" i="14" a="1"/>
  <c r="J2073" i="14" s="1"/>
  <c r="N2074" i="14"/>
  <c r="M2078" i="14"/>
  <c r="M2077" i="13"/>
  <c r="J2074" i="13" a="1"/>
  <c r="J2074" i="13" s="1"/>
  <c r="N2075" i="13"/>
  <c r="K1910" i="14"/>
  <c r="L1910" i="14" s="1"/>
  <c r="I1911" i="14" s="1"/>
  <c r="K1911" i="14" l="1"/>
  <c r="L1911" i="14" s="1"/>
  <c r="I1912" i="14" s="1"/>
  <c r="K1889" i="13"/>
  <c r="L1889" i="13" s="1"/>
  <c r="I1890" i="13" s="1"/>
  <c r="J2074" i="14" a="1"/>
  <c r="J2074" i="14" s="1"/>
  <c r="N2075" i="14"/>
  <c r="M2078" i="13"/>
  <c r="J2075" i="13" a="1"/>
  <c r="J2075" i="13" s="1"/>
  <c r="N2076" i="13"/>
  <c r="M2079" i="14"/>
  <c r="K1912" i="14" l="1"/>
  <c r="L1912" i="14" s="1"/>
  <c r="I1913" i="14" s="1"/>
  <c r="J2076" i="13" a="1"/>
  <c r="J2076" i="13" s="1"/>
  <c r="N2077" i="13"/>
  <c r="M2080" i="14"/>
  <c r="M2079" i="13"/>
  <c r="K1890" i="13"/>
  <c r="L1890" i="13" s="1"/>
  <c r="I1891" i="13" s="1"/>
  <c r="N2076" i="14"/>
  <c r="J2075" i="14" a="1"/>
  <c r="J2075" i="14" s="1"/>
  <c r="K1891" i="13" l="1"/>
  <c r="L1891" i="13" s="1"/>
  <c r="I1892" i="13" s="1"/>
  <c r="K1913" i="14"/>
  <c r="L1913" i="14" s="1"/>
  <c r="I1914" i="14" s="1"/>
  <c r="N2078" i="13"/>
  <c r="J2077" i="13" a="1"/>
  <c r="J2077" i="13" s="1"/>
  <c r="J2076" i="14" a="1"/>
  <c r="J2076" i="14" s="1"/>
  <c r="N2077" i="14"/>
  <c r="M2080" i="13"/>
  <c r="M2081" i="14"/>
  <c r="K1892" i="13" l="1"/>
  <c r="L1892" i="13" s="1"/>
  <c r="I1893" i="13" s="1"/>
  <c r="J2077" i="14" a="1"/>
  <c r="J2077" i="14" s="1"/>
  <c r="N2078" i="14"/>
  <c r="K1914" i="14"/>
  <c r="L1914" i="14" s="1"/>
  <c r="I1915" i="14" s="1"/>
  <c r="M2082" i="14"/>
  <c r="M2081" i="13"/>
  <c r="J2078" i="13" a="1"/>
  <c r="J2078" i="13" s="1"/>
  <c r="N2079" i="13"/>
  <c r="K1915" i="14" l="1"/>
  <c r="L1915" i="14" s="1"/>
  <c r="I1916" i="14" s="1"/>
  <c r="K1893" i="13"/>
  <c r="L1893" i="13" s="1"/>
  <c r="I1894" i="13" s="1"/>
  <c r="J2079" i="13" a="1"/>
  <c r="J2079" i="13" s="1"/>
  <c r="N2080" i="13"/>
  <c r="M2083" i="14"/>
  <c r="J2078" i="14" a="1"/>
  <c r="J2078" i="14" s="1"/>
  <c r="N2079" i="14"/>
  <c r="M2082" i="13"/>
  <c r="K1916" i="14" l="1"/>
  <c r="L1916" i="14" s="1"/>
  <c r="I1917" i="14" s="1"/>
  <c r="J2080" i="13" a="1"/>
  <c r="J2080" i="13" s="1"/>
  <c r="N2081" i="13"/>
  <c r="K1894" i="13"/>
  <c r="L1894" i="13" s="1"/>
  <c r="I1895" i="13" s="1"/>
  <c r="N2080" i="14"/>
  <c r="J2079" i="14" a="1"/>
  <c r="J2079" i="14" s="1"/>
  <c r="M2083" i="13"/>
  <c r="M2084" i="14"/>
  <c r="K1895" i="13" l="1"/>
  <c r="L1895" i="13" s="1"/>
  <c r="I1896" i="13" s="1"/>
  <c r="K1917" i="14"/>
  <c r="L1917" i="14" s="1"/>
  <c r="I1918" i="14" s="1"/>
  <c r="N2082" i="13"/>
  <c r="J2081" i="13" a="1"/>
  <c r="J2081" i="13" s="1"/>
  <c r="M2085" i="14"/>
  <c r="J2080" i="14" a="1"/>
  <c r="J2080" i="14" s="1"/>
  <c r="N2081" i="14"/>
  <c r="M2084" i="13"/>
  <c r="K1918" i="14" l="1"/>
  <c r="L1918" i="14" s="1"/>
  <c r="I1919" i="14" s="1"/>
  <c r="K1896" i="13"/>
  <c r="L1896" i="13" s="1"/>
  <c r="I1897" i="13" s="1"/>
  <c r="J2081" i="14" a="1"/>
  <c r="J2081" i="14" s="1"/>
  <c r="N2082" i="14"/>
  <c r="M2085" i="13"/>
  <c r="M2086" i="14"/>
  <c r="J2082" i="13" a="1"/>
  <c r="J2082" i="13" s="1"/>
  <c r="N2083" i="13"/>
  <c r="K1919" i="14" l="1"/>
  <c r="L1919" i="14" s="1"/>
  <c r="I1920" i="14" s="1"/>
  <c r="J2083" i="13" a="1"/>
  <c r="J2083" i="13" s="1"/>
  <c r="N2084" i="13"/>
  <c r="M2086" i="13"/>
  <c r="K1897" i="13"/>
  <c r="L1897" i="13" s="1"/>
  <c r="I1898" i="13" s="1"/>
  <c r="M2087" i="14"/>
  <c r="J2082" i="14" a="1"/>
  <c r="J2082" i="14" s="1"/>
  <c r="N2083" i="14"/>
  <c r="K1898" i="13" l="1"/>
  <c r="L1898" i="13" s="1"/>
  <c r="I1899" i="13" s="1"/>
  <c r="K1920" i="14"/>
  <c r="L1920" i="14" s="1"/>
  <c r="I1921" i="14" s="1"/>
  <c r="J2084" i="13" a="1"/>
  <c r="J2084" i="13" s="1"/>
  <c r="N2085" i="13"/>
  <c r="N2084" i="14"/>
  <c r="J2083" i="14" a="1"/>
  <c r="J2083" i="14" s="1"/>
  <c r="M2088" i="14"/>
  <c r="M2087" i="13"/>
  <c r="K1899" i="13" l="1"/>
  <c r="L1899" i="13" s="1"/>
  <c r="I1900" i="13" s="1"/>
  <c r="J2084" i="14" a="1"/>
  <c r="J2084" i="14" s="1"/>
  <c r="N2085" i="14"/>
  <c r="K1921" i="14"/>
  <c r="L1921" i="14" s="1"/>
  <c r="I1922" i="14" s="1"/>
  <c r="N2086" i="13"/>
  <c r="J2085" i="13" a="1"/>
  <c r="J2085" i="13" s="1"/>
  <c r="M2088" i="13"/>
  <c r="M2089" i="14"/>
  <c r="K1922" i="14" l="1"/>
  <c r="L1922" i="14" s="1"/>
  <c r="I1923" i="14" s="1"/>
  <c r="K1900" i="13"/>
  <c r="L1900" i="13" s="1"/>
  <c r="I1901" i="13" s="1"/>
  <c r="J2085" i="14" a="1"/>
  <c r="J2085" i="14" s="1"/>
  <c r="N2086" i="14"/>
  <c r="J2086" i="13" a="1"/>
  <c r="J2086" i="13" s="1"/>
  <c r="N2087" i="13"/>
  <c r="M2089" i="13"/>
  <c r="M2090" i="14"/>
  <c r="K1901" i="13" l="1"/>
  <c r="L1901" i="13" s="1"/>
  <c r="I1902" i="13" s="1"/>
  <c r="K1923" i="14"/>
  <c r="L1923" i="14" s="1"/>
  <c r="I1924" i="14" s="1"/>
  <c r="M2091" i="14"/>
  <c r="J2087" i="13" a="1"/>
  <c r="J2087" i="13" s="1"/>
  <c r="N2088" i="13"/>
  <c r="M2090" i="13"/>
  <c r="J2086" i="14" a="1"/>
  <c r="J2086" i="14" s="1"/>
  <c r="N2087" i="14"/>
  <c r="K1902" i="13" l="1"/>
  <c r="L1902" i="13" s="1"/>
  <c r="I1903" i="13" s="1"/>
  <c r="N2088" i="14"/>
  <c r="J2087" i="14" a="1"/>
  <c r="J2087" i="14" s="1"/>
  <c r="J2088" i="13" a="1"/>
  <c r="J2088" i="13" s="1"/>
  <c r="N2089" i="13"/>
  <c r="K1924" i="14"/>
  <c r="L1924" i="14" s="1"/>
  <c r="I1925" i="14" s="1"/>
  <c r="M2091" i="13"/>
  <c r="M2092" i="14"/>
  <c r="K1925" i="14" l="1"/>
  <c r="L1925" i="14" s="1"/>
  <c r="I1926" i="14" s="1"/>
  <c r="K1903" i="13"/>
  <c r="L1903" i="13" s="1"/>
  <c r="I1904" i="13" s="1"/>
  <c r="J2088" i="14" a="1"/>
  <c r="J2088" i="14" s="1"/>
  <c r="N2089" i="14"/>
  <c r="M2093" i="14"/>
  <c r="N2090" i="13"/>
  <c r="J2089" i="13" a="1"/>
  <c r="J2089" i="13" s="1"/>
  <c r="M2092" i="13"/>
  <c r="K1904" i="13" l="1"/>
  <c r="L1904" i="13" s="1"/>
  <c r="I1905" i="13" s="1"/>
  <c r="K1926" i="14"/>
  <c r="L1926" i="14" s="1"/>
  <c r="I1927" i="14" s="1"/>
  <c r="J2090" i="13" a="1"/>
  <c r="J2090" i="13" s="1"/>
  <c r="N2091" i="13"/>
  <c r="M2093" i="13"/>
  <c r="M2094" i="14"/>
  <c r="J2089" i="14" a="1"/>
  <c r="J2089" i="14" s="1"/>
  <c r="N2090" i="14"/>
  <c r="K1927" i="14" l="1"/>
  <c r="L1927" i="14" s="1"/>
  <c r="I1928" i="14" s="1"/>
  <c r="K1905" i="13"/>
  <c r="L1905" i="13" s="1"/>
  <c r="I1906" i="13" s="1"/>
  <c r="J2090" i="14" a="1"/>
  <c r="J2090" i="14" s="1"/>
  <c r="N2091" i="14"/>
  <c r="M2094" i="13"/>
  <c r="M2095" i="14"/>
  <c r="J2091" i="13" a="1"/>
  <c r="J2091" i="13" s="1"/>
  <c r="N2092" i="13"/>
  <c r="K1928" i="14" l="1"/>
  <c r="L1928" i="14" s="1"/>
  <c r="I1929" i="14" s="1"/>
  <c r="K1906" i="13"/>
  <c r="L1906" i="13" s="1"/>
  <c r="I1907" i="13" s="1"/>
  <c r="M2096" i="14"/>
  <c r="M2095" i="13"/>
  <c r="J2092" i="13" a="1"/>
  <c r="J2092" i="13" s="1"/>
  <c r="N2093" i="13"/>
  <c r="N2092" i="14"/>
  <c r="J2091" i="14" a="1"/>
  <c r="J2091" i="14" s="1"/>
  <c r="K1929" i="14" l="1"/>
  <c r="L1929" i="14" s="1"/>
  <c r="I1930" i="14" s="1"/>
  <c r="K1907" i="13"/>
  <c r="L1907" i="13" s="1"/>
  <c r="I1908" i="13" s="1"/>
  <c r="J2092" i="14" a="1"/>
  <c r="J2092" i="14" s="1"/>
  <c r="N2093" i="14"/>
  <c r="M2096" i="13"/>
  <c r="N2094" i="13"/>
  <c r="J2093" i="13" a="1"/>
  <c r="J2093" i="13" s="1"/>
  <c r="M2097" i="14"/>
  <c r="K1930" i="14" l="1"/>
  <c r="L1930" i="14" s="1"/>
  <c r="I1931" i="14" s="1"/>
  <c r="K1908" i="13"/>
  <c r="L1908" i="13" s="1"/>
  <c r="I1909" i="13" s="1"/>
  <c r="J2094" i="13" a="1"/>
  <c r="J2094" i="13" s="1"/>
  <c r="N2095" i="13"/>
  <c r="M2097" i="13"/>
  <c r="M2098" i="14"/>
  <c r="J2093" i="14" a="1"/>
  <c r="J2093" i="14" s="1"/>
  <c r="N2094" i="14"/>
  <c r="K1909" i="13" l="1"/>
  <c r="L1909" i="13" s="1"/>
  <c r="I1910" i="13" s="1"/>
  <c r="K1931" i="14"/>
  <c r="L1931" i="14" s="1"/>
  <c r="I1932" i="14" s="1"/>
  <c r="J2094" i="14" a="1"/>
  <c r="J2094" i="14" s="1"/>
  <c r="N2095" i="14"/>
  <c r="M2098" i="13"/>
  <c r="J2095" i="13" a="1"/>
  <c r="J2095" i="13" s="1"/>
  <c r="N2096" i="13"/>
  <c r="M2099" i="14"/>
  <c r="K1910" i="13" l="1"/>
  <c r="L1910" i="13" s="1"/>
  <c r="I1911" i="13" s="1"/>
  <c r="M2100" i="14"/>
  <c r="M2099" i="13"/>
  <c r="K1932" i="14"/>
  <c r="L1932" i="14" s="1"/>
  <c r="I1933" i="14" s="1"/>
  <c r="N2096" i="14"/>
  <c r="J2095" i="14" a="1"/>
  <c r="J2095" i="14" s="1"/>
  <c r="J2096" i="13" a="1"/>
  <c r="J2096" i="13" s="1"/>
  <c r="N2097" i="13"/>
  <c r="K1911" i="13" l="1"/>
  <c r="L1911" i="13" s="1"/>
  <c r="I1912" i="13" s="1"/>
  <c r="N2098" i="13"/>
  <c r="J2097" i="13" a="1"/>
  <c r="J2097" i="13" s="1"/>
  <c r="K1933" i="14"/>
  <c r="L1933" i="14" s="1"/>
  <c r="I1934" i="14" s="1"/>
  <c r="M2101" i="14"/>
  <c r="J2096" i="14" a="1"/>
  <c r="J2096" i="14" s="1"/>
  <c r="N2097" i="14"/>
  <c r="M2100" i="13"/>
  <c r="K1934" i="14" l="1"/>
  <c r="L1934" i="14" s="1"/>
  <c r="I1935" i="14" s="1"/>
  <c r="K1912" i="13"/>
  <c r="L1912" i="13" s="1"/>
  <c r="I1913" i="13" s="1"/>
  <c r="J2097" i="14" a="1"/>
  <c r="J2097" i="14" s="1"/>
  <c r="N2098" i="14"/>
  <c r="M2101" i="13"/>
  <c r="M2102" i="14"/>
  <c r="J2098" i="13" a="1"/>
  <c r="J2098" i="13" s="1"/>
  <c r="N2099" i="13"/>
  <c r="K1913" i="13" l="1"/>
  <c r="L1913" i="13" s="1"/>
  <c r="I1914" i="13" s="1"/>
  <c r="K1935" i="14"/>
  <c r="L1935" i="14" s="1"/>
  <c r="I1936" i="14" s="1"/>
  <c r="J2099" i="13" a="1"/>
  <c r="J2099" i="13" s="1"/>
  <c r="N2100" i="13"/>
  <c r="J2098" i="14" a="1"/>
  <c r="J2098" i="14" s="1"/>
  <c r="N2099" i="14"/>
  <c r="M2102" i="13"/>
  <c r="M2103" i="14"/>
  <c r="K1936" i="14" l="1"/>
  <c r="L1936" i="14" s="1"/>
  <c r="I1937" i="14" s="1"/>
  <c r="K1914" i="13"/>
  <c r="L1914" i="13" s="1"/>
  <c r="I1915" i="13" s="1"/>
  <c r="J2100" i="13" a="1"/>
  <c r="J2100" i="13" s="1"/>
  <c r="N2101" i="13"/>
  <c r="N2100" i="14"/>
  <c r="J2099" i="14" a="1"/>
  <c r="J2099" i="14" s="1"/>
  <c r="M2103" i="13"/>
  <c r="M2104" i="14"/>
  <c r="K1915" i="13" l="1"/>
  <c r="L1915" i="13" s="1"/>
  <c r="I1916" i="13" s="1"/>
  <c r="K1937" i="14"/>
  <c r="L1937" i="14" s="1"/>
  <c r="I1938" i="14" s="1"/>
  <c r="J2100" i="14" a="1"/>
  <c r="J2100" i="14" s="1"/>
  <c r="N2101" i="14"/>
  <c r="M2105" i="14"/>
  <c r="N2102" i="13"/>
  <c r="J2101" i="13" a="1"/>
  <c r="J2101" i="13" s="1"/>
  <c r="M2104" i="13"/>
  <c r="K1938" i="14" l="1"/>
  <c r="L1938" i="14" s="1"/>
  <c r="I1939" i="14" s="1"/>
  <c r="K1916" i="13"/>
  <c r="L1916" i="13" s="1"/>
  <c r="I1917" i="13" s="1"/>
  <c r="J2101" i="14" a="1"/>
  <c r="J2101" i="14" s="1"/>
  <c r="N2102" i="14"/>
  <c r="J2102" i="13" a="1"/>
  <c r="J2102" i="13" s="1"/>
  <c r="N2103" i="13"/>
  <c r="M2105" i="13"/>
  <c r="M2106" i="14"/>
  <c r="K1917" i="13" l="1"/>
  <c r="L1917" i="13" s="1"/>
  <c r="I1918" i="13" s="1"/>
  <c r="K1939" i="14"/>
  <c r="L1939" i="14" s="1"/>
  <c r="I1940" i="14" s="1"/>
  <c r="J2102" i="14" a="1"/>
  <c r="J2102" i="14" s="1"/>
  <c r="N2103" i="14"/>
  <c r="M2106" i="13"/>
  <c r="M2107" i="14"/>
  <c r="J2103" i="13" a="1"/>
  <c r="J2103" i="13" s="1"/>
  <c r="N2104" i="13"/>
  <c r="K1918" i="13" l="1"/>
  <c r="L1918" i="13" s="1"/>
  <c r="I1919" i="13" s="1"/>
  <c r="N2104" i="14"/>
  <c r="J2103" i="14" a="1"/>
  <c r="J2103" i="14" s="1"/>
  <c r="M2108" i="14"/>
  <c r="J2104" i="13" a="1"/>
  <c r="J2104" i="13" s="1"/>
  <c r="N2105" i="13"/>
  <c r="M2107" i="13"/>
  <c r="K1940" i="14"/>
  <c r="L1940" i="14" s="1"/>
  <c r="I1941" i="14" s="1"/>
  <c r="K1941" i="14" l="1"/>
  <c r="L1941" i="14" s="1"/>
  <c r="I1942" i="14" s="1"/>
  <c r="K1919" i="13"/>
  <c r="L1919" i="13" s="1"/>
  <c r="I1920" i="13" s="1"/>
  <c r="N2106" i="13"/>
  <c r="J2105" i="13" a="1"/>
  <c r="J2105" i="13" s="1"/>
  <c r="J2104" i="14" a="1"/>
  <c r="J2104" i="14" s="1"/>
  <c r="N2105" i="14"/>
  <c r="M2108" i="13"/>
  <c r="M2109" i="14"/>
  <c r="K1920" i="13" l="1"/>
  <c r="L1920" i="13" s="1"/>
  <c r="I1921" i="13" s="1"/>
  <c r="K1942" i="14"/>
  <c r="L1942" i="14" s="1"/>
  <c r="I1943" i="14" s="1"/>
  <c r="J2105" i="14" a="1"/>
  <c r="J2105" i="14" s="1"/>
  <c r="N2106" i="14"/>
  <c r="M2110" i="14"/>
  <c r="M2109" i="13"/>
  <c r="J2106" i="13" a="1"/>
  <c r="J2106" i="13" s="1"/>
  <c r="N2107" i="13"/>
  <c r="K1921" i="13" l="1"/>
  <c r="L1921" i="13" s="1"/>
  <c r="I1922" i="13" s="1"/>
  <c r="M2110" i="13"/>
  <c r="J2107" i="13" a="1"/>
  <c r="J2107" i="13" s="1"/>
  <c r="N2108" i="13"/>
  <c r="M2111" i="14"/>
  <c r="K1943" i="14"/>
  <c r="L1943" i="14" s="1"/>
  <c r="I1944" i="14" s="1"/>
  <c r="J2106" i="14" a="1"/>
  <c r="J2106" i="14" s="1"/>
  <c r="N2107" i="14"/>
  <c r="K1944" i="14" l="1"/>
  <c r="L1944" i="14" s="1"/>
  <c r="I1945" i="14" s="1"/>
  <c r="K1922" i="13"/>
  <c r="L1922" i="13" s="1"/>
  <c r="I1923" i="13" s="1"/>
  <c r="N2108" i="14"/>
  <c r="J2107" i="14" a="1"/>
  <c r="J2107" i="14" s="1"/>
  <c r="M2112" i="14"/>
  <c r="M2111" i="13"/>
  <c r="J2108" i="13" a="1"/>
  <c r="J2108" i="13" s="1"/>
  <c r="N2109" i="13"/>
  <c r="K1923" i="13" l="1"/>
  <c r="L1923" i="13" s="1"/>
  <c r="I1924" i="13" s="1"/>
  <c r="K1945" i="14"/>
  <c r="L1945" i="14" s="1"/>
  <c r="I1946" i="14" s="1"/>
  <c r="N2110" i="13"/>
  <c r="J2109" i="13" a="1"/>
  <c r="J2109" i="13" s="1"/>
  <c r="M2113" i="14"/>
  <c r="M2112" i="13"/>
  <c r="J2108" i="14" a="1"/>
  <c r="J2108" i="14" s="1"/>
  <c r="N2109" i="14"/>
  <c r="K1946" i="14" l="1"/>
  <c r="L1946" i="14" s="1"/>
  <c r="I1947" i="14" s="1"/>
  <c r="K1924" i="13"/>
  <c r="L1924" i="13" s="1"/>
  <c r="I1925" i="13" s="1"/>
  <c r="J2109" i="14" a="1"/>
  <c r="J2109" i="14" s="1"/>
  <c r="N2110" i="14"/>
  <c r="M2114" i="14"/>
  <c r="M2113" i="13"/>
  <c r="J2110" i="13" a="1"/>
  <c r="J2110" i="13" s="1"/>
  <c r="N2111" i="13"/>
  <c r="K1925" i="13" l="1"/>
  <c r="L1925" i="13" s="1"/>
  <c r="I1926" i="13" s="1"/>
  <c r="K1947" i="14"/>
  <c r="L1947" i="14" s="1"/>
  <c r="I1948" i="14" s="1"/>
  <c r="J2111" i="13" a="1"/>
  <c r="J2111" i="13" s="1"/>
  <c r="N2112" i="13"/>
  <c r="M2115" i="14"/>
  <c r="J2110" i="14" a="1"/>
  <c r="J2110" i="14" s="1"/>
  <c r="N2111" i="14"/>
  <c r="M2114" i="13"/>
  <c r="K1926" i="13" l="1"/>
  <c r="L1926" i="13" s="1"/>
  <c r="I1927" i="13" s="1"/>
  <c r="M2115" i="13"/>
  <c r="M2116" i="14"/>
  <c r="K1948" i="14"/>
  <c r="L1948" i="14" s="1"/>
  <c r="I1949" i="14" s="1"/>
  <c r="J2112" i="13" a="1"/>
  <c r="J2112" i="13" s="1"/>
  <c r="N2113" i="13"/>
  <c r="N2112" i="14"/>
  <c r="J2111" i="14" a="1"/>
  <c r="J2111" i="14" s="1"/>
  <c r="K1927" i="13" l="1"/>
  <c r="L1927" i="13" s="1"/>
  <c r="I1928" i="13" s="1"/>
  <c r="K1949" i="14"/>
  <c r="L1949" i="14" s="1"/>
  <c r="I1950" i="14" s="1"/>
  <c r="M2116" i="13"/>
  <c r="J2112" i="14" a="1"/>
  <c r="J2112" i="14" s="1"/>
  <c r="N2113" i="14"/>
  <c r="N2114" i="13"/>
  <c r="J2113" i="13" a="1"/>
  <c r="J2113" i="13" s="1"/>
  <c r="M2117" i="14"/>
  <c r="K1950" i="14" l="1"/>
  <c r="L1950" i="14" s="1"/>
  <c r="I1951" i="14" s="1"/>
  <c r="J2113" i="14" a="1"/>
  <c r="J2113" i="14" s="1"/>
  <c r="N2114" i="14"/>
  <c r="M2118" i="14"/>
  <c r="M2117" i="13"/>
  <c r="J2114" i="13" a="1"/>
  <c r="J2114" i="13" s="1"/>
  <c r="N2115" i="13"/>
  <c r="K1928" i="13"/>
  <c r="L1928" i="13" s="1"/>
  <c r="I1929" i="13" s="1"/>
  <c r="K1929" i="13" l="1"/>
  <c r="L1929" i="13" s="1"/>
  <c r="I1930" i="13" s="1"/>
  <c r="K1951" i="14"/>
  <c r="L1951" i="14" s="1"/>
  <c r="I1952" i="14" s="1"/>
  <c r="J2114" i="14" a="1"/>
  <c r="J2114" i="14" s="1"/>
  <c r="N2115" i="14"/>
  <c r="J2115" i="13" a="1"/>
  <c r="J2115" i="13" s="1"/>
  <c r="N2116" i="13"/>
  <c r="M2118" i="13"/>
  <c r="M2119" i="14"/>
  <c r="K1952" i="14" l="1"/>
  <c r="L1952" i="14" s="1"/>
  <c r="I1953" i="14" s="1"/>
  <c r="K1930" i="13"/>
  <c r="L1930" i="13" s="1"/>
  <c r="I1931" i="13" s="1"/>
  <c r="J2116" i="13" a="1"/>
  <c r="J2116" i="13" s="1"/>
  <c r="N2117" i="13"/>
  <c r="N2116" i="14"/>
  <c r="J2115" i="14" a="1"/>
  <c r="J2115" i="14" s="1"/>
  <c r="M2120" i="14"/>
  <c r="M2119" i="13"/>
  <c r="K1953" i="14" l="1"/>
  <c r="L1953" i="14" s="1"/>
  <c r="I1954" i="14" s="1"/>
  <c r="J2116" i="14" a="1"/>
  <c r="J2116" i="14" s="1"/>
  <c r="N2117" i="14"/>
  <c r="K1931" i="13"/>
  <c r="L1931" i="13" s="1"/>
  <c r="I1932" i="13" s="1"/>
  <c r="M2121" i="14"/>
  <c r="M2120" i="13"/>
  <c r="N2118" i="13"/>
  <c r="J2117" i="13" a="1"/>
  <c r="J2117" i="13" s="1"/>
  <c r="K1932" i="13" l="1"/>
  <c r="L1932" i="13" s="1"/>
  <c r="I1933" i="13" s="1"/>
  <c r="K1954" i="14"/>
  <c r="L1954" i="14" s="1"/>
  <c r="I1955" i="14" s="1"/>
  <c r="J2117" i="14" a="1"/>
  <c r="J2117" i="14" s="1"/>
  <c r="N2118" i="14"/>
  <c r="M2122" i="14"/>
  <c r="J2118" i="13" a="1"/>
  <c r="J2118" i="13" s="1"/>
  <c r="N2119" i="13"/>
  <c r="M2121" i="13"/>
  <c r="K1933" i="13" l="1"/>
  <c r="L1933" i="13" s="1"/>
  <c r="I1934" i="13" s="1"/>
  <c r="M2123" i="14"/>
  <c r="M2122" i="13"/>
  <c r="K1955" i="14"/>
  <c r="L1955" i="14" s="1"/>
  <c r="I1956" i="14" s="1"/>
  <c r="J2118" i="14" a="1"/>
  <c r="J2118" i="14" s="1"/>
  <c r="N2119" i="14"/>
  <c r="J2119" i="13" a="1"/>
  <c r="J2119" i="13" s="1"/>
  <c r="N2120" i="13"/>
  <c r="K1934" i="13" l="1"/>
  <c r="L1934" i="13" s="1"/>
  <c r="I1935" i="13" s="1"/>
  <c r="J2120" i="13" a="1"/>
  <c r="J2120" i="13" s="1"/>
  <c r="N2121" i="13"/>
  <c r="M2124" i="14"/>
  <c r="K1956" i="14"/>
  <c r="L1956" i="14" s="1"/>
  <c r="I1957" i="14" s="1"/>
  <c r="N2120" i="14"/>
  <c r="J2119" i="14" a="1"/>
  <c r="J2119" i="14" s="1"/>
  <c r="M2123" i="13"/>
  <c r="K1957" i="14" l="1"/>
  <c r="L1957" i="14" s="1"/>
  <c r="I1958" i="14" s="1"/>
  <c r="K1935" i="13"/>
  <c r="L1935" i="13" s="1"/>
  <c r="I1936" i="13" s="1"/>
  <c r="N2122" i="13"/>
  <c r="J2121" i="13" a="1"/>
  <c r="J2121" i="13" s="1"/>
  <c r="M2124" i="13"/>
  <c r="J2120" i="14" a="1"/>
  <c r="J2120" i="14" s="1"/>
  <c r="N2121" i="14"/>
  <c r="M2125" i="14"/>
  <c r="K1936" i="13" l="1"/>
  <c r="L1936" i="13" s="1"/>
  <c r="I1937" i="13" s="1"/>
  <c r="M2125" i="13"/>
  <c r="J2122" i="13" a="1"/>
  <c r="J2122" i="13" s="1"/>
  <c r="N2123" i="13"/>
  <c r="M2126" i="14"/>
  <c r="J2121" i="14" a="1"/>
  <c r="J2121" i="14" s="1"/>
  <c r="N2122" i="14"/>
  <c r="K1958" i="14"/>
  <c r="L1958" i="14" s="1"/>
  <c r="I1959" i="14" s="1"/>
  <c r="K1959" i="14" l="1"/>
  <c r="L1959" i="14" s="1"/>
  <c r="I1960" i="14" s="1"/>
  <c r="K1937" i="13"/>
  <c r="L1937" i="13" s="1"/>
  <c r="I1938" i="13" s="1"/>
  <c r="J2123" i="13" a="1"/>
  <c r="J2123" i="13" s="1"/>
  <c r="N2124" i="13"/>
  <c r="M2127" i="14"/>
  <c r="M2126" i="13"/>
  <c r="J2122" i="14" a="1"/>
  <c r="J2122" i="14" s="1"/>
  <c r="N2123" i="14"/>
  <c r="K1938" i="13" l="1"/>
  <c r="L1938" i="13" s="1"/>
  <c r="I1939" i="13" s="1"/>
  <c r="K1960" i="14"/>
  <c r="L1960" i="14" s="1"/>
  <c r="I1961" i="14" s="1"/>
  <c r="N2124" i="14"/>
  <c r="J2123" i="14" a="1"/>
  <c r="J2123" i="14" s="1"/>
  <c r="M2128" i="14"/>
  <c r="M2127" i="13"/>
  <c r="J2124" i="13" a="1"/>
  <c r="J2124" i="13" s="1"/>
  <c r="N2125" i="13"/>
  <c r="K1961" i="14" l="1"/>
  <c r="L1961" i="14" s="1"/>
  <c r="I1962" i="14" s="1"/>
  <c r="K1939" i="13"/>
  <c r="L1939" i="13" s="1"/>
  <c r="I1940" i="13" s="1"/>
  <c r="N2126" i="13"/>
  <c r="J2125" i="13" a="1"/>
  <c r="J2125" i="13" s="1"/>
  <c r="M2129" i="14"/>
  <c r="M2128" i="13"/>
  <c r="J2124" i="14" a="1"/>
  <c r="J2124" i="14" s="1"/>
  <c r="N2125" i="14"/>
  <c r="K1940" i="13" l="1"/>
  <c r="L1940" i="13" s="1"/>
  <c r="I1941" i="13" s="1"/>
  <c r="K1962" i="14"/>
  <c r="L1962" i="14" s="1"/>
  <c r="I1963" i="14" s="1"/>
  <c r="J2125" i="14" a="1"/>
  <c r="J2125" i="14" s="1"/>
  <c r="N2126" i="14"/>
  <c r="M2130" i="14"/>
  <c r="M2129" i="13"/>
  <c r="J2126" i="13" a="1"/>
  <c r="J2126" i="13" s="1"/>
  <c r="N2127" i="13"/>
  <c r="K1941" i="13" l="1"/>
  <c r="L1941" i="13" s="1"/>
  <c r="I1942" i="13" s="1"/>
  <c r="J2127" i="13" a="1"/>
  <c r="J2127" i="13" s="1"/>
  <c r="N2128" i="13"/>
  <c r="M2131" i="14"/>
  <c r="K1963" i="14"/>
  <c r="L1963" i="14" s="1"/>
  <c r="I1964" i="14" s="1"/>
  <c r="J2126" i="14" a="1"/>
  <c r="J2126" i="14" s="1"/>
  <c r="N2127" i="14"/>
  <c r="M2130" i="13"/>
  <c r="K1942" i="13" l="1"/>
  <c r="L1942" i="13" s="1"/>
  <c r="I1943" i="13" s="1"/>
  <c r="M2131" i="13"/>
  <c r="J2128" i="13" a="1"/>
  <c r="J2128" i="13" s="1"/>
  <c r="N2129" i="13"/>
  <c r="N2128" i="14"/>
  <c r="J2127" i="14" a="1"/>
  <c r="J2127" i="14" s="1"/>
  <c r="K1964" i="14"/>
  <c r="L1964" i="14" s="1"/>
  <c r="I1965" i="14" s="1"/>
  <c r="M2132" i="14"/>
  <c r="K1943" i="13" l="1"/>
  <c r="L1943" i="13" s="1"/>
  <c r="I1944" i="13" s="1"/>
  <c r="M2133" i="14"/>
  <c r="J2128" i="14" a="1"/>
  <c r="J2128" i="14" s="1"/>
  <c r="N2129" i="14"/>
  <c r="M2132" i="13"/>
  <c r="N2130" i="13"/>
  <c r="J2129" i="13" a="1"/>
  <c r="J2129" i="13" s="1"/>
  <c r="K1965" i="14"/>
  <c r="L1965" i="14" s="1"/>
  <c r="I1966" i="14" s="1"/>
  <c r="K1944" i="13" l="1"/>
  <c r="L1944" i="13" s="1"/>
  <c r="I1945" i="13" s="1"/>
  <c r="J2130" i="13" a="1"/>
  <c r="J2130" i="13" s="1"/>
  <c r="N2131" i="13"/>
  <c r="M2133" i="13"/>
  <c r="K1966" i="14"/>
  <c r="L1966" i="14" s="1"/>
  <c r="I1967" i="14" s="1"/>
  <c r="M2134" i="14"/>
  <c r="J2129" i="14" a="1"/>
  <c r="J2129" i="14" s="1"/>
  <c r="N2130" i="14"/>
  <c r="K1967" i="14" l="1"/>
  <c r="L1967" i="14" s="1"/>
  <c r="I1968" i="14" s="1"/>
  <c r="K1945" i="13"/>
  <c r="L1945" i="13" s="1"/>
  <c r="I1946" i="13" s="1"/>
  <c r="J2131" i="13" a="1"/>
  <c r="J2131" i="13" s="1"/>
  <c r="N2132" i="13"/>
  <c r="J2130" i="14" a="1"/>
  <c r="J2130" i="14" s="1"/>
  <c r="N2131" i="14"/>
  <c r="M2135" i="14"/>
  <c r="M2134" i="13"/>
  <c r="K1946" i="13" l="1"/>
  <c r="L1946" i="13" s="1"/>
  <c r="I1947" i="13" s="1"/>
  <c r="K1968" i="14"/>
  <c r="L1968" i="14" s="1"/>
  <c r="I1969" i="14" s="1"/>
  <c r="J2132" i="13" a="1"/>
  <c r="J2132" i="13" s="1"/>
  <c r="N2133" i="13"/>
  <c r="M2136" i="14"/>
  <c r="N2132" i="14"/>
  <c r="J2131" i="14" a="1"/>
  <c r="J2131" i="14" s="1"/>
  <c r="M2135" i="13"/>
  <c r="K1969" i="14" l="1"/>
  <c r="L1969" i="14" s="1"/>
  <c r="I1970" i="14" s="1"/>
  <c r="K1947" i="13"/>
  <c r="L1947" i="13" s="1"/>
  <c r="I1948" i="13" s="1"/>
  <c r="N2134" i="13"/>
  <c r="J2133" i="13" a="1"/>
  <c r="J2133" i="13" s="1"/>
  <c r="J2132" i="14" a="1"/>
  <c r="J2132" i="14" s="1"/>
  <c r="N2133" i="14"/>
  <c r="M2136" i="13"/>
  <c r="M2137" i="14"/>
  <c r="K1970" i="14" l="1"/>
  <c r="L1970" i="14" s="1"/>
  <c r="I1971" i="14" s="1"/>
  <c r="J2133" i="14" a="1"/>
  <c r="J2133" i="14" s="1"/>
  <c r="N2134" i="14"/>
  <c r="K1948" i="13"/>
  <c r="L1948" i="13" s="1"/>
  <c r="I1949" i="13" s="1"/>
  <c r="M2138" i="14"/>
  <c r="M2137" i="13"/>
  <c r="J2134" i="13" a="1"/>
  <c r="J2134" i="13" s="1"/>
  <c r="N2135" i="13"/>
  <c r="K1949" i="13" l="1"/>
  <c r="L1949" i="13" s="1"/>
  <c r="I1950" i="13" s="1"/>
  <c r="K1971" i="14"/>
  <c r="L1971" i="14" s="1"/>
  <c r="I1972" i="14" s="1"/>
  <c r="J2135" i="13" a="1"/>
  <c r="J2135" i="13" s="1"/>
  <c r="N2136" i="13"/>
  <c r="M2139" i="14"/>
  <c r="J2134" i="14" a="1"/>
  <c r="J2134" i="14" s="1"/>
  <c r="N2135" i="14"/>
  <c r="M2138" i="13"/>
  <c r="K1972" i="14" l="1"/>
  <c r="L1972" i="14" s="1"/>
  <c r="I1973" i="14" s="1"/>
  <c r="K1950" i="13"/>
  <c r="L1950" i="13" s="1"/>
  <c r="I1951" i="13" s="1"/>
  <c r="M2139" i="13"/>
  <c r="M2140" i="14"/>
  <c r="J2136" i="13" a="1"/>
  <c r="J2136" i="13" s="1"/>
  <c r="N2137" i="13"/>
  <c r="N2136" i="14"/>
  <c r="J2135" i="14" a="1"/>
  <c r="J2135" i="14" s="1"/>
  <c r="K1951" i="13" l="1"/>
  <c r="L1951" i="13" s="1"/>
  <c r="I1952" i="13" s="1"/>
  <c r="K1973" i="14"/>
  <c r="L1973" i="14" s="1"/>
  <c r="I1974" i="14" s="1"/>
  <c r="M2141" i="14"/>
  <c r="J2136" i="14" a="1"/>
  <c r="J2136" i="14" s="1"/>
  <c r="N2137" i="14"/>
  <c r="N2138" i="13"/>
  <c r="J2137" i="13" a="1"/>
  <c r="J2137" i="13" s="1"/>
  <c r="M2140" i="13"/>
  <c r="K1952" i="13" l="1"/>
  <c r="L1952" i="13" s="1"/>
  <c r="I1953" i="13" s="1"/>
  <c r="M2141" i="13"/>
  <c r="J2137" i="14" a="1"/>
  <c r="J2137" i="14" s="1"/>
  <c r="N2138" i="14"/>
  <c r="K1974" i="14"/>
  <c r="L1974" i="14" s="1"/>
  <c r="I1975" i="14" s="1"/>
  <c r="J2138" i="13" a="1"/>
  <c r="J2138" i="13" s="1"/>
  <c r="N2139" i="13"/>
  <c r="M2142" i="14"/>
  <c r="K1975" i="14" l="1"/>
  <c r="L1975" i="14" s="1"/>
  <c r="I1976" i="14" s="1"/>
  <c r="K1953" i="13"/>
  <c r="L1953" i="13" s="1"/>
  <c r="I1954" i="13" s="1"/>
  <c r="M2143" i="14"/>
  <c r="M2142" i="13"/>
  <c r="J2139" i="13" a="1"/>
  <c r="J2139" i="13" s="1"/>
  <c r="N2140" i="13"/>
  <c r="J2138" i="14" a="1"/>
  <c r="J2138" i="14" s="1"/>
  <c r="N2139" i="14"/>
  <c r="K1976" i="14" l="1"/>
  <c r="L1976" i="14" s="1"/>
  <c r="I1977" i="14" s="1"/>
  <c r="N2140" i="14"/>
  <c r="J2139" i="14" a="1"/>
  <c r="J2139" i="14" s="1"/>
  <c r="K1954" i="13"/>
  <c r="L1954" i="13" s="1"/>
  <c r="I1955" i="13" s="1"/>
  <c r="J2140" i="13" a="1"/>
  <c r="J2140" i="13" s="1"/>
  <c r="N2141" i="13"/>
  <c r="M2143" i="13"/>
  <c r="M2144" i="14"/>
  <c r="K1955" i="13" l="1"/>
  <c r="L1955" i="13" s="1"/>
  <c r="I1956" i="13" s="1"/>
  <c r="K1977" i="14"/>
  <c r="L1977" i="14" s="1"/>
  <c r="I1978" i="14" s="1"/>
  <c r="J2140" i="14" a="1"/>
  <c r="J2140" i="14" s="1"/>
  <c r="N2141" i="14"/>
  <c r="N2142" i="13"/>
  <c r="J2141" i="13" a="1"/>
  <c r="J2141" i="13" s="1"/>
  <c r="M2145" i="14"/>
  <c r="M2144" i="13"/>
  <c r="K1956" i="13" l="1"/>
  <c r="L1956" i="13" s="1"/>
  <c r="I1957" i="13" s="1"/>
  <c r="M2145" i="13"/>
  <c r="J2142" i="13" a="1"/>
  <c r="J2142" i="13" s="1"/>
  <c r="N2143" i="13"/>
  <c r="K1978" i="14"/>
  <c r="L1978" i="14" s="1"/>
  <c r="I1979" i="14" s="1"/>
  <c r="J2141" i="14" a="1"/>
  <c r="J2141" i="14" s="1"/>
  <c r="N2142" i="14"/>
  <c r="M2146" i="14"/>
  <c r="K1957" i="13" l="1"/>
  <c r="L1957" i="13" s="1"/>
  <c r="I1958" i="13" s="1"/>
  <c r="M2147" i="14"/>
  <c r="K1979" i="14"/>
  <c r="L1979" i="14" s="1"/>
  <c r="I1980" i="14" s="1"/>
  <c r="M2146" i="13"/>
  <c r="J2142" i="14" a="1"/>
  <c r="J2142" i="14" s="1"/>
  <c r="N2143" i="14"/>
  <c r="J2143" i="13" a="1"/>
  <c r="J2143" i="13" s="1"/>
  <c r="N2144" i="13"/>
  <c r="K1980" i="14" l="1"/>
  <c r="L1980" i="14" s="1"/>
  <c r="I1981" i="14" s="1"/>
  <c r="K1958" i="13"/>
  <c r="L1958" i="13" s="1"/>
  <c r="I1959" i="13" s="1"/>
  <c r="J2144" i="13" a="1"/>
  <c r="J2144" i="13" s="1"/>
  <c r="N2145" i="13"/>
  <c r="M2147" i="13"/>
  <c r="M2148" i="14"/>
  <c r="N2144" i="14"/>
  <c r="J2143" i="14" a="1"/>
  <c r="J2143" i="14" s="1"/>
  <c r="K1981" i="14" l="1"/>
  <c r="L1981" i="14" s="1"/>
  <c r="I1982" i="14" s="1"/>
  <c r="K1959" i="13"/>
  <c r="L1959" i="13" s="1"/>
  <c r="I1960" i="13" s="1"/>
  <c r="N2146" i="13"/>
  <c r="J2145" i="13" a="1"/>
  <c r="J2145" i="13" s="1"/>
  <c r="J2144" i="14" a="1"/>
  <c r="J2144" i="14" s="1"/>
  <c r="N2145" i="14"/>
  <c r="M2148" i="13"/>
  <c r="M2149" i="14"/>
  <c r="K1960" i="13" l="1"/>
  <c r="L1960" i="13" s="1"/>
  <c r="I1961" i="13" s="1"/>
  <c r="K1982" i="14"/>
  <c r="L1982" i="14" s="1"/>
  <c r="I1983" i="14" s="1"/>
  <c r="M2150" i="14"/>
  <c r="J2145" i="14" a="1"/>
  <c r="J2145" i="14" s="1"/>
  <c r="N2146" i="14"/>
  <c r="M2149" i="13"/>
  <c r="J2146" i="13" a="1"/>
  <c r="J2146" i="13" s="1"/>
  <c r="N2147" i="13"/>
  <c r="K1983" i="14" l="1"/>
  <c r="L1983" i="14" s="1"/>
  <c r="I1984" i="14" s="1"/>
  <c r="K1961" i="13"/>
  <c r="L1961" i="13" s="1"/>
  <c r="I1962" i="13" s="1"/>
  <c r="J2146" i="14" a="1"/>
  <c r="J2146" i="14" s="1"/>
  <c r="N2147" i="14"/>
  <c r="J2147" i="13" a="1"/>
  <c r="J2147" i="13" s="1"/>
  <c r="N2148" i="13"/>
  <c r="M2151" i="14"/>
  <c r="M2150" i="13"/>
  <c r="K1962" i="13" l="1"/>
  <c r="L1962" i="13" s="1"/>
  <c r="I1963" i="13" s="1"/>
  <c r="K1984" i="14"/>
  <c r="L1984" i="14" s="1"/>
  <c r="I1985" i="14" s="1"/>
  <c r="J2148" i="13" a="1"/>
  <c r="J2148" i="13" s="1"/>
  <c r="N2149" i="13"/>
  <c r="N2148" i="14"/>
  <c r="J2147" i="14" a="1"/>
  <c r="J2147" i="14" s="1"/>
  <c r="M2151" i="13"/>
  <c r="M2152" i="14"/>
  <c r="K1963" i="13" l="1"/>
  <c r="L1963" i="13" s="1"/>
  <c r="I1964" i="13" s="1"/>
  <c r="J2148" i="14" a="1"/>
  <c r="J2148" i="14" s="1"/>
  <c r="N2149" i="14"/>
  <c r="K1985" i="14"/>
  <c r="L1985" i="14" s="1"/>
  <c r="I1986" i="14" s="1"/>
  <c r="M2152" i="13"/>
  <c r="M2153" i="14"/>
  <c r="N2150" i="13"/>
  <c r="J2149" i="13" a="1"/>
  <c r="J2149" i="13" s="1"/>
  <c r="K1986" i="14" l="1"/>
  <c r="L1986" i="14" s="1"/>
  <c r="I1987" i="14" s="1"/>
  <c r="K1964" i="13"/>
  <c r="L1964" i="13" s="1"/>
  <c r="I1965" i="13" s="1"/>
  <c r="M2153" i="13"/>
  <c r="J2149" i="14" a="1"/>
  <c r="J2149" i="14" s="1"/>
  <c r="N2150" i="14"/>
  <c r="J2150" i="13" a="1"/>
  <c r="J2150" i="13" s="1"/>
  <c r="N2151" i="13"/>
  <c r="M2154" i="14"/>
  <c r="K1987" i="14" l="1"/>
  <c r="L1987" i="14" s="1"/>
  <c r="I1988" i="14" s="1"/>
  <c r="J2151" i="13" a="1"/>
  <c r="J2151" i="13" s="1"/>
  <c r="N2152" i="13"/>
  <c r="M2155" i="14"/>
  <c r="J2150" i="14" a="1"/>
  <c r="J2150" i="14" s="1"/>
  <c r="N2151" i="14"/>
  <c r="K1965" i="13"/>
  <c r="L1965" i="13" s="1"/>
  <c r="I1966" i="13" s="1"/>
  <c r="M2154" i="13"/>
  <c r="K1966" i="13" l="1"/>
  <c r="L1966" i="13" s="1"/>
  <c r="I1967" i="13" s="1"/>
  <c r="K1988" i="14"/>
  <c r="L1988" i="14" s="1"/>
  <c r="I1989" i="14" s="1"/>
  <c r="J2152" i="13" a="1"/>
  <c r="J2152" i="13" s="1"/>
  <c r="N2153" i="13"/>
  <c r="N2152" i="14"/>
  <c r="J2151" i="14" a="1"/>
  <c r="J2151" i="14" s="1"/>
  <c r="M2155" i="13"/>
  <c r="M2156" i="14"/>
  <c r="K1967" i="13" l="1"/>
  <c r="L1967" i="13" s="1"/>
  <c r="I1968" i="13" s="1"/>
  <c r="J2152" i="14" a="1"/>
  <c r="J2152" i="14" s="1"/>
  <c r="N2153" i="14"/>
  <c r="K1989" i="14"/>
  <c r="L1989" i="14" s="1"/>
  <c r="I1990" i="14" s="1"/>
  <c r="M2157" i="14"/>
  <c r="N2154" i="13"/>
  <c r="J2153" i="13" a="1"/>
  <c r="J2153" i="13" s="1"/>
  <c r="M2156" i="13"/>
  <c r="K1968" i="13" l="1"/>
  <c r="L1968" i="13" s="1"/>
  <c r="I1969" i="13" s="1"/>
  <c r="K1990" i="14"/>
  <c r="L1990" i="14" s="1"/>
  <c r="I1991" i="14" s="1"/>
  <c r="M2157" i="13"/>
  <c r="J2153" i="14" a="1"/>
  <c r="J2153" i="14" s="1"/>
  <c r="N2154" i="14"/>
  <c r="M2158" i="14"/>
  <c r="J2154" i="13" a="1"/>
  <c r="J2154" i="13" s="1"/>
  <c r="N2155" i="13"/>
  <c r="K1991" i="14" l="1"/>
  <c r="L1991" i="14" s="1"/>
  <c r="I1992" i="14" s="1"/>
  <c r="K1969" i="13"/>
  <c r="L1969" i="13" s="1"/>
  <c r="I1970" i="13" s="1"/>
  <c r="J2154" i="14" a="1"/>
  <c r="J2154" i="14" s="1"/>
  <c r="N2155" i="14"/>
  <c r="J2155" i="13" a="1"/>
  <c r="J2155" i="13" s="1"/>
  <c r="N2156" i="13"/>
  <c r="M2159" i="14"/>
  <c r="M2158" i="13"/>
  <c r="K1970" i="13" l="1"/>
  <c r="L1970" i="13" s="1"/>
  <c r="I1971" i="13" s="1"/>
  <c r="K1992" i="14"/>
  <c r="L1992" i="14" s="1"/>
  <c r="I1993" i="14" s="1"/>
  <c r="J2156" i="13" a="1"/>
  <c r="J2156" i="13" s="1"/>
  <c r="N2157" i="13"/>
  <c r="M2159" i="13"/>
  <c r="N2156" i="14"/>
  <c r="J2155" i="14" a="1"/>
  <c r="J2155" i="14" s="1"/>
  <c r="M2160" i="14"/>
  <c r="K1993" i="14" l="1"/>
  <c r="L1993" i="14" s="1"/>
  <c r="I1994" i="14" s="1"/>
  <c r="K1971" i="13"/>
  <c r="L1971" i="13" s="1"/>
  <c r="I1972" i="13" s="1"/>
  <c r="N2158" i="13"/>
  <c r="J2157" i="13" a="1"/>
  <c r="J2157" i="13" s="1"/>
  <c r="J2156" i="14" a="1"/>
  <c r="J2156" i="14" s="1"/>
  <c r="N2157" i="14"/>
  <c r="M2161" i="14"/>
  <c r="M2160" i="13"/>
  <c r="K1994" i="14" l="1"/>
  <c r="L1994" i="14" s="1"/>
  <c r="I1995" i="14" s="1"/>
  <c r="M2161" i="13"/>
  <c r="J2157" i="14" a="1"/>
  <c r="J2157" i="14" s="1"/>
  <c r="N2158" i="14"/>
  <c r="K1972" i="13"/>
  <c r="L1972" i="13" s="1"/>
  <c r="I1973" i="13" s="1"/>
  <c r="M2162" i="14"/>
  <c r="J2158" i="13" a="1"/>
  <c r="J2158" i="13" s="1"/>
  <c r="N2159" i="13"/>
  <c r="K1995" i="14" l="1"/>
  <c r="L1995" i="14" s="1"/>
  <c r="I1996" i="14" s="1"/>
  <c r="J2159" i="13" a="1"/>
  <c r="J2159" i="13" s="1"/>
  <c r="N2160" i="13"/>
  <c r="K1973" i="13"/>
  <c r="L1973" i="13" s="1"/>
  <c r="I1974" i="13" s="1"/>
  <c r="M2162" i="13"/>
  <c r="M2163" i="14"/>
  <c r="J2158" i="14" a="1"/>
  <c r="J2158" i="14" s="1"/>
  <c r="N2159" i="14"/>
  <c r="K1974" i="13" l="1"/>
  <c r="L1974" i="13" s="1"/>
  <c r="I1975" i="13" s="1"/>
  <c r="K1996" i="14"/>
  <c r="L1996" i="14" s="1"/>
  <c r="I1997" i="14" s="1"/>
  <c r="N2160" i="14"/>
  <c r="J2159" i="14" a="1"/>
  <c r="J2159" i="14" s="1"/>
  <c r="J2160" i="13" a="1"/>
  <c r="J2160" i="13" s="1"/>
  <c r="N2161" i="13"/>
  <c r="M2163" i="13"/>
  <c r="M2164" i="14"/>
  <c r="K1975" i="13" l="1"/>
  <c r="L1975" i="13" s="1"/>
  <c r="I1976" i="13" s="1"/>
  <c r="N2162" i="13"/>
  <c r="J2161" i="13" a="1"/>
  <c r="J2161" i="13" s="1"/>
  <c r="M2165" i="14"/>
  <c r="K1997" i="14"/>
  <c r="L1997" i="14" s="1"/>
  <c r="I1998" i="14" s="1"/>
  <c r="M2164" i="13"/>
  <c r="J2160" i="14" a="1"/>
  <c r="J2160" i="14" s="1"/>
  <c r="N2161" i="14"/>
  <c r="K1998" i="14" l="1"/>
  <c r="L1998" i="14" s="1"/>
  <c r="I1999" i="14" s="1"/>
  <c r="K1976" i="13"/>
  <c r="L1976" i="13" s="1"/>
  <c r="I1977" i="13" s="1"/>
  <c r="J2161" i="14" a="1"/>
  <c r="J2161" i="14" s="1"/>
  <c r="N2162" i="14"/>
  <c r="J2162" i="13" a="1"/>
  <c r="J2162" i="13" s="1"/>
  <c r="N2163" i="13"/>
  <c r="M2165" i="13"/>
  <c r="M2166" i="14"/>
  <c r="K1999" i="14" l="1"/>
  <c r="L1999" i="14" s="1"/>
  <c r="I2000" i="14" s="1"/>
  <c r="M2167" i="14"/>
  <c r="J2163" i="13" a="1"/>
  <c r="J2163" i="13" s="1"/>
  <c r="N2164" i="13"/>
  <c r="K1977" i="13"/>
  <c r="L1977" i="13" s="1"/>
  <c r="I1978" i="13" s="1"/>
  <c r="J2162" i="14" a="1"/>
  <c r="J2162" i="14" s="1"/>
  <c r="N2163" i="14"/>
  <c r="M2166" i="13"/>
  <c r="K1978" i="13" l="1"/>
  <c r="L1978" i="13" s="1"/>
  <c r="I1979" i="13" s="1"/>
  <c r="K2000" i="14"/>
  <c r="L2000" i="14" s="1"/>
  <c r="I2001" i="14" s="1"/>
  <c r="N2164" i="14"/>
  <c r="J2163" i="14" a="1"/>
  <c r="J2163" i="14" s="1"/>
  <c r="M2167" i="13"/>
  <c r="M2168" i="14"/>
  <c r="J2164" i="13" a="1"/>
  <c r="J2164" i="13" s="1"/>
  <c r="N2165" i="13"/>
  <c r="K2001" i="14" l="1"/>
  <c r="L2001" i="14" s="1"/>
  <c r="I2002" i="14" s="1"/>
  <c r="K1979" i="13"/>
  <c r="L1979" i="13" s="1"/>
  <c r="I1980" i="13" s="1"/>
  <c r="N2166" i="13"/>
  <c r="J2165" i="13" a="1"/>
  <c r="J2165" i="13" s="1"/>
  <c r="M2168" i="13"/>
  <c r="M2169" i="14"/>
  <c r="J2164" i="14" a="1"/>
  <c r="J2164" i="14" s="1"/>
  <c r="N2165" i="14"/>
  <c r="K1980" i="13" l="1"/>
  <c r="L1980" i="13" s="1"/>
  <c r="I1981" i="13" s="1"/>
  <c r="K2002" i="14"/>
  <c r="L2002" i="14" s="1"/>
  <c r="I2003" i="14" s="1"/>
  <c r="M2170" i="14"/>
  <c r="J2165" i="14" a="1"/>
  <c r="J2165" i="14" s="1"/>
  <c r="N2166" i="14"/>
  <c r="M2169" i="13"/>
  <c r="J2166" i="13" a="1"/>
  <c r="J2166" i="13" s="1"/>
  <c r="N2167" i="13"/>
  <c r="K2003" i="14" l="1"/>
  <c r="L2003" i="14" s="1"/>
  <c r="I2004" i="14" s="1"/>
  <c r="K1981" i="13"/>
  <c r="L1981" i="13" s="1"/>
  <c r="I1982" i="13" s="1"/>
  <c r="J2167" i="13" a="1"/>
  <c r="J2167" i="13" s="1"/>
  <c r="N2168" i="13"/>
  <c r="J2166" i="14" a="1"/>
  <c r="J2166" i="14" s="1"/>
  <c r="N2167" i="14"/>
  <c r="M2171" i="14"/>
  <c r="M2170" i="13"/>
  <c r="K2004" i="14" l="1"/>
  <c r="L2004" i="14" s="1"/>
  <c r="I2005" i="14" s="1"/>
  <c r="N2168" i="14"/>
  <c r="J2167" i="14" a="1"/>
  <c r="J2167" i="14" s="1"/>
  <c r="K1982" i="13"/>
  <c r="L1982" i="13" s="1"/>
  <c r="I1983" i="13" s="1"/>
  <c r="J2168" i="13" a="1"/>
  <c r="J2168" i="13" s="1"/>
  <c r="N2169" i="13"/>
  <c r="M2171" i="13"/>
  <c r="M2172" i="14"/>
  <c r="K2005" i="14" l="1"/>
  <c r="L2005" i="14" s="1"/>
  <c r="I2006" i="14" s="1"/>
  <c r="K1983" i="13"/>
  <c r="L1983" i="13" s="1"/>
  <c r="I1984" i="13" s="1"/>
  <c r="J2168" i="14" a="1"/>
  <c r="J2168" i="14" s="1"/>
  <c r="N2169" i="14"/>
  <c r="N2170" i="13"/>
  <c r="J2169" i="13" a="1"/>
  <c r="J2169" i="13" s="1"/>
  <c r="M2173" i="14"/>
  <c r="M2172" i="13"/>
  <c r="K1984" i="13" l="1"/>
  <c r="L1984" i="13" s="1"/>
  <c r="I1985" i="13" s="1"/>
  <c r="K2006" i="14"/>
  <c r="L2006" i="14" s="1"/>
  <c r="I2007" i="14" s="1"/>
  <c r="M2173" i="13"/>
  <c r="J2170" i="13" a="1"/>
  <c r="J2170" i="13" s="1"/>
  <c r="N2171" i="13"/>
  <c r="J2169" i="14" a="1"/>
  <c r="J2169" i="14" s="1"/>
  <c r="N2170" i="14"/>
  <c r="M2174" i="14"/>
  <c r="K2007" i="14" l="1"/>
  <c r="L2007" i="14" s="1"/>
  <c r="I2008" i="14" s="1"/>
  <c r="K1985" i="13"/>
  <c r="L1985" i="13" s="1"/>
  <c r="I1986" i="13" s="1"/>
  <c r="M2175" i="14"/>
  <c r="J2171" i="13" a="1"/>
  <c r="J2171" i="13" s="1"/>
  <c r="N2172" i="13"/>
  <c r="J2170" i="14" a="1"/>
  <c r="J2170" i="14" s="1"/>
  <c r="N2171" i="14"/>
  <c r="M2174" i="13"/>
  <c r="K1986" i="13" l="1"/>
  <c r="L1986" i="13" s="1"/>
  <c r="I1987" i="13" s="1"/>
  <c r="K2008" i="14"/>
  <c r="L2008" i="14" s="1"/>
  <c r="I2009" i="14" s="1"/>
  <c r="N2172" i="14"/>
  <c r="J2171" i="14" a="1"/>
  <c r="J2171" i="14" s="1"/>
  <c r="J2172" i="13" a="1"/>
  <c r="J2172" i="13" s="1"/>
  <c r="N2173" i="13"/>
  <c r="M2175" i="13"/>
  <c r="M2176" i="14"/>
  <c r="K2009" i="14" l="1"/>
  <c r="L2009" i="14" s="1"/>
  <c r="I2010" i="14" s="1"/>
  <c r="K1987" i="13"/>
  <c r="L1987" i="13" s="1"/>
  <c r="I1988" i="13" s="1"/>
  <c r="N2174" i="13"/>
  <c r="J2173" i="13" a="1"/>
  <c r="J2173" i="13" s="1"/>
  <c r="M2176" i="13"/>
  <c r="M2177" i="14"/>
  <c r="J2172" i="14" a="1"/>
  <c r="J2172" i="14" s="1"/>
  <c r="N2173" i="14"/>
  <c r="K2010" i="14" l="1"/>
  <c r="L2010" i="14" s="1"/>
  <c r="I2011" i="14" s="1"/>
  <c r="J2173" i="14" a="1"/>
  <c r="J2173" i="14" s="1"/>
  <c r="N2174" i="14"/>
  <c r="M2177" i="13"/>
  <c r="K1988" i="13"/>
  <c r="L1988" i="13" s="1"/>
  <c r="I1989" i="13" s="1"/>
  <c r="M2178" i="14"/>
  <c r="J2174" i="13" a="1"/>
  <c r="J2174" i="13" s="1"/>
  <c r="N2175" i="13"/>
  <c r="K1989" i="13" l="1"/>
  <c r="L1989" i="13" s="1"/>
  <c r="I1990" i="13" s="1"/>
  <c r="K2011" i="14"/>
  <c r="L2011" i="14" s="1"/>
  <c r="I2012" i="14" s="1"/>
  <c r="J2174" i="14" a="1"/>
  <c r="J2174" i="14" s="1"/>
  <c r="N2175" i="14"/>
  <c r="J2175" i="13" a="1"/>
  <c r="J2175" i="13" s="1"/>
  <c r="N2176" i="13"/>
  <c r="M2179" i="14"/>
  <c r="M2178" i="13"/>
  <c r="K2012" i="14" l="1"/>
  <c r="L2012" i="14" s="1"/>
  <c r="I2013" i="14" s="1"/>
  <c r="K1990" i="13"/>
  <c r="L1990" i="13" s="1"/>
  <c r="I1991" i="13" s="1"/>
  <c r="M2179" i="13"/>
  <c r="M2180" i="14"/>
  <c r="J2176" i="13" a="1"/>
  <c r="J2176" i="13" s="1"/>
  <c r="N2177" i="13"/>
  <c r="N2176" i="14"/>
  <c r="J2175" i="14" a="1"/>
  <c r="J2175" i="14" s="1"/>
  <c r="K1991" i="13" l="1"/>
  <c r="L1991" i="13" s="1"/>
  <c r="I1992" i="13" s="1"/>
  <c r="K2013" i="14"/>
  <c r="L2013" i="14" s="1"/>
  <c r="I2014" i="14" s="1"/>
  <c r="N2178" i="13"/>
  <c r="J2177" i="13" a="1"/>
  <c r="J2177" i="13" s="1"/>
  <c r="J2176" i="14" a="1"/>
  <c r="J2176" i="14" s="1"/>
  <c r="N2177" i="14"/>
  <c r="M2181" i="14"/>
  <c r="M2180" i="13"/>
  <c r="K1992" i="13" l="1"/>
  <c r="L1992" i="13" s="1"/>
  <c r="I1993" i="13" s="1"/>
  <c r="M2181" i="13"/>
  <c r="J2177" i="14" a="1"/>
  <c r="J2177" i="14" s="1"/>
  <c r="N2178" i="14"/>
  <c r="K2014" i="14"/>
  <c r="L2014" i="14" s="1"/>
  <c r="I2015" i="14" s="1"/>
  <c r="M2182" i="14"/>
  <c r="J2178" i="13" a="1"/>
  <c r="J2178" i="13" s="1"/>
  <c r="N2179" i="13"/>
  <c r="K1993" i="13" l="1"/>
  <c r="L1993" i="13" s="1"/>
  <c r="I1994" i="13" s="1"/>
  <c r="J2179" i="13" a="1"/>
  <c r="J2179" i="13" s="1"/>
  <c r="N2180" i="13"/>
  <c r="M2182" i="13"/>
  <c r="J2178" i="14" a="1"/>
  <c r="J2178" i="14" s="1"/>
  <c r="N2179" i="14"/>
  <c r="K2015" i="14"/>
  <c r="L2015" i="14" s="1"/>
  <c r="I2016" i="14" s="1"/>
  <c r="M2183" i="14"/>
  <c r="K2016" i="14" l="1"/>
  <c r="L2016" i="14" s="1"/>
  <c r="I2017" i="14" s="1"/>
  <c r="K1994" i="13"/>
  <c r="L1994" i="13" s="1"/>
  <c r="I1995" i="13" s="1"/>
  <c r="N2180" i="14"/>
  <c r="J2179" i="14" a="1"/>
  <c r="J2179" i="14" s="1"/>
  <c r="J2180" i="13" a="1"/>
  <c r="J2180" i="13" s="1"/>
  <c r="N2181" i="13"/>
  <c r="M2184" i="14"/>
  <c r="M2183" i="13"/>
  <c r="K1995" i="13" l="1"/>
  <c r="L1995" i="13" s="1"/>
  <c r="I1996" i="13" s="1"/>
  <c r="N2182" i="13"/>
  <c r="J2181" i="13" a="1"/>
  <c r="J2181" i="13" s="1"/>
  <c r="M2184" i="13"/>
  <c r="M2185" i="14"/>
  <c r="J2180" i="14" a="1"/>
  <c r="J2180" i="14" s="1"/>
  <c r="N2181" i="14"/>
  <c r="K2017" i="14"/>
  <c r="L2017" i="14" s="1"/>
  <c r="I2018" i="14" s="1"/>
  <c r="K1996" i="13" l="1"/>
  <c r="L1996" i="13" s="1"/>
  <c r="I1997" i="13" s="1"/>
  <c r="K2018" i="14"/>
  <c r="L2018" i="14" s="1"/>
  <c r="I2019" i="14" s="1"/>
  <c r="M2186" i="14"/>
  <c r="J2182" i="13" a="1"/>
  <c r="J2182" i="13" s="1"/>
  <c r="N2183" i="13"/>
  <c r="J2181" i="14" a="1"/>
  <c r="J2181" i="14" s="1"/>
  <c r="N2182" i="14"/>
  <c r="M2185" i="13"/>
  <c r="K1997" i="13" l="1"/>
  <c r="L1997" i="13" s="1"/>
  <c r="I1998" i="13" s="1"/>
  <c r="M2186" i="13"/>
  <c r="J2183" i="13" a="1"/>
  <c r="J2183" i="13" s="1"/>
  <c r="N2184" i="13"/>
  <c r="K2019" i="14"/>
  <c r="L2019" i="14" s="1"/>
  <c r="I2020" i="14" s="1"/>
  <c r="J2182" i="14" a="1"/>
  <c r="J2182" i="14" s="1"/>
  <c r="N2183" i="14"/>
  <c r="M2187" i="14"/>
  <c r="K1998" i="13" l="1"/>
  <c r="L1998" i="13" s="1"/>
  <c r="I1999" i="13" s="1"/>
  <c r="N2184" i="14"/>
  <c r="J2183" i="14" a="1"/>
  <c r="J2183" i="14" s="1"/>
  <c r="K2020" i="14"/>
  <c r="L2020" i="14" s="1"/>
  <c r="I2021" i="14" s="1"/>
  <c r="M2187" i="13"/>
  <c r="M2188" i="14"/>
  <c r="J2184" i="13" a="1"/>
  <c r="J2184" i="13" s="1"/>
  <c r="N2185" i="13"/>
  <c r="K2021" i="14" l="1"/>
  <c r="L2021" i="14" s="1"/>
  <c r="I2022" i="14" s="1"/>
  <c r="K1999" i="13"/>
  <c r="L1999" i="13" s="1"/>
  <c r="I2000" i="13" s="1"/>
  <c r="N2186" i="13"/>
  <c r="J2185" i="13" a="1"/>
  <c r="J2185" i="13" s="1"/>
  <c r="J2184" i="14" a="1"/>
  <c r="J2184" i="14" s="1"/>
  <c r="N2185" i="14"/>
  <c r="M2188" i="13"/>
  <c r="M2189" i="14"/>
  <c r="K2022" i="14" l="1"/>
  <c r="L2022" i="14" s="1"/>
  <c r="I2023" i="14" s="1"/>
  <c r="J2185" i="14" a="1"/>
  <c r="J2185" i="14" s="1"/>
  <c r="N2186" i="14"/>
  <c r="M2190" i="14"/>
  <c r="K2000" i="13"/>
  <c r="L2000" i="13" s="1"/>
  <c r="I2001" i="13" s="1"/>
  <c r="M2189" i="13"/>
  <c r="J2186" i="13" a="1"/>
  <c r="J2186" i="13" s="1"/>
  <c r="N2187" i="13"/>
  <c r="K2001" i="13" l="1"/>
  <c r="L2001" i="13" s="1"/>
  <c r="I2002" i="13" s="1"/>
  <c r="K2023" i="14"/>
  <c r="L2023" i="14" s="1"/>
  <c r="I2024" i="14" s="1"/>
  <c r="J2187" i="13" a="1"/>
  <c r="J2187" i="13" s="1"/>
  <c r="N2188" i="13"/>
  <c r="J2186" i="14" a="1"/>
  <c r="J2186" i="14" s="1"/>
  <c r="N2187" i="14"/>
  <c r="M2191" i="14"/>
  <c r="M2190" i="13"/>
  <c r="K2002" i="13" l="1"/>
  <c r="L2002" i="13" s="1"/>
  <c r="I2003" i="13" s="1"/>
  <c r="K2024" i="14"/>
  <c r="L2024" i="14" s="1"/>
  <c r="I2025" i="14" s="1"/>
  <c r="N2188" i="14"/>
  <c r="J2187" i="14" a="1"/>
  <c r="J2187" i="14" s="1"/>
  <c r="J2188" i="13" a="1"/>
  <c r="J2188" i="13" s="1"/>
  <c r="N2189" i="13"/>
  <c r="M2191" i="13"/>
  <c r="M2192" i="14"/>
  <c r="K2003" i="13" l="1"/>
  <c r="L2003" i="13" s="1"/>
  <c r="I2004" i="13" s="1"/>
  <c r="K2025" i="14"/>
  <c r="L2025" i="14" s="1"/>
  <c r="I2026" i="14" s="1"/>
  <c r="N2190" i="13"/>
  <c r="J2189" i="13" a="1"/>
  <c r="J2189" i="13" s="1"/>
  <c r="M2193" i="14"/>
  <c r="M2192" i="13"/>
  <c r="J2188" i="14" a="1"/>
  <c r="J2188" i="14" s="1"/>
  <c r="N2189" i="14"/>
  <c r="K2004" i="13" l="1"/>
  <c r="L2004" i="13" s="1"/>
  <c r="I2005" i="13" s="1"/>
  <c r="K2026" i="14"/>
  <c r="L2026" i="14" s="1"/>
  <c r="I2027" i="14" s="1"/>
  <c r="M2193" i="13"/>
  <c r="J2189" i="14" a="1"/>
  <c r="J2189" i="14" s="1"/>
  <c r="N2190" i="14"/>
  <c r="M2194" i="14"/>
  <c r="J2190" i="13" a="1"/>
  <c r="J2190" i="13" s="1"/>
  <c r="N2191" i="13"/>
  <c r="K2005" i="13" l="1"/>
  <c r="L2005" i="13" s="1"/>
  <c r="I2006" i="13" s="1"/>
  <c r="K2027" i="14"/>
  <c r="L2027" i="14" s="1"/>
  <c r="I2028" i="14" s="1"/>
  <c r="J2191" i="13" a="1"/>
  <c r="J2191" i="13" s="1"/>
  <c r="N2192" i="13"/>
  <c r="J2190" i="14" a="1"/>
  <c r="J2190" i="14" s="1"/>
  <c r="N2191" i="14"/>
  <c r="M2195" i="14"/>
  <c r="M2194" i="13"/>
  <c r="K2006" i="13" l="1"/>
  <c r="L2006" i="13" s="1"/>
  <c r="I2007" i="13" s="1"/>
  <c r="K2028" i="14"/>
  <c r="L2028" i="14" s="1"/>
  <c r="I2029" i="14" s="1"/>
  <c r="N2192" i="14"/>
  <c r="J2191" i="14" a="1"/>
  <c r="J2191" i="14" s="1"/>
  <c r="M2196" i="14"/>
  <c r="M2195" i="13"/>
  <c r="J2192" i="13" a="1"/>
  <c r="J2192" i="13" s="1"/>
  <c r="N2193" i="13"/>
  <c r="K2007" i="13" l="1"/>
  <c r="L2007" i="13" s="1"/>
  <c r="I2008" i="13" s="1"/>
  <c r="K2029" i="14"/>
  <c r="L2029" i="14" s="1"/>
  <c r="I2030" i="14" s="1"/>
  <c r="N2194" i="13"/>
  <c r="J2193" i="13" a="1"/>
  <c r="J2193" i="13" s="1"/>
  <c r="M2197" i="14"/>
  <c r="M2196" i="13"/>
  <c r="J2192" i="14" a="1"/>
  <c r="J2192" i="14" s="1"/>
  <c r="N2193" i="14"/>
  <c r="K2030" i="14" l="1"/>
  <c r="L2030" i="14" s="1"/>
  <c r="I2031" i="14" s="1"/>
  <c r="K2008" i="13"/>
  <c r="L2008" i="13" s="1"/>
  <c r="I2009" i="13" s="1"/>
  <c r="M2198" i="14"/>
  <c r="J2193" i="14" a="1"/>
  <c r="J2193" i="14" s="1"/>
  <c r="N2194" i="14"/>
  <c r="M2197" i="13"/>
  <c r="J2194" i="13" a="1"/>
  <c r="J2194" i="13" s="1"/>
  <c r="N2195" i="13"/>
  <c r="K2009" i="13" l="1"/>
  <c r="L2009" i="13" s="1"/>
  <c r="I2010" i="13" s="1"/>
  <c r="J2195" i="13" a="1"/>
  <c r="J2195" i="13" s="1"/>
  <c r="N2196" i="13"/>
  <c r="M2199" i="14"/>
  <c r="J2194" i="14" a="1"/>
  <c r="J2194" i="14" s="1"/>
  <c r="N2195" i="14"/>
  <c r="M2198" i="13"/>
  <c r="K2031" i="14"/>
  <c r="L2031" i="14" s="1"/>
  <c r="I2032" i="14" s="1"/>
  <c r="K2032" i="14" l="1"/>
  <c r="L2032" i="14" s="1"/>
  <c r="I2033" i="14" s="1"/>
  <c r="K2010" i="13"/>
  <c r="L2010" i="13" s="1"/>
  <c r="I2011" i="13" s="1"/>
  <c r="N2196" i="14"/>
  <c r="J2195" i="14" a="1"/>
  <c r="J2195" i="14" s="1"/>
  <c r="J2196" i="13" a="1"/>
  <c r="J2196" i="13" s="1"/>
  <c r="N2197" i="13"/>
  <c r="M2199" i="13"/>
  <c r="M2200" i="14"/>
  <c r="K2033" i="14" l="1"/>
  <c r="L2033" i="14" s="1"/>
  <c r="I2034" i="14" s="1"/>
  <c r="M2200" i="13"/>
  <c r="N2198" i="13"/>
  <c r="J2197" i="13" a="1"/>
  <c r="J2197" i="13" s="1"/>
  <c r="M2201" i="14"/>
  <c r="K2011" i="13"/>
  <c r="L2011" i="13" s="1"/>
  <c r="I2012" i="13" s="1"/>
  <c r="J2196" i="14" a="1"/>
  <c r="J2196" i="14" s="1"/>
  <c r="N2197" i="14"/>
  <c r="K2034" i="14" l="1"/>
  <c r="L2034" i="14" s="1"/>
  <c r="I2035" i="14" s="1"/>
  <c r="K2012" i="13"/>
  <c r="L2012" i="13" s="1"/>
  <c r="I2013" i="13" s="1"/>
  <c r="J2197" i="14" a="1"/>
  <c r="J2197" i="14" s="1"/>
  <c r="N2198" i="14"/>
  <c r="M2201" i="13"/>
  <c r="M2202" i="14"/>
  <c r="J2198" i="13" a="1"/>
  <c r="J2198" i="13" s="1"/>
  <c r="N2199" i="13"/>
  <c r="K2035" i="14" l="1"/>
  <c r="L2035" i="14" s="1"/>
  <c r="I2036" i="14" s="1"/>
  <c r="M2203" i="14"/>
  <c r="J2199" i="13" a="1"/>
  <c r="J2199" i="13" s="1"/>
  <c r="N2200" i="13"/>
  <c r="K2013" i="13"/>
  <c r="L2013" i="13" s="1"/>
  <c r="I2014" i="13" s="1"/>
  <c r="J2198" i="14" a="1"/>
  <c r="J2198" i="14" s="1"/>
  <c r="N2199" i="14"/>
  <c r="M2202" i="13"/>
  <c r="K2036" i="14" l="1"/>
  <c r="L2036" i="14" s="1"/>
  <c r="I2037" i="14" s="1"/>
  <c r="M2203" i="13"/>
  <c r="K2014" i="13"/>
  <c r="L2014" i="13" s="1"/>
  <c r="I2015" i="13" s="1"/>
  <c r="M2204" i="14"/>
  <c r="J2200" i="13" a="1"/>
  <c r="J2200" i="13" s="1"/>
  <c r="N2201" i="13"/>
  <c r="N2200" i="14"/>
  <c r="J2199" i="14" a="1"/>
  <c r="J2199" i="14" s="1"/>
  <c r="K2015" i="13" l="1"/>
  <c r="L2015" i="13" s="1"/>
  <c r="I2016" i="13" s="1"/>
  <c r="K2037" i="14"/>
  <c r="L2037" i="14" s="1"/>
  <c r="I2038" i="14" s="1"/>
  <c r="J2200" i="14" a="1"/>
  <c r="J2200" i="14" s="1"/>
  <c r="N2201" i="14"/>
  <c r="M2205" i="14"/>
  <c r="M2204" i="13"/>
  <c r="N2202" i="13"/>
  <c r="J2201" i="13" a="1"/>
  <c r="J2201" i="13" s="1"/>
  <c r="K2038" i="14" l="1"/>
  <c r="L2038" i="14" s="1"/>
  <c r="I2039" i="14" s="1"/>
  <c r="K2016" i="13"/>
  <c r="L2016" i="13" s="1"/>
  <c r="I2017" i="13" s="1"/>
  <c r="J2202" i="13" a="1"/>
  <c r="J2202" i="13" s="1"/>
  <c r="N2203" i="13"/>
  <c r="M2206" i="14"/>
  <c r="M2205" i="13"/>
  <c r="J2201" i="14" a="1"/>
  <c r="J2201" i="14" s="1"/>
  <c r="N2202" i="14"/>
  <c r="K2017" i="13" l="1"/>
  <c r="L2017" i="13" s="1"/>
  <c r="I2018" i="13" s="1"/>
  <c r="K2039" i="14"/>
  <c r="L2039" i="14" s="1"/>
  <c r="I2040" i="14" s="1"/>
  <c r="J2203" i="13" a="1"/>
  <c r="J2203" i="13" s="1"/>
  <c r="N2204" i="13"/>
  <c r="J2202" i="14" a="1"/>
  <c r="J2202" i="14" s="1"/>
  <c r="N2203" i="14"/>
  <c r="M2207" i="14"/>
  <c r="M2206" i="13"/>
  <c r="K2018" i="13" l="1"/>
  <c r="L2018" i="13" s="1"/>
  <c r="I2019" i="13" s="1"/>
  <c r="N2204" i="14"/>
  <c r="J2203" i="14" a="1"/>
  <c r="J2203" i="14" s="1"/>
  <c r="K2040" i="14"/>
  <c r="L2040" i="14" s="1"/>
  <c r="I2041" i="14" s="1"/>
  <c r="M2207" i="13"/>
  <c r="J2204" i="13" a="1"/>
  <c r="J2204" i="13" s="1"/>
  <c r="N2205" i="13"/>
  <c r="M2208" i="14"/>
  <c r="K2019" i="13" l="1"/>
  <c r="L2019" i="13" s="1"/>
  <c r="I2020" i="13" s="1"/>
  <c r="M2209" i="14"/>
  <c r="J2204" i="14" a="1"/>
  <c r="J2204" i="14" s="1"/>
  <c r="N2205" i="14"/>
  <c r="N2206" i="13"/>
  <c r="J2205" i="13" a="1"/>
  <c r="J2205" i="13" s="1"/>
  <c r="M2208" i="13"/>
  <c r="K2041" i="14"/>
  <c r="L2041" i="14" s="1"/>
  <c r="I2042" i="14" s="1"/>
  <c r="K2020" i="13" l="1"/>
  <c r="L2020" i="13" s="1"/>
  <c r="I2021" i="13" s="1"/>
  <c r="K2042" i="14"/>
  <c r="L2042" i="14" s="1"/>
  <c r="I2043" i="14" s="1"/>
  <c r="J2206" i="13" a="1"/>
  <c r="J2206" i="13" s="1"/>
  <c r="N2207" i="13"/>
  <c r="M2210" i="14"/>
  <c r="J2205" i="14" a="1"/>
  <c r="J2205" i="14" s="1"/>
  <c r="N2206" i="14"/>
  <c r="M2209" i="13"/>
  <c r="K2021" i="13" l="1"/>
  <c r="L2021" i="13" s="1"/>
  <c r="I2022" i="13" s="1"/>
  <c r="M2211" i="14"/>
  <c r="K2043" i="14"/>
  <c r="L2043" i="14" s="1"/>
  <c r="I2044" i="14" s="1"/>
  <c r="M2210" i="13"/>
  <c r="J2206" i="14" a="1"/>
  <c r="J2206" i="14" s="1"/>
  <c r="N2207" i="14"/>
  <c r="J2207" i="13" a="1"/>
  <c r="J2207" i="13" s="1"/>
  <c r="N2208" i="13"/>
  <c r="K2044" i="14" l="1"/>
  <c r="L2044" i="14" s="1"/>
  <c r="I2045" i="14" s="1"/>
  <c r="K2022" i="13"/>
  <c r="L2022" i="13" s="1"/>
  <c r="I2023" i="13" s="1"/>
  <c r="N2208" i="14"/>
  <c r="J2207" i="14" a="1"/>
  <c r="J2207" i="14" s="1"/>
  <c r="J2208" i="13" a="1"/>
  <c r="J2208" i="13" s="1"/>
  <c r="N2209" i="13"/>
  <c r="M2211" i="13"/>
  <c r="M2212" i="14"/>
  <c r="N2210" i="13" l="1"/>
  <c r="J2209" i="13" a="1"/>
  <c r="J2209" i="13" s="1"/>
  <c r="M2212" i="13"/>
  <c r="M2213" i="14"/>
  <c r="K2023" i="13"/>
  <c r="L2023" i="13" s="1"/>
  <c r="I2024" i="13" s="1"/>
  <c r="J2208" i="14" a="1"/>
  <c r="J2208" i="14" s="1"/>
  <c r="N2209" i="14"/>
  <c r="K2045" i="14"/>
  <c r="L2045" i="14" s="1"/>
  <c r="I2046" i="14" s="1"/>
  <c r="J2209" i="14" l="1" a="1"/>
  <c r="J2209" i="14" s="1"/>
  <c r="N2210" i="14"/>
  <c r="M2213" i="13"/>
  <c r="K2046" i="14"/>
  <c r="L2046" i="14" s="1"/>
  <c r="I2047" i="14" s="1"/>
  <c r="K2024" i="13"/>
  <c r="L2024" i="13" s="1"/>
  <c r="I2025" i="13" s="1"/>
  <c r="M2214" i="14"/>
  <c r="J2210" i="13" a="1"/>
  <c r="J2210" i="13" s="1"/>
  <c r="N2211" i="13"/>
  <c r="K2047" i="14" l="1"/>
  <c r="L2047" i="14" s="1"/>
  <c r="I2048" i="14" s="1"/>
  <c r="M2215" i="14"/>
  <c r="J2211" i="13" a="1"/>
  <c r="J2211" i="13" s="1"/>
  <c r="N2212" i="13"/>
  <c r="M2214" i="13"/>
  <c r="J2210" i="14" a="1"/>
  <c r="J2210" i="14" s="1"/>
  <c r="N2211" i="14"/>
  <c r="K2025" i="13"/>
  <c r="L2025" i="13" s="1"/>
  <c r="I2026" i="13" s="1"/>
  <c r="K2048" i="14" l="1"/>
  <c r="L2048" i="14" s="1"/>
  <c r="I2049" i="14" s="1"/>
  <c r="K2026" i="13"/>
  <c r="L2026" i="13" s="1"/>
  <c r="I2027" i="13" s="1"/>
  <c r="M2215" i="13"/>
  <c r="M2216" i="14"/>
  <c r="N2212" i="14"/>
  <c r="J2211" i="14" a="1"/>
  <c r="J2211" i="14" s="1"/>
  <c r="J2212" i="13" a="1"/>
  <c r="J2212" i="13" s="1"/>
  <c r="N2213" i="13"/>
  <c r="K2027" i="13" l="1"/>
  <c r="L2027" i="13" s="1"/>
  <c r="I2028" i="13" s="1"/>
  <c r="N2214" i="13"/>
  <c r="J2213" i="13" a="1"/>
  <c r="J2213" i="13" s="1"/>
  <c r="M2217" i="14"/>
  <c r="J2212" i="14" a="1"/>
  <c r="J2212" i="14" s="1"/>
  <c r="N2213" i="14"/>
  <c r="M2216" i="13"/>
  <c r="K2049" i="14"/>
  <c r="L2049" i="14" s="1"/>
  <c r="I2050" i="14" s="1"/>
  <c r="K2050" i="14" l="1"/>
  <c r="L2050" i="14" s="1"/>
  <c r="I2051" i="14" s="1"/>
  <c r="K2028" i="13"/>
  <c r="L2028" i="13" s="1"/>
  <c r="I2029" i="13" s="1"/>
  <c r="J2214" i="13" a="1"/>
  <c r="J2214" i="13" s="1"/>
  <c r="N2215" i="13"/>
  <c r="J2213" i="14" a="1"/>
  <c r="J2213" i="14" s="1"/>
  <c r="N2214" i="14"/>
  <c r="M2217" i="13"/>
  <c r="M2218" i="14"/>
  <c r="K2029" i="13" l="1"/>
  <c r="L2029" i="13" s="1"/>
  <c r="I2030" i="13" s="1"/>
  <c r="K2051" i="14"/>
  <c r="L2051" i="14" s="1"/>
  <c r="I2052" i="14" s="1"/>
  <c r="M2218" i="13"/>
  <c r="M2219" i="14"/>
  <c r="J2214" i="14" a="1"/>
  <c r="J2214" i="14" s="1"/>
  <c r="N2215" i="14"/>
  <c r="J2215" i="13" a="1"/>
  <c r="J2215" i="13" s="1"/>
  <c r="N2216" i="13"/>
  <c r="K2030" i="13" l="1"/>
  <c r="L2030" i="13" s="1"/>
  <c r="I2031" i="13" s="1"/>
  <c r="M2220" i="14"/>
  <c r="J2216" i="13" a="1"/>
  <c r="J2216" i="13" s="1"/>
  <c r="N2217" i="13"/>
  <c r="K2052" i="14"/>
  <c r="L2052" i="14" s="1"/>
  <c r="I2053" i="14" s="1"/>
  <c r="N2216" i="14"/>
  <c r="J2215" i="14" a="1"/>
  <c r="J2215" i="14" s="1"/>
  <c r="M2219" i="13"/>
  <c r="K2053" i="14" l="1"/>
  <c r="L2053" i="14" s="1"/>
  <c r="I2054" i="14" s="1"/>
  <c r="K2031" i="13"/>
  <c r="L2031" i="13" s="1"/>
  <c r="I2032" i="13" s="1"/>
  <c r="M2220" i="13"/>
  <c r="M2221" i="14"/>
  <c r="N2218" i="13"/>
  <c r="J2217" i="13" a="1"/>
  <c r="J2217" i="13" s="1"/>
  <c r="J2216" i="14" a="1"/>
  <c r="J2216" i="14" s="1"/>
  <c r="N2217" i="14"/>
  <c r="K2032" i="13" l="1"/>
  <c r="L2032" i="13" s="1"/>
  <c r="I2033" i="13" s="1"/>
  <c r="K2054" i="14"/>
  <c r="L2054" i="14" s="1"/>
  <c r="I2055" i="14" s="1"/>
  <c r="J2217" i="14" a="1"/>
  <c r="J2217" i="14" s="1"/>
  <c r="N2218" i="14"/>
  <c r="M2222" i="14"/>
  <c r="M2221" i="13"/>
  <c r="J2218" i="13" a="1"/>
  <c r="J2218" i="13" s="1"/>
  <c r="N2219" i="13"/>
  <c r="K2033" i="13" l="1"/>
  <c r="L2033" i="13" s="1"/>
  <c r="I2034" i="13" s="1"/>
  <c r="K2055" i="14"/>
  <c r="L2055" i="14" s="1"/>
  <c r="I2056" i="14" s="1"/>
  <c r="J2219" i="13" a="1"/>
  <c r="J2219" i="13" s="1"/>
  <c r="N2220" i="13"/>
  <c r="M2223" i="14"/>
  <c r="J2218" i="14" a="1"/>
  <c r="J2218" i="14" s="1"/>
  <c r="N2219" i="14"/>
  <c r="M2222" i="13"/>
  <c r="K2056" i="14" l="1"/>
  <c r="L2056" i="14" s="1"/>
  <c r="I2057" i="14" s="1"/>
  <c r="K2034" i="13"/>
  <c r="L2034" i="13" s="1"/>
  <c r="I2035" i="13" s="1"/>
  <c r="M2223" i="13"/>
  <c r="M2224" i="14"/>
  <c r="N2220" i="14"/>
  <c r="J2219" i="14" a="1"/>
  <c r="J2219" i="14" s="1"/>
  <c r="J2220" i="13" a="1"/>
  <c r="J2220" i="13" s="1"/>
  <c r="N2221" i="13"/>
  <c r="K2035" i="13" l="1"/>
  <c r="L2035" i="13" s="1"/>
  <c r="I2036" i="13" s="1"/>
  <c r="K2057" i="14"/>
  <c r="L2057" i="14" s="1"/>
  <c r="I2058" i="14" s="1"/>
  <c r="N2222" i="13"/>
  <c r="J2221" i="13" a="1"/>
  <c r="J2221" i="13" s="1"/>
  <c r="M2225" i="14"/>
  <c r="J2220" i="14" a="1"/>
  <c r="J2220" i="14" s="1"/>
  <c r="N2221" i="14"/>
  <c r="M2224" i="13"/>
  <c r="K2036" i="13" l="1"/>
  <c r="L2036" i="13" s="1"/>
  <c r="I2037" i="13" s="1"/>
  <c r="J2221" i="14" a="1"/>
  <c r="J2221" i="14" s="1"/>
  <c r="N2222" i="14"/>
  <c r="M2225" i="13"/>
  <c r="M2226" i="14"/>
  <c r="K2058" i="14"/>
  <c r="L2058" i="14" s="1"/>
  <c r="I2059" i="14" s="1"/>
  <c r="J2222" i="13" a="1"/>
  <c r="J2222" i="13" s="1"/>
  <c r="N2223" i="13"/>
  <c r="K2059" i="14" l="1"/>
  <c r="L2059" i="14" s="1"/>
  <c r="I2060" i="14" s="1"/>
  <c r="K2037" i="13"/>
  <c r="L2037" i="13" s="1"/>
  <c r="I2038" i="13" s="1"/>
  <c r="J2223" i="13" a="1"/>
  <c r="J2223" i="13" s="1"/>
  <c r="N2224" i="13"/>
  <c r="M2227" i="14"/>
  <c r="J2222" i="14" a="1"/>
  <c r="J2222" i="14" s="1"/>
  <c r="N2223" i="14"/>
  <c r="M2226" i="13"/>
  <c r="K2060" i="14" l="1"/>
  <c r="L2060" i="14" s="1"/>
  <c r="I2061" i="14" s="1"/>
  <c r="K2038" i="13"/>
  <c r="L2038" i="13" s="1"/>
  <c r="I2039" i="13" s="1"/>
  <c r="N2224" i="14"/>
  <c r="J2223" i="14" a="1"/>
  <c r="J2223" i="14" s="1"/>
  <c r="J2224" i="13" a="1"/>
  <c r="J2224" i="13" s="1"/>
  <c r="N2225" i="13"/>
  <c r="M2227" i="13"/>
  <c r="M2228" i="14"/>
  <c r="K2061" i="14" l="1"/>
  <c r="L2061" i="14" s="1"/>
  <c r="I2062" i="14" s="1"/>
  <c r="M2229" i="14"/>
  <c r="N2226" i="13"/>
  <c r="J2225" i="13" a="1"/>
  <c r="J2225" i="13" s="1"/>
  <c r="K2039" i="13"/>
  <c r="L2039" i="13" s="1"/>
  <c r="I2040" i="13" s="1"/>
  <c r="M2228" i="13"/>
  <c r="J2224" i="14" a="1"/>
  <c r="J2224" i="14" s="1"/>
  <c r="N2225" i="14"/>
  <c r="K2062" i="14" l="1"/>
  <c r="L2062" i="14" s="1"/>
  <c r="I2063" i="14" s="1"/>
  <c r="J2225" i="14" a="1"/>
  <c r="J2225" i="14" s="1"/>
  <c r="N2226" i="14"/>
  <c r="K2040" i="13"/>
  <c r="L2040" i="13" s="1"/>
  <c r="I2041" i="13" s="1"/>
  <c r="M2230" i="14"/>
  <c r="M2229" i="13"/>
  <c r="J2226" i="13" a="1"/>
  <c r="J2226" i="13" s="1"/>
  <c r="N2227" i="13"/>
  <c r="K2041" i="13" l="1"/>
  <c r="L2041" i="13" s="1"/>
  <c r="I2042" i="13" s="1"/>
  <c r="K2063" i="14"/>
  <c r="L2063" i="14" s="1"/>
  <c r="I2064" i="14" s="1"/>
  <c r="M2231" i="14"/>
  <c r="J2227" i="13" a="1"/>
  <c r="J2227" i="13" s="1"/>
  <c r="N2228" i="13"/>
  <c r="J2226" i="14" a="1"/>
  <c r="J2226" i="14" s="1"/>
  <c r="N2227" i="14"/>
  <c r="M2230" i="13"/>
  <c r="K2064" i="14" l="1"/>
  <c r="L2064" i="14" s="1"/>
  <c r="I2065" i="14" s="1"/>
  <c r="K2042" i="13"/>
  <c r="L2042" i="13" s="1"/>
  <c r="I2043" i="13" s="1"/>
  <c r="M2231" i="13"/>
  <c r="N2228" i="14"/>
  <c r="J2227" i="14" a="1"/>
  <c r="J2227" i="14" s="1"/>
  <c r="J2228" i="13" a="1"/>
  <c r="J2228" i="13" s="1"/>
  <c r="N2229" i="13"/>
  <c r="M2232" i="14"/>
  <c r="K2043" i="13" l="1"/>
  <c r="L2043" i="13" s="1"/>
  <c r="I2044" i="13" s="1"/>
  <c r="K2065" i="14"/>
  <c r="L2065" i="14" s="1"/>
  <c r="I2066" i="14" s="1"/>
  <c r="M2233" i="14"/>
  <c r="J2228" i="14" a="1"/>
  <c r="J2228" i="14" s="1"/>
  <c r="N2229" i="14"/>
  <c r="N2230" i="13"/>
  <c r="J2229" i="13" a="1"/>
  <c r="J2229" i="13" s="1"/>
  <c r="M2232" i="13"/>
  <c r="K2044" i="13" l="1"/>
  <c r="L2044" i="13" s="1"/>
  <c r="I2045" i="13" s="1"/>
  <c r="M2233" i="13"/>
  <c r="J2229" i="14" a="1"/>
  <c r="J2229" i="14" s="1"/>
  <c r="N2230" i="14"/>
  <c r="K2066" i="14"/>
  <c r="L2066" i="14" s="1"/>
  <c r="I2067" i="14" s="1"/>
  <c r="J2230" i="13" a="1"/>
  <c r="J2230" i="13" s="1"/>
  <c r="N2231" i="13"/>
  <c r="M2234" i="14"/>
  <c r="K2045" i="13" l="1"/>
  <c r="L2045" i="13" s="1"/>
  <c r="I2046" i="13" s="1"/>
  <c r="M2235" i="14"/>
  <c r="K2067" i="14"/>
  <c r="L2067" i="14" s="1"/>
  <c r="I2068" i="14" s="1"/>
  <c r="M2234" i="13"/>
  <c r="J2230" i="14" a="1"/>
  <c r="J2230" i="14" s="1"/>
  <c r="N2231" i="14"/>
  <c r="J2231" i="13" a="1"/>
  <c r="J2231" i="13" s="1"/>
  <c r="N2232" i="13"/>
  <c r="K2068" i="14" l="1"/>
  <c r="L2068" i="14" s="1"/>
  <c r="I2069" i="14" s="1"/>
  <c r="K2046" i="13"/>
  <c r="L2046" i="13" s="1"/>
  <c r="I2047" i="13" s="1"/>
  <c r="J2232" i="13" a="1"/>
  <c r="J2232" i="13" s="1"/>
  <c r="N2233" i="13"/>
  <c r="M2236" i="14"/>
  <c r="M2235" i="13"/>
  <c r="N2232" i="14"/>
  <c r="J2231" i="14" a="1"/>
  <c r="J2231" i="14" s="1"/>
  <c r="K2069" i="14" l="1"/>
  <c r="L2069" i="14" s="1"/>
  <c r="I2070" i="14" s="1"/>
  <c r="N2233" i="14"/>
  <c r="J2232" i="14" a="1"/>
  <c r="J2232" i="14" s="1"/>
  <c r="M2237" i="14"/>
  <c r="K2047" i="13"/>
  <c r="L2047" i="13" s="1"/>
  <c r="I2048" i="13" s="1"/>
  <c r="N2234" i="13"/>
  <c r="J2233" i="13" a="1"/>
  <c r="J2233" i="13" s="1"/>
  <c r="M2236" i="13"/>
  <c r="K2048" i="13" l="1"/>
  <c r="L2048" i="13" s="1"/>
  <c r="I2049" i="13" s="1"/>
  <c r="K2070" i="14"/>
  <c r="L2070" i="14" s="1"/>
  <c r="I2071" i="14" s="1"/>
  <c r="M2237" i="13"/>
  <c r="N2234" i="14"/>
  <c r="J2233" i="14" a="1"/>
  <c r="J2233" i="14" s="1"/>
  <c r="M2238" i="14"/>
  <c r="J2234" i="13" a="1"/>
  <c r="J2234" i="13" s="1"/>
  <c r="N2235" i="13"/>
  <c r="K2071" i="14" l="1"/>
  <c r="L2071" i="14" s="1"/>
  <c r="I2072" i="14" s="1"/>
  <c r="K2049" i="13"/>
  <c r="L2049" i="13" s="1"/>
  <c r="I2050" i="13" s="1"/>
  <c r="J2235" i="13" a="1"/>
  <c r="J2235" i="13" s="1"/>
  <c r="N2236" i="13"/>
  <c r="J2234" i="14" a="1"/>
  <c r="J2234" i="14" s="1"/>
  <c r="N2235" i="14"/>
  <c r="M2239" i="14"/>
  <c r="M2238" i="13"/>
  <c r="K2050" i="13" l="1"/>
  <c r="L2050" i="13" s="1"/>
  <c r="I2051" i="13" s="1"/>
  <c r="K2072" i="14"/>
  <c r="L2072" i="14" s="1"/>
  <c r="I2073" i="14" s="1"/>
  <c r="N2236" i="14"/>
  <c r="J2235" i="14" a="1"/>
  <c r="J2235" i="14" s="1"/>
  <c r="M2239" i="13"/>
  <c r="M2240" i="14"/>
  <c r="J2236" i="13" a="1"/>
  <c r="J2236" i="13" s="1"/>
  <c r="N2237" i="13"/>
  <c r="K2073" i="14" l="1"/>
  <c r="L2073" i="14" s="1"/>
  <c r="I2074" i="14" s="1"/>
  <c r="K2051" i="13"/>
  <c r="L2051" i="13" s="1"/>
  <c r="I2052" i="13" s="1"/>
  <c r="M2241" i="14"/>
  <c r="N2238" i="13"/>
  <c r="J2237" i="13" a="1"/>
  <c r="J2237" i="13" s="1"/>
  <c r="M2240" i="13"/>
  <c r="N2237" i="14"/>
  <c r="J2236" i="14" a="1"/>
  <c r="J2236" i="14" s="1"/>
  <c r="K2052" i="13" l="1"/>
  <c r="L2052" i="13" s="1"/>
  <c r="I2053" i="13" s="1"/>
  <c r="K2074" i="14"/>
  <c r="L2074" i="14" s="1"/>
  <c r="I2075" i="14" s="1"/>
  <c r="J2237" i="14" a="1"/>
  <c r="J2237" i="14" s="1"/>
  <c r="N2238" i="14"/>
  <c r="J2238" i="13" a="1"/>
  <c r="J2238" i="13" s="1"/>
  <c r="N2239" i="13"/>
  <c r="M2241" i="13"/>
  <c r="M2242" i="14"/>
  <c r="K2053" i="13" l="1"/>
  <c r="L2053" i="13" s="1"/>
  <c r="I2054" i="13" s="1"/>
  <c r="J2239" i="13" a="1"/>
  <c r="J2239" i="13" s="1"/>
  <c r="N2240" i="13"/>
  <c r="K2075" i="14"/>
  <c r="L2075" i="14" s="1"/>
  <c r="I2076" i="14" s="1"/>
  <c r="M2242" i="13"/>
  <c r="M2243" i="14"/>
  <c r="N2239" i="14"/>
  <c r="J2238" i="14" a="1"/>
  <c r="J2238" i="14" s="1"/>
  <c r="K2076" i="14" l="1"/>
  <c r="L2076" i="14" s="1"/>
  <c r="I2077" i="14" s="1"/>
  <c r="K2054" i="13"/>
  <c r="L2054" i="13" s="1"/>
  <c r="I2055" i="13" s="1"/>
  <c r="J2240" i="13" a="1"/>
  <c r="J2240" i="13" s="1"/>
  <c r="N2241" i="13"/>
  <c r="N2240" i="14"/>
  <c r="J2239" i="14" a="1"/>
  <c r="J2239" i="14" s="1"/>
  <c r="M2243" i="13"/>
  <c r="M2244" i="14"/>
  <c r="K2055" i="13" l="1"/>
  <c r="L2055" i="13" s="1"/>
  <c r="I2056" i="13" s="1"/>
  <c r="K2077" i="14"/>
  <c r="L2077" i="14" s="1"/>
  <c r="I2078" i="14" s="1"/>
  <c r="M2244" i="13"/>
  <c r="M2245" i="14"/>
  <c r="N2241" i="14"/>
  <c r="J2240" i="14" a="1"/>
  <c r="J2240" i="14" s="1"/>
  <c r="N2242" i="13"/>
  <c r="J2241" i="13" a="1"/>
  <c r="J2241" i="13" s="1"/>
  <c r="K2056" i="13" l="1"/>
  <c r="L2056" i="13" s="1"/>
  <c r="I2057" i="13" s="1"/>
  <c r="M2246" i="14"/>
  <c r="K2078" i="14"/>
  <c r="L2078" i="14" s="1"/>
  <c r="I2079" i="14" s="1"/>
  <c r="M2245" i="13"/>
  <c r="J2242" i="13" a="1"/>
  <c r="J2242" i="13" s="1"/>
  <c r="N2243" i="13"/>
  <c r="J2241" i="14" a="1"/>
  <c r="J2241" i="14" s="1"/>
  <c r="N2242" i="14"/>
  <c r="K2079" i="14" l="1"/>
  <c r="L2079" i="14" s="1"/>
  <c r="I2080" i="14" s="1"/>
  <c r="K2057" i="13"/>
  <c r="L2057" i="13" s="1"/>
  <c r="I2058" i="13" s="1"/>
  <c r="J2243" i="13" a="1"/>
  <c r="J2243" i="13" s="1"/>
  <c r="N2244" i="13"/>
  <c r="N2243" i="14"/>
  <c r="J2242" i="14" a="1"/>
  <c r="J2242" i="14" s="1"/>
  <c r="M2247" i="14"/>
  <c r="M2246" i="13"/>
  <c r="K2080" i="14" l="1"/>
  <c r="L2080" i="14" s="1"/>
  <c r="I2081" i="14" s="1"/>
  <c r="K2058" i="13"/>
  <c r="L2058" i="13" s="1"/>
  <c r="I2059" i="13" s="1"/>
  <c r="M2247" i="13"/>
  <c r="M2248" i="14"/>
  <c r="N2244" i="14"/>
  <c r="J2243" i="14" a="1"/>
  <c r="J2243" i="14" s="1"/>
  <c r="J2244" i="13" a="1"/>
  <c r="J2244" i="13" s="1"/>
  <c r="N2245" i="13"/>
  <c r="K2059" i="13" l="1"/>
  <c r="L2059" i="13" s="1"/>
  <c r="I2060" i="13" s="1"/>
  <c r="K2081" i="14"/>
  <c r="L2081" i="14" s="1"/>
  <c r="I2082" i="14" s="1"/>
  <c r="N2246" i="13"/>
  <c r="J2245" i="13" a="1"/>
  <c r="J2245" i="13" s="1"/>
  <c r="M2249" i="14"/>
  <c r="N2245" i="14"/>
  <c r="J2244" i="14" a="1"/>
  <c r="J2244" i="14" s="1"/>
  <c r="M2248" i="13"/>
  <c r="K2082" i="14" l="1"/>
  <c r="L2082" i="14" s="1"/>
  <c r="I2083" i="14" s="1"/>
  <c r="K2060" i="13"/>
  <c r="L2060" i="13" s="1"/>
  <c r="I2061" i="13" s="1"/>
  <c r="M2249" i="13"/>
  <c r="J2245" i="14" a="1"/>
  <c r="J2245" i="14" s="1"/>
  <c r="N2246" i="14"/>
  <c r="M2250" i="14"/>
  <c r="J2246" i="13" a="1"/>
  <c r="J2246" i="13" s="1"/>
  <c r="N2247" i="13"/>
  <c r="K2061" i="13" l="1"/>
  <c r="L2061" i="13" s="1"/>
  <c r="I2062" i="13" s="1"/>
  <c r="K2083" i="14"/>
  <c r="L2083" i="14" s="1"/>
  <c r="I2084" i="14" s="1"/>
  <c r="N2247" i="14"/>
  <c r="J2246" i="14" a="1"/>
  <c r="J2246" i="14" s="1"/>
  <c r="J2247" i="13" a="1"/>
  <c r="J2247" i="13" s="1"/>
  <c r="N2248" i="13"/>
  <c r="M2251" i="14"/>
  <c r="M2250" i="13"/>
  <c r="K2062" i="13" l="1"/>
  <c r="L2062" i="13" s="1"/>
  <c r="I2063" i="13" s="1"/>
  <c r="M2251" i="13"/>
  <c r="J2248" i="13" a="1"/>
  <c r="J2248" i="13" s="1"/>
  <c r="N2249" i="13"/>
  <c r="K2084" i="14"/>
  <c r="L2084" i="14" s="1"/>
  <c r="I2085" i="14" s="1"/>
  <c r="M2252" i="14"/>
  <c r="J2247" i="14" a="1"/>
  <c r="J2247" i="14" s="1"/>
  <c r="N2248" i="14"/>
  <c r="K2085" i="14" l="1"/>
  <c r="L2085" i="14" s="1"/>
  <c r="I2086" i="14" s="1"/>
  <c r="K2063" i="13"/>
  <c r="L2063" i="13" s="1"/>
  <c r="I2064" i="13" s="1"/>
  <c r="N2249" i="14"/>
  <c r="J2248" i="14" a="1"/>
  <c r="J2248" i="14" s="1"/>
  <c r="M2252" i="13"/>
  <c r="N2250" i="13"/>
  <c r="J2249" i="13" a="1"/>
  <c r="J2249" i="13" s="1"/>
  <c r="M2253" i="14"/>
  <c r="J2250" i="13" l="1" a="1"/>
  <c r="J2250" i="13" s="1"/>
  <c r="N2251" i="13"/>
  <c r="M2254" i="14"/>
  <c r="M2253" i="13"/>
  <c r="K2064" i="13"/>
  <c r="L2064" i="13" s="1"/>
  <c r="I2065" i="13" s="1"/>
  <c r="J2249" i="14" a="1"/>
  <c r="J2249" i="14" s="1"/>
  <c r="N2250" i="14"/>
  <c r="K2086" i="14"/>
  <c r="L2086" i="14" s="1"/>
  <c r="I2087" i="14" s="1"/>
  <c r="K2087" i="14" l="1"/>
  <c r="L2087" i="14" s="1"/>
  <c r="I2088" i="14" s="1"/>
  <c r="K2065" i="13"/>
  <c r="L2065" i="13" s="1"/>
  <c r="I2066" i="13" s="1"/>
  <c r="J2250" i="14" a="1"/>
  <c r="J2250" i="14" s="1"/>
  <c r="N2251" i="14"/>
  <c r="M2255" i="14"/>
  <c r="J2251" i="13" a="1"/>
  <c r="J2251" i="13" s="1"/>
  <c r="N2252" i="13"/>
  <c r="M2254" i="13"/>
  <c r="K2088" i="14" l="1"/>
  <c r="L2088" i="14" s="1"/>
  <c r="I2089" i="14" s="1"/>
  <c r="M2256" i="14"/>
  <c r="M2255" i="13"/>
  <c r="K2066" i="13"/>
  <c r="L2066" i="13" s="1"/>
  <c r="I2067" i="13" s="1"/>
  <c r="J2252" i="13" a="1"/>
  <c r="J2252" i="13" s="1"/>
  <c r="N2253" i="13"/>
  <c r="N2252" i="14"/>
  <c r="J2251" i="14" a="1"/>
  <c r="J2251" i="14" s="1"/>
  <c r="K2089" i="14" l="1"/>
  <c r="L2089" i="14" s="1"/>
  <c r="I2090" i="14" s="1"/>
  <c r="N2254" i="13"/>
  <c r="J2253" i="13" a="1"/>
  <c r="J2253" i="13" s="1"/>
  <c r="N2253" i="14"/>
  <c r="J2252" i="14" a="1"/>
  <c r="J2252" i="14" s="1"/>
  <c r="K2067" i="13"/>
  <c r="L2067" i="13" s="1"/>
  <c r="I2068" i="13" s="1"/>
  <c r="M2257" i="14"/>
  <c r="M2256" i="13"/>
  <c r="K2068" i="13" l="1"/>
  <c r="L2068" i="13" s="1"/>
  <c r="I2069" i="13" s="1"/>
  <c r="K2090" i="14"/>
  <c r="L2090" i="14" s="1"/>
  <c r="I2091" i="14" s="1"/>
  <c r="J2254" i="13" a="1"/>
  <c r="J2254" i="13" s="1"/>
  <c r="N2255" i="13"/>
  <c r="M2257" i="13"/>
  <c r="M2258" i="14"/>
  <c r="J2253" i="14" a="1"/>
  <c r="J2253" i="14" s="1"/>
  <c r="N2254" i="14"/>
  <c r="K2091" i="14" l="1"/>
  <c r="L2091" i="14" s="1"/>
  <c r="I2092" i="14" s="1"/>
  <c r="K2069" i="13"/>
  <c r="L2069" i="13" s="1"/>
  <c r="I2070" i="13" s="1"/>
  <c r="N2255" i="14"/>
  <c r="J2254" i="14" a="1"/>
  <c r="J2254" i="14" s="1"/>
  <c r="M2259" i="14"/>
  <c r="M2258" i="13"/>
  <c r="J2255" i="13" a="1"/>
  <c r="J2255" i="13" s="1"/>
  <c r="N2256" i="13"/>
  <c r="K2092" i="14" l="1"/>
  <c r="L2092" i="14" s="1"/>
  <c r="I2093" i="14" s="1"/>
  <c r="J2256" i="13" a="1"/>
  <c r="J2256" i="13" s="1"/>
  <c r="N2257" i="13"/>
  <c r="M2260" i="14"/>
  <c r="K2070" i="13"/>
  <c r="L2070" i="13" s="1"/>
  <c r="I2071" i="13" s="1"/>
  <c r="M2259" i="13"/>
  <c r="N2256" i="14"/>
  <c r="J2255" i="14" a="1"/>
  <c r="J2255" i="14" s="1"/>
  <c r="K2071" i="13" l="1"/>
  <c r="L2071" i="13" s="1"/>
  <c r="I2072" i="13" s="1"/>
  <c r="K2093" i="14"/>
  <c r="L2093" i="14" s="1"/>
  <c r="I2094" i="14" s="1"/>
  <c r="N2258" i="13"/>
  <c r="J2257" i="13" a="1"/>
  <c r="J2257" i="13" s="1"/>
  <c r="N2257" i="14"/>
  <c r="J2256" i="14" a="1"/>
  <c r="J2256" i="14" s="1"/>
  <c r="M2260" i="13"/>
  <c r="M2261" i="14"/>
  <c r="K2072" i="13" l="1"/>
  <c r="L2072" i="13" s="1"/>
  <c r="I2073" i="13" s="1"/>
  <c r="J2257" i="14" a="1"/>
  <c r="J2257" i="14" s="1"/>
  <c r="N2258" i="14"/>
  <c r="K2094" i="14"/>
  <c r="L2094" i="14" s="1"/>
  <c r="I2095" i="14" s="1"/>
  <c r="M2262" i="14"/>
  <c r="M2261" i="13"/>
  <c r="J2258" i="13" a="1"/>
  <c r="J2258" i="13" s="1"/>
  <c r="N2259" i="13"/>
  <c r="K2095" i="14" l="1"/>
  <c r="L2095" i="14" s="1"/>
  <c r="I2096" i="14" s="1"/>
  <c r="K2073" i="13"/>
  <c r="L2073" i="13" s="1"/>
  <c r="I2074" i="13" s="1"/>
  <c r="J2259" i="13" a="1"/>
  <c r="J2259" i="13" s="1"/>
  <c r="N2260" i="13"/>
  <c r="M2263" i="14"/>
  <c r="N2259" i="14"/>
  <c r="J2258" i="14" a="1"/>
  <c r="J2258" i="14" s="1"/>
  <c r="M2262" i="13"/>
  <c r="K2096" i="14" l="1"/>
  <c r="L2096" i="14" s="1"/>
  <c r="I2097" i="14" s="1"/>
  <c r="N2260" i="14"/>
  <c r="J2259" i="14" a="1"/>
  <c r="J2259" i="14" s="1"/>
  <c r="K2074" i="13"/>
  <c r="L2074" i="13" s="1"/>
  <c r="I2075" i="13" s="1"/>
  <c r="M2263" i="13"/>
  <c r="M2264" i="14"/>
  <c r="J2260" i="13" a="1"/>
  <c r="J2260" i="13" s="1"/>
  <c r="N2261" i="13"/>
  <c r="K2075" i="13" l="1"/>
  <c r="L2075" i="13" s="1"/>
  <c r="I2076" i="13" s="1"/>
  <c r="K2097" i="14"/>
  <c r="L2097" i="14" s="1"/>
  <c r="I2098" i="14" s="1"/>
  <c r="M2264" i="13"/>
  <c r="N2262" i="13"/>
  <c r="J2261" i="13" a="1"/>
  <c r="J2261" i="13" s="1"/>
  <c r="N2261" i="14"/>
  <c r="J2260" i="14" a="1"/>
  <c r="J2260" i="14" s="1"/>
  <c r="M2265" i="14"/>
  <c r="K2076" i="13" l="1"/>
  <c r="L2076" i="13" s="1"/>
  <c r="I2077" i="13" s="1"/>
  <c r="K2098" i="14"/>
  <c r="L2098" i="14" s="1"/>
  <c r="I2099" i="14" s="1"/>
  <c r="M2266" i="14"/>
  <c r="J2262" i="13" a="1"/>
  <c r="J2262" i="13" s="1"/>
  <c r="N2263" i="13"/>
  <c r="M2265" i="13"/>
  <c r="J2261" i="14" a="1"/>
  <c r="J2261" i="14" s="1"/>
  <c r="N2262" i="14"/>
  <c r="K2099" i="14" l="1"/>
  <c r="L2099" i="14" s="1"/>
  <c r="I2100" i="14" s="1"/>
  <c r="K2077" i="13"/>
  <c r="L2077" i="13" s="1"/>
  <c r="I2078" i="13" s="1"/>
  <c r="J2263" i="13" a="1"/>
  <c r="J2263" i="13" s="1"/>
  <c r="N2264" i="13"/>
  <c r="N2263" i="14"/>
  <c r="J2262" i="14" a="1"/>
  <c r="J2262" i="14" s="1"/>
  <c r="M2267" i="14"/>
  <c r="M2266" i="13"/>
  <c r="K2078" i="13" l="1"/>
  <c r="L2078" i="13" s="1"/>
  <c r="I2079" i="13" s="1"/>
  <c r="K2100" i="14"/>
  <c r="L2100" i="14" s="1"/>
  <c r="I2101" i="14" s="1"/>
  <c r="N2264" i="14"/>
  <c r="J2263" i="14" a="1"/>
  <c r="J2263" i="14" s="1"/>
  <c r="J2264" i="13" a="1"/>
  <c r="J2264" i="13" s="1"/>
  <c r="N2265" i="13"/>
  <c r="M2267" i="13"/>
  <c r="M2268" i="14"/>
  <c r="K2101" i="14" l="1"/>
  <c r="L2101" i="14" s="1"/>
  <c r="I2102" i="14" s="1"/>
  <c r="K2079" i="13"/>
  <c r="L2079" i="13" s="1"/>
  <c r="I2080" i="13" s="1"/>
  <c r="N2266" i="13"/>
  <c r="J2265" i="13" a="1"/>
  <c r="J2265" i="13" s="1"/>
  <c r="M2269" i="14"/>
  <c r="M2268" i="13"/>
  <c r="J2264" i="14" a="1"/>
  <c r="J2264" i="14" s="1"/>
  <c r="N2265" i="14"/>
  <c r="K2102" i="14" l="1"/>
  <c r="L2102" i="14" s="1"/>
  <c r="I2103" i="14" s="1"/>
  <c r="J2265" i="14" a="1"/>
  <c r="J2265" i="14" s="1"/>
  <c r="N2266" i="14"/>
  <c r="M2270" i="14"/>
  <c r="K2080" i="13"/>
  <c r="L2080" i="13" s="1"/>
  <c r="I2081" i="13" s="1"/>
  <c r="M2269" i="13"/>
  <c r="J2266" i="13" a="1"/>
  <c r="J2266" i="13" s="1"/>
  <c r="N2267" i="13"/>
  <c r="K2081" i="13" l="1"/>
  <c r="L2081" i="13" s="1"/>
  <c r="I2082" i="13" s="1"/>
  <c r="K2103" i="14"/>
  <c r="L2103" i="14" s="1"/>
  <c r="I2104" i="14" s="1"/>
  <c r="N2267" i="14"/>
  <c r="J2266" i="14" a="1"/>
  <c r="J2266" i="14" s="1"/>
  <c r="J2267" i="13" a="1"/>
  <c r="J2267" i="13" s="1"/>
  <c r="N2268" i="13"/>
  <c r="M2271" i="14"/>
  <c r="M2270" i="13"/>
  <c r="K2082" i="13" l="1"/>
  <c r="L2082" i="13" s="1"/>
  <c r="I2083" i="13" s="1"/>
  <c r="M2271" i="13"/>
  <c r="J2268" i="13" a="1"/>
  <c r="J2268" i="13" s="1"/>
  <c r="N2269" i="13"/>
  <c r="K2104" i="14"/>
  <c r="L2104" i="14" s="1"/>
  <c r="I2105" i="14" s="1"/>
  <c r="M2272" i="14"/>
  <c r="N2268" i="14"/>
  <c r="J2267" i="14" a="1"/>
  <c r="J2267" i="14" s="1"/>
  <c r="K2105" i="14" l="1"/>
  <c r="L2105" i="14" s="1"/>
  <c r="I2106" i="14" s="1"/>
  <c r="K2083" i="13"/>
  <c r="L2083" i="13" s="1"/>
  <c r="I2084" i="13" s="1"/>
  <c r="N2270" i="13"/>
  <c r="J2269" i="13" a="1"/>
  <c r="J2269" i="13" s="1"/>
  <c r="M2273" i="14"/>
  <c r="J2268" i="14" a="1"/>
  <c r="J2268" i="14" s="1"/>
  <c r="N2269" i="14"/>
  <c r="M2272" i="13"/>
  <c r="K2084" i="13" l="1"/>
  <c r="L2084" i="13" s="1"/>
  <c r="I2085" i="13" s="1"/>
  <c r="K2106" i="14"/>
  <c r="L2106" i="14" s="1"/>
  <c r="I2107" i="14" s="1"/>
  <c r="M2273" i="13"/>
  <c r="M2274" i="14"/>
  <c r="J2269" i="14" a="1"/>
  <c r="J2269" i="14" s="1"/>
  <c r="N2270" i="14"/>
  <c r="J2270" i="13" a="1"/>
  <c r="J2270" i="13" s="1"/>
  <c r="N2271" i="13"/>
  <c r="K2085" i="13" l="1"/>
  <c r="L2085" i="13" s="1"/>
  <c r="I2086" i="13" s="1"/>
  <c r="J2271" i="13" a="1"/>
  <c r="J2271" i="13" s="1"/>
  <c r="N2272" i="13"/>
  <c r="M2275" i="14"/>
  <c r="K2107" i="14"/>
  <c r="L2107" i="14" s="1"/>
  <c r="I2108" i="14" s="1"/>
  <c r="N2271" i="14"/>
  <c r="J2270" i="14" a="1"/>
  <c r="J2270" i="14" s="1"/>
  <c r="M2274" i="13"/>
  <c r="K2086" i="13" l="1"/>
  <c r="L2086" i="13" s="1"/>
  <c r="I2087" i="13" s="1"/>
  <c r="M2275" i="13"/>
  <c r="K2108" i="14"/>
  <c r="L2108" i="14" s="1"/>
  <c r="I2109" i="14" s="1"/>
  <c r="J2272" i="13" a="1"/>
  <c r="J2272" i="13" s="1"/>
  <c r="N2273" i="13"/>
  <c r="N2272" i="14"/>
  <c r="J2271" i="14" a="1"/>
  <c r="J2271" i="14" s="1"/>
  <c r="M2276" i="14"/>
  <c r="K2109" i="14" l="1"/>
  <c r="L2109" i="14" s="1"/>
  <c r="I2110" i="14" s="1"/>
  <c r="K2087" i="13"/>
  <c r="L2087" i="13" s="1"/>
  <c r="I2088" i="13" s="1"/>
  <c r="N2274" i="13"/>
  <c r="J2273" i="13" a="1"/>
  <c r="J2273" i="13" s="1"/>
  <c r="M2276" i="13"/>
  <c r="M2277" i="14"/>
  <c r="J2272" i="14" a="1"/>
  <c r="J2272" i="14" s="1"/>
  <c r="N2273" i="14"/>
  <c r="K2088" i="13" l="1"/>
  <c r="L2088" i="13" s="1"/>
  <c r="I2089" i="13" s="1"/>
  <c r="J2273" i="14" a="1"/>
  <c r="J2273" i="14" s="1"/>
  <c r="N2274" i="14"/>
  <c r="M2277" i="13"/>
  <c r="M2278" i="14"/>
  <c r="J2274" i="13" a="1"/>
  <c r="J2274" i="13" s="1"/>
  <c r="N2275" i="13"/>
  <c r="K2110" i="14"/>
  <c r="L2110" i="14" s="1"/>
  <c r="I2111" i="14" s="1"/>
  <c r="K2111" i="14" l="1"/>
  <c r="L2111" i="14" s="1"/>
  <c r="I2112" i="14" s="1"/>
  <c r="K2089" i="13"/>
  <c r="L2089" i="13" s="1"/>
  <c r="I2090" i="13" s="1"/>
  <c r="M2279" i="14"/>
  <c r="N2275" i="14"/>
  <c r="J2274" i="14" a="1"/>
  <c r="J2274" i="14" s="1"/>
  <c r="J2275" i="13" a="1"/>
  <c r="J2275" i="13" s="1"/>
  <c r="N2276" i="13"/>
  <c r="M2278" i="13"/>
  <c r="K2090" i="13" l="1"/>
  <c r="L2090" i="13" s="1"/>
  <c r="I2091" i="13" s="1"/>
  <c r="K2112" i="14"/>
  <c r="L2112" i="14" s="1"/>
  <c r="I2113" i="14" s="1"/>
  <c r="M2279" i="13"/>
  <c r="N2276" i="14"/>
  <c r="J2275" i="14" a="1"/>
  <c r="J2275" i="14" s="1"/>
  <c r="J2276" i="13" a="1"/>
  <c r="J2276" i="13" s="1"/>
  <c r="N2277" i="13"/>
  <c r="M2280" i="14"/>
  <c r="K2113" i="14" l="1"/>
  <c r="L2113" i="14" s="1"/>
  <c r="I2114" i="14" s="1"/>
  <c r="K2091" i="13"/>
  <c r="L2091" i="13" s="1"/>
  <c r="I2092" i="13" s="1"/>
  <c r="N2278" i="13"/>
  <c r="J2277" i="13" a="1"/>
  <c r="J2277" i="13" s="1"/>
  <c r="M2281" i="14"/>
  <c r="J2276" i="14" a="1"/>
  <c r="J2276" i="14" s="1"/>
  <c r="N2277" i="14"/>
  <c r="M2280" i="13"/>
  <c r="K2092" i="13" l="1"/>
  <c r="L2092" i="13" s="1"/>
  <c r="I2093" i="13" s="1"/>
  <c r="K2114" i="14"/>
  <c r="L2114" i="14" s="1"/>
  <c r="I2115" i="14" s="1"/>
  <c r="M2281" i="13"/>
  <c r="M2282" i="14"/>
  <c r="J2277" i="14" a="1"/>
  <c r="J2277" i="14" s="1"/>
  <c r="N2278" i="14"/>
  <c r="J2278" i="13" a="1"/>
  <c r="J2278" i="13" s="1"/>
  <c r="N2279" i="13"/>
  <c r="K2115" i="14" l="1"/>
  <c r="L2115" i="14" s="1"/>
  <c r="I2116" i="14" s="1"/>
  <c r="K2093" i="13"/>
  <c r="L2093" i="13" s="1"/>
  <c r="I2094" i="13" s="1"/>
  <c r="N2279" i="14"/>
  <c r="J2278" i="14" a="1"/>
  <c r="J2278" i="14" s="1"/>
  <c r="J2279" i="13" a="1"/>
  <c r="J2279" i="13" s="1"/>
  <c r="N2280" i="13"/>
  <c r="M2283" i="14"/>
  <c r="M2282" i="13"/>
  <c r="K2116" i="14" l="1"/>
  <c r="L2116" i="14" s="1"/>
  <c r="I2117" i="14" s="1"/>
  <c r="J2280" i="13" a="1"/>
  <c r="J2280" i="13" s="1"/>
  <c r="N2281" i="13"/>
  <c r="M2283" i="13"/>
  <c r="K2094" i="13"/>
  <c r="L2094" i="13" s="1"/>
  <c r="I2095" i="13" s="1"/>
  <c r="M2284" i="14"/>
  <c r="N2280" i="14"/>
  <c r="J2279" i="14" a="1"/>
  <c r="J2279" i="14" s="1"/>
  <c r="K2095" i="13" l="1"/>
  <c r="L2095" i="13" s="1"/>
  <c r="I2096" i="13" s="1"/>
  <c r="K2117" i="14"/>
  <c r="L2117" i="14" s="1"/>
  <c r="I2118" i="14" s="1"/>
  <c r="N2282" i="13"/>
  <c r="J2281" i="13" a="1"/>
  <c r="J2281" i="13" s="1"/>
  <c r="J2280" i="14" a="1"/>
  <c r="J2280" i="14" s="1"/>
  <c r="N2281" i="14"/>
  <c r="M2285" i="14"/>
  <c r="M2284" i="13"/>
  <c r="K2096" i="13" l="1"/>
  <c r="L2096" i="13" s="1"/>
  <c r="I2097" i="13" s="1"/>
  <c r="M2285" i="13"/>
  <c r="J2281" i="14" a="1"/>
  <c r="J2281" i="14" s="1"/>
  <c r="N2282" i="14"/>
  <c r="K2118" i="14"/>
  <c r="L2118" i="14" s="1"/>
  <c r="I2119" i="14" s="1"/>
  <c r="M2286" i="14"/>
  <c r="J2282" i="13" a="1"/>
  <c r="J2282" i="13" s="1"/>
  <c r="N2283" i="13"/>
  <c r="K2097" i="13" l="1"/>
  <c r="L2097" i="13" s="1"/>
  <c r="I2098" i="13" s="1"/>
  <c r="J2283" i="13" a="1"/>
  <c r="J2283" i="13" s="1"/>
  <c r="N2284" i="13"/>
  <c r="M2286" i="13"/>
  <c r="K2119" i="14"/>
  <c r="L2119" i="14" s="1"/>
  <c r="I2120" i="14" s="1"/>
  <c r="M2287" i="14"/>
  <c r="J2282" i="14" a="1"/>
  <c r="J2282" i="14" s="1"/>
  <c r="N2283" i="14"/>
  <c r="K2120" i="14" l="1"/>
  <c r="L2120" i="14" s="1"/>
  <c r="I2121" i="14" s="1"/>
  <c r="K2098" i="13"/>
  <c r="L2098" i="13" s="1"/>
  <c r="I2099" i="13" s="1"/>
  <c r="J2284" i="13" a="1"/>
  <c r="J2284" i="13" s="1"/>
  <c r="N2285" i="13"/>
  <c r="N2284" i="14"/>
  <c r="J2283" i="14" a="1"/>
  <c r="J2283" i="14" s="1"/>
  <c r="M2288" i="14"/>
  <c r="M2287" i="13"/>
  <c r="K2121" i="14" l="1"/>
  <c r="L2121" i="14" s="1"/>
  <c r="I2122" i="14" s="1"/>
  <c r="K2099" i="13"/>
  <c r="L2099" i="13" s="1"/>
  <c r="I2100" i="13" s="1"/>
  <c r="M2288" i="13"/>
  <c r="J2284" i="14" a="1"/>
  <c r="J2284" i="14" s="1"/>
  <c r="N2285" i="14"/>
  <c r="N2286" i="13"/>
  <c r="J2285" i="13" a="1"/>
  <c r="J2285" i="13" s="1"/>
  <c r="M2289" i="14"/>
  <c r="K2100" i="13" l="1"/>
  <c r="L2100" i="13" s="1"/>
  <c r="I2101" i="13" s="1"/>
  <c r="K2122" i="14"/>
  <c r="L2122" i="14" s="1"/>
  <c r="I2123" i="14" s="1"/>
  <c r="J2285" i="14" a="1"/>
  <c r="J2285" i="14" s="1"/>
  <c r="N2286" i="14"/>
  <c r="M2290" i="14"/>
  <c r="M2289" i="13"/>
  <c r="J2286" i="13" a="1"/>
  <c r="J2286" i="13" s="1"/>
  <c r="N2287" i="13"/>
  <c r="K2123" i="14" l="1"/>
  <c r="L2123" i="14" s="1"/>
  <c r="I2124" i="14" s="1"/>
  <c r="K2101" i="13"/>
  <c r="L2101" i="13" s="1"/>
  <c r="I2102" i="13" s="1"/>
  <c r="M2290" i="13"/>
  <c r="J2287" i="13" a="1"/>
  <c r="J2287" i="13" s="1"/>
  <c r="N2288" i="13"/>
  <c r="M2291" i="14"/>
  <c r="N2287" i="14"/>
  <c r="J2286" i="14" a="1"/>
  <c r="J2286" i="14" s="1"/>
  <c r="K2102" i="13" l="1"/>
  <c r="L2102" i="13" s="1"/>
  <c r="I2103" i="13" s="1"/>
  <c r="K2124" i="14"/>
  <c r="L2124" i="14" s="1"/>
  <c r="I2125" i="14" s="1"/>
  <c r="J2288" i="13" a="1"/>
  <c r="J2288" i="13" s="1"/>
  <c r="N2289" i="13"/>
  <c r="N2288" i="14"/>
  <c r="J2287" i="14" a="1"/>
  <c r="J2287" i="14" s="1"/>
  <c r="M2292" i="14"/>
  <c r="M2291" i="13"/>
  <c r="K2103" i="13" l="1"/>
  <c r="L2103" i="13" s="1"/>
  <c r="I2104" i="13" s="1"/>
  <c r="J2288" i="14" a="1"/>
  <c r="J2288" i="14" s="1"/>
  <c r="N2289" i="14"/>
  <c r="K2125" i="14"/>
  <c r="L2125" i="14" s="1"/>
  <c r="I2126" i="14" s="1"/>
  <c r="N2290" i="13"/>
  <c r="J2289" i="13" a="1"/>
  <c r="J2289" i="13" s="1"/>
  <c r="M2292" i="13"/>
  <c r="M2293" i="14"/>
  <c r="K2126" i="14" l="1"/>
  <c r="L2126" i="14" s="1"/>
  <c r="I2127" i="14" s="1"/>
  <c r="K2104" i="13"/>
  <c r="L2104" i="13" s="1"/>
  <c r="I2105" i="13" s="1"/>
  <c r="J2289" i="14" a="1"/>
  <c r="J2289" i="14" s="1"/>
  <c r="N2290" i="14"/>
  <c r="M2294" i="14"/>
  <c r="J2290" i="13" a="1"/>
  <c r="J2290" i="13" s="1"/>
  <c r="N2291" i="13"/>
  <c r="M2293" i="13"/>
  <c r="K2127" i="14" l="1"/>
  <c r="L2127" i="14" s="1"/>
  <c r="I2128" i="14" s="1"/>
  <c r="J2291" i="13" a="1"/>
  <c r="J2291" i="13" s="1"/>
  <c r="N2292" i="13"/>
  <c r="M2295" i="14"/>
  <c r="M2294" i="13"/>
  <c r="K2105" i="13"/>
  <c r="L2105" i="13" s="1"/>
  <c r="I2106" i="13" s="1"/>
  <c r="J2290" i="14" a="1"/>
  <c r="J2290" i="14" s="1"/>
  <c r="N2291" i="14"/>
  <c r="K2106" i="13" l="1"/>
  <c r="L2106" i="13" s="1"/>
  <c r="I2107" i="13" s="1"/>
  <c r="K2128" i="14"/>
  <c r="L2128" i="14" s="1"/>
  <c r="I2129" i="14" s="1"/>
  <c r="J2292" i="13" a="1"/>
  <c r="J2292" i="13" s="1"/>
  <c r="N2293" i="13"/>
  <c r="N2292" i="14"/>
  <c r="J2291" i="14" a="1"/>
  <c r="J2291" i="14" s="1"/>
  <c r="M2295" i="13"/>
  <c r="M2296" i="14"/>
  <c r="K2107" i="13" l="1"/>
  <c r="L2107" i="13" s="1"/>
  <c r="I2108" i="13" s="1"/>
  <c r="M2297" i="14"/>
  <c r="K2129" i="14"/>
  <c r="L2129" i="14" s="1"/>
  <c r="I2130" i="14" s="1"/>
  <c r="J2292" i="14" a="1"/>
  <c r="J2292" i="14" s="1"/>
  <c r="N2293" i="14"/>
  <c r="N2294" i="13"/>
  <c r="J2293" i="13" a="1"/>
  <c r="J2293" i="13" s="1"/>
  <c r="M2296" i="13"/>
  <c r="K2130" i="14" l="1"/>
  <c r="L2130" i="14" s="1"/>
  <c r="I2131" i="14" s="1"/>
  <c r="K2108" i="13"/>
  <c r="L2108" i="13" s="1"/>
  <c r="I2109" i="13" s="1"/>
  <c r="J2293" i="14" a="1"/>
  <c r="J2293" i="14" s="1"/>
  <c r="N2294" i="14"/>
  <c r="M2297" i="13"/>
  <c r="M2298" i="14"/>
  <c r="J2294" i="13" a="1"/>
  <c r="J2294" i="13" s="1"/>
  <c r="N2295" i="13"/>
  <c r="K2109" i="13" l="1"/>
  <c r="L2109" i="13" s="1"/>
  <c r="I2110" i="13" s="1"/>
  <c r="M2299" i="14"/>
  <c r="J2295" i="13" a="1"/>
  <c r="J2295" i="13" s="1"/>
  <c r="N2296" i="13"/>
  <c r="M2298" i="13"/>
  <c r="N2295" i="14"/>
  <c r="J2294" i="14" a="1"/>
  <c r="J2294" i="14" s="1"/>
  <c r="K2131" i="14"/>
  <c r="L2131" i="14" s="1"/>
  <c r="I2132" i="14" s="1"/>
  <c r="K2132" i="14" l="1"/>
  <c r="L2132" i="14" s="1"/>
  <c r="I2133" i="14" s="1"/>
  <c r="K2110" i="13"/>
  <c r="L2110" i="13" s="1"/>
  <c r="I2111" i="13" s="1"/>
  <c r="J2296" i="13" a="1"/>
  <c r="J2296" i="13" s="1"/>
  <c r="N2297" i="13"/>
  <c r="N2296" i="14"/>
  <c r="J2295" i="14" a="1"/>
  <c r="J2295" i="14" s="1"/>
  <c r="M2299" i="13"/>
  <c r="M2300" i="14"/>
  <c r="K2111" i="13" l="1"/>
  <c r="L2111" i="13" s="1"/>
  <c r="I2112" i="13" s="1"/>
  <c r="K2133" i="14"/>
  <c r="L2133" i="14" s="1"/>
  <c r="I2134" i="14" s="1"/>
  <c r="M2300" i="13"/>
  <c r="N2298" i="13"/>
  <c r="J2297" i="13" a="1"/>
  <c r="J2297" i="13" s="1"/>
  <c r="M2301" i="14"/>
  <c r="J2296" i="14" a="1"/>
  <c r="J2296" i="14" s="1"/>
  <c r="N2297" i="14"/>
  <c r="J2297" i="14" l="1" a="1"/>
  <c r="J2297" i="14" s="1"/>
  <c r="N2298" i="14"/>
  <c r="K2134" i="14"/>
  <c r="L2134" i="14" s="1"/>
  <c r="I2135" i="14" s="1"/>
  <c r="J2298" i="13" a="1"/>
  <c r="J2298" i="13" s="1"/>
  <c r="N2299" i="13"/>
  <c r="M2301" i="13"/>
  <c r="M2302" i="14"/>
  <c r="K2112" i="13"/>
  <c r="L2112" i="13" s="1"/>
  <c r="I2113" i="13" s="1"/>
  <c r="K2135" i="14" l="1"/>
  <c r="L2135" i="14" s="1"/>
  <c r="I2136" i="14" s="1"/>
  <c r="M2302" i="13"/>
  <c r="K2113" i="13"/>
  <c r="L2113" i="13" s="1"/>
  <c r="I2114" i="13" s="1"/>
  <c r="M2303" i="14"/>
  <c r="J2299" i="13" a="1"/>
  <c r="J2299" i="13" s="1"/>
  <c r="N2300" i="13"/>
  <c r="J2298" i="14" a="1"/>
  <c r="J2298" i="14" s="1"/>
  <c r="N2299" i="14"/>
  <c r="K2114" i="13" l="1"/>
  <c r="L2114" i="13" s="1"/>
  <c r="I2115" i="13" s="1"/>
  <c r="K2136" i="14"/>
  <c r="L2136" i="14" s="1"/>
  <c r="I2137" i="14" s="1"/>
  <c r="N2300" i="14"/>
  <c r="J2299" i="14" a="1"/>
  <c r="J2299" i="14" s="1"/>
  <c r="M2304" i="14"/>
  <c r="M2303" i="13"/>
  <c r="J2300" i="13" a="1"/>
  <c r="J2300" i="13" s="1"/>
  <c r="N2301" i="13"/>
  <c r="K2115" i="13" l="1"/>
  <c r="L2115" i="13" s="1"/>
  <c r="I2116" i="13" s="1"/>
  <c r="N2302" i="13"/>
  <c r="J2301" i="13" a="1"/>
  <c r="J2301" i="13" s="1"/>
  <c r="K2137" i="14"/>
  <c r="L2137" i="14" s="1"/>
  <c r="I2138" i="14" s="1"/>
  <c r="M2305" i="14"/>
  <c r="M2304" i="13"/>
  <c r="J2300" i="14" a="1"/>
  <c r="J2300" i="14" s="1"/>
  <c r="N2301" i="14"/>
  <c r="K2116" i="13" l="1"/>
  <c r="L2116" i="13" s="1"/>
  <c r="I2117" i="13" s="1"/>
  <c r="J2301" i="14" a="1"/>
  <c r="J2301" i="14" s="1"/>
  <c r="N2302" i="14"/>
  <c r="M2306" i="14"/>
  <c r="J2302" i="13" a="1"/>
  <c r="J2302" i="13" s="1"/>
  <c r="N2303" i="13"/>
  <c r="M2305" i="13"/>
  <c r="K2138" i="14"/>
  <c r="L2138" i="14" s="1"/>
  <c r="I2139" i="14" s="1"/>
  <c r="K2139" i="14" l="1"/>
  <c r="L2139" i="14" s="1"/>
  <c r="I2140" i="14" s="1"/>
  <c r="K2117" i="13"/>
  <c r="L2117" i="13" s="1"/>
  <c r="I2118" i="13" s="1"/>
  <c r="J2303" i="13" a="1"/>
  <c r="J2303" i="13" s="1"/>
  <c r="N2304" i="13"/>
  <c r="N2303" i="14"/>
  <c r="J2302" i="14" a="1"/>
  <c r="J2302" i="14" s="1"/>
  <c r="M2307" i="14"/>
  <c r="M2306" i="13"/>
  <c r="K2140" i="14" l="1"/>
  <c r="L2140" i="14" s="1"/>
  <c r="I2141" i="14" s="1"/>
  <c r="M2307" i="13"/>
  <c r="N2304" i="14"/>
  <c r="J2303" i="14" a="1"/>
  <c r="J2303" i="14" s="1"/>
  <c r="K2118" i="13"/>
  <c r="L2118" i="13" s="1"/>
  <c r="I2119" i="13" s="1"/>
  <c r="J2304" i="13" a="1"/>
  <c r="J2304" i="13" s="1"/>
  <c r="N2305" i="13"/>
  <c r="M2308" i="14"/>
  <c r="K2141" i="14" l="1"/>
  <c r="L2141" i="14" s="1"/>
  <c r="I2142" i="14" s="1"/>
  <c r="M2309" i="14"/>
  <c r="K2119" i="13"/>
  <c r="L2119" i="13" s="1"/>
  <c r="I2120" i="13" s="1"/>
  <c r="M2308" i="13"/>
  <c r="N2306" i="13"/>
  <c r="J2305" i="13" a="1"/>
  <c r="J2305" i="13" s="1"/>
  <c r="J2304" i="14" a="1"/>
  <c r="J2304" i="14" s="1"/>
  <c r="N2305" i="14"/>
  <c r="K2120" i="13" l="1"/>
  <c r="L2120" i="13" s="1"/>
  <c r="I2121" i="13" s="1"/>
  <c r="K2142" i="14"/>
  <c r="L2142" i="14" s="1"/>
  <c r="I2143" i="14" s="1"/>
  <c r="J2305" i="14" a="1"/>
  <c r="J2305" i="14" s="1"/>
  <c r="N2306" i="14"/>
  <c r="M2309" i="13"/>
  <c r="M2310" i="14"/>
  <c r="J2306" i="13" a="1"/>
  <c r="J2306" i="13" s="1"/>
  <c r="N2307" i="13"/>
  <c r="K2121" i="13" l="1"/>
  <c r="L2121" i="13" s="1"/>
  <c r="I2122" i="13" s="1"/>
  <c r="K2143" i="14"/>
  <c r="L2143" i="14" s="1"/>
  <c r="I2144" i="14" s="1"/>
  <c r="J2307" i="13" a="1"/>
  <c r="J2307" i="13" s="1"/>
  <c r="N2308" i="13"/>
  <c r="J2306" i="14" a="1"/>
  <c r="J2306" i="14" s="1"/>
  <c r="N2307" i="14"/>
  <c r="M2310" i="13"/>
  <c r="M2311" i="14"/>
  <c r="K2144" i="14" l="1"/>
  <c r="L2144" i="14" s="1"/>
  <c r="I2145" i="14" s="1"/>
  <c r="K2122" i="13"/>
  <c r="L2122" i="13" s="1"/>
  <c r="I2123" i="13" s="1"/>
  <c r="M2312" i="14"/>
  <c r="N2308" i="14"/>
  <c r="J2307" i="14" a="1"/>
  <c r="J2307" i="14" s="1"/>
  <c r="J2308" i="13" a="1"/>
  <c r="J2308" i="13" s="1"/>
  <c r="N2309" i="13"/>
  <c r="M2311" i="13"/>
  <c r="K2123" i="13" l="1"/>
  <c r="L2123" i="13" s="1"/>
  <c r="I2124" i="13" s="1"/>
  <c r="K2145" i="14"/>
  <c r="L2145" i="14" s="1"/>
  <c r="I2146" i="14" s="1"/>
  <c r="M2312" i="13"/>
  <c r="J2308" i="14" a="1"/>
  <c r="J2308" i="14" s="1"/>
  <c r="N2309" i="14"/>
  <c r="N2310" i="13"/>
  <c r="J2309" i="13" a="1"/>
  <c r="J2309" i="13" s="1"/>
  <c r="M2313" i="14"/>
  <c r="K2146" i="14" l="1"/>
  <c r="L2146" i="14" s="1"/>
  <c r="I2147" i="14" s="1"/>
  <c r="K2124" i="13"/>
  <c r="L2124" i="13" s="1"/>
  <c r="I2125" i="13" s="1"/>
  <c r="J2309" i="14" a="1"/>
  <c r="J2309" i="14" s="1"/>
  <c r="N2310" i="14"/>
  <c r="M2314" i="14"/>
  <c r="M2313" i="13"/>
  <c r="J2310" i="13" a="1"/>
  <c r="J2310" i="13" s="1"/>
  <c r="N2311" i="13"/>
  <c r="K2125" i="13" l="1"/>
  <c r="L2125" i="13" s="1"/>
  <c r="I2126" i="13" s="1"/>
  <c r="K2147" i="14"/>
  <c r="L2147" i="14" s="1"/>
  <c r="I2148" i="14" s="1"/>
  <c r="J2311" i="13" a="1"/>
  <c r="J2311" i="13" s="1"/>
  <c r="N2312" i="13"/>
  <c r="M2315" i="14"/>
  <c r="N2311" i="14"/>
  <c r="J2310" i="14" a="1"/>
  <c r="J2310" i="14" s="1"/>
  <c r="M2314" i="13"/>
  <c r="K2126" i="13" l="1"/>
  <c r="L2126" i="13" s="1"/>
  <c r="I2127" i="13" s="1"/>
  <c r="K2148" i="14"/>
  <c r="L2148" i="14" s="1"/>
  <c r="I2149" i="14" s="1"/>
  <c r="N2312" i="14"/>
  <c r="J2311" i="14" a="1"/>
  <c r="J2311" i="14" s="1"/>
  <c r="M2315" i="13"/>
  <c r="M2316" i="14"/>
  <c r="J2312" i="13" a="1"/>
  <c r="J2312" i="13" s="1"/>
  <c r="N2313" i="13"/>
  <c r="K2149" i="14" l="1"/>
  <c r="L2149" i="14" s="1"/>
  <c r="I2150" i="14" s="1"/>
  <c r="K2127" i="13"/>
  <c r="L2127" i="13" s="1"/>
  <c r="I2128" i="13" s="1"/>
  <c r="M2316" i="13"/>
  <c r="N2314" i="13"/>
  <c r="J2313" i="13" a="1"/>
  <c r="J2313" i="13" s="1"/>
  <c r="M2317" i="14"/>
  <c r="J2312" i="14" a="1"/>
  <c r="J2312" i="14" s="1"/>
  <c r="N2313" i="14"/>
  <c r="K2128" i="13" l="1"/>
  <c r="L2128" i="13" s="1"/>
  <c r="I2129" i="13" s="1"/>
  <c r="K2150" i="14"/>
  <c r="L2150" i="14" s="1"/>
  <c r="I2151" i="14" s="1"/>
  <c r="J2313" i="14" a="1"/>
  <c r="J2313" i="14" s="1"/>
  <c r="N2314" i="14"/>
  <c r="M2317" i="13"/>
  <c r="J2314" i="13" a="1"/>
  <c r="J2314" i="13" s="1"/>
  <c r="N2315" i="13"/>
  <c r="M2318" i="14"/>
  <c r="K2129" i="13" l="1"/>
  <c r="L2129" i="13" s="1"/>
  <c r="I2130" i="13" s="1"/>
  <c r="M2319" i="14"/>
  <c r="J2314" i="14" a="1"/>
  <c r="J2314" i="14" s="1"/>
  <c r="N2315" i="14"/>
  <c r="M2318" i="13"/>
  <c r="K2151" i="14"/>
  <c r="L2151" i="14" s="1"/>
  <c r="I2152" i="14" s="1"/>
  <c r="J2315" i="13" a="1"/>
  <c r="J2315" i="13" s="1"/>
  <c r="N2316" i="13"/>
  <c r="K2152" i="14" l="1"/>
  <c r="L2152" i="14" s="1"/>
  <c r="I2153" i="14" s="1"/>
  <c r="K2130" i="13"/>
  <c r="L2130" i="13" s="1"/>
  <c r="I2131" i="13" s="1"/>
  <c r="J2316" i="13" a="1"/>
  <c r="J2316" i="13" s="1"/>
  <c r="N2317" i="13"/>
  <c r="M2319" i="13"/>
  <c r="M2320" i="14"/>
  <c r="N2316" i="14"/>
  <c r="J2315" i="14" a="1"/>
  <c r="J2315" i="14" s="1"/>
  <c r="M2321" i="14" l="1"/>
  <c r="M2320" i="13"/>
  <c r="K2131" i="13"/>
  <c r="L2131" i="13" s="1"/>
  <c r="I2132" i="13" s="1"/>
  <c r="J2316" i="14" a="1"/>
  <c r="J2316" i="14" s="1"/>
  <c r="N2317" i="14"/>
  <c r="N2318" i="13"/>
  <c r="J2317" i="13" a="1"/>
  <c r="J2317" i="13" s="1"/>
  <c r="K2153" i="14"/>
  <c r="L2153" i="14" s="1"/>
  <c r="I2154" i="14" s="1"/>
  <c r="K2154" i="14" l="1"/>
  <c r="L2154" i="14" s="1"/>
  <c r="I2155" i="14" s="1"/>
  <c r="K2132" i="13"/>
  <c r="L2132" i="13" s="1"/>
  <c r="I2133" i="13" s="1"/>
  <c r="J2317" i="14" a="1"/>
  <c r="J2317" i="14" s="1"/>
  <c r="N2318" i="14"/>
  <c r="M2321" i="13"/>
  <c r="J2318" i="13" a="1"/>
  <c r="J2318" i="13" s="1"/>
  <c r="N2319" i="13"/>
  <c r="M2322" i="14"/>
  <c r="K2155" i="14" l="1"/>
  <c r="L2155" i="14" s="1"/>
  <c r="I2156" i="14" s="1"/>
  <c r="M2323" i="14"/>
  <c r="M2322" i="13"/>
  <c r="K2133" i="13"/>
  <c r="L2133" i="13" s="1"/>
  <c r="I2134" i="13" s="1"/>
  <c r="J2319" i="13" a="1"/>
  <c r="J2319" i="13" s="1"/>
  <c r="N2320" i="13"/>
  <c r="N2319" i="14"/>
  <c r="J2318" i="14" a="1"/>
  <c r="J2318" i="14" s="1"/>
  <c r="K2134" i="13" l="1"/>
  <c r="L2134" i="13" s="1"/>
  <c r="I2135" i="13" s="1"/>
  <c r="K2156" i="14"/>
  <c r="L2156" i="14" s="1"/>
  <c r="I2157" i="14" s="1"/>
  <c r="J2320" i="13" a="1"/>
  <c r="J2320" i="13" s="1"/>
  <c r="N2321" i="13"/>
  <c r="N2320" i="14"/>
  <c r="J2319" i="14" a="1"/>
  <c r="J2319" i="14" s="1"/>
  <c r="M2324" i="14"/>
  <c r="M2323" i="13"/>
  <c r="K2157" i="14" l="1"/>
  <c r="L2157" i="14" s="1"/>
  <c r="I2158" i="14" s="1"/>
  <c r="K2135" i="13"/>
  <c r="L2135" i="13" s="1"/>
  <c r="I2136" i="13" s="1"/>
  <c r="N2322" i="13"/>
  <c r="J2321" i="13" a="1"/>
  <c r="J2321" i="13" s="1"/>
  <c r="M2325" i="14"/>
  <c r="M2324" i="13"/>
  <c r="J2320" i="14" a="1"/>
  <c r="J2320" i="14" s="1"/>
  <c r="N2321" i="14"/>
  <c r="K2136" i="13" l="1"/>
  <c r="L2136" i="13" s="1"/>
  <c r="I2137" i="13" s="1"/>
  <c r="K2158" i="14"/>
  <c r="L2158" i="14" s="1"/>
  <c r="I2159" i="14" s="1"/>
  <c r="J2321" i="14" a="1"/>
  <c r="J2321" i="14" s="1"/>
  <c r="N2322" i="14"/>
  <c r="M2325" i="13"/>
  <c r="M2326" i="14"/>
  <c r="J2322" i="13" a="1"/>
  <c r="J2322" i="13" s="1"/>
  <c r="N2323" i="13"/>
  <c r="K2137" i="13" l="1"/>
  <c r="L2137" i="13" s="1"/>
  <c r="I2138" i="13" s="1"/>
  <c r="K2159" i="14"/>
  <c r="L2159" i="14" s="1"/>
  <c r="I2160" i="14" s="1"/>
  <c r="J2322" i="14" a="1"/>
  <c r="J2322" i="14" s="1"/>
  <c r="N2323" i="14"/>
  <c r="J2323" i="13" a="1"/>
  <c r="J2323" i="13" s="1"/>
  <c r="N2324" i="13"/>
  <c r="M2327" i="14"/>
  <c r="M2326" i="13"/>
  <c r="K2160" i="14" l="1"/>
  <c r="L2160" i="14" s="1"/>
  <c r="I2161" i="14" s="1"/>
  <c r="K2138" i="13"/>
  <c r="L2138" i="13" s="1"/>
  <c r="I2139" i="13" s="1"/>
  <c r="J2324" i="13" a="1"/>
  <c r="J2324" i="13" s="1"/>
  <c r="N2325" i="13"/>
  <c r="M2327" i="13"/>
  <c r="N2324" i="14"/>
  <c r="J2323" i="14" a="1"/>
  <c r="J2323" i="14" s="1"/>
  <c r="M2328" i="14"/>
  <c r="K2139" i="13" l="1"/>
  <c r="L2139" i="13" s="1"/>
  <c r="I2140" i="13" s="1"/>
  <c r="K2161" i="14"/>
  <c r="L2161" i="14" s="1"/>
  <c r="I2162" i="14" s="1"/>
  <c r="N2326" i="13"/>
  <c r="J2325" i="13" a="1"/>
  <c r="J2325" i="13" s="1"/>
  <c r="J2324" i="14" a="1"/>
  <c r="J2324" i="14" s="1"/>
  <c r="N2325" i="14"/>
  <c r="M2329" i="14"/>
  <c r="M2328" i="13"/>
  <c r="K2140" i="13" l="1"/>
  <c r="L2140" i="13" s="1"/>
  <c r="I2141" i="13" s="1"/>
  <c r="M2329" i="13"/>
  <c r="J2325" i="14" a="1"/>
  <c r="J2325" i="14" s="1"/>
  <c r="N2326" i="14"/>
  <c r="K2162" i="14"/>
  <c r="L2162" i="14" s="1"/>
  <c r="I2163" i="14" s="1"/>
  <c r="M2330" i="14"/>
  <c r="J2326" i="13" a="1"/>
  <c r="J2326" i="13" s="1"/>
  <c r="N2327" i="13"/>
  <c r="K2141" i="13" l="1"/>
  <c r="L2141" i="13" s="1"/>
  <c r="I2142" i="13" s="1"/>
  <c r="M2331" i="14"/>
  <c r="J2327" i="13" a="1"/>
  <c r="J2327" i="13" s="1"/>
  <c r="N2328" i="13"/>
  <c r="K2163" i="14"/>
  <c r="L2163" i="14" s="1"/>
  <c r="I2164" i="14" s="1"/>
  <c r="M2330" i="13"/>
  <c r="N2327" i="14"/>
  <c r="J2326" i="14" a="1"/>
  <c r="J2326" i="14" s="1"/>
  <c r="K2142" i="13" l="1"/>
  <c r="L2142" i="13" s="1"/>
  <c r="I2143" i="13" s="1"/>
  <c r="K2164" i="14"/>
  <c r="L2164" i="14" s="1"/>
  <c r="I2165" i="14" s="1"/>
  <c r="M2332" i="14"/>
  <c r="N2328" i="14"/>
  <c r="J2327" i="14" a="1"/>
  <c r="J2327" i="14" s="1"/>
  <c r="J2328" i="13" a="1"/>
  <c r="J2328" i="13" s="1"/>
  <c r="N2329" i="13"/>
  <c r="M2331" i="13"/>
  <c r="K2143" i="13" l="1"/>
  <c r="L2143" i="13" s="1"/>
  <c r="I2144" i="13" s="1"/>
  <c r="J2328" i="14" a="1"/>
  <c r="J2328" i="14" s="1"/>
  <c r="N2329" i="14"/>
  <c r="K2165" i="14"/>
  <c r="L2165" i="14" s="1"/>
  <c r="I2166" i="14" s="1"/>
  <c r="N2330" i="13"/>
  <c r="J2329" i="13" a="1"/>
  <c r="J2329" i="13" s="1"/>
  <c r="M2332" i="13"/>
  <c r="M2333" i="14"/>
  <c r="K2166" i="14" l="1"/>
  <c r="L2166" i="14" s="1"/>
  <c r="I2167" i="14" s="1"/>
  <c r="K2144" i="13"/>
  <c r="L2144" i="13" s="1"/>
  <c r="I2145" i="13" s="1"/>
  <c r="J2329" i="14" a="1"/>
  <c r="J2329" i="14" s="1"/>
  <c r="N2330" i="14"/>
  <c r="M2334" i="14"/>
  <c r="J2330" i="13" a="1"/>
  <c r="J2330" i="13" s="1"/>
  <c r="N2331" i="13"/>
  <c r="M2333" i="13"/>
  <c r="K2167" i="14" l="1"/>
  <c r="L2167" i="14" s="1"/>
  <c r="I2168" i="14" s="1"/>
  <c r="M2335" i="14"/>
  <c r="J2330" i="14" a="1"/>
  <c r="J2330" i="14" s="1"/>
  <c r="N2331" i="14"/>
  <c r="M2334" i="13"/>
  <c r="K2145" i="13"/>
  <c r="L2145" i="13" s="1"/>
  <c r="I2146" i="13" s="1"/>
  <c r="J2331" i="13" a="1"/>
  <c r="J2331" i="13" s="1"/>
  <c r="N2332" i="13"/>
  <c r="K2168" i="14" l="1"/>
  <c r="L2168" i="14" s="1"/>
  <c r="I2169" i="14" s="1"/>
  <c r="J2332" i="13" a="1"/>
  <c r="J2332" i="13" s="1"/>
  <c r="N2333" i="13"/>
  <c r="M2335" i="13"/>
  <c r="M2336" i="14"/>
  <c r="N2332" i="14"/>
  <c r="J2331" i="14" a="1"/>
  <c r="J2331" i="14" s="1"/>
  <c r="K2146" i="13"/>
  <c r="L2146" i="13" s="1"/>
  <c r="I2147" i="13" s="1"/>
  <c r="K2147" i="13" l="1"/>
  <c r="L2147" i="13" s="1"/>
  <c r="I2148" i="13" s="1"/>
  <c r="K2169" i="14"/>
  <c r="L2169" i="14" s="1"/>
  <c r="I2170" i="14" s="1"/>
  <c r="N2334" i="13"/>
  <c r="J2333" i="13" a="1"/>
  <c r="J2333" i="13" s="1"/>
  <c r="M2337" i="14"/>
  <c r="J2332" i="14" a="1"/>
  <c r="J2332" i="14" s="1"/>
  <c r="N2333" i="14"/>
  <c r="M2336" i="13"/>
  <c r="K2170" i="14" l="1"/>
  <c r="L2170" i="14" s="1"/>
  <c r="I2171" i="14" s="1"/>
  <c r="K2148" i="13"/>
  <c r="L2148" i="13" s="1"/>
  <c r="I2149" i="13" s="1"/>
  <c r="J2333" i="14" a="1"/>
  <c r="J2333" i="14" s="1"/>
  <c r="N2334" i="14"/>
  <c r="M2337" i="13"/>
  <c r="M2338" i="14"/>
  <c r="J2334" i="13" a="1"/>
  <c r="J2334" i="13" s="1"/>
  <c r="N2335" i="13"/>
  <c r="K2149" i="13" l="1"/>
  <c r="L2149" i="13" s="1"/>
  <c r="I2150" i="13" s="1"/>
  <c r="K2171" i="14"/>
  <c r="L2171" i="14" s="1"/>
  <c r="I2172" i="14" s="1"/>
  <c r="J2335" i="13" a="1"/>
  <c r="J2335" i="13" s="1"/>
  <c r="N2336" i="13"/>
  <c r="M2338" i="13"/>
  <c r="N2335" i="14"/>
  <c r="J2334" i="14" a="1"/>
  <c r="J2334" i="14" s="1"/>
  <c r="M2339" i="14"/>
  <c r="K2172" i="14" l="1"/>
  <c r="L2172" i="14" s="1"/>
  <c r="I2173" i="14" s="1"/>
  <c r="K2150" i="13"/>
  <c r="L2150" i="13" s="1"/>
  <c r="I2151" i="13" s="1"/>
  <c r="J2336" i="13" a="1"/>
  <c r="J2336" i="13" s="1"/>
  <c r="N2337" i="13"/>
  <c r="M2340" i="14"/>
  <c r="M2339" i="13"/>
  <c r="N2336" i="14"/>
  <c r="J2335" i="14" a="1"/>
  <c r="J2335" i="14" s="1"/>
  <c r="K2151" i="13" l="1"/>
  <c r="L2151" i="13" s="1"/>
  <c r="I2152" i="13" s="1"/>
  <c r="K2173" i="14"/>
  <c r="L2173" i="14" s="1"/>
  <c r="I2174" i="14" s="1"/>
  <c r="J2336" i="14" a="1"/>
  <c r="J2336" i="14" s="1"/>
  <c r="N2337" i="14"/>
  <c r="M2341" i="14"/>
  <c r="N2338" i="13"/>
  <c r="J2337" i="13" a="1"/>
  <c r="J2337" i="13" s="1"/>
  <c r="M2340" i="13"/>
  <c r="K2174" i="14" l="1"/>
  <c r="L2174" i="14" s="1"/>
  <c r="I2175" i="14" s="1"/>
  <c r="K2152" i="13"/>
  <c r="L2152" i="13" s="1"/>
  <c r="I2153" i="13" s="1"/>
  <c r="J2338" i="13" a="1"/>
  <c r="J2338" i="13" s="1"/>
  <c r="N2339" i="13"/>
  <c r="M2341" i="13"/>
  <c r="M2342" i="14"/>
  <c r="J2337" i="14" a="1"/>
  <c r="J2337" i="14" s="1"/>
  <c r="N2338" i="14"/>
  <c r="K2153" i="13" l="1"/>
  <c r="L2153" i="13" s="1"/>
  <c r="I2154" i="13" s="1"/>
  <c r="K2175" i="14"/>
  <c r="L2175" i="14" s="1"/>
  <c r="I2176" i="14" s="1"/>
  <c r="M2343" i="14"/>
  <c r="J2338" i="14" a="1"/>
  <c r="J2338" i="14" s="1"/>
  <c r="N2339" i="14"/>
  <c r="M2342" i="13"/>
  <c r="J2339" i="13" a="1"/>
  <c r="J2339" i="13" s="1"/>
  <c r="N2340" i="13"/>
  <c r="K2154" i="13" l="1"/>
  <c r="L2154" i="13" s="1"/>
  <c r="I2155" i="13" s="1"/>
  <c r="K2176" i="14"/>
  <c r="L2176" i="14" s="1"/>
  <c r="I2177" i="14" s="1"/>
  <c r="N2340" i="14"/>
  <c r="J2339" i="14" a="1"/>
  <c r="J2339" i="14" s="1"/>
  <c r="J2340" i="13" a="1"/>
  <c r="J2340" i="13" s="1"/>
  <c r="N2341" i="13"/>
  <c r="M2343" i="13"/>
  <c r="M2344" i="14"/>
  <c r="K2177" i="14" l="1"/>
  <c r="L2177" i="14" s="1"/>
  <c r="I2178" i="14" s="1"/>
  <c r="K2155" i="13"/>
  <c r="L2155" i="13" s="1"/>
  <c r="I2156" i="13" s="1"/>
  <c r="N2342" i="13"/>
  <c r="J2341" i="13" a="1"/>
  <c r="J2341" i="13" s="1"/>
  <c r="M2345" i="14"/>
  <c r="M2344" i="13"/>
  <c r="J2340" i="14" a="1"/>
  <c r="J2340" i="14" s="1"/>
  <c r="N2341" i="14"/>
  <c r="K2178" i="14" l="1"/>
  <c r="L2178" i="14" s="1"/>
  <c r="I2179" i="14" s="1"/>
  <c r="K2156" i="13"/>
  <c r="L2156" i="13" s="1"/>
  <c r="I2157" i="13" s="1"/>
  <c r="J2341" i="14" a="1"/>
  <c r="J2341" i="14" s="1"/>
  <c r="N2342" i="14"/>
  <c r="M2346" i="14"/>
  <c r="M2345" i="13"/>
  <c r="J2342" i="13" a="1"/>
  <c r="J2342" i="13" s="1"/>
  <c r="N2343" i="13"/>
  <c r="K2157" i="13" l="1"/>
  <c r="L2157" i="13" s="1"/>
  <c r="I2158" i="13" s="1"/>
  <c r="K2179" i="14"/>
  <c r="L2179" i="14" s="1"/>
  <c r="I2180" i="14" s="1"/>
  <c r="J2343" i="13" a="1"/>
  <c r="J2343" i="13" s="1"/>
  <c r="N2344" i="13"/>
  <c r="M2347" i="14"/>
  <c r="N2343" i="14"/>
  <c r="J2342" i="14" a="1"/>
  <c r="J2342" i="14" s="1"/>
  <c r="M2346" i="13"/>
  <c r="K2180" i="14" l="1"/>
  <c r="L2180" i="14" s="1"/>
  <c r="I2181" i="14" s="1"/>
  <c r="K2158" i="13"/>
  <c r="L2158" i="13" s="1"/>
  <c r="I2159" i="13" s="1"/>
  <c r="N2344" i="14"/>
  <c r="J2343" i="14" a="1"/>
  <c r="J2343" i="14" s="1"/>
  <c r="M2347" i="13"/>
  <c r="M2348" i="14"/>
  <c r="J2344" i="13" a="1"/>
  <c r="J2344" i="13" s="1"/>
  <c r="N2345" i="13"/>
  <c r="K2181" i="14" l="1"/>
  <c r="L2181" i="14" s="1"/>
  <c r="I2182" i="14" s="1"/>
  <c r="K2159" i="13"/>
  <c r="L2159" i="13" s="1"/>
  <c r="I2160" i="13" s="1"/>
  <c r="N2346" i="13"/>
  <c r="J2345" i="13" a="1"/>
  <c r="J2345" i="13" s="1"/>
  <c r="M2348" i="13"/>
  <c r="M2349" i="14"/>
  <c r="J2344" i="14" a="1"/>
  <c r="J2344" i="14" s="1"/>
  <c r="N2345" i="14"/>
  <c r="K2160" i="13" l="1"/>
  <c r="L2160" i="13" s="1"/>
  <c r="I2161" i="13" s="1"/>
  <c r="K2182" i="14"/>
  <c r="L2182" i="14" s="1"/>
  <c r="I2183" i="14" s="1"/>
  <c r="J2345" i="14" a="1"/>
  <c r="J2345" i="14" s="1"/>
  <c r="N2346" i="14"/>
  <c r="M2349" i="13"/>
  <c r="M2350" i="14"/>
  <c r="J2346" i="13" a="1"/>
  <c r="J2346" i="13" s="1"/>
  <c r="N2347" i="13"/>
  <c r="J2347" i="13" l="1" a="1"/>
  <c r="J2347" i="13" s="1"/>
  <c r="N2348" i="13"/>
  <c r="M2350" i="13"/>
  <c r="K2183" i="14"/>
  <c r="L2183" i="14" s="1"/>
  <c r="I2184" i="14" s="1"/>
  <c r="M2351" i="14"/>
  <c r="J2346" i="14" a="1"/>
  <c r="J2346" i="14" s="1"/>
  <c r="N2347" i="14"/>
  <c r="K2161" i="13"/>
  <c r="L2161" i="13" s="1"/>
  <c r="I2162" i="13" s="1"/>
  <c r="K2162" i="13" l="1"/>
  <c r="L2162" i="13" s="1"/>
  <c r="I2163" i="13" s="1"/>
  <c r="K2184" i="14"/>
  <c r="L2184" i="14" s="1"/>
  <c r="I2185" i="14" s="1"/>
  <c r="M2352" i="14"/>
  <c r="M2351" i="13"/>
  <c r="N2348" i="14"/>
  <c r="J2347" i="14" a="1"/>
  <c r="J2347" i="14" s="1"/>
  <c r="J2348" i="13" a="1"/>
  <c r="J2348" i="13" s="1"/>
  <c r="N2349" i="13"/>
  <c r="K2185" i="14" l="1"/>
  <c r="L2185" i="14" s="1"/>
  <c r="I2186" i="14" s="1"/>
  <c r="K2163" i="13"/>
  <c r="L2163" i="13" s="1"/>
  <c r="I2164" i="13" s="1"/>
  <c r="N2350" i="13"/>
  <c r="J2349" i="13" a="1"/>
  <c r="J2349" i="13" s="1"/>
  <c r="M2352" i="13"/>
  <c r="J2348" i="14" a="1"/>
  <c r="J2348" i="14" s="1"/>
  <c r="N2349" i="14"/>
  <c r="M2353" i="14"/>
  <c r="K2164" i="13" l="1"/>
  <c r="L2164" i="13" s="1"/>
  <c r="I2165" i="13" s="1"/>
  <c r="K2186" i="14"/>
  <c r="L2186" i="14" s="1"/>
  <c r="I2187" i="14" s="1"/>
  <c r="J2349" i="14" a="1"/>
  <c r="J2349" i="14" s="1"/>
  <c r="N2350" i="14"/>
  <c r="M2353" i="13"/>
  <c r="M2354" i="14"/>
  <c r="J2350" i="13" a="1"/>
  <c r="J2350" i="13" s="1"/>
  <c r="N2351" i="13"/>
  <c r="K2187" i="14" l="1"/>
  <c r="L2187" i="14" s="1"/>
  <c r="I2188" i="14" s="1"/>
  <c r="K2165" i="13"/>
  <c r="L2165" i="13" s="1"/>
  <c r="I2166" i="13" s="1"/>
  <c r="J2351" i="13" a="1"/>
  <c r="J2351" i="13" s="1"/>
  <c r="N2352" i="13"/>
  <c r="M2354" i="13"/>
  <c r="N2351" i="14"/>
  <c r="J2350" i="14" a="1"/>
  <c r="J2350" i="14" s="1"/>
  <c r="M2355" i="14"/>
  <c r="K2166" i="13" l="1"/>
  <c r="L2166" i="13" s="1"/>
  <c r="I2167" i="13" s="1"/>
  <c r="N2352" i="14"/>
  <c r="J2351" i="14" a="1"/>
  <c r="J2351" i="14" s="1"/>
  <c r="K2188" i="14"/>
  <c r="L2188" i="14" s="1"/>
  <c r="I2189" i="14" s="1"/>
  <c r="M2356" i="14"/>
  <c r="M2355" i="13"/>
  <c r="J2352" i="13" a="1"/>
  <c r="J2352" i="13" s="1"/>
  <c r="N2353" i="13"/>
  <c r="K2167" i="13" l="1"/>
  <c r="L2167" i="13" s="1"/>
  <c r="I2168" i="13" s="1"/>
  <c r="K2189" i="14"/>
  <c r="L2189" i="14" s="1"/>
  <c r="I2190" i="14" s="1"/>
  <c r="M2357" i="14"/>
  <c r="J2352" i="14" a="1"/>
  <c r="J2352" i="14" s="1"/>
  <c r="N2353" i="14"/>
  <c r="N2354" i="13"/>
  <c r="J2353" i="13" a="1"/>
  <c r="J2353" i="13" s="1"/>
  <c r="M2356" i="13"/>
  <c r="K2190" i="14" l="1"/>
  <c r="L2190" i="14" s="1"/>
  <c r="I2191" i="14" s="1"/>
  <c r="K2168" i="13"/>
  <c r="L2168" i="13" s="1"/>
  <c r="I2169" i="13" s="1"/>
  <c r="M2357" i="13"/>
  <c r="J2353" i="14" a="1"/>
  <c r="J2353" i="14" s="1"/>
  <c r="N2354" i="14"/>
  <c r="J2354" i="13" a="1"/>
  <c r="J2354" i="13" s="1"/>
  <c r="N2355" i="13"/>
  <c r="M2358" i="14"/>
  <c r="K2191" i="14" l="1"/>
  <c r="L2191" i="14" s="1"/>
  <c r="I2192" i="14" s="1"/>
  <c r="J2355" i="13" a="1"/>
  <c r="J2355" i="13" s="1"/>
  <c r="N2356" i="13"/>
  <c r="M2359" i="14"/>
  <c r="J2354" i="14" a="1"/>
  <c r="J2354" i="14" s="1"/>
  <c r="N2355" i="14"/>
  <c r="K2169" i="13"/>
  <c r="L2169" i="13" s="1"/>
  <c r="I2170" i="13" s="1"/>
  <c r="M2358" i="13"/>
  <c r="K2170" i="13" l="1"/>
  <c r="L2170" i="13" s="1"/>
  <c r="I2171" i="13" s="1"/>
  <c r="K2192" i="14"/>
  <c r="L2192" i="14" s="1"/>
  <c r="I2193" i="14" s="1"/>
  <c r="N2356" i="14"/>
  <c r="J2355" i="14" a="1"/>
  <c r="J2355" i="14" s="1"/>
  <c r="J2356" i="13" a="1"/>
  <c r="J2356" i="13" s="1"/>
  <c r="N2357" i="13"/>
  <c r="M2359" i="13"/>
  <c r="M2360" i="14"/>
  <c r="K2193" i="14" l="1"/>
  <c r="L2193" i="14" s="1"/>
  <c r="I2194" i="14" s="1"/>
  <c r="K2171" i="13"/>
  <c r="L2171" i="13" s="1"/>
  <c r="I2172" i="13" s="1"/>
  <c r="N2358" i="13"/>
  <c r="J2357" i="13" a="1"/>
  <c r="J2357" i="13" s="1"/>
  <c r="M2361" i="14"/>
  <c r="M2360" i="13"/>
  <c r="J2356" i="14" a="1"/>
  <c r="J2356" i="14" s="1"/>
  <c r="N2357" i="14"/>
  <c r="K2172" i="13" l="1"/>
  <c r="L2172" i="13" s="1"/>
  <c r="I2173" i="13" s="1"/>
  <c r="K2194" i="14"/>
  <c r="L2194" i="14" s="1"/>
  <c r="I2195" i="14" s="1"/>
  <c r="J2357" i="14" a="1"/>
  <c r="J2357" i="14" s="1"/>
  <c r="N2358" i="14"/>
  <c r="M2361" i="13"/>
  <c r="M2362" i="14"/>
  <c r="J2358" i="13" a="1"/>
  <c r="J2358" i="13" s="1"/>
  <c r="N2359" i="13"/>
  <c r="K2195" i="14" l="1"/>
  <c r="L2195" i="14" s="1"/>
  <c r="I2196" i="14" s="1"/>
  <c r="K2173" i="13"/>
  <c r="L2173" i="13" s="1"/>
  <c r="I2174" i="13" s="1"/>
  <c r="M2363" i="14"/>
  <c r="N2359" i="14"/>
  <c r="J2358" i="14" a="1"/>
  <c r="J2358" i="14" s="1"/>
  <c r="J2359" i="13" a="1"/>
  <c r="J2359" i="13" s="1"/>
  <c r="N2360" i="13"/>
  <c r="M2362" i="13"/>
  <c r="K2174" i="13" l="1"/>
  <c r="L2174" i="13" s="1"/>
  <c r="I2175" i="13" s="1"/>
  <c r="K2196" i="14"/>
  <c r="L2196" i="14" s="1"/>
  <c r="I2197" i="14" s="1"/>
  <c r="M2363" i="13"/>
  <c r="N2360" i="14"/>
  <c r="J2359" i="14" a="1"/>
  <c r="J2359" i="14" s="1"/>
  <c r="J2360" i="13" a="1"/>
  <c r="J2360" i="13" s="1"/>
  <c r="N2361" i="13"/>
  <c r="M2364" i="14"/>
  <c r="K2175" i="13" l="1"/>
  <c r="L2175" i="13" s="1"/>
  <c r="I2176" i="13" s="1"/>
  <c r="M2365" i="14"/>
  <c r="K2197" i="14"/>
  <c r="L2197" i="14" s="1"/>
  <c r="I2198" i="14" s="1"/>
  <c r="J2360" i="14" a="1"/>
  <c r="J2360" i="14" s="1"/>
  <c r="N2361" i="14"/>
  <c r="N2362" i="13"/>
  <c r="J2361" i="13" a="1"/>
  <c r="J2361" i="13" s="1"/>
  <c r="M2364" i="13"/>
  <c r="K2198" i="14" l="1"/>
  <c r="L2198" i="14" s="1"/>
  <c r="I2199" i="14" s="1"/>
  <c r="K2176" i="13"/>
  <c r="L2176" i="13" s="1"/>
  <c r="I2177" i="13" s="1"/>
  <c r="M2365" i="13"/>
  <c r="J2361" i="14" a="1"/>
  <c r="J2361" i="14" s="1"/>
  <c r="N2362" i="14"/>
  <c r="M2366" i="14"/>
  <c r="J2362" i="13" a="1"/>
  <c r="J2362" i="13" s="1"/>
  <c r="N2363" i="13"/>
  <c r="K2199" i="14" l="1"/>
  <c r="L2199" i="14" s="1"/>
  <c r="I2200" i="14" s="1"/>
  <c r="J2363" i="13" a="1"/>
  <c r="J2363" i="13" s="1"/>
  <c r="N2364" i="13"/>
  <c r="J2362" i="14" a="1"/>
  <c r="J2362" i="14" s="1"/>
  <c r="N2363" i="14"/>
  <c r="K2177" i="13"/>
  <c r="L2177" i="13" s="1"/>
  <c r="I2178" i="13" s="1"/>
  <c r="M2367" i="14"/>
  <c r="M2366" i="13"/>
  <c r="K2178" i="13" l="1"/>
  <c r="L2178" i="13" s="1"/>
  <c r="I2179" i="13" s="1"/>
  <c r="K2200" i="14"/>
  <c r="L2200" i="14" s="1"/>
  <c r="I2201" i="14" s="1"/>
  <c r="N2364" i="14"/>
  <c r="J2363" i="14" a="1"/>
  <c r="J2363" i="14" s="1"/>
  <c r="J2364" i="13" a="1"/>
  <c r="J2364" i="13" s="1"/>
  <c r="N2365" i="13"/>
  <c r="M2368" i="14"/>
  <c r="M2367" i="13"/>
  <c r="K2201" i="14" l="1"/>
  <c r="L2201" i="14" s="1"/>
  <c r="I2202" i="14" s="1"/>
  <c r="N2366" i="13"/>
  <c r="J2365" i="13" a="1"/>
  <c r="J2365" i="13" s="1"/>
  <c r="M2369" i="14"/>
  <c r="M2368" i="13"/>
  <c r="J2364" i="14" a="1"/>
  <c r="J2364" i="14" s="1"/>
  <c r="N2365" i="14"/>
  <c r="K2179" i="13"/>
  <c r="L2179" i="13" s="1"/>
  <c r="I2180" i="13" s="1"/>
  <c r="K2180" i="13" l="1"/>
  <c r="L2180" i="13" s="1"/>
  <c r="I2181" i="13" s="1"/>
  <c r="K2202" i="14"/>
  <c r="L2202" i="14" s="1"/>
  <c r="I2203" i="14" s="1"/>
  <c r="M2369" i="13"/>
  <c r="J2366" i="13" a="1"/>
  <c r="J2366" i="13" s="1"/>
  <c r="N2367" i="13"/>
  <c r="J2365" i="14" a="1"/>
  <c r="J2365" i="14" s="1"/>
  <c r="N2366" i="14"/>
  <c r="M2370" i="14"/>
  <c r="K2181" i="13" l="1"/>
  <c r="L2181" i="13" s="1"/>
  <c r="I2182" i="13" s="1"/>
  <c r="M2371" i="14"/>
  <c r="J2367" i="13" a="1"/>
  <c r="J2367" i="13" s="1"/>
  <c r="N2368" i="13"/>
  <c r="K2203" i="14"/>
  <c r="L2203" i="14" s="1"/>
  <c r="I2204" i="14" s="1"/>
  <c r="N2367" i="14"/>
  <c r="J2366" i="14" a="1"/>
  <c r="J2366" i="14" s="1"/>
  <c r="M2370" i="13"/>
  <c r="K2182" i="13" l="1"/>
  <c r="L2182" i="13" s="1"/>
  <c r="I2183" i="13" s="1"/>
  <c r="M2371" i="13"/>
  <c r="K2204" i="14"/>
  <c r="L2204" i="14" s="1"/>
  <c r="I2205" i="14" s="1"/>
  <c r="M2372" i="14"/>
  <c r="J2368" i="13" a="1"/>
  <c r="J2368" i="13" s="1"/>
  <c r="N2369" i="13"/>
  <c r="N2368" i="14"/>
  <c r="J2367" i="14" a="1"/>
  <c r="J2367" i="14" s="1"/>
  <c r="K2205" i="14" l="1"/>
  <c r="L2205" i="14" s="1"/>
  <c r="I2206" i="14" s="1"/>
  <c r="K2183" i="13"/>
  <c r="L2183" i="13" s="1"/>
  <c r="I2184" i="13" s="1"/>
  <c r="J2368" i="14" a="1"/>
  <c r="J2368" i="14" s="1"/>
  <c r="N2369" i="14"/>
  <c r="M2373" i="14"/>
  <c r="M2372" i="13"/>
  <c r="N2370" i="13"/>
  <c r="J2369" i="13" a="1"/>
  <c r="J2369" i="13" s="1"/>
  <c r="K2206" i="14" l="1"/>
  <c r="L2206" i="14" s="1"/>
  <c r="I2207" i="14" s="1"/>
  <c r="K2184" i="13"/>
  <c r="L2184" i="13" s="1"/>
  <c r="I2185" i="13" s="1"/>
  <c r="J2370" i="13" a="1"/>
  <c r="J2370" i="13" s="1"/>
  <c r="N2371" i="13"/>
  <c r="M2374" i="14"/>
  <c r="M2373" i="13"/>
  <c r="J2369" i="14" a="1"/>
  <c r="J2369" i="14" s="1"/>
  <c r="N2370" i="14"/>
  <c r="K2185" i="13" l="1"/>
  <c r="L2185" i="13" s="1"/>
  <c r="I2186" i="13" s="1"/>
  <c r="K2207" i="14"/>
  <c r="L2207" i="14" s="1"/>
  <c r="I2208" i="14" s="1"/>
  <c r="J2371" i="13" a="1"/>
  <c r="J2371" i="13" s="1"/>
  <c r="N2372" i="13"/>
  <c r="M2374" i="13"/>
  <c r="J2370" i="14" a="1"/>
  <c r="J2370" i="14" s="1"/>
  <c r="N2371" i="14"/>
  <c r="M2375" i="14"/>
  <c r="K2208" i="14" l="1"/>
  <c r="L2208" i="14" s="1"/>
  <c r="I2209" i="14" s="1"/>
  <c r="K2186" i="13"/>
  <c r="L2186" i="13" s="1"/>
  <c r="I2187" i="13" s="1"/>
  <c r="N2372" i="14"/>
  <c r="J2371" i="14" a="1"/>
  <c r="J2371" i="14" s="1"/>
  <c r="M2376" i="14"/>
  <c r="M2375" i="13"/>
  <c r="J2372" i="13" a="1"/>
  <c r="J2372" i="13" s="1"/>
  <c r="N2373" i="13"/>
  <c r="K2187" i="13" l="1"/>
  <c r="L2187" i="13" s="1"/>
  <c r="I2188" i="13" s="1"/>
  <c r="K2209" i="14"/>
  <c r="L2209" i="14" s="1"/>
  <c r="I2210" i="14" s="1"/>
  <c r="N2374" i="13"/>
  <c r="J2373" i="13" a="1"/>
  <c r="J2373" i="13" s="1"/>
  <c r="M2377" i="14"/>
  <c r="M2376" i="13"/>
  <c r="J2372" i="14" a="1"/>
  <c r="J2372" i="14" s="1"/>
  <c r="N2373" i="14"/>
  <c r="K2210" i="14" l="1"/>
  <c r="L2210" i="14" s="1"/>
  <c r="I2211" i="14" s="1"/>
  <c r="K2188" i="13"/>
  <c r="L2188" i="13" s="1"/>
  <c r="I2189" i="13" s="1"/>
  <c r="J2373" i="14" a="1"/>
  <c r="J2373" i="14" s="1"/>
  <c r="N2374" i="14"/>
  <c r="M2378" i="14"/>
  <c r="M2377" i="13"/>
  <c r="J2374" i="13" a="1"/>
  <c r="J2374" i="13" s="1"/>
  <c r="N2375" i="13"/>
  <c r="J2375" i="13" l="1" a="1"/>
  <c r="J2375" i="13" s="1"/>
  <c r="N2376" i="13"/>
  <c r="M2379" i="14"/>
  <c r="M2378" i="13"/>
  <c r="K2189" i="13"/>
  <c r="L2189" i="13" s="1"/>
  <c r="I2190" i="13" s="1"/>
  <c r="N2375" i="14"/>
  <c r="J2374" i="14" a="1"/>
  <c r="J2374" i="14" s="1"/>
  <c r="K2211" i="14"/>
  <c r="L2211" i="14" s="1"/>
  <c r="I2212" i="14" s="1"/>
  <c r="K2212" i="14" l="1"/>
  <c r="L2212" i="14" s="1"/>
  <c r="I2213" i="14" s="1"/>
  <c r="K2190" i="13"/>
  <c r="L2190" i="13" s="1"/>
  <c r="I2191" i="13" s="1"/>
  <c r="N2376" i="14"/>
  <c r="J2375" i="14" a="1"/>
  <c r="J2375" i="14" s="1"/>
  <c r="M2379" i="13"/>
  <c r="M2380" i="14"/>
  <c r="J2376" i="13" a="1"/>
  <c r="J2376" i="13" s="1"/>
  <c r="N2377" i="13"/>
  <c r="K2191" i="13" l="1"/>
  <c r="L2191" i="13" s="1"/>
  <c r="I2192" i="13" s="1"/>
  <c r="K2213" i="14"/>
  <c r="L2213" i="14" s="1"/>
  <c r="I2214" i="14" s="1"/>
  <c r="N2378" i="13"/>
  <c r="J2377" i="13" a="1"/>
  <c r="J2377" i="13" s="1"/>
  <c r="M2380" i="13"/>
  <c r="M2381" i="14"/>
  <c r="J2376" i="14" a="1"/>
  <c r="J2376" i="14" s="1"/>
  <c r="N2377" i="14"/>
  <c r="K2214" i="14" l="1"/>
  <c r="L2214" i="14" s="1"/>
  <c r="I2215" i="14" s="1"/>
  <c r="K2192" i="13"/>
  <c r="L2192" i="13" s="1"/>
  <c r="I2193" i="13" s="1"/>
  <c r="J2377" i="14" a="1"/>
  <c r="J2377" i="14" s="1"/>
  <c r="N2378" i="14"/>
  <c r="M2381" i="13"/>
  <c r="M2382" i="14"/>
  <c r="J2378" i="13" a="1"/>
  <c r="J2378" i="13" s="1"/>
  <c r="N2379" i="13"/>
  <c r="K2215" i="14" l="1"/>
  <c r="L2215" i="14" s="1"/>
  <c r="I2216" i="14" s="1"/>
  <c r="J2379" i="13" a="1"/>
  <c r="J2379" i="13" s="1"/>
  <c r="N2380" i="13"/>
  <c r="K2193" i="13"/>
  <c r="L2193" i="13" s="1"/>
  <c r="I2194" i="13" s="1"/>
  <c r="M2382" i="13"/>
  <c r="M2383" i="14"/>
  <c r="J2378" i="14" a="1"/>
  <c r="J2378" i="14" s="1"/>
  <c r="N2379" i="14"/>
  <c r="K2194" i="13" l="1"/>
  <c r="L2194" i="13" s="1"/>
  <c r="I2195" i="13" s="1"/>
  <c r="K2216" i="14"/>
  <c r="L2216" i="14" s="1"/>
  <c r="I2217" i="14" s="1"/>
  <c r="N2380" i="14"/>
  <c r="J2379" i="14" a="1"/>
  <c r="J2379" i="14" s="1"/>
  <c r="J2380" i="13" a="1"/>
  <c r="J2380" i="13" s="1"/>
  <c r="N2381" i="13"/>
  <c r="M2383" i="13"/>
  <c r="M2384" i="14"/>
  <c r="K2195" i="13" l="1"/>
  <c r="L2195" i="13" s="1"/>
  <c r="I2196" i="13" s="1"/>
  <c r="K2217" i="14"/>
  <c r="L2217" i="14" s="1"/>
  <c r="I2218" i="14" s="1"/>
  <c r="N2382" i="13"/>
  <c r="J2381" i="13" a="1"/>
  <c r="J2381" i="13" s="1"/>
  <c r="M2384" i="13"/>
  <c r="M2385" i="14"/>
  <c r="J2380" i="14" a="1"/>
  <c r="J2380" i="14" s="1"/>
  <c r="N2381" i="14"/>
  <c r="K2218" i="14" l="1"/>
  <c r="L2218" i="14" s="1"/>
  <c r="I2219" i="14" s="1"/>
  <c r="K2196" i="13"/>
  <c r="L2196" i="13" s="1"/>
  <c r="I2197" i="13" s="1"/>
  <c r="J2381" i="14" a="1"/>
  <c r="J2381" i="14" s="1"/>
  <c r="N2382" i="14"/>
  <c r="M2385" i="13"/>
  <c r="M2386" i="14"/>
  <c r="J2382" i="13" a="1"/>
  <c r="J2382" i="13" s="1"/>
  <c r="N2383" i="13"/>
  <c r="K2197" i="13" l="1"/>
  <c r="L2197" i="13" s="1"/>
  <c r="I2198" i="13" s="1"/>
  <c r="K2219" i="14"/>
  <c r="L2219" i="14" s="1"/>
  <c r="I2220" i="14" s="1"/>
  <c r="J2383" i="13" a="1"/>
  <c r="J2383" i="13" s="1"/>
  <c r="N2384" i="13"/>
  <c r="M2386" i="13"/>
  <c r="N2383" i="14"/>
  <c r="J2382" i="14" a="1"/>
  <c r="J2382" i="14" s="1"/>
  <c r="M2387" i="14"/>
  <c r="K2198" i="13" l="1"/>
  <c r="L2198" i="13" s="1"/>
  <c r="I2199" i="13" s="1"/>
  <c r="M2388" i="14"/>
  <c r="M2387" i="13"/>
  <c r="K2220" i="14"/>
  <c r="L2220" i="14" s="1"/>
  <c r="I2221" i="14" s="1"/>
  <c r="J2384" i="13" a="1"/>
  <c r="J2384" i="13" s="1"/>
  <c r="N2385" i="13"/>
  <c r="N2384" i="14"/>
  <c r="J2383" i="14" a="1"/>
  <c r="J2383" i="14" s="1"/>
  <c r="K2221" i="14" l="1"/>
  <c r="L2221" i="14" s="1"/>
  <c r="I2222" i="14" s="1"/>
  <c r="K2199" i="13"/>
  <c r="L2199" i="13" s="1"/>
  <c r="I2200" i="13" s="1"/>
  <c r="J2384" i="14" a="1"/>
  <c r="J2384" i="14" s="1"/>
  <c r="N2385" i="14"/>
  <c r="M2389" i="14"/>
  <c r="N2386" i="13"/>
  <c r="J2385" i="13" a="1"/>
  <c r="J2385" i="13" s="1"/>
  <c r="M2388" i="13"/>
  <c r="K2200" i="13" l="1"/>
  <c r="L2200" i="13" s="1"/>
  <c r="I2201" i="13" s="1"/>
  <c r="K2222" i="14"/>
  <c r="L2222" i="14" s="1"/>
  <c r="I2223" i="14" s="1"/>
  <c r="J2386" i="13" a="1"/>
  <c r="J2386" i="13" s="1"/>
  <c r="N2387" i="13"/>
  <c r="M2389" i="13"/>
  <c r="J2385" i="14" a="1"/>
  <c r="J2385" i="14" s="1"/>
  <c r="N2386" i="14"/>
  <c r="M2390" i="14"/>
  <c r="K2223" i="14" l="1"/>
  <c r="L2223" i="14" s="1"/>
  <c r="I2224" i="14" s="1"/>
  <c r="K2201" i="13"/>
  <c r="L2201" i="13" s="1"/>
  <c r="I2202" i="13" s="1"/>
  <c r="M2391" i="14"/>
  <c r="J2386" i="14" a="1"/>
  <c r="J2386" i="14" s="1"/>
  <c r="N2387" i="14"/>
  <c r="M2390" i="13"/>
  <c r="J2387" i="13" a="1"/>
  <c r="J2387" i="13" s="1"/>
  <c r="N2388" i="13"/>
  <c r="K2224" i="14" l="1"/>
  <c r="L2224" i="14" s="1"/>
  <c r="I2225" i="14" s="1"/>
  <c r="J2388" i="13" a="1"/>
  <c r="J2388" i="13" s="1"/>
  <c r="N2389" i="13"/>
  <c r="N2388" i="14"/>
  <c r="J2387" i="14" a="1"/>
  <c r="J2387" i="14" s="1"/>
  <c r="K2202" i="13"/>
  <c r="L2202" i="13" s="1"/>
  <c r="I2203" i="13" s="1"/>
  <c r="M2391" i="13"/>
  <c r="M2392" i="14"/>
  <c r="K2225" i="14" l="1"/>
  <c r="L2225" i="14" s="1"/>
  <c r="I2226" i="14" s="1"/>
  <c r="K2203" i="13"/>
  <c r="L2203" i="13" s="1"/>
  <c r="I2204" i="13" s="1"/>
  <c r="N2390" i="13"/>
  <c r="J2389" i="13" a="1"/>
  <c r="J2389" i="13" s="1"/>
  <c r="M2393" i="14"/>
  <c r="M2392" i="13"/>
  <c r="J2388" i="14" a="1"/>
  <c r="J2388" i="14" s="1"/>
  <c r="N2389" i="14"/>
  <c r="K2204" i="13" l="1"/>
  <c r="L2204" i="13" s="1"/>
  <c r="I2205" i="13" s="1"/>
  <c r="K2226" i="14"/>
  <c r="L2226" i="14" s="1"/>
  <c r="I2227" i="14" s="1"/>
  <c r="J2389" i="14" a="1"/>
  <c r="J2389" i="14" s="1"/>
  <c r="N2390" i="14"/>
  <c r="M2394" i="14"/>
  <c r="M2393" i="13"/>
  <c r="J2390" i="13" a="1"/>
  <c r="J2390" i="13" s="1"/>
  <c r="N2391" i="13"/>
  <c r="K2227" i="14" l="1"/>
  <c r="L2227" i="14" s="1"/>
  <c r="I2228" i="14" s="1"/>
  <c r="K2205" i="13"/>
  <c r="L2205" i="13" s="1"/>
  <c r="I2206" i="13" s="1"/>
  <c r="J2391" i="13" a="1"/>
  <c r="J2391" i="13" s="1"/>
  <c r="N2392" i="13"/>
  <c r="M2395" i="14"/>
  <c r="N2391" i="14"/>
  <c r="J2390" i="14" a="1"/>
  <c r="J2390" i="14" s="1"/>
  <c r="M2394" i="13"/>
  <c r="K2228" i="14" l="1"/>
  <c r="L2228" i="14" s="1"/>
  <c r="I2229" i="14" s="1"/>
  <c r="N2392" i="14"/>
  <c r="J2391" i="14" a="1"/>
  <c r="J2391" i="14" s="1"/>
  <c r="M2395" i="13"/>
  <c r="M2396" i="14"/>
  <c r="K2206" i="13"/>
  <c r="L2206" i="13" s="1"/>
  <c r="I2207" i="13" s="1"/>
  <c r="J2392" i="13" a="1"/>
  <c r="J2392" i="13" s="1"/>
  <c r="N2393" i="13"/>
  <c r="K2207" i="13" l="1"/>
  <c r="L2207" i="13" s="1"/>
  <c r="I2208" i="13" s="1"/>
  <c r="K2229" i="14"/>
  <c r="L2229" i="14" s="1"/>
  <c r="I2230" i="14" s="1"/>
  <c r="N2394" i="13"/>
  <c r="J2393" i="13" a="1"/>
  <c r="J2393" i="13" s="1"/>
  <c r="J2392" i="14" a="1"/>
  <c r="J2392" i="14" s="1"/>
  <c r="N2393" i="14"/>
  <c r="M2397" i="14"/>
  <c r="M2396" i="13"/>
  <c r="K2208" i="13" l="1"/>
  <c r="L2208" i="13" s="1"/>
  <c r="I2209" i="13" s="1"/>
  <c r="M2397" i="13"/>
  <c r="J2393" i="14" a="1"/>
  <c r="J2393" i="14" s="1"/>
  <c r="N2394" i="14"/>
  <c r="K2230" i="14"/>
  <c r="L2230" i="14" s="1"/>
  <c r="I2231" i="14" s="1"/>
  <c r="M2398" i="14"/>
  <c r="J2394" i="13" a="1"/>
  <c r="J2394" i="13" s="1"/>
  <c r="N2395" i="13"/>
  <c r="K2209" i="13" l="1"/>
  <c r="L2209" i="13" s="1"/>
  <c r="I2210" i="13" s="1"/>
  <c r="J2395" i="13" a="1"/>
  <c r="J2395" i="13" s="1"/>
  <c r="N2396" i="13"/>
  <c r="M2398" i="13"/>
  <c r="J2394" i="14" a="1"/>
  <c r="J2394" i="14" s="1"/>
  <c r="N2395" i="14"/>
  <c r="K2231" i="14"/>
  <c r="L2231" i="14" s="1"/>
  <c r="I2232" i="14" s="1"/>
  <c r="M2399" i="14"/>
  <c r="K2210" i="13" l="1"/>
  <c r="L2210" i="13" s="1"/>
  <c r="I2211" i="13" s="1"/>
  <c r="K2232" i="14"/>
  <c r="L2232" i="14" s="1"/>
  <c r="I2233" i="14" s="1"/>
  <c r="J2396" i="13" a="1"/>
  <c r="J2396" i="13" s="1"/>
  <c r="N2397" i="13"/>
  <c r="N2396" i="14"/>
  <c r="J2395" i="14" a="1"/>
  <c r="J2395" i="14" s="1"/>
  <c r="M2400" i="14"/>
  <c r="M2399" i="13"/>
  <c r="K2211" i="13" l="1"/>
  <c r="L2211" i="13" s="1"/>
  <c r="I2212" i="13" s="1"/>
  <c r="K2233" i="14"/>
  <c r="L2233" i="14" s="1"/>
  <c r="I2234" i="14" s="1"/>
  <c r="N2398" i="13"/>
  <c r="J2397" i="13" a="1"/>
  <c r="J2397" i="13" s="1"/>
  <c r="M2401" i="14"/>
  <c r="M2400" i="13"/>
  <c r="J2396" i="14" a="1"/>
  <c r="J2396" i="14" s="1"/>
  <c r="N2397" i="14"/>
  <c r="K2212" i="13" l="1"/>
  <c r="L2212" i="13" s="1"/>
  <c r="I2213" i="13" s="1"/>
  <c r="J2397" i="14" a="1"/>
  <c r="J2397" i="14" s="1"/>
  <c r="N2398" i="14"/>
  <c r="K2234" i="14"/>
  <c r="L2234" i="14" s="1"/>
  <c r="I2235" i="14" s="1"/>
  <c r="M2402" i="14"/>
  <c r="M2401" i="13"/>
  <c r="J2398" i="13" a="1"/>
  <c r="J2398" i="13" s="1"/>
  <c r="N2399" i="13"/>
  <c r="K2235" i="14" l="1"/>
  <c r="L2235" i="14" s="1"/>
  <c r="I2236" i="14" s="1"/>
  <c r="K2213" i="13"/>
  <c r="L2213" i="13" s="1"/>
  <c r="I2214" i="13" s="1"/>
  <c r="J2399" i="13" a="1"/>
  <c r="J2399" i="13" s="1"/>
  <c r="N2400" i="13"/>
  <c r="M2403" i="14"/>
  <c r="J2398" i="14" a="1"/>
  <c r="J2398" i="14" s="1"/>
  <c r="N2399" i="14"/>
  <c r="M2402" i="13"/>
  <c r="K2236" i="14" l="1"/>
  <c r="L2236" i="14" s="1"/>
  <c r="I2237" i="14" s="1"/>
  <c r="J2400" i="13" a="1"/>
  <c r="J2400" i="13" s="1"/>
  <c r="N2401" i="13"/>
  <c r="K2214" i="13"/>
  <c r="L2214" i="13" s="1"/>
  <c r="I2215" i="13" s="1"/>
  <c r="N2400" i="14"/>
  <c r="J2399" i="14" a="1"/>
  <c r="J2399" i="14" s="1"/>
  <c r="M2403" i="13"/>
  <c r="M2404" i="14"/>
  <c r="K2237" i="14" l="1"/>
  <c r="L2237" i="14" s="1"/>
  <c r="I2238" i="14" s="1"/>
  <c r="K2215" i="13"/>
  <c r="L2215" i="13" s="1"/>
  <c r="I2216" i="13" s="1"/>
  <c r="N2402" i="13"/>
  <c r="J2401" i="13" a="1"/>
  <c r="J2401" i="13" s="1"/>
  <c r="M2405" i="14"/>
  <c r="J2400" i="14" a="1"/>
  <c r="J2400" i="14" s="1"/>
  <c r="N2401" i="14"/>
  <c r="M2404" i="13"/>
  <c r="K2216" i="13" l="1"/>
  <c r="L2216" i="13" s="1"/>
  <c r="I2217" i="13" s="1"/>
  <c r="K2238" i="14"/>
  <c r="L2238" i="14" s="1"/>
  <c r="I2239" i="14" s="1"/>
  <c r="J2401" i="14" a="1"/>
  <c r="J2401" i="14" s="1"/>
  <c r="N2402" i="14"/>
  <c r="M2405" i="13"/>
  <c r="M2406" i="14"/>
  <c r="J2402" i="13" a="1"/>
  <c r="J2402" i="13" s="1"/>
  <c r="N2403" i="13"/>
  <c r="K2217" i="13" l="1"/>
  <c r="L2217" i="13" s="1"/>
  <c r="I2218" i="13" s="1"/>
  <c r="M2407" i="14"/>
  <c r="J2403" i="13" a="1"/>
  <c r="J2403" i="13" s="1"/>
  <c r="N2404" i="13"/>
  <c r="M2406" i="13"/>
  <c r="K2239" i="14"/>
  <c r="L2239" i="14" s="1"/>
  <c r="I2240" i="14" s="1"/>
  <c r="J2402" i="14" a="1"/>
  <c r="J2402" i="14" s="1"/>
  <c r="N2403" i="14"/>
  <c r="K2240" i="14" l="1"/>
  <c r="L2240" i="14" s="1"/>
  <c r="I2241" i="14" s="1"/>
  <c r="K2218" i="13"/>
  <c r="L2218" i="13" s="1"/>
  <c r="I2219" i="13" s="1"/>
  <c r="N2404" i="14"/>
  <c r="J2403" i="14" a="1"/>
  <c r="J2403" i="14" s="1"/>
  <c r="M2407" i="13"/>
  <c r="M2408" i="14"/>
  <c r="J2404" i="13" a="1"/>
  <c r="J2404" i="13" s="1"/>
  <c r="N2405" i="13"/>
  <c r="K2219" i="13" l="1"/>
  <c r="L2219" i="13" s="1"/>
  <c r="I2220" i="13" s="1"/>
  <c r="K2241" i="14"/>
  <c r="L2241" i="14" s="1"/>
  <c r="I2242" i="14" s="1"/>
  <c r="N2406" i="13"/>
  <c r="J2405" i="13" a="1"/>
  <c r="J2405" i="13" s="1"/>
  <c r="M2408" i="13"/>
  <c r="M2409" i="14"/>
  <c r="J2404" i="14" a="1"/>
  <c r="J2404" i="14" s="1"/>
  <c r="N2405" i="14"/>
  <c r="K2242" i="14" l="1"/>
  <c r="L2242" i="14" s="1"/>
  <c r="I2243" i="14" s="1"/>
  <c r="K2220" i="13"/>
  <c r="L2220" i="13" s="1"/>
  <c r="I2221" i="13" s="1"/>
  <c r="J2405" i="14" a="1"/>
  <c r="J2405" i="14" s="1"/>
  <c r="N2406" i="14"/>
  <c r="M2409" i="13"/>
  <c r="M2410" i="14"/>
  <c r="J2406" i="13" a="1"/>
  <c r="J2406" i="13" s="1"/>
  <c r="N2407" i="13"/>
  <c r="K2221" i="13" l="1"/>
  <c r="L2221" i="13" s="1"/>
  <c r="I2222" i="13" s="1"/>
  <c r="K2243" i="14"/>
  <c r="L2243" i="14" s="1"/>
  <c r="I2244" i="14" s="1"/>
  <c r="J2407" i="13" a="1"/>
  <c r="J2407" i="13" s="1"/>
  <c r="N2408" i="13"/>
  <c r="M2410" i="13"/>
  <c r="N2407" i="14"/>
  <c r="J2406" i="14" a="1"/>
  <c r="J2406" i="14" s="1"/>
  <c r="M2411" i="14"/>
  <c r="K2244" i="14" l="1"/>
  <c r="L2244" i="14" s="1"/>
  <c r="I2245" i="14" s="1"/>
  <c r="K2222" i="13"/>
  <c r="L2222" i="13" s="1"/>
  <c r="I2223" i="13" s="1"/>
  <c r="N2408" i="14"/>
  <c r="J2407" i="14" a="1"/>
  <c r="J2407" i="14" s="1"/>
  <c r="M2412" i="14"/>
  <c r="M2411" i="13"/>
  <c r="J2408" i="13" a="1"/>
  <c r="J2408" i="13" s="1"/>
  <c r="N2409" i="13"/>
  <c r="K2223" i="13" l="1"/>
  <c r="L2223" i="13" s="1"/>
  <c r="I2224" i="13" s="1"/>
  <c r="K2245" i="14"/>
  <c r="L2245" i="14" s="1"/>
  <c r="I2246" i="14" s="1"/>
  <c r="N2410" i="13"/>
  <c r="J2409" i="13" a="1"/>
  <c r="J2409" i="13" s="1"/>
  <c r="M2413" i="14"/>
  <c r="M2412" i="13"/>
  <c r="J2408" i="14" a="1"/>
  <c r="J2408" i="14" s="1"/>
  <c r="N2409" i="14"/>
  <c r="K2246" i="14" l="1"/>
  <c r="L2246" i="14" s="1"/>
  <c r="I2247" i="14" s="1"/>
  <c r="K2224" i="13"/>
  <c r="L2224" i="13" s="1"/>
  <c r="I2225" i="13" s="1"/>
  <c r="J2409" i="14" a="1"/>
  <c r="J2409" i="14" s="1"/>
  <c r="N2410" i="14"/>
  <c r="M2414" i="14"/>
  <c r="M2413" i="13"/>
  <c r="J2410" i="13" a="1"/>
  <c r="J2410" i="13" s="1"/>
  <c r="N2411" i="13"/>
  <c r="K2225" i="13" l="1"/>
  <c r="L2225" i="13" s="1"/>
  <c r="I2226" i="13" s="1"/>
  <c r="K2247" i="14"/>
  <c r="L2247" i="14" s="1"/>
  <c r="I2248" i="14" s="1"/>
  <c r="J2411" i="13" a="1"/>
  <c r="J2411" i="13" s="1"/>
  <c r="N2412" i="13"/>
  <c r="M2415" i="14"/>
  <c r="M2414" i="13"/>
  <c r="J2410" i="14" a="1"/>
  <c r="J2410" i="14" s="1"/>
  <c r="N2411" i="14"/>
  <c r="K2226" i="13" l="1"/>
  <c r="L2226" i="13" s="1"/>
  <c r="I2227" i="13" s="1"/>
  <c r="N2412" i="14"/>
  <c r="J2411" i="14" a="1"/>
  <c r="J2411" i="14" s="1"/>
  <c r="K2248" i="14"/>
  <c r="L2248" i="14" s="1"/>
  <c r="I2249" i="14" s="1"/>
  <c r="J2412" i="13" a="1"/>
  <c r="J2412" i="13" s="1"/>
  <c r="N2413" i="13"/>
  <c r="M2416" i="14"/>
  <c r="M2415" i="13"/>
  <c r="K2249" i="14" l="1"/>
  <c r="L2249" i="14" s="1"/>
  <c r="I2250" i="14" s="1"/>
  <c r="K2227" i="13"/>
  <c r="L2227" i="13" s="1"/>
  <c r="I2228" i="13" s="1"/>
  <c r="N2414" i="13"/>
  <c r="J2413" i="13" a="1"/>
  <c r="J2413" i="13" s="1"/>
  <c r="J2412" i="14" a="1"/>
  <c r="J2412" i="14" s="1"/>
  <c r="N2413" i="14"/>
  <c r="M2416" i="13"/>
  <c r="M2417" i="14"/>
  <c r="K2228" i="13" l="1"/>
  <c r="L2228" i="13" s="1"/>
  <c r="I2229" i="13" s="1"/>
  <c r="K2250" i="14"/>
  <c r="L2250" i="14" s="1"/>
  <c r="I2251" i="14" s="1"/>
  <c r="J2413" i="14" a="1"/>
  <c r="J2413" i="14" s="1"/>
  <c r="N2414" i="14"/>
  <c r="M2418" i="14"/>
  <c r="M2417" i="13"/>
  <c r="J2414" i="13" a="1"/>
  <c r="J2414" i="13" s="1"/>
  <c r="N2415" i="13"/>
  <c r="K2251" i="14" l="1"/>
  <c r="L2251" i="14" s="1"/>
  <c r="I2252" i="14" s="1"/>
  <c r="K2229" i="13"/>
  <c r="L2229" i="13" s="1"/>
  <c r="I2230" i="13" s="1"/>
  <c r="J2415" i="13" a="1"/>
  <c r="J2415" i="13" s="1"/>
  <c r="N2416" i="13"/>
  <c r="M2419" i="14"/>
  <c r="N2415" i="14"/>
  <c r="J2414" i="14" a="1"/>
  <c r="J2414" i="14" s="1"/>
  <c r="M2418" i="13"/>
  <c r="K2230" i="13" l="1"/>
  <c r="L2230" i="13" s="1"/>
  <c r="I2231" i="13" s="1"/>
  <c r="K2252" i="14"/>
  <c r="L2252" i="14" s="1"/>
  <c r="I2253" i="14" s="1"/>
  <c r="M2419" i="13"/>
  <c r="M2420" i="14"/>
  <c r="J2416" i="13" a="1"/>
  <c r="J2416" i="13" s="1"/>
  <c r="N2417" i="13"/>
  <c r="N2416" i="14"/>
  <c r="J2415" i="14" a="1"/>
  <c r="J2415" i="14" s="1"/>
  <c r="K2253" i="14" l="1"/>
  <c r="L2253" i="14" s="1"/>
  <c r="I2254" i="14" s="1"/>
  <c r="K2231" i="13"/>
  <c r="L2231" i="13" s="1"/>
  <c r="I2232" i="13" s="1"/>
  <c r="J2416" i="14" a="1"/>
  <c r="J2416" i="14" s="1"/>
  <c r="N2417" i="14"/>
  <c r="M2421" i="14"/>
  <c r="N2418" i="13"/>
  <c r="J2417" i="13" a="1"/>
  <c r="J2417" i="13" s="1"/>
  <c r="M2420" i="13"/>
  <c r="K2232" i="13" l="1"/>
  <c r="L2232" i="13" s="1"/>
  <c r="I2233" i="13" s="1"/>
  <c r="K2254" i="14"/>
  <c r="L2254" i="14" s="1"/>
  <c r="I2255" i="14" s="1"/>
  <c r="M2421" i="13"/>
  <c r="M2422" i="14"/>
  <c r="J2417" i="14" a="1"/>
  <c r="J2417" i="14" s="1"/>
  <c r="N2418" i="14"/>
  <c r="J2418" i="13" a="1"/>
  <c r="J2418" i="13" s="1"/>
  <c r="N2419" i="13"/>
  <c r="K2255" i="14" l="1"/>
  <c r="L2255" i="14" s="1"/>
  <c r="I2256" i="14" s="1"/>
  <c r="K2233" i="13"/>
  <c r="L2233" i="13" s="1"/>
  <c r="I2234" i="13" s="1"/>
  <c r="J2418" i="14" a="1"/>
  <c r="J2418" i="14" s="1"/>
  <c r="N2419" i="14"/>
  <c r="J2419" i="13" a="1"/>
  <c r="J2419" i="13" s="1"/>
  <c r="N2420" i="13"/>
  <c r="M2423" i="14"/>
  <c r="M2422" i="13"/>
  <c r="K2256" i="14" l="1"/>
  <c r="L2256" i="14" s="1"/>
  <c r="I2257" i="14" s="1"/>
  <c r="J2420" i="13" a="1"/>
  <c r="J2420" i="13" s="1"/>
  <c r="N2421" i="13"/>
  <c r="K2234" i="13"/>
  <c r="L2234" i="13" s="1"/>
  <c r="I2235" i="13" s="1"/>
  <c r="M2423" i="13"/>
  <c r="N2420" i="14"/>
  <c r="J2419" i="14" a="1"/>
  <c r="J2419" i="14" s="1"/>
  <c r="M2424" i="14"/>
  <c r="K2235" i="13" l="1"/>
  <c r="L2235" i="13" s="1"/>
  <c r="I2236" i="13" s="1"/>
  <c r="K2257" i="14"/>
  <c r="L2257" i="14" s="1"/>
  <c r="I2258" i="14" s="1"/>
  <c r="M2425" i="14"/>
  <c r="M2424" i="13"/>
  <c r="N2422" i="13"/>
  <c r="J2421" i="13" a="1"/>
  <c r="J2421" i="13" s="1"/>
  <c r="J2420" i="14" a="1"/>
  <c r="J2420" i="14" s="1"/>
  <c r="N2421" i="14"/>
  <c r="K2236" i="13" l="1"/>
  <c r="L2236" i="13" s="1"/>
  <c r="I2237" i="13" s="1"/>
  <c r="J2421" i="14" a="1"/>
  <c r="J2421" i="14" s="1"/>
  <c r="N2422" i="14"/>
  <c r="M2425" i="13"/>
  <c r="K2258" i="14"/>
  <c r="L2258" i="14" s="1"/>
  <c r="I2259" i="14" s="1"/>
  <c r="J2422" i="13" a="1"/>
  <c r="J2422" i="13" s="1"/>
  <c r="N2423" i="13"/>
  <c r="M2426" i="14"/>
  <c r="K2237" i="13" l="1"/>
  <c r="L2237" i="13" s="1"/>
  <c r="I2238" i="13" s="1"/>
  <c r="M2427" i="14"/>
  <c r="N2423" i="14"/>
  <c r="J2422" i="14" a="1"/>
  <c r="J2422" i="14" s="1"/>
  <c r="K2259" i="14"/>
  <c r="L2259" i="14" s="1"/>
  <c r="I2260" i="14" s="1"/>
  <c r="J2423" i="13" a="1"/>
  <c r="J2423" i="13" s="1"/>
  <c r="N2424" i="13"/>
  <c r="M2426" i="13"/>
  <c r="K2260" i="14" l="1"/>
  <c r="L2260" i="14" s="1"/>
  <c r="I2261" i="14" s="1"/>
  <c r="K2238" i="13"/>
  <c r="L2238" i="13" s="1"/>
  <c r="I2239" i="13" s="1"/>
  <c r="M2427" i="13"/>
  <c r="M2428" i="14"/>
  <c r="J2424" i="13" a="1"/>
  <c r="J2424" i="13" s="1"/>
  <c r="N2425" i="13"/>
  <c r="N2424" i="14"/>
  <c r="J2423" i="14" a="1"/>
  <c r="J2423" i="14" s="1"/>
  <c r="K2239" i="13" l="1"/>
  <c r="L2239" i="13" s="1"/>
  <c r="I2240" i="13" s="1"/>
  <c r="K2261" i="14"/>
  <c r="L2261" i="14" s="1"/>
  <c r="I2262" i="14" s="1"/>
  <c r="J2424" i="14" a="1"/>
  <c r="J2424" i="14" s="1"/>
  <c r="N2425" i="14"/>
  <c r="M2429" i="14"/>
  <c r="N2426" i="13"/>
  <c r="J2425" i="13" a="1"/>
  <c r="J2425" i="13" s="1"/>
  <c r="M2428" i="13"/>
  <c r="K2262" i="14" l="1"/>
  <c r="L2262" i="14" s="1"/>
  <c r="I2263" i="14" s="1"/>
  <c r="K2240" i="13"/>
  <c r="L2240" i="13" s="1"/>
  <c r="I2241" i="13" s="1"/>
  <c r="J2426" i="13" a="1"/>
  <c r="J2426" i="13" s="1"/>
  <c r="N2427" i="13"/>
  <c r="M2429" i="13"/>
  <c r="J2425" i="14" a="1"/>
  <c r="J2425" i="14" s="1"/>
  <c r="N2426" i="14"/>
  <c r="M2430" i="14"/>
  <c r="K2263" i="14" l="1"/>
  <c r="L2263" i="14" s="1"/>
  <c r="I2264" i="14" s="1"/>
  <c r="M2431" i="14"/>
  <c r="M2430" i="13"/>
  <c r="K2241" i="13"/>
  <c r="L2241" i="13" s="1"/>
  <c r="I2242" i="13" s="1"/>
  <c r="J2426" i="14" a="1"/>
  <c r="J2426" i="14" s="1"/>
  <c r="N2427" i="14"/>
  <c r="J2427" i="13" a="1"/>
  <c r="J2427" i="13" s="1"/>
  <c r="N2428" i="13"/>
  <c r="K2264" i="14" l="1"/>
  <c r="L2264" i="14" s="1"/>
  <c r="I2265" i="14" s="1"/>
  <c r="J2428" i="13" a="1"/>
  <c r="J2428" i="13" s="1"/>
  <c r="N2429" i="13"/>
  <c r="K2242" i="13"/>
  <c r="L2242" i="13" s="1"/>
  <c r="I2243" i="13" s="1"/>
  <c r="M2432" i="14"/>
  <c r="N2428" i="14"/>
  <c r="J2427" i="14" a="1"/>
  <c r="J2427" i="14" s="1"/>
  <c r="M2431" i="13"/>
  <c r="K2243" i="13" l="1"/>
  <c r="L2243" i="13" s="1"/>
  <c r="I2244" i="13" s="1"/>
  <c r="K2265" i="14"/>
  <c r="L2265" i="14" s="1"/>
  <c r="I2266" i="14" s="1"/>
  <c r="N2430" i="13"/>
  <c r="J2429" i="13" a="1"/>
  <c r="J2429" i="13" s="1"/>
  <c r="M2432" i="13"/>
  <c r="M2433" i="14"/>
  <c r="J2428" i="14" a="1"/>
  <c r="J2428" i="14" s="1"/>
  <c r="N2429" i="14"/>
  <c r="K2244" i="13" l="1"/>
  <c r="L2244" i="13" s="1"/>
  <c r="I2245" i="13" s="1"/>
  <c r="J2429" i="14" a="1"/>
  <c r="J2429" i="14" s="1"/>
  <c r="N2430" i="14"/>
  <c r="M2433" i="13"/>
  <c r="K2266" i="14"/>
  <c r="L2266" i="14" s="1"/>
  <c r="I2267" i="14" s="1"/>
  <c r="M2434" i="14"/>
  <c r="J2430" i="13" a="1"/>
  <c r="J2430" i="13" s="1"/>
  <c r="N2431" i="13"/>
  <c r="K2267" i="14" l="1"/>
  <c r="L2267" i="14" s="1"/>
  <c r="I2268" i="14" s="1"/>
  <c r="K2245" i="13"/>
  <c r="L2245" i="13" s="1"/>
  <c r="I2246" i="13" s="1"/>
  <c r="N2431" i="14"/>
  <c r="J2430" i="14" a="1"/>
  <c r="J2430" i="14" s="1"/>
  <c r="J2431" i="13" a="1"/>
  <c r="J2431" i="13" s="1"/>
  <c r="N2432" i="13"/>
  <c r="M2435" i="14"/>
  <c r="M2434" i="13"/>
  <c r="K2246" i="13" l="1"/>
  <c r="L2246" i="13" s="1"/>
  <c r="I2247" i="13" s="1"/>
  <c r="K2268" i="14"/>
  <c r="L2268" i="14" s="1"/>
  <c r="I2269" i="14" s="1"/>
  <c r="M2435" i="13"/>
  <c r="J2432" i="13" a="1"/>
  <c r="J2432" i="13" s="1"/>
  <c r="N2433" i="13"/>
  <c r="M2436" i="14"/>
  <c r="N2432" i="14"/>
  <c r="J2431" i="14" a="1"/>
  <c r="J2431" i="14" s="1"/>
  <c r="K2247" i="13" l="1"/>
  <c r="L2247" i="13" s="1"/>
  <c r="I2248" i="13" s="1"/>
  <c r="N2434" i="13"/>
  <c r="J2433" i="13" a="1"/>
  <c r="J2433" i="13" s="1"/>
  <c r="K2269" i="14"/>
  <c r="L2269" i="14" s="1"/>
  <c r="I2270" i="14" s="1"/>
  <c r="J2432" i="14" a="1"/>
  <c r="J2432" i="14" s="1"/>
  <c r="N2433" i="14"/>
  <c r="M2437" i="14"/>
  <c r="M2436" i="13"/>
  <c r="K2270" i="14" l="1"/>
  <c r="L2270" i="14" s="1"/>
  <c r="I2271" i="14" s="1"/>
  <c r="K2248" i="13"/>
  <c r="L2248" i="13" s="1"/>
  <c r="I2249" i="13" s="1"/>
  <c r="J2433" i="14" a="1"/>
  <c r="J2433" i="14" s="1"/>
  <c r="N2434" i="14"/>
  <c r="M2437" i="13"/>
  <c r="J2434" i="13" a="1"/>
  <c r="J2434" i="13" s="1"/>
  <c r="N2435" i="13"/>
  <c r="M2438" i="14"/>
  <c r="K2271" i="14" l="1"/>
  <c r="L2271" i="14" s="1"/>
  <c r="I2272" i="14" s="1"/>
  <c r="K2249" i="13"/>
  <c r="L2249" i="13" s="1"/>
  <c r="I2250" i="13" s="1"/>
  <c r="J2434" i="14" a="1"/>
  <c r="J2434" i="14" s="1"/>
  <c r="N2435" i="14"/>
  <c r="M2439" i="14"/>
  <c r="M2438" i="13"/>
  <c r="J2435" i="13" a="1"/>
  <c r="J2435" i="13" s="1"/>
  <c r="N2436" i="13"/>
  <c r="K2250" i="13" l="1"/>
  <c r="L2250" i="13" s="1"/>
  <c r="I2251" i="13" s="1"/>
  <c r="K2272" i="14"/>
  <c r="L2272" i="14" s="1"/>
  <c r="I2273" i="14" s="1"/>
  <c r="J2436" i="13" a="1"/>
  <c r="J2436" i="13" s="1"/>
  <c r="N2437" i="13"/>
  <c r="M2440" i="14"/>
  <c r="N2436" i="14"/>
  <c r="J2435" i="14" a="1"/>
  <c r="J2435" i="14" s="1"/>
  <c r="M2439" i="13"/>
  <c r="K2251" i="13" l="1"/>
  <c r="L2251" i="13" s="1"/>
  <c r="I2252" i="13" s="1"/>
  <c r="J2436" i="14" a="1"/>
  <c r="J2436" i="14" s="1"/>
  <c r="N2437" i="14"/>
  <c r="M2440" i="13"/>
  <c r="M2441" i="14"/>
  <c r="K2273" i="14"/>
  <c r="L2273" i="14" s="1"/>
  <c r="I2274" i="14" s="1"/>
  <c r="N2438" i="13"/>
  <c r="J2437" i="13" a="1"/>
  <c r="J2437" i="13" s="1"/>
  <c r="K2274" i="14" l="1"/>
  <c r="L2274" i="14" s="1"/>
  <c r="I2275" i="14" s="1"/>
  <c r="K2252" i="13"/>
  <c r="L2252" i="13" s="1"/>
  <c r="I2253" i="13" s="1"/>
  <c r="J2437" i="14" a="1"/>
  <c r="J2437" i="14" s="1"/>
  <c r="N2438" i="14"/>
  <c r="M2442" i="14"/>
  <c r="J2438" i="13" a="1"/>
  <c r="J2438" i="13" s="1"/>
  <c r="N2439" i="13"/>
  <c r="M2441" i="13"/>
  <c r="M2443" i="14" l="1"/>
  <c r="K2253" i="13"/>
  <c r="L2253" i="13" s="1"/>
  <c r="I2254" i="13" s="1"/>
  <c r="M2442" i="13"/>
  <c r="J2439" i="13" a="1"/>
  <c r="J2439" i="13" s="1"/>
  <c r="N2440" i="13"/>
  <c r="N2439" i="14"/>
  <c r="J2438" i="14" a="1"/>
  <c r="J2438" i="14" s="1"/>
  <c r="K2275" i="14"/>
  <c r="L2275" i="14" s="1"/>
  <c r="I2276" i="14" s="1"/>
  <c r="K2254" i="13" l="1"/>
  <c r="L2254" i="13" s="1"/>
  <c r="I2255" i="13" s="1"/>
  <c r="K2276" i="14"/>
  <c r="L2276" i="14" s="1"/>
  <c r="I2277" i="14" s="1"/>
  <c r="J2440" i="13" a="1"/>
  <c r="J2440" i="13" s="1"/>
  <c r="N2441" i="13"/>
  <c r="N2440" i="14"/>
  <c r="J2439" i="14" a="1"/>
  <c r="J2439" i="14" s="1"/>
  <c r="M2443" i="13"/>
  <c r="M2444" i="14"/>
  <c r="K2255" i="13" l="1"/>
  <c r="L2255" i="13" s="1"/>
  <c r="I2256" i="13" s="1"/>
  <c r="K2277" i="14"/>
  <c r="L2277" i="14" s="1"/>
  <c r="I2278" i="14" s="1"/>
  <c r="M2444" i="13"/>
  <c r="M2445" i="14"/>
  <c r="J2440" i="14" a="1"/>
  <c r="J2440" i="14" s="1"/>
  <c r="N2441" i="14"/>
  <c r="N2442" i="13"/>
  <c r="J2441" i="13" a="1"/>
  <c r="J2441" i="13" s="1"/>
  <c r="K2278" i="14" l="1"/>
  <c r="L2278" i="14" s="1"/>
  <c r="I2279" i="14" s="1"/>
  <c r="K2256" i="13"/>
  <c r="L2256" i="13" s="1"/>
  <c r="I2257" i="13" s="1"/>
  <c r="J2442" i="13" a="1"/>
  <c r="J2442" i="13" s="1"/>
  <c r="N2443" i="13"/>
  <c r="M2446" i="14"/>
  <c r="J2441" i="14" a="1"/>
  <c r="J2441" i="14" s="1"/>
  <c r="N2442" i="14"/>
  <c r="M2445" i="13"/>
  <c r="K2257" i="13" l="1"/>
  <c r="L2257" i="13" s="1"/>
  <c r="I2258" i="13" s="1"/>
  <c r="K2279" i="14"/>
  <c r="L2279" i="14" s="1"/>
  <c r="I2280" i="14" s="1"/>
  <c r="J2443" i="13" a="1"/>
  <c r="J2443" i="13" s="1"/>
  <c r="N2444" i="13"/>
  <c r="M2447" i="14"/>
  <c r="M2446" i="13"/>
  <c r="J2442" i="14" a="1"/>
  <c r="J2442" i="14" s="1"/>
  <c r="N2443" i="14"/>
  <c r="K2258" i="13" l="1"/>
  <c r="L2258" i="13" s="1"/>
  <c r="I2259" i="13" s="1"/>
  <c r="N2444" i="14"/>
  <c r="J2443" i="14" a="1"/>
  <c r="J2443" i="14" s="1"/>
  <c r="K2280" i="14"/>
  <c r="L2280" i="14" s="1"/>
  <c r="I2281" i="14" s="1"/>
  <c r="J2444" i="13" a="1"/>
  <c r="J2444" i="13" s="1"/>
  <c r="N2445" i="13"/>
  <c r="M2448" i="14"/>
  <c r="M2447" i="13"/>
  <c r="K2281" i="14" l="1"/>
  <c r="L2281" i="14" s="1"/>
  <c r="I2282" i="14" s="1"/>
  <c r="K2259" i="13"/>
  <c r="L2259" i="13" s="1"/>
  <c r="I2260" i="13" s="1"/>
  <c r="J2444" i="14" a="1"/>
  <c r="J2444" i="14" s="1"/>
  <c r="N2445" i="14"/>
  <c r="N2446" i="13"/>
  <c r="J2445" i="13" a="1"/>
  <c r="J2445" i="13" s="1"/>
  <c r="M2448" i="13"/>
  <c r="M2449" i="14"/>
  <c r="K2282" i="14" l="1"/>
  <c r="L2282" i="14" s="1"/>
  <c r="I2283" i="14" s="1"/>
  <c r="M2450" i="14"/>
  <c r="K2260" i="13"/>
  <c r="L2260" i="13" s="1"/>
  <c r="I2261" i="13" s="1"/>
  <c r="J2446" i="13" a="1"/>
  <c r="J2446" i="13" s="1"/>
  <c r="N2447" i="13"/>
  <c r="M2449" i="13"/>
  <c r="J2445" i="14" a="1"/>
  <c r="J2445" i="14" s="1"/>
  <c r="N2446" i="14"/>
  <c r="K2261" i="13" l="1"/>
  <c r="L2261" i="13" s="1"/>
  <c r="I2262" i="13" s="1"/>
  <c r="K2283" i="14"/>
  <c r="L2283" i="14" s="1"/>
  <c r="I2284" i="14" s="1"/>
  <c r="N2447" i="14"/>
  <c r="J2446" i="14" a="1"/>
  <c r="J2446" i="14" s="1"/>
  <c r="J2447" i="13" a="1"/>
  <c r="J2447" i="13" s="1"/>
  <c r="N2448" i="13"/>
  <c r="M2451" i="14"/>
  <c r="M2450" i="13"/>
  <c r="K2262" i="13" l="1"/>
  <c r="L2262" i="13" s="1"/>
  <c r="I2263" i="13" s="1"/>
  <c r="J2448" i="13" a="1"/>
  <c r="J2448" i="13" s="1"/>
  <c r="N2449" i="13"/>
  <c r="M2451" i="13"/>
  <c r="K2284" i="14"/>
  <c r="L2284" i="14" s="1"/>
  <c r="I2285" i="14" s="1"/>
  <c r="M2452" i="14"/>
  <c r="N2448" i="14"/>
  <c r="J2447" i="14" a="1"/>
  <c r="J2447" i="14" s="1"/>
  <c r="K2285" i="14" l="1"/>
  <c r="L2285" i="14" s="1"/>
  <c r="I2286" i="14" s="1"/>
  <c r="K2263" i="13"/>
  <c r="L2263" i="13" s="1"/>
  <c r="I2264" i="13" s="1"/>
  <c r="N2450" i="13"/>
  <c r="J2449" i="13" a="1"/>
  <c r="J2449" i="13" s="1"/>
  <c r="J2448" i="14" a="1"/>
  <c r="J2448" i="14" s="1"/>
  <c r="N2449" i="14"/>
  <c r="M2453" i="14"/>
  <c r="M2452" i="13"/>
  <c r="K2286" i="14" l="1"/>
  <c r="L2286" i="14" s="1"/>
  <c r="I2287" i="14" s="1"/>
  <c r="K2264" i="13"/>
  <c r="L2264" i="13" s="1"/>
  <c r="I2265" i="13" s="1"/>
  <c r="J2449" i="14" a="1"/>
  <c r="J2449" i="14" s="1"/>
  <c r="N2450" i="14"/>
  <c r="M2453" i="13"/>
  <c r="M2454" i="14"/>
  <c r="J2450" i="13" a="1"/>
  <c r="J2450" i="13" s="1"/>
  <c r="N2451" i="13"/>
  <c r="K2265" i="13" l="1"/>
  <c r="L2265" i="13" s="1"/>
  <c r="I2266" i="13" s="1"/>
  <c r="K2287" i="14"/>
  <c r="L2287" i="14" s="1"/>
  <c r="I2288" i="14" s="1"/>
  <c r="M2455" i="14"/>
  <c r="J2451" i="13" a="1"/>
  <c r="J2451" i="13" s="1"/>
  <c r="N2452" i="13"/>
  <c r="M2454" i="13"/>
  <c r="J2450" i="14" a="1"/>
  <c r="J2450" i="14" s="1"/>
  <c r="N2451" i="14"/>
  <c r="K2288" i="14" l="1"/>
  <c r="L2288" i="14" s="1"/>
  <c r="I2289" i="14" s="1"/>
  <c r="K2266" i="13"/>
  <c r="L2266" i="13" s="1"/>
  <c r="I2267" i="13" s="1"/>
  <c r="N2452" i="14"/>
  <c r="J2451" i="14" a="1"/>
  <c r="J2451" i="14" s="1"/>
  <c r="J2452" i="13" a="1"/>
  <c r="J2452" i="13" s="1"/>
  <c r="N2453" i="13"/>
  <c r="M2455" i="13"/>
  <c r="M2456" i="14"/>
  <c r="K2289" i="14" l="1"/>
  <c r="L2289" i="14" s="1"/>
  <c r="I2290" i="14" s="1"/>
  <c r="N2454" i="13"/>
  <c r="J2453" i="13" a="1"/>
  <c r="J2453" i="13" s="1"/>
  <c r="M2457" i="14"/>
  <c r="K2267" i="13"/>
  <c r="L2267" i="13" s="1"/>
  <c r="I2268" i="13" s="1"/>
  <c r="M2456" i="13"/>
  <c r="J2452" i="14" a="1"/>
  <c r="J2452" i="14" s="1"/>
  <c r="N2453" i="14"/>
  <c r="K2268" i="13" l="1"/>
  <c r="L2268" i="13" s="1"/>
  <c r="I2269" i="13" s="1"/>
  <c r="K2290" i="14"/>
  <c r="L2290" i="14" s="1"/>
  <c r="I2291" i="14" s="1"/>
  <c r="J2454" i="13" a="1"/>
  <c r="J2454" i="13" s="1"/>
  <c r="N2455" i="13"/>
  <c r="J2453" i="14" a="1"/>
  <c r="J2453" i="14" s="1"/>
  <c r="N2454" i="14"/>
  <c r="M2457" i="13"/>
  <c r="M2458" i="14"/>
  <c r="K2269" i="13" l="1"/>
  <c r="L2269" i="13" s="1"/>
  <c r="I2270" i="13" s="1"/>
  <c r="M2459" i="14"/>
  <c r="N2455" i="14"/>
  <c r="J2454" i="14" a="1"/>
  <c r="J2454" i="14" s="1"/>
  <c r="K2291" i="14"/>
  <c r="L2291" i="14" s="1"/>
  <c r="I2292" i="14" s="1"/>
  <c r="J2455" i="13" a="1"/>
  <c r="J2455" i="13" s="1"/>
  <c r="N2456" i="13"/>
  <c r="M2458" i="13"/>
  <c r="K2292" i="14" l="1"/>
  <c r="L2292" i="14" s="1"/>
  <c r="I2293" i="14" s="1"/>
  <c r="K2270" i="13"/>
  <c r="L2270" i="13" s="1"/>
  <c r="I2271" i="13" s="1"/>
  <c r="M2459" i="13"/>
  <c r="M2460" i="14"/>
  <c r="J2456" i="13" a="1"/>
  <c r="J2456" i="13" s="1"/>
  <c r="N2457" i="13"/>
  <c r="N2456" i="14"/>
  <c r="J2455" i="14" a="1"/>
  <c r="J2455" i="14" s="1"/>
  <c r="K2293" i="14" l="1"/>
  <c r="L2293" i="14" s="1"/>
  <c r="I2294" i="14" s="1"/>
  <c r="J2456" i="14" a="1"/>
  <c r="J2456" i="14" s="1"/>
  <c r="N2457" i="14"/>
  <c r="M2461" i="14"/>
  <c r="K2271" i="13"/>
  <c r="L2271" i="13" s="1"/>
  <c r="I2272" i="13" s="1"/>
  <c r="N2458" i="13"/>
  <c r="J2457" i="13" a="1"/>
  <c r="J2457" i="13" s="1"/>
  <c r="M2460" i="13"/>
  <c r="K2272" i="13" l="1"/>
  <c r="L2272" i="13" s="1"/>
  <c r="I2273" i="13" s="1"/>
  <c r="K2294" i="14"/>
  <c r="L2294" i="14" s="1"/>
  <c r="I2295" i="14" s="1"/>
  <c r="M2461" i="13"/>
  <c r="J2457" i="14" a="1"/>
  <c r="J2457" i="14" s="1"/>
  <c r="N2458" i="14"/>
  <c r="J2458" i="13" a="1"/>
  <c r="J2458" i="13" s="1"/>
  <c r="N2459" i="13"/>
  <c r="M2462" i="14"/>
  <c r="K2273" i="13" l="1"/>
  <c r="L2273" i="13" s="1"/>
  <c r="I2274" i="13" s="1"/>
  <c r="J2458" i="14" a="1"/>
  <c r="J2458" i="14" s="1"/>
  <c r="N2459" i="14"/>
  <c r="M2463" i="14"/>
  <c r="K2295" i="14"/>
  <c r="L2295" i="14" s="1"/>
  <c r="I2296" i="14" s="1"/>
  <c r="J2459" i="13" a="1"/>
  <c r="J2459" i="13" s="1"/>
  <c r="N2460" i="13"/>
  <c r="M2462" i="13"/>
  <c r="K2296" i="14" l="1"/>
  <c r="L2296" i="14" s="1"/>
  <c r="I2297" i="14" s="1"/>
  <c r="K2274" i="13"/>
  <c r="L2274" i="13" s="1"/>
  <c r="I2275" i="13" s="1"/>
  <c r="N2460" i="14"/>
  <c r="J2459" i="14" a="1"/>
  <c r="J2459" i="14" s="1"/>
  <c r="M2463" i="13"/>
  <c r="J2460" i="13" a="1"/>
  <c r="J2460" i="13" s="1"/>
  <c r="N2461" i="13"/>
  <c r="M2464" i="14"/>
  <c r="K2297" i="14" l="1"/>
  <c r="L2297" i="14" s="1"/>
  <c r="I2298" i="14" s="1"/>
  <c r="M2464" i="13"/>
  <c r="M2465" i="14"/>
  <c r="K2275" i="13"/>
  <c r="L2275" i="13" s="1"/>
  <c r="I2276" i="13" s="1"/>
  <c r="N2462" i="13"/>
  <c r="J2461" i="13" a="1"/>
  <c r="J2461" i="13" s="1"/>
  <c r="J2460" i="14" a="1"/>
  <c r="J2460" i="14" s="1"/>
  <c r="N2461" i="14"/>
  <c r="K2276" i="13" l="1"/>
  <c r="L2276" i="13" s="1"/>
  <c r="I2277" i="13" s="1"/>
  <c r="K2298" i="14"/>
  <c r="L2298" i="14" s="1"/>
  <c r="I2299" i="14" s="1"/>
  <c r="J2461" i="14" a="1"/>
  <c r="J2461" i="14" s="1"/>
  <c r="N2462" i="14"/>
  <c r="M2465" i="13"/>
  <c r="J2462" i="13" a="1"/>
  <c r="J2462" i="13" s="1"/>
  <c r="N2463" i="13"/>
  <c r="M2466" i="14"/>
  <c r="K2299" i="14" l="1"/>
  <c r="L2299" i="14" s="1"/>
  <c r="I2300" i="14" s="1"/>
  <c r="K2277" i="13"/>
  <c r="L2277" i="13" s="1"/>
  <c r="I2278" i="13" s="1"/>
  <c r="N2463" i="14"/>
  <c r="J2462" i="14" a="1"/>
  <c r="J2462" i="14" s="1"/>
  <c r="M2467" i="14"/>
  <c r="M2466" i="13"/>
  <c r="J2463" i="13" a="1"/>
  <c r="J2463" i="13" s="1"/>
  <c r="N2464" i="13"/>
  <c r="K2278" i="13" l="1"/>
  <c r="L2278" i="13" s="1"/>
  <c r="I2279" i="13" s="1"/>
  <c r="K2300" i="14"/>
  <c r="L2300" i="14" s="1"/>
  <c r="I2301" i="14" s="1"/>
  <c r="M2467" i="13"/>
  <c r="J2464" i="13" a="1"/>
  <c r="J2464" i="13" s="1"/>
  <c r="N2465" i="13"/>
  <c r="M2468" i="14"/>
  <c r="N2464" i="14"/>
  <c r="J2463" i="14" a="1"/>
  <c r="J2463" i="14" s="1"/>
  <c r="K2301" i="14" l="1"/>
  <c r="L2301" i="14" s="1"/>
  <c r="I2302" i="14" s="1"/>
  <c r="K2279" i="13"/>
  <c r="L2279" i="13" s="1"/>
  <c r="I2280" i="13" s="1"/>
  <c r="N2466" i="13"/>
  <c r="J2465" i="13" a="1"/>
  <c r="J2465" i="13" s="1"/>
  <c r="J2464" i="14" a="1"/>
  <c r="J2464" i="14" s="1"/>
  <c r="N2465" i="14"/>
  <c r="M2469" i="14"/>
  <c r="M2468" i="13"/>
  <c r="K2302" i="14" l="1"/>
  <c r="L2302" i="14" s="1"/>
  <c r="I2303" i="14" s="1"/>
  <c r="K2280" i="13"/>
  <c r="L2280" i="13" s="1"/>
  <c r="I2281" i="13" s="1"/>
  <c r="M2469" i="13"/>
  <c r="J2465" i="14" a="1"/>
  <c r="J2465" i="14" s="1"/>
  <c r="N2466" i="14"/>
  <c r="M2470" i="14"/>
  <c r="J2466" i="13" a="1"/>
  <c r="J2466" i="13" s="1"/>
  <c r="N2467" i="13"/>
  <c r="K2303" i="14" l="1"/>
  <c r="L2303" i="14" s="1"/>
  <c r="I2304" i="14" s="1"/>
  <c r="J2466" i="14" a="1"/>
  <c r="J2466" i="14" s="1"/>
  <c r="N2467" i="14"/>
  <c r="J2467" i="13" a="1"/>
  <c r="J2467" i="13" s="1"/>
  <c r="N2468" i="13"/>
  <c r="K2281" i="13"/>
  <c r="L2281" i="13" s="1"/>
  <c r="I2282" i="13" s="1"/>
  <c r="M2471" i="14"/>
  <c r="M2470" i="13"/>
  <c r="K2304" i="14" l="1"/>
  <c r="L2304" i="14" s="1"/>
  <c r="I2305" i="14" s="1"/>
  <c r="M2472" i="14"/>
  <c r="N2468" i="14"/>
  <c r="J2467" i="14" a="1"/>
  <c r="J2467" i="14" s="1"/>
  <c r="M2471" i="13"/>
  <c r="K2282" i="13"/>
  <c r="L2282" i="13" s="1"/>
  <c r="I2283" i="13" s="1"/>
  <c r="J2468" i="13" a="1"/>
  <c r="J2468" i="13" s="1"/>
  <c r="N2469" i="13"/>
  <c r="K2283" i="13" l="1"/>
  <c r="L2283" i="13" s="1"/>
  <c r="I2284" i="13" s="1"/>
  <c r="K2305" i="14"/>
  <c r="L2305" i="14" s="1"/>
  <c r="I2306" i="14" s="1"/>
  <c r="N2470" i="13"/>
  <c r="J2469" i="13" a="1"/>
  <c r="J2469" i="13" s="1"/>
  <c r="M2472" i="13"/>
  <c r="M2473" i="14"/>
  <c r="J2468" i="14" a="1"/>
  <c r="J2468" i="14" s="1"/>
  <c r="N2469" i="14"/>
  <c r="K2284" i="13" l="1"/>
  <c r="L2284" i="13" s="1"/>
  <c r="I2285" i="13" s="1"/>
  <c r="J2469" i="14" a="1"/>
  <c r="J2469" i="14" s="1"/>
  <c r="N2470" i="14"/>
  <c r="M2473" i="13"/>
  <c r="K2306" i="14"/>
  <c r="L2306" i="14" s="1"/>
  <c r="I2307" i="14" s="1"/>
  <c r="M2474" i="14"/>
  <c r="J2470" i="13" a="1"/>
  <c r="J2470" i="13" s="1"/>
  <c r="N2471" i="13"/>
  <c r="K2307" i="14" l="1"/>
  <c r="L2307" i="14" s="1"/>
  <c r="I2308" i="14" s="1"/>
  <c r="K2285" i="13"/>
  <c r="L2285" i="13" s="1"/>
  <c r="I2286" i="13" s="1"/>
  <c r="N2471" i="14"/>
  <c r="J2470" i="14" a="1"/>
  <c r="J2470" i="14" s="1"/>
  <c r="J2471" i="13" a="1"/>
  <c r="J2471" i="13" s="1"/>
  <c r="N2472" i="13"/>
  <c r="M2475" i="14"/>
  <c r="M2474" i="13"/>
  <c r="K2308" i="14" l="1"/>
  <c r="L2308" i="14" s="1"/>
  <c r="I2309" i="14" s="1"/>
  <c r="M2476" i="14"/>
  <c r="J2472" i="13" a="1"/>
  <c r="J2472" i="13" s="1"/>
  <c r="N2473" i="13"/>
  <c r="K2286" i="13"/>
  <c r="L2286" i="13" s="1"/>
  <c r="I2287" i="13" s="1"/>
  <c r="M2475" i="13"/>
  <c r="N2472" i="14"/>
  <c r="J2471" i="14" a="1"/>
  <c r="J2471" i="14" s="1"/>
  <c r="K2309" i="14" l="1"/>
  <c r="L2309" i="14" s="1"/>
  <c r="I2310" i="14" s="1"/>
  <c r="K2287" i="13"/>
  <c r="L2287" i="13" s="1"/>
  <c r="I2288" i="13" s="1"/>
  <c r="M2476" i="13"/>
  <c r="M2477" i="14"/>
  <c r="J2472" i="14" a="1"/>
  <c r="J2472" i="14" s="1"/>
  <c r="N2473" i="14"/>
  <c r="N2474" i="13"/>
  <c r="J2473" i="13" a="1"/>
  <c r="J2473" i="13" s="1"/>
  <c r="K2310" i="14" l="1"/>
  <c r="L2310" i="14" s="1"/>
  <c r="I2311" i="14" s="1"/>
  <c r="K2288" i="13"/>
  <c r="L2288" i="13" s="1"/>
  <c r="I2289" i="13" s="1"/>
  <c r="J2474" i="13" a="1"/>
  <c r="J2474" i="13" s="1"/>
  <c r="N2475" i="13"/>
  <c r="M2478" i="14"/>
  <c r="J2473" i="14" a="1"/>
  <c r="J2473" i="14" s="1"/>
  <c r="N2474" i="14"/>
  <c r="M2477" i="13"/>
  <c r="K2289" i="13" l="1"/>
  <c r="L2289" i="13" s="1"/>
  <c r="I2290" i="13" s="1"/>
  <c r="K2311" i="14"/>
  <c r="L2311" i="14" s="1"/>
  <c r="I2312" i="14" s="1"/>
  <c r="J2475" i="13" a="1"/>
  <c r="J2475" i="13" s="1"/>
  <c r="N2476" i="13"/>
  <c r="M2479" i="14"/>
  <c r="M2478" i="13"/>
  <c r="J2474" i="14" a="1"/>
  <c r="J2474" i="14" s="1"/>
  <c r="N2475" i="14"/>
  <c r="K2312" i="14" l="1"/>
  <c r="L2312" i="14" s="1"/>
  <c r="I2313" i="14" s="1"/>
  <c r="K2290" i="13"/>
  <c r="L2290" i="13" s="1"/>
  <c r="I2291" i="13" s="1"/>
  <c r="N2476" i="14"/>
  <c r="J2475" i="14" a="1"/>
  <c r="J2475" i="14" s="1"/>
  <c r="M2480" i="14"/>
  <c r="J2476" i="13" a="1"/>
  <c r="J2476" i="13" s="1"/>
  <c r="N2477" i="13"/>
  <c r="M2479" i="13"/>
  <c r="K2313" i="14" l="1"/>
  <c r="L2313" i="14" s="1"/>
  <c r="I2314" i="14" s="1"/>
  <c r="M2480" i="13"/>
  <c r="K2291" i="13"/>
  <c r="L2291" i="13" s="1"/>
  <c r="I2292" i="13" s="1"/>
  <c r="N2478" i="13"/>
  <c r="J2477" i="13" a="1"/>
  <c r="J2477" i="13" s="1"/>
  <c r="M2481" i="14"/>
  <c r="J2476" i="14" a="1"/>
  <c r="J2476" i="14" s="1"/>
  <c r="N2477" i="14"/>
  <c r="K2292" i="13" l="1"/>
  <c r="L2292" i="13" s="1"/>
  <c r="I2293" i="13" s="1"/>
  <c r="K2314" i="14"/>
  <c r="L2314" i="14" s="1"/>
  <c r="I2315" i="14" s="1"/>
  <c r="J2477" i="14" a="1"/>
  <c r="J2477" i="14" s="1"/>
  <c r="N2478" i="14"/>
  <c r="M2481" i="13"/>
  <c r="J2478" i="13" a="1"/>
  <c r="J2478" i="13" s="1"/>
  <c r="N2479" i="13"/>
  <c r="M2482" i="14"/>
  <c r="K2293" i="13" l="1"/>
  <c r="L2293" i="13" s="1"/>
  <c r="I2294" i="13" s="1"/>
  <c r="M2483" i="14"/>
  <c r="M2482" i="13"/>
  <c r="K2315" i="14"/>
  <c r="L2315" i="14" s="1"/>
  <c r="I2316" i="14" s="1"/>
  <c r="J2479" i="13" a="1"/>
  <c r="J2479" i="13" s="1"/>
  <c r="N2480" i="13"/>
  <c r="N2479" i="14"/>
  <c r="J2478" i="14" a="1"/>
  <c r="J2478" i="14" s="1"/>
  <c r="K2294" i="13" l="1"/>
  <c r="L2294" i="13" s="1"/>
  <c r="I2295" i="13" s="1"/>
  <c r="N2480" i="14"/>
  <c r="J2479" i="14" a="1"/>
  <c r="J2479" i="14" s="1"/>
  <c r="K2316" i="14"/>
  <c r="L2316" i="14" s="1"/>
  <c r="I2317" i="14" s="1"/>
  <c r="M2484" i="14"/>
  <c r="J2480" i="13" a="1"/>
  <c r="J2480" i="13" s="1"/>
  <c r="N2481" i="13"/>
  <c r="M2483" i="13"/>
  <c r="K2317" i="14" l="1"/>
  <c r="L2317" i="14" s="1"/>
  <c r="I2318" i="14" s="1"/>
  <c r="K2295" i="13"/>
  <c r="L2295" i="13" s="1"/>
  <c r="I2296" i="13" s="1"/>
  <c r="M2484" i="13"/>
  <c r="M2485" i="14"/>
  <c r="J2480" i="14" a="1"/>
  <c r="J2480" i="14" s="1"/>
  <c r="N2481" i="14"/>
  <c r="N2482" i="13"/>
  <c r="J2481" i="13" a="1"/>
  <c r="J2481" i="13" s="1"/>
  <c r="K2296" i="13" l="1"/>
  <c r="L2296" i="13" s="1"/>
  <c r="I2297" i="13" s="1"/>
  <c r="J2482" i="13" a="1"/>
  <c r="J2482" i="13" s="1"/>
  <c r="N2483" i="13"/>
  <c r="M2486" i="14"/>
  <c r="J2481" i="14" a="1"/>
  <c r="J2481" i="14" s="1"/>
  <c r="N2482" i="14"/>
  <c r="M2485" i="13"/>
  <c r="K2318" i="14"/>
  <c r="L2318" i="14" s="1"/>
  <c r="I2319" i="14" s="1"/>
  <c r="K2319" i="14" l="1"/>
  <c r="L2319" i="14" s="1"/>
  <c r="I2320" i="14" s="1"/>
  <c r="K2297" i="13"/>
  <c r="L2297" i="13" s="1"/>
  <c r="I2298" i="13" s="1"/>
  <c r="J2483" i="13" a="1"/>
  <c r="J2483" i="13" s="1"/>
  <c r="N2484" i="13"/>
  <c r="J2482" i="14" a="1"/>
  <c r="J2482" i="14" s="1"/>
  <c r="N2483" i="14"/>
  <c r="M2487" i="14"/>
  <c r="M2486" i="13"/>
  <c r="K2298" i="13" l="1"/>
  <c r="L2298" i="13" s="1"/>
  <c r="I2299" i="13" s="1"/>
  <c r="K2320" i="14"/>
  <c r="L2320" i="14" s="1"/>
  <c r="I2321" i="14" s="1"/>
  <c r="N2484" i="14"/>
  <c r="J2483" i="14" a="1"/>
  <c r="J2483" i="14" s="1"/>
  <c r="J2484" i="13" a="1"/>
  <c r="J2484" i="13" s="1"/>
  <c r="N2485" i="13"/>
  <c r="M2487" i="13"/>
  <c r="M2488" i="14"/>
  <c r="K2321" i="14" l="1"/>
  <c r="L2321" i="14" s="1"/>
  <c r="I2322" i="14" s="1"/>
  <c r="K2299" i="13"/>
  <c r="L2299" i="13" s="1"/>
  <c r="I2300" i="13" s="1"/>
  <c r="N2486" i="13"/>
  <c r="J2485" i="13" a="1"/>
  <c r="J2485" i="13" s="1"/>
  <c r="M2489" i="14"/>
  <c r="M2488" i="13"/>
  <c r="J2484" i="14" a="1"/>
  <c r="J2484" i="14" s="1"/>
  <c r="N2485" i="14"/>
  <c r="K2300" i="13" l="1"/>
  <c r="L2300" i="13" s="1"/>
  <c r="I2301" i="13" s="1"/>
  <c r="K2322" i="14"/>
  <c r="L2322" i="14" s="1"/>
  <c r="I2323" i="14" s="1"/>
  <c r="J2485" i="14" a="1"/>
  <c r="J2485" i="14" s="1"/>
  <c r="N2486" i="14"/>
  <c r="M2490" i="14"/>
  <c r="M2489" i="13"/>
  <c r="J2486" i="13" a="1"/>
  <c r="J2486" i="13" s="1"/>
  <c r="N2487" i="13"/>
  <c r="K2323" i="14" l="1"/>
  <c r="L2323" i="14" s="1"/>
  <c r="I2324" i="14" s="1"/>
  <c r="K2301" i="13"/>
  <c r="L2301" i="13" s="1"/>
  <c r="I2302" i="13" s="1"/>
  <c r="J2487" i="13" a="1"/>
  <c r="J2487" i="13" s="1"/>
  <c r="N2488" i="13"/>
  <c r="M2491" i="14"/>
  <c r="N2487" i="14"/>
  <c r="J2486" i="14" a="1"/>
  <c r="J2486" i="14" s="1"/>
  <c r="M2490" i="13"/>
  <c r="K2302" i="13" l="1"/>
  <c r="L2302" i="13" s="1"/>
  <c r="I2303" i="13" s="1"/>
  <c r="K2324" i="14"/>
  <c r="L2324" i="14" s="1"/>
  <c r="I2325" i="14" s="1"/>
  <c r="N2488" i="14"/>
  <c r="J2487" i="14" a="1"/>
  <c r="J2487" i="14" s="1"/>
  <c r="J2488" i="13" a="1"/>
  <c r="J2488" i="13" s="1"/>
  <c r="N2489" i="13"/>
  <c r="M2491" i="13"/>
  <c r="M2492" i="14"/>
  <c r="K2303" i="13" l="1"/>
  <c r="L2303" i="13" s="1"/>
  <c r="I2304" i="13" s="1"/>
  <c r="N2490" i="13"/>
  <c r="J2489" i="13" a="1"/>
  <c r="J2489" i="13" s="1"/>
  <c r="K2325" i="14"/>
  <c r="L2325" i="14" s="1"/>
  <c r="I2326" i="14" s="1"/>
  <c r="M2493" i="14"/>
  <c r="M2492" i="13"/>
  <c r="J2488" i="14" a="1"/>
  <c r="J2488" i="14" s="1"/>
  <c r="N2489" i="14"/>
  <c r="K2326" i="14" l="1"/>
  <c r="L2326" i="14" s="1"/>
  <c r="I2327" i="14" s="1"/>
  <c r="K2304" i="13"/>
  <c r="L2304" i="13" s="1"/>
  <c r="I2305" i="13" s="1"/>
  <c r="J2489" i="14" a="1"/>
  <c r="J2489" i="14" s="1"/>
  <c r="N2490" i="14"/>
  <c r="J2490" i="13" a="1"/>
  <c r="J2490" i="13" s="1"/>
  <c r="N2491" i="13"/>
  <c r="M2494" i="14"/>
  <c r="M2493" i="13"/>
  <c r="K2327" i="14" l="1"/>
  <c r="L2327" i="14" s="1"/>
  <c r="I2328" i="14" s="1"/>
  <c r="J2491" i="13" a="1"/>
  <c r="J2491" i="13" s="1"/>
  <c r="N2492" i="13"/>
  <c r="K2305" i="13"/>
  <c r="L2305" i="13" s="1"/>
  <c r="I2306" i="13" s="1"/>
  <c r="J2490" i="14" a="1"/>
  <c r="J2490" i="14" s="1"/>
  <c r="N2491" i="14"/>
  <c r="M2494" i="13"/>
  <c r="M2495" i="14"/>
  <c r="K2306" i="13" l="1"/>
  <c r="L2306" i="13" s="1"/>
  <c r="I2307" i="13" s="1"/>
  <c r="K2328" i="14"/>
  <c r="L2328" i="14" s="1"/>
  <c r="I2329" i="14" s="1"/>
  <c r="N2492" i="14"/>
  <c r="J2491" i="14" a="1"/>
  <c r="J2491" i="14" s="1"/>
  <c r="J2492" i="13" a="1"/>
  <c r="J2492" i="13" s="1"/>
  <c r="N2493" i="13"/>
  <c r="M2496" i="14"/>
  <c r="M2495" i="13"/>
  <c r="K2307" i="13" l="1"/>
  <c r="L2307" i="13" s="1"/>
  <c r="I2308" i="13" s="1"/>
  <c r="N2494" i="13"/>
  <c r="J2493" i="13" a="1"/>
  <c r="J2493" i="13" s="1"/>
  <c r="K2329" i="14"/>
  <c r="L2329" i="14" s="1"/>
  <c r="I2330" i="14" s="1"/>
  <c r="M2496" i="13"/>
  <c r="M2497" i="14"/>
  <c r="J2492" i="14" a="1"/>
  <c r="J2492" i="14" s="1"/>
  <c r="N2493" i="14"/>
  <c r="K2330" i="14" l="1"/>
  <c r="L2330" i="14" s="1"/>
  <c r="I2331" i="14" s="1"/>
  <c r="K2308" i="13"/>
  <c r="L2308" i="13" s="1"/>
  <c r="I2309" i="13" s="1"/>
  <c r="M2497" i="13"/>
  <c r="J2494" i="13" a="1"/>
  <c r="J2494" i="13" s="1"/>
  <c r="N2495" i="13"/>
  <c r="J2493" i="14" a="1"/>
  <c r="J2493" i="14" s="1"/>
  <c r="N2494" i="14"/>
  <c r="M2498" i="14"/>
  <c r="K2309" i="13" l="1"/>
  <c r="L2309" i="13" s="1"/>
  <c r="I2310" i="13" s="1"/>
  <c r="K2331" i="14"/>
  <c r="L2331" i="14" s="1"/>
  <c r="I2332" i="14" s="1"/>
  <c r="N2495" i="14"/>
  <c r="J2494" i="14" a="1"/>
  <c r="J2494" i="14" s="1"/>
  <c r="M2499" i="14"/>
  <c r="J2495" i="13" a="1"/>
  <c r="J2495" i="13" s="1"/>
  <c r="N2496" i="13"/>
  <c r="M2498" i="13"/>
  <c r="K2332" i="14" l="1"/>
  <c r="L2332" i="14" s="1"/>
  <c r="I2333" i="14" s="1"/>
  <c r="K2310" i="13"/>
  <c r="L2310" i="13" s="1"/>
  <c r="I2311" i="13" s="1"/>
  <c r="M2499" i="13"/>
  <c r="M2500" i="14"/>
  <c r="J2496" i="13" a="1"/>
  <c r="J2496" i="13" s="1"/>
  <c r="N2497" i="13"/>
  <c r="N2496" i="14"/>
  <c r="J2495" i="14" a="1"/>
  <c r="J2495" i="14" s="1"/>
  <c r="K2311" i="13" l="1"/>
  <c r="L2311" i="13" s="1"/>
  <c r="I2312" i="13" s="1"/>
  <c r="K2333" i="14"/>
  <c r="L2333" i="14" s="1"/>
  <c r="I2334" i="14" s="1"/>
  <c r="N2498" i="13"/>
  <c r="J2497" i="13" a="1"/>
  <c r="J2497" i="13" s="1"/>
  <c r="J2496" i="14" a="1"/>
  <c r="J2496" i="14" s="1"/>
  <c r="N2497" i="14"/>
  <c r="M2501" i="14"/>
  <c r="M2500" i="13"/>
  <c r="K2334" i="14" l="1"/>
  <c r="L2334" i="14" s="1"/>
  <c r="I2335" i="14" s="1"/>
  <c r="K2312" i="13"/>
  <c r="L2312" i="13" s="1"/>
  <c r="I2313" i="13" s="1"/>
  <c r="M2501" i="13"/>
  <c r="J2497" i="14" a="1"/>
  <c r="J2497" i="14" s="1"/>
  <c r="N2498" i="14"/>
  <c r="M2502" i="14"/>
  <c r="J2498" i="13" a="1"/>
  <c r="J2498" i="13" s="1"/>
  <c r="N2499" i="13"/>
  <c r="K2313" i="13" l="1"/>
  <c r="L2313" i="13" s="1"/>
  <c r="I2314" i="13" s="1"/>
  <c r="K2335" i="14"/>
  <c r="L2335" i="14" s="1"/>
  <c r="I2336" i="14" s="1"/>
  <c r="J2499" i="13" a="1"/>
  <c r="J2499" i="13" s="1"/>
  <c r="N2500" i="13"/>
  <c r="J2498" i="14" a="1"/>
  <c r="J2498" i="14" s="1"/>
  <c r="N2499" i="14"/>
  <c r="M2503" i="14"/>
  <c r="M2502" i="13"/>
  <c r="K2314" i="13" l="1"/>
  <c r="L2314" i="13" s="1"/>
  <c r="I2315" i="13" s="1"/>
  <c r="M2503" i="13"/>
  <c r="N2500" i="14"/>
  <c r="J2499" i="14" a="1"/>
  <c r="J2499" i="14" s="1"/>
  <c r="K2336" i="14"/>
  <c r="L2336" i="14" s="1"/>
  <c r="I2337" i="14" s="1"/>
  <c r="J2500" i="13" a="1"/>
  <c r="J2500" i="13" s="1"/>
  <c r="N2501" i="13"/>
  <c r="M2504" i="14"/>
  <c r="K2315" i="13" l="1"/>
  <c r="L2315" i="13" s="1"/>
  <c r="I2316" i="13" s="1"/>
  <c r="M2505" i="14"/>
  <c r="K2337" i="14"/>
  <c r="L2337" i="14" s="1"/>
  <c r="I2338" i="14" s="1"/>
  <c r="M2504" i="13"/>
  <c r="N2502" i="13"/>
  <c r="J2501" i="13" a="1"/>
  <c r="J2501" i="13" s="1"/>
  <c r="J2500" i="14" a="1"/>
  <c r="J2500" i="14" s="1"/>
  <c r="N2501" i="14"/>
  <c r="K2338" i="14" l="1"/>
  <c r="L2338" i="14" s="1"/>
  <c r="I2339" i="14" s="1"/>
  <c r="K2316" i="13"/>
  <c r="L2316" i="13" s="1"/>
  <c r="I2317" i="13" s="1"/>
  <c r="J2501" i="14" a="1"/>
  <c r="J2501" i="14" s="1"/>
  <c r="N2502" i="14"/>
  <c r="M2505" i="13"/>
  <c r="M2506" i="14"/>
  <c r="J2502" i="13" a="1"/>
  <c r="J2502" i="13" s="1"/>
  <c r="N2503" i="13"/>
  <c r="K2339" i="14" l="1"/>
  <c r="L2339" i="14" s="1"/>
  <c r="I2340" i="14" s="1"/>
  <c r="J2503" i="13" a="1"/>
  <c r="J2503" i="13" s="1"/>
  <c r="N2504" i="13"/>
  <c r="M2506" i="13"/>
  <c r="K2317" i="13"/>
  <c r="L2317" i="13" s="1"/>
  <c r="I2318" i="13" s="1"/>
  <c r="M2507" i="14"/>
  <c r="N2503" i="14"/>
  <c r="J2502" i="14" a="1"/>
  <c r="J2502" i="14" s="1"/>
  <c r="K2318" i="13" l="1"/>
  <c r="L2318" i="13" s="1"/>
  <c r="I2319" i="13" s="1"/>
  <c r="K2340" i="14"/>
  <c r="L2340" i="14" s="1"/>
  <c r="I2341" i="14" s="1"/>
  <c r="J2504" i="13" a="1"/>
  <c r="J2504" i="13" s="1"/>
  <c r="N2505" i="13"/>
  <c r="N2504" i="14"/>
  <c r="J2503" i="14" a="1"/>
  <c r="J2503" i="14" s="1"/>
  <c r="M2508" i="14"/>
  <c r="M2507" i="13"/>
  <c r="K2319" i="13" l="1"/>
  <c r="L2319" i="13" s="1"/>
  <c r="I2320" i="13" s="1"/>
  <c r="J2504" i="14" a="1"/>
  <c r="J2504" i="14" s="1"/>
  <c r="N2505" i="14"/>
  <c r="K2341" i="14"/>
  <c r="L2341" i="14" s="1"/>
  <c r="I2342" i="14" s="1"/>
  <c r="N2506" i="13"/>
  <c r="J2505" i="13" a="1"/>
  <c r="J2505" i="13" s="1"/>
  <c r="M2508" i="13"/>
  <c r="M2509" i="14"/>
  <c r="K2342" i="14" l="1"/>
  <c r="L2342" i="14" s="1"/>
  <c r="I2343" i="14" s="1"/>
  <c r="K2320" i="13"/>
  <c r="L2320" i="13" s="1"/>
  <c r="I2321" i="13" s="1"/>
  <c r="J2505" i="14" a="1"/>
  <c r="J2505" i="14" s="1"/>
  <c r="N2506" i="14"/>
  <c r="M2510" i="14"/>
  <c r="M2509" i="13"/>
  <c r="J2506" i="13" a="1"/>
  <c r="J2506" i="13" s="1"/>
  <c r="N2507" i="13"/>
  <c r="K2343" i="14" l="1"/>
  <c r="L2343" i="14" s="1"/>
  <c r="I2344" i="14" s="1"/>
  <c r="J2507" i="13" a="1"/>
  <c r="J2507" i="13" s="1"/>
  <c r="N2508" i="13"/>
  <c r="M2511" i="14"/>
  <c r="M2510" i="13"/>
  <c r="K2321" i="13"/>
  <c r="L2321" i="13" s="1"/>
  <c r="I2322" i="13" s="1"/>
  <c r="J2506" i="14" a="1"/>
  <c r="J2506" i="14" s="1"/>
  <c r="N2507" i="14"/>
  <c r="K2322" i="13" l="1"/>
  <c r="L2322" i="13" s="1"/>
  <c r="I2323" i="13" s="1"/>
  <c r="K2344" i="14"/>
  <c r="L2344" i="14" s="1"/>
  <c r="I2345" i="14" s="1"/>
  <c r="M2511" i="13"/>
  <c r="N2508" i="14"/>
  <c r="J2507" i="14" a="1"/>
  <c r="J2507" i="14" s="1"/>
  <c r="J2508" i="13" a="1"/>
  <c r="J2508" i="13" s="1"/>
  <c r="N2509" i="13"/>
  <c r="M2512" i="14"/>
  <c r="K2345" i="14" l="1"/>
  <c r="L2345" i="14" s="1"/>
  <c r="I2346" i="14" s="1"/>
  <c r="K2323" i="13"/>
  <c r="L2323" i="13" s="1"/>
  <c r="I2324" i="13" s="1"/>
  <c r="M2513" i="14"/>
  <c r="J2508" i="14" a="1"/>
  <c r="J2508" i="14" s="1"/>
  <c r="N2509" i="14"/>
  <c r="N2510" i="13"/>
  <c r="J2509" i="13" a="1"/>
  <c r="J2509" i="13" s="1"/>
  <c r="M2512" i="13"/>
  <c r="K2324" i="13" l="1"/>
  <c r="L2324" i="13" s="1"/>
  <c r="I2325" i="13" s="1"/>
  <c r="K2346" i="14"/>
  <c r="L2346" i="14" s="1"/>
  <c r="I2347" i="14" s="1"/>
  <c r="J2509" i="14" a="1"/>
  <c r="J2509" i="14" s="1"/>
  <c r="N2510" i="14"/>
  <c r="M2513" i="13"/>
  <c r="J2510" i="13" a="1"/>
  <c r="J2510" i="13" s="1"/>
  <c r="N2511" i="13"/>
  <c r="M2514" i="14"/>
  <c r="K2325" i="13" l="1"/>
  <c r="L2325" i="13" s="1"/>
  <c r="I2326" i="13" s="1"/>
  <c r="M2515" i="14"/>
  <c r="M2514" i="13"/>
  <c r="K2347" i="14"/>
  <c r="L2347" i="14" s="1"/>
  <c r="I2348" i="14" s="1"/>
  <c r="N2511" i="14"/>
  <c r="J2510" i="14" a="1"/>
  <c r="J2510" i="14" s="1"/>
  <c r="J2511" i="13" a="1"/>
  <c r="J2511" i="13" s="1"/>
  <c r="N2512" i="13"/>
  <c r="K2326" i="13" l="1"/>
  <c r="L2326" i="13" s="1"/>
  <c r="I2327" i="13" s="1"/>
  <c r="K2348" i="14"/>
  <c r="L2348" i="14" s="1"/>
  <c r="I2349" i="14" s="1"/>
  <c r="J2512" i="13" a="1"/>
  <c r="J2512" i="13" s="1"/>
  <c r="N2513" i="13"/>
  <c r="M2516" i="14"/>
  <c r="N2512" i="14"/>
  <c r="J2511" i="14" a="1"/>
  <c r="J2511" i="14" s="1"/>
  <c r="M2515" i="13"/>
  <c r="K2327" i="13" l="1"/>
  <c r="L2327" i="13" s="1"/>
  <c r="I2328" i="13" s="1"/>
  <c r="M2516" i="13"/>
  <c r="M2517" i="14"/>
  <c r="N2514" i="13"/>
  <c r="J2513" i="13" a="1"/>
  <c r="J2513" i="13" s="1"/>
  <c r="K2349" i="14"/>
  <c r="L2349" i="14" s="1"/>
  <c r="I2350" i="14" s="1"/>
  <c r="J2512" i="14" a="1"/>
  <c r="J2512" i="14" s="1"/>
  <c r="N2513" i="14"/>
  <c r="K2328" i="13" l="1"/>
  <c r="L2328" i="13" s="1"/>
  <c r="I2329" i="13" s="1"/>
  <c r="K2350" i="14"/>
  <c r="L2350" i="14" s="1"/>
  <c r="I2351" i="14" s="1"/>
  <c r="M2517" i="13"/>
  <c r="J2514" i="13" a="1"/>
  <c r="J2514" i="13" s="1"/>
  <c r="N2515" i="13"/>
  <c r="J2513" i="14" a="1"/>
  <c r="J2513" i="14" s="1"/>
  <c r="N2514" i="14"/>
  <c r="M2518" i="14"/>
  <c r="K2351" i="14" l="1"/>
  <c r="L2351" i="14" s="1"/>
  <c r="I2352" i="14" s="1"/>
  <c r="K2329" i="13"/>
  <c r="L2329" i="13" s="1"/>
  <c r="I2330" i="13" s="1"/>
  <c r="M2519" i="14"/>
  <c r="J2515" i="13" a="1"/>
  <c r="J2515" i="13" s="1"/>
  <c r="N2516" i="13"/>
  <c r="J2514" i="14" a="1"/>
  <c r="J2514" i="14" s="1"/>
  <c r="N2515" i="14"/>
  <c r="M2518" i="13"/>
  <c r="K2330" i="13" l="1"/>
  <c r="L2330" i="13" s="1"/>
  <c r="I2331" i="13" s="1"/>
  <c r="K2352" i="14"/>
  <c r="L2352" i="14" s="1"/>
  <c r="I2353" i="14" s="1"/>
  <c r="J2516" i="13" a="1"/>
  <c r="J2516" i="13" s="1"/>
  <c r="N2517" i="13"/>
  <c r="N2516" i="14"/>
  <c r="J2515" i="14" a="1"/>
  <c r="J2515" i="14" s="1"/>
  <c r="M2519" i="13"/>
  <c r="M2520" i="14"/>
  <c r="K2353" i="14" l="1"/>
  <c r="L2353" i="14" s="1"/>
  <c r="I2354" i="14" s="1"/>
  <c r="K2331" i="13"/>
  <c r="L2331" i="13" s="1"/>
  <c r="I2332" i="13" s="1"/>
  <c r="M2521" i="14"/>
  <c r="J2516" i="14" a="1"/>
  <c r="J2516" i="14" s="1"/>
  <c r="N2517" i="14"/>
  <c r="N2518" i="13"/>
  <c r="J2517" i="13" a="1"/>
  <c r="J2517" i="13" s="1"/>
  <c r="M2520" i="13"/>
  <c r="K2354" i="14" l="1"/>
  <c r="L2354" i="14" s="1"/>
  <c r="I2355" i="14" s="1"/>
  <c r="J2517" i="14" a="1"/>
  <c r="J2517" i="14" s="1"/>
  <c r="N2518" i="14"/>
  <c r="K2332" i="13"/>
  <c r="L2332" i="13" s="1"/>
  <c r="I2333" i="13" s="1"/>
  <c r="M2522" i="14"/>
  <c r="M2521" i="13"/>
  <c r="J2518" i="13" a="1"/>
  <c r="J2518" i="13" s="1"/>
  <c r="N2519" i="13"/>
  <c r="K2333" i="13" l="1"/>
  <c r="L2333" i="13" s="1"/>
  <c r="I2334" i="13" s="1"/>
  <c r="K2355" i="14"/>
  <c r="L2355" i="14" s="1"/>
  <c r="I2356" i="14" s="1"/>
  <c r="J2519" i="13" a="1"/>
  <c r="J2519" i="13" s="1"/>
  <c r="N2520" i="13"/>
  <c r="M2523" i="14"/>
  <c r="N2519" i="14"/>
  <c r="J2518" i="14" a="1"/>
  <c r="J2518" i="14" s="1"/>
  <c r="M2522" i="13"/>
  <c r="K2334" i="13" l="1"/>
  <c r="L2334" i="13" s="1"/>
  <c r="I2335" i="13" s="1"/>
  <c r="K2356" i="14"/>
  <c r="L2356" i="14" s="1"/>
  <c r="I2357" i="14" s="1"/>
  <c r="J2520" i="13" a="1"/>
  <c r="J2520" i="13" s="1"/>
  <c r="N2521" i="13"/>
  <c r="N2520" i="14"/>
  <c r="J2519" i="14" a="1"/>
  <c r="J2519" i="14" s="1"/>
  <c r="M2523" i="13"/>
  <c r="M2524" i="14"/>
  <c r="K2357" i="14" l="1"/>
  <c r="L2357" i="14" s="1"/>
  <c r="I2358" i="14" s="1"/>
  <c r="K2335" i="13"/>
  <c r="L2335" i="13" s="1"/>
  <c r="I2336" i="13" s="1"/>
  <c r="M2525" i="14"/>
  <c r="J2520" i="14" a="1"/>
  <c r="J2520" i="14" s="1"/>
  <c r="N2521" i="14"/>
  <c r="N2522" i="13"/>
  <c r="J2521" i="13" a="1"/>
  <c r="J2521" i="13" s="1"/>
  <c r="M2524" i="13"/>
  <c r="K2336" i="13" l="1"/>
  <c r="L2336" i="13" s="1"/>
  <c r="I2337" i="13" s="1"/>
  <c r="K2358" i="14"/>
  <c r="L2358" i="14" s="1"/>
  <c r="I2359" i="14" s="1"/>
  <c r="J2521" i="14" a="1"/>
  <c r="J2521" i="14" s="1"/>
  <c r="N2522" i="14"/>
  <c r="M2525" i="13"/>
  <c r="J2522" i="13" a="1"/>
  <c r="J2522" i="13" s="1"/>
  <c r="N2523" i="13"/>
  <c r="M2526" i="14"/>
  <c r="M2527" i="14" l="1"/>
  <c r="M2526" i="13"/>
  <c r="K2359" i="14"/>
  <c r="L2359" i="14" s="1"/>
  <c r="I2360" i="14" s="1"/>
  <c r="J2523" i="13" a="1"/>
  <c r="J2523" i="13" s="1"/>
  <c r="N2524" i="13"/>
  <c r="J2522" i="14" a="1"/>
  <c r="J2522" i="14" s="1"/>
  <c r="N2523" i="14"/>
  <c r="K2337" i="13"/>
  <c r="L2337" i="13" s="1"/>
  <c r="I2338" i="13" s="1"/>
  <c r="K2360" i="14" l="1"/>
  <c r="L2360" i="14" s="1"/>
  <c r="I2361" i="14" s="1"/>
  <c r="J2524" i="13" a="1"/>
  <c r="J2524" i="13" s="1"/>
  <c r="N2525" i="13"/>
  <c r="M2527" i="13"/>
  <c r="K2338" i="13"/>
  <c r="L2338" i="13" s="1"/>
  <c r="I2339" i="13" s="1"/>
  <c r="N2524" i="14"/>
  <c r="J2523" i="14" a="1"/>
  <c r="J2523" i="14" s="1"/>
  <c r="M2528" i="14"/>
  <c r="K2339" i="13" l="1"/>
  <c r="L2339" i="13" s="1"/>
  <c r="I2340" i="13" s="1"/>
  <c r="K2361" i="14"/>
  <c r="L2361" i="14" s="1"/>
  <c r="I2362" i="14" s="1"/>
  <c r="N2526" i="13"/>
  <c r="J2525" i="13" a="1"/>
  <c r="J2525" i="13" s="1"/>
  <c r="M2529" i="14"/>
  <c r="J2524" i="14" a="1"/>
  <c r="J2524" i="14" s="1"/>
  <c r="N2525" i="14"/>
  <c r="M2528" i="13"/>
  <c r="K2362" i="14" l="1"/>
  <c r="L2362" i="14" s="1"/>
  <c r="I2363" i="14" s="1"/>
  <c r="K2340" i="13"/>
  <c r="L2340" i="13" s="1"/>
  <c r="I2341" i="13" s="1"/>
  <c r="J2525" i="14" a="1"/>
  <c r="J2525" i="14" s="1"/>
  <c r="N2526" i="14"/>
  <c r="J2526" i="13" a="1"/>
  <c r="J2526" i="13" s="1"/>
  <c r="N2527" i="13"/>
  <c r="M2529" i="13"/>
  <c r="M2530" i="14"/>
  <c r="K2341" i="13" l="1"/>
  <c r="L2341" i="13" s="1"/>
  <c r="I2342" i="13" s="1"/>
  <c r="K2363" i="14"/>
  <c r="L2363" i="14" s="1"/>
  <c r="I2364" i="14" s="1"/>
  <c r="J2527" i="13" a="1"/>
  <c r="J2527" i="13" s="1"/>
  <c r="N2528" i="13"/>
  <c r="M2530" i="13"/>
  <c r="M2531" i="14"/>
  <c r="J2526" i="14" a="1"/>
  <c r="J2526" i="14" s="1"/>
  <c r="N2527" i="14"/>
  <c r="K2364" i="14" l="1"/>
  <c r="L2364" i="14" s="1"/>
  <c r="I2365" i="14" s="1"/>
  <c r="K2342" i="13"/>
  <c r="L2342" i="13" s="1"/>
  <c r="I2343" i="13" s="1"/>
  <c r="M2532" i="14"/>
  <c r="N2528" i="14"/>
  <c r="J2527" i="14" a="1"/>
  <c r="J2527" i="14" s="1"/>
  <c r="M2531" i="13"/>
  <c r="J2528" i="13" a="1"/>
  <c r="J2528" i="13" s="1"/>
  <c r="N2529" i="13"/>
  <c r="K2365" i="14" l="1"/>
  <c r="L2365" i="14" s="1"/>
  <c r="I2366" i="14" s="1"/>
  <c r="K2343" i="13"/>
  <c r="L2343" i="13" s="1"/>
  <c r="I2344" i="13" s="1"/>
  <c r="J2528" i="14" a="1"/>
  <c r="J2528" i="14" s="1"/>
  <c r="N2529" i="14"/>
  <c r="N2530" i="13"/>
  <c r="J2529" i="13" a="1"/>
  <c r="J2529" i="13" s="1"/>
  <c r="M2532" i="13"/>
  <c r="M2533" i="14"/>
  <c r="K2344" i="13" l="1"/>
  <c r="L2344" i="13" s="1"/>
  <c r="I2345" i="13" s="1"/>
  <c r="K2366" i="14"/>
  <c r="L2366" i="14" s="1"/>
  <c r="I2367" i="14" s="1"/>
  <c r="M2533" i="13"/>
  <c r="J2529" i="14" a="1"/>
  <c r="J2529" i="14" s="1"/>
  <c r="N2530" i="14"/>
  <c r="M2534" i="14"/>
  <c r="J2530" i="13" a="1"/>
  <c r="J2530" i="13" s="1"/>
  <c r="N2531" i="13"/>
  <c r="K2367" i="14" l="1"/>
  <c r="L2367" i="14" s="1"/>
  <c r="I2368" i="14" s="1"/>
  <c r="K2345" i="13"/>
  <c r="L2345" i="13" s="1"/>
  <c r="I2346" i="13" s="1"/>
  <c r="J2530" i="14" a="1"/>
  <c r="J2530" i="14" s="1"/>
  <c r="N2531" i="14"/>
  <c r="J2531" i="13" a="1"/>
  <c r="J2531" i="13" s="1"/>
  <c r="N2532" i="13"/>
  <c r="M2535" i="14"/>
  <c r="M2534" i="13"/>
  <c r="K2368" i="14" l="1"/>
  <c r="L2368" i="14" s="1"/>
  <c r="I2369" i="14" s="1"/>
  <c r="M2536" i="14"/>
  <c r="J2532" i="13" a="1"/>
  <c r="J2532" i="13" s="1"/>
  <c r="N2533" i="13"/>
  <c r="K2346" i="13"/>
  <c r="L2346" i="13" s="1"/>
  <c r="I2347" i="13" s="1"/>
  <c r="M2535" i="13"/>
  <c r="N2532" i="14"/>
  <c r="J2531" i="14" a="1"/>
  <c r="J2531" i="14" s="1"/>
  <c r="K2347" i="13" l="1"/>
  <c r="L2347" i="13" s="1"/>
  <c r="I2348" i="13" s="1"/>
  <c r="K2369" i="14"/>
  <c r="L2369" i="14" s="1"/>
  <c r="I2370" i="14" s="1"/>
  <c r="M2536" i="13"/>
  <c r="J2532" i="14" a="1"/>
  <c r="J2532" i="14" s="1"/>
  <c r="N2533" i="14"/>
  <c r="M2537" i="14"/>
  <c r="N2534" i="13"/>
  <c r="J2533" i="13" a="1"/>
  <c r="J2533" i="13" s="1"/>
  <c r="K2348" i="13" l="1"/>
  <c r="L2348" i="13" s="1"/>
  <c r="I2349" i="13" s="1"/>
  <c r="J2533" i="14" a="1"/>
  <c r="J2533" i="14" s="1"/>
  <c r="N2534" i="14"/>
  <c r="K2370" i="14"/>
  <c r="L2370" i="14" s="1"/>
  <c r="I2371" i="14" s="1"/>
  <c r="J2534" i="13" a="1"/>
  <c r="J2534" i="13" s="1"/>
  <c r="N2535" i="13"/>
  <c r="M2537" i="13"/>
  <c r="M2538" i="14"/>
  <c r="K2371" i="14" l="1"/>
  <c r="L2371" i="14" s="1"/>
  <c r="I2372" i="14" s="1"/>
  <c r="K2349" i="13"/>
  <c r="L2349" i="13" s="1"/>
  <c r="I2350" i="13" s="1"/>
  <c r="M2539" i="14"/>
  <c r="J2535" i="13" a="1"/>
  <c r="J2535" i="13" s="1"/>
  <c r="N2536" i="13"/>
  <c r="N2535" i="14"/>
  <c r="J2534" i="14" a="1"/>
  <c r="J2534" i="14" s="1"/>
  <c r="M2538" i="13"/>
  <c r="K2372" i="14" l="1"/>
  <c r="L2372" i="14" s="1"/>
  <c r="I2373" i="14" s="1"/>
  <c r="J2536" i="13" a="1"/>
  <c r="J2536" i="13" s="1"/>
  <c r="N2537" i="13"/>
  <c r="M2539" i="13"/>
  <c r="K2350" i="13"/>
  <c r="L2350" i="13" s="1"/>
  <c r="I2351" i="13" s="1"/>
  <c r="N2536" i="14"/>
  <c r="J2535" i="14" a="1"/>
  <c r="J2535" i="14" s="1"/>
  <c r="M2540" i="14"/>
  <c r="K2373" i="14" l="1"/>
  <c r="L2373" i="14" s="1"/>
  <c r="I2374" i="14" s="1"/>
  <c r="M2541" i="14"/>
  <c r="K2351" i="13"/>
  <c r="L2351" i="13" s="1"/>
  <c r="I2352" i="13" s="1"/>
  <c r="N2538" i="13"/>
  <c r="J2537" i="13" a="1"/>
  <c r="J2537" i="13" s="1"/>
  <c r="J2536" i="14" a="1"/>
  <c r="J2536" i="14" s="1"/>
  <c r="N2537" i="14"/>
  <c r="M2540" i="13"/>
  <c r="K2352" i="13" l="1"/>
  <c r="L2352" i="13" s="1"/>
  <c r="I2353" i="13" s="1"/>
  <c r="K2374" i="14"/>
  <c r="L2374" i="14" s="1"/>
  <c r="I2375" i="14" s="1"/>
  <c r="J2537" i="14" a="1"/>
  <c r="J2537" i="14" s="1"/>
  <c r="N2538" i="14"/>
  <c r="M2541" i="13"/>
  <c r="J2538" i="13" a="1"/>
  <c r="J2538" i="13" s="1"/>
  <c r="N2539" i="13"/>
  <c r="M2542" i="14"/>
  <c r="K2353" i="13" l="1"/>
  <c r="L2353" i="13" s="1"/>
  <c r="I2354" i="13" s="1"/>
  <c r="M2543" i="14"/>
  <c r="M2542" i="13"/>
  <c r="K2375" i="14"/>
  <c r="L2375" i="14" s="1"/>
  <c r="I2376" i="14" s="1"/>
  <c r="J2539" i="13" a="1"/>
  <c r="J2539" i="13" s="1"/>
  <c r="N2540" i="13"/>
  <c r="J2538" i="14" a="1"/>
  <c r="J2538" i="14" s="1"/>
  <c r="N2539" i="14"/>
  <c r="K2354" i="13" l="1"/>
  <c r="L2354" i="13" s="1"/>
  <c r="I2355" i="13" s="1"/>
  <c r="N2540" i="14"/>
  <c r="J2539" i="14" a="1"/>
  <c r="J2539" i="14" s="1"/>
  <c r="K2376" i="14"/>
  <c r="L2376" i="14" s="1"/>
  <c r="I2377" i="14" s="1"/>
  <c r="M2544" i="14"/>
  <c r="J2540" i="13" a="1"/>
  <c r="J2540" i="13" s="1"/>
  <c r="N2541" i="13"/>
  <c r="M2543" i="13"/>
  <c r="K2377" i="14" l="1"/>
  <c r="L2377" i="14" s="1"/>
  <c r="I2378" i="14" s="1"/>
  <c r="K2355" i="13"/>
  <c r="L2355" i="13" s="1"/>
  <c r="I2356" i="13" s="1"/>
  <c r="M2544" i="13"/>
  <c r="M2545" i="14"/>
  <c r="J2540" i="14" a="1"/>
  <c r="J2540" i="14" s="1"/>
  <c r="N2541" i="14"/>
  <c r="N2542" i="13"/>
  <c r="J2541" i="13" a="1"/>
  <c r="J2541" i="13" s="1"/>
  <c r="K2378" i="14" l="1"/>
  <c r="L2378" i="14" s="1"/>
  <c r="I2379" i="14" s="1"/>
  <c r="M2546" i="14"/>
  <c r="J2542" i="13" a="1"/>
  <c r="J2542" i="13" s="1"/>
  <c r="N2543" i="13"/>
  <c r="K2356" i="13"/>
  <c r="L2356" i="13" s="1"/>
  <c r="I2357" i="13" s="1"/>
  <c r="J2541" i="14" a="1"/>
  <c r="J2541" i="14" s="1"/>
  <c r="N2542" i="14"/>
  <c r="M2545" i="13"/>
  <c r="K2357" i="13" l="1"/>
  <c r="L2357" i="13" s="1"/>
  <c r="I2358" i="13" s="1"/>
  <c r="K2379" i="14"/>
  <c r="L2379" i="14" s="1"/>
  <c r="I2380" i="14" s="1"/>
  <c r="N2543" i="14"/>
  <c r="J2542" i="14" a="1"/>
  <c r="J2542" i="14" s="1"/>
  <c r="M2547" i="14"/>
  <c r="J2543" i="13" a="1"/>
  <c r="J2543" i="13" s="1"/>
  <c r="N2544" i="13"/>
  <c r="M2546" i="13"/>
  <c r="K2380" i="14" l="1"/>
  <c r="L2380" i="14" s="1"/>
  <c r="I2381" i="14" s="1"/>
  <c r="K2358" i="13"/>
  <c r="L2358" i="13" s="1"/>
  <c r="I2359" i="13" s="1"/>
  <c r="M2547" i="13"/>
  <c r="M2548" i="14"/>
  <c r="J2544" i="13" a="1"/>
  <c r="J2544" i="13" s="1"/>
  <c r="N2545" i="13"/>
  <c r="N2544" i="14"/>
  <c r="J2543" i="14" a="1"/>
  <c r="J2543" i="14" s="1"/>
  <c r="K2359" i="13" l="1"/>
  <c r="L2359" i="13" s="1"/>
  <c r="I2360" i="13" s="1"/>
  <c r="K2381" i="14"/>
  <c r="L2381" i="14" s="1"/>
  <c r="I2382" i="14" s="1"/>
  <c r="J2544" i="14" a="1"/>
  <c r="J2544" i="14" s="1"/>
  <c r="N2545" i="14"/>
  <c r="M2549" i="14"/>
  <c r="N2546" i="13"/>
  <c r="J2545" i="13" a="1"/>
  <c r="J2545" i="13" s="1"/>
  <c r="M2548" i="13"/>
  <c r="K2360" i="13" l="1"/>
  <c r="L2360" i="13" s="1"/>
  <c r="I2361" i="13" s="1"/>
  <c r="M2550" i="14"/>
  <c r="J2546" i="13" a="1"/>
  <c r="J2546" i="13" s="1"/>
  <c r="N2547" i="13"/>
  <c r="M2549" i="13"/>
  <c r="K2382" i="14"/>
  <c r="L2382" i="14" s="1"/>
  <c r="I2383" i="14" s="1"/>
  <c r="J2545" i="14" a="1"/>
  <c r="J2545" i="14" s="1"/>
  <c r="N2546" i="14"/>
  <c r="K2383" i="14" l="1"/>
  <c r="L2383" i="14" s="1"/>
  <c r="I2384" i="14" s="1"/>
  <c r="K2361" i="13"/>
  <c r="L2361" i="13" s="1"/>
  <c r="I2362" i="13" s="1"/>
  <c r="J2546" i="14" a="1"/>
  <c r="J2546" i="14" s="1"/>
  <c r="N2547" i="14"/>
  <c r="M2551" i="14"/>
  <c r="M2550" i="13"/>
  <c r="J2547" i="13" a="1"/>
  <c r="J2547" i="13" s="1"/>
  <c r="N2548" i="13"/>
  <c r="K2384" i="14" l="1"/>
  <c r="L2384" i="14" s="1"/>
  <c r="I2385" i="14" s="1"/>
  <c r="J2548" i="13" a="1"/>
  <c r="J2548" i="13" s="1"/>
  <c r="N2549" i="13"/>
  <c r="K2362" i="13"/>
  <c r="L2362" i="13" s="1"/>
  <c r="I2363" i="13" s="1"/>
  <c r="N2548" i="14"/>
  <c r="J2547" i="14" a="1"/>
  <c r="J2547" i="14" s="1"/>
  <c r="M2552" i="14"/>
  <c r="M2551" i="13"/>
  <c r="K2363" i="13" l="1"/>
  <c r="L2363" i="13" s="1"/>
  <c r="I2364" i="13" s="1"/>
  <c r="K2385" i="14"/>
  <c r="L2385" i="14" s="1"/>
  <c r="I2386" i="14" s="1"/>
  <c r="N2550" i="13"/>
  <c r="J2549" i="13" a="1"/>
  <c r="J2549" i="13" s="1"/>
  <c r="M2552" i="13"/>
  <c r="J2548" i="14" a="1"/>
  <c r="J2548" i="14" s="1"/>
  <c r="N2549" i="14"/>
  <c r="M2553" i="14"/>
  <c r="K2364" i="13" l="1"/>
  <c r="L2364" i="13" s="1"/>
  <c r="I2365" i="13" s="1"/>
  <c r="J2549" i="14" a="1"/>
  <c r="J2549" i="14" s="1"/>
  <c r="N2550" i="14"/>
  <c r="M2553" i="13"/>
  <c r="M2554" i="14"/>
  <c r="K2386" i="14"/>
  <c r="L2386" i="14" s="1"/>
  <c r="I2387" i="14" s="1"/>
  <c r="J2550" i="13" a="1"/>
  <c r="J2550" i="13" s="1"/>
  <c r="N2551" i="13"/>
  <c r="K2365" i="13" l="1"/>
  <c r="L2365" i="13" s="1"/>
  <c r="I2366" i="13" s="1"/>
  <c r="K2387" i="14"/>
  <c r="L2387" i="14" s="1"/>
  <c r="I2388" i="14" s="1"/>
  <c r="J2551" i="13" a="1"/>
  <c r="J2551" i="13" s="1"/>
  <c r="N2552" i="13"/>
  <c r="M2555" i="14"/>
  <c r="N2551" i="14"/>
  <c r="J2550" i="14" a="1"/>
  <c r="J2550" i="14" s="1"/>
  <c r="M2554" i="13"/>
  <c r="K2388" i="14" l="1"/>
  <c r="L2388" i="14" s="1"/>
  <c r="I2389" i="14" s="1"/>
  <c r="K2366" i="13"/>
  <c r="L2366" i="13" s="1"/>
  <c r="I2367" i="13" s="1"/>
  <c r="J2552" i="13" a="1"/>
  <c r="J2552" i="13" s="1"/>
  <c r="N2553" i="13"/>
  <c r="M2555" i="13"/>
  <c r="M2556" i="14"/>
  <c r="N2552" i="14"/>
  <c r="J2551" i="14" a="1"/>
  <c r="J2551" i="14" s="1"/>
  <c r="K2389" i="14" l="1"/>
  <c r="L2389" i="14" s="1"/>
  <c r="I2390" i="14" s="1"/>
  <c r="J2552" i="14" a="1"/>
  <c r="J2552" i="14" s="1"/>
  <c r="N2553" i="14"/>
  <c r="M2556" i="13"/>
  <c r="K2367" i="13"/>
  <c r="L2367" i="13" s="1"/>
  <c r="I2368" i="13" s="1"/>
  <c r="N2554" i="13"/>
  <c r="J2553" i="13" a="1"/>
  <c r="J2553" i="13" s="1"/>
  <c r="M2557" i="14"/>
  <c r="K2390" i="14" l="1"/>
  <c r="L2390" i="14" s="1"/>
  <c r="I2391" i="14" s="1"/>
  <c r="M2558" i="14"/>
  <c r="J2553" i="14" a="1"/>
  <c r="J2553" i="14" s="1"/>
  <c r="N2554" i="14"/>
  <c r="K2368" i="13"/>
  <c r="L2368" i="13" s="1"/>
  <c r="I2369" i="13" s="1"/>
  <c r="M2557" i="13"/>
  <c r="J2554" i="13" a="1"/>
  <c r="J2554" i="13" s="1"/>
  <c r="N2555" i="13"/>
  <c r="K2391" i="14" l="1"/>
  <c r="L2391" i="14" s="1"/>
  <c r="I2392" i="14" s="1"/>
  <c r="M2558" i="13"/>
  <c r="J2555" i="13" a="1"/>
  <c r="J2555" i="13" s="1"/>
  <c r="N2556" i="13"/>
  <c r="M2559" i="14"/>
  <c r="K2369" i="13"/>
  <c r="L2369" i="13" s="1"/>
  <c r="I2370" i="13" s="1"/>
  <c r="J2554" i="14" a="1"/>
  <c r="J2554" i="14" s="1"/>
  <c r="N2555" i="14"/>
  <c r="K2392" i="14" l="1"/>
  <c r="L2392" i="14" s="1"/>
  <c r="I2393" i="14" s="1"/>
  <c r="K2370" i="13"/>
  <c r="L2370" i="13" s="1"/>
  <c r="I2371" i="13" s="1"/>
  <c r="N2556" i="14"/>
  <c r="J2555" i="14" a="1"/>
  <c r="J2555" i="14" s="1"/>
  <c r="M2560" i="14"/>
  <c r="M2559" i="13"/>
  <c r="J2556" i="13" a="1"/>
  <c r="J2556" i="13" s="1"/>
  <c r="N2557" i="13"/>
  <c r="K2393" i="14" l="1"/>
  <c r="L2393" i="14" s="1"/>
  <c r="I2394" i="14" s="1"/>
  <c r="N2558" i="13"/>
  <c r="J2557" i="13" a="1"/>
  <c r="J2557" i="13" s="1"/>
  <c r="K2371" i="13"/>
  <c r="L2371" i="13" s="1"/>
  <c r="I2372" i="13" s="1"/>
  <c r="M2561" i="14"/>
  <c r="M2560" i="13"/>
  <c r="J2556" i="14" a="1"/>
  <c r="J2556" i="14" s="1"/>
  <c r="N2557" i="14"/>
  <c r="K2372" i="13" l="1"/>
  <c r="L2372" i="13" s="1"/>
  <c r="I2373" i="13" s="1"/>
  <c r="K2394" i="14"/>
  <c r="L2394" i="14" s="1"/>
  <c r="I2395" i="14" s="1"/>
  <c r="J2558" i="13" a="1"/>
  <c r="J2558" i="13" s="1"/>
  <c r="N2559" i="13"/>
  <c r="J2557" i="14" a="1"/>
  <c r="J2557" i="14" s="1"/>
  <c r="N2558" i="14"/>
  <c r="M2562" i="14"/>
  <c r="M2561" i="13"/>
  <c r="K2395" i="14" l="1"/>
  <c r="L2395" i="14" s="1"/>
  <c r="I2396" i="14" s="1"/>
  <c r="K2373" i="13"/>
  <c r="L2373" i="13" s="1"/>
  <c r="I2374" i="13" s="1"/>
  <c r="J2559" i="13" a="1"/>
  <c r="J2559" i="13" s="1"/>
  <c r="N2560" i="13"/>
  <c r="N2559" i="14"/>
  <c r="J2558" i="14" a="1"/>
  <c r="J2558" i="14" s="1"/>
  <c r="M2562" i="13"/>
  <c r="M2563" i="14"/>
  <c r="K2374" i="13" l="1"/>
  <c r="L2374" i="13" s="1"/>
  <c r="I2375" i="13" s="1"/>
  <c r="M2564" i="14"/>
  <c r="N2560" i="14"/>
  <c r="J2559" i="14" a="1"/>
  <c r="J2559" i="14" s="1"/>
  <c r="M2563" i="13"/>
  <c r="J2560" i="13" a="1"/>
  <c r="J2560" i="13" s="1"/>
  <c r="N2561" i="13"/>
  <c r="K2396" i="14"/>
  <c r="L2396" i="14" s="1"/>
  <c r="I2397" i="14" s="1"/>
  <c r="K2397" i="14" l="1"/>
  <c r="L2397" i="14" s="1"/>
  <c r="I2398" i="14" s="1"/>
  <c r="K2375" i="13"/>
  <c r="L2375" i="13" s="1"/>
  <c r="I2376" i="13" s="1"/>
  <c r="M2564" i="13"/>
  <c r="M2565" i="14"/>
  <c r="N2562" i="13"/>
  <c r="J2561" i="13" a="1"/>
  <c r="J2561" i="13" s="1"/>
  <c r="J2560" i="14" a="1"/>
  <c r="J2560" i="14" s="1"/>
  <c r="N2561" i="14"/>
  <c r="K2398" i="14" l="1"/>
  <c r="L2398" i="14" s="1"/>
  <c r="I2399" i="14" s="1"/>
  <c r="J2561" i="14" a="1"/>
  <c r="J2561" i="14" s="1"/>
  <c r="N2562" i="14"/>
  <c r="M2566" i="14"/>
  <c r="K2376" i="13"/>
  <c r="L2376" i="13" s="1"/>
  <c r="I2377" i="13" s="1"/>
  <c r="M2565" i="13"/>
  <c r="J2562" i="13" a="1"/>
  <c r="J2562" i="13" s="1"/>
  <c r="N2563" i="13"/>
  <c r="K2377" i="13" l="1"/>
  <c r="L2377" i="13" s="1"/>
  <c r="I2378" i="13" s="1"/>
  <c r="K2399" i="14"/>
  <c r="L2399" i="14" s="1"/>
  <c r="I2400" i="14" s="1"/>
  <c r="J2562" i="14" a="1"/>
  <c r="J2562" i="14" s="1"/>
  <c r="N2563" i="14"/>
  <c r="J2563" i="13" a="1"/>
  <c r="J2563" i="13" s="1"/>
  <c r="N2564" i="13"/>
  <c r="M2567" i="14"/>
  <c r="M2566" i="13"/>
  <c r="K2378" i="13" l="1"/>
  <c r="L2378" i="13" s="1"/>
  <c r="I2379" i="13" s="1"/>
  <c r="M2567" i="13"/>
  <c r="J2564" i="13" a="1"/>
  <c r="J2564" i="13" s="1"/>
  <c r="N2565" i="13"/>
  <c r="K2400" i="14"/>
  <c r="L2400" i="14" s="1"/>
  <c r="I2401" i="14" s="1"/>
  <c r="N2564" i="14"/>
  <c r="J2563" i="14" a="1"/>
  <c r="J2563" i="14" s="1"/>
  <c r="M2568" i="14"/>
  <c r="K2379" i="13" l="1"/>
  <c r="L2379" i="13" s="1"/>
  <c r="I2380" i="13" s="1"/>
  <c r="J2564" i="14" a="1"/>
  <c r="J2564" i="14" s="1"/>
  <c r="N2565" i="14"/>
  <c r="M2569" i="14"/>
  <c r="K2401" i="14"/>
  <c r="L2401" i="14" s="1"/>
  <c r="I2402" i="14" s="1"/>
  <c r="M2568" i="13"/>
  <c r="N2566" i="13"/>
  <c r="J2565" i="13" a="1"/>
  <c r="J2565" i="13" s="1"/>
  <c r="K2402" i="14" l="1"/>
  <c r="L2402" i="14" s="1"/>
  <c r="I2403" i="14" s="1"/>
  <c r="K2380" i="13"/>
  <c r="L2380" i="13" s="1"/>
  <c r="I2381" i="13" s="1"/>
  <c r="J2565" i="14" a="1"/>
  <c r="J2565" i="14" s="1"/>
  <c r="N2566" i="14"/>
  <c r="J2566" i="13" a="1"/>
  <c r="J2566" i="13" s="1"/>
  <c r="N2567" i="13"/>
  <c r="M2569" i="13"/>
  <c r="M2570" i="14"/>
  <c r="K2381" i="13" l="1"/>
  <c r="L2381" i="13" s="1"/>
  <c r="I2382" i="13" s="1"/>
  <c r="K2403" i="14"/>
  <c r="L2403" i="14" s="1"/>
  <c r="I2404" i="14" s="1"/>
  <c r="M2570" i="13"/>
  <c r="M2571" i="14"/>
  <c r="J2567" i="13" a="1"/>
  <c r="J2567" i="13" s="1"/>
  <c r="N2568" i="13"/>
  <c r="N2567" i="14"/>
  <c r="J2566" i="14" a="1"/>
  <c r="J2566" i="14" s="1"/>
  <c r="K2404" i="14" l="1"/>
  <c r="L2404" i="14" s="1"/>
  <c r="I2405" i="14" s="1"/>
  <c r="K2382" i="13"/>
  <c r="L2382" i="13" s="1"/>
  <c r="I2383" i="13" s="1"/>
  <c r="N2568" i="14"/>
  <c r="J2567" i="14" a="1"/>
  <c r="J2567" i="14" s="1"/>
  <c r="M2572" i="14"/>
  <c r="J2568" i="13" a="1"/>
  <c r="J2568" i="13" s="1"/>
  <c r="N2569" i="13"/>
  <c r="M2571" i="13"/>
  <c r="K2405" i="14" l="1"/>
  <c r="L2405" i="14" s="1"/>
  <c r="I2406" i="14" s="1"/>
  <c r="M2572" i="13"/>
  <c r="M2573" i="14"/>
  <c r="K2383" i="13"/>
  <c r="L2383" i="13" s="1"/>
  <c r="I2384" i="13" s="1"/>
  <c r="N2570" i="13"/>
  <c r="J2569" i="13" a="1"/>
  <c r="J2569" i="13" s="1"/>
  <c r="J2568" i="14" a="1"/>
  <c r="J2568" i="14" s="1"/>
  <c r="N2569" i="14"/>
  <c r="K2406" i="14" l="1"/>
  <c r="L2406" i="14" s="1"/>
  <c r="I2407" i="14" s="1"/>
  <c r="J2569" i="14" a="1"/>
  <c r="J2569" i="14" s="1"/>
  <c r="N2570" i="14"/>
  <c r="M2573" i="13"/>
  <c r="K2384" i="13"/>
  <c r="L2384" i="13" s="1"/>
  <c r="I2385" i="13" s="1"/>
  <c r="J2570" i="13" a="1"/>
  <c r="J2570" i="13" s="1"/>
  <c r="N2571" i="13"/>
  <c r="M2574" i="14"/>
  <c r="K2407" i="14" l="1"/>
  <c r="L2407" i="14" s="1"/>
  <c r="I2408" i="14" s="1"/>
  <c r="J2571" i="13" a="1"/>
  <c r="J2571" i="13" s="1"/>
  <c r="N2572" i="13"/>
  <c r="M2575" i="14"/>
  <c r="J2570" i="14" a="1"/>
  <c r="J2570" i="14" s="1"/>
  <c r="N2571" i="14"/>
  <c r="K2385" i="13"/>
  <c r="L2385" i="13" s="1"/>
  <c r="I2386" i="13" s="1"/>
  <c r="M2574" i="13"/>
  <c r="K2386" i="13" l="1"/>
  <c r="L2386" i="13" s="1"/>
  <c r="I2387" i="13" s="1"/>
  <c r="M2576" i="14"/>
  <c r="K2408" i="14"/>
  <c r="L2408" i="14" s="1"/>
  <c r="I2409" i="14" s="1"/>
  <c r="N2572" i="14"/>
  <c r="J2571" i="14" a="1"/>
  <c r="J2571" i="14" s="1"/>
  <c r="J2572" i="13" a="1"/>
  <c r="J2572" i="13" s="1"/>
  <c r="N2573" i="13"/>
  <c r="M2575" i="13"/>
  <c r="K2409" i="14" l="1"/>
  <c r="L2409" i="14" s="1"/>
  <c r="I2410" i="14" s="1"/>
  <c r="K2387" i="13"/>
  <c r="L2387" i="13" s="1"/>
  <c r="I2388" i="13" s="1"/>
  <c r="M2576" i="13"/>
  <c r="J2572" i="14" a="1"/>
  <c r="J2572" i="14" s="1"/>
  <c r="N2573" i="14"/>
  <c r="M2577" i="14"/>
  <c r="N2574" i="13"/>
  <c r="J2573" i="13" a="1"/>
  <c r="J2573" i="13" s="1"/>
  <c r="K2388" i="13" l="1"/>
  <c r="L2388" i="13" s="1"/>
  <c r="I2389" i="13" s="1"/>
  <c r="K2410" i="14"/>
  <c r="L2410" i="14" s="1"/>
  <c r="I2411" i="14" s="1"/>
  <c r="J2573" i="14" a="1"/>
  <c r="J2573" i="14" s="1"/>
  <c r="N2574" i="14"/>
  <c r="J2574" i="13" a="1"/>
  <c r="J2574" i="13" s="1"/>
  <c r="N2575" i="13"/>
  <c r="M2577" i="13"/>
  <c r="M2578" i="14"/>
  <c r="K2411" i="14" l="1"/>
  <c r="L2411" i="14" s="1"/>
  <c r="I2412" i="14" s="1"/>
  <c r="J2575" i="13" a="1"/>
  <c r="J2575" i="13" s="1"/>
  <c r="N2576" i="13"/>
  <c r="M2578" i="13"/>
  <c r="M2579" i="14"/>
  <c r="N2575" i="14"/>
  <c r="J2574" i="14" a="1"/>
  <c r="J2574" i="14" s="1"/>
  <c r="K2389" i="13"/>
  <c r="L2389" i="13" s="1"/>
  <c r="I2390" i="13" s="1"/>
  <c r="K2390" i="13" l="1"/>
  <c r="L2390" i="13" s="1"/>
  <c r="I2391" i="13" s="1"/>
  <c r="K2412" i="14"/>
  <c r="L2412" i="14" s="1"/>
  <c r="I2413" i="14" s="1"/>
  <c r="J2576" i="13" a="1"/>
  <c r="J2576" i="13" s="1"/>
  <c r="N2577" i="13"/>
  <c r="M2580" i="14"/>
  <c r="N2576" i="14"/>
  <c r="J2575" i="14" a="1"/>
  <c r="J2575" i="14" s="1"/>
  <c r="M2579" i="13"/>
  <c r="K2391" i="13" l="1"/>
  <c r="L2391" i="13" s="1"/>
  <c r="I2392" i="13" s="1"/>
  <c r="J2576" i="14" a="1"/>
  <c r="J2576" i="14" s="1"/>
  <c r="N2577" i="14"/>
  <c r="M2580" i="13"/>
  <c r="M2581" i="14"/>
  <c r="K2413" i="14"/>
  <c r="L2413" i="14" s="1"/>
  <c r="I2414" i="14" s="1"/>
  <c r="N2578" i="13"/>
  <c r="J2577" i="13" a="1"/>
  <c r="J2577" i="13" s="1"/>
  <c r="K2414" i="14" l="1"/>
  <c r="L2414" i="14" s="1"/>
  <c r="I2415" i="14" s="1"/>
  <c r="K2392" i="13"/>
  <c r="L2392" i="13" s="1"/>
  <c r="I2393" i="13" s="1"/>
  <c r="J2577" i="14" a="1"/>
  <c r="J2577" i="14" s="1"/>
  <c r="N2578" i="14"/>
  <c r="N2579" i="13"/>
  <c r="J2578" i="13" a="1"/>
  <c r="J2578" i="13" s="1"/>
  <c r="M2582" i="14"/>
  <c r="M2581" i="13"/>
  <c r="K2415" i="14" l="1"/>
  <c r="L2415" i="14" s="1"/>
  <c r="I2416" i="14" s="1"/>
  <c r="J2579" i="13" a="1"/>
  <c r="J2579" i="13" s="1"/>
  <c r="N2580" i="13"/>
  <c r="K2393" i="13"/>
  <c r="L2393" i="13" s="1"/>
  <c r="I2394" i="13" s="1"/>
  <c r="M2582" i="13"/>
  <c r="M2583" i="14"/>
  <c r="J2578" i="14" a="1"/>
  <c r="J2578" i="14" s="1"/>
  <c r="N2579" i="14"/>
  <c r="K2394" i="13" l="1"/>
  <c r="L2394" i="13" s="1"/>
  <c r="I2395" i="13" s="1"/>
  <c r="K2416" i="14"/>
  <c r="L2416" i="14" s="1"/>
  <c r="I2417" i="14" s="1"/>
  <c r="N2581" i="13"/>
  <c r="J2580" i="13" a="1"/>
  <c r="J2580" i="13" s="1"/>
  <c r="N2580" i="14"/>
  <c r="J2579" i="14" a="1"/>
  <c r="J2579" i="14" s="1"/>
  <c r="M2583" i="13"/>
  <c r="M2584" i="14"/>
  <c r="K2395" i="13" l="1"/>
  <c r="L2395" i="13" s="1"/>
  <c r="I2396" i="13" s="1"/>
  <c r="J2580" i="14" a="1"/>
  <c r="J2580" i="14" s="1"/>
  <c r="N2581" i="14"/>
  <c r="K2417" i="14"/>
  <c r="L2417" i="14" s="1"/>
  <c r="I2418" i="14" s="1"/>
  <c r="M2585" i="14"/>
  <c r="M2584" i="13"/>
  <c r="N2582" i="13"/>
  <c r="J2581" i="13" a="1"/>
  <c r="J2581" i="13" s="1"/>
  <c r="K2418" i="14" l="1"/>
  <c r="L2418" i="14" s="1"/>
  <c r="I2419" i="14" s="1"/>
  <c r="K2396" i="13"/>
  <c r="L2396" i="13" s="1"/>
  <c r="I2397" i="13" s="1"/>
  <c r="M2586" i="14"/>
  <c r="J2581" i="14" a="1"/>
  <c r="J2581" i="14" s="1"/>
  <c r="N2582" i="14"/>
  <c r="N2583" i="13"/>
  <c r="J2582" i="13" a="1"/>
  <c r="J2582" i="13" s="1"/>
  <c r="M2585" i="13"/>
  <c r="K2397" i="13" l="1"/>
  <c r="L2397" i="13" s="1"/>
  <c r="I2398" i="13" s="1"/>
  <c r="N2583" i="14"/>
  <c r="J2582" i="14" a="1"/>
  <c r="J2582" i="14" s="1"/>
  <c r="M2586" i="13"/>
  <c r="M2587" i="14"/>
  <c r="J2583" i="13" a="1"/>
  <c r="J2583" i="13" s="1"/>
  <c r="N2584" i="13"/>
  <c r="K2419" i="14"/>
  <c r="L2419" i="14" s="1"/>
  <c r="I2420" i="14" s="1"/>
  <c r="K2420" i="14" l="1"/>
  <c r="L2420" i="14" s="1"/>
  <c r="I2421" i="14" s="1"/>
  <c r="K2398" i="13"/>
  <c r="L2398" i="13" s="1"/>
  <c r="I2399" i="13" s="1"/>
  <c r="N2584" i="14"/>
  <c r="J2583" i="14" a="1"/>
  <c r="J2583" i="14" s="1"/>
  <c r="M2588" i="14"/>
  <c r="N2585" i="13"/>
  <c r="J2584" i="13" a="1"/>
  <c r="J2584" i="13" s="1"/>
  <c r="M2587" i="13"/>
  <c r="K2421" i="14" l="1"/>
  <c r="L2421" i="14" s="1"/>
  <c r="I2422" i="14" s="1"/>
  <c r="K2399" i="13"/>
  <c r="L2399" i="13" s="1"/>
  <c r="I2400" i="13" s="1"/>
  <c r="M2588" i="13"/>
  <c r="M2589" i="14"/>
  <c r="N2586" i="13"/>
  <c r="J2585" i="13" a="1"/>
  <c r="J2585" i="13" s="1"/>
  <c r="J2584" i="14" a="1"/>
  <c r="J2584" i="14" s="1"/>
  <c r="N2585" i="14"/>
  <c r="K2422" i="14" l="1"/>
  <c r="L2422" i="14" s="1"/>
  <c r="I2423" i="14" s="1"/>
  <c r="J2585" i="14" a="1"/>
  <c r="J2585" i="14" s="1"/>
  <c r="N2586" i="14"/>
  <c r="M2590" i="14"/>
  <c r="K2400" i="13"/>
  <c r="L2400" i="13" s="1"/>
  <c r="I2401" i="13" s="1"/>
  <c r="N2587" i="13"/>
  <c r="J2586" i="13" a="1"/>
  <c r="J2586" i="13" s="1"/>
  <c r="M2589" i="13"/>
  <c r="K2423" i="14" l="1"/>
  <c r="L2423" i="14" s="1"/>
  <c r="I2424" i="14" s="1"/>
  <c r="K2401" i="13"/>
  <c r="L2401" i="13" s="1"/>
  <c r="I2402" i="13" s="1"/>
  <c r="M2591" i="14"/>
  <c r="M2590" i="13"/>
  <c r="J2586" i="14" a="1"/>
  <c r="J2586" i="14" s="1"/>
  <c r="N2587" i="14"/>
  <c r="J2587" i="13" a="1"/>
  <c r="J2587" i="13" s="1"/>
  <c r="N2588" i="13"/>
  <c r="K2424" i="14" l="1"/>
  <c r="L2424" i="14" s="1"/>
  <c r="I2425" i="14" s="1"/>
  <c r="K2402" i="13"/>
  <c r="L2402" i="13" s="1"/>
  <c r="I2403" i="13" s="1"/>
  <c r="N2589" i="13"/>
  <c r="J2588" i="13" a="1"/>
  <c r="J2588" i="13" s="1"/>
  <c r="M2591" i="13"/>
  <c r="N2588" i="14"/>
  <c r="J2587" i="14" a="1"/>
  <c r="J2587" i="14" s="1"/>
  <c r="M2592" i="14"/>
  <c r="K2403" i="13" l="1"/>
  <c r="L2403" i="13" s="1"/>
  <c r="I2404" i="13" s="1"/>
  <c r="J2588" i="14" a="1"/>
  <c r="J2588" i="14" s="1"/>
  <c r="N2589" i="14"/>
  <c r="M2593" i="14"/>
  <c r="M2592" i="13"/>
  <c r="N2590" i="13"/>
  <c r="J2589" i="13" a="1"/>
  <c r="J2589" i="13" s="1"/>
  <c r="K2425" i="14"/>
  <c r="L2425" i="14" s="1"/>
  <c r="I2426" i="14" s="1"/>
  <c r="K2404" i="13" l="1"/>
  <c r="L2404" i="13" s="1"/>
  <c r="I2405" i="13" s="1"/>
  <c r="M2593" i="13"/>
  <c r="J2589" i="14" a="1"/>
  <c r="J2589" i="14" s="1"/>
  <c r="N2590" i="14"/>
  <c r="K2426" i="14"/>
  <c r="L2426" i="14" s="1"/>
  <c r="I2427" i="14" s="1"/>
  <c r="N2591" i="13"/>
  <c r="J2590" i="13" a="1"/>
  <c r="J2590" i="13" s="1"/>
  <c r="M2594" i="14"/>
  <c r="K2405" i="13" l="1"/>
  <c r="L2405" i="13" s="1"/>
  <c r="I2406" i="13" s="1"/>
  <c r="J2591" i="13" a="1"/>
  <c r="J2591" i="13" s="1"/>
  <c r="N2592" i="13"/>
  <c r="M2595" i="14"/>
  <c r="M2594" i="13"/>
  <c r="K2427" i="14"/>
  <c r="L2427" i="14" s="1"/>
  <c r="I2428" i="14" s="1"/>
  <c r="N2591" i="14"/>
  <c r="J2590" i="14" a="1"/>
  <c r="J2590" i="14" s="1"/>
  <c r="K2428" i="14" l="1"/>
  <c r="L2428" i="14" s="1"/>
  <c r="I2429" i="14" s="1"/>
  <c r="K2406" i="13"/>
  <c r="L2406" i="13" s="1"/>
  <c r="I2407" i="13" s="1"/>
  <c r="N2593" i="13"/>
  <c r="J2592" i="13" a="1"/>
  <c r="J2592" i="13" s="1"/>
  <c r="N2592" i="14"/>
  <c r="J2591" i="14" a="1"/>
  <c r="J2591" i="14" s="1"/>
  <c r="M2595" i="13"/>
  <c r="M2596" i="14"/>
  <c r="K2407" i="13" l="1"/>
  <c r="L2407" i="13" s="1"/>
  <c r="I2408" i="13" s="1"/>
  <c r="K2429" i="14"/>
  <c r="L2429" i="14" s="1"/>
  <c r="I2430" i="14" s="1"/>
  <c r="J2592" i="14" a="1"/>
  <c r="J2592" i="14" s="1"/>
  <c r="N2593" i="14"/>
  <c r="M2597" i="14"/>
  <c r="M2596" i="13"/>
  <c r="N2594" i="13"/>
  <c r="J2593" i="13" a="1"/>
  <c r="J2593" i="13" s="1"/>
  <c r="K2408" i="13" l="1"/>
  <c r="L2408" i="13" s="1"/>
  <c r="I2409" i="13" s="1"/>
  <c r="K2430" i="14"/>
  <c r="L2430" i="14" s="1"/>
  <c r="I2431" i="14" s="1"/>
  <c r="M2597" i="13"/>
  <c r="N2595" i="13"/>
  <c r="J2594" i="13" a="1"/>
  <c r="J2594" i="13" s="1"/>
  <c r="M2598" i="14"/>
  <c r="J2593" i="14" a="1"/>
  <c r="J2593" i="14" s="1"/>
  <c r="N2594" i="14"/>
  <c r="K2431" i="14" l="1"/>
  <c r="L2431" i="14" s="1"/>
  <c r="I2432" i="14" s="1"/>
  <c r="K2409" i="13"/>
  <c r="L2409" i="13" s="1"/>
  <c r="I2410" i="13" s="1"/>
  <c r="J2595" i="13" a="1"/>
  <c r="J2595" i="13" s="1"/>
  <c r="N2596" i="13"/>
  <c r="J2594" i="14" a="1"/>
  <c r="J2594" i="14" s="1"/>
  <c r="N2595" i="14"/>
  <c r="M2599" i="14"/>
  <c r="M2598" i="13"/>
  <c r="K2410" i="13" l="1"/>
  <c r="L2410" i="13" s="1"/>
  <c r="I2411" i="13" s="1"/>
  <c r="K2432" i="14"/>
  <c r="L2432" i="14" s="1"/>
  <c r="I2433" i="14" s="1"/>
  <c r="M2599" i="13"/>
  <c r="M2600" i="14"/>
  <c r="N2596" i="14"/>
  <c r="J2595" i="14" a="1"/>
  <c r="J2595" i="14" s="1"/>
  <c r="N2597" i="13"/>
  <c r="J2596" i="13" a="1"/>
  <c r="J2596" i="13" s="1"/>
  <c r="K2433" i="14" l="1"/>
  <c r="L2433" i="14" s="1"/>
  <c r="I2434" i="14" s="1"/>
  <c r="N2598" i="13"/>
  <c r="J2597" i="13" a="1"/>
  <c r="J2597" i="13" s="1"/>
  <c r="M2601" i="14"/>
  <c r="M2600" i="13"/>
  <c r="J2596" i="14" a="1"/>
  <c r="J2596" i="14" s="1"/>
  <c r="N2597" i="14"/>
  <c r="K2411" i="13"/>
  <c r="L2411" i="13" s="1"/>
  <c r="I2412" i="13" s="1"/>
  <c r="K2412" i="13" l="1"/>
  <c r="L2412" i="13" s="1"/>
  <c r="I2413" i="13" s="1"/>
  <c r="K2434" i="14"/>
  <c r="L2434" i="14" s="1"/>
  <c r="I2435" i="14" s="1"/>
  <c r="M2601" i="13"/>
  <c r="N2599" i="13"/>
  <c r="J2598" i="13" a="1"/>
  <c r="J2598" i="13" s="1"/>
  <c r="J2597" i="14" a="1"/>
  <c r="J2597" i="14" s="1"/>
  <c r="N2598" i="14"/>
  <c r="M2602" i="14"/>
  <c r="K2435" i="14" l="1"/>
  <c r="L2435" i="14" s="1"/>
  <c r="I2436" i="14" s="1"/>
  <c r="K2413" i="13"/>
  <c r="L2413" i="13" s="1"/>
  <c r="I2414" i="13" s="1"/>
  <c r="M2603" i="14"/>
  <c r="J2599" i="13" a="1"/>
  <c r="J2599" i="13" s="1"/>
  <c r="N2600" i="13"/>
  <c r="N2599" i="14"/>
  <c r="J2598" i="14" a="1"/>
  <c r="J2598" i="14" s="1"/>
  <c r="M2602" i="13"/>
  <c r="K2436" i="14" l="1"/>
  <c r="L2436" i="14" s="1"/>
  <c r="I2437" i="14" s="1"/>
  <c r="K2414" i="13"/>
  <c r="L2414" i="13" s="1"/>
  <c r="I2415" i="13" s="1"/>
  <c r="N2601" i="13"/>
  <c r="J2600" i="13" a="1"/>
  <c r="J2600" i="13" s="1"/>
  <c r="M2603" i="13"/>
  <c r="N2600" i="14"/>
  <c r="J2599" i="14" a="1"/>
  <c r="J2599" i="14" s="1"/>
  <c r="M2604" i="14"/>
  <c r="K2415" i="13" l="1"/>
  <c r="L2415" i="13" s="1"/>
  <c r="I2416" i="13" s="1"/>
  <c r="K2437" i="14"/>
  <c r="L2437" i="14" s="1"/>
  <c r="I2438" i="14" s="1"/>
  <c r="J2600" i="14" a="1"/>
  <c r="J2600" i="14" s="1"/>
  <c r="N2601" i="14"/>
  <c r="M2604" i="13"/>
  <c r="M2605" i="14"/>
  <c r="N2602" i="13"/>
  <c r="J2601" i="13" a="1"/>
  <c r="J2601" i="13" s="1"/>
  <c r="K2438" i="14" l="1"/>
  <c r="L2438" i="14" s="1"/>
  <c r="I2439" i="14" s="1"/>
  <c r="K2416" i="13"/>
  <c r="L2416" i="13" s="1"/>
  <c r="I2417" i="13" s="1"/>
  <c r="M2606" i="14"/>
  <c r="N2603" i="13"/>
  <c r="J2602" i="13" a="1"/>
  <c r="J2602" i="13" s="1"/>
  <c r="M2605" i="13"/>
  <c r="J2601" i="14" a="1"/>
  <c r="J2601" i="14" s="1"/>
  <c r="N2602" i="14"/>
  <c r="K2417" i="13" l="1"/>
  <c r="L2417" i="13" s="1"/>
  <c r="I2418" i="13" s="1"/>
  <c r="K2439" i="14"/>
  <c r="L2439" i="14" s="1"/>
  <c r="I2440" i="14" s="1"/>
  <c r="J2603" i="13" a="1"/>
  <c r="J2603" i="13" s="1"/>
  <c r="N2604" i="13"/>
  <c r="J2602" i="14" a="1"/>
  <c r="J2602" i="14" s="1"/>
  <c r="N2603" i="14"/>
  <c r="M2606" i="13"/>
  <c r="M2607" i="14"/>
  <c r="K2418" i="13" l="1"/>
  <c r="L2418" i="13" s="1"/>
  <c r="I2419" i="13" s="1"/>
  <c r="N2604" i="14"/>
  <c r="J2603" i="14" a="1"/>
  <c r="J2603" i="14" s="1"/>
  <c r="M2608" i="14"/>
  <c r="K2440" i="14"/>
  <c r="L2440" i="14" s="1"/>
  <c r="I2441" i="14" s="1"/>
  <c r="N2605" i="13"/>
  <c r="J2604" i="13" a="1"/>
  <c r="J2604" i="13" s="1"/>
  <c r="M2607" i="13"/>
  <c r="K2441" i="14" l="1"/>
  <c r="L2441" i="14" s="1"/>
  <c r="I2442" i="14" s="1"/>
  <c r="M2608" i="13"/>
  <c r="N2606" i="13"/>
  <c r="J2605" i="13" a="1"/>
  <c r="J2605" i="13" s="1"/>
  <c r="J2604" i="14" a="1"/>
  <c r="J2604" i="14" s="1"/>
  <c r="N2605" i="14"/>
  <c r="M2609" i="14"/>
  <c r="K2419" i="13"/>
  <c r="L2419" i="13" s="1"/>
  <c r="I2420" i="13" s="1"/>
  <c r="K2420" i="13" l="1"/>
  <c r="L2420" i="13" s="1"/>
  <c r="I2421" i="13" s="1"/>
  <c r="K2442" i="14"/>
  <c r="L2442" i="14" s="1"/>
  <c r="I2443" i="14" s="1"/>
  <c r="M2610" i="14"/>
  <c r="J2605" i="14" a="1"/>
  <c r="J2605" i="14" s="1"/>
  <c r="N2606" i="14"/>
  <c r="M2609" i="13"/>
  <c r="N2607" i="13"/>
  <c r="J2606" i="13" a="1"/>
  <c r="J2606" i="13" s="1"/>
  <c r="K2421" i="13" l="1"/>
  <c r="L2421" i="13" s="1"/>
  <c r="I2422" i="13" s="1"/>
  <c r="K2443" i="14"/>
  <c r="L2443" i="14" s="1"/>
  <c r="I2444" i="14" s="1"/>
  <c r="N2607" i="14"/>
  <c r="J2606" i="14" a="1"/>
  <c r="J2606" i="14" s="1"/>
  <c r="J2607" i="13" a="1"/>
  <c r="J2607" i="13" s="1"/>
  <c r="N2608" i="13"/>
  <c r="M2610" i="13"/>
  <c r="M2611" i="14"/>
  <c r="K2444" i="14" l="1"/>
  <c r="L2444" i="14" s="1"/>
  <c r="I2445" i="14" s="1"/>
  <c r="K2422" i="13"/>
  <c r="L2422" i="13" s="1"/>
  <c r="I2423" i="13" s="1"/>
  <c r="N2609" i="13"/>
  <c r="J2608" i="13" a="1"/>
  <c r="J2608" i="13" s="1"/>
  <c r="M2612" i="14"/>
  <c r="M2611" i="13"/>
  <c r="N2608" i="14"/>
  <c r="J2607" i="14" a="1"/>
  <c r="J2607" i="14" s="1"/>
  <c r="K2423" i="13" l="1"/>
  <c r="L2423" i="13" s="1"/>
  <c r="I2424" i="13" s="1"/>
  <c r="K2445" i="14"/>
  <c r="L2445" i="14" s="1"/>
  <c r="I2446" i="14" s="1"/>
  <c r="J2608" i="14" a="1"/>
  <c r="J2608" i="14" s="1"/>
  <c r="N2609" i="14"/>
  <c r="M2613" i="14"/>
  <c r="M2612" i="13"/>
  <c r="N2610" i="13"/>
  <c r="J2609" i="13" a="1"/>
  <c r="J2609" i="13" s="1"/>
  <c r="K2424" i="13" l="1"/>
  <c r="L2424" i="13" s="1"/>
  <c r="I2425" i="13" s="1"/>
  <c r="N2611" i="13"/>
  <c r="J2610" i="13" a="1"/>
  <c r="J2610" i="13" s="1"/>
  <c r="M2614" i="14"/>
  <c r="K2446" i="14"/>
  <c r="L2446" i="14" s="1"/>
  <c r="I2447" i="14" s="1"/>
  <c r="M2613" i="13"/>
  <c r="J2609" i="14" a="1"/>
  <c r="J2609" i="14" s="1"/>
  <c r="N2610" i="14"/>
  <c r="K2447" i="14" l="1"/>
  <c r="L2447" i="14" s="1"/>
  <c r="I2448" i="14" s="1"/>
  <c r="K2425" i="13"/>
  <c r="L2425" i="13" s="1"/>
  <c r="I2426" i="13" s="1"/>
  <c r="J2610" i="14" a="1"/>
  <c r="J2610" i="14" s="1"/>
  <c r="N2611" i="14"/>
  <c r="J2611" i="13" a="1"/>
  <c r="J2611" i="13" s="1"/>
  <c r="N2612" i="13"/>
  <c r="M2614" i="13"/>
  <c r="M2615" i="14"/>
  <c r="K2448" i="14" l="1"/>
  <c r="L2448" i="14" s="1"/>
  <c r="I2449" i="14" s="1"/>
  <c r="N2613" i="13"/>
  <c r="J2612" i="13" a="1"/>
  <c r="J2612" i="13" s="1"/>
  <c r="K2426" i="13"/>
  <c r="L2426" i="13" s="1"/>
  <c r="I2427" i="13" s="1"/>
  <c r="M2616" i="14"/>
  <c r="N2612" i="14"/>
  <c r="J2611" i="14" a="1"/>
  <c r="J2611" i="14" s="1"/>
  <c r="M2615" i="13"/>
  <c r="K2427" i="13" l="1"/>
  <c r="L2427" i="13" s="1"/>
  <c r="I2428" i="13" s="1"/>
  <c r="K2449" i="14"/>
  <c r="L2449" i="14" s="1"/>
  <c r="I2450" i="14" s="1"/>
  <c r="N2614" i="13"/>
  <c r="J2613" i="13" a="1"/>
  <c r="J2613" i="13" s="1"/>
  <c r="M2616" i="13"/>
  <c r="M2617" i="14"/>
  <c r="J2612" i="14" a="1"/>
  <c r="J2612" i="14" s="1"/>
  <c r="N2613" i="14"/>
  <c r="K2450" i="14" l="1"/>
  <c r="L2450" i="14" s="1"/>
  <c r="I2451" i="14" s="1"/>
  <c r="K2428" i="13"/>
  <c r="L2428" i="13" s="1"/>
  <c r="I2429" i="13" s="1"/>
  <c r="M2617" i="13"/>
  <c r="M2618" i="14"/>
  <c r="J2613" i="14" a="1"/>
  <c r="J2613" i="14" s="1"/>
  <c r="N2614" i="14"/>
  <c r="N2615" i="13"/>
  <c r="J2614" i="13" a="1"/>
  <c r="J2614" i="13" s="1"/>
  <c r="K2429" i="13" l="1"/>
  <c r="L2429" i="13" s="1"/>
  <c r="I2430" i="13" s="1"/>
  <c r="M2619" i="14"/>
  <c r="J2615" i="13" a="1"/>
  <c r="J2615" i="13" s="1"/>
  <c r="N2616" i="13"/>
  <c r="N2615" i="14"/>
  <c r="J2614" i="14" a="1"/>
  <c r="J2614" i="14" s="1"/>
  <c r="M2618" i="13"/>
  <c r="K2451" i="14"/>
  <c r="L2451" i="14" s="1"/>
  <c r="I2452" i="14" s="1"/>
  <c r="K2452" i="14" l="1"/>
  <c r="L2452" i="14" s="1"/>
  <c r="I2453" i="14" s="1"/>
  <c r="K2430" i="13"/>
  <c r="L2430" i="13" s="1"/>
  <c r="I2431" i="13" s="1"/>
  <c r="N2616" i="14"/>
  <c r="J2615" i="14" a="1"/>
  <c r="J2615" i="14" s="1"/>
  <c r="M2620" i="14"/>
  <c r="N2617" i="13"/>
  <c r="J2616" i="13" a="1"/>
  <c r="J2616" i="13" s="1"/>
  <c r="M2619" i="13"/>
  <c r="K2453" i="14" l="1"/>
  <c r="L2453" i="14" s="1"/>
  <c r="I2454" i="14" s="1"/>
  <c r="K2431" i="13"/>
  <c r="L2431" i="13" s="1"/>
  <c r="I2432" i="13" s="1"/>
  <c r="J2617" i="13" a="1"/>
  <c r="J2617" i="13" s="1"/>
  <c r="N2618" i="13"/>
  <c r="M2620" i="13"/>
  <c r="J2616" i="14" a="1"/>
  <c r="J2616" i="14" s="1"/>
  <c r="N2617" i="14"/>
  <c r="M2621" i="14"/>
  <c r="K2454" i="14" l="1"/>
  <c r="L2454" i="14" s="1"/>
  <c r="I2455" i="14" s="1"/>
  <c r="K2432" i="13"/>
  <c r="L2432" i="13" s="1"/>
  <c r="I2433" i="13" s="1"/>
  <c r="M2621" i="13"/>
  <c r="M2622" i="14"/>
  <c r="J2617" i="14" a="1"/>
  <c r="J2617" i="14" s="1"/>
  <c r="N2618" i="14"/>
  <c r="N2619" i="13"/>
  <c r="J2618" i="13" a="1"/>
  <c r="J2618" i="13" s="1"/>
  <c r="K2433" i="13" l="1"/>
  <c r="L2433" i="13" s="1"/>
  <c r="I2434" i="13" s="1"/>
  <c r="K2455" i="14"/>
  <c r="L2455" i="14" s="1"/>
  <c r="I2456" i="14" s="1"/>
  <c r="M2623" i="14"/>
  <c r="J2619" i="13" a="1"/>
  <c r="J2619" i="13" s="1"/>
  <c r="N2620" i="13"/>
  <c r="J2618" i="14" a="1"/>
  <c r="J2618" i="14" s="1"/>
  <c r="N2619" i="14"/>
  <c r="M2622" i="13"/>
  <c r="K2434" i="13" l="1"/>
  <c r="L2434" i="13" s="1"/>
  <c r="I2435" i="13" s="1"/>
  <c r="N2621" i="13"/>
  <c r="J2620" i="13" a="1"/>
  <c r="J2620" i="13" s="1"/>
  <c r="M2623" i="13"/>
  <c r="K2456" i="14"/>
  <c r="L2456" i="14" s="1"/>
  <c r="I2457" i="14" s="1"/>
  <c r="N2620" i="14"/>
  <c r="J2619" i="14" a="1"/>
  <c r="J2619" i="14" s="1"/>
  <c r="M2624" i="14"/>
  <c r="K2457" i="14" l="1"/>
  <c r="L2457" i="14" s="1"/>
  <c r="I2458" i="14" s="1"/>
  <c r="K2435" i="13"/>
  <c r="L2435" i="13" s="1"/>
  <c r="I2436" i="13" s="1"/>
  <c r="J2621" i="13" a="1"/>
  <c r="J2621" i="13" s="1"/>
  <c r="N2622" i="13"/>
  <c r="M2624" i="13"/>
  <c r="M2625" i="14"/>
  <c r="J2620" i="14" a="1"/>
  <c r="J2620" i="14" s="1"/>
  <c r="N2621" i="14"/>
  <c r="K2436" i="13" l="1"/>
  <c r="L2436" i="13" s="1"/>
  <c r="I2437" i="13" s="1"/>
  <c r="K2458" i="14"/>
  <c r="L2458" i="14" s="1"/>
  <c r="I2459" i="14" s="1"/>
  <c r="J2621" i="14" a="1"/>
  <c r="J2621" i="14" s="1"/>
  <c r="N2622" i="14"/>
  <c r="M2626" i="14"/>
  <c r="M2625" i="13"/>
  <c r="N2623" i="13"/>
  <c r="J2622" i="13" a="1"/>
  <c r="J2622" i="13" s="1"/>
  <c r="K2459" i="14" l="1"/>
  <c r="L2459" i="14" s="1"/>
  <c r="I2460" i="14" s="1"/>
  <c r="K2437" i="13"/>
  <c r="L2437" i="13" s="1"/>
  <c r="I2438" i="13" s="1"/>
  <c r="M2626" i="13"/>
  <c r="M2627" i="14"/>
  <c r="J2623" i="13" a="1"/>
  <c r="J2623" i="13" s="1"/>
  <c r="N2624" i="13"/>
  <c r="N2623" i="14"/>
  <c r="J2622" i="14" a="1"/>
  <c r="J2622" i="14" s="1"/>
  <c r="K2438" i="13" l="1"/>
  <c r="L2438" i="13" s="1"/>
  <c r="I2439" i="13" s="1"/>
  <c r="K2460" i="14"/>
  <c r="L2460" i="14" s="1"/>
  <c r="I2461" i="14" s="1"/>
  <c r="N2625" i="13"/>
  <c r="J2624" i="13" a="1"/>
  <c r="J2624" i="13" s="1"/>
  <c r="N2624" i="14"/>
  <c r="J2623" i="14" a="1"/>
  <c r="J2623" i="14" s="1"/>
  <c r="M2628" i="14"/>
  <c r="M2627" i="13"/>
  <c r="K2461" i="14" l="1"/>
  <c r="L2461" i="14" s="1"/>
  <c r="I2462" i="14" s="1"/>
  <c r="K2439" i="13"/>
  <c r="L2439" i="13" s="1"/>
  <c r="I2440" i="13" s="1"/>
  <c r="M2628" i="13"/>
  <c r="J2624" i="14" a="1"/>
  <c r="J2624" i="14" s="1"/>
  <c r="N2625" i="14"/>
  <c r="M2629" i="14"/>
  <c r="J2625" i="13" a="1"/>
  <c r="J2625" i="13" s="1"/>
  <c r="N2626" i="13"/>
  <c r="K2462" i="14" l="1"/>
  <c r="L2462" i="14" s="1"/>
  <c r="I2463" i="14" s="1"/>
  <c r="K2440" i="13"/>
  <c r="L2440" i="13" s="1"/>
  <c r="I2441" i="13" s="1"/>
  <c r="J2625" i="14" a="1"/>
  <c r="J2625" i="14" s="1"/>
  <c r="N2626" i="14"/>
  <c r="N2627" i="13"/>
  <c r="J2626" i="13" a="1"/>
  <c r="J2626" i="13" s="1"/>
  <c r="M2630" i="14"/>
  <c r="M2629" i="13"/>
  <c r="K2463" i="14" l="1"/>
  <c r="L2463" i="14" s="1"/>
  <c r="I2464" i="14" s="1"/>
  <c r="M2630" i="13"/>
  <c r="J2627" i="13" a="1"/>
  <c r="J2627" i="13" s="1"/>
  <c r="N2628" i="13"/>
  <c r="K2441" i="13"/>
  <c r="L2441" i="13" s="1"/>
  <c r="I2442" i="13" s="1"/>
  <c r="J2626" i="14" a="1"/>
  <c r="J2626" i="14" s="1"/>
  <c r="N2627" i="14"/>
  <c r="M2631" i="14"/>
  <c r="K2442" i="13" l="1"/>
  <c r="L2442" i="13" s="1"/>
  <c r="I2443" i="13" s="1"/>
  <c r="K2464" i="14"/>
  <c r="L2464" i="14" s="1"/>
  <c r="I2465" i="14" s="1"/>
  <c r="N2628" i="14"/>
  <c r="J2627" i="14" a="1"/>
  <c r="J2627" i="14" s="1"/>
  <c r="N2629" i="13"/>
  <c r="J2628" i="13" a="1"/>
  <c r="J2628" i="13" s="1"/>
  <c r="M2632" i="14"/>
  <c r="M2631" i="13"/>
  <c r="K2465" i="14" l="1"/>
  <c r="L2465" i="14" s="1"/>
  <c r="I2466" i="14" s="1"/>
  <c r="K2443" i="13"/>
  <c r="L2443" i="13" s="1"/>
  <c r="I2444" i="13" s="1"/>
  <c r="M2632" i="13"/>
  <c r="J2629" i="13" a="1"/>
  <c r="J2629" i="13" s="1"/>
  <c r="N2630" i="13"/>
  <c r="M2633" i="14"/>
  <c r="J2628" i="14" a="1"/>
  <c r="J2628" i="14" s="1"/>
  <c r="N2629" i="14"/>
  <c r="K2444" i="13" l="1"/>
  <c r="L2444" i="13" s="1"/>
  <c r="I2445" i="13" s="1"/>
  <c r="K2466" i="14"/>
  <c r="L2466" i="14" s="1"/>
  <c r="I2467" i="14" s="1"/>
  <c r="J2629" i="14" a="1"/>
  <c r="J2629" i="14" s="1"/>
  <c r="N2630" i="14"/>
  <c r="N2631" i="13"/>
  <c r="J2630" i="13" a="1"/>
  <c r="J2630" i="13" s="1"/>
  <c r="M2634" i="14"/>
  <c r="M2633" i="13"/>
  <c r="K2467" i="14" l="1"/>
  <c r="L2467" i="14" s="1"/>
  <c r="I2468" i="14" s="1"/>
  <c r="K2445" i="13"/>
  <c r="L2445" i="13" s="1"/>
  <c r="I2446" i="13" s="1"/>
  <c r="M2635" i="14"/>
  <c r="M2634" i="13"/>
  <c r="J2631" i="13" a="1"/>
  <c r="J2631" i="13" s="1"/>
  <c r="N2632" i="13"/>
  <c r="N2631" i="14"/>
  <c r="J2630" i="14" a="1"/>
  <c r="J2630" i="14" s="1"/>
  <c r="K2446" i="13" l="1"/>
  <c r="L2446" i="13" s="1"/>
  <c r="I2447" i="13" s="1"/>
  <c r="K2468" i="14"/>
  <c r="L2468" i="14" s="1"/>
  <c r="I2469" i="14" s="1"/>
  <c r="N2633" i="13"/>
  <c r="J2632" i="13" a="1"/>
  <c r="J2632" i="13" s="1"/>
  <c r="N2632" i="14"/>
  <c r="J2631" i="14" a="1"/>
  <c r="J2631" i="14" s="1"/>
  <c r="M2635" i="13"/>
  <c r="M2636" i="14"/>
  <c r="K2469" i="14" l="1"/>
  <c r="L2469" i="14" s="1"/>
  <c r="I2470" i="14" s="1"/>
  <c r="K2447" i="13"/>
  <c r="L2447" i="13" s="1"/>
  <c r="I2448" i="13" s="1"/>
  <c r="M2636" i="13"/>
  <c r="M2637" i="14"/>
  <c r="J2632" i="14" a="1"/>
  <c r="J2632" i="14" s="1"/>
  <c r="N2633" i="14"/>
  <c r="J2633" i="13" a="1"/>
  <c r="J2633" i="13" s="1"/>
  <c r="N2634" i="13"/>
  <c r="K2448" i="13" l="1"/>
  <c r="L2448" i="13" s="1"/>
  <c r="I2449" i="13" s="1"/>
  <c r="K2470" i="14"/>
  <c r="L2470" i="14" s="1"/>
  <c r="I2471" i="14" s="1"/>
  <c r="N2635" i="13"/>
  <c r="J2634" i="13" a="1"/>
  <c r="J2634" i="13" s="1"/>
  <c r="M2638" i="14"/>
  <c r="J2633" i="14" a="1"/>
  <c r="J2633" i="14" s="1"/>
  <c r="N2634" i="14"/>
  <c r="M2637" i="13"/>
  <c r="K2471" i="14" l="1"/>
  <c r="L2471" i="14" s="1"/>
  <c r="I2472" i="14" s="1"/>
  <c r="K2449" i="13"/>
  <c r="L2449" i="13" s="1"/>
  <c r="I2450" i="13" s="1"/>
  <c r="M2638" i="13"/>
  <c r="M2639" i="14"/>
  <c r="J2634" i="14" a="1"/>
  <c r="J2634" i="14" s="1"/>
  <c r="N2635" i="14"/>
  <c r="J2635" i="13" a="1"/>
  <c r="J2635" i="13" s="1"/>
  <c r="N2636" i="13"/>
  <c r="K2472" i="14" l="1"/>
  <c r="L2472" i="14" s="1"/>
  <c r="I2473" i="14" s="1"/>
  <c r="K2450" i="13"/>
  <c r="L2450" i="13" s="1"/>
  <c r="I2451" i="13" s="1"/>
  <c r="M2640" i="14"/>
  <c r="N2636" i="14"/>
  <c r="J2635" i="14" a="1"/>
  <c r="J2635" i="14" s="1"/>
  <c r="N2637" i="13"/>
  <c r="J2636" i="13" a="1"/>
  <c r="J2636" i="13" s="1"/>
  <c r="M2639" i="13"/>
  <c r="K2451" i="13" l="1"/>
  <c r="L2451" i="13" s="1"/>
  <c r="I2452" i="13" s="1"/>
  <c r="K2473" i="14"/>
  <c r="L2473" i="14" s="1"/>
  <c r="I2474" i="14" s="1"/>
  <c r="M2640" i="13"/>
  <c r="J2636" i="14" a="1"/>
  <c r="J2636" i="14" s="1"/>
  <c r="N2637" i="14"/>
  <c r="J2637" i="13" a="1"/>
  <c r="J2637" i="13" s="1"/>
  <c r="N2638" i="13"/>
  <c r="M2641" i="14"/>
  <c r="K2474" i="14" l="1"/>
  <c r="L2474" i="14" s="1"/>
  <c r="I2475" i="14" s="1"/>
  <c r="J2637" i="14" a="1"/>
  <c r="J2637" i="14" s="1"/>
  <c r="N2638" i="14"/>
  <c r="M2641" i="13"/>
  <c r="M2642" i="14"/>
  <c r="N2639" i="13"/>
  <c r="J2638" i="13" a="1"/>
  <c r="J2638" i="13" s="1"/>
  <c r="K2452" i="13"/>
  <c r="L2452" i="13" s="1"/>
  <c r="I2453" i="13" s="1"/>
  <c r="K2453" i="13" l="1"/>
  <c r="L2453" i="13" s="1"/>
  <c r="I2454" i="13" s="1"/>
  <c r="K2475" i="14"/>
  <c r="L2475" i="14" s="1"/>
  <c r="I2476" i="14" s="1"/>
  <c r="M2643" i="14"/>
  <c r="N2639" i="14"/>
  <c r="J2638" i="14" a="1"/>
  <c r="J2638" i="14" s="1"/>
  <c r="M2642" i="13"/>
  <c r="J2639" i="13" a="1"/>
  <c r="J2639" i="13" s="1"/>
  <c r="N2640" i="13"/>
  <c r="K2476" i="14" l="1"/>
  <c r="L2476" i="14" s="1"/>
  <c r="I2477" i="14" s="1"/>
  <c r="K2454" i="13"/>
  <c r="L2454" i="13" s="1"/>
  <c r="I2455" i="13" s="1"/>
  <c r="N2641" i="13"/>
  <c r="J2640" i="13" a="1"/>
  <c r="J2640" i="13" s="1"/>
  <c r="N2640" i="14"/>
  <c r="J2639" i="14" a="1"/>
  <c r="J2639" i="14" s="1"/>
  <c r="M2643" i="13"/>
  <c r="M2644" i="14"/>
  <c r="K2477" i="14" l="1"/>
  <c r="L2477" i="14" s="1"/>
  <c r="I2478" i="14" s="1"/>
  <c r="K2455" i="13"/>
  <c r="L2455" i="13" s="1"/>
  <c r="I2456" i="13" s="1"/>
  <c r="M2644" i="13"/>
  <c r="M2645" i="14"/>
  <c r="J2640" i="14" a="1"/>
  <c r="J2640" i="14" s="1"/>
  <c r="N2641" i="14"/>
  <c r="J2641" i="13" a="1"/>
  <c r="J2641" i="13" s="1"/>
  <c r="N2642" i="13"/>
  <c r="K2478" i="14" l="1"/>
  <c r="L2478" i="14" s="1"/>
  <c r="I2479" i="14" s="1"/>
  <c r="K2456" i="13"/>
  <c r="L2456" i="13" s="1"/>
  <c r="I2457" i="13" s="1"/>
  <c r="N2643" i="13"/>
  <c r="J2642" i="13" a="1"/>
  <c r="J2642" i="13" s="1"/>
  <c r="M2646" i="14"/>
  <c r="J2641" i="14" a="1"/>
  <c r="J2641" i="14" s="1"/>
  <c r="N2642" i="14"/>
  <c r="M2645" i="13"/>
  <c r="K2457" i="13" l="1"/>
  <c r="L2457" i="13" s="1"/>
  <c r="I2458" i="13" s="1"/>
  <c r="J2642" i="14" a="1"/>
  <c r="J2642" i="14" s="1"/>
  <c r="N2643" i="14"/>
  <c r="J2643" i="13" a="1"/>
  <c r="J2643" i="13" s="1"/>
  <c r="N2644" i="13"/>
  <c r="M2646" i="13"/>
  <c r="M2647" i="14"/>
  <c r="K2479" i="14"/>
  <c r="L2479" i="14" s="1"/>
  <c r="I2480" i="14" s="1"/>
  <c r="K2458" i="13" l="1"/>
  <c r="L2458" i="13" s="1"/>
  <c r="I2459" i="13" s="1"/>
  <c r="K2480" i="14"/>
  <c r="L2480" i="14" s="1"/>
  <c r="I2481" i="14" s="1"/>
  <c r="N2644" i="14"/>
  <c r="J2643" i="14" a="1"/>
  <c r="J2643" i="14" s="1"/>
  <c r="M2647" i="13"/>
  <c r="N2645" i="13"/>
  <c r="J2644" i="13" a="1"/>
  <c r="J2644" i="13" s="1"/>
  <c r="M2648" i="14"/>
  <c r="K2481" i="14" l="1"/>
  <c r="L2481" i="14" s="1"/>
  <c r="I2482" i="14" s="1"/>
  <c r="K2459" i="13"/>
  <c r="L2459" i="13" s="1"/>
  <c r="I2460" i="13" s="1"/>
  <c r="M2648" i="13"/>
  <c r="M2649" i="14"/>
  <c r="J2645" i="13" a="1"/>
  <c r="J2645" i="13" s="1"/>
  <c r="N2646" i="13"/>
  <c r="J2644" i="14" a="1"/>
  <c r="J2644" i="14" s="1"/>
  <c r="N2645" i="14"/>
  <c r="K2460" i="13" l="1"/>
  <c r="L2460" i="13" s="1"/>
  <c r="I2461" i="13" s="1"/>
  <c r="K2482" i="14"/>
  <c r="L2482" i="14" s="1"/>
  <c r="I2483" i="14" s="1"/>
  <c r="N2647" i="13"/>
  <c r="J2646" i="13" a="1"/>
  <c r="J2646" i="13" s="1"/>
  <c r="M2650" i="14"/>
  <c r="J2645" i="14" a="1"/>
  <c r="J2645" i="14" s="1"/>
  <c r="N2646" i="14"/>
  <c r="M2649" i="13"/>
  <c r="K2483" i="14" l="1"/>
  <c r="L2483" i="14" s="1"/>
  <c r="I2484" i="14" s="1"/>
  <c r="K2461" i="13"/>
  <c r="L2461" i="13" s="1"/>
  <c r="I2462" i="13" s="1"/>
  <c r="N2647" i="14"/>
  <c r="J2646" i="14" a="1"/>
  <c r="J2646" i="14" s="1"/>
  <c r="M2650" i="13"/>
  <c r="M2651" i="14"/>
  <c r="J2647" i="13" a="1"/>
  <c r="J2647" i="13" s="1"/>
  <c r="N2648" i="13"/>
  <c r="K2462" i="13" l="1"/>
  <c r="L2462" i="13" s="1"/>
  <c r="I2463" i="13" s="1"/>
  <c r="N2648" i="14"/>
  <c r="J2647" i="14" a="1"/>
  <c r="J2647" i="14" s="1"/>
  <c r="N2649" i="13"/>
  <c r="J2648" i="13" a="1"/>
  <c r="J2648" i="13" s="1"/>
  <c r="M2651" i="13"/>
  <c r="M2652" i="14"/>
  <c r="K2484" i="14"/>
  <c r="L2484" i="14" s="1"/>
  <c r="I2485" i="14" s="1"/>
  <c r="K2463" i="13" l="1"/>
  <c r="L2463" i="13" s="1"/>
  <c r="I2464" i="13" s="1"/>
  <c r="K2485" i="14"/>
  <c r="L2485" i="14" s="1"/>
  <c r="I2486" i="14" s="1"/>
  <c r="J2648" i="14" a="1"/>
  <c r="J2648" i="14" s="1"/>
  <c r="N2649" i="14"/>
  <c r="M2652" i="13"/>
  <c r="M2653" i="14"/>
  <c r="J2649" i="13" a="1"/>
  <c r="J2649" i="13" s="1"/>
  <c r="N2650" i="13"/>
  <c r="K2486" i="14" l="1"/>
  <c r="L2486" i="14" s="1"/>
  <c r="I2487" i="14" s="1"/>
  <c r="M2654" i="14"/>
  <c r="M2653" i="13"/>
  <c r="N2651" i="13"/>
  <c r="J2650" i="13" a="1"/>
  <c r="J2650" i="13" s="1"/>
  <c r="J2649" i="14" a="1"/>
  <c r="J2649" i="14" s="1"/>
  <c r="N2650" i="14"/>
  <c r="K2464" i="13"/>
  <c r="L2464" i="13" s="1"/>
  <c r="I2465" i="13" s="1"/>
  <c r="K2465" i="13" l="1"/>
  <c r="L2465" i="13" s="1"/>
  <c r="I2466" i="13" s="1"/>
  <c r="K2487" i="14"/>
  <c r="L2487" i="14" s="1"/>
  <c r="I2488" i="14" s="1"/>
  <c r="M2655" i="14"/>
  <c r="J2651" i="13" a="1"/>
  <c r="J2651" i="13" s="1"/>
  <c r="N2652" i="13"/>
  <c r="J2650" i="14" a="1"/>
  <c r="J2650" i="14" s="1"/>
  <c r="N2651" i="14"/>
  <c r="M2654" i="13"/>
  <c r="K2488" i="14" l="1"/>
  <c r="L2488" i="14" s="1"/>
  <c r="I2489" i="14" s="1"/>
  <c r="N2653" i="13"/>
  <c r="J2652" i="13" a="1"/>
  <c r="J2652" i="13" s="1"/>
  <c r="M2656" i="14"/>
  <c r="M2655" i="13"/>
  <c r="N2652" i="14"/>
  <c r="J2651" i="14" a="1"/>
  <c r="J2651" i="14" s="1"/>
  <c r="K2466" i="13"/>
  <c r="L2466" i="13" s="1"/>
  <c r="I2467" i="13" s="1"/>
  <c r="K2467" i="13" l="1"/>
  <c r="L2467" i="13" s="1"/>
  <c r="I2468" i="13" s="1"/>
  <c r="M2656" i="13"/>
  <c r="J2653" i="13" a="1"/>
  <c r="J2653" i="13" s="1"/>
  <c r="N2654" i="13"/>
  <c r="J2652" i="14" a="1"/>
  <c r="J2652" i="14" s="1"/>
  <c r="N2653" i="14"/>
  <c r="M2657" i="14"/>
  <c r="K2489" i="14"/>
  <c r="L2489" i="14" s="1"/>
  <c r="I2490" i="14" s="1"/>
  <c r="K2468" i="13" l="1"/>
  <c r="L2468" i="13" s="1"/>
  <c r="I2469" i="13" s="1"/>
  <c r="K2490" i="14"/>
  <c r="L2490" i="14" s="1"/>
  <c r="I2491" i="14" s="1"/>
  <c r="J2653" i="14" a="1"/>
  <c r="J2653" i="14" s="1"/>
  <c r="N2654" i="14"/>
  <c r="M2657" i="13"/>
  <c r="M2658" i="14"/>
  <c r="N2655" i="13"/>
  <c r="J2654" i="13" a="1"/>
  <c r="J2654" i="13" s="1"/>
  <c r="K2491" i="14" l="1"/>
  <c r="L2491" i="14" s="1"/>
  <c r="I2492" i="14" s="1"/>
  <c r="K2469" i="13"/>
  <c r="L2469" i="13" s="1"/>
  <c r="I2470" i="13" s="1"/>
  <c r="M2658" i="13"/>
  <c r="J2655" i="13" a="1"/>
  <c r="J2655" i="13" s="1"/>
  <c r="N2656" i="13"/>
  <c r="M2659" i="14"/>
  <c r="N2655" i="14"/>
  <c r="J2654" i="14" a="1"/>
  <c r="J2654" i="14" s="1"/>
  <c r="K2470" i="13" l="1"/>
  <c r="L2470" i="13" s="1"/>
  <c r="I2471" i="13" s="1"/>
  <c r="K2492" i="14"/>
  <c r="L2492" i="14" s="1"/>
  <c r="I2493" i="14" s="1"/>
  <c r="N2657" i="13"/>
  <c r="J2656" i="13" a="1"/>
  <c r="J2656" i="13" s="1"/>
  <c r="N2656" i="14"/>
  <c r="J2655" i="14" a="1"/>
  <c r="J2655" i="14" s="1"/>
  <c r="M2660" i="14"/>
  <c r="M2659" i="13"/>
  <c r="K2493" i="14" l="1"/>
  <c r="L2493" i="14" s="1"/>
  <c r="I2494" i="14" s="1"/>
  <c r="M2661" i="14"/>
  <c r="M2660" i="13"/>
  <c r="J2656" i="14" a="1"/>
  <c r="J2656" i="14" s="1"/>
  <c r="N2657" i="14"/>
  <c r="J2657" i="13" a="1"/>
  <c r="J2657" i="13" s="1"/>
  <c r="N2658" i="13"/>
  <c r="K2471" i="13"/>
  <c r="L2471" i="13" s="1"/>
  <c r="I2472" i="13" s="1"/>
  <c r="K2472" i="13" l="1"/>
  <c r="L2472" i="13" s="1"/>
  <c r="I2473" i="13" s="1"/>
  <c r="K2494" i="14"/>
  <c r="L2494" i="14" s="1"/>
  <c r="I2495" i="14" s="1"/>
  <c r="J2657" i="14" a="1"/>
  <c r="J2657" i="14" s="1"/>
  <c r="N2658" i="14"/>
  <c r="M2662" i="14"/>
  <c r="N2659" i="13"/>
  <c r="J2658" i="13" a="1"/>
  <c r="J2658" i="13" s="1"/>
  <c r="M2661" i="13"/>
  <c r="K2495" i="14" l="1"/>
  <c r="L2495" i="14" s="1"/>
  <c r="I2496" i="14" s="1"/>
  <c r="M2662" i="13"/>
  <c r="M2663" i="14"/>
  <c r="J2659" i="13" a="1"/>
  <c r="J2659" i="13" s="1"/>
  <c r="N2660" i="13"/>
  <c r="J2658" i="14" a="1"/>
  <c r="J2658" i="14" s="1"/>
  <c r="N2659" i="14"/>
  <c r="K2473" i="13"/>
  <c r="L2473" i="13" s="1"/>
  <c r="I2474" i="13" s="1"/>
  <c r="K2474" i="13" l="1"/>
  <c r="L2474" i="13" s="1"/>
  <c r="I2475" i="13" s="1"/>
  <c r="K2496" i="14"/>
  <c r="L2496" i="14" s="1"/>
  <c r="I2497" i="14" s="1"/>
  <c r="N2661" i="13"/>
  <c r="J2660" i="13" a="1"/>
  <c r="J2660" i="13" s="1"/>
  <c r="M2663" i="13"/>
  <c r="N2660" i="14"/>
  <c r="J2659" i="14" a="1"/>
  <c r="J2659" i="14" s="1"/>
  <c r="M2664" i="14"/>
  <c r="K2497" i="14" l="1"/>
  <c r="L2497" i="14" s="1"/>
  <c r="I2498" i="14" s="1"/>
  <c r="J2660" i="14" a="1"/>
  <c r="J2660" i="14" s="1"/>
  <c r="N2661" i="14"/>
  <c r="J2661" i="13" a="1"/>
  <c r="J2661" i="13" s="1"/>
  <c r="N2662" i="13"/>
  <c r="M2664" i="13"/>
  <c r="M2665" i="14"/>
  <c r="K2475" i="13"/>
  <c r="L2475" i="13" s="1"/>
  <c r="I2476" i="13" s="1"/>
  <c r="K2498" i="14" l="1"/>
  <c r="L2498" i="14" s="1"/>
  <c r="I2499" i="14" s="1"/>
  <c r="K2476" i="13"/>
  <c r="L2476" i="13" s="1"/>
  <c r="I2477" i="13" s="1"/>
  <c r="J2661" i="14" a="1"/>
  <c r="J2661" i="14" s="1"/>
  <c r="N2662" i="14"/>
  <c r="M2665" i="13"/>
  <c r="M2666" i="14"/>
  <c r="N2663" i="13"/>
  <c r="J2662" i="13" a="1"/>
  <c r="J2662" i="13" s="1"/>
  <c r="K2477" i="13" l="1"/>
  <c r="L2477" i="13" s="1"/>
  <c r="I2478" i="13" s="1"/>
  <c r="K2499" i="14"/>
  <c r="L2499" i="14" s="1"/>
  <c r="I2500" i="14" s="1"/>
  <c r="J2663" i="13" a="1"/>
  <c r="J2663" i="13" s="1"/>
  <c r="N2664" i="13"/>
  <c r="M2666" i="13"/>
  <c r="M2667" i="14"/>
  <c r="N2663" i="14"/>
  <c r="J2662" i="14" a="1"/>
  <c r="J2662" i="14" s="1"/>
  <c r="K2500" i="14" l="1"/>
  <c r="L2500" i="14" s="1"/>
  <c r="I2501" i="14" s="1"/>
  <c r="M2668" i="14"/>
  <c r="N2664" i="14"/>
  <c r="J2663" i="14" a="1"/>
  <c r="J2663" i="14" s="1"/>
  <c r="M2667" i="13"/>
  <c r="N2665" i="13"/>
  <c r="J2664" i="13" a="1"/>
  <c r="J2664" i="13" s="1"/>
  <c r="K2478" i="13"/>
  <c r="L2478" i="13" s="1"/>
  <c r="I2479" i="13" s="1"/>
  <c r="K2479" i="13" l="1"/>
  <c r="L2479" i="13" s="1"/>
  <c r="I2480" i="13" s="1"/>
  <c r="K2501" i="14"/>
  <c r="L2501" i="14" s="1"/>
  <c r="I2502" i="14" s="1"/>
  <c r="J2665" i="13" a="1"/>
  <c r="J2665" i="13" s="1"/>
  <c r="N2666" i="13"/>
  <c r="M2668" i="13"/>
  <c r="M2669" i="14"/>
  <c r="J2664" i="14" a="1"/>
  <c r="J2664" i="14" s="1"/>
  <c r="N2665" i="14"/>
  <c r="K2502" i="14" l="1"/>
  <c r="L2502" i="14" s="1"/>
  <c r="I2503" i="14" s="1"/>
  <c r="K2480" i="13"/>
  <c r="L2480" i="13" s="1"/>
  <c r="I2481" i="13" s="1"/>
  <c r="J2665" i="14" a="1"/>
  <c r="J2665" i="14" s="1"/>
  <c r="N2666" i="14"/>
  <c r="M2669" i="13"/>
  <c r="N2667" i="13"/>
  <c r="J2666" i="13" a="1"/>
  <c r="J2666" i="13" s="1"/>
  <c r="M2670" i="14"/>
  <c r="K2481" i="13" l="1"/>
  <c r="L2481" i="13" s="1"/>
  <c r="I2482" i="13" s="1"/>
  <c r="K2503" i="14"/>
  <c r="L2503" i="14" s="1"/>
  <c r="I2504" i="14" s="1"/>
  <c r="M2670" i="13"/>
  <c r="M2671" i="14"/>
  <c r="J2666" i="14" a="1"/>
  <c r="J2666" i="14" s="1"/>
  <c r="N2667" i="14"/>
  <c r="J2667" i="13" a="1"/>
  <c r="J2667" i="13" s="1"/>
  <c r="N2668" i="13"/>
  <c r="K2504" i="14" l="1"/>
  <c r="L2504" i="14" s="1"/>
  <c r="I2505" i="14" s="1"/>
  <c r="K2482" i="13"/>
  <c r="L2482" i="13" s="1"/>
  <c r="I2483" i="13" s="1"/>
  <c r="N2669" i="13"/>
  <c r="J2668" i="13" a="1"/>
  <c r="J2668" i="13" s="1"/>
  <c r="M2672" i="14"/>
  <c r="N2668" i="14"/>
  <c r="J2667" i="14" a="1"/>
  <c r="J2667" i="14" s="1"/>
  <c r="M2671" i="13"/>
  <c r="K2483" i="13" l="1"/>
  <c r="L2483" i="13" s="1"/>
  <c r="I2484" i="13" s="1"/>
  <c r="J2669" i="13" a="1"/>
  <c r="J2669" i="13" s="1"/>
  <c r="N2670" i="13"/>
  <c r="M2672" i="13"/>
  <c r="M2673" i="14"/>
  <c r="J2668" i="14" a="1"/>
  <c r="J2668" i="14" s="1"/>
  <c r="N2669" i="14"/>
  <c r="K2505" i="14"/>
  <c r="L2505" i="14" s="1"/>
  <c r="I2506" i="14" s="1"/>
  <c r="K2506" i="14" l="1"/>
  <c r="L2506" i="14" s="1"/>
  <c r="I2507" i="14" s="1"/>
  <c r="K2484" i="13"/>
  <c r="L2484" i="13" s="1"/>
  <c r="I2485" i="13" s="1"/>
  <c r="N2671" i="13"/>
  <c r="J2670" i="13" a="1"/>
  <c r="J2670" i="13" s="1"/>
  <c r="M2674" i="14"/>
  <c r="J2669" i="14" a="1"/>
  <c r="J2669" i="14" s="1"/>
  <c r="N2670" i="14"/>
  <c r="M2673" i="13"/>
  <c r="K2485" i="13" l="1"/>
  <c r="L2485" i="13" s="1"/>
  <c r="I2486" i="13" s="1"/>
  <c r="K2507" i="14"/>
  <c r="L2507" i="14" s="1"/>
  <c r="I2508" i="14" s="1"/>
  <c r="M2674" i="13"/>
  <c r="M2675" i="14"/>
  <c r="N2671" i="14"/>
  <c r="J2670" i="14" a="1"/>
  <c r="J2670" i="14" s="1"/>
  <c r="J2671" i="13" a="1"/>
  <c r="J2671" i="13" s="1"/>
  <c r="N2672" i="13"/>
  <c r="K2508" i="14" l="1"/>
  <c r="L2508" i="14" s="1"/>
  <c r="I2509" i="14" s="1"/>
  <c r="K2486" i="13"/>
  <c r="L2486" i="13" s="1"/>
  <c r="I2487" i="13" s="1"/>
  <c r="N2673" i="13"/>
  <c r="J2672" i="13" a="1"/>
  <c r="J2672" i="13" s="1"/>
  <c r="M2676" i="14"/>
  <c r="N2672" i="14"/>
  <c r="J2671" i="14" a="1"/>
  <c r="J2671" i="14" s="1"/>
  <c r="M2675" i="13"/>
  <c r="K2509" i="14" l="1"/>
  <c r="L2509" i="14" s="1"/>
  <c r="I2510" i="14" s="1"/>
  <c r="K2487" i="13"/>
  <c r="L2487" i="13" s="1"/>
  <c r="I2488" i="13" s="1"/>
  <c r="J2672" i="14" a="1"/>
  <c r="J2672" i="14" s="1"/>
  <c r="N2673" i="14"/>
  <c r="M2676" i="13"/>
  <c r="M2677" i="14"/>
  <c r="J2673" i="13" a="1"/>
  <c r="J2673" i="13" s="1"/>
  <c r="N2674" i="13"/>
  <c r="K2510" i="14" l="1"/>
  <c r="L2510" i="14" s="1"/>
  <c r="I2511" i="14" s="1"/>
  <c r="K2488" i="13"/>
  <c r="L2488" i="13" s="1"/>
  <c r="I2489" i="13" s="1"/>
  <c r="M2677" i="13"/>
  <c r="N2675" i="13"/>
  <c r="J2674" i="13" a="1"/>
  <c r="J2674" i="13" s="1"/>
  <c r="J2673" i="14" a="1"/>
  <c r="J2673" i="14" s="1"/>
  <c r="N2674" i="14"/>
  <c r="M2678" i="14"/>
  <c r="K2489" i="13" l="1"/>
  <c r="L2489" i="13" s="1"/>
  <c r="I2490" i="13" s="1"/>
  <c r="K2511" i="14"/>
  <c r="L2511" i="14" s="1"/>
  <c r="I2512" i="14" s="1"/>
  <c r="M2679" i="14"/>
  <c r="J2675" i="13" a="1"/>
  <c r="J2675" i="13" s="1"/>
  <c r="N2676" i="13"/>
  <c r="J2674" i="14" a="1"/>
  <c r="J2674" i="14" s="1"/>
  <c r="N2675" i="14"/>
  <c r="M2678" i="13"/>
  <c r="K2512" i="14" l="1"/>
  <c r="L2512" i="14" s="1"/>
  <c r="I2513" i="14" s="1"/>
  <c r="K2490" i="13"/>
  <c r="L2490" i="13" s="1"/>
  <c r="I2491" i="13" s="1"/>
  <c r="N2677" i="13"/>
  <c r="J2676" i="13" a="1"/>
  <c r="J2676" i="13" s="1"/>
  <c r="N2676" i="14"/>
  <c r="J2675" i="14" a="1"/>
  <c r="J2675" i="14" s="1"/>
  <c r="M2679" i="13"/>
  <c r="M2680" i="14"/>
  <c r="K2491" i="13" l="1"/>
  <c r="L2491" i="13" s="1"/>
  <c r="I2492" i="13" s="1"/>
  <c r="M2681" i="14"/>
  <c r="J2676" i="14" a="1"/>
  <c r="J2676" i="14" s="1"/>
  <c r="N2677" i="14"/>
  <c r="M2680" i="13"/>
  <c r="J2677" i="13" a="1"/>
  <c r="J2677" i="13" s="1"/>
  <c r="N2678" i="13"/>
  <c r="K2513" i="14"/>
  <c r="L2513" i="14" s="1"/>
  <c r="I2514" i="14" s="1"/>
  <c r="K2492" i="13" l="1"/>
  <c r="L2492" i="13" s="1"/>
  <c r="I2493" i="13" s="1"/>
  <c r="K2514" i="14"/>
  <c r="L2514" i="14" s="1"/>
  <c r="I2515" i="14" s="1"/>
  <c r="M2682" i="14"/>
  <c r="N2679" i="13"/>
  <c r="J2678" i="13" a="1"/>
  <c r="J2678" i="13" s="1"/>
  <c r="M2681" i="13"/>
  <c r="J2677" i="14" a="1"/>
  <c r="J2677" i="14" s="1"/>
  <c r="N2678" i="14"/>
  <c r="K2515" i="14" l="1"/>
  <c r="L2515" i="14" s="1"/>
  <c r="I2516" i="14" s="1"/>
  <c r="K2493" i="13"/>
  <c r="L2493" i="13" s="1"/>
  <c r="I2494" i="13" s="1"/>
  <c r="J2679" i="13" a="1"/>
  <c r="J2679" i="13" s="1"/>
  <c r="N2680" i="13"/>
  <c r="N2679" i="14"/>
  <c r="J2678" i="14" a="1"/>
  <c r="J2678" i="14" s="1"/>
  <c r="M2682" i="13"/>
  <c r="M2683" i="14"/>
  <c r="K2494" i="13" l="1"/>
  <c r="L2494" i="13" s="1"/>
  <c r="I2495" i="13" s="1"/>
  <c r="M2683" i="13"/>
  <c r="N2680" i="14"/>
  <c r="J2679" i="14" a="1"/>
  <c r="J2679" i="14" s="1"/>
  <c r="M2684" i="14"/>
  <c r="N2681" i="13"/>
  <c r="J2680" i="13" a="1"/>
  <c r="J2680" i="13" s="1"/>
  <c r="K2516" i="14"/>
  <c r="L2516" i="14" s="1"/>
  <c r="I2517" i="14" s="1"/>
  <c r="K2517" i="14" l="1"/>
  <c r="L2517" i="14" s="1"/>
  <c r="I2518" i="14" s="1"/>
  <c r="M2684" i="13"/>
  <c r="J2680" i="14" a="1"/>
  <c r="J2680" i="14" s="1"/>
  <c r="N2681" i="14"/>
  <c r="M2685" i="14"/>
  <c r="J2681" i="13" a="1"/>
  <c r="J2681" i="13" s="1"/>
  <c r="N2682" i="13"/>
  <c r="K2495" i="13"/>
  <c r="L2495" i="13" s="1"/>
  <c r="I2496" i="13" s="1"/>
  <c r="K2518" i="14" l="1"/>
  <c r="L2518" i="14" s="1"/>
  <c r="I2519" i="14" s="1"/>
  <c r="K2496" i="13"/>
  <c r="L2496" i="13" s="1"/>
  <c r="I2497" i="13" s="1"/>
  <c r="J2681" i="14" a="1"/>
  <c r="J2681" i="14" s="1"/>
  <c r="N2682" i="14"/>
  <c r="M2686" i="14"/>
  <c r="M2685" i="13"/>
  <c r="N2683" i="13"/>
  <c r="J2682" i="13" a="1"/>
  <c r="J2682" i="13" s="1"/>
  <c r="K2497" i="13" l="1"/>
  <c r="L2497" i="13" s="1"/>
  <c r="I2498" i="13" s="1"/>
  <c r="K2519" i="14"/>
  <c r="L2519" i="14" s="1"/>
  <c r="I2520" i="14" s="1"/>
  <c r="M2687" i="14"/>
  <c r="J2683" i="13" a="1"/>
  <c r="J2683" i="13" s="1"/>
  <c r="N2684" i="13"/>
  <c r="M2686" i="13"/>
  <c r="J2682" i="14" a="1"/>
  <c r="J2682" i="14" s="1"/>
  <c r="N2683" i="14"/>
  <c r="K2520" i="14" l="1"/>
  <c r="L2520" i="14" s="1"/>
  <c r="I2521" i="14" s="1"/>
  <c r="N2684" i="14"/>
  <c r="J2683" i="14" a="1"/>
  <c r="J2683" i="14" s="1"/>
  <c r="N2685" i="13"/>
  <c r="J2684" i="13" a="1"/>
  <c r="J2684" i="13" s="1"/>
  <c r="M2687" i="13"/>
  <c r="M2688" i="14"/>
  <c r="K2498" i="13"/>
  <c r="L2498" i="13" s="1"/>
  <c r="I2499" i="13" s="1"/>
  <c r="K2521" i="14" l="1"/>
  <c r="L2521" i="14" s="1"/>
  <c r="I2522" i="14" s="1"/>
  <c r="M2688" i="13"/>
  <c r="K2499" i="13"/>
  <c r="L2499" i="13" s="1"/>
  <c r="I2500" i="13" s="1"/>
  <c r="J2684" i="14" a="1"/>
  <c r="J2684" i="14" s="1"/>
  <c r="N2685" i="14"/>
  <c r="M2689" i="14"/>
  <c r="J2685" i="13" a="1"/>
  <c r="J2685" i="13" s="1"/>
  <c r="N2686" i="13"/>
  <c r="K2522" i="14" l="1"/>
  <c r="L2522" i="14" s="1"/>
  <c r="I2523" i="14" s="1"/>
  <c r="K2500" i="13"/>
  <c r="L2500" i="13" s="1"/>
  <c r="I2501" i="13" s="1"/>
  <c r="J2685" i="14" a="1"/>
  <c r="J2685" i="14" s="1"/>
  <c r="N2686" i="14"/>
  <c r="N2687" i="13"/>
  <c r="J2686" i="13" a="1"/>
  <c r="J2686" i="13" s="1"/>
  <c r="M2689" i="13"/>
  <c r="M2690" i="14"/>
  <c r="K2501" i="13" l="1"/>
  <c r="L2501" i="13" s="1"/>
  <c r="I2502" i="13" s="1"/>
  <c r="K2523" i="14"/>
  <c r="L2523" i="14" s="1"/>
  <c r="I2524" i="14" s="1"/>
  <c r="J2687" i="13" a="1"/>
  <c r="J2687" i="13" s="1"/>
  <c r="N2688" i="13"/>
  <c r="M2691" i="14"/>
  <c r="M2690" i="13"/>
  <c r="N2687" i="14"/>
  <c r="J2686" i="14" a="1"/>
  <c r="J2686" i="14" s="1"/>
  <c r="K2524" i="14" l="1"/>
  <c r="L2524" i="14" s="1"/>
  <c r="I2525" i="14" s="1"/>
  <c r="K2502" i="13"/>
  <c r="L2502" i="13" s="1"/>
  <c r="I2503" i="13" s="1"/>
  <c r="M2691" i="13"/>
  <c r="N2688" i="14"/>
  <c r="J2687" i="14" a="1"/>
  <c r="J2687" i="14" s="1"/>
  <c r="M2692" i="14"/>
  <c r="N2689" i="13"/>
  <c r="J2688" i="13" a="1"/>
  <c r="J2688" i="13" s="1"/>
  <c r="K2503" i="13" l="1"/>
  <c r="L2503" i="13" s="1"/>
  <c r="I2504" i="13" s="1"/>
  <c r="J2688" i="14" a="1"/>
  <c r="J2688" i="14" s="1"/>
  <c r="N2689" i="14"/>
  <c r="M2693" i="14"/>
  <c r="J2689" i="13" a="1"/>
  <c r="J2689" i="13" s="1"/>
  <c r="N2690" i="13"/>
  <c r="M2692" i="13"/>
  <c r="K2525" i="14"/>
  <c r="L2525" i="14" s="1"/>
  <c r="I2526" i="14" s="1"/>
  <c r="K2526" i="14" l="1"/>
  <c r="L2526" i="14" s="1"/>
  <c r="I2527" i="14" s="1"/>
  <c r="K2504" i="13"/>
  <c r="L2504" i="13" s="1"/>
  <c r="I2505" i="13" s="1"/>
  <c r="J2689" i="14" a="1"/>
  <c r="J2689" i="14" s="1"/>
  <c r="N2690" i="14"/>
  <c r="N2691" i="13"/>
  <c r="J2690" i="13" a="1"/>
  <c r="J2690" i="13" s="1"/>
  <c r="M2693" i="13"/>
  <c r="M2694" i="14"/>
  <c r="K2527" i="14" l="1"/>
  <c r="L2527" i="14" s="1"/>
  <c r="I2528" i="14" s="1"/>
  <c r="K2505" i="13"/>
  <c r="L2505" i="13" s="1"/>
  <c r="I2506" i="13" s="1"/>
  <c r="J2691" i="13" a="1"/>
  <c r="J2691" i="13" s="1"/>
  <c r="N2692" i="13"/>
  <c r="J2690" i="14" a="1"/>
  <c r="J2690" i="14" s="1"/>
  <c r="N2691" i="14"/>
  <c r="M2695" i="14"/>
  <c r="M2694" i="13"/>
  <c r="K2506" i="13" l="1"/>
  <c r="L2506" i="13" s="1"/>
  <c r="I2507" i="13" s="1"/>
  <c r="M2696" i="14"/>
  <c r="N2692" i="14"/>
  <c r="J2691" i="14" a="1"/>
  <c r="J2691" i="14" s="1"/>
  <c r="M2695" i="13"/>
  <c r="N2693" i="13"/>
  <c r="J2692" i="13" a="1"/>
  <c r="J2692" i="13" s="1"/>
  <c r="K2528" i="14"/>
  <c r="L2528" i="14" s="1"/>
  <c r="I2529" i="14" s="1"/>
  <c r="K2507" i="13" l="1"/>
  <c r="L2507" i="13" s="1"/>
  <c r="I2508" i="13" s="1"/>
  <c r="K2529" i="14"/>
  <c r="L2529" i="14" s="1"/>
  <c r="I2530" i="14" s="1"/>
  <c r="M2696" i="13"/>
  <c r="M2697" i="14"/>
  <c r="J2693" i="13" a="1"/>
  <c r="J2693" i="13" s="1"/>
  <c r="N2694" i="13"/>
  <c r="J2692" i="14" a="1"/>
  <c r="J2692" i="14" s="1"/>
  <c r="N2693" i="14"/>
  <c r="K2508" i="13" l="1"/>
  <c r="L2508" i="13" s="1"/>
  <c r="I2509" i="13" s="1"/>
  <c r="K2530" i="14"/>
  <c r="L2530" i="14" s="1"/>
  <c r="I2531" i="14" s="1"/>
  <c r="N2695" i="13"/>
  <c r="J2694" i="13" a="1"/>
  <c r="J2694" i="13" s="1"/>
  <c r="J2693" i="14" a="1"/>
  <c r="J2693" i="14" s="1"/>
  <c r="N2694" i="14"/>
  <c r="M2698" i="14"/>
  <c r="M2697" i="13"/>
  <c r="K2531" i="14" l="1"/>
  <c r="L2531" i="14" s="1"/>
  <c r="I2532" i="14" s="1"/>
  <c r="K2509" i="13"/>
  <c r="L2509" i="13" s="1"/>
  <c r="I2510" i="13" s="1"/>
  <c r="N2695" i="14"/>
  <c r="J2694" i="14" a="1"/>
  <c r="J2694" i="14" s="1"/>
  <c r="M2698" i="13"/>
  <c r="M2699" i="14"/>
  <c r="J2695" i="13" a="1"/>
  <c r="J2695" i="13" s="1"/>
  <c r="N2696" i="13"/>
  <c r="K2532" i="14" l="1"/>
  <c r="L2532" i="14" s="1"/>
  <c r="I2533" i="14" s="1"/>
  <c r="K2510" i="13"/>
  <c r="L2510" i="13" s="1"/>
  <c r="I2511" i="13" s="1"/>
  <c r="N2697" i="13"/>
  <c r="J2696" i="13" a="1"/>
  <c r="J2696" i="13" s="1"/>
  <c r="M2699" i="13"/>
  <c r="M2700" i="14"/>
  <c r="N2696" i="14"/>
  <c r="J2695" i="14" a="1"/>
  <c r="J2695" i="14" s="1"/>
  <c r="K2511" i="13" l="1"/>
  <c r="L2511" i="13" s="1"/>
  <c r="I2512" i="13" s="1"/>
  <c r="K2533" i="14"/>
  <c r="L2533" i="14" s="1"/>
  <c r="I2534" i="14" s="1"/>
  <c r="M2700" i="13"/>
  <c r="J2696" i="14" a="1"/>
  <c r="J2696" i="14" s="1"/>
  <c r="N2697" i="14"/>
  <c r="M2701" i="14"/>
  <c r="J2697" i="13" a="1"/>
  <c r="J2697" i="13" s="1"/>
  <c r="N2698" i="13"/>
  <c r="K2512" i="13" l="1"/>
  <c r="L2512" i="13" s="1"/>
  <c r="I2513" i="13" s="1"/>
  <c r="K2534" i="14"/>
  <c r="L2534" i="14" s="1"/>
  <c r="I2535" i="14" s="1"/>
  <c r="J2697" i="14" a="1"/>
  <c r="J2697" i="14" s="1"/>
  <c r="N2698" i="14"/>
  <c r="N2699" i="13"/>
  <c r="J2698" i="13" a="1"/>
  <c r="J2698" i="13" s="1"/>
  <c r="M2702" i="14"/>
  <c r="M2701" i="13"/>
  <c r="K2535" i="14" l="1"/>
  <c r="L2535" i="14" s="1"/>
  <c r="I2536" i="14" s="1"/>
  <c r="J2699" i="13" a="1"/>
  <c r="J2699" i="13" s="1"/>
  <c r="N2700" i="13"/>
  <c r="M2702" i="13"/>
  <c r="M2703" i="14"/>
  <c r="J2698" i="14" a="1"/>
  <c r="J2698" i="14" s="1"/>
  <c r="N2699" i="14"/>
  <c r="K2513" i="13"/>
  <c r="L2513" i="13" s="1"/>
  <c r="I2514" i="13" s="1"/>
  <c r="K2536" i="14" l="1"/>
  <c r="L2536" i="14" s="1"/>
  <c r="I2537" i="14" s="1"/>
  <c r="K2514" i="13"/>
  <c r="L2514" i="13" s="1"/>
  <c r="I2515" i="13" s="1"/>
  <c r="N2701" i="13"/>
  <c r="J2700" i="13" a="1"/>
  <c r="J2700" i="13" s="1"/>
  <c r="M2704" i="14"/>
  <c r="N2700" i="14"/>
  <c r="J2699" i="14" a="1"/>
  <c r="J2699" i="14" s="1"/>
  <c r="M2703" i="13"/>
  <c r="K2515" i="13" l="1"/>
  <c r="L2515" i="13" s="1"/>
  <c r="I2516" i="13" s="1"/>
  <c r="K2537" i="14"/>
  <c r="L2537" i="14" s="1"/>
  <c r="I2538" i="14" s="1"/>
  <c r="J2701" i="13" a="1"/>
  <c r="J2701" i="13" s="1"/>
  <c r="N2702" i="13"/>
  <c r="M2704" i="13"/>
  <c r="M2705" i="14"/>
  <c r="J2700" i="14" a="1"/>
  <c r="J2700" i="14" s="1"/>
  <c r="N2701" i="14"/>
  <c r="K2538" i="14" l="1"/>
  <c r="L2538" i="14" s="1"/>
  <c r="I2539" i="14" s="1"/>
  <c r="K2516" i="13"/>
  <c r="L2516" i="13" s="1"/>
  <c r="I2517" i="13" s="1"/>
  <c r="M2705" i="13"/>
  <c r="J2701" i="14" a="1"/>
  <c r="J2701" i="14" s="1"/>
  <c r="N2702" i="14"/>
  <c r="N2703" i="13"/>
  <c r="J2702" i="13" a="1"/>
  <c r="J2702" i="13" s="1"/>
  <c r="M2706" i="14"/>
  <c r="K2539" i="14" l="1"/>
  <c r="L2539" i="14" s="1"/>
  <c r="I2540" i="14" s="1"/>
  <c r="K2517" i="13"/>
  <c r="L2517" i="13" s="1"/>
  <c r="I2518" i="13" s="1"/>
  <c r="M2707" i="14"/>
  <c r="N2703" i="14"/>
  <c r="J2702" i="14" a="1"/>
  <c r="J2702" i="14" s="1"/>
  <c r="M2706" i="13"/>
  <c r="J2703" i="13" a="1"/>
  <c r="J2703" i="13" s="1"/>
  <c r="N2704" i="13"/>
  <c r="K2518" i="13" l="1"/>
  <c r="L2518" i="13" s="1"/>
  <c r="I2519" i="13" s="1"/>
  <c r="K2540" i="14"/>
  <c r="L2540" i="14" s="1"/>
  <c r="I2541" i="14" s="1"/>
  <c r="N2704" i="14"/>
  <c r="J2703" i="14" a="1"/>
  <c r="J2703" i="14" s="1"/>
  <c r="N2705" i="13"/>
  <c r="J2704" i="13" a="1"/>
  <c r="J2704" i="13" s="1"/>
  <c r="M2707" i="13"/>
  <c r="M2708" i="14"/>
  <c r="K2541" i="14" l="1"/>
  <c r="L2541" i="14" s="1"/>
  <c r="I2542" i="14" s="1"/>
  <c r="K2519" i="13"/>
  <c r="L2519" i="13" s="1"/>
  <c r="I2520" i="13" s="1"/>
  <c r="M2709" i="14"/>
  <c r="J2705" i="13" a="1"/>
  <c r="J2705" i="13" s="1"/>
  <c r="N2706" i="13"/>
  <c r="M2708" i="13"/>
  <c r="J2704" i="14" a="1"/>
  <c r="J2704" i="14" s="1"/>
  <c r="N2705" i="14"/>
  <c r="K2520" i="13" l="1"/>
  <c r="L2520" i="13" s="1"/>
  <c r="I2521" i="13" s="1"/>
  <c r="J2705" i="14" a="1"/>
  <c r="J2705" i="14" s="1"/>
  <c r="N2706" i="14"/>
  <c r="N2707" i="13"/>
  <c r="J2706" i="13" a="1"/>
  <c r="J2706" i="13" s="1"/>
  <c r="M2709" i="13"/>
  <c r="M2710" i="14"/>
  <c r="K2542" i="14"/>
  <c r="L2542" i="14" s="1"/>
  <c r="I2543" i="14" s="1"/>
  <c r="K2543" i="14" l="1"/>
  <c r="L2543" i="14" s="1"/>
  <c r="I2544" i="14" s="1"/>
  <c r="K2521" i="13"/>
  <c r="L2521" i="13" s="1"/>
  <c r="I2522" i="13" s="1"/>
  <c r="M2710" i="13"/>
  <c r="J2706" i="14" a="1"/>
  <c r="J2706" i="14" s="1"/>
  <c r="N2707" i="14"/>
  <c r="M2711" i="14"/>
  <c r="J2707" i="13" a="1"/>
  <c r="J2707" i="13" s="1"/>
  <c r="N2708" i="13"/>
  <c r="K2544" i="14" l="1"/>
  <c r="L2544" i="14" s="1"/>
  <c r="I2545" i="14" s="1"/>
  <c r="N2709" i="13"/>
  <c r="J2708" i="13" a="1"/>
  <c r="J2708" i="13" s="1"/>
  <c r="N2708" i="14"/>
  <c r="J2707" i="14" a="1"/>
  <c r="J2707" i="14" s="1"/>
  <c r="K2522" i="13"/>
  <c r="L2522" i="13" s="1"/>
  <c r="I2523" i="13" s="1"/>
  <c r="M2712" i="14"/>
  <c r="M2711" i="13"/>
  <c r="K2545" i="14" l="1"/>
  <c r="L2545" i="14" s="1"/>
  <c r="I2546" i="14" s="1"/>
  <c r="M2712" i="13"/>
  <c r="K2523" i="13"/>
  <c r="L2523" i="13" s="1"/>
  <c r="I2524" i="13" s="1"/>
  <c r="J2709" i="13" a="1"/>
  <c r="J2709" i="13" s="1"/>
  <c r="N2710" i="13"/>
  <c r="M2713" i="14"/>
  <c r="J2708" i="14" a="1"/>
  <c r="J2708" i="14" s="1"/>
  <c r="N2709" i="14"/>
  <c r="K2524" i="13" l="1"/>
  <c r="L2524" i="13" s="1"/>
  <c r="I2525" i="13" s="1"/>
  <c r="K2546" i="14"/>
  <c r="L2546" i="14" s="1"/>
  <c r="I2547" i="14" s="1"/>
  <c r="N2711" i="13"/>
  <c r="J2710" i="13" a="1"/>
  <c r="J2710" i="13" s="1"/>
  <c r="M2713" i="13"/>
  <c r="M2714" i="14"/>
  <c r="J2709" i="14" a="1"/>
  <c r="J2709" i="14" s="1"/>
  <c r="N2710" i="14"/>
  <c r="K2525" i="13" l="1"/>
  <c r="L2525" i="13" s="1"/>
  <c r="I2526" i="13" s="1"/>
  <c r="N2711" i="14"/>
  <c r="J2710" i="14" a="1"/>
  <c r="J2710" i="14" s="1"/>
  <c r="M2714" i="13"/>
  <c r="K2547" i="14"/>
  <c r="L2547" i="14" s="1"/>
  <c r="I2548" i="14" s="1"/>
  <c r="M2715" i="14"/>
  <c r="J2711" i="13" a="1"/>
  <c r="J2711" i="13" s="1"/>
  <c r="N2712" i="13"/>
  <c r="K2526" i="13" l="1"/>
  <c r="L2526" i="13" s="1"/>
  <c r="I2527" i="13" s="1"/>
  <c r="K2548" i="14"/>
  <c r="L2548" i="14" s="1"/>
  <c r="I2549" i="14" s="1"/>
  <c r="N2713" i="13"/>
  <c r="J2712" i="13" a="1"/>
  <c r="J2712" i="13" s="1"/>
  <c r="N2712" i="14"/>
  <c r="J2711" i="14" a="1"/>
  <c r="J2711" i="14" s="1"/>
  <c r="M2716" i="14"/>
  <c r="M2715" i="13"/>
  <c r="K2549" i="14" l="1"/>
  <c r="L2549" i="14" s="1"/>
  <c r="I2550" i="14" s="1"/>
  <c r="K2527" i="13"/>
  <c r="L2527" i="13" s="1"/>
  <c r="I2528" i="13" s="1"/>
  <c r="J2712" i="14" a="1"/>
  <c r="J2712" i="14" s="1"/>
  <c r="N2713" i="14"/>
  <c r="M2716" i="13"/>
  <c r="M2717" i="14"/>
  <c r="J2713" i="13" a="1"/>
  <c r="J2713" i="13" s="1"/>
  <c r="N2714" i="13"/>
  <c r="K2550" i="14" l="1"/>
  <c r="L2550" i="14" s="1"/>
  <c r="I2551" i="14" s="1"/>
  <c r="N2715" i="13"/>
  <c r="J2714" i="13" a="1"/>
  <c r="J2714" i="13" s="1"/>
  <c r="M2717" i="13"/>
  <c r="K2528" i="13"/>
  <c r="L2528" i="13" s="1"/>
  <c r="I2529" i="13" s="1"/>
  <c r="J2713" i="14" a="1"/>
  <c r="J2713" i="14" s="1"/>
  <c r="N2714" i="14"/>
  <c r="M2718" i="14"/>
  <c r="K2529" i="13" l="1"/>
  <c r="L2529" i="13" s="1"/>
  <c r="I2530" i="13" s="1"/>
  <c r="K2551" i="14"/>
  <c r="L2551" i="14" s="1"/>
  <c r="I2552" i="14" s="1"/>
  <c r="J2715" i="13" a="1"/>
  <c r="J2715" i="13" s="1"/>
  <c r="N2716" i="13"/>
  <c r="M2719" i="14"/>
  <c r="J2714" i="14" a="1"/>
  <c r="J2714" i="14" s="1"/>
  <c r="N2715" i="14"/>
  <c r="M2718" i="13"/>
  <c r="K2530" i="13" l="1"/>
  <c r="L2530" i="13" s="1"/>
  <c r="I2531" i="13" s="1"/>
  <c r="K2552" i="14"/>
  <c r="L2552" i="14" s="1"/>
  <c r="I2553" i="14" s="1"/>
  <c r="M2719" i="13"/>
  <c r="M2720" i="14"/>
  <c r="N2717" i="13"/>
  <c r="J2716" i="13" a="1"/>
  <c r="J2716" i="13" s="1"/>
  <c r="N2716" i="14"/>
  <c r="J2715" i="14" a="1"/>
  <c r="J2715" i="14" s="1"/>
  <c r="K2531" i="13" l="1"/>
  <c r="L2531" i="13" s="1"/>
  <c r="I2532" i="13" s="1"/>
  <c r="K2553" i="14"/>
  <c r="L2553" i="14" s="1"/>
  <c r="I2554" i="14" s="1"/>
  <c r="J2716" i="14" a="1"/>
  <c r="J2716" i="14" s="1"/>
  <c r="N2717" i="14"/>
  <c r="M2721" i="14"/>
  <c r="M2720" i="13"/>
  <c r="J2717" i="13" a="1"/>
  <c r="J2717" i="13" s="1"/>
  <c r="N2718" i="13"/>
  <c r="K2554" i="14" l="1"/>
  <c r="L2554" i="14" s="1"/>
  <c r="I2555" i="14" s="1"/>
  <c r="K2532" i="13"/>
  <c r="L2532" i="13" s="1"/>
  <c r="I2533" i="13" s="1"/>
  <c r="M2721" i="13"/>
  <c r="N2719" i="13"/>
  <c r="J2718" i="13" a="1"/>
  <c r="J2718" i="13" s="1"/>
  <c r="M2722" i="14"/>
  <c r="J2717" i="14" a="1"/>
  <c r="J2717" i="14" s="1"/>
  <c r="N2718" i="14"/>
  <c r="K2533" i="13" l="1"/>
  <c r="L2533" i="13" s="1"/>
  <c r="I2534" i="13" s="1"/>
  <c r="K2555" i="14"/>
  <c r="L2555" i="14" s="1"/>
  <c r="I2556" i="14" s="1"/>
  <c r="J2719" i="13" a="1"/>
  <c r="J2719" i="13" s="1"/>
  <c r="N2720" i="13"/>
  <c r="N2719" i="14"/>
  <c r="J2718" i="14" a="1"/>
  <c r="J2718" i="14" s="1"/>
  <c r="M2723" i="14"/>
  <c r="M2722" i="13"/>
  <c r="K2556" i="14" l="1"/>
  <c r="L2556" i="14" s="1"/>
  <c r="I2557" i="14" s="1"/>
  <c r="K2534" i="13"/>
  <c r="L2534" i="13" s="1"/>
  <c r="I2535" i="13" s="1"/>
  <c r="M2723" i="13"/>
  <c r="N2720" i="14"/>
  <c r="J2719" i="14" a="1"/>
  <c r="J2719" i="14" s="1"/>
  <c r="N2721" i="13"/>
  <c r="J2720" i="13" a="1"/>
  <c r="J2720" i="13" s="1"/>
  <c r="M2724" i="14"/>
  <c r="K2557" i="14" l="1"/>
  <c r="L2557" i="14" s="1"/>
  <c r="I2558" i="14" s="1"/>
  <c r="J2720" i="14" a="1"/>
  <c r="J2720" i="14" s="1"/>
  <c r="N2721" i="14"/>
  <c r="K2535" i="13"/>
  <c r="L2535" i="13" s="1"/>
  <c r="I2536" i="13" s="1"/>
  <c r="M2724" i="13"/>
  <c r="M2725" i="14"/>
  <c r="J2721" i="13" a="1"/>
  <c r="J2721" i="13" s="1"/>
  <c r="N2722" i="13"/>
  <c r="K2536" i="13" l="1"/>
  <c r="L2536" i="13" s="1"/>
  <c r="I2537" i="13" s="1"/>
  <c r="K2558" i="14"/>
  <c r="L2558" i="14" s="1"/>
  <c r="I2559" i="14" s="1"/>
  <c r="J2721" i="14" a="1"/>
  <c r="J2721" i="14" s="1"/>
  <c r="N2722" i="14"/>
  <c r="N2723" i="13"/>
  <c r="J2722" i="13" a="1"/>
  <c r="J2722" i="13" s="1"/>
  <c r="M2725" i="13"/>
  <c r="M2726" i="14"/>
  <c r="K2559" i="14" l="1"/>
  <c r="L2559" i="14" s="1"/>
  <c r="I2560" i="14" s="1"/>
  <c r="K2537" i="13"/>
  <c r="L2537" i="13" s="1"/>
  <c r="I2538" i="13" s="1"/>
  <c r="J2723" i="13" a="1"/>
  <c r="J2723" i="13" s="1"/>
  <c r="N2724" i="13"/>
  <c r="M2727" i="14"/>
  <c r="M2726" i="13"/>
  <c r="J2722" i="14" a="1"/>
  <c r="J2722" i="14" s="1"/>
  <c r="N2723" i="14"/>
  <c r="K2538" i="13" l="1"/>
  <c r="L2538" i="13" s="1"/>
  <c r="I2539" i="13" s="1"/>
  <c r="K2560" i="14"/>
  <c r="L2560" i="14" s="1"/>
  <c r="I2561" i="14" s="1"/>
  <c r="N2724" i="14"/>
  <c r="J2723" i="14" a="1"/>
  <c r="J2723" i="14" s="1"/>
  <c r="M2727" i="13"/>
  <c r="M2728" i="14"/>
  <c r="N2725" i="13"/>
  <c r="J2724" i="13" a="1"/>
  <c r="J2724" i="13" s="1"/>
  <c r="K2561" i="14" l="1"/>
  <c r="L2561" i="14" s="1"/>
  <c r="I2562" i="14" s="1"/>
  <c r="K2539" i="13"/>
  <c r="L2539" i="13" s="1"/>
  <c r="I2540" i="13" s="1"/>
  <c r="M2728" i="13"/>
  <c r="J2725" i="13" a="1"/>
  <c r="J2725" i="13" s="1"/>
  <c r="N2726" i="13"/>
  <c r="M2729" i="14"/>
  <c r="J2724" i="14" a="1"/>
  <c r="J2724" i="14" s="1"/>
  <c r="N2725" i="14"/>
  <c r="K2562" i="14" l="1"/>
  <c r="L2562" i="14" s="1"/>
  <c r="I2563" i="14" s="1"/>
  <c r="K2540" i="13"/>
  <c r="L2540" i="13" s="1"/>
  <c r="I2541" i="13" s="1"/>
  <c r="J2725" i="14" a="1"/>
  <c r="J2725" i="14" s="1"/>
  <c r="N2726" i="14"/>
  <c r="M2730" i="14"/>
  <c r="N2727" i="13"/>
  <c r="J2726" i="13" a="1"/>
  <c r="J2726" i="13" s="1"/>
  <c r="M2729" i="13"/>
  <c r="K2563" i="14" l="1"/>
  <c r="L2563" i="14" s="1"/>
  <c r="I2564" i="14" s="1"/>
  <c r="J2727" i="13" a="1"/>
  <c r="J2727" i="13" s="1"/>
  <c r="N2728" i="13"/>
  <c r="M2730" i="13"/>
  <c r="M2731" i="14"/>
  <c r="K2541" i="13"/>
  <c r="L2541" i="13" s="1"/>
  <c r="I2542" i="13" s="1"/>
  <c r="N2727" i="14"/>
  <c r="J2726" i="14" a="1"/>
  <c r="J2726" i="14" s="1"/>
  <c r="K2564" i="14" l="1"/>
  <c r="L2564" i="14" s="1"/>
  <c r="I2565" i="14" s="1"/>
  <c r="K2542" i="13"/>
  <c r="L2542" i="13" s="1"/>
  <c r="I2543" i="13" s="1"/>
  <c r="N2729" i="13"/>
  <c r="J2728" i="13" a="1"/>
  <c r="J2728" i="13" s="1"/>
  <c r="N2728" i="14"/>
  <c r="J2727" i="14" a="1"/>
  <c r="J2727" i="14" s="1"/>
  <c r="M2732" i="14"/>
  <c r="M2731" i="13"/>
  <c r="K2565" i="14" l="1"/>
  <c r="L2565" i="14" s="1"/>
  <c r="I2566" i="14" s="1"/>
  <c r="K2543" i="13"/>
  <c r="L2543" i="13" s="1"/>
  <c r="I2544" i="13" s="1"/>
  <c r="J2729" i="13" a="1"/>
  <c r="J2729" i="13" s="1"/>
  <c r="N2730" i="13"/>
  <c r="M2732" i="13"/>
  <c r="J2728" i="14" a="1"/>
  <c r="J2728" i="14" s="1"/>
  <c r="N2729" i="14"/>
  <c r="M2733" i="14"/>
  <c r="K2544" i="13" l="1"/>
  <c r="L2544" i="13" s="1"/>
  <c r="I2545" i="13" s="1"/>
  <c r="K2566" i="14"/>
  <c r="L2566" i="14" s="1"/>
  <c r="I2567" i="14" s="1"/>
  <c r="J2729" i="14" a="1"/>
  <c r="J2729" i="14" s="1"/>
  <c r="N2730" i="14"/>
  <c r="M2734" i="14"/>
  <c r="M2733" i="13"/>
  <c r="N2731" i="13"/>
  <c r="J2730" i="13" a="1"/>
  <c r="J2730" i="13" s="1"/>
  <c r="K2567" i="14" l="1"/>
  <c r="L2567" i="14" s="1"/>
  <c r="I2568" i="14" s="1"/>
  <c r="K2545" i="13"/>
  <c r="L2545" i="13" s="1"/>
  <c r="I2546" i="13" s="1"/>
  <c r="M2735" i="14"/>
  <c r="J2731" i="13" a="1"/>
  <c r="J2731" i="13" s="1"/>
  <c r="N2732" i="13"/>
  <c r="J2730" i="14" a="1"/>
  <c r="J2730" i="14" s="1"/>
  <c r="N2731" i="14"/>
  <c r="M2734" i="13"/>
  <c r="K2546" i="13" l="1"/>
  <c r="L2546" i="13" s="1"/>
  <c r="I2547" i="13" s="1"/>
  <c r="K2568" i="14"/>
  <c r="L2568" i="14" s="1"/>
  <c r="I2569" i="14" s="1"/>
  <c r="N2733" i="13"/>
  <c r="J2732" i="13" a="1"/>
  <c r="J2732" i="13" s="1"/>
  <c r="N2732" i="14"/>
  <c r="J2731" i="14" a="1"/>
  <c r="J2731" i="14" s="1"/>
  <c r="M2735" i="13"/>
  <c r="M2736" i="14"/>
  <c r="K2569" i="14" l="1"/>
  <c r="L2569" i="14" s="1"/>
  <c r="I2570" i="14" s="1"/>
  <c r="K2547" i="13"/>
  <c r="L2547" i="13" s="1"/>
  <c r="I2548" i="13" s="1"/>
  <c r="J2732" i="14" a="1"/>
  <c r="J2732" i="14" s="1"/>
  <c r="N2733" i="14"/>
  <c r="M2737" i="14"/>
  <c r="M2736" i="13"/>
  <c r="J2733" i="13" a="1"/>
  <c r="J2733" i="13" s="1"/>
  <c r="N2734" i="13"/>
  <c r="K2548" i="13" l="1"/>
  <c r="L2548" i="13" s="1"/>
  <c r="I2549" i="13" s="1"/>
  <c r="K2570" i="14"/>
  <c r="L2570" i="14" s="1"/>
  <c r="I2571" i="14" s="1"/>
  <c r="M2737" i="13"/>
  <c r="M2738" i="14"/>
  <c r="N2735" i="13"/>
  <c r="J2734" i="13" a="1"/>
  <c r="J2734" i="13" s="1"/>
  <c r="J2733" i="14" a="1"/>
  <c r="J2733" i="14" s="1"/>
  <c r="N2734" i="14"/>
  <c r="K2571" i="14" l="1"/>
  <c r="L2571" i="14" s="1"/>
  <c r="I2572" i="14" s="1"/>
  <c r="K2549" i="13"/>
  <c r="L2549" i="13" s="1"/>
  <c r="I2550" i="13" s="1"/>
  <c r="N2735" i="14"/>
  <c r="J2734" i="14" a="1"/>
  <c r="J2734" i="14" s="1"/>
  <c r="M2739" i="14"/>
  <c r="M2738" i="13"/>
  <c r="J2735" i="13" a="1"/>
  <c r="J2735" i="13" s="1"/>
  <c r="N2736" i="13"/>
  <c r="K2572" i="14" l="1"/>
  <c r="L2572" i="14" s="1"/>
  <c r="I2573" i="14" s="1"/>
  <c r="K2550" i="13"/>
  <c r="L2550" i="13" s="1"/>
  <c r="I2551" i="13" s="1"/>
  <c r="N2737" i="13"/>
  <c r="J2736" i="13" a="1"/>
  <c r="J2736" i="13" s="1"/>
  <c r="M2740" i="14"/>
  <c r="M2739" i="13"/>
  <c r="N2736" i="14"/>
  <c r="J2735" i="14" a="1"/>
  <c r="J2735" i="14" s="1"/>
  <c r="K2551" i="13" l="1"/>
  <c r="L2551" i="13" s="1"/>
  <c r="I2552" i="13" s="1"/>
  <c r="K2573" i="14"/>
  <c r="L2573" i="14" s="1"/>
  <c r="I2574" i="14" s="1"/>
  <c r="J2736" i="14" a="1"/>
  <c r="J2736" i="14" s="1"/>
  <c r="N2737" i="14"/>
  <c r="M2741" i="14"/>
  <c r="M2740" i="13"/>
  <c r="J2737" i="13" a="1"/>
  <c r="J2737" i="13" s="1"/>
  <c r="N2738" i="13"/>
  <c r="K2574" i="14" l="1"/>
  <c r="L2574" i="14" s="1"/>
  <c r="I2575" i="14" s="1"/>
  <c r="K2552" i="13"/>
  <c r="L2552" i="13" s="1"/>
  <c r="I2553" i="13" s="1"/>
  <c r="M2742" i="14"/>
  <c r="N2739" i="13"/>
  <c r="J2738" i="13" a="1"/>
  <c r="J2738" i="13" s="1"/>
  <c r="J2737" i="14" a="1"/>
  <c r="J2737" i="14" s="1"/>
  <c r="N2738" i="14"/>
  <c r="M2741" i="13"/>
  <c r="K2553" i="13" l="1"/>
  <c r="L2553" i="13" s="1"/>
  <c r="I2554" i="13" s="1"/>
  <c r="M2742" i="13"/>
  <c r="J2739" i="13" a="1"/>
  <c r="J2739" i="13" s="1"/>
  <c r="N2740" i="13"/>
  <c r="J2738" i="14" a="1"/>
  <c r="J2738" i="14" s="1"/>
  <c r="N2739" i="14"/>
  <c r="M2743" i="14"/>
  <c r="K2575" i="14"/>
  <c r="L2575" i="14" s="1"/>
  <c r="I2576" i="14" s="1"/>
  <c r="K2554" i="13" l="1"/>
  <c r="L2554" i="13" s="1"/>
  <c r="I2555" i="13" s="1"/>
  <c r="K2576" i="14"/>
  <c r="L2576" i="14" s="1"/>
  <c r="I2577" i="14" s="1"/>
  <c r="N2740" i="14"/>
  <c r="J2739" i="14" a="1"/>
  <c r="J2739" i="14" s="1"/>
  <c r="M2743" i="13"/>
  <c r="N2741" i="13"/>
  <c r="J2740" i="13" a="1"/>
  <c r="J2740" i="13" s="1"/>
  <c r="M2744" i="14"/>
  <c r="K2577" i="14" l="1"/>
  <c r="L2577" i="14" s="1"/>
  <c r="I2578" i="14" s="1"/>
  <c r="M2744" i="13"/>
  <c r="M2745" i="14"/>
  <c r="J2741" i="13" a="1"/>
  <c r="J2741" i="13" s="1"/>
  <c r="N2742" i="13"/>
  <c r="J2740" i="14" a="1"/>
  <c r="J2740" i="14" s="1"/>
  <c r="N2741" i="14"/>
  <c r="K2555" i="13"/>
  <c r="L2555" i="13" s="1"/>
  <c r="I2556" i="13" s="1"/>
  <c r="K2556" i="13" l="1"/>
  <c r="L2556" i="13" s="1"/>
  <c r="I2557" i="13" s="1"/>
  <c r="K2578" i="14"/>
  <c r="L2578" i="14" s="1"/>
  <c r="I2579" i="14" s="1"/>
  <c r="N2743" i="13"/>
  <c r="J2742" i="13" a="1"/>
  <c r="J2742" i="13" s="1"/>
  <c r="M2745" i="13"/>
  <c r="J2741" i="14" a="1"/>
  <c r="J2741" i="14" s="1"/>
  <c r="N2742" i="14"/>
  <c r="M2746" i="14"/>
  <c r="K2579" i="14" l="1"/>
  <c r="L2579" i="14" s="1"/>
  <c r="I2580" i="14" s="1"/>
  <c r="M2747" i="14"/>
  <c r="M2746" i="13"/>
  <c r="N2743" i="14"/>
  <c r="J2742" i="14" a="1"/>
  <c r="J2742" i="14" s="1"/>
  <c r="J2743" i="13" a="1"/>
  <c r="J2743" i="13" s="1"/>
  <c r="N2744" i="13"/>
  <c r="K2557" i="13"/>
  <c r="L2557" i="13" s="1"/>
  <c r="I2558" i="13" s="1"/>
  <c r="K2580" i="14" l="1"/>
  <c r="L2580" i="14" s="1"/>
  <c r="I2581" i="14" s="1"/>
  <c r="K2558" i="13"/>
  <c r="L2558" i="13" s="1"/>
  <c r="I2559" i="13" s="1"/>
  <c r="N2744" i="14"/>
  <c r="J2743" i="14" a="1"/>
  <c r="J2743" i="14" s="1"/>
  <c r="M2748" i="14"/>
  <c r="N2745" i="13"/>
  <c r="J2744" i="13" a="1"/>
  <c r="J2744" i="13" s="1"/>
  <c r="M2747" i="13"/>
  <c r="K2559" i="13" l="1"/>
  <c r="L2559" i="13" s="1"/>
  <c r="I2560" i="13" s="1"/>
  <c r="K2581" i="14"/>
  <c r="L2581" i="14" s="1"/>
  <c r="I2582" i="14" s="1"/>
  <c r="J2745" i="13" a="1"/>
  <c r="J2745" i="13" s="1"/>
  <c r="N2746" i="13"/>
  <c r="J2744" i="14" a="1"/>
  <c r="J2744" i="14" s="1"/>
  <c r="N2745" i="14"/>
  <c r="M2748" i="13"/>
  <c r="M2749" i="14"/>
  <c r="K2560" i="13" l="1"/>
  <c r="L2560" i="13" s="1"/>
  <c r="I2561" i="13" s="1"/>
  <c r="K2582" i="14"/>
  <c r="L2582" i="14" s="1"/>
  <c r="I2583" i="14" s="1"/>
  <c r="J2745" i="14" a="1"/>
  <c r="J2745" i="14" s="1"/>
  <c r="N2746" i="14"/>
  <c r="M2750" i="14"/>
  <c r="N2747" i="13"/>
  <c r="J2746" i="13" a="1"/>
  <c r="J2746" i="13" s="1"/>
  <c r="M2749" i="13"/>
  <c r="K2561" i="13" l="1"/>
  <c r="L2561" i="13" s="1"/>
  <c r="I2562" i="13" s="1"/>
  <c r="K2583" i="14"/>
  <c r="L2583" i="14" s="1"/>
  <c r="I2584" i="14" s="1"/>
  <c r="M2750" i="13"/>
  <c r="M2751" i="14"/>
  <c r="J2746" i="14" a="1"/>
  <c r="J2746" i="14" s="1"/>
  <c r="N2747" i="14"/>
  <c r="J2747" i="13" a="1"/>
  <c r="J2747" i="13" s="1"/>
  <c r="N2748" i="13"/>
  <c r="K2562" i="13" l="1"/>
  <c r="L2562" i="13" s="1"/>
  <c r="I2563" i="13" s="1"/>
  <c r="K2584" i="14"/>
  <c r="L2584" i="14" s="1"/>
  <c r="I2585" i="14" s="1"/>
  <c r="M2752" i="14"/>
  <c r="N2749" i="13"/>
  <c r="J2748" i="13" a="1"/>
  <c r="J2748" i="13" s="1"/>
  <c r="N2748" i="14"/>
  <c r="J2747" i="14" a="1"/>
  <c r="J2747" i="14" s="1"/>
  <c r="M2751" i="13"/>
  <c r="K2563" i="13" l="1"/>
  <c r="L2563" i="13" s="1"/>
  <c r="I2564" i="13" s="1"/>
  <c r="K2585" i="14"/>
  <c r="L2585" i="14" s="1"/>
  <c r="I2586" i="14" s="1"/>
  <c r="M2752" i="13"/>
  <c r="J2749" i="13" a="1"/>
  <c r="J2749" i="13" s="1"/>
  <c r="N2750" i="13"/>
  <c r="J2748" i="14" a="1"/>
  <c r="J2748" i="14" s="1"/>
  <c r="N2749" i="14"/>
  <c r="M2753" i="14"/>
  <c r="K2586" i="14" l="1"/>
  <c r="L2586" i="14" s="1"/>
  <c r="I2587" i="14" s="1"/>
  <c r="M2754" i="14"/>
  <c r="N2751" i="13"/>
  <c r="J2750" i="13" a="1"/>
  <c r="J2750" i="13" s="1"/>
  <c r="J2749" i="14" a="1"/>
  <c r="J2749" i="14" s="1"/>
  <c r="N2750" i="14"/>
  <c r="M2753" i="13"/>
  <c r="K2564" i="13"/>
  <c r="L2564" i="13" s="1"/>
  <c r="I2565" i="13" s="1"/>
  <c r="K2587" i="14" l="1"/>
  <c r="L2587" i="14" s="1"/>
  <c r="I2588" i="14" s="1"/>
  <c r="K2565" i="13"/>
  <c r="L2565" i="13" s="1"/>
  <c r="I2566" i="13" s="1"/>
  <c r="M2755" i="14"/>
  <c r="N2751" i="14"/>
  <c r="J2750" i="14" a="1"/>
  <c r="J2750" i="14" s="1"/>
  <c r="M2754" i="13"/>
  <c r="J2751" i="13" a="1"/>
  <c r="J2751" i="13" s="1"/>
  <c r="N2752" i="13"/>
  <c r="K2588" i="14" l="1"/>
  <c r="L2588" i="14" s="1"/>
  <c r="I2589" i="14" s="1"/>
  <c r="K2566" i="13"/>
  <c r="L2566" i="13" s="1"/>
  <c r="I2567" i="13" s="1"/>
  <c r="N2752" i="14"/>
  <c r="J2751" i="14" a="1"/>
  <c r="J2751" i="14" s="1"/>
  <c r="N2753" i="13"/>
  <c r="J2752" i="13" a="1"/>
  <c r="J2752" i="13" s="1"/>
  <c r="M2755" i="13"/>
  <c r="M2756" i="14"/>
  <c r="K2589" i="14" l="1"/>
  <c r="L2589" i="14" s="1"/>
  <c r="I2590" i="14" s="1"/>
  <c r="K2567" i="13"/>
  <c r="L2567" i="13" s="1"/>
  <c r="I2568" i="13" s="1"/>
  <c r="M2757" i="14"/>
  <c r="J2753" i="13" a="1"/>
  <c r="J2753" i="13" s="1"/>
  <c r="N2754" i="13"/>
  <c r="M2756" i="13"/>
  <c r="J2752" i="14" a="1"/>
  <c r="J2752" i="14" s="1"/>
  <c r="N2753" i="14"/>
  <c r="K2590" i="14" l="1"/>
  <c r="L2590" i="14" s="1"/>
  <c r="I2591" i="14" s="1"/>
  <c r="K2568" i="13"/>
  <c r="L2568" i="13" s="1"/>
  <c r="I2569" i="13" s="1"/>
  <c r="J2753" i="14" a="1"/>
  <c r="J2753" i="14" s="1"/>
  <c r="N2754" i="14"/>
  <c r="N2755" i="13"/>
  <c r="J2754" i="13" a="1"/>
  <c r="J2754" i="13" s="1"/>
  <c r="M2757" i="13"/>
  <c r="M2758" i="14"/>
  <c r="K2569" i="13" l="1"/>
  <c r="L2569" i="13" s="1"/>
  <c r="I2570" i="13" s="1"/>
  <c r="K2591" i="14"/>
  <c r="L2591" i="14" s="1"/>
  <c r="I2592" i="14" s="1"/>
  <c r="M2759" i="14"/>
  <c r="J2755" i="13" a="1"/>
  <c r="J2755" i="13" s="1"/>
  <c r="N2756" i="13"/>
  <c r="M2758" i="13"/>
  <c r="J2754" i="14" a="1"/>
  <c r="J2754" i="14" s="1"/>
  <c r="N2755" i="14"/>
  <c r="K2592" i="14" l="1"/>
  <c r="L2592" i="14" s="1"/>
  <c r="I2593" i="14" s="1"/>
  <c r="K2570" i="13"/>
  <c r="L2570" i="13" s="1"/>
  <c r="I2571" i="13" s="1"/>
  <c r="N2756" i="14"/>
  <c r="J2755" i="14" a="1"/>
  <c r="J2755" i="14" s="1"/>
  <c r="N2757" i="13"/>
  <c r="J2756" i="13" a="1"/>
  <c r="J2756" i="13" s="1"/>
  <c r="M2759" i="13"/>
  <c r="M2760" i="14"/>
  <c r="K2571" i="13" l="1"/>
  <c r="L2571" i="13" s="1"/>
  <c r="I2572" i="13" s="1"/>
  <c r="K2593" i="14"/>
  <c r="L2593" i="14" s="1"/>
  <c r="I2594" i="14" s="1"/>
  <c r="M2761" i="14"/>
  <c r="J2757" i="13" a="1"/>
  <c r="J2757" i="13" s="1"/>
  <c r="N2758" i="13"/>
  <c r="M2760" i="13"/>
  <c r="J2756" i="14" a="1"/>
  <c r="J2756" i="14" s="1"/>
  <c r="N2757" i="14"/>
  <c r="K2572" i="13" l="1"/>
  <c r="L2572" i="13" s="1"/>
  <c r="I2573" i="13" s="1"/>
  <c r="K2594" i="14"/>
  <c r="L2594" i="14" s="1"/>
  <c r="I2595" i="14" s="1"/>
  <c r="N2759" i="13"/>
  <c r="J2758" i="13" a="1"/>
  <c r="J2758" i="13" s="1"/>
  <c r="J2757" i="14" a="1"/>
  <c r="J2757" i="14" s="1"/>
  <c r="N2758" i="14"/>
  <c r="M2762" i="14"/>
  <c r="M2761" i="13"/>
  <c r="K2573" i="13" l="1"/>
  <c r="L2573" i="13" s="1"/>
  <c r="I2574" i="13" s="1"/>
  <c r="K2595" i="14"/>
  <c r="L2595" i="14" s="1"/>
  <c r="I2596" i="14" s="1"/>
  <c r="M2763" i="14"/>
  <c r="M2762" i="13"/>
  <c r="N2759" i="14"/>
  <c r="J2758" i="14" a="1"/>
  <c r="J2758" i="14" s="1"/>
  <c r="J2759" i="13" a="1"/>
  <c r="J2759" i="13" s="1"/>
  <c r="N2760" i="13"/>
  <c r="K2574" i="13" l="1"/>
  <c r="L2574" i="13" s="1"/>
  <c r="I2575" i="13" s="1"/>
  <c r="N2761" i="13"/>
  <c r="J2760" i="13" a="1"/>
  <c r="J2760" i="13" s="1"/>
  <c r="M2763" i="13"/>
  <c r="K2596" i="14"/>
  <c r="L2596" i="14" s="1"/>
  <c r="I2597" i="14" s="1"/>
  <c r="N2760" i="14"/>
  <c r="J2759" i="14" a="1"/>
  <c r="J2759" i="14" s="1"/>
  <c r="M2764" i="14"/>
  <c r="K2575" i="13" l="1"/>
  <c r="L2575" i="13" s="1"/>
  <c r="I2576" i="13" s="1"/>
  <c r="K2597" i="14"/>
  <c r="L2597" i="14" s="1"/>
  <c r="I2598" i="14" s="1"/>
  <c r="J2761" i="13" a="1"/>
  <c r="J2761" i="13" s="1"/>
  <c r="N2762" i="13"/>
  <c r="M2764" i="13"/>
  <c r="M2765" i="14"/>
  <c r="J2760" i="14" a="1"/>
  <c r="J2760" i="14" s="1"/>
  <c r="N2761" i="14"/>
  <c r="K2576" i="13" l="1"/>
  <c r="L2576" i="13" s="1"/>
  <c r="I2577" i="13" s="1"/>
  <c r="M2766" i="14"/>
  <c r="J2761" i="14" a="1"/>
  <c r="J2761" i="14" s="1"/>
  <c r="N2762" i="14"/>
  <c r="M2765" i="13"/>
  <c r="K2598" i="14"/>
  <c r="L2598" i="14" s="1"/>
  <c r="I2599" i="14" s="1"/>
  <c r="N2763" i="13"/>
  <c r="J2762" i="13" a="1"/>
  <c r="J2762" i="13" s="1"/>
  <c r="K2599" i="14" l="1"/>
  <c r="L2599" i="14" s="1"/>
  <c r="I2600" i="14" s="1"/>
  <c r="K2577" i="13"/>
  <c r="L2577" i="13" s="1"/>
  <c r="I2578" i="13" s="1"/>
  <c r="M2766" i="13"/>
  <c r="M2767" i="14"/>
  <c r="J2763" i="13" a="1"/>
  <c r="J2763" i="13" s="1"/>
  <c r="N2764" i="13"/>
  <c r="N2763" i="14"/>
  <c r="J2762" i="14" a="1"/>
  <c r="J2762" i="14" s="1"/>
  <c r="K2578" i="13" l="1"/>
  <c r="L2578" i="13" s="1"/>
  <c r="I2579" i="13" s="1"/>
  <c r="K2600" i="14"/>
  <c r="L2600" i="14" s="1"/>
  <c r="I2601" i="14" s="1"/>
  <c r="N2764" i="14"/>
  <c r="J2763" i="14" a="1"/>
  <c r="J2763" i="14" s="1"/>
  <c r="M2768" i="14"/>
  <c r="N2765" i="13"/>
  <c r="J2764" i="13" a="1"/>
  <c r="J2764" i="13" s="1"/>
  <c r="M2767" i="13"/>
  <c r="K2601" i="14" l="1"/>
  <c r="L2601" i="14" s="1"/>
  <c r="I2602" i="14" s="1"/>
  <c r="K2579" i="13"/>
  <c r="L2579" i="13" s="1"/>
  <c r="I2580" i="13" s="1"/>
  <c r="M2768" i="13"/>
  <c r="M2769" i="14"/>
  <c r="J2765" i="13" a="1"/>
  <c r="J2765" i="13" s="1"/>
  <c r="N2766" i="13"/>
  <c r="J2764" i="14" a="1"/>
  <c r="J2764" i="14" s="1"/>
  <c r="N2765" i="14"/>
  <c r="K2580" i="13" l="1"/>
  <c r="L2580" i="13" s="1"/>
  <c r="I2581" i="13" s="1"/>
  <c r="K2602" i="14"/>
  <c r="L2602" i="14" s="1"/>
  <c r="I2603" i="14" s="1"/>
  <c r="J2765" i="14" a="1"/>
  <c r="J2765" i="14" s="1"/>
  <c r="N2766" i="14"/>
  <c r="N2767" i="13"/>
  <c r="J2766" i="13" a="1"/>
  <c r="J2766" i="13" s="1"/>
  <c r="M2770" i="14"/>
  <c r="M2769" i="13"/>
  <c r="K2603" i="14" l="1"/>
  <c r="L2603" i="14" s="1"/>
  <c r="I2604" i="14" s="1"/>
  <c r="K2581" i="13"/>
  <c r="L2581" i="13" s="1"/>
  <c r="I2582" i="13" s="1"/>
  <c r="M2771" i="14"/>
  <c r="M2770" i="13"/>
  <c r="J2767" i="13" a="1"/>
  <c r="J2767" i="13" s="1"/>
  <c r="N2768" i="13"/>
  <c r="N2767" i="14"/>
  <c r="J2766" i="14" a="1"/>
  <c r="J2766" i="14" s="1"/>
  <c r="K2604" i="14" l="1"/>
  <c r="L2604" i="14" s="1"/>
  <c r="I2605" i="14" s="1"/>
  <c r="K2582" i="13"/>
  <c r="L2582" i="13" s="1"/>
  <c r="I2583" i="13" s="1"/>
  <c r="N2769" i="13"/>
  <c r="J2768" i="13" a="1"/>
  <c r="J2768" i="13" s="1"/>
  <c r="N2768" i="14"/>
  <c r="J2767" i="14" a="1"/>
  <c r="J2767" i="14" s="1"/>
  <c r="M2771" i="13"/>
  <c r="M2772" i="14"/>
  <c r="K2583" i="13" l="1"/>
  <c r="L2583" i="13" s="1"/>
  <c r="I2584" i="13" s="1"/>
  <c r="K2605" i="14"/>
  <c r="L2605" i="14" s="1"/>
  <c r="I2606" i="14" s="1"/>
  <c r="J2768" i="14" a="1"/>
  <c r="J2768" i="14" s="1"/>
  <c r="N2769" i="14"/>
  <c r="M2773" i="14"/>
  <c r="M2772" i="13"/>
  <c r="J2769" i="13" a="1"/>
  <c r="J2769" i="13" s="1"/>
  <c r="N2770" i="13"/>
  <c r="K2606" i="14" l="1"/>
  <c r="L2606" i="14" s="1"/>
  <c r="I2607" i="14" s="1"/>
  <c r="K2584" i="13"/>
  <c r="L2584" i="13" s="1"/>
  <c r="I2585" i="13" s="1"/>
  <c r="N2771" i="13"/>
  <c r="J2770" i="13" a="1"/>
  <c r="J2770" i="13" s="1"/>
  <c r="M2774" i="14"/>
  <c r="J2769" i="14" a="1"/>
  <c r="J2769" i="14" s="1"/>
  <c r="N2770" i="14"/>
  <c r="M2773" i="13"/>
  <c r="K2607" i="14" l="1"/>
  <c r="L2607" i="14" s="1"/>
  <c r="I2608" i="14" s="1"/>
  <c r="K2585" i="13"/>
  <c r="L2585" i="13" s="1"/>
  <c r="I2586" i="13" s="1"/>
  <c r="N2771" i="14"/>
  <c r="J2770" i="14" a="1"/>
  <c r="J2770" i="14" s="1"/>
  <c r="J2771" i="13" a="1"/>
  <c r="J2771" i="13" s="1"/>
  <c r="N2772" i="13"/>
  <c r="M2774" i="13"/>
  <c r="M2775" i="14"/>
  <c r="K2586" i="13" l="1"/>
  <c r="L2586" i="13" s="1"/>
  <c r="I2587" i="13" s="1"/>
  <c r="N2773" i="13"/>
  <c r="J2772" i="13" a="1"/>
  <c r="J2772" i="13" s="1"/>
  <c r="M2775" i="13"/>
  <c r="M2776" i="14"/>
  <c r="N2772" i="14"/>
  <c r="J2771" i="14" a="1"/>
  <c r="J2771" i="14" s="1"/>
  <c r="K2608" i="14"/>
  <c r="L2608" i="14" s="1"/>
  <c r="I2609" i="14" s="1"/>
  <c r="K2609" i="14" l="1"/>
  <c r="L2609" i="14" s="1"/>
  <c r="I2610" i="14" s="1"/>
  <c r="K2587" i="13"/>
  <c r="L2587" i="13" s="1"/>
  <c r="I2588" i="13" s="1"/>
  <c r="J2773" i="13" a="1"/>
  <c r="J2773" i="13" s="1"/>
  <c r="N2774" i="13"/>
  <c r="M2776" i="13"/>
  <c r="M2777" i="14"/>
  <c r="J2772" i="14" a="1"/>
  <c r="J2772" i="14" s="1"/>
  <c r="N2773" i="14"/>
  <c r="K2610" i="14" l="1"/>
  <c r="L2610" i="14" s="1"/>
  <c r="I2611" i="14" s="1"/>
  <c r="J2773" i="14" a="1"/>
  <c r="J2773" i="14" s="1"/>
  <c r="N2774" i="14"/>
  <c r="M2777" i="13"/>
  <c r="K2588" i="13"/>
  <c r="L2588" i="13" s="1"/>
  <c r="I2589" i="13" s="1"/>
  <c r="M2778" i="14"/>
  <c r="N2775" i="13"/>
  <c r="J2774" i="13" a="1"/>
  <c r="J2774" i="13" s="1"/>
  <c r="K2589" i="13" l="1"/>
  <c r="L2589" i="13" s="1"/>
  <c r="I2590" i="13" s="1"/>
  <c r="K2611" i="14"/>
  <c r="L2611" i="14" s="1"/>
  <c r="I2612" i="14" s="1"/>
  <c r="N2775" i="14"/>
  <c r="J2774" i="14" a="1"/>
  <c r="J2774" i="14" s="1"/>
  <c r="J2775" i="13" a="1"/>
  <c r="J2775" i="13" s="1"/>
  <c r="N2776" i="13"/>
  <c r="M2779" i="14"/>
  <c r="M2778" i="13"/>
  <c r="K2612" i="14" l="1"/>
  <c r="L2612" i="14" s="1"/>
  <c r="I2613" i="14" s="1"/>
  <c r="K2590" i="13"/>
  <c r="L2590" i="13" s="1"/>
  <c r="I2591" i="13" s="1"/>
  <c r="N2777" i="13"/>
  <c r="J2776" i="13" a="1"/>
  <c r="J2776" i="13" s="1"/>
  <c r="M2779" i="13"/>
  <c r="M2780" i="14"/>
  <c r="N2776" i="14"/>
  <c r="J2775" i="14" a="1"/>
  <c r="J2775" i="14" s="1"/>
  <c r="K2591" i="13" l="1"/>
  <c r="L2591" i="13" s="1"/>
  <c r="I2592" i="13" s="1"/>
  <c r="K2613" i="14"/>
  <c r="L2613" i="14" s="1"/>
  <c r="I2614" i="14" s="1"/>
  <c r="M2780" i="13"/>
  <c r="J2776" i="14" a="1"/>
  <c r="J2776" i="14" s="1"/>
  <c r="N2777" i="14"/>
  <c r="M2781" i="14"/>
  <c r="J2777" i="13" a="1"/>
  <c r="J2777" i="13" s="1"/>
  <c r="N2778" i="13"/>
  <c r="K2592" i="13" l="1"/>
  <c r="L2592" i="13" s="1"/>
  <c r="I2593" i="13" s="1"/>
  <c r="J2777" i="14" a="1"/>
  <c r="J2777" i="14" s="1"/>
  <c r="N2778" i="14"/>
  <c r="N2779" i="13"/>
  <c r="J2778" i="13" a="1"/>
  <c r="J2778" i="13" s="1"/>
  <c r="K2614" i="14"/>
  <c r="L2614" i="14" s="1"/>
  <c r="I2615" i="14" s="1"/>
  <c r="M2782" i="14"/>
  <c r="M2781" i="13"/>
  <c r="K2615" i="14" l="1"/>
  <c r="L2615" i="14" s="1"/>
  <c r="I2616" i="14" s="1"/>
  <c r="K2593" i="13"/>
  <c r="L2593" i="13" s="1"/>
  <c r="I2594" i="13" s="1"/>
  <c r="N2779" i="14"/>
  <c r="J2778" i="14" a="1"/>
  <c r="J2778" i="14" s="1"/>
  <c r="M2782" i="13"/>
  <c r="M2783" i="14"/>
  <c r="J2779" i="13" a="1"/>
  <c r="J2779" i="13" s="1"/>
  <c r="N2780" i="13"/>
  <c r="K2616" i="14" l="1"/>
  <c r="L2616" i="14" s="1"/>
  <c r="I2617" i="14" s="1"/>
  <c r="K2594" i="13"/>
  <c r="L2594" i="13" s="1"/>
  <c r="I2595" i="13" s="1"/>
  <c r="N2781" i="13"/>
  <c r="J2780" i="13" a="1"/>
  <c r="J2780" i="13" s="1"/>
  <c r="M2783" i="13"/>
  <c r="M2784" i="14"/>
  <c r="N2780" i="14"/>
  <c r="J2779" i="14" a="1"/>
  <c r="J2779" i="14" s="1"/>
  <c r="J2780" i="14" l="1" a="1"/>
  <c r="J2780" i="14" s="1"/>
  <c r="N2781" i="14"/>
  <c r="M2785" i="14"/>
  <c r="M2784" i="13"/>
  <c r="K2595" i="13"/>
  <c r="L2595" i="13" s="1"/>
  <c r="I2596" i="13" s="1"/>
  <c r="J2781" i="13" a="1"/>
  <c r="J2781" i="13" s="1"/>
  <c r="N2782" i="13"/>
  <c r="K2617" i="14"/>
  <c r="L2617" i="14" s="1"/>
  <c r="I2618" i="14" s="1"/>
  <c r="K2618" i="14" l="1"/>
  <c r="L2618" i="14" s="1"/>
  <c r="I2619" i="14" s="1"/>
  <c r="K2596" i="13"/>
  <c r="L2596" i="13" s="1"/>
  <c r="I2597" i="13" s="1"/>
  <c r="M2785" i="13"/>
  <c r="M2786" i="14"/>
  <c r="N2783" i="13"/>
  <c r="J2782" i="13" a="1"/>
  <c r="J2782" i="13" s="1"/>
  <c r="J2781" i="14" a="1"/>
  <c r="J2781" i="14" s="1"/>
  <c r="N2782" i="14"/>
  <c r="K2597" i="13" l="1"/>
  <c r="L2597" i="13" s="1"/>
  <c r="I2598" i="13" s="1"/>
  <c r="K2619" i="14"/>
  <c r="L2619" i="14" s="1"/>
  <c r="I2620" i="14" s="1"/>
  <c r="N2783" i="14"/>
  <c r="J2782" i="14" a="1"/>
  <c r="J2782" i="14" s="1"/>
  <c r="M2787" i="14"/>
  <c r="M2786" i="13"/>
  <c r="J2783" i="13" a="1"/>
  <c r="J2783" i="13" s="1"/>
  <c r="N2784" i="13"/>
  <c r="K2620" i="14" l="1"/>
  <c r="L2620" i="14" s="1"/>
  <c r="I2621" i="14" s="1"/>
  <c r="K2598" i="13"/>
  <c r="L2598" i="13" s="1"/>
  <c r="I2599" i="13" s="1"/>
  <c r="N2785" i="13"/>
  <c r="J2784" i="13" a="1"/>
  <c r="J2784" i="13" s="1"/>
  <c r="M2788" i="14"/>
  <c r="M2787" i="13"/>
  <c r="N2784" i="14"/>
  <c r="J2783" i="14" a="1"/>
  <c r="J2783" i="14" s="1"/>
  <c r="K2599" i="13" l="1"/>
  <c r="L2599" i="13" s="1"/>
  <c r="I2600" i="13" s="1"/>
  <c r="K2621" i="14"/>
  <c r="L2621" i="14" s="1"/>
  <c r="I2622" i="14" s="1"/>
  <c r="J2784" i="14" a="1"/>
  <c r="J2784" i="14" s="1"/>
  <c r="N2785" i="14"/>
  <c r="M2789" i="14"/>
  <c r="M2788" i="13"/>
  <c r="J2785" i="13" a="1"/>
  <c r="J2785" i="13" s="1"/>
  <c r="N2786" i="13"/>
  <c r="K2600" i="13" l="1"/>
  <c r="L2600" i="13" s="1"/>
  <c r="I2601" i="13" s="1"/>
  <c r="N2787" i="13"/>
  <c r="J2786" i="13" a="1"/>
  <c r="J2786" i="13" s="1"/>
  <c r="J2785" i="14" a="1"/>
  <c r="J2785" i="14" s="1"/>
  <c r="N2786" i="14"/>
  <c r="M2790" i="14"/>
  <c r="K2622" i="14"/>
  <c r="L2622" i="14" s="1"/>
  <c r="I2623" i="14" s="1"/>
  <c r="M2789" i="13"/>
  <c r="K2601" i="13" l="1"/>
  <c r="L2601" i="13" s="1"/>
  <c r="I2602" i="13" s="1"/>
  <c r="K2623" i="14"/>
  <c r="L2623" i="14" s="1"/>
  <c r="I2624" i="14" s="1"/>
  <c r="M2790" i="13"/>
  <c r="M2791" i="14"/>
  <c r="J2787" i="13" a="1"/>
  <c r="J2787" i="13" s="1"/>
  <c r="N2788" i="13"/>
  <c r="N2787" i="14"/>
  <c r="J2786" i="14" a="1"/>
  <c r="J2786" i="14" s="1"/>
  <c r="K2624" i="14" l="1"/>
  <c r="L2624" i="14" s="1"/>
  <c r="I2625" i="14" s="1"/>
  <c r="K2602" i="13"/>
  <c r="L2602" i="13" s="1"/>
  <c r="I2603" i="13" s="1"/>
  <c r="N2788" i="14"/>
  <c r="J2787" i="14" a="1"/>
  <c r="J2787" i="14" s="1"/>
  <c r="M2792" i="14"/>
  <c r="N2789" i="13"/>
  <c r="J2788" i="13" a="1"/>
  <c r="J2788" i="13" s="1"/>
  <c r="M2791" i="13"/>
  <c r="K2603" i="13" l="1"/>
  <c r="L2603" i="13" s="1"/>
  <c r="I2604" i="13" s="1"/>
  <c r="K2625" i="14"/>
  <c r="L2625" i="14" s="1"/>
  <c r="I2626" i="14" s="1"/>
  <c r="J2789" i="13" a="1"/>
  <c r="J2789" i="13" s="1"/>
  <c r="N2790" i="13"/>
  <c r="M2792" i="13"/>
  <c r="M2793" i="14"/>
  <c r="J2788" i="14" a="1"/>
  <c r="J2788" i="14" s="1"/>
  <c r="N2789" i="14"/>
  <c r="K2604" i="13" l="1"/>
  <c r="L2604" i="13" s="1"/>
  <c r="I2605" i="13" s="1"/>
  <c r="J2789" i="14" a="1"/>
  <c r="J2789" i="14" s="1"/>
  <c r="N2790" i="14"/>
  <c r="M2793" i="13"/>
  <c r="K2626" i="14"/>
  <c r="L2626" i="14" s="1"/>
  <c r="I2627" i="14" s="1"/>
  <c r="M2794" i="14"/>
  <c r="N2791" i="13"/>
  <c r="J2790" i="13" a="1"/>
  <c r="J2790" i="13" s="1"/>
  <c r="K2627" i="14" l="1"/>
  <c r="L2627" i="14" s="1"/>
  <c r="I2628" i="14" s="1"/>
  <c r="K2605" i="13"/>
  <c r="L2605" i="13" s="1"/>
  <c r="I2606" i="13" s="1"/>
  <c r="N2791" i="14"/>
  <c r="J2790" i="14" a="1"/>
  <c r="J2790" i="14" s="1"/>
  <c r="J2791" i="13" a="1"/>
  <c r="J2791" i="13" s="1"/>
  <c r="N2792" i="13"/>
  <c r="M2795" i="14"/>
  <c r="M2794" i="13"/>
  <c r="K2628" i="14" l="1"/>
  <c r="L2628" i="14" s="1"/>
  <c r="I2629" i="14" s="1"/>
  <c r="N2793" i="13"/>
  <c r="J2792" i="13" a="1"/>
  <c r="J2792" i="13" s="1"/>
  <c r="K2606" i="13"/>
  <c r="L2606" i="13" s="1"/>
  <c r="I2607" i="13" s="1"/>
  <c r="M2795" i="13"/>
  <c r="M2796" i="14"/>
  <c r="N2792" i="14"/>
  <c r="J2791" i="14" a="1"/>
  <c r="J2791" i="14" s="1"/>
  <c r="K2607" i="13" l="1"/>
  <c r="L2607" i="13" s="1"/>
  <c r="I2608" i="13" s="1"/>
  <c r="K2629" i="14"/>
  <c r="L2629" i="14" s="1"/>
  <c r="I2630" i="14" s="1"/>
  <c r="M2796" i="13"/>
  <c r="J2793" i="13" a="1"/>
  <c r="J2793" i="13" s="1"/>
  <c r="N2794" i="13"/>
  <c r="J2792" i="14" a="1"/>
  <c r="J2792" i="14" s="1"/>
  <c r="N2793" i="14"/>
  <c r="M2797" i="14"/>
  <c r="K2630" i="14" l="1"/>
  <c r="L2630" i="14" s="1"/>
  <c r="I2631" i="14" s="1"/>
  <c r="K2608" i="13"/>
  <c r="L2608" i="13" s="1"/>
  <c r="I2609" i="13" s="1"/>
  <c r="N2795" i="13"/>
  <c r="J2794" i="13" a="1"/>
  <c r="J2794" i="13" s="1"/>
  <c r="J2793" i="14" a="1"/>
  <c r="J2793" i="14" s="1"/>
  <c r="N2794" i="14"/>
  <c r="M2798" i="14"/>
  <c r="M2797" i="13"/>
  <c r="K2631" i="14" l="1"/>
  <c r="L2631" i="14" s="1"/>
  <c r="I2632" i="14" s="1"/>
  <c r="M2798" i="13"/>
  <c r="N2795" i="14"/>
  <c r="J2794" i="14" a="1"/>
  <c r="J2794" i="14" s="1"/>
  <c r="K2609" i="13"/>
  <c r="L2609" i="13" s="1"/>
  <c r="I2610" i="13" s="1"/>
  <c r="M2799" i="14"/>
  <c r="J2795" i="13" a="1"/>
  <c r="J2795" i="13" s="1"/>
  <c r="N2796" i="13"/>
  <c r="K2610" i="13" l="1"/>
  <c r="L2610" i="13" s="1"/>
  <c r="I2611" i="13" s="1"/>
  <c r="K2632" i="14"/>
  <c r="L2632" i="14" s="1"/>
  <c r="I2633" i="14" s="1"/>
  <c r="N2797" i="13"/>
  <c r="J2796" i="13" a="1"/>
  <c r="J2796" i="13" s="1"/>
  <c r="M2799" i="13"/>
  <c r="M2800" i="14"/>
  <c r="N2796" i="14"/>
  <c r="J2795" i="14" a="1"/>
  <c r="J2795" i="14" s="1"/>
  <c r="K2611" i="13" l="1"/>
  <c r="L2611" i="13" s="1"/>
  <c r="I2612" i="13" s="1"/>
  <c r="M2800" i="13"/>
  <c r="J2796" i="14" a="1"/>
  <c r="J2796" i="14" s="1"/>
  <c r="N2797" i="14"/>
  <c r="K2633" i="14"/>
  <c r="L2633" i="14" s="1"/>
  <c r="I2634" i="14" s="1"/>
  <c r="M2801" i="14"/>
  <c r="J2797" i="13" a="1"/>
  <c r="J2797" i="13" s="1"/>
  <c r="N2798" i="13"/>
  <c r="K2634" i="14" l="1"/>
  <c r="L2634" i="14" s="1"/>
  <c r="I2635" i="14" s="1"/>
  <c r="K2612" i="13"/>
  <c r="L2612" i="13" s="1"/>
  <c r="I2613" i="13" s="1"/>
  <c r="N2799" i="13"/>
  <c r="J2798" i="13" a="1"/>
  <c r="J2798" i="13" s="1"/>
  <c r="M2801" i="13"/>
  <c r="M2802" i="14"/>
  <c r="J2797" i="14" a="1"/>
  <c r="J2797" i="14" s="1"/>
  <c r="N2798" i="14"/>
  <c r="K2613" i="13" l="1"/>
  <c r="L2613" i="13" s="1"/>
  <c r="I2614" i="13" s="1"/>
  <c r="K2635" i="14"/>
  <c r="L2635" i="14" s="1"/>
  <c r="I2636" i="14" s="1"/>
  <c r="N2799" i="14"/>
  <c r="J2798" i="14" a="1"/>
  <c r="J2798" i="14" s="1"/>
  <c r="M2802" i="13"/>
  <c r="M2803" i="14"/>
  <c r="J2799" i="13" a="1"/>
  <c r="J2799" i="13" s="1"/>
  <c r="N2800" i="13"/>
  <c r="K2614" i="13" l="1"/>
  <c r="L2614" i="13" s="1"/>
  <c r="I2615" i="13" s="1"/>
  <c r="N2801" i="13"/>
  <c r="J2800" i="13" a="1"/>
  <c r="J2800" i="13" s="1"/>
  <c r="K2636" i="14"/>
  <c r="L2636" i="14" s="1"/>
  <c r="I2637" i="14" s="1"/>
  <c r="M2803" i="13"/>
  <c r="M2804" i="14"/>
  <c r="N2800" i="14"/>
  <c r="J2799" i="14" a="1"/>
  <c r="J2799" i="14" s="1"/>
  <c r="K2615" i="13" l="1"/>
  <c r="L2615" i="13" s="1"/>
  <c r="I2616" i="13" s="1"/>
  <c r="K2637" i="14"/>
  <c r="L2637" i="14" s="1"/>
  <c r="I2638" i="14" s="1"/>
  <c r="J2801" i="13" a="1"/>
  <c r="J2801" i="13" s="1"/>
  <c r="N2802" i="13"/>
  <c r="M2804" i="13"/>
  <c r="J2800" i="14" a="1"/>
  <c r="J2800" i="14" s="1"/>
  <c r="N2801" i="14"/>
  <c r="M2805" i="14"/>
  <c r="K2616" i="13" l="1"/>
  <c r="L2616" i="13" s="1"/>
  <c r="I2617" i="13" s="1"/>
  <c r="K2638" i="14"/>
  <c r="L2638" i="14" s="1"/>
  <c r="I2639" i="14" s="1"/>
  <c r="J2801" i="14" a="1"/>
  <c r="J2801" i="14" s="1"/>
  <c r="N2802" i="14"/>
  <c r="M2806" i="14"/>
  <c r="M2805" i="13"/>
  <c r="N2803" i="13"/>
  <c r="J2802" i="13" a="1"/>
  <c r="J2802" i="13" s="1"/>
  <c r="K2639" i="14" l="1"/>
  <c r="L2639" i="14" s="1"/>
  <c r="I2640" i="14" s="1"/>
  <c r="K2617" i="13"/>
  <c r="L2617" i="13" s="1"/>
  <c r="I2618" i="13" s="1"/>
  <c r="M2807" i="14"/>
  <c r="J2803" i="13" a="1"/>
  <c r="J2803" i="13" s="1"/>
  <c r="N2804" i="13"/>
  <c r="N2803" i="14"/>
  <c r="J2802" i="14" a="1"/>
  <c r="J2802" i="14" s="1"/>
  <c r="M2806" i="13"/>
  <c r="K2618" i="13" l="1"/>
  <c r="L2618" i="13" s="1"/>
  <c r="I2619" i="13" s="1"/>
  <c r="K2640" i="14"/>
  <c r="L2640" i="14" s="1"/>
  <c r="I2641" i="14" s="1"/>
  <c r="N2805" i="13"/>
  <c r="J2804" i="13" a="1"/>
  <c r="J2804" i="13" s="1"/>
  <c r="M2807" i="13"/>
  <c r="N2804" i="14"/>
  <c r="J2803" i="14" a="1"/>
  <c r="J2803" i="14" s="1"/>
  <c r="M2808" i="14"/>
  <c r="K2619" i="13" l="1"/>
  <c r="L2619" i="13" s="1"/>
  <c r="I2620" i="13" s="1"/>
  <c r="M2809" i="14"/>
  <c r="M2808" i="13"/>
  <c r="K2641" i="14"/>
  <c r="L2641" i="14" s="1"/>
  <c r="I2642" i="14" s="1"/>
  <c r="J2804" i="14" a="1"/>
  <c r="J2804" i="14" s="1"/>
  <c r="N2805" i="14"/>
  <c r="J2805" i="13" a="1"/>
  <c r="J2805" i="13" s="1"/>
  <c r="N2806" i="13"/>
  <c r="K2620" i="13" l="1"/>
  <c r="L2620" i="13" s="1"/>
  <c r="I2621" i="13" s="1"/>
  <c r="N2807" i="13"/>
  <c r="J2806" i="13" a="1"/>
  <c r="J2806" i="13" s="1"/>
  <c r="M2810" i="14"/>
  <c r="K2642" i="14"/>
  <c r="L2642" i="14" s="1"/>
  <c r="I2643" i="14" s="1"/>
  <c r="J2805" i="14" a="1"/>
  <c r="J2805" i="14" s="1"/>
  <c r="N2806" i="14"/>
  <c r="M2809" i="13"/>
  <c r="K2621" i="13" l="1"/>
  <c r="L2621" i="13" s="1"/>
  <c r="I2622" i="13" s="1"/>
  <c r="K2643" i="14"/>
  <c r="L2643" i="14" s="1"/>
  <c r="I2644" i="14" s="1"/>
  <c r="J2807" i="13" a="1"/>
  <c r="J2807" i="13" s="1"/>
  <c r="N2808" i="13"/>
  <c r="M2810" i="13"/>
  <c r="N2807" i="14"/>
  <c r="J2806" i="14" a="1"/>
  <c r="J2806" i="14" s="1"/>
  <c r="M2811" i="14"/>
  <c r="K2644" i="14" l="1"/>
  <c r="L2644" i="14" s="1"/>
  <c r="I2645" i="14" s="1"/>
  <c r="N2808" i="14"/>
  <c r="J2807" i="14" a="1"/>
  <c r="J2807" i="14" s="1"/>
  <c r="M2812" i="14"/>
  <c r="M2811" i="13"/>
  <c r="N2809" i="13"/>
  <c r="J2808" i="13" a="1"/>
  <c r="J2808" i="13" s="1"/>
  <c r="K2622" i="13"/>
  <c r="L2622" i="13" s="1"/>
  <c r="I2623" i="13" s="1"/>
  <c r="K2623" i="13" l="1"/>
  <c r="L2623" i="13" s="1"/>
  <c r="I2624" i="13" s="1"/>
  <c r="K2645" i="14"/>
  <c r="L2645" i="14" s="1"/>
  <c r="I2646" i="14" s="1"/>
  <c r="M2812" i="13"/>
  <c r="J2808" i="14" a="1"/>
  <c r="J2808" i="14" s="1"/>
  <c r="N2809" i="14"/>
  <c r="J2809" i="13" a="1"/>
  <c r="J2809" i="13" s="1"/>
  <c r="N2810" i="13"/>
  <c r="M2813" i="14"/>
  <c r="K2646" i="14" l="1"/>
  <c r="L2646" i="14" s="1"/>
  <c r="I2647" i="14" s="1"/>
  <c r="K2624" i="13"/>
  <c r="L2624" i="13" s="1"/>
  <c r="I2625" i="13" s="1"/>
  <c r="J2809" i="14" a="1"/>
  <c r="J2809" i="14" s="1"/>
  <c r="N2810" i="14"/>
  <c r="M2814" i="14"/>
  <c r="N2811" i="13"/>
  <c r="J2810" i="13" a="1"/>
  <c r="J2810" i="13" s="1"/>
  <c r="M2813" i="13"/>
  <c r="K2647" i="14" l="1"/>
  <c r="L2647" i="14" s="1"/>
  <c r="I2648" i="14" s="1"/>
  <c r="M2814" i="13"/>
  <c r="M2815" i="14"/>
  <c r="K2625" i="13"/>
  <c r="L2625" i="13" s="1"/>
  <c r="I2626" i="13" s="1"/>
  <c r="N2811" i="14"/>
  <c r="J2810" i="14" a="1"/>
  <c r="J2810" i="14" s="1"/>
  <c r="J2811" i="13" a="1"/>
  <c r="J2811" i="13" s="1"/>
  <c r="N2812" i="13"/>
  <c r="K2648" i="14" l="1"/>
  <c r="L2648" i="14" s="1"/>
  <c r="I2649" i="14" s="1"/>
  <c r="N2813" i="13"/>
  <c r="J2812" i="13" a="1"/>
  <c r="J2812" i="13" s="1"/>
  <c r="K2626" i="13"/>
  <c r="L2626" i="13" s="1"/>
  <c r="I2627" i="13" s="1"/>
  <c r="M2815" i="13"/>
  <c r="N2812" i="14"/>
  <c r="J2811" i="14" a="1"/>
  <c r="J2811" i="14" s="1"/>
  <c r="M2816" i="14"/>
  <c r="K2627" i="13" l="1"/>
  <c r="L2627" i="13" s="1"/>
  <c r="I2628" i="13" s="1"/>
  <c r="K2649" i="14"/>
  <c r="L2649" i="14" s="1"/>
  <c r="I2650" i="14" s="1"/>
  <c r="M2817" i="14"/>
  <c r="J2813" i="13" a="1"/>
  <c r="J2813" i="13" s="1"/>
  <c r="N2814" i="13"/>
  <c r="M2816" i="13"/>
  <c r="J2812" i="14" a="1"/>
  <c r="J2812" i="14" s="1"/>
  <c r="N2813" i="14"/>
  <c r="K2650" i="14" l="1"/>
  <c r="L2650" i="14" s="1"/>
  <c r="I2651" i="14" s="1"/>
  <c r="K2628" i="13"/>
  <c r="L2628" i="13" s="1"/>
  <c r="I2629" i="13" s="1"/>
  <c r="N2815" i="13"/>
  <c r="J2814" i="13" a="1"/>
  <c r="J2814" i="13" s="1"/>
  <c r="J2813" i="14" a="1"/>
  <c r="J2813" i="14" s="1"/>
  <c r="N2814" i="14"/>
  <c r="M2818" i="14"/>
  <c r="M2817" i="13"/>
  <c r="K2629" i="13" l="1"/>
  <c r="L2629" i="13" s="1"/>
  <c r="I2630" i="13" s="1"/>
  <c r="K2651" i="14"/>
  <c r="L2651" i="14" s="1"/>
  <c r="I2652" i="14" s="1"/>
  <c r="N2815" i="14"/>
  <c r="J2814" i="14" a="1"/>
  <c r="J2814" i="14" s="1"/>
  <c r="M2818" i="13"/>
  <c r="M2819" i="14"/>
  <c r="J2815" i="13" a="1"/>
  <c r="J2815" i="13" s="1"/>
  <c r="N2816" i="13"/>
  <c r="K2630" i="13" l="1"/>
  <c r="L2630" i="13" s="1"/>
  <c r="I2631" i="13" s="1"/>
  <c r="N2817" i="13"/>
  <c r="J2816" i="13" a="1"/>
  <c r="J2816" i="13" s="1"/>
  <c r="M2819" i="13"/>
  <c r="K2652" i="14"/>
  <c r="L2652" i="14" s="1"/>
  <c r="I2653" i="14" s="1"/>
  <c r="M2820" i="14"/>
  <c r="N2816" i="14"/>
  <c r="J2815" i="14" a="1"/>
  <c r="J2815" i="14" s="1"/>
  <c r="K2631" i="13" l="1"/>
  <c r="L2631" i="13" s="1"/>
  <c r="I2632" i="13" s="1"/>
  <c r="K2653" i="14"/>
  <c r="L2653" i="14" s="1"/>
  <c r="I2654" i="14" s="1"/>
  <c r="J2817" i="13" a="1"/>
  <c r="J2817" i="13" s="1"/>
  <c r="N2818" i="13"/>
  <c r="J2816" i="14" a="1"/>
  <c r="J2816" i="14" s="1"/>
  <c r="N2817" i="14"/>
  <c r="M2820" i="13"/>
  <c r="M2821" i="14"/>
  <c r="K2654" i="14" l="1"/>
  <c r="L2654" i="14" s="1"/>
  <c r="I2655" i="14" s="1"/>
  <c r="K2632" i="13"/>
  <c r="L2632" i="13" s="1"/>
  <c r="I2633" i="13" s="1"/>
  <c r="J2817" i="14" a="1"/>
  <c r="J2817" i="14" s="1"/>
  <c r="N2818" i="14"/>
  <c r="N2819" i="13"/>
  <c r="J2818" i="13" a="1"/>
  <c r="J2818" i="13" s="1"/>
  <c r="M2822" i="14"/>
  <c r="M2821" i="13"/>
  <c r="K2633" i="13" l="1"/>
  <c r="L2633" i="13" s="1"/>
  <c r="I2634" i="13" s="1"/>
  <c r="K2655" i="14"/>
  <c r="L2655" i="14" s="1"/>
  <c r="I2656" i="14" s="1"/>
  <c r="M2823" i="14"/>
  <c r="M2822" i="13"/>
  <c r="J2819" i="13" a="1"/>
  <c r="J2819" i="13" s="1"/>
  <c r="N2820" i="13"/>
  <c r="N2819" i="14"/>
  <c r="J2818" i="14" a="1"/>
  <c r="J2818" i="14" s="1"/>
  <c r="K2656" i="14" l="1"/>
  <c r="L2656" i="14" s="1"/>
  <c r="I2657" i="14" s="1"/>
  <c r="K2634" i="13"/>
  <c r="L2634" i="13" s="1"/>
  <c r="I2635" i="13" s="1"/>
  <c r="M2823" i="13"/>
  <c r="N2820" i="14"/>
  <c r="J2819" i="14" a="1"/>
  <c r="J2819" i="14" s="1"/>
  <c r="N2821" i="13"/>
  <c r="J2820" i="13" a="1"/>
  <c r="J2820" i="13" s="1"/>
  <c r="M2824" i="14"/>
  <c r="K2635" i="13" l="1"/>
  <c r="L2635" i="13" s="1"/>
  <c r="I2636" i="13" s="1"/>
  <c r="K2657" i="14"/>
  <c r="L2657" i="14" s="1"/>
  <c r="I2658" i="14" s="1"/>
  <c r="J2820" i="14" a="1"/>
  <c r="J2820" i="14" s="1"/>
  <c r="N2821" i="14"/>
  <c r="M2825" i="14"/>
  <c r="J2821" i="13" a="1"/>
  <c r="J2821" i="13" s="1"/>
  <c r="N2822" i="13"/>
  <c r="M2824" i="13"/>
  <c r="K2658" i="14" l="1"/>
  <c r="L2658" i="14" s="1"/>
  <c r="I2659" i="14" s="1"/>
  <c r="K2636" i="13"/>
  <c r="L2636" i="13" s="1"/>
  <c r="I2637" i="13" s="1"/>
  <c r="N2823" i="13"/>
  <c r="J2822" i="13" a="1"/>
  <c r="J2822" i="13" s="1"/>
  <c r="M2826" i="14"/>
  <c r="M2825" i="13"/>
  <c r="J2821" i="14" a="1"/>
  <c r="J2821" i="14" s="1"/>
  <c r="N2822" i="14"/>
  <c r="K2637" i="13" l="1"/>
  <c r="L2637" i="13" s="1"/>
  <c r="I2638" i="13" s="1"/>
  <c r="K2659" i="14"/>
  <c r="L2659" i="14" s="1"/>
  <c r="I2660" i="14" s="1"/>
  <c r="N2823" i="14"/>
  <c r="J2822" i="14" a="1"/>
  <c r="J2822" i="14" s="1"/>
  <c r="M2827" i="14"/>
  <c r="M2826" i="13"/>
  <c r="J2823" i="13" a="1"/>
  <c r="J2823" i="13" s="1"/>
  <c r="N2824" i="13"/>
  <c r="K2638" i="13" l="1"/>
  <c r="L2638" i="13" s="1"/>
  <c r="I2639" i="13" s="1"/>
  <c r="J2824" i="13" a="1"/>
  <c r="J2824" i="13" s="1"/>
  <c r="N2825" i="13"/>
  <c r="K2660" i="14"/>
  <c r="L2660" i="14" s="1"/>
  <c r="I2661" i="14" s="1"/>
  <c r="M2828" i="14"/>
  <c r="M2827" i="13"/>
  <c r="N2824" i="14"/>
  <c r="J2823" i="14" a="1"/>
  <c r="J2823" i="14" s="1"/>
  <c r="K2661" i="14" l="1"/>
  <c r="L2661" i="14" s="1"/>
  <c r="I2662" i="14" s="1"/>
  <c r="K2639" i="13"/>
  <c r="L2639" i="13" s="1"/>
  <c r="I2640" i="13" s="1"/>
  <c r="J2825" i="13" a="1"/>
  <c r="J2825" i="13" s="1"/>
  <c r="N2826" i="13"/>
  <c r="J2824" i="14" a="1"/>
  <c r="J2824" i="14" s="1"/>
  <c r="N2825" i="14"/>
  <c r="M2829" i="14"/>
  <c r="M2828" i="13"/>
  <c r="K2662" i="14" l="1"/>
  <c r="L2662" i="14" s="1"/>
  <c r="I2663" i="14" s="1"/>
  <c r="K2640" i="13"/>
  <c r="L2640" i="13" s="1"/>
  <c r="I2641" i="13" s="1"/>
  <c r="J2825" i="14" a="1"/>
  <c r="J2825" i="14" s="1"/>
  <c r="N2826" i="14"/>
  <c r="N2827" i="13"/>
  <c r="J2826" i="13" a="1"/>
  <c r="J2826" i="13" s="1"/>
  <c r="M2829" i="13"/>
  <c r="M2830" i="14"/>
  <c r="K2663" i="14" l="1"/>
  <c r="L2663" i="14" s="1"/>
  <c r="I2664" i="14" s="1"/>
  <c r="K2641" i="13"/>
  <c r="L2641" i="13" s="1"/>
  <c r="I2642" i="13" s="1"/>
  <c r="J2827" i="13" a="1"/>
  <c r="J2827" i="13" s="1"/>
  <c r="N2828" i="13"/>
  <c r="M2831" i="14"/>
  <c r="M2830" i="13"/>
  <c r="N2827" i="14"/>
  <c r="J2826" i="14" a="1"/>
  <c r="J2826" i="14" s="1"/>
  <c r="K2642" i="13" l="1"/>
  <c r="L2642" i="13" s="1"/>
  <c r="I2643" i="13" s="1"/>
  <c r="K2664" i="14"/>
  <c r="L2664" i="14" s="1"/>
  <c r="I2665" i="14" s="1"/>
  <c r="N2828" i="14"/>
  <c r="J2827" i="14" a="1"/>
  <c r="J2827" i="14" s="1"/>
  <c r="M2832" i="14"/>
  <c r="J2828" i="13" a="1"/>
  <c r="J2828" i="13" s="1"/>
  <c r="N2829" i="13"/>
  <c r="M2831" i="13"/>
  <c r="K2643" i="13" l="1"/>
  <c r="L2643" i="13" s="1"/>
  <c r="I2644" i="13" s="1"/>
  <c r="J2829" i="13" a="1"/>
  <c r="J2829" i="13" s="1"/>
  <c r="N2830" i="13"/>
  <c r="M2832" i="13"/>
  <c r="M2833" i="14"/>
  <c r="K2665" i="14"/>
  <c r="L2665" i="14" s="1"/>
  <c r="I2666" i="14" s="1"/>
  <c r="J2828" i="14" a="1"/>
  <c r="J2828" i="14" s="1"/>
  <c r="N2829" i="14"/>
  <c r="K2666" i="14" l="1"/>
  <c r="L2666" i="14" s="1"/>
  <c r="I2667" i="14" s="1"/>
  <c r="K2644" i="13"/>
  <c r="L2644" i="13" s="1"/>
  <c r="I2645" i="13" s="1"/>
  <c r="J2829" i="14" a="1"/>
  <c r="J2829" i="14" s="1"/>
  <c r="N2830" i="14"/>
  <c r="M2834" i="14"/>
  <c r="N2831" i="13"/>
  <c r="J2830" i="13" a="1"/>
  <c r="J2830" i="13" s="1"/>
  <c r="M2833" i="13"/>
  <c r="K2667" i="14" l="1"/>
  <c r="L2667" i="14" s="1"/>
  <c r="I2668" i="14" s="1"/>
  <c r="K2645" i="13"/>
  <c r="L2645" i="13" s="1"/>
  <c r="I2646" i="13" s="1"/>
  <c r="M2834" i="13"/>
  <c r="M2835" i="14"/>
  <c r="N2831" i="14"/>
  <c r="J2830" i="14" a="1"/>
  <c r="J2830" i="14" s="1"/>
  <c r="J2831" i="13" a="1"/>
  <c r="J2831" i="13" s="1"/>
  <c r="N2832" i="13"/>
  <c r="K2668" i="14" l="1"/>
  <c r="L2668" i="14" s="1"/>
  <c r="I2669" i="14" s="1"/>
  <c r="J2832" i="13" a="1"/>
  <c r="J2832" i="13" s="1"/>
  <c r="N2833" i="13"/>
  <c r="K2646" i="13"/>
  <c r="L2646" i="13" s="1"/>
  <c r="I2647" i="13" s="1"/>
  <c r="M2836" i="14"/>
  <c r="N2832" i="14"/>
  <c r="J2831" i="14" a="1"/>
  <c r="J2831" i="14" s="1"/>
  <c r="M2835" i="13"/>
  <c r="K2647" i="13" l="1"/>
  <c r="L2647" i="13" s="1"/>
  <c r="I2648" i="13" s="1"/>
  <c r="K2669" i="14"/>
  <c r="L2669" i="14" s="1"/>
  <c r="I2670" i="14" s="1"/>
  <c r="J2833" i="13" a="1"/>
  <c r="J2833" i="13" s="1"/>
  <c r="N2834" i="13"/>
  <c r="M2836" i="13"/>
  <c r="M2837" i="14"/>
  <c r="J2832" i="14" a="1"/>
  <c r="J2832" i="14" s="1"/>
  <c r="N2833" i="14"/>
  <c r="K2648" i="13" l="1"/>
  <c r="L2648" i="13" s="1"/>
  <c r="I2649" i="13" s="1"/>
  <c r="J2833" i="14" a="1"/>
  <c r="J2833" i="14" s="1"/>
  <c r="N2834" i="14"/>
  <c r="K2670" i="14"/>
  <c r="L2670" i="14" s="1"/>
  <c r="I2671" i="14" s="1"/>
  <c r="N2835" i="13"/>
  <c r="J2834" i="13" a="1"/>
  <c r="J2834" i="13" s="1"/>
  <c r="M2837" i="13"/>
  <c r="M2838" i="14"/>
  <c r="N2835" i="14" l="1"/>
  <c r="J2834" i="14" a="1"/>
  <c r="J2834" i="14" s="1"/>
  <c r="M2839" i="14"/>
  <c r="M2838" i="13"/>
  <c r="J2835" i="13" a="1"/>
  <c r="J2835" i="13" s="1"/>
  <c r="N2836" i="13"/>
  <c r="K2671" i="14"/>
  <c r="L2671" i="14" s="1"/>
  <c r="I2672" i="14" s="1"/>
  <c r="K2649" i="13"/>
  <c r="L2649" i="13" s="1"/>
  <c r="I2650" i="13" s="1"/>
  <c r="K2672" i="14" l="1"/>
  <c r="L2672" i="14" s="1"/>
  <c r="I2673" i="14" s="1"/>
  <c r="J2836" i="13" a="1"/>
  <c r="J2836" i="13" s="1"/>
  <c r="N2837" i="13"/>
  <c r="M2840" i="14"/>
  <c r="K2650" i="13"/>
  <c r="L2650" i="13" s="1"/>
  <c r="I2651" i="13" s="1"/>
  <c r="M2839" i="13"/>
  <c r="N2836" i="14"/>
  <c r="J2835" i="14" a="1"/>
  <c r="J2835" i="14" s="1"/>
  <c r="K2651" i="13" l="1"/>
  <c r="L2651" i="13" s="1"/>
  <c r="I2652" i="13" s="1"/>
  <c r="K2673" i="14"/>
  <c r="L2673" i="14" s="1"/>
  <c r="I2674" i="14" s="1"/>
  <c r="J2837" i="13" a="1"/>
  <c r="J2837" i="13" s="1"/>
  <c r="N2838" i="13"/>
  <c r="J2836" i="14" a="1"/>
  <c r="J2836" i="14" s="1"/>
  <c r="N2837" i="14"/>
  <c r="M2840" i="13"/>
  <c r="M2841" i="14"/>
  <c r="K2674" i="14" l="1"/>
  <c r="L2674" i="14" s="1"/>
  <c r="I2675" i="14" s="1"/>
  <c r="K2652" i="13"/>
  <c r="L2652" i="13" s="1"/>
  <c r="I2653" i="13" s="1"/>
  <c r="M2842" i="14"/>
  <c r="J2837" i="14" a="1"/>
  <c r="J2837" i="14" s="1"/>
  <c r="N2838" i="14"/>
  <c r="N2839" i="13"/>
  <c r="J2838" i="13" a="1"/>
  <c r="J2838" i="13" s="1"/>
  <c r="M2841" i="13"/>
  <c r="K2675" i="14" l="1"/>
  <c r="L2675" i="14" s="1"/>
  <c r="I2676" i="14" s="1"/>
  <c r="M2842" i="13"/>
  <c r="N2839" i="14"/>
  <c r="J2838" i="14" a="1"/>
  <c r="J2838" i="14" s="1"/>
  <c r="K2653" i="13"/>
  <c r="L2653" i="13" s="1"/>
  <c r="I2654" i="13" s="1"/>
  <c r="M2843" i="14"/>
  <c r="J2839" i="13" a="1"/>
  <c r="J2839" i="13" s="1"/>
  <c r="N2840" i="13"/>
  <c r="K2676" i="14" l="1"/>
  <c r="L2676" i="14" s="1"/>
  <c r="I2677" i="14" s="1"/>
  <c r="K2654" i="13"/>
  <c r="L2654" i="13" s="1"/>
  <c r="I2655" i="13" s="1"/>
  <c r="J2840" i="13" a="1"/>
  <c r="J2840" i="13" s="1"/>
  <c r="N2841" i="13"/>
  <c r="M2843" i="13"/>
  <c r="M2844" i="14"/>
  <c r="N2840" i="14"/>
  <c r="J2839" i="14" a="1"/>
  <c r="J2839" i="14" s="1"/>
  <c r="K2655" i="13" l="1"/>
  <c r="L2655" i="13" s="1"/>
  <c r="I2656" i="13" s="1"/>
  <c r="K2677" i="14"/>
  <c r="L2677" i="14" s="1"/>
  <c r="I2678" i="14" s="1"/>
  <c r="M2845" i="14"/>
  <c r="J2840" i="14" a="1"/>
  <c r="J2840" i="14" s="1"/>
  <c r="N2841" i="14"/>
  <c r="M2844" i="13"/>
  <c r="J2841" i="13" a="1"/>
  <c r="J2841" i="13" s="1"/>
  <c r="N2842" i="13"/>
  <c r="K2678" i="14" l="1"/>
  <c r="L2678" i="14" s="1"/>
  <c r="I2679" i="14" s="1"/>
  <c r="K2656" i="13"/>
  <c r="L2656" i="13" s="1"/>
  <c r="I2657" i="13" s="1"/>
  <c r="J2841" i="14" a="1"/>
  <c r="J2841" i="14" s="1"/>
  <c r="N2842" i="14"/>
  <c r="N2843" i="13"/>
  <c r="J2842" i="13" a="1"/>
  <c r="J2842" i="13" s="1"/>
  <c r="M2845" i="13"/>
  <c r="M2846" i="14"/>
  <c r="K2657" i="13" l="1"/>
  <c r="L2657" i="13" s="1"/>
  <c r="I2658" i="13" s="1"/>
  <c r="K2679" i="14"/>
  <c r="L2679" i="14" s="1"/>
  <c r="I2680" i="14" s="1"/>
  <c r="M2846" i="13"/>
  <c r="M2847" i="14"/>
  <c r="J2843" i="13" a="1"/>
  <c r="J2843" i="13" s="1"/>
  <c r="N2844" i="13"/>
  <c r="N2843" i="14"/>
  <c r="J2842" i="14" a="1"/>
  <c r="J2842" i="14" s="1"/>
  <c r="K2658" i="13" l="1"/>
  <c r="L2658" i="13" s="1"/>
  <c r="I2659" i="13" s="1"/>
  <c r="N2844" i="14"/>
  <c r="J2843" i="14" a="1"/>
  <c r="J2843" i="14" s="1"/>
  <c r="M2848" i="14"/>
  <c r="K2680" i="14"/>
  <c r="L2680" i="14" s="1"/>
  <c r="I2681" i="14" s="1"/>
  <c r="J2844" i="13" a="1"/>
  <c r="J2844" i="13" s="1"/>
  <c r="N2845" i="13"/>
  <c r="M2847" i="13"/>
  <c r="K2659" i="13" l="1"/>
  <c r="L2659" i="13" s="1"/>
  <c r="I2660" i="13" s="1"/>
  <c r="M2848" i="13"/>
  <c r="J2844" i="14" a="1"/>
  <c r="J2844" i="14" s="1"/>
  <c r="N2845" i="14"/>
  <c r="J2845" i="13" a="1"/>
  <c r="J2845" i="13" s="1"/>
  <c r="N2846" i="13"/>
  <c r="K2681" i="14"/>
  <c r="L2681" i="14" s="1"/>
  <c r="I2682" i="14" s="1"/>
  <c r="M2849" i="14"/>
  <c r="K2682" i="14" l="1"/>
  <c r="L2682" i="14" s="1"/>
  <c r="I2683" i="14" s="1"/>
  <c r="K2660" i="13"/>
  <c r="L2660" i="13" s="1"/>
  <c r="I2661" i="13" s="1"/>
  <c r="M2850" i="14"/>
  <c r="N2847" i="13"/>
  <c r="J2846" i="13" a="1"/>
  <c r="J2846" i="13" s="1"/>
  <c r="M2849" i="13"/>
  <c r="J2845" i="14" a="1"/>
  <c r="J2845" i="14" s="1"/>
  <c r="N2846" i="14"/>
  <c r="K2661" i="13" l="1"/>
  <c r="L2661" i="13" s="1"/>
  <c r="I2662" i="13" s="1"/>
  <c r="K2683" i="14"/>
  <c r="L2683" i="14" s="1"/>
  <c r="I2684" i="14" s="1"/>
  <c r="J2847" i="13" a="1"/>
  <c r="J2847" i="13" s="1"/>
  <c r="N2848" i="13"/>
  <c r="N2847" i="14"/>
  <c r="J2846" i="14" a="1"/>
  <c r="J2846" i="14" s="1"/>
  <c r="M2850" i="13"/>
  <c r="M2851" i="14"/>
  <c r="K2684" i="14" l="1"/>
  <c r="L2684" i="14" s="1"/>
  <c r="I2685" i="14" s="1"/>
  <c r="K2662" i="13"/>
  <c r="L2662" i="13" s="1"/>
  <c r="I2663" i="13" s="1"/>
  <c r="N2848" i="14"/>
  <c r="J2847" i="14" a="1"/>
  <c r="J2847" i="14" s="1"/>
  <c r="J2848" i="13" a="1"/>
  <c r="J2848" i="13" s="1"/>
  <c r="N2849" i="13"/>
  <c r="M2852" i="14"/>
  <c r="M2851" i="13"/>
  <c r="K2663" i="13" l="1"/>
  <c r="L2663" i="13" s="1"/>
  <c r="I2664" i="13" s="1"/>
  <c r="K2685" i="14"/>
  <c r="L2685" i="14" s="1"/>
  <c r="I2686" i="14" s="1"/>
  <c r="J2849" i="13" a="1"/>
  <c r="J2849" i="13" s="1"/>
  <c r="N2850" i="13"/>
  <c r="M2852" i="13"/>
  <c r="M2853" i="14"/>
  <c r="J2848" i="14" a="1"/>
  <c r="J2848" i="14" s="1"/>
  <c r="N2849" i="14"/>
  <c r="K2664" i="13" l="1"/>
  <c r="L2664" i="13" s="1"/>
  <c r="I2665" i="13" s="1"/>
  <c r="J2849" i="14" a="1"/>
  <c r="J2849" i="14" s="1"/>
  <c r="N2850" i="14"/>
  <c r="M2854" i="14"/>
  <c r="K2686" i="14"/>
  <c r="L2686" i="14" s="1"/>
  <c r="I2687" i="14" s="1"/>
  <c r="M2853" i="13"/>
  <c r="N2851" i="13"/>
  <c r="J2850" i="13" a="1"/>
  <c r="J2850" i="13" s="1"/>
  <c r="K2687" i="14" l="1"/>
  <c r="L2687" i="14" s="1"/>
  <c r="I2688" i="14" s="1"/>
  <c r="K2665" i="13"/>
  <c r="L2665" i="13" s="1"/>
  <c r="I2666" i="13" s="1"/>
  <c r="N2851" i="14"/>
  <c r="J2850" i="14" a="1"/>
  <c r="J2850" i="14" s="1"/>
  <c r="J2851" i="13" a="1"/>
  <c r="J2851" i="13" s="1"/>
  <c r="N2852" i="13"/>
  <c r="M2854" i="13"/>
  <c r="M2855" i="14"/>
  <c r="K2666" i="13" l="1"/>
  <c r="L2666" i="13" s="1"/>
  <c r="I2667" i="13" s="1"/>
  <c r="K2688" i="14"/>
  <c r="L2688" i="14" s="1"/>
  <c r="I2689" i="14" s="1"/>
  <c r="J2852" i="13" a="1"/>
  <c r="J2852" i="13" s="1"/>
  <c r="N2853" i="13"/>
  <c r="M2856" i="14"/>
  <c r="M2855" i="13"/>
  <c r="N2852" i="14"/>
  <c r="J2851" i="14" a="1"/>
  <c r="J2851" i="14" s="1"/>
  <c r="K2689" i="14" l="1"/>
  <c r="L2689" i="14" s="1"/>
  <c r="I2690" i="14" s="1"/>
  <c r="K2667" i="13"/>
  <c r="L2667" i="13" s="1"/>
  <c r="I2668" i="13" s="1"/>
  <c r="J2852" i="14" a="1"/>
  <c r="J2852" i="14" s="1"/>
  <c r="N2853" i="14"/>
  <c r="M2857" i="14"/>
  <c r="J2853" i="13" a="1"/>
  <c r="J2853" i="13" s="1"/>
  <c r="N2854" i="13"/>
  <c r="M2856" i="13"/>
  <c r="K2690" i="14" l="1"/>
  <c r="L2690" i="14" s="1"/>
  <c r="I2691" i="14" s="1"/>
  <c r="M2857" i="13"/>
  <c r="M2858" i="14"/>
  <c r="K2668" i="13"/>
  <c r="L2668" i="13" s="1"/>
  <c r="I2669" i="13" s="1"/>
  <c r="J2853" i="14" a="1"/>
  <c r="J2853" i="14" s="1"/>
  <c r="N2854" i="14"/>
  <c r="N2855" i="13"/>
  <c r="J2854" i="13" a="1"/>
  <c r="J2854" i="13" s="1"/>
  <c r="K2669" i="13" l="1"/>
  <c r="L2669" i="13" s="1"/>
  <c r="I2670" i="13" s="1"/>
  <c r="K2691" i="14"/>
  <c r="L2691" i="14" s="1"/>
  <c r="I2692" i="14" s="1"/>
  <c r="M2858" i="13"/>
  <c r="N2855" i="14"/>
  <c r="J2854" i="14" a="1"/>
  <c r="J2854" i="14" s="1"/>
  <c r="M2859" i="14"/>
  <c r="J2855" i="13" a="1"/>
  <c r="J2855" i="13" s="1"/>
  <c r="N2856" i="13"/>
  <c r="K2692" i="14" l="1"/>
  <c r="L2692" i="14" s="1"/>
  <c r="I2693" i="14" s="1"/>
  <c r="K2670" i="13"/>
  <c r="L2670" i="13" s="1"/>
  <c r="I2671" i="13" s="1"/>
  <c r="J2856" i="13" a="1"/>
  <c r="J2856" i="13" s="1"/>
  <c r="N2857" i="13"/>
  <c r="N2856" i="14"/>
  <c r="J2855" i="14" a="1"/>
  <c r="J2855" i="14" s="1"/>
  <c r="M2860" i="14"/>
  <c r="M2859" i="13"/>
  <c r="K2671" i="13" l="1"/>
  <c r="L2671" i="13" s="1"/>
  <c r="I2672" i="13" s="1"/>
  <c r="K2693" i="14"/>
  <c r="L2693" i="14" s="1"/>
  <c r="I2694" i="14" s="1"/>
  <c r="M2861" i="14"/>
  <c r="M2860" i="13"/>
  <c r="J2856" i="14" a="1"/>
  <c r="J2856" i="14" s="1"/>
  <c r="N2857" i="14"/>
  <c r="J2857" i="13" a="1"/>
  <c r="J2857" i="13" s="1"/>
  <c r="N2858" i="13"/>
  <c r="K2672" i="13" l="1"/>
  <c r="L2672" i="13" s="1"/>
  <c r="I2673" i="13" s="1"/>
  <c r="N2859" i="13"/>
  <c r="J2858" i="13" a="1"/>
  <c r="J2858" i="13" s="1"/>
  <c r="M2861" i="13"/>
  <c r="K2694" i="14"/>
  <c r="L2694" i="14" s="1"/>
  <c r="I2695" i="14" s="1"/>
  <c r="J2857" i="14" a="1"/>
  <c r="J2857" i="14" s="1"/>
  <c r="N2858" i="14"/>
  <c r="M2862" i="14"/>
  <c r="K2695" i="14" l="1"/>
  <c r="L2695" i="14" s="1"/>
  <c r="I2696" i="14" s="1"/>
  <c r="K2673" i="13"/>
  <c r="L2673" i="13" s="1"/>
  <c r="I2674" i="13" s="1"/>
  <c r="M2863" i="14"/>
  <c r="J2859" i="13" a="1"/>
  <c r="J2859" i="13" s="1"/>
  <c r="N2860" i="13"/>
  <c r="N2859" i="14"/>
  <c r="J2858" i="14" a="1"/>
  <c r="J2858" i="14" s="1"/>
  <c r="M2862" i="13"/>
  <c r="K2674" i="13" l="1"/>
  <c r="L2674" i="13" s="1"/>
  <c r="I2675" i="13" s="1"/>
  <c r="K2696" i="14"/>
  <c r="L2696" i="14" s="1"/>
  <c r="I2697" i="14" s="1"/>
  <c r="J2860" i="13" a="1"/>
  <c r="J2860" i="13" s="1"/>
  <c r="N2861" i="13"/>
  <c r="M2863" i="13"/>
  <c r="N2860" i="14"/>
  <c r="J2859" i="14" a="1"/>
  <c r="J2859" i="14" s="1"/>
  <c r="M2864" i="14"/>
  <c r="K2697" i="14" l="1"/>
  <c r="L2697" i="14" s="1"/>
  <c r="I2698" i="14" s="1"/>
  <c r="K2675" i="13"/>
  <c r="L2675" i="13" s="1"/>
  <c r="I2676" i="13" s="1"/>
  <c r="M2865" i="14"/>
  <c r="M2864" i="13"/>
  <c r="J2861" i="13" a="1"/>
  <c r="J2861" i="13" s="1"/>
  <c r="N2862" i="13"/>
  <c r="J2860" i="14" a="1"/>
  <c r="J2860" i="14" s="1"/>
  <c r="N2861" i="14"/>
  <c r="K2698" i="14" l="1"/>
  <c r="L2698" i="14" s="1"/>
  <c r="I2699" i="14" s="1"/>
  <c r="M2865" i="13"/>
  <c r="J2861" i="14" a="1"/>
  <c r="J2861" i="14" s="1"/>
  <c r="N2862" i="14"/>
  <c r="K2676" i="13"/>
  <c r="L2676" i="13" s="1"/>
  <c r="I2677" i="13" s="1"/>
  <c r="N2863" i="13"/>
  <c r="J2862" i="13" a="1"/>
  <c r="J2862" i="13" s="1"/>
  <c r="M2866" i="14"/>
  <c r="K2699" i="14" l="1"/>
  <c r="L2699" i="14" s="1"/>
  <c r="I2700" i="14" s="1"/>
  <c r="K2677" i="13"/>
  <c r="L2677" i="13" s="1"/>
  <c r="I2678" i="13" s="1"/>
  <c r="N2863" i="14"/>
  <c r="J2862" i="14" a="1"/>
  <c r="J2862" i="14" s="1"/>
  <c r="M2866" i="13"/>
  <c r="J2863" i="13" a="1"/>
  <c r="J2863" i="13" s="1"/>
  <c r="N2864" i="13"/>
  <c r="M2867" i="14"/>
  <c r="K2678" i="13" l="1"/>
  <c r="L2678" i="13" s="1"/>
  <c r="I2679" i="13" s="1"/>
  <c r="K2700" i="14"/>
  <c r="L2700" i="14" s="1"/>
  <c r="I2701" i="14" s="1"/>
  <c r="J2864" i="13" a="1"/>
  <c r="J2864" i="13" s="1"/>
  <c r="N2865" i="13"/>
  <c r="M2868" i="14"/>
  <c r="M2867" i="13"/>
  <c r="N2864" i="14"/>
  <c r="J2863" i="14" a="1"/>
  <c r="J2863" i="14" s="1"/>
  <c r="K2679" i="13" l="1"/>
  <c r="L2679" i="13" s="1"/>
  <c r="I2680" i="13" s="1"/>
  <c r="J2864" i="14" a="1"/>
  <c r="J2864" i="14" s="1"/>
  <c r="N2865" i="14"/>
  <c r="K2701" i="14"/>
  <c r="L2701" i="14" s="1"/>
  <c r="I2702" i="14" s="1"/>
  <c r="J2865" i="13" a="1"/>
  <c r="J2865" i="13" s="1"/>
  <c r="N2866" i="13"/>
  <c r="M2869" i="14"/>
  <c r="M2868" i="13"/>
  <c r="K2702" i="14" l="1"/>
  <c r="L2702" i="14" s="1"/>
  <c r="I2703" i="14" s="1"/>
  <c r="K2680" i="13"/>
  <c r="L2680" i="13" s="1"/>
  <c r="I2681" i="13" s="1"/>
  <c r="N2867" i="13"/>
  <c r="J2866" i="13" a="1"/>
  <c r="J2866" i="13" s="1"/>
  <c r="J2865" i="14" a="1"/>
  <c r="J2865" i="14" s="1"/>
  <c r="N2866" i="14"/>
  <c r="M2869" i="13"/>
  <c r="M2870" i="14"/>
  <c r="K2703" i="14" l="1"/>
  <c r="L2703" i="14" s="1"/>
  <c r="I2704" i="14" s="1"/>
  <c r="N2867" i="14"/>
  <c r="J2866" i="14" a="1"/>
  <c r="J2866" i="14" s="1"/>
  <c r="K2681" i="13"/>
  <c r="L2681" i="13" s="1"/>
  <c r="I2682" i="13" s="1"/>
  <c r="M2870" i="13"/>
  <c r="M2871" i="14"/>
  <c r="J2867" i="13" a="1"/>
  <c r="J2867" i="13" s="1"/>
  <c r="N2868" i="13"/>
  <c r="K2682" i="13" l="1"/>
  <c r="L2682" i="13" s="1"/>
  <c r="I2683" i="13" s="1"/>
  <c r="K2704" i="14"/>
  <c r="L2704" i="14" s="1"/>
  <c r="I2705" i="14" s="1"/>
  <c r="J2868" i="13" a="1"/>
  <c r="J2868" i="13" s="1"/>
  <c r="N2869" i="13"/>
  <c r="N2868" i="14"/>
  <c r="J2867" i="14" a="1"/>
  <c r="J2867" i="14" s="1"/>
  <c r="M2871" i="13"/>
  <c r="M2872" i="14"/>
  <c r="K2705" i="14" l="1"/>
  <c r="L2705" i="14" s="1"/>
  <c r="I2706" i="14" s="1"/>
  <c r="K2683" i="13"/>
  <c r="L2683" i="13" s="1"/>
  <c r="I2684" i="13" s="1"/>
  <c r="J2868" i="14" a="1"/>
  <c r="J2868" i="14" s="1"/>
  <c r="N2869" i="14"/>
  <c r="J2869" i="13" a="1"/>
  <c r="J2869" i="13" s="1"/>
  <c r="N2870" i="13"/>
  <c r="M2873" i="14"/>
  <c r="M2872" i="13"/>
  <c r="K2684" i="13" l="1"/>
  <c r="L2684" i="13" s="1"/>
  <c r="I2685" i="13" s="1"/>
  <c r="K2706" i="14"/>
  <c r="L2706" i="14" s="1"/>
  <c r="I2707" i="14" s="1"/>
  <c r="N2871" i="13"/>
  <c r="J2870" i="13" a="1"/>
  <c r="J2870" i="13" s="1"/>
  <c r="J2869" i="14" a="1"/>
  <c r="J2869" i="14" s="1"/>
  <c r="N2870" i="14"/>
  <c r="M2873" i="13"/>
  <c r="M2874" i="14"/>
  <c r="K2707" i="14" l="1"/>
  <c r="L2707" i="14" s="1"/>
  <c r="I2708" i="14" s="1"/>
  <c r="K2685" i="13"/>
  <c r="L2685" i="13" s="1"/>
  <c r="I2686" i="13" s="1"/>
  <c r="N2871" i="14"/>
  <c r="J2870" i="14" a="1"/>
  <c r="J2870" i="14" s="1"/>
  <c r="M2875" i="14"/>
  <c r="M2874" i="13"/>
  <c r="J2871" i="13" a="1"/>
  <c r="J2871" i="13" s="1"/>
  <c r="N2872" i="13"/>
  <c r="K2708" i="14" l="1"/>
  <c r="L2708" i="14" s="1"/>
  <c r="I2709" i="14" s="1"/>
  <c r="J2872" i="13" a="1"/>
  <c r="J2872" i="13" s="1"/>
  <c r="N2873" i="13"/>
  <c r="M2876" i="14"/>
  <c r="K2686" i="13"/>
  <c r="L2686" i="13" s="1"/>
  <c r="I2687" i="13" s="1"/>
  <c r="M2875" i="13"/>
  <c r="N2872" i="14"/>
  <c r="J2871" i="14" a="1"/>
  <c r="J2871" i="14" s="1"/>
  <c r="K2687" i="13" l="1"/>
  <c r="L2687" i="13" s="1"/>
  <c r="I2688" i="13" s="1"/>
  <c r="K2709" i="14"/>
  <c r="L2709" i="14" s="1"/>
  <c r="I2710" i="14" s="1"/>
  <c r="J2873" i="13" a="1"/>
  <c r="J2873" i="13" s="1"/>
  <c r="N2874" i="13"/>
  <c r="J2872" i="14" a="1"/>
  <c r="J2872" i="14" s="1"/>
  <c r="N2873" i="14"/>
  <c r="M2876" i="13"/>
  <c r="M2877" i="14"/>
  <c r="K2710" i="14" l="1"/>
  <c r="L2710" i="14" s="1"/>
  <c r="I2711" i="14" s="1"/>
  <c r="K2688" i="13"/>
  <c r="L2688" i="13" s="1"/>
  <c r="I2689" i="13" s="1"/>
  <c r="J2873" i="14" a="1"/>
  <c r="J2873" i="14" s="1"/>
  <c r="N2874" i="14"/>
  <c r="N2875" i="13"/>
  <c r="J2874" i="13" a="1"/>
  <c r="J2874" i="13" s="1"/>
  <c r="M2878" i="14"/>
  <c r="M2877" i="13"/>
  <c r="K2711" i="14" l="1"/>
  <c r="L2711" i="14" s="1"/>
  <c r="I2712" i="14" s="1"/>
  <c r="K2689" i="13"/>
  <c r="L2689" i="13" s="1"/>
  <c r="I2690" i="13" s="1"/>
  <c r="M2879" i="14"/>
  <c r="M2878" i="13"/>
  <c r="J2875" i="13" a="1"/>
  <c r="J2875" i="13" s="1"/>
  <c r="N2876" i="13"/>
  <c r="N2875" i="14"/>
  <c r="J2874" i="14" a="1"/>
  <c r="J2874" i="14" s="1"/>
  <c r="K2712" i="14" l="1"/>
  <c r="L2712" i="14" s="1"/>
  <c r="I2713" i="14" s="1"/>
  <c r="N2876" i="14"/>
  <c r="J2875" i="14" a="1"/>
  <c r="J2875" i="14" s="1"/>
  <c r="M2879" i="13"/>
  <c r="K2690" i="13"/>
  <c r="L2690" i="13" s="1"/>
  <c r="I2691" i="13" s="1"/>
  <c r="J2876" i="13" a="1"/>
  <c r="J2876" i="13" s="1"/>
  <c r="N2877" i="13"/>
  <c r="M2880" i="14"/>
  <c r="K2691" i="13" l="1"/>
  <c r="L2691" i="13" s="1"/>
  <c r="I2692" i="13" s="1"/>
  <c r="K2713" i="14"/>
  <c r="L2713" i="14" s="1"/>
  <c r="I2714" i="14" s="1"/>
  <c r="J2876" i="14" a="1"/>
  <c r="J2876" i="14" s="1"/>
  <c r="N2877" i="14"/>
  <c r="J2877" i="13" a="1"/>
  <c r="J2877" i="13" s="1"/>
  <c r="N2878" i="13"/>
  <c r="M2881" i="14"/>
  <c r="M2880" i="13"/>
  <c r="K2692" i="13" l="1"/>
  <c r="L2692" i="13" s="1"/>
  <c r="I2693" i="13" s="1"/>
  <c r="M2881" i="13"/>
  <c r="M2882" i="14"/>
  <c r="N2879" i="13"/>
  <c r="J2878" i="13" a="1"/>
  <c r="J2878" i="13" s="1"/>
  <c r="K2714" i="14"/>
  <c r="L2714" i="14" s="1"/>
  <c r="I2715" i="14" s="1"/>
  <c r="J2877" i="14" a="1"/>
  <c r="J2877" i="14" s="1"/>
  <c r="N2878" i="14"/>
  <c r="K2715" i="14" l="1"/>
  <c r="L2715" i="14" s="1"/>
  <c r="I2716" i="14" s="1"/>
  <c r="K2693" i="13"/>
  <c r="L2693" i="13" s="1"/>
  <c r="I2694" i="13" s="1"/>
  <c r="M2882" i="13"/>
  <c r="N2879" i="14"/>
  <c r="J2878" i="14" a="1"/>
  <c r="J2878" i="14" s="1"/>
  <c r="M2883" i="14"/>
  <c r="J2879" i="13" a="1"/>
  <c r="J2879" i="13" s="1"/>
  <c r="N2880" i="13"/>
  <c r="K2694" i="13" l="1"/>
  <c r="L2694" i="13" s="1"/>
  <c r="I2695" i="13" s="1"/>
  <c r="K2716" i="14"/>
  <c r="L2716" i="14" s="1"/>
  <c r="I2717" i="14" s="1"/>
  <c r="N2880" i="14"/>
  <c r="J2879" i="14" a="1"/>
  <c r="J2879" i="14" s="1"/>
  <c r="J2880" i="13" a="1"/>
  <c r="J2880" i="13" s="1"/>
  <c r="N2881" i="13"/>
  <c r="M2884" i="14"/>
  <c r="M2883" i="13"/>
  <c r="K2695" i="13" l="1"/>
  <c r="L2695" i="13" s="1"/>
  <c r="I2696" i="13" s="1"/>
  <c r="M2884" i="13"/>
  <c r="J2881" i="13" a="1"/>
  <c r="J2881" i="13" s="1"/>
  <c r="N2882" i="13"/>
  <c r="K2717" i="14"/>
  <c r="L2717" i="14" s="1"/>
  <c r="I2718" i="14" s="1"/>
  <c r="M2885" i="14"/>
  <c r="J2880" i="14" a="1"/>
  <c r="J2880" i="14" s="1"/>
  <c r="N2881" i="14"/>
  <c r="K2696" i="13" l="1"/>
  <c r="L2696" i="13" s="1"/>
  <c r="I2697" i="13" s="1"/>
  <c r="J2881" i="14" a="1"/>
  <c r="J2881" i="14" s="1"/>
  <c r="N2882" i="14"/>
  <c r="K2718" i="14"/>
  <c r="L2718" i="14" s="1"/>
  <c r="I2719" i="14" s="1"/>
  <c r="M2885" i="13"/>
  <c r="N2883" i="13"/>
  <c r="J2882" i="13" a="1"/>
  <c r="J2882" i="13" s="1"/>
  <c r="M2886" i="14"/>
  <c r="K2719" i="14" l="1"/>
  <c r="L2719" i="14" s="1"/>
  <c r="I2720" i="14" s="1"/>
  <c r="K2697" i="13"/>
  <c r="L2697" i="13" s="1"/>
  <c r="I2698" i="13" s="1"/>
  <c r="M2887" i="14"/>
  <c r="M2886" i="13"/>
  <c r="N2883" i="14"/>
  <c r="J2882" i="14" a="1"/>
  <c r="J2882" i="14" s="1"/>
  <c r="J2883" i="13" a="1"/>
  <c r="J2883" i="13" s="1"/>
  <c r="N2884" i="13"/>
  <c r="K2720" i="14" l="1"/>
  <c r="L2720" i="14" s="1"/>
  <c r="I2721" i="14" s="1"/>
  <c r="J2884" i="13" a="1"/>
  <c r="J2884" i="13" s="1"/>
  <c r="N2885" i="13"/>
  <c r="M2887" i="13"/>
  <c r="K2698" i="13"/>
  <c r="L2698" i="13" s="1"/>
  <c r="I2699" i="13" s="1"/>
  <c r="N2884" i="14"/>
  <c r="J2883" i="14" a="1"/>
  <c r="J2883" i="14" s="1"/>
  <c r="M2888" i="14"/>
  <c r="K2699" i="13" l="1"/>
  <c r="L2699" i="13" s="1"/>
  <c r="I2700" i="13" s="1"/>
  <c r="K2721" i="14"/>
  <c r="L2721" i="14" s="1"/>
  <c r="I2722" i="14" s="1"/>
  <c r="J2885" i="13" a="1"/>
  <c r="J2885" i="13" s="1"/>
  <c r="N2886" i="13"/>
  <c r="M2889" i="14"/>
  <c r="J2884" i="14" a="1"/>
  <c r="J2884" i="14" s="1"/>
  <c r="N2885" i="14"/>
  <c r="M2888" i="13"/>
  <c r="K2722" i="14" l="1"/>
  <c r="L2722" i="14" s="1"/>
  <c r="I2723" i="14" s="1"/>
  <c r="K2700" i="13"/>
  <c r="L2700" i="13" s="1"/>
  <c r="I2701" i="13" s="1"/>
  <c r="J2885" i="14" a="1"/>
  <c r="J2885" i="14" s="1"/>
  <c r="N2886" i="14"/>
  <c r="M2890" i="14"/>
  <c r="M2889" i="13"/>
  <c r="N2887" i="13"/>
  <c r="J2886" i="13" a="1"/>
  <c r="J2886" i="13" s="1"/>
  <c r="K2701" i="13" l="1"/>
  <c r="L2701" i="13" s="1"/>
  <c r="I2702" i="13" s="1"/>
  <c r="M2890" i="13"/>
  <c r="M2891" i="14"/>
  <c r="J2887" i="13" a="1"/>
  <c r="J2887" i="13" s="1"/>
  <c r="N2888" i="13"/>
  <c r="N2887" i="14"/>
  <c r="J2886" i="14" a="1"/>
  <c r="J2886" i="14" s="1"/>
  <c r="K2723" i="14"/>
  <c r="L2723" i="14" s="1"/>
  <c r="I2724" i="14" s="1"/>
  <c r="K2724" i="14" l="1"/>
  <c r="L2724" i="14" s="1"/>
  <c r="I2725" i="14" s="1"/>
  <c r="K2702" i="13"/>
  <c r="L2702" i="13" s="1"/>
  <c r="I2703" i="13" s="1"/>
  <c r="J2888" i="13" a="1"/>
  <c r="J2888" i="13" s="1"/>
  <c r="N2889" i="13"/>
  <c r="M2891" i="13"/>
  <c r="N2888" i="14"/>
  <c r="J2887" i="14" a="1"/>
  <c r="J2887" i="14" s="1"/>
  <c r="M2892" i="14"/>
  <c r="K2703" i="13" l="1"/>
  <c r="L2703" i="13" s="1"/>
  <c r="I2704" i="13" s="1"/>
  <c r="K2725" i="14"/>
  <c r="L2725" i="14" s="1"/>
  <c r="I2726" i="14" s="1"/>
  <c r="J2888" i="14" a="1"/>
  <c r="J2888" i="14" s="1"/>
  <c r="N2889" i="14"/>
  <c r="M2893" i="14"/>
  <c r="M2892" i="13"/>
  <c r="J2889" i="13" a="1"/>
  <c r="J2889" i="13" s="1"/>
  <c r="N2890" i="13"/>
  <c r="K2726" i="14" l="1"/>
  <c r="L2726" i="14" s="1"/>
  <c r="I2727" i="14" s="1"/>
  <c r="K2704" i="13"/>
  <c r="L2704" i="13" s="1"/>
  <c r="I2705" i="13" s="1"/>
  <c r="N2891" i="13"/>
  <c r="J2890" i="13" a="1"/>
  <c r="J2890" i="13" s="1"/>
  <c r="M2894" i="14"/>
  <c r="J2889" i="14" a="1"/>
  <c r="J2889" i="14" s="1"/>
  <c r="N2890" i="14"/>
  <c r="M2893" i="13"/>
  <c r="K2705" i="13" l="1"/>
  <c r="L2705" i="13" s="1"/>
  <c r="I2706" i="13" s="1"/>
  <c r="K2727" i="14"/>
  <c r="L2727" i="14" s="1"/>
  <c r="I2728" i="14" s="1"/>
  <c r="M2894" i="13"/>
  <c r="M2895" i="14"/>
  <c r="N2891" i="14"/>
  <c r="J2890" i="14" a="1"/>
  <c r="J2890" i="14" s="1"/>
  <c r="J2891" i="13" a="1"/>
  <c r="J2891" i="13" s="1"/>
  <c r="N2892" i="13"/>
  <c r="K2728" i="14" l="1"/>
  <c r="L2728" i="14" s="1"/>
  <c r="I2729" i="14" s="1"/>
  <c r="K2706" i="13"/>
  <c r="L2706" i="13" s="1"/>
  <c r="I2707" i="13" s="1"/>
  <c r="J2892" i="13" a="1"/>
  <c r="J2892" i="13" s="1"/>
  <c r="N2893" i="13"/>
  <c r="M2896" i="14"/>
  <c r="N2892" i="14"/>
  <c r="J2891" i="14" a="1"/>
  <c r="J2891" i="14" s="1"/>
  <c r="M2895" i="13"/>
  <c r="K2707" i="13" l="1"/>
  <c r="L2707" i="13" s="1"/>
  <c r="I2708" i="13" s="1"/>
  <c r="K2729" i="14"/>
  <c r="L2729" i="14" s="1"/>
  <c r="I2730" i="14" s="1"/>
  <c r="J2892" i="14" a="1"/>
  <c r="J2892" i="14" s="1"/>
  <c r="N2893" i="14"/>
  <c r="M2896" i="13"/>
  <c r="M2897" i="14"/>
  <c r="J2893" i="13" a="1"/>
  <c r="J2893" i="13" s="1"/>
  <c r="N2894" i="13"/>
  <c r="K2730" i="14" l="1"/>
  <c r="L2730" i="14" s="1"/>
  <c r="I2731" i="14" s="1"/>
  <c r="K2708" i="13"/>
  <c r="L2708" i="13" s="1"/>
  <c r="I2709" i="13" s="1"/>
  <c r="N2895" i="13"/>
  <c r="J2894" i="13" a="1"/>
  <c r="J2894" i="13" s="1"/>
  <c r="M2897" i="13"/>
  <c r="J2893" i="14" a="1"/>
  <c r="J2893" i="14" s="1"/>
  <c r="N2894" i="14"/>
  <c r="M2898" i="14"/>
  <c r="K2709" i="13" l="1"/>
  <c r="L2709" i="13" s="1"/>
  <c r="I2710" i="13" s="1"/>
  <c r="K2731" i="14"/>
  <c r="L2731" i="14" s="1"/>
  <c r="I2732" i="14" s="1"/>
  <c r="M2899" i="14"/>
  <c r="M2898" i="13"/>
  <c r="N2895" i="14"/>
  <c r="J2894" i="14" a="1"/>
  <c r="J2894" i="14" s="1"/>
  <c r="J2895" i="13" a="1"/>
  <c r="J2895" i="13" s="1"/>
  <c r="N2896" i="13"/>
  <c r="K2710" i="13" l="1"/>
  <c r="L2710" i="13" s="1"/>
  <c r="I2711" i="13" s="1"/>
  <c r="J2896" i="13" a="1"/>
  <c r="J2896" i="13" s="1"/>
  <c r="N2897" i="13"/>
  <c r="M2899" i="13"/>
  <c r="K2732" i="14"/>
  <c r="L2732" i="14" s="1"/>
  <c r="I2733" i="14" s="1"/>
  <c r="N2896" i="14"/>
  <c r="J2895" i="14" a="1"/>
  <c r="J2895" i="14" s="1"/>
  <c r="M2900" i="14"/>
  <c r="K2733" i="14" l="1"/>
  <c r="L2733" i="14" s="1"/>
  <c r="I2734" i="14" s="1"/>
  <c r="K2711" i="13"/>
  <c r="L2711" i="13" s="1"/>
  <c r="I2712" i="13" s="1"/>
  <c r="J2897" i="13" a="1"/>
  <c r="J2897" i="13" s="1"/>
  <c r="N2898" i="13"/>
  <c r="M2901" i="14"/>
  <c r="J2896" i="14" a="1"/>
  <c r="J2896" i="14" s="1"/>
  <c r="N2897" i="14"/>
  <c r="M2900" i="13"/>
  <c r="K2712" i="13" l="1"/>
  <c r="L2712" i="13" s="1"/>
  <c r="I2713" i="13" s="1"/>
  <c r="M2901" i="13"/>
  <c r="M2902" i="14"/>
  <c r="J2897" i="14" a="1"/>
  <c r="J2897" i="14" s="1"/>
  <c r="N2898" i="14"/>
  <c r="N2899" i="13"/>
  <c r="J2898" i="13" a="1"/>
  <c r="J2898" i="13" s="1"/>
  <c r="K2734" i="14"/>
  <c r="L2734" i="14" s="1"/>
  <c r="I2735" i="14" s="1"/>
  <c r="K2735" i="14" l="1"/>
  <c r="L2735" i="14" s="1"/>
  <c r="I2736" i="14" s="1"/>
  <c r="K2713" i="13"/>
  <c r="L2713" i="13" s="1"/>
  <c r="I2714" i="13" s="1"/>
  <c r="N2899" i="14"/>
  <c r="J2898" i="14" a="1"/>
  <c r="J2898" i="14" s="1"/>
  <c r="M2902" i="13"/>
  <c r="M2903" i="14"/>
  <c r="J2899" i="13" a="1"/>
  <c r="J2899" i="13" s="1"/>
  <c r="N2900" i="13"/>
  <c r="K2736" i="14" l="1"/>
  <c r="L2736" i="14" s="1"/>
  <c r="I2737" i="14" s="1"/>
  <c r="J2900" i="13" a="1"/>
  <c r="J2900" i="13" s="1"/>
  <c r="N2901" i="13"/>
  <c r="M2903" i="13"/>
  <c r="K2714" i="13"/>
  <c r="L2714" i="13" s="1"/>
  <c r="I2715" i="13" s="1"/>
  <c r="M2904" i="14"/>
  <c r="N2900" i="14"/>
  <c r="J2899" i="14" a="1"/>
  <c r="J2899" i="14" s="1"/>
  <c r="K2737" i="14" l="1"/>
  <c r="L2737" i="14" s="1"/>
  <c r="I2738" i="14" s="1"/>
  <c r="K2715" i="13"/>
  <c r="L2715" i="13" s="1"/>
  <c r="I2716" i="13" s="1"/>
  <c r="J2901" i="13" a="1"/>
  <c r="J2901" i="13" s="1"/>
  <c r="N2902" i="13"/>
  <c r="J2900" i="14" a="1"/>
  <c r="J2900" i="14" s="1"/>
  <c r="N2901" i="14"/>
  <c r="M2905" i="14"/>
  <c r="M2904" i="13"/>
  <c r="K2716" i="13" l="1"/>
  <c r="L2716" i="13" s="1"/>
  <c r="I2717" i="13" s="1"/>
  <c r="K2738" i="14"/>
  <c r="L2738" i="14" s="1"/>
  <c r="I2739" i="14" s="1"/>
  <c r="J2901" i="14" a="1"/>
  <c r="J2901" i="14" s="1"/>
  <c r="N2902" i="14"/>
  <c r="N2903" i="13"/>
  <c r="J2902" i="13" a="1"/>
  <c r="J2902" i="13" s="1"/>
  <c r="M2905" i="13"/>
  <c r="M2906" i="14"/>
  <c r="K2739" i="14" l="1"/>
  <c r="L2739" i="14" s="1"/>
  <c r="I2740" i="14" s="1"/>
  <c r="K2717" i="13"/>
  <c r="L2717" i="13" s="1"/>
  <c r="I2718" i="13" s="1"/>
  <c r="J2903" i="13" a="1"/>
  <c r="J2903" i="13" s="1"/>
  <c r="N2904" i="13"/>
  <c r="M2907" i="14"/>
  <c r="M2906" i="13"/>
  <c r="N2903" i="14"/>
  <c r="J2902" i="14" a="1"/>
  <c r="J2902" i="14" s="1"/>
  <c r="K2740" i="14" l="1"/>
  <c r="L2740" i="14" s="1"/>
  <c r="I2741" i="14" s="1"/>
  <c r="K2718" i="13"/>
  <c r="L2718" i="13" s="1"/>
  <c r="I2719" i="13" s="1"/>
  <c r="M2907" i="13"/>
  <c r="N2904" i="14"/>
  <c r="J2903" i="14" a="1"/>
  <c r="J2903" i="14" s="1"/>
  <c r="M2908" i="14"/>
  <c r="J2904" i="13" a="1"/>
  <c r="J2904" i="13" s="1"/>
  <c r="N2905" i="13"/>
  <c r="K2719" i="13" l="1"/>
  <c r="L2719" i="13" s="1"/>
  <c r="I2720" i="13" s="1"/>
  <c r="K2741" i="14"/>
  <c r="L2741" i="14" s="1"/>
  <c r="I2742" i="14" s="1"/>
  <c r="J2905" i="13" a="1"/>
  <c r="J2905" i="13" s="1"/>
  <c r="N2906" i="13"/>
  <c r="J2904" i="14" a="1"/>
  <c r="J2904" i="14" s="1"/>
  <c r="N2905" i="14"/>
  <c r="M2909" i="14"/>
  <c r="M2908" i="13"/>
  <c r="K2720" i="13" l="1"/>
  <c r="L2720" i="13" s="1"/>
  <c r="I2721" i="13" s="1"/>
  <c r="J2905" i="14" a="1"/>
  <c r="J2905" i="14" s="1"/>
  <c r="N2906" i="14"/>
  <c r="K2742" i="14"/>
  <c r="L2742" i="14" s="1"/>
  <c r="I2743" i="14" s="1"/>
  <c r="N2907" i="13"/>
  <c r="J2906" i="13" a="1"/>
  <c r="J2906" i="13" s="1"/>
  <c r="M2909" i="13"/>
  <c r="M2910" i="14"/>
  <c r="K2743" i="14" l="1"/>
  <c r="L2743" i="14" s="1"/>
  <c r="I2744" i="14" s="1"/>
  <c r="K2721" i="13"/>
  <c r="L2721" i="13" s="1"/>
  <c r="I2722" i="13" s="1"/>
  <c r="N2907" i="14"/>
  <c r="J2906" i="14" a="1"/>
  <c r="J2906" i="14" s="1"/>
  <c r="M2911" i="14"/>
  <c r="J2907" i="13" a="1"/>
  <c r="J2907" i="13" s="1"/>
  <c r="N2908" i="13"/>
  <c r="M2910" i="13"/>
  <c r="K2722" i="13" l="1"/>
  <c r="L2722" i="13" s="1"/>
  <c r="I2723" i="13" s="1"/>
  <c r="K2744" i="14"/>
  <c r="L2744" i="14" s="1"/>
  <c r="I2745" i="14" s="1"/>
  <c r="J2908" i="13" a="1"/>
  <c r="J2908" i="13" s="1"/>
  <c r="N2909" i="13"/>
  <c r="M2911" i="13"/>
  <c r="M2912" i="14"/>
  <c r="N2908" i="14"/>
  <c r="J2907" i="14" a="1"/>
  <c r="J2907" i="14" s="1"/>
  <c r="K2723" i="13" l="1"/>
  <c r="L2723" i="13" s="1"/>
  <c r="I2724" i="13" s="1"/>
  <c r="J2908" i="14" a="1"/>
  <c r="J2908" i="14" s="1"/>
  <c r="N2909" i="14"/>
  <c r="M2912" i="13"/>
  <c r="K2745" i="14"/>
  <c r="L2745" i="14" s="1"/>
  <c r="I2746" i="14" s="1"/>
  <c r="M2913" i="14"/>
  <c r="J2909" i="13" a="1"/>
  <c r="J2909" i="13" s="1"/>
  <c r="N2910" i="13"/>
  <c r="K2746" i="14" l="1"/>
  <c r="L2746" i="14" s="1"/>
  <c r="I2747" i="14" s="1"/>
  <c r="K2724" i="13"/>
  <c r="L2724" i="13" s="1"/>
  <c r="I2725" i="13" s="1"/>
  <c r="J2909" i="14" a="1"/>
  <c r="J2909" i="14" s="1"/>
  <c r="N2910" i="14"/>
  <c r="N2911" i="13"/>
  <c r="J2910" i="13" a="1"/>
  <c r="J2910" i="13" s="1"/>
  <c r="M2914" i="14"/>
  <c r="M2913" i="13"/>
  <c r="K2725" i="13" l="1"/>
  <c r="L2725" i="13" s="1"/>
  <c r="I2726" i="13" s="1"/>
  <c r="K2747" i="14"/>
  <c r="L2747" i="14" s="1"/>
  <c r="I2748" i="14" s="1"/>
  <c r="M2915" i="14"/>
  <c r="M2914" i="13"/>
  <c r="J2911" i="13" a="1"/>
  <c r="J2911" i="13" s="1"/>
  <c r="N2912" i="13"/>
  <c r="N2911" i="14"/>
  <c r="J2910" i="14" a="1"/>
  <c r="J2910" i="14" s="1"/>
  <c r="K2748" i="14" l="1"/>
  <c r="L2748" i="14" s="1"/>
  <c r="I2749" i="14" s="1"/>
  <c r="M2916" i="14"/>
  <c r="N2912" i="14"/>
  <c r="J2911" i="14" a="1"/>
  <c r="J2911" i="14" s="1"/>
  <c r="M2915" i="13"/>
  <c r="J2912" i="13" a="1"/>
  <c r="J2912" i="13" s="1"/>
  <c r="N2913" i="13"/>
  <c r="K2726" i="13"/>
  <c r="L2726" i="13" s="1"/>
  <c r="I2727" i="13" s="1"/>
  <c r="K2727" i="13" l="1"/>
  <c r="L2727" i="13" s="1"/>
  <c r="I2728" i="13" s="1"/>
  <c r="K2749" i="14"/>
  <c r="L2749" i="14" s="1"/>
  <c r="I2750" i="14" s="1"/>
  <c r="J2913" i="13" a="1"/>
  <c r="J2913" i="13" s="1"/>
  <c r="N2914" i="13"/>
  <c r="M2916" i="13"/>
  <c r="M2917" i="14"/>
  <c r="J2912" i="14" a="1"/>
  <c r="J2912" i="14" s="1"/>
  <c r="N2913" i="14"/>
  <c r="K2750" i="14" l="1"/>
  <c r="L2750" i="14" s="1"/>
  <c r="I2751" i="14" s="1"/>
  <c r="K2728" i="13"/>
  <c r="L2728" i="13" s="1"/>
  <c r="I2729" i="13" s="1"/>
  <c r="M2917" i="13"/>
  <c r="N2915" i="13"/>
  <c r="J2914" i="13" a="1"/>
  <c r="J2914" i="13" s="1"/>
  <c r="J2913" i="14" a="1"/>
  <c r="J2913" i="14" s="1"/>
  <c r="N2914" i="14"/>
  <c r="M2918" i="14"/>
  <c r="K2751" i="14" l="1"/>
  <c r="L2751" i="14" s="1"/>
  <c r="I2752" i="14" s="1"/>
  <c r="K2729" i="13"/>
  <c r="L2729" i="13" s="1"/>
  <c r="I2730" i="13" s="1"/>
  <c r="J2915" i="13" a="1"/>
  <c r="J2915" i="13" s="1"/>
  <c r="N2916" i="13"/>
  <c r="N2915" i="14"/>
  <c r="J2914" i="14" a="1"/>
  <c r="J2914" i="14" s="1"/>
  <c r="M2918" i="13"/>
  <c r="M2919" i="14"/>
  <c r="K2752" i="14" l="1"/>
  <c r="L2752" i="14" s="1"/>
  <c r="I2753" i="14" s="1"/>
  <c r="K2730" i="13"/>
  <c r="L2730" i="13" s="1"/>
  <c r="I2731" i="13" s="1"/>
  <c r="J2916" i="13" a="1"/>
  <c r="J2916" i="13" s="1"/>
  <c r="N2917" i="13"/>
  <c r="M2919" i="13"/>
  <c r="M2920" i="14"/>
  <c r="N2916" i="14"/>
  <c r="J2915" i="14" a="1"/>
  <c r="J2915" i="14" s="1"/>
  <c r="K2753" i="14" l="1"/>
  <c r="L2753" i="14" s="1"/>
  <c r="I2754" i="14" s="1"/>
  <c r="J2916" i="14" a="1"/>
  <c r="J2916" i="14" s="1"/>
  <c r="N2917" i="14"/>
  <c r="M2920" i="13"/>
  <c r="K2731" i="13"/>
  <c r="L2731" i="13" s="1"/>
  <c r="I2732" i="13" s="1"/>
  <c r="J2917" i="13" a="1"/>
  <c r="J2917" i="13" s="1"/>
  <c r="N2918" i="13"/>
  <c r="M2921" i="14"/>
  <c r="K2732" i="13" l="1"/>
  <c r="L2732" i="13" s="1"/>
  <c r="I2733" i="13" s="1"/>
  <c r="K2754" i="14"/>
  <c r="L2754" i="14" s="1"/>
  <c r="I2755" i="14" s="1"/>
  <c r="J2917" i="14" a="1"/>
  <c r="J2917" i="14" s="1"/>
  <c r="N2918" i="14"/>
  <c r="N2919" i="13"/>
  <c r="J2918" i="13" a="1"/>
  <c r="J2918" i="13" s="1"/>
  <c r="M2922" i="14"/>
  <c r="M2921" i="13"/>
  <c r="K2733" i="13" l="1"/>
  <c r="L2733" i="13" s="1"/>
  <c r="I2734" i="13" s="1"/>
  <c r="K2755" i="14"/>
  <c r="L2755" i="14" s="1"/>
  <c r="I2756" i="14" s="1"/>
  <c r="M2922" i="13"/>
  <c r="N2919" i="14"/>
  <c r="J2918" i="14" a="1"/>
  <c r="J2918" i="14" s="1"/>
  <c r="J2919" i="13" a="1"/>
  <c r="J2919" i="13" s="1"/>
  <c r="N2920" i="13"/>
  <c r="M2923" i="14"/>
  <c r="K2734" i="13" l="1"/>
  <c r="L2734" i="13" s="1"/>
  <c r="I2735" i="13" s="1"/>
  <c r="M2924" i="14"/>
  <c r="N2920" i="14"/>
  <c r="J2919" i="14" a="1"/>
  <c r="J2919" i="14" s="1"/>
  <c r="K2756" i="14"/>
  <c r="L2756" i="14" s="1"/>
  <c r="I2757" i="14" s="1"/>
  <c r="J2920" i="13" a="1"/>
  <c r="J2920" i="13" s="1"/>
  <c r="N2921" i="13"/>
  <c r="M2923" i="13"/>
  <c r="K2735" i="13" l="1"/>
  <c r="L2735" i="13" s="1"/>
  <c r="I2736" i="13" s="1"/>
  <c r="M2924" i="13"/>
  <c r="K2757" i="14"/>
  <c r="L2757" i="14" s="1"/>
  <c r="I2758" i="14" s="1"/>
  <c r="M2925" i="14"/>
  <c r="J2921" i="13" a="1"/>
  <c r="J2921" i="13" s="1"/>
  <c r="N2922" i="13"/>
  <c r="J2920" i="14" a="1"/>
  <c r="J2920" i="14" s="1"/>
  <c r="N2921" i="14"/>
  <c r="K2736" i="13" l="1"/>
  <c r="L2736" i="13" s="1"/>
  <c r="I2737" i="13" s="1"/>
  <c r="K2758" i="14"/>
  <c r="L2758" i="14" s="1"/>
  <c r="I2759" i="14" s="1"/>
  <c r="N2923" i="13"/>
  <c r="J2922" i="13" a="1"/>
  <c r="J2922" i="13" s="1"/>
  <c r="J2921" i="14" a="1"/>
  <c r="J2921" i="14" s="1"/>
  <c r="N2922" i="14"/>
  <c r="M2926" i="14"/>
  <c r="M2925" i="13"/>
  <c r="K2759" i="14" l="1"/>
  <c r="L2759" i="14" s="1"/>
  <c r="I2760" i="14" s="1"/>
  <c r="K2737" i="13"/>
  <c r="L2737" i="13" s="1"/>
  <c r="I2738" i="13" s="1"/>
  <c r="N2923" i="14"/>
  <c r="J2922" i="14" a="1"/>
  <c r="J2922" i="14" s="1"/>
  <c r="M2926" i="13"/>
  <c r="M2927" i="14"/>
  <c r="J2923" i="13" a="1"/>
  <c r="J2923" i="13" s="1"/>
  <c r="N2924" i="13"/>
  <c r="K2760" i="14" l="1"/>
  <c r="L2760" i="14" s="1"/>
  <c r="I2761" i="14" s="1"/>
  <c r="J2924" i="13" a="1"/>
  <c r="J2924" i="13" s="1"/>
  <c r="N2925" i="13"/>
  <c r="K2738" i="13"/>
  <c r="L2738" i="13" s="1"/>
  <c r="I2739" i="13" s="1"/>
  <c r="M2927" i="13"/>
  <c r="M2928" i="14"/>
  <c r="N2924" i="14"/>
  <c r="J2923" i="14" a="1"/>
  <c r="J2923" i="14" s="1"/>
  <c r="K2761" i="14" l="1"/>
  <c r="L2761" i="14" s="1"/>
  <c r="I2762" i="14" s="1"/>
  <c r="J2925" i="13" a="1"/>
  <c r="J2925" i="13" s="1"/>
  <c r="N2926" i="13"/>
  <c r="J2924" i="14" a="1"/>
  <c r="J2924" i="14" s="1"/>
  <c r="N2925" i="14"/>
  <c r="M2928" i="13"/>
  <c r="M2929" i="14"/>
  <c r="K2739" i="13"/>
  <c r="L2739" i="13" s="1"/>
  <c r="I2740" i="13" s="1"/>
  <c r="K2740" i="13" l="1"/>
  <c r="L2740" i="13" s="1"/>
  <c r="I2741" i="13" s="1"/>
  <c r="K2762" i="14"/>
  <c r="L2762" i="14" s="1"/>
  <c r="I2763" i="14" s="1"/>
  <c r="N2927" i="13"/>
  <c r="J2926" i="13" a="1"/>
  <c r="J2926" i="13" s="1"/>
  <c r="M2929" i="13"/>
  <c r="M2930" i="14"/>
  <c r="J2925" i="14" a="1"/>
  <c r="J2925" i="14" s="1"/>
  <c r="N2926" i="14"/>
  <c r="K2763" i="14" l="1"/>
  <c r="L2763" i="14" s="1"/>
  <c r="I2764" i="14" s="1"/>
  <c r="K2741" i="13"/>
  <c r="L2741" i="13" s="1"/>
  <c r="I2742" i="13" s="1"/>
  <c r="N2927" i="14"/>
  <c r="J2926" i="14" a="1"/>
  <c r="J2926" i="14" s="1"/>
  <c r="M2931" i="14"/>
  <c r="M2930" i="13"/>
  <c r="J2927" i="13" a="1"/>
  <c r="J2927" i="13" s="1"/>
  <c r="N2928" i="13"/>
  <c r="K2742" i="13" l="1"/>
  <c r="L2742" i="13" s="1"/>
  <c r="I2743" i="13" s="1"/>
  <c r="K2764" i="14"/>
  <c r="L2764" i="14" s="1"/>
  <c r="I2765" i="14" s="1"/>
  <c r="J2928" i="13" a="1"/>
  <c r="J2928" i="13" s="1"/>
  <c r="N2929" i="13"/>
  <c r="M2932" i="14"/>
  <c r="M2931" i="13"/>
  <c r="N2928" i="14"/>
  <c r="J2927" i="14" a="1"/>
  <c r="J2927" i="14" s="1"/>
  <c r="K2743" i="13" l="1"/>
  <c r="L2743" i="13" s="1"/>
  <c r="I2744" i="13" s="1"/>
  <c r="K2765" i="14"/>
  <c r="L2765" i="14" s="1"/>
  <c r="I2766" i="14" s="1"/>
  <c r="J2928" i="14" a="1"/>
  <c r="J2928" i="14" s="1"/>
  <c r="N2929" i="14"/>
  <c r="M2933" i="14"/>
  <c r="J2929" i="13" a="1"/>
  <c r="J2929" i="13" s="1"/>
  <c r="N2930" i="13"/>
  <c r="M2932" i="13"/>
  <c r="K2766" i="14" l="1"/>
  <c r="L2766" i="14" s="1"/>
  <c r="I2767" i="14" s="1"/>
  <c r="M2933" i="13"/>
  <c r="M2934" i="14"/>
  <c r="N2931" i="13"/>
  <c r="J2930" i="13" a="1"/>
  <c r="J2930" i="13" s="1"/>
  <c r="J2929" i="14" a="1"/>
  <c r="J2929" i="14" s="1"/>
  <c r="N2930" i="14"/>
  <c r="K2744" i="13"/>
  <c r="L2744" i="13" s="1"/>
  <c r="I2745" i="13" s="1"/>
  <c r="K2767" i="14" l="1"/>
  <c r="L2767" i="14" s="1"/>
  <c r="I2768" i="14" s="1"/>
  <c r="K2745" i="13"/>
  <c r="L2745" i="13" s="1"/>
  <c r="I2746" i="13" s="1"/>
  <c r="M2934" i="13"/>
  <c r="J2931" i="13" a="1"/>
  <c r="J2931" i="13" s="1"/>
  <c r="N2932" i="13"/>
  <c r="N2931" i="14"/>
  <c r="J2930" i="14" a="1"/>
  <c r="J2930" i="14" s="1"/>
  <c r="M2935" i="14"/>
  <c r="K2746" i="13" l="1"/>
  <c r="L2746" i="13" s="1"/>
  <c r="I2747" i="13" s="1"/>
  <c r="K2768" i="14"/>
  <c r="L2768" i="14" s="1"/>
  <c r="I2769" i="14" s="1"/>
  <c r="M2936" i="14"/>
  <c r="J2932" i="13" a="1"/>
  <c r="J2932" i="13" s="1"/>
  <c r="N2933" i="13"/>
  <c r="N2932" i="14"/>
  <c r="J2931" i="14" a="1"/>
  <c r="J2931" i="14" s="1"/>
  <c r="M2935" i="13"/>
  <c r="K2769" i="14" l="1"/>
  <c r="L2769" i="14" s="1"/>
  <c r="I2770" i="14" s="1"/>
  <c r="K2747" i="13"/>
  <c r="L2747" i="13" s="1"/>
  <c r="I2748" i="13" s="1"/>
  <c r="J2933" i="13" a="1"/>
  <c r="J2933" i="13" s="1"/>
  <c r="N2934" i="13"/>
  <c r="M2936" i="13"/>
  <c r="J2932" i="14" a="1"/>
  <c r="J2932" i="14" s="1"/>
  <c r="N2933" i="14"/>
  <c r="M2937" i="14"/>
  <c r="K2770" i="14" l="1"/>
  <c r="L2770" i="14" s="1"/>
  <c r="I2771" i="14" s="1"/>
  <c r="M2938" i="14"/>
  <c r="M2937" i="13"/>
  <c r="K2748" i="13"/>
  <c r="L2748" i="13" s="1"/>
  <c r="I2749" i="13" s="1"/>
  <c r="N2935" i="13"/>
  <c r="J2934" i="13" a="1"/>
  <c r="J2934" i="13" s="1"/>
  <c r="J2933" i="14" a="1"/>
  <c r="J2933" i="14" s="1"/>
  <c r="N2934" i="14"/>
  <c r="K2771" i="14" l="1"/>
  <c r="L2771" i="14" s="1"/>
  <c r="I2772" i="14" s="1"/>
  <c r="N2935" i="14"/>
  <c r="J2934" i="14" a="1"/>
  <c r="J2934" i="14" s="1"/>
  <c r="M2939" i="14"/>
  <c r="K2749" i="13"/>
  <c r="L2749" i="13" s="1"/>
  <c r="I2750" i="13" s="1"/>
  <c r="M2938" i="13"/>
  <c r="J2935" i="13" a="1"/>
  <c r="J2935" i="13" s="1"/>
  <c r="N2936" i="13"/>
  <c r="K2750" i="13" l="1"/>
  <c r="L2750" i="13" s="1"/>
  <c r="I2751" i="13" s="1"/>
  <c r="K2772" i="14"/>
  <c r="L2772" i="14" s="1"/>
  <c r="I2773" i="14" s="1"/>
  <c r="J2936" i="13" a="1"/>
  <c r="J2936" i="13" s="1"/>
  <c r="N2937" i="13"/>
  <c r="N2936" i="14"/>
  <c r="J2935" i="14" a="1"/>
  <c r="J2935" i="14" s="1"/>
  <c r="M2939" i="13"/>
  <c r="M2940" i="14"/>
  <c r="K2751" i="13" l="1"/>
  <c r="L2751" i="13" s="1"/>
  <c r="I2752" i="13" s="1"/>
  <c r="K2773" i="14"/>
  <c r="L2773" i="14" s="1"/>
  <c r="I2774" i="14" s="1"/>
  <c r="J2936" i="14" a="1"/>
  <c r="J2936" i="14" s="1"/>
  <c r="N2937" i="14"/>
  <c r="M2941" i="14"/>
  <c r="J2937" i="13" a="1"/>
  <c r="J2937" i="13" s="1"/>
  <c r="N2938" i="13"/>
  <c r="M2940" i="13"/>
  <c r="K2774" i="14" l="1"/>
  <c r="L2774" i="14" s="1"/>
  <c r="I2775" i="14" s="1"/>
  <c r="K2752" i="13"/>
  <c r="L2752" i="13" s="1"/>
  <c r="I2753" i="13" s="1"/>
  <c r="M2941" i="13"/>
  <c r="M2942" i="14"/>
  <c r="J2937" i="14" a="1"/>
  <c r="J2937" i="14" s="1"/>
  <c r="N2938" i="14"/>
  <c r="N2939" i="13"/>
  <c r="J2938" i="13" a="1"/>
  <c r="J2938" i="13" s="1"/>
  <c r="K2753" i="13" l="1"/>
  <c r="L2753" i="13" s="1"/>
  <c r="I2754" i="13" s="1"/>
  <c r="M2943" i="14"/>
  <c r="J2939" i="13" a="1"/>
  <c r="J2939" i="13" s="1"/>
  <c r="N2940" i="13"/>
  <c r="N2939" i="14"/>
  <c r="J2938" i="14" a="1"/>
  <c r="J2938" i="14" s="1"/>
  <c r="M2942" i="13"/>
  <c r="K2775" i="14"/>
  <c r="L2775" i="14" s="1"/>
  <c r="I2776" i="14" s="1"/>
  <c r="K2776" i="14" l="1"/>
  <c r="L2776" i="14" s="1"/>
  <c r="I2777" i="14" s="1"/>
  <c r="K2754" i="13"/>
  <c r="L2754" i="13" s="1"/>
  <c r="I2755" i="13" s="1"/>
  <c r="N2940" i="14"/>
  <c r="J2939" i="14" a="1"/>
  <c r="J2939" i="14" s="1"/>
  <c r="M2944" i="14"/>
  <c r="J2940" i="13" a="1"/>
  <c r="J2940" i="13" s="1"/>
  <c r="N2941" i="13"/>
  <c r="M2943" i="13"/>
  <c r="K2777" i="14" l="1"/>
  <c r="L2777" i="14" s="1"/>
  <c r="I2778" i="14" s="1"/>
  <c r="J2941" i="13" a="1"/>
  <c r="J2941" i="13" s="1"/>
  <c r="N2942" i="13"/>
  <c r="M2944" i="13"/>
  <c r="M2945" i="14"/>
  <c r="K2755" i="13"/>
  <c r="L2755" i="13" s="1"/>
  <c r="I2756" i="13" s="1"/>
  <c r="J2940" i="14" a="1"/>
  <c r="J2940" i="14" s="1"/>
  <c r="N2941" i="14"/>
  <c r="K2756" i="13" l="1"/>
  <c r="L2756" i="13" s="1"/>
  <c r="I2757" i="13" s="1"/>
  <c r="K2778" i="14"/>
  <c r="L2778" i="14" s="1"/>
  <c r="I2779" i="14" s="1"/>
  <c r="J2941" i="14" a="1"/>
  <c r="J2941" i="14" s="1"/>
  <c r="N2942" i="14"/>
  <c r="M2946" i="14"/>
  <c r="N2943" i="13"/>
  <c r="J2942" i="13" a="1"/>
  <c r="J2942" i="13" s="1"/>
  <c r="M2945" i="13"/>
  <c r="K2779" i="14" l="1"/>
  <c r="L2779" i="14" s="1"/>
  <c r="I2780" i="14" s="1"/>
  <c r="J2943" i="13" a="1"/>
  <c r="J2943" i="13" s="1"/>
  <c r="N2944" i="13"/>
  <c r="M2946" i="13"/>
  <c r="M2947" i="14"/>
  <c r="N2943" i="14"/>
  <c r="J2942" i="14" a="1"/>
  <c r="J2942" i="14" s="1"/>
  <c r="K2757" i="13"/>
  <c r="L2757" i="13" s="1"/>
  <c r="I2758" i="13" s="1"/>
  <c r="K2758" i="13" l="1"/>
  <c r="L2758" i="13" s="1"/>
  <c r="I2759" i="13" s="1"/>
  <c r="J2944" i="13" a="1"/>
  <c r="J2944" i="13" s="1"/>
  <c r="N2945" i="13"/>
  <c r="M2948" i="14"/>
  <c r="N2944" i="14"/>
  <c r="J2943" i="14" a="1"/>
  <c r="J2943" i="14" s="1"/>
  <c r="M2947" i="13"/>
  <c r="K2780" i="14"/>
  <c r="L2780" i="14" s="1"/>
  <c r="I2781" i="14" s="1"/>
  <c r="K2781" i="14" l="1"/>
  <c r="L2781" i="14" s="1"/>
  <c r="I2782" i="14" s="1"/>
  <c r="K2759" i="13"/>
  <c r="L2759" i="13" s="1"/>
  <c r="I2760" i="13" s="1"/>
  <c r="J2945" i="13" a="1"/>
  <c r="J2945" i="13" s="1"/>
  <c r="N2946" i="13"/>
  <c r="J2944" i="14" a="1"/>
  <c r="J2944" i="14" s="1"/>
  <c r="N2945" i="14"/>
  <c r="M2948" i="13"/>
  <c r="M2949" i="14"/>
  <c r="K2782" i="14" l="1"/>
  <c r="L2782" i="14" s="1"/>
  <c r="I2783" i="14" s="1"/>
  <c r="J2945" i="14" a="1"/>
  <c r="J2945" i="14" s="1"/>
  <c r="N2946" i="14"/>
  <c r="K2760" i="13"/>
  <c r="L2760" i="13" s="1"/>
  <c r="I2761" i="13" s="1"/>
  <c r="N2947" i="13"/>
  <c r="J2946" i="13" a="1"/>
  <c r="J2946" i="13" s="1"/>
  <c r="M2950" i="14"/>
  <c r="M2949" i="13"/>
  <c r="K2761" i="13" l="1"/>
  <c r="L2761" i="13" s="1"/>
  <c r="I2762" i="13" s="1"/>
  <c r="K2783" i="14"/>
  <c r="L2783" i="14" s="1"/>
  <c r="I2784" i="14" s="1"/>
  <c r="N2947" i="14"/>
  <c r="J2946" i="14" a="1"/>
  <c r="J2946" i="14" s="1"/>
  <c r="J2947" i="13" a="1"/>
  <c r="J2947" i="13" s="1"/>
  <c r="N2948" i="13"/>
  <c r="M2951" i="14"/>
  <c r="M2950" i="13"/>
  <c r="K2762" i="13" l="1"/>
  <c r="L2762" i="13" s="1"/>
  <c r="I2763" i="13" s="1"/>
  <c r="K2784" i="14"/>
  <c r="L2784" i="14" s="1"/>
  <c r="I2785" i="14" s="1"/>
  <c r="J2948" i="13" a="1"/>
  <c r="J2948" i="13" s="1"/>
  <c r="N2949" i="13"/>
  <c r="M2951" i="13"/>
  <c r="M2952" i="14"/>
  <c r="N2948" i="14"/>
  <c r="J2947" i="14" a="1"/>
  <c r="J2947" i="14" s="1"/>
  <c r="K2785" i="14" l="1"/>
  <c r="L2785" i="14" s="1"/>
  <c r="I2786" i="14" s="1"/>
  <c r="K2763" i="13"/>
  <c r="L2763" i="13" s="1"/>
  <c r="I2764" i="13" s="1"/>
  <c r="J2948" i="14" a="1"/>
  <c r="J2948" i="14" s="1"/>
  <c r="N2949" i="14"/>
  <c r="M2952" i="13"/>
  <c r="J2949" i="13" a="1"/>
  <c r="J2949" i="13" s="1"/>
  <c r="N2950" i="13"/>
  <c r="M2953" i="14"/>
  <c r="M2954" i="14" l="1"/>
  <c r="M2953" i="13"/>
  <c r="K2764" i="13"/>
  <c r="L2764" i="13" s="1"/>
  <c r="I2765" i="13" s="1"/>
  <c r="N2951" i="13"/>
  <c r="J2950" i="13" a="1"/>
  <c r="J2950" i="13" s="1"/>
  <c r="J2949" i="14" a="1"/>
  <c r="J2949" i="14" s="1"/>
  <c r="N2950" i="14"/>
  <c r="K2786" i="14"/>
  <c r="L2786" i="14" s="1"/>
  <c r="I2787" i="14" s="1"/>
  <c r="K2765" i="13" l="1"/>
  <c r="L2765" i="13" s="1"/>
  <c r="I2766" i="13" s="1"/>
  <c r="K2787" i="14"/>
  <c r="L2787" i="14" s="1"/>
  <c r="I2788" i="14" s="1"/>
  <c r="M2954" i="13"/>
  <c r="J2951" i="13" a="1"/>
  <c r="J2951" i="13" s="1"/>
  <c r="N2952" i="13"/>
  <c r="M2955" i="14"/>
  <c r="N2951" i="14"/>
  <c r="J2950" i="14" a="1"/>
  <c r="J2950" i="14" s="1"/>
  <c r="K2788" i="14" l="1"/>
  <c r="L2788" i="14" s="1"/>
  <c r="I2789" i="14" s="1"/>
  <c r="K2766" i="13"/>
  <c r="L2766" i="13" s="1"/>
  <c r="I2767" i="13" s="1"/>
  <c r="J2952" i="13" a="1"/>
  <c r="J2952" i="13" s="1"/>
  <c r="N2953" i="13"/>
  <c r="N2952" i="14"/>
  <c r="J2951" i="14" a="1"/>
  <c r="J2951" i="14" s="1"/>
  <c r="M2956" i="14"/>
  <c r="M2955" i="13"/>
  <c r="K2789" i="14" l="1"/>
  <c r="L2789" i="14" s="1"/>
  <c r="I2790" i="14" s="1"/>
  <c r="M2957" i="14"/>
  <c r="M2956" i="13"/>
  <c r="K2767" i="13"/>
  <c r="L2767" i="13" s="1"/>
  <c r="I2768" i="13" s="1"/>
  <c r="J2952" i="14" a="1"/>
  <c r="J2952" i="14" s="1"/>
  <c r="N2953" i="14"/>
  <c r="J2953" i="13" a="1"/>
  <c r="J2953" i="13" s="1"/>
  <c r="N2954" i="13"/>
  <c r="K2790" i="14" l="1"/>
  <c r="L2790" i="14" s="1"/>
  <c r="I2791" i="14" s="1"/>
  <c r="N2955" i="13"/>
  <c r="J2954" i="13" a="1"/>
  <c r="J2954" i="13" s="1"/>
  <c r="K2768" i="13"/>
  <c r="L2768" i="13" s="1"/>
  <c r="I2769" i="13" s="1"/>
  <c r="M2958" i="14"/>
  <c r="J2953" i="14" a="1"/>
  <c r="J2953" i="14" s="1"/>
  <c r="N2954" i="14"/>
  <c r="M2957" i="13"/>
  <c r="K2769" i="13" l="1"/>
  <c r="L2769" i="13" s="1"/>
  <c r="I2770" i="13" s="1"/>
  <c r="K2791" i="14"/>
  <c r="L2791" i="14" s="1"/>
  <c r="I2792" i="14" s="1"/>
  <c r="M2958" i="13"/>
  <c r="M2959" i="14"/>
  <c r="J2955" i="13" a="1"/>
  <c r="J2955" i="13" s="1"/>
  <c r="N2956" i="13"/>
  <c r="N2955" i="14"/>
  <c r="J2954" i="14" a="1"/>
  <c r="J2954" i="14" s="1"/>
  <c r="K2792" i="14" l="1"/>
  <c r="L2792" i="14" s="1"/>
  <c r="I2793" i="14" s="1"/>
  <c r="K2770" i="13"/>
  <c r="L2770" i="13" s="1"/>
  <c r="I2771" i="13" s="1"/>
  <c r="N2956" i="14"/>
  <c r="J2955" i="14" a="1"/>
  <c r="J2955" i="14" s="1"/>
  <c r="M2960" i="14"/>
  <c r="J2956" i="13" a="1"/>
  <c r="J2956" i="13" s="1"/>
  <c r="N2957" i="13"/>
  <c r="M2959" i="13"/>
  <c r="K2793" i="14" l="1"/>
  <c r="L2793" i="14" s="1"/>
  <c r="I2794" i="14" s="1"/>
  <c r="K2771" i="13"/>
  <c r="L2771" i="13" s="1"/>
  <c r="I2772" i="13" s="1"/>
  <c r="J2957" i="13" a="1"/>
  <c r="J2957" i="13" s="1"/>
  <c r="N2958" i="13"/>
  <c r="M2960" i="13"/>
  <c r="M2961" i="14"/>
  <c r="J2956" i="14" a="1"/>
  <c r="J2956" i="14" s="1"/>
  <c r="N2957" i="14"/>
  <c r="K2772" i="13" l="1"/>
  <c r="L2772" i="13" s="1"/>
  <c r="I2773" i="13" s="1"/>
  <c r="J2957" i="14" a="1"/>
  <c r="J2957" i="14" s="1"/>
  <c r="N2958" i="14"/>
  <c r="M2961" i="13"/>
  <c r="M2962" i="14"/>
  <c r="N2959" i="13"/>
  <c r="J2958" i="13" a="1"/>
  <c r="J2958" i="13" s="1"/>
  <c r="K2794" i="14"/>
  <c r="L2794" i="14" s="1"/>
  <c r="I2795" i="14" s="1"/>
  <c r="K2795" i="14" l="1"/>
  <c r="L2795" i="14" s="1"/>
  <c r="I2796" i="14" s="1"/>
  <c r="K2773" i="13"/>
  <c r="L2773" i="13" s="1"/>
  <c r="I2774" i="13" s="1"/>
  <c r="M2963" i="14"/>
  <c r="N2959" i="14"/>
  <c r="J2958" i="14" a="1"/>
  <c r="J2958" i="14" s="1"/>
  <c r="M2962" i="13"/>
  <c r="J2959" i="13" a="1"/>
  <c r="J2959" i="13" s="1"/>
  <c r="N2960" i="13"/>
  <c r="K2796" i="14" l="1"/>
  <c r="L2796" i="14" s="1"/>
  <c r="I2797" i="14" s="1"/>
  <c r="J2960" i="13" a="1"/>
  <c r="J2960" i="13" s="1"/>
  <c r="N2961" i="13"/>
  <c r="K2774" i="13"/>
  <c r="L2774" i="13" s="1"/>
  <c r="I2775" i="13" s="1"/>
  <c r="N2960" i="14"/>
  <c r="J2959" i="14" a="1"/>
  <c r="J2959" i="14" s="1"/>
  <c r="M2963" i="13"/>
  <c r="M2964" i="14"/>
  <c r="K2775" i="13" l="1"/>
  <c r="L2775" i="13" s="1"/>
  <c r="I2776" i="13" s="1"/>
  <c r="K2797" i="14"/>
  <c r="L2797" i="14" s="1"/>
  <c r="I2798" i="14" s="1"/>
  <c r="J2961" i="13" a="1"/>
  <c r="J2961" i="13" s="1"/>
  <c r="N2962" i="13"/>
  <c r="J2960" i="14" a="1"/>
  <c r="J2960" i="14" s="1"/>
  <c r="N2961" i="14"/>
  <c r="M2965" i="14"/>
  <c r="M2964" i="13"/>
  <c r="K2776" i="13" l="1"/>
  <c r="L2776" i="13" s="1"/>
  <c r="I2777" i="13" s="1"/>
  <c r="M2966" i="14"/>
  <c r="J2961" i="14" a="1"/>
  <c r="J2961" i="14" s="1"/>
  <c r="N2962" i="14"/>
  <c r="K2798" i="14"/>
  <c r="L2798" i="14" s="1"/>
  <c r="I2799" i="14" s="1"/>
  <c r="N2963" i="13"/>
  <c r="J2962" i="13" a="1"/>
  <c r="J2962" i="13" s="1"/>
  <c r="M2965" i="13"/>
  <c r="K2777" i="13" l="1"/>
  <c r="L2777" i="13" s="1"/>
  <c r="I2778" i="13" s="1"/>
  <c r="J2963" i="13" a="1"/>
  <c r="J2963" i="13" s="1"/>
  <c r="N2964" i="13"/>
  <c r="M2966" i="13"/>
  <c r="M2967" i="14"/>
  <c r="K2799" i="14"/>
  <c r="L2799" i="14" s="1"/>
  <c r="I2800" i="14" s="1"/>
  <c r="N2963" i="14"/>
  <c r="J2962" i="14" a="1"/>
  <c r="J2962" i="14" s="1"/>
  <c r="K2800" i="14" l="1"/>
  <c r="L2800" i="14" s="1"/>
  <c r="I2801" i="14" s="1"/>
  <c r="K2778" i="13"/>
  <c r="L2778" i="13" s="1"/>
  <c r="I2779" i="13" s="1"/>
  <c r="J2964" i="13" a="1"/>
  <c r="J2964" i="13" s="1"/>
  <c r="N2965" i="13"/>
  <c r="N2964" i="14"/>
  <c r="J2963" i="14" a="1"/>
  <c r="J2963" i="14" s="1"/>
  <c r="M2968" i="14"/>
  <c r="M2967" i="13"/>
  <c r="K2801" i="14" l="1"/>
  <c r="L2801" i="14" s="1"/>
  <c r="I2802" i="14" s="1"/>
  <c r="K2779" i="13"/>
  <c r="L2779" i="13" s="1"/>
  <c r="I2780" i="13" s="1"/>
  <c r="J2964" i="14" a="1"/>
  <c r="J2964" i="14" s="1"/>
  <c r="N2965" i="14"/>
  <c r="M2968" i="13"/>
  <c r="J2965" i="13" a="1"/>
  <c r="J2965" i="13" s="1"/>
  <c r="N2966" i="13"/>
  <c r="M2969" i="14"/>
  <c r="K2802" i="14" l="1"/>
  <c r="L2802" i="14" s="1"/>
  <c r="I2803" i="14" s="1"/>
  <c r="M2970" i="14"/>
  <c r="M2969" i="13"/>
  <c r="K2780" i="13"/>
  <c r="L2780" i="13" s="1"/>
  <c r="I2781" i="13" s="1"/>
  <c r="J2965" i="14" a="1"/>
  <c r="J2965" i="14" s="1"/>
  <c r="N2966" i="14"/>
  <c r="N2967" i="13"/>
  <c r="J2966" i="13" a="1"/>
  <c r="J2966" i="13" s="1"/>
  <c r="K2803" i="14" l="1"/>
  <c r="L2803" i="14" s="1"/>
  <c r="I2804" i="14" s="1"/>
  <c r="K2781" i="13"/>
  <c r="L2781" i="13" s="1"/>
  <c r="I2782" i="13" s="1"/>
  <c r="M2971" i="14"/>
  <c r="N2967" i="14"/>
  <c r="J2966" i="14" a="1"/>
  <c r="J2966" i="14" s="1"/>
  <c r="J2967" i="13" a="1"/>
  <c r="J2967" i="13" s="1"/>
  <c r="N2968" i="13"/>
  <c r="M2970" i="13"/>
  <c r="K2782" i="13" l="1"/>
  <c r="L2782" i="13" s="1"/>
  <c r="I2783" i="13" s="1"/>
  <c r="K2804" i="14"/>
  <c r="L2804" i="14" s="1"/>
  <c r="I2805" i="14" s="1"/>
  <c r="M2971" i="13"/>
  <c r="N2968" i="14"/>
  <c r="J2967" i="14" a="1"/>
  <c r="J2967" i="14" s="1"/>
  <c r="J2968" i="13" a="1"/>
  <c r="J2968" i="13" s="1"/>
  <c r="N2969" i="13"/>
  <c r="M2972" i="14"/>
  <c r="K2805" i="14" l="1"/>
  <c r="L2805" i="14" s="1"/>
  <c r="I2806" i="14" s="1"/>
  <c r="K2783" i="13"/>
  <c r="L2783" i="13" s="1"/>
  <c r="I2784" i="13" s="1"/>
  <c r="J2968" i="14" a="1"/>
  <c r="J2968" i="14" s="1"/>
  <c r="N2969" i="14"/>
  <c r="J2969" i="13" a="1"/>
  <c r="J2969" i="13" s="1"/>
  <c r="N2970" i="13"/>
  <c r="M2973" i="14"/>
  <c r="M2972" i="13"/>
  <c r="K2784" i="13" l="1"/>
  <c r="L2784" i="13" s="1"/>
  <c r="I2785" i="13" s="1"/>
  <c r="K2806" i="14"/>
  <c r="L2806" i="14" s="1"/>
  <c r="I2807" i="14" s="1"/>
  <c r="N2971" i="13"/>
  <c r="J2970" i="13" a="1"/>
  <c r="J2970" i="13" s="1"/>
  <c r="J2969" i="14" a="1"/>
  <c r="J2969" i="14" s="1"/>
  <c r="N2970" i="14"/>
  <c r="M2973" i="13"/>
  <c r="M2974" i="14"/>
  <c r="K2807" i="14" l="1"/>
  <c r="L2807" i="14" s="1"/>
  <c r="I2808" i="14" s="1"/>
  <c r="K2785" i="13"/>
  <c r="L2785" i="13" s="1"/>
  <c r="I2786" i="13" s="1"/>
  <c r="N2971" i="14"/>
  <c r="J2970" i="14" a="1"/>
  <c r="J2970" i="14" s="1"/>
  <c r="M2975" i="14"/>
  <c r="M2974" i="13"/>
  <c r="J2971" i="13" a="1"/>
  <c r="J2971" i="13" s="1"/>
  <c r="N2972" i="13"/>
  <c r="K2786" i="13" l="1"/>
  <c r="L2786" i="13" s="1"/>
  <c r="I2787" i="13" s="1"/>
  <c r="J2972" i="13" a="1"/>
  <c r="J2972" i="13" s="1"/>
  <c r="N2973" i="13"/>
  <c r="M2976" i="14"/>
  <c r="M2975" i="13"/>
  <c r="N2972" i="14"/>
  <c r="J2971" i="14" a="1"/>
  <c r="J2971" i="14" s="1"/>
  <c r="K2808" i="14"/>
  <c r="L2808" i="14" s="1"/>
  <c r="I2809" i="14" s="1"/>
  <c r="K2809" i="14" l="1"/>
  <c r="L2809" i="14" s="1"/>
  <c r="I2810" i="14" s="1"/>
  <c r="K2787" i="13"/>
  <c r="L2787" i="13" s="1"/>
  <c r="I2788" i="13" s="1"/>
  <c r="J2973" i="13" a="1"/>
  <c r="J2973" i="13" s="1"/>
  <c r="N2974" i="13"/>
  <c r="M2976" i="13"/>
  <c r="J2972" i="14" a="1"/>
  <c r="J2972" i="14" s="1"/>
  <c r="N2973" i="14"/>
  <c r="M2977" i="14"/>
  <c r="K2810" i="14" l="1"/>
  <c r="L2810" i="14" s="1"/>
  <c r="I2811" i="14" s="1"/>
  <c r="M2978" i="14"/>
  <c r="N2975" i="13"/>
  <c r="J2974" i="13" a="1"/>
  <c r="J2974" i="13" s="1"/>
  <c r="M2977" i="13"/>
  <c r="K2788" i="13"/>
  <c r="L2788" i="13" s="1"/>
  <c r="I2789" i="13" s="1"/>
  <c r="J2973" i="14" a="1"/>
  <c r="J2973" i="14" s="1"/>
  <c r="N2974" i="14"/>
  <c r="K2789" i="13" l="1"/>
  <c r="L2789" i="13" s="1"/>
  <c r="I2790" i="13" s="1"/>
  <c r="K2811" i="14"/>
  <c r="L2811" i="14" s="1"/>
  <c r="I2812" i="14" s="1"/>
  <c r="N2975" i="14"/>
  <c r="J2974" i="14" a="1"/>
  <c r="J2974" i="14" s="1"/>
  <c r="M2978" i="13"/>
  <c r="M2979" i="14"/>
  <c r="J2975" i="13" a="1"/>
  <c r="J2975" i="13" s="1"/>
  <c r="N2976" i="13"/>
  <c r="K2790" i="13" l="1"/>
  <c r="L2790" i="13" s="1"/>
  <c r="I2791" i="13" s="1"/>
  <c r="J2976" i="13" a="1"/>
  <c r="J2976" i="13" s="1"/>
  <c r="N2977" i="13"/>
  <c r="M2979" i="13"/>
  <c r="K2812" i="14"/>
  <c r="L2812" i="14" s="1"/>
  <c r="I2813" i="14" s="1"/>
  <c r="M2980" i="14"/>
  <c r="N2976" i="14"/>
  <c r="J2975" i="14" a="1"/>
  <c r="J2975" i="14" s="1"/>
  <c r="K2813" i="14" l="1"/>
  <c r="L2813" i="14" s="1"/>
  <c r="I2814" i="14" s="1"/>
  <c r="K2791" i="13"/>
  <c r="L2791" i="13" s="1"/>
  <c r="I2792" i="13" s="1"/>
  <c r="J2977" i="13" a="1"/>
  <c r="J2977" i="13" s="1"/>
  <c r="N2978" i="13"/>
  <c r="J2976" i="14" a="1"/>
  <c r="J2976" i="14" s="1"/>
  <c r="N2977" i="14"/>
  <c r="M2981" i="14"/>
  <c r="M2980" i="13"/>
  <c r="K2792" i="13" l="1"/>
  <c r="L2792" i="13" s="1"/>
  <c r="I2793" i="13" s="1"/>
  <c r="K2814" i="14"/>
  <c r="L2814" i="14" s="1"/>
  <c r="I2815" i="14" s="1"/>
  <c r="J2977" i="14" a="1"/>
  <c r="J2977" i="14" s="1"/>
  <c r="N2978" i="14"/>
  <c r="N2979" i="13"/>
  <c r="J2978" i="13" a="1"/>
  <c r="J2978" i="13" s="1"/>
  <c r="M2981" i="13"/>
  <c r="M2982" i="14"/>
  <c r="K2793" i="13" l="1"/>
  <c r="L2793" i="13" s="1"/>
  <c r="I2794" i="13" s="1"/>
  <c r="M2983" i="14"/>
  <c r="J2979" i="13" a="1"/>
  <c r="J2979" i="13" s="1"/>
  <c r="N2980" i="13"/>
  <c r="K2815" i="14"/>
  <c r="L2815" i="14" s="1"/>
  <c r="I2816" i="14" s="1"/>
  <c r="M2982" i="13"/>
  <c r="N2979" i="14"/>
  <c r="J2978" i="14" a="1"/>
  <c r="J2978" i="14" s="1"/>
  <c r="K2794" i="13" l="1"/>
  <c r="L2794" i="13" s="1"/>
  <c r="I2795" i="13" s="1"/>
  <c r="K2816" i="14"/>
  <c r="L2816" i="14" s="1"/>
  <c r="I2817" i="14" s="1"/>
  <c r="M2984" i="14"/>
  <c r="N2980" i="14"/>
  <c r="J2979" i="14" a="1"/>
  <c r="J2979" i="14" s="1"/>
  <c r="J2980" i="13" a="1"/>
  <c r="J2980" i="13" s="1"/>
  <c r="N2981" i="13"/>
  <c r="M2983" i="13"/>
  <c r="K2795" i="13" l="1"/>
  <c r="L2795" i="13" s="1"/>
  <c r="I2796" i="13" s="1"/>
  <c r="M2984" i="13"/>
  <c r="K2817" i="14"/>
  <c r="L2817" i="14" s="1"/>
  <c r="I2818" i="14" s="1"/>
  <c r="J2980" i="14" a="1"/>
  <c r="J2980" i="14" s="1"/>
  <c r="N2981" i="14"/>
  <c r="J2981" i="13" a="1"/>
  <c r="J2981" i="13" s="1"/>
  <c r="N2982" i="13"/>
  <c r="M2985" i="14"/>
  <c r="K2818" i="14" l="1"/>
  <c r="L2818" i="14" s="1"/>
  <c r="I2819" i="14" s="1"/>
  <c r="K2796" i="13"/>
  <c r="L2796" i="13" s="1"/>
  <c r="I2797" i="13" s="1"/>
  <c r="M2986" i="14"/>
  <c r="J2981" i="14" a="1"/>
  <c r="J2981" i="14" s="1"/>
  <c r="N2982" i="14"/>
  <c r="M2985" i="13"/>
  <c r="N2983" i="13"/>
  <c r="J2982" i="13" a="1"/>
  <c r="J2982" i="13" s="1"/>
  <c r="K2819" i="14" l="1"/>
  <c r="L2819" i="14" s="1"/>
  <c r="I2820" i="14" s="1"/>
  <c r="N2983" i="14"/>
  <c r="J2982" i="14" a="1"/>
  <c r="J2982" i="14" s="1"/>
  <c r="J2983" i="13" a="1"/>
  <c r="J2983" i="13" s="1"/>
  <c r="N2984" i="13"/>
  <c r="K2797" i="13"/>
  <c r="L2797" i="13" s="1"/>
  <c r="I2798" i="13" s="1"/>
  <c r="M2986" i="13"/>
  <c r="M2987" i="14"/>
  <c r="K2798" i="13" l="1"/>
  <c r="L2798" i="13" s="1"/>
  <c r="I2799" i="13" s="1"/>
  <c r="K2820" i="14"/>
  <c r="L2820" i="14" s="1"/>
  <c r="I2821" i="14" s="1"/>
  <c r="N2984" i="14"/>
  <c r="J2983" i="14" a="1"/>
  <c r="J2983" i="14" s="1"/>
  <c r="M2987" i="13"/>
  <c r="M2988" i="14"/>
  <c r="J2984" i="13" a="1"/>
  <c r="J2984" i="13" s="1"/>
  <c r="N2985" i="13"/>
  <c r="K2821" i="14" l="1"/>
  <c r="L2821" i="14" s="1"/>
  <c r="I2822" i="14" s="1"/>
  <c r="K2799" i="13"/>
  <c r="L2799" i="13" s="1"/>
  <c r="I2800" i="13" s="1"/>
  <c r="J2985" i="13" a="1"/>
  <c r="J2985" i="13" s="1"/>
  <c r="N2986" i="13"/>
  <c r="M2988" i="13"/>
  <c r="M2989" i="14"/>
  <c r="J2984" i="14" a="1"/>
  <c r="J2984" i="14" s="1"/>
  <c r="N2985" i="14"/>
  <c r="K2800" i="13" l="1"/>
  <c r="L2800" i="13" s="1"/>
  <c r="I2801" i="13" s="1"/>
  <c r="K2822" i="14"/>
  <c r="L2822" i="14" s="1"/>
  <c r="I2823" i="14" s="1"/>
  <c r="J2985" i="14" a="1"/>
  <c r="J2985" i="14" s="1"/>
  <c r="N2986" i="14"/>
  <c r="M2990" i="14"/>
  <c r="M2989" i="13"/>
  <c r="N2987" i="13"/>
  <c r="J2986" i="13" a="1"/>
  <c r="J2986" i="13" s="1"/>
  <c r="K2823" i="14" l="1"/>
  <c r="L2823" i="14" s="1"/>
  <c r="I2824" i="14" s="1"/>
  <c r="K2801" i="13"/>
  <c r="L2801" i="13" s="1"/>
  <c r="I2802" i="13" s="1"/>
  <c r="M2991" i="14"/>
  <c r="J2987" i="13" a="1"/>
  <c r="J2987" i="13" s="1"/>
  <c r="N2988" i="13"/>
  <c r="M2990" i="13"/>
  <c r="N2987" i="14"/>
  <c r="J2986" i="14" a="1"/>
  <c r="J2986" i="14" s="1"/>
  <c r="K2802" i="13" l="1"/>
  <c r="L2802" i="13" s="1"/>
  <c r="I2803" i="13" s="1"/>
  <c r="K2824" i="14"/>
  <c r="L2824" i="14" s="1"/>
  <c r="I2825" i="14" s="1"/>
  <c r="J2988" i="13" a="1"/>
  <c r="J2988" i="13" s="1"/>
  <c r="N2989" i="13"/>
  <c r="N2988" i="14"/>
  <c r="J2987" i="14" a="1"/>
  <c r="J2987" i="14" s="1"/>
  <c r="M2991" i="13"/>
  <c r="M2992" i="14"/>
  <c r="K2825" i="14" l="1"/>
  <c r="L2825" i="14" s="1"/>
  <c r="I2826" i="14" s="1"/>
  <c r="M2992" i="13"/>
  <c r="K2803" i="13"/>
  <c r="L2803" i="13" s="1"/>
  <c r="I2804" i="13" s="1"/>
  <c r="M2993" i="14"/>
  <c r="J2988" i="14" a="1"/>
  <c r="J2988" i="14" s="1"/>
  <c r="N2989" i="14"/>
  <c r="J2989" i="13" a="1"/>
  <c r="J2989" i="13" s="1"/>
  <c r="N2990" i="13"/>
  <c r="K2804" i="13" l="1"/>
  <c r="L2804" i="13" s="1"/>
  <c r="I2805" i="13" s="1"/>
  <c r="K2826" i="14"/>
  <c r="L2826" i="14" s="1"/>
  <c r="I2827" i="14" s="1"/>
  <c r="N2991" i="13"/>
  <c r="J2990" i="13" a="1"/>
  <c r="J2990" i="13" s="1"/>
  <c r="M2994" i="14"/>
  <c r="M2993" i="13"/>
  <c r="J2989" i="14" a="1"/>
  <c r="J2989" i="14" s="1"/>
  <c r="N2990" i="14"/>
  <c r="K2827" i="14" l="1"/>
  <c r="L2827" i="14" s="1"/>
  <c r="I2828" i="14" s="1"/>
  <c r="K2805" i="13"/>
  <c r="L2805" i="13" s="1"/>
  <c r="I2806" i="13" s="1"/>
  <c r="M2994" i="13"/>
  <c r="N2991" i="14"/>
  <c r="J2990" i="14" a="1"/>
  <c r="J2990" i="14" s="1"/>
  <c r="M2995" i="14"/>
  <c r="J2991" i="13" a="1"/>
  <c r="J2991" i="13" s="1"/>
  <c r="N2992" i="13"/>
  <c r="K2828" i="14" l="1"/>
  <c r="L2828" i="14" s="1"/>
  <c r="I2829" i="14" s="1"/>
  <c r="K2806" i="13"/>
  <c r="L2806" i="13" s="1"/>
  <c r="I2807" i="13" s="1"/>
  <c r="J2992" i="13" a="1"/>
  <c r="J2992" i="13" s="1"/>
  <c r="N2993" i="13"/>
  <c r="N2992" i="14"/>
  <c r="J2991" i="14" a="1"/>
  <c r="J2991" i="14" s="1"/>
  <c r="M2996" i="14"/>
  <c r="M2995" i="13"/>
  <c r="K2807" i="13" l="1"/>
  <c r="L2807" i="13" s="1"/>
  <c r="I2808" i="13" s="1"/>
  <c r="K2829" i="14"/>
  <c r="L2829" i="14" s="1"/>
  <c r="I2830" i="14" s="1"/>
  <c r="J2992" i="14" a="1"/>
  <c r="J2992" i="14" s="1"/>
  <c r="N2993" i="14"/>
  <c r="M2996" i="13"/>
  <c r="J2993" i="13" a="1"/>
  <c r="J2993" i="13" s="1"/>
  <c r="N2994" i="13"/>
  <c r="M2997" i="14"/>
  <c r="K2808" i="13" l="1"/>
  <c r="L2808" i="13" s="1"/>
  <c r="I2809" i="13" s="1"/>
  <c r="N2995" i="13"/>
  <c r="J2994" i="13" a="1"/>
  <c r="J2994" i="13" s="1"/>
  <c r="M2998" i="14"/>
  <c r="M2997" i="13"/>
  <c r="K2830" i="14"/>
  <c r="L2830" i="14" s="1"/>
  <c r="I2831" i="14" s="1"/>
  <c r="J2993" i="14" a="1"/>
  <c r="J2993" i="14" s="1"/>
  <c r="N2994" i="14"/>
  <c r="K2831" i="14" l="1"/>
  <c r="L2831" i="14" s="1"/>
  <c r="I2832" i="14" s="1"/>
  <c r="K2809" i="13"/>
  <c r="L2809" i="13" s="1"/>
  <c r="I2810" i="13" s="1"/>
  <c r="J2995" i="13" a="1"/>
  <c r="J2995" i="13" s="1"/>
  <c r="N2996" i="13"/>
  <c r="N2995" i="14"/>
  <c r="J2994" i="14" a="1"/>
  <c r="J2994" i="14" s="1"/>
  <c r="M2998" i="13"/>
  <c r="M2999" i="14"/>
  <c r="K2810" i="13" l="1"/>
  <c r="L2810" i="13" s="1"/>
  <c r="I2811" i="13" s="1"/>
  <c r="K2832" i="14"/>
  <c r="L2832" i="14" s="1"/>
  <c r="I2833" i="14" s="1"/>
  <c r="M2999" i="13"/>
  <c r="M3000" i="14"/>
  <c r="N2996" i="14"/>
  <c r="J2995" i="14" a="1"/>
  <c r="J2995" i="14" s="1"/>
  <c r="J2996" i="13" a="1"/>
  <c r="J2996" i="13" s="1"/>
  <c r="N2997" i="13"/>
  <c r="K2811" i="13" l="1"/>
  <c r="L2811" i="13" s="1"/>
  <c r="I2812" i="13" s="1"/>
  <c r="J2997" i="13" a="1"/>
  <c r="J2997" i="13" s="1"/>
  <c r="N2998" i="13"/>
  <c r="K2833" i="14"/>
  <c r="L2833" i="14" s="1"/>
  <c r="I2834" i="14" s="1"/>
  <c r="M3001" i="14"/>
  <c r="J2996" i="14" a="1"/>
  <c r="J2996" i="14" s="1"/>
  <c r="N2997" i="14"/>
  <c r="M3000" i="13"/>
  <c r="K2834" i="14" l="1"/>
  <c r="L2834" i="14" s="1"/>
  <c r="I2835" i="14" s="1"/>
  <c r="K2812" i="13"/>
  <c r="L2812" i="13" s="1"/>
  <c r="I2813" i="13" s="1"/>
  <c r="M3001" i="13"/>
  <c r="M3002" i="14"/>
  <c r="N2999" i="13"/>
  <c r="J2998" i="13" a="1"/>
  <c r="J2998" i="13" s="1"/>
  <c r="J2997" i="14" a="1"/>
  <c r="J2997" i="14" s="1"/>
  <c r="N2998" i="14"/>
  <c r="K2835" i="14" l="1"/>
  <c r="L2835" i="14" s="1"/>
  <c r="I2836" i="14" s="1"/>
  <c r="K2813" i="13"/>
  <c r="L2813" i="13" s="1"/>
  <c r="I2814" i="13" s="1"/>
  <c r="N2999" i="14"/>
  <c r="J2998" i="14" a="1"/>
  <c r="J2998" i="14" s="1"/>
  <c r="M3003" i="14"/>
  <c r="M3002" i="13"/>
  <c r="J2999" i="13" a="1"/>
  <c r="J2999" i="13" s="1"/>
  <c r="N3000" i="13"/>
  <c r="K2814" i="13" l="1"/>
  <c r="L2814" i="13" s="1"/>
  <c r="I2815" i="13" s="1"/>
  <c r="K2836" i="14"/>
  <c r="L2836" i="14" s="1"/>
  <c r="I2837" i="14" s="1"/>
  <c r="J3000" i="13" a="1"/>
  <c r="J3000" i="13" s="1"/>
  <c r="N3001" i="13"/>
  <c r="M3003" i="13"/>
  <c r="M3004" i="14"/>
  <c r="N3000" i="14"/>
  <c r="J2999" i="14" a="1"/>
  <c r="J2999" i="14" s="1"/>
  <c r="K2837" i="14" l="1"/>
  <c r="L2837" i="14" s="1"/>
  <c r="I2838" i="14" s="1"/>
  <c r="K2815" i="13"/>
  <c r="L2815" i="13" s="1"/>
  <c r="I2816" i="13" s="1"/>
  <c r="J3000" i="14" a="1"/>
  <c r="J3000" i="14" s="1"/>
  <c r="N3001" i="14"/>
  <c r="M3004" i="13"/>
  <c r="J3001" i="13" a="1"/>
  <c r="J3001" i="13" s="1"/>
  <c r="N3002" i="13"/>
  <c r="M3005" i="14"/>
  <c r="K2816" i="13" l="1"/>
  <c r="L2816" i="13" s="1"/>
  <c r="I2817" i="13" s="1"/>
  <c r="K2838" i="14"/>
  <c r="L2838" i="14" s="1"/>
  <c r="I2839" i="14" s="1"/>
  <c r="M3006" i="14"/>
  <c r="M3005" i="13"/>
  <c r="N3003" i="13"/>
  <c r="J3002" i="13" a="1"/>
  <c r="J3002" i="13" s="1"/>
  <c r="J3001" i="14" a="1"/>
  <c r="J3001" i="14" s="1"/>
  <c r="N3002" i="14"/>
  <c r="K2839" i="14" l="1"/>
  <c r="L2839" i="14" s="1"/>
  <c r="I2840" i="14" s="1"/>
  <c r="K2817" i="13"/>
  <c r="L2817" i="13" s="1"/>
  <c r="I2818" i="13" s="1"/>
  <c r="N3003" i="14"/>
  <c r="J3002" i="14" a="1"/>
  <c r="J3002" i="14" s="1"/>
  <c r="M3006" i="13"/>
  <c r="M3007" i="14"/>
  <c r="J3003" i="13" a="1"/>
  <c r="J3003" i="13" s="1"/>
  <c r="N3004" i="13"/>
  <c r="K2818" i="13" l="1"/>
  <c r="L2818" i="13" s="1"/>
  <c r="I2819" i="13" s="1"/>
  <c r="K2840" i="14"/>
  <c r="L2840" i="14" s="1"/>
  <c r="I2841" i="14" s="1"/>
  <c r="J3004" i="13" a="1"/>
  <c r="J3004" i="13" s="1"/>
  <c r="N3005" i="13"/>
  <c r="M3007" i="13"/>
  <c r="M3008" i="14"/>
  <c r="N3004" i="14"/>
  <c r="J3003" i="14" a="1"/>
  <c r="J3003" i="14" s="1"/>
  <c r="K2841" i="14" l="1"/>
  <c r="L2841" i="14" s="1"/>
  <c r="I2842" i="14" s="1"/>
  <c r="K2819" i="13"/>
  <c r="L2819" i="13" s="1"/>
  <c r="I2820" i="13" s="1"/>
  <c r="J3004" i="14" a="1"/>
  <c r="J3004" i="14" s="1"/>
  <c r="N3005" i="14"/>
  <c r="M3008" i="13"/>
  <c r="J3005" i="13" a="1"/>
  <c r="J3005" i="13" s="1"/>
  <c r="N3006" i="13"/>
  <c r="M3009" i="14"/>
  <c r="K2820" i="13" l="1"/>
  <c r="L2820" i="13" s="1"/>
  <c r="I2821" i="13" s="1"/>
  <c r="K2842" i="14"/>
  <c r="L2842" i="14" s="1"/>
  <c r="I2843" i="14" s="1"/>
  <c r="N3007" i="13"/>
  <c r="J3006" i="13" a="1"/>
  <c r="J3006" i="13" s="1"/>
  <c r="M3010" i="14"/>
  <c r="M3009" i="13"/>
  <c r="J3005" i="14" a="1"/>
  <c r="J3005" i="14" s="1"/>
  <c r="N3006" i="14"/>
  <c r="K2821" i="13" l="1"/>
  <c r="L2821" i="13" s="1"/>
  <c r="I2822" i="13" s="1"/>
  <c r="N3007" i="14"/>
  <c r="J3006" i="14" a="1"/>
  <c r="J3006" i="14" s="1"/>
  <c r="M3011" i="14"/>
  <c r="K2843" i="14"/>
  <c r="L2843" i="14" s="1"/>
  <c r="I2844" i="14" s="1"/>
  <c r="M3010" i="13"/>
  <c r="J3007" i="13" a="1"/>
  <c r="J3007" i="13" s="1"/>
  <c r="N3008" i="13"/>
  <c r="K2844" i="14" l="1"/>
  <c r="L2844" i="14" s="1"/>
  <c r="I2845" i="14" s="1"/>
  <c r="K2822" i="13"/>
  <c r="L2822" i="13" s="1"/>
  <c r="I2823" i="13" s="1"/>
  <c r="J3008" i="13" a="1"/>
  <c r="J3008" i="13" s="1"/>
  <c r="N3009" i="13"/>
  <c r="N3008" i="14"/>
  <c r="J3007" i="14" a="1"/>
  <c r="J3007" i="14" s="1"/>
  <c r="M3011" i="13"/>
  <c r="M3012" i="14"/>
  <c r="K2823" i="13" l="1"/>
  <c r="L2823" i="13" s="1"/>
  <c r="I2824" i="13" s="1"/>
  <c r="K2845" i="14"/>
  <c r="L2845" i="14" s="1"/>
  <c r="I2846" i="14" s="1"/>
  <c r="J3008" i="14" a="1"/>
  <c r="J3008" i="14" s="1"/>
  <c r="N3009" i="14"/>
  <c r="J3009" i="13" a="1"/>
  <c r="J3009" i="13" s="1"/>
  <c r="N3010" i="13"/>
  <c r="M3013" i="14"/>
  <c r="M3012" i="13"/>
  <c r="K2846" i="14" l="1"/>
  <c r="L2846" i="14" s="1"/>
  <c r="I2847" i="14" s="1"/>
  <c r="K2824" i="13"/>
  <c r="L2824" i="13" s="1"/>
  <c r="I2825" i="13" s="1"/>
  <c r="N3011" i="13"/>
  <c r="J3010" i="13" a="1"/>
  <c r="J3010" i="13" s="1"/>
  <c r="J3009" i="14" a="1"/>
  <c r="J3009" i="14" s="1"/>
  <c r="N3010" i="14"/>
  <c r="M3013" i="13"/>
  <c r="M3014" i="14"/>
  <c r="K2825" i="13" l="1"/>
  <c r="L2825" i="13" s="1"/>
  <c r="I2826" i="13" s="1"/>
  <c r="K2847" i="14"/>
  <c r="L2847" i="14" s="1"/>
  <c r="I2848" i="14" s="1"/>
  <c r="N3011" i="14"/>
  <c r="J3010" i="14" a="1"/>
  <c r="J3010" i="14" s="1"/>
  <c r="M3015" i="14"/>
  <c r="M3014" i="13"/>
  <c r="J3011" i="13" a="1"/>
  <c r="J3011" i="13" s="1"/>
  <c r="N3012" i="13"/>
  <c r="K2848" i="14" l="1"/>
  <c r="L2848" i="14" s="1"/>
  <c r="I2849" i="14" s="1"/>
  <c r="K2826" i="13"/>
  <c r="L2826" i="13" s="1"/>
  <c r="I2827" i="13" s="1"/>
  <c r="J3012" i="13" a="1"/>
  <c r="J3012" i="13" s="1"/>
  <c r="N3013" i="13"/>
  <c r="M3016" i="14"/>
  <c r="M3015" i="13"/>
  <c r="N3012" i="14"/>
  <c r="J3011" i="14" a="1"/>
  <c r="J3011" i="14" s="1"/>
  <c r="K2827" i="13" l="1"/>
  <c r="L2827" i="13" s="1"/>
  <c r="I2828" i="13" s="1"/>
  <c r="K2849" i="14"/>
  <c r="L2849" i="14" s="1"/>
  <c r="I2850" i="14" s="1"/>
  <c r="J3012" i="14" a="1"/>
  <c r="J3012" i="14" s="1"/>
  <c r="N3013" i="14"/>
  <c r="M3017" i="14"/>
  <c r="J3013" i="13" a="1"/>
  <c r="J3013" i="13" s="1"/>
  <c r="N3014" i="13"/>
  <c r="M3016" i="13"/>
  <c r="K2850" i="14" l="1"/>
  <c r="L2850" i="14" s="1"/>
  <c r="I2851" i="14" s="1"/>
  <c r="K2828" i="13"/>
  <c r="L2828" i="13" s="1"/>
  <c r="I2829" i="13" s="1"/>
  <c r="N3015" i="13"/>
  <c r="J3014" i="13" a="1"/>
  <c r="J3014" i="13" s="1"/>
  <c r="M3018" i="14"/>
  <c r="M3017" i="13"/>
  <c r="J3013" i="14" a="1"/>
  <c r="J3013" i="14" s="1"/>
  <c r="N3014" i="14"/>
  <c r="K2829" i="13" l="1"/>
  <c r="L2829" i="13" s="1"/>
  <c r="I2830" i="13" s="1"/>
  <c r="K2851" i="14"/>
  <c r="L2851" i="14" s="1"/>
  <c r="I2852" i="14" s="1"/>
  <c r="N3015" i="14"/>
  <c r="J3014" i="14" a="1"/>
  <c r="J3014" i="14" s="1"/>
  <c r="M3019" i="14"/>
  <c r="M3018" i="13"/>
  <c r="J3015" i="13" a="1"/>
  <c r="J3015" i="13" s="1"/>
  <c r="N3016" i="13"/>
  <c r="K2852" i="14" l="1"/>
  <c r="L2852" i="14" s="1"/>
  <c r="I2853" i="14" s="1"/>
  <c r="K2830" i="13"/>
  <c r="L2830" i="13" s="1"/>
  <c r="I2831" i="13" s="1"/>
  <c r="J3016" i="13" a="1"/>
  <c r="J3016" i="13" s="1"/>
  <c r="N3017" i="13"/>
  <c r="M3020" i="14"/>
  <c r="M3019" i="13"/>
  <c r="N3016" i="14"/>
  <c r="J3015" i="14" a="1"/>
  <c r="J3015" i="14" s="1"/>
  <c r="K2831" i="13" l="1"/>
  <c r="L2831" i="13" s="1"/>
  <c r="I2832" i="13" s="1"/>
  <c r="K2853" i="14"/>
  <c r="L2853" i="14" s="1"/>
  <c r="I2854" i="14" s="1"/>
  <c r="J3016" i="14" a="1"/>
  <c r="J3016" i="14" s="1"/>
  <c r="N3017" i="14"/>
  <c r="M3021" i="14"/>
  <c r="J3017" i="13" a="1"/>
  <c r="J3017" i="13" s="1"/>
  <c r="N3018" i="13"/>
  <c r="M3020" i="13"/>
  <c r="K2854" i="14" l="1"/>
  <c r="L2854" i="14" s="1"/>
  <c r="I2855" i="14" s="1"/>
  <c r="K2832" i="13"/>
  <c r="L2832" i="13" s="1"/>
  <c r="I2833" i="13" s="1"/>
  <c r="N3019" i="13"/>
  <c r="J3018" i="13" a="1"/>
  <c r="J3018" i="13" s="1"/>
  <c r="M3021" i="13"/>
  <c r="M3022" i="14"/>
  <c r="J3017" i="14" a="1"/>
  <c r="J3017" i="14" s="1"/>
  <c r="N3018" i="14"/>
  <c r="K2833" i="13" l="1"/>
  <c r="L2833" i="13" s="1"/>
  <c r="I2834" i="13" s="1"/>
  <c r="N3019" i="14"/>
  <c r="J3018" i="14" a="1"/>
  <c r="J3018" i="14" s="1"/>
  <c r="M3022" i="13"/>
  <c r="M3023" i="14"/>
  <c r="J3019" i="13" a="1"/>
  <c r="J3019" i="13" s="1"/>
  <c r="N3020" i="13"/>
  <c r="K2855" i="14"/>
  <c r="L2855" i="14" s="1"/>
  <c r="I2856" i="14" s="1"/>
  <c r="K2856" i="14" l="1"/>
  <c r="L2856" i="14" s="1"/>
  <c r="I2857" i="14" s="1"/>
  <c r="K2834" i="13"/>
  <c r="L2834" i="13" s="1"/>
  <c r="I2835" i="13" s="1"/>
  <c r="M3024" i="14"/>
  <c r="N3020" i="14"/>
  <c r="J3019" i="14" a="1"/>
  <c r="J3019" i="14" s="1"/>
  <c r="J3020" i="13" a="1"/>
  <c r="J3020" i="13" s="1"/>
  <c r="N3021" i="13"/>
  <c r="M3023" i="13"/>
  <c r="K2835" i="13" l="1"/>
  <c r="L2835" i="13" s="1"/>
  <c r="I2836" i="13" s="1"/>
  <c r="K2857" i="14"/>
  <c r="L2857" i="14" s="1"/>
  <c r="I2858" i="14" s="1"/>
  <c r="J3020" i="14" a="1"/>
  <c r="J3020" i="14" s="1"/>
  <c r="N3021" i="14"/>
  <c r="M3024" i="13"/>
  <c r="J3021" i="13" a="1"/>
  <c r="J3021" i="13" s="1"/>
  <c r="N3022" i="13"/>
  <c r="M3025" i="14"/>
  <c r="K2858" i="14" l="1"/>
  <c r="L2858" i="14" s="1"/>
  <c r="I2859" i="14" s="1"/>
  <c r="K2836" i="13"/>
  <c r="L2836" i="13" s="1"/>
  <c r="I2837" i="13" s="1"/>
  <c r="M3026" i="14"/>
  <c r="M3025" i="13"/>
  <c r="N3023" i="13"/>
  <c r="J3022" i="13" a="1"/>
  <c r="J3022" i="13" s="1"/>
  <c r="J3021" i="14" a="1"/>
  <c r="J3021" i="14" s="1"/>
  <c r="N3022" i="14"/>
  <c r="K2837" i="13" l="1"/>
  <c r="L2837" i="13" s="1"/>
  <c r="I2838" i="13" s="1"/>
  <c r="K2859" i="14"/>
  <c r="L2859" i="14" s="1"/>
  <c r="I2860" i="14" s="1"/>
  <c r="N3023" i="14"/>
  <c r="J3022" i="14" a="1"/>
  <c r="J3022" i="14" s="1"/>
  <c r="M3026" i="13"/>
  <c r="M3027" i="14"/>
  <c r="J3023" i="13" a="1"/>
  <c r="J3023" i="13" s="1"/>
  <c r="N3024" i="13"/>
  <c r="K2860" i="14" l="1"/>
  <c r="L2860" i="14" s="1"/>
  <c r="I2861" i="14" s="1"/>
  <c r="K2838" i="13"/>
  <c r="L2838" i="13" s="1"/>
  <c r="I2839" i="13" s="1"/>
  <c r="J3024" i="13" a="1"/>
  <c r="J3024" i="13" s="1"/>
  <c r="N3025" i="13"/>
  <c r="M3027" i="13"/>
  <c r="M3028" i="14"/>
  <c r="N3024" i="14"/>
  <c r="J3023" i="14" a="1"/>
  <c r="J3023" i="14" s="1"/>
  <c r="K2839" i="13" l="1"/>
  <c r="L2839" i="13" s="1"/>
  <c r="I2840" i="13" s="1"/>
  <c r="K2861" i="14"/>
  <c r="L2861" i="14" s="1"/>
  <c r="I2862" i="14" s="1"/>
  <c r="J3024" i="14" a="1"/>
  <c r="J3024" i="14" s="1"/>
  <c r="N3025" i="14"/>
  <c r="M3028" i="13"/>
  <c r="J3025" i="13" a="1"/>
  <c r="J3025" i="13" s="1"/>
  <c r="N3026" i="13"/>
  <c r="M3029" i="14"/>
  <c r="K2862" i="14" l="1"/>
  <c r="L2862" i="14" s="1"/>
  <c r="I2863" i="14" s="1"/>
  <c r="K2840" i="13"/>
  <c r="L2840" i="13" s="1"/>
  <c r="I2841" i="13" s="1"/>
  <c r="M3030" i="14"/>
  <c r="M3029" i="13"/>
  <c r="J3025" i="14" a="1"/>
  <c r="J3025" i="14" s="1"/>
  <c r="N3026" i="14"/>
  <c r="N3027" i="13"/>
  <c r="J3026" i="13" a="1"/>
  <c r="J3026" i="13" s="1"/>
  <c r="K2841" i="13" l="1"/>
  <c r="L2841" i="13" s="1"/>
  <c r="I2842" i="13" s="1"/>
  <c r="K2863" i="14"/>
  <c r="L2863" i="14" s="1"/>
  <c r="I2864" i="14" s="1"/>
  <c r="N3027" i="14"/>
  <c r="J3026" i="14" a="1"/>
  <c r="J3026" i="14" s="1"/>
  <c r="M3030" i="13"/>
  <c r="M3031" i="14"/>
  <c r="J3027" i="13" a="1"/>
  <c r="J3027" i="13" s="1"/>
  <c r="N3028" i="13"/>
  <c r="K2864" i="14" l="1"/>
  <c r="L2864" i="14" s="1"/>
  <c r="I2865" i="14" s="1"/>
  <c r="K2842" i="13"/>
  <c r="L2842" i="13" s="1"/>
  <c r="I2843" i="13" s="1"/>
  <c r="M3031" i="13"/>
  <c r="J3028" i="13" a="1"/>
  <c r="J3028" i="13" s="1"/>
  <c r="N3029" i="13"/>
  <c r="M3032" i="14"/>
  <c r="N3028" i="14"/>
  <c r="J3027" i="14" a="1"/>
  <c r="J3027" i="14" s="1"/>
  <c r="K2843" i="13" l="1"/>
  <c r="L2843" i="13" s="1"/>
  <c r="I2844" i="13" s="1"/>
  <c r="K2865" i="14"/>
  <c r="L2865" i="14" s="1"/>
  <c r="I2866" i="14" s="1"/>
  <c r="M3033" i="14"/>
  <c r="J3029" i="13" a="1"/>
  <c r="J3029" i="13" s="1"/>
  <c r="N3030" i="13"/>
  <c r="J3028" i="14" a="1"/>
  <c r="J3028" i="14" s="1"/>
  <c r="N3029" i="14"/>
  <c r="M3032" i="13"/>
  <c r="K2866" i="14" l="1"/>
  <c r="L2866" i="14" s="1"/>
  <c r="I2867" i="14" s="1"/>
  <c r="K2844" i="13"/>
  <c r="L2844" i="13" s="1"/>
  <c r="I2845" i="13" s="1"/>
  <c r="N3031" i="13"/>
  <c r="J3030" i="13" a="1"/>
  <c r="J3030" i="13" s="1"/>
  <c r="J3029" i="14" a="1"/>
  <c r="J3029" i="14" s="1"/>
  <c r="N3030" i="14"/>
  <c r="M3034" i="14"/>
  <c r="M3033" i="13"/>
  <c r="K2845" i="13" l="1"/>
  <c r="L2845" i="13" s="1"/>
  <c r="I2846" i="13" s="1"/>
  <c r="K2867" i="14"/>
  <c r="L2867" i="14" s="1"/>
  <c r="I2868" i="14" s="1"/>
  <c r="N3031" i="14"/>
  <c r="J3030" i="14" a="1"/>
  <c r="J3030" i="14" s="1"/>
  <c r="M3034" i="13"/>
  <c r="M3035" i="14"/>
  <c r="J3031" i="13" a="1"/>
  <c r="J3031" i="13" s="1"/>
  <c r="N3032" i="13"/>
  <c r="K2868" i="14" l="1"/>
  <c r="L2868" i="14" s="1"/>
  <c r="I2869" i="14" s="1"/>
  <c r="K2846" i="13"/>
  <c r="L2846" i="13" s="1"/>
  <c r="I2847" i="13" s="1"/>
  <c r="J3032" i="13" a="1"/>
  <c r="J3032" i="13" s="1"/>
  <c r="N3033" i="13"/>
  <c r="M3035" i="13"/>
  <c r="M3036" i="14"/>
  <c r="N3032" i="14"/>
  <c r="J3031" i="14" a="1"/>
  <c r="J3031" i="14" s="1"/>
  <c r="K2847" i="13" l="1"/>
  <c r="L2847" i="13" s="1"/>
  <c r="I2848" i="13" s="1"/>
  <c r="K2869" i="14"/>
  <c r="L2869" i="14" s="1"/>
  <c r="I2870" i="14" s="1"/>
  <c r="J3032" i="14" a="1"/>
  <c r="J3032" i="14" s="1"/>
  <c r="N3033" i="14"/>
  <c r="M3036" i="13"/>
  <c r="J3033" i="13" a="1"/>
  <c r="J3033" i="13" s="1"/>
  <c r="N3034" i="13"/>
  <c r="M3037" i="14"/>
  <c r="K2870" i="14" l="1"/>
  <c r="L2870" i="14" s="1"/>
  <c r="I2871" i="14" s="1"/>
  <c r="K2848" i="13"/>
  <c r="L2848" i="13" s="1"/>
  <c r="I2849" i="13" s="1"/>
  <c r="N3035" i="13"/>
  <c r="J3034" i="13" a="1"/>
  <c r="J3034" i="13" s="1"/>
  <c r="M3038" i="14"/>
  <c r="M3037" i="13"/>
  <c r="J3033" i="14" a="1"/>
  <c r="J3033" i="14" s="1"/>
  <c r="N3034" i="14"/>
  <c r="K2849" i="13" l="1"/>
  <c r="L2849" i="13" s="1"/>
  <c r="I2850" i="13" s="1"/>
  <c r="K2871" i="14"/>
  <c r="L2871" i="14" s="1"/>
  <c r="I2872" i="14" s="1"/>
  <c r="N3035" i="14"/>
  <c r="J3034" i="14" a="1"/>
  <c r="J3034" i="14" s="1"/>
  <c r="M3039" i="14"/>
  <c r="M3038" i="13"/>
  <c r="J3035" i="13" a="1"/>
  <c r="J3035" i="13" s="1"/>
  <c r="N3036" i="13"/>
  <c r="K2872" i="14" l="1"/>
  <c r="L2872" i="14" s="1"/>
  <c r="I2873" i="14" s="1"/>
  <c r="K2850" i="13"/>
  <c r="L2850" i="13" s="1"/>
  <c r="I2851" i="13" s="1"/>
  <c r="M3040" i="14"/>
  <c r="J3036" i="13" a="1"/>
  <c r="J3036" i="13" s="1"/>
  <c r="N3037" i="13"/>
  <c r="M3039" i="13"/>
  <c r="N3036" i="14"/>
  <c r="J3035" i="14" a="1"/>
  <c r="J3035" i="14" s="1"/>
  <c r="K2851" i="13" l="1"/>
  <c r="L2851" i="13" s="1"/>
  <c r="I2852" i="13" s="1"/>
  <c r="K2873" i="14"/>
  <c r="L2873" i="14" s="1"/>
  <c r="I2874" i="14" s="1"/>
  <c r="J3037" i="13" a="1"/>
  <c r="J3037" i="13" s="1"/>
  <c r="N3038" i="13"/>
  <c r="J3036" i="14" a="1"/>
  <c r="J3036" i="14" s="1"/>
  <c r="N3037" i="14"/>
  <c r="M3040" i="13"/>
  <c r="M3041" i="14"/>
  <c r="K2874" i="14" l="1"/>
  <c r="L2874" i="14" s="1"/>
  <c r="I2875" i="14" s="1"/>
  <c r="K2852" i="13"/>
  <c r="L2852" i="13" s="1"/>
  <c r="I2853" i="13" s="1"/>
  <c r="J3037" i="14" a="1"/>
  <c r="J3037" i="14" s="1"/>
  <c r="N3038" i="14"/>
  <c r="M3042" i="14"/>
  <c r="N3039" i="13"/>
  <c r="J3038" i="13" a="1"/>
  <c r="J3038" i="13" s="1"/>
  <c r="M3041" i="13"/>
  <c r="K2853" i="13" l="1"/>
  <c r="L2853" i="13" s="1"/>
  <c r="I2854" i="13" s="1"/>
  <c r="K2875" i="14"/>
  <c r="L2875" i="14" s="1"/>
  <c r="I2876" i="14" s="1"/>
  <c r="M3042" i="13"/>
  <c r="M3043" i="14"/>
  <c r="N3039" i="14"/>
  <c r="J3038" i="14" a="1"/>
  <c r="J3038" i="14" s="1"/>
  <c r="J3039" i="13" a="1"/>
  <c r="J3039" i="13" s="1"/>
  <c r="N3040" i="13"/>
  <c r="K2876" i="14" l="1"/>
  <c r="L2876" i="14" s="1"/>
  <c r="I2877" i="14" s="1"/>
  <c r="K2854" i="13"/>
  <c r="L2854" i="13" s="1"/>
  <c r="I2855" i="13" s="1"/>
  <c r="M3044" i="14"/>
  <c r="J3040" i="13" a="1"/>
  <c r="J3040" i="13" s="1"/>
  <c r="N3041" i="13"/>
  <c r="N3040" i="14"/>
  <c r="J3039" i="14" a="1"/>
  <c r="J3039" i="14" s="1"/>
  <c r="M3043" i="13"/>
  <c r="K2855" i="13" l="1"/>
  <c r="L2855" i="13" s="1"/>
  <c r="I2856" i="13" s="1"/>
  <c r="K2877" i="14"/>
  <c r="L2877" i="14" s="1"/>
  <c r="I2878" i="14" s="1"/>
  <c r="J3041" i="13" a="1"/>
  <c r="J3041" i="13" s="1"/>
  <c r="N3042" i="13"/>
  <c r="M3044" i="13"/>
  <c r="J3040" i="14" a="1"/>
  <c r="J3040" i="14" s="1"/>
  <c r="N3041" i="14"/>
  <c r="M3045" i="14"/>
  <c r="K2878" i="14" l="1"/>
  <c r="L2878" i="14" s="1"/>
  <c r="I2879" i="14" s="1"/>
  <c r="K2856" i="13"/>
  <c r="L2856" i="13" s="1"/>
  <c r="I2857" i="13" s="1"/>
  <c r="M3046" i="14"/>
  <c r="M3045" i="13"/>
  <c r="J3041" i="14" a="1"/>
  <c r="J3041" i="14" s="1"/>
  <c r="N3042" i="14"/>
  <c r="N3043" i="13"/>
  <c r="J3042" i="13" a="1"/>
  <c r="J3042" i="13" s="1"/>
  <c r="K2857" i="13" l="1"/>
  <c r="L2857" i="13" s="1"/>
  <c r="I2858" i="13" s="1"/>
  <c r="K2879" i="14"/>
  <c r="L2879" i="14" s="1"/>
  <c r="I2880" i="14" s="1"/>
  <c r="J3043" i="13" a="1"/>
  <c r="J3043" i="13" s="1"/>
  <c r="N3044" i="13"/>
  <c r="M3046" i="13"/>
  <c r="M3047" i="14"/>
  <c r="N3043" i="14"/>
  <c r="J3042" i="14" a="1"/>
  <c r="J3042" i="14" s="1"/>
  <c r="K2880" i="14" l="1"/>
  <c r="L2880" i="14" s="1"/>
  <c r="I2881" i="14" s="1"/>
  <c r="K2858" i="13"/>
  <c r="L2858" i="13" s="1"/>
  <c r="I2859" i="13" s="1"/>
  <c r="N3044" i="14"/>
  <c r="J3043" i="14" a="1"/>
  <c r="J3043" i="14" s="1"/>
  <c r="M3047" i="13"/>
  <c r="J3044" i="13" a="1"/>
  <c r="J3044" i="13" s="1"/>
  <c r="N3045" i="13"/>
  <c r="M3048" i="14"/>
  <c r="K2859" i="13" l="1"/>
  <c r="L2859" i="13" s="1"/>
  <c r="I2860" i="13" s="1"/>
  <c r="K2881" i="14"/>
  <c r="L2881" i="14" s="1"/>
  <c r="I2882" i="14" s="1"/>
  <c r="M3049" i="14"/>
  <c r="M3048" i="13"/>
  <c r="J3045" i="13" a="1"/>
  <c r="J3045" i="13" s="1"/>
  <c r="N3046" i="13"/>
  <c r="J3044" i="14" a="1"/>
  <c r="J3044" i="14" s="1"/>
  <c r="N3045" i="14"/>
  <c r="K2882" i="14" l="1"/>
  <c r="L2882" i="14" s="1"/>
  <c r="I2883" i="14" s="1"/>
  <c r="K2860" i="13"/>
  <c r="L2860" i="13" s="1"/>
  <c r="I2861" i="13" s="1"/>
  <c r="J3045" i="14" a="1"/>
  <c r="J3045" i="14" s="1"/>
  <c r="N3046" i="14"/>
  <c r="M3049" i="13"/>
  <c r="N3047" i="13"/>
  <c r="J3046" i="13" a="1"/>
  <c r="J3046" i="13" s="1"/>
  <c r="M3050" i="14"/>
  <c r="K2861" i="13" l="1"/>
  <c r="L2861" i="13" s="1"/>
  <c r="I2862" i="13" s="1"/>
  <c r="K2883" i="14"/>
  <c r="L2883" i="14" s="1"/>
  <c r="I2884" i="14" s="1"/>
  <c r="M3051" i="14"/>
  <c r="M3050" i="13"/>
  <c r="N3047" i="14"/>
  <c r="J3046" i="14" a="1"/>
  <c r="J3046" i="14" s="1"/>
  <c r="J3047" i="13" a="1"/>
  <c r="J3047" i="13" s="1"/>
  <c r="N3048" i="13"/>
  <c r="K2884" i="14" l="1"/>
  <c r="L2884" i="14" s="1"/>
  <c r="I2885" i="14" s="1"/>
  <c r="K2862" i="13"/>
  <c r="L2862" i="13" s="1"/>
  <c r="I2863" i="13" s="1"/>
  <c r="J3048" i="13" a="1"/>
  <c r="J3048" i="13" s="1"/>
  <c r="N3049" i="13"/>
  <c r="M3051" i="13"/>
  <c r="N3048" i="14"/>
  <c r="J3047" i="14" a="1"/>
  <c r="J3047" i="14" s="1"/>
  <c r="M3052" i="14"/>
  <c r="K2863" i="13" l="1"/>
  <c r="L2863" i="13" s="1"/>
  <c r="I2864" i="13" s="1"/>
  <c r="K2885" i="14"/>
  <c r="L2885" i="14" s="1"/>
  <c r="I2886" i="14" s="1"/>
  <c r="M3053" i="14"/>
  <c r="M3052" i="13"/>
  <c r="J3049" i="13" a="1"/>
  <c r="J3049" i="13" s="1"/>
  <c r="N3050" i="13"/>
  <c r="J3048" i="14" a="1"/>
  <c r="J3048" i="14" s="1"/>
  <c r="N3049" i="14"/>
  <c r="K2886" i="14" l="1"/>
  <c r="L2886" i="14" s="1"/>
  <c r="I2887" i="14" s="1"/>
  <c r="K2864" i="13"/>
  <c r="L2864" i="13" s="1"/>
  <c r="I2865" i="13" s="1"/>
  <c r="J3049" i="14" a="1"/>
  <c r="J3049" i="14" s="1"/>
  <c r="N3050" i="14"/>
  <c r="M3053" i="13"/>
  <c r="N3051" i="13"/>
  <c r="J3050" i="13" a="1"/>
  <c r="J3050" i="13" s="1"/>
  <c r="M3054" i="14"/>
  <c r="K2865" i="13" l="1"/>
  <c r="L2865" i="13" s="1"/>
  <c r="I2866" i="13" s="1"/>
  <c r="K2887" i="14"/>
  <c r="L2887" i="14" s="1"/>
  <c r="I2888" i="14" s="1"/>
  <c r="M3055" i="14"/>
  <c r="M3054" i="13"/>
  <c r="J3051" i="13" a="1"/>
  <c r="J3051" i="13" s="1"/>
  <c r="N3052" i="13"/>
  <c r="N3051" i="14"/>
  <c r="J3050" i="14" a="1"/>
  <c r="J3050" i="14" s="1"/>
  <c r="K2866" i="13" l="1"/>
  <c r="L2866" i="13" s="1"/>
  <c r="I2867" i="13" s="1"/>
  <c r="N3052" i="14"/>
  <c r="J3051" i="14" a="1"/>
  <c r="J3051" i="14" s="1"/>
  <c r="M3055" i="13"/>
  <c r="K2888" i="14"/>
  <c r="L2888" i="14" s="1"/>
  <c r="I2889" i="14" s="1"/>
  <c r="J3052" i="13" a="1"/>
  <c r="J3052" i="13" s="1"/>
  <c r="N3053" i="13"/>
  <c r="M3056" i="14"/>
  <c r="K2889" i="14" l="1"/>
  <c r="L2889" i="14" s="1"/>
  <c r="I2890" i="14" s="1"/>
  <c r="K2867" i="13"/>
  <c r="L2867" i="13" s="1"/>
  <c r="I2868" i="13" s="1"/>
  <c r="J3053" i="13" a="1"/>
  <c r="J3053" i="13" s="1"/>
  <c r="N3054" i="13"/>
  <c r="M3057" i="14"/>
  <c r="J3052" i="14" a="1"/>
  <c r="J3052" i="14" s="1"/>
  <c r="N3053" i="14"/>
  <c r="M3056" i="13"/>
  <c r="K2868" i="13" l="1"/>
  <c r="L2868" i="13" s="1"/>
  <c r="I2869" i="13" s="1"/>
  <c r="K2890" i="14"/>
  <c r="L2890" i="14" s="1"/>
  <c r="I2891" i="14" s="1"/>
  <c r="J3053" i="14" a="1"/>
  <c r="J3053" i="14" s="1"/>
  <c r="N3054" i="14"/>
  <c r="M3058" i="14"/>
  <c r="M3057" i="13"/>
  <c r="N3055" i="13"/>
  <c r="J3054" i="13" a="1"/>
  <c r="J3054" i="13" s="1"/>
  <c r="K2891" i="14" l="1"/>
  <c r="L2891" i="14" s="1"/>
  <c r="I2892" i="14" s="1"/>
  <c r="K2869" i="13"/>
  <c r="L2869" i="13" s="1"/>
  <c r="I2870" i="13" s="1"/>
  <c r="M3059" i="14"/>
  <c r="J3055" i="13" a="1"/>
  <c r="J3055" i="13" s="1"/>
  <c r="N3056" i="13"/>
  <c r="N3055" i="14"/>
  <c r="J3054" i="14" a="1"/>
  <c r="J3054" i="14" s="1"/>
  <c r="M3058" i="13"/>
  <c r="K2870" i="13" l="1"/>
  <c r="L2870" i="13" s="1"/>
  <c r="I2871" i="13" s="1"/>
  <c r="K2892" i="14"/>
  <c r="L2892" i="14" s="1"/>
  <c r="I2893" i="14" s="1"/>
  <c r="J3056" i="13" a="1"/>
  <c r="J3056" i="13" s="1"/>
  <c r="N3057" i="13"/>
  <c r="M3059" i="13"/>
  <c r="N3056" i="14"/>
  <c r="J3055" i="14" a="1"/>
  <c r="J3055" i="14" s="1"/>
  <c r="M3060" i="14"/>
  <c r="K2893" i="14" l="1"/>
  <c r="L2893" i="14" s="1"/>
  <c r="I2894" i="14" s="1"/>
  <c r="K2871" i="13"/>
  <c r="L2871" i="13" s="1"/>
  <c r="I2872" i="13" s="1"/>
  <c r="M3061" i="14"/>
  <c r="M3060" i="13"/>
  <c r="J3057" i="13" a="1"/>
  <c r="J3057" i="13" s="1"/>
  <c r="N3058" i="13"/>
  <c r="J3056" i="14" a="1"/>
  <c r="J3056" i="14" s="1"/>
  <c r="N3057" i="14"/>
  <c r="K2872" i="13" l="1"/>
  <c r="L2872" i="13" s="1"/>
  <c r="I2873" i="13" s="1"/>
  <c r="K2894" i="14"/>
  <c r="L2894" i="14" s="1"/>
  <c r="I2895" i="14" s="1"/>
  <c r="M3061" i="13"/>
  <c r="N3059" i="13"/>
  <c r="J3058" i="13" a="1"/>
  <c r="J3058" i="13" s="1"/>
  <c r="J3057" i="14" a="1"/>
  <c r="J3057" i="14" s="1"/>
  <c r="N3058" i="14"/>
  <c r="M3062" i="14"/>
  <c r="K2895" i="14" l="1"/>
  <c r="L2895" i="14" s="1"/>
  <c r="I2896" i="14" s="1"/>
  <c r="K2873" i="13"/>
  <c r="L2873" i="13" s="1"/>
  <c r="I2874" i="13" s="1"/>
  <c r="J3059" i="13" a="1"/>
  <c r="J3059" i="13" s="1"/>
  <c r="N3060" i="13"/>
  <c r="N3059" i="14"/>
  <c r="J3058" i="14" a="1"/>
  <c r="J3058" i="14" s="1"/>
  <c r="M3062" i="13"/>
  <c r="M3063" i="14"/>
  <c r="K2874" i="13" l="1"/>
  <c r="L2874" i="13" s="1"/>
  <c r="I2875" i="13" s="1"/>
  <c r="K2896" i="14"/>
  <c r="L2896" i="14" s="1"/>
  <c r="I2897" i="14" s="1"/>
  <c r="N3060" i="14"/>
  <c r="J3059" i="14" a="1"/>
  <c r="J3059" i="14" s="1"/>
  <c r="J3060" i="13" a="1"/>
  <c r="J3060" i="13" s="1"/>
  <c r="N3061" i="13"/>
  <c r="M3064" i="14"/>
  <c r="M3063" i="13"/>
  <c r="K2897" i="14" l="1"/>
  <c r="L2897" i="14" s="1"/>
  <c r="I2898" i="14" s="1"/>
  <c r="K2875" i="13"/>
  <c r="L2875" i="13" s="1"/>
  <c r="I2876" i="13" s="1"/>
  <c r="J3061" i="13" a="1"/>
  <c r="J3061" i="13" s="1"/>
  <c r="N3062" i="13"/>
  <c r="M3064" i="13"/>
  <c r="M3065" i="14"/>
  <c r="J3060" i="14" a="1"/>
  <c r="J3060" i="14" s="1"/>
  <c r="N3061" i="14"/>
  <c r="K2876" i="13" l="1"/>
  <c r="L2876" i="13" s="1"/>
  <c r="I2877" i="13" s="1"/>
  <c r="K2898" i="14"/>
  <c r="L2898" i="14" s="1"/>
  <c r="I2899" i="14" s="1"/>
  <c r="M3065" i="13"/>
  <c r="N3063" i="13"/>
  <c r="J3062" i="13" a="1"/>
  <c r="J3062" i="13" s="1"/>
  <c r="J3061" i="14" a="1"/>
  <c r="J3061" i="14" s="1"/>
  <c r="N3062" i="14"/>
  <c r="M3066" i="14"/>
  <c r="K2899" i="14" l="1"/>
  <c r="L2899" i="14" s="1"/>
  <c r="I2900" i="14" s="1"/>
  <c r="K2877" i="13"/>
  <c r="L2877" i="13" s="1"/>
  <c r="I2878" i="13" s="1"/>
  <c r="M3067" i="14"/>
  <c r="J3063" i="13" a="1"/>
  <c r="J3063" i="13" s="1"/>
  <c r="N3064" i="13"/>
  <c r="N3063" i="14"/>
  <c r="J3062" i="14" a="1"/>
  <c r="J3062" i="14" s="1"/>
  <c r="M3066" i="13"/>
  <c r="K2878" i="13" l="1"/>
  <c r="L2878" i="13" s="1"/>
  <c r="I2879" i="13" s="1"/>
  <c r="K2900" i="14"/>
  <c r="L2900" i="14" s="1"/>
  <c r="I2901" i="14" s="1"/>
  <c r="J3064" i="13" a="1"/>
  <c r="J3064" i="13" s="1"/>
  <c r="N3065" i="13"/>
  <c r="M3067" i="13"/>
  <c r="N3064" i="14"/>
  <c r="J3063" i="14" a="1"/>
  <c r="J3063" i="14" s="1"/>
  <c r="M3068" i="14"/>
  <c r="K2901" i="14" l="1"/>
  <c r="L2901" i="14" s="1"/>
  <c r="I2902" i="14" s="1"/>
  <c r="K2879" i="13"/>
  <c r="L2879" i="13" s="1"/>
  <c r="I2880" i="13" s="1"/>
  <c r="M3069" i="14"/>
  <c r="M3068" i="13"/>
  <c r="J3065" i="13" a="1"/>
  <c r="J3065" i="13" s="1"/>
  <c r="N3066" i="13"/>
  <c r="J3064" i="14" a="1"/>
  <c r="J3064" i="14" s="1"/>
  <c r="N3065" i="14"/>
  <c r="K2880" i="13" l="1"/>
  <c r="L2880" i="13" s="1"/>
  <c r="I2881" i="13" s="1"/>
  <c r="K2902" i="14"/>
  <c r="L2902" i="14" s="1"/>
  <c r="I2903" i="14" s="1"/>
  <c r="M3069" i="13"/>
  <c r="N3067" i="13"/>
  <c r="J3066" i="13" a="1"/>
  <c r="J3066" i="13" s="1"/>
  <c r="J3065" i="14" a="1"/>
  <c r="J3065" i="14" s="1"/>
  <c r="N3066" i="14"/>
  <c r="M3070" i="14"/>
  <c r="K2903" i="14" l="1"/>
  <c r="L2903" i="14" s="1"/>
  <c r="I2904" i="14" s="1"/>
  <c r="K2881" i="13"/>
  <c r="L2881" i="13" s="1"/>
  <c r="I2882" i="13" s="1"/>
  <c r="J3067" i="13" a="1"/>
  <c r="J3067" i="13" s="1"/>
  <c r="N3068" i="13"/>
  <c r="N3067" i="14"/>
  <c r="J3066" i="14" a="1"/>
  <c r="J3066" i="14" s="1"/>
  <c r="M3070" i="13"/>
  <c r="M3071" i="14"/>
  <c r="K2882" i="13" l="1"/>
  <c r="L2882" i="13" s="1"/>
  <c r="I2883" i="13" s="1"/>
  <c r="K2904" i="14"/>
  <c r="L2904" i="14" s="1"/>
  <c r="I2905" i="14" s="1"/>
  <c r="M3072" i="14"/>
  <c r="N3068" i="14"/>
  <c r="J3067" i="14" a="1"/>
  <c r="J3067" i="14" s="1"/>
  <c r="J3068" i="13" a="1"/>
  <c r="J3068" i="13" s="1"/>
  <c r="N3069" i="13"/>
  <c r="M3071" i="13"/>
  <c r="K2905" i="14" l="1"/>
  <c r="L2905" i="14" s="1"/>
  <c r="I2906" i="14" s="1"/>
  <c r="K2883" i="13"/>
  <c r="L2883" i="13" s="1"/>
  <c r="I2884" i="13" s="1"/>
  <c r="M3072" i="13"/>
  <c r="J3068" i="14" a="1"/>
  <c r="J3068" i="14" s="1"/>
  <c r="N3069" i="14"/>
  <c r="J3069" i="13" a="1"/>
  <c r="J3069" i="13" s="1"/>
  <c r="N3070" i="13"/>
  <c r="M3073" i="14"/>
  <c r="K2884" i="13" l="1"/>
  <c r="L2884" i="13" s="1"/>
  <c r="I2885" i="13" s="1"/>
  <c r="K2906" i="14"/>
  <c r="L2906" i="14" s="1"/>
  <c r="I2907" i="14" s="1"/>
  <c r="J3069" i="14" a="1"/>
  <c r="J3069" i="14" s="1"/>
  <c r="N3070" i="14"/>
  <c r="M3074" i="14"/>
  <c r="N3071" i="13"/>
  <c r="J3070" i="13" a="1"/>
  <c r="J3070" i="13" s="1"/>
  <c r="M3073" i="13"/>
  <c r="K2907" i="14" l="1"/>
  <c r="L2907" i="14" s="1"/>
  <c r="I2908" i="14" s="1"/>
  <c r="K2885" i="13"/>
  <c r="L2885" i="13" s="1"/>
  <c r="I2886" i="13" s="1"/>
  <c r="M3074" i="13"/>
  <c r="J3071" i="13" a="1"/>
  <c r="J3071" i="13" s="1"/>
  <c r="N3072" i="13"/>
  <c r="M3075" i="14"/>
  <c r="N3071" i="14"/>
  <c r="J3070" i="14" a="1"/>
  <c r="J3070" i="14" s="1"/>
  <c r="K2886" i="13" l="1"/>
  <c r="L2886" i="13" s="1"/>
  <c r="I2887" i="13" s="1"/>
  <c r="K2908" i="14"/>
  <c r="L2908" i="14" s="1"/>
  <c r="I2909" i="14" s="1"/>
  <c r="J3072" i="13" a="1"/>
  <c r="J3072" i="13" s="1"/>
  <c r="N3073" i="13"/>
  <c r="N3072" i="14"/>
  <c r="J3071" i="14" a="1"/>
  <c r="J3071" i="14" s="1"/>
  <c r="M3076" i="14"/>
  <c r="M3075" i="13"/>
  <c r="K2909" i="14" l="1"/>
  <c r="L2909" i="14" s="1"/>
  <c r="I2910" i="14" s="1"/>
  <c r="K2887" i="13"/>
  <c r="L2887" i="13" s="1"/>
  <c r="I2888" i="13" s="1"/>
  <c r="J3072" i="14" a="1"/>
  <c r="J3072" i="14" s="1"/>
  <c r="N3073" i="14"/>
  <c r="J3073" i="13" a="1"/>
  <c r="J3073" i="13" s="1"/>
  <c r="N3074" i="13"/>
  <c r="M3076" i="13"/>
  <c r="M3077" i="14"/>
  <c r="K2888" i="13" l="1"/>
  <c r="L2888" i="13" s="1"/>
  <c r="I2889" i="13" s="1"/>
  <c r="K2910" i="14"/>
  <c r="L2910" i="14" s="1"/>
  <c r="I2911" i="14" s="1"/>
  <c r="N3075" i="13"/>
  <c r="J3074" i="13" a="1"/>
  <c r="J3074" i="13" s="1"/>
  <c r="J3073" i="14" a="1"/>
  <c r="J3073" i="14" s="1"/>
  <c r="N3074" i="14"/>
  <c r="M3078" i="14"/>
  <c r="M3077" i="13"/>
  <c r="K2911" i="14" l="1"/>
  <c r="L2911" i="14" s="1"/>
  <c r="I2912" i="14" s="1"/>
  <c r="K2889" i="13"/>
  <c r="L2889" i="13" s="1"/>
  <c r="I2890" i="13" s="1"/>
  <c r="N3075" i="14"/>
  <c r="J3074" i="14" a="1"/>
  <c r="J3074" i="14" s="1"/>
  <c r="M3078" i="13"/>
  <c r="M3079" i="14"/>
  <c r="J3075" i="13" a="1"/>
  <c r="J3075" i="13" s="1"/>
  <c r="N3076" i="13"/>
  <c r="K2890" i="13" l="1"/>
  <c r="L2890" i="13" s="1"/>
  <c r="I2891" i="13" s="1"/>
  <c r="K2912" i="14"/>
  <c r="L2912" i="14" s="1"/>
  <c r="I2913" i="14" s="1"/>
  <c r="J3076" i="13" a="1"/>
  <c r="J3076" i="13" s="1"/>
  <c r="N3077" i="13"/>
  <c r="M3079" i="13"/>
  <c r="M3080" i="14"/>
  <c r="N3076" i="14"/>
  <c r="J3075" i="14" a="1"/>
  <c r="J3075" i="14" s="1"/>
  <c r="K2913" i="14" l="1"/>
  <c r="L2913" i="14" s="1"/>
  <c r="I2914" i="14" s="1"/>
  <c r="K2891" i="13"/>
  <c r="L2891" i="13" s="1"/>
  <c r="I2892" i="13" s="1"/>
  <c r="J3076" i="14" a="1"/>
  <c r="J3076" i="14" s="1"/>
  <c r="N3077" i="14"/>
  <c r="M3080" i="13"/>
  <c r="J3077" i="13" a="1"/>
  <c r="J3077" i="13" s="1"/>
  <c r="N3078" i="13"/>
  <c r="M3081" i="14"/>
  <c r="K2892" i="13" l="1"/>
  <c r="L2892" i="13" s="1"/>
  <c r="I2893" i="13" s="1"/>
  <c r="K2914" i="14"/>
  <c r="L2914" i="14" s="1"/>
  <c r="I2915" i="14" s="1"/>
  <c r="N3079" i="13"/>
  <c r="J3078" i="13" a="1"/>
  <c r="J3078" i="13" s="1"/>
  <c r="M3082" i="14"/>
  <c r="M3081" i="13"/>
  <c r="J3077" i="14" a="1"/>
  <c r="J3077" i="14" s="1"/>
  <c r="N3078" i="14"/>
  <c r="K2915" i="14" l="1"/>
  <c r="L2915" i="14" s="1"/>
  <c r="I2916" i="14" s="1"/>
  <c r="K2893" i="13"/>
  <c r="L2893" i="13" s="1"/>
  <c r="I2894" i="13" s="1"/>
  <c r="N3079" i="14"/>
  <c r="J3078" i="14" a="1"/>
  <c r="J3078" i="14" s="1"/>
  <c r="M3083" i="14"/>
  <c r="M3082" i="13"/>
  <c r="J3079" i="13" a="1"/>
  <c r="J3079" i="13" s="1"/>
  <c r="N3080" i="13"/>
  <c r="K2916" i="14" l="1"/>
  <c r="L2916" i="14" s="1"/>
  <c r="I2917" i="14" s="1"/>
  <c r="K2894" i="13"/>
  <c r="L2894" i="13" s="1"/>
  <c r="I2895" i="13" s="1"/>
  <c r="J3080" i="13" a="1"/>
  <c r="J3080" i="13" s="1"/>
  <c r="N3081" i="13"/>
  <c r="M3084" i="14"/>
  <c r="M3083" i="13"/>
  <c r="N3080" i="14"/>
  <c r="J3079" i="14" a="1"/>
  <c r="J3079" i="14" s="1"/>
  <c r="K2895" i="13" l="1"/>
  <c r="L2895" i="13" s="1"/>
  <c r="I2896" i="13" s="1"/>
  <c r="K2917" i="14"/>
  <c r="L2917" i="14" s="1"/>
  <c r="I2918" i="14" s="1"/>
  <c r="M3084" i="13"/>
  <c r="J3080" i="14" a="1"/>
  <c r="J3080" i="14" s="1"/>
  <c r="N3081" i="14"/>
  <c r="M3085" i="14"/>
  <c r="J3081" i="13" a="1"/>
  <c r="J3081" i="13" s="1"/>
  <c r="N3082" i="13"/>
  <c r="K2918" i="14" l="1"/>
  <c r="L2918" i="14" s="1"/>
  <c r="I2919" i="14" s="1"/>
  <c r="J3081" i="14" a="1"/>
  <c r="J3081" i="14" s="1"/>
  <c r="N3082" i="14"/>
  <c r="M3086" i="14"/>
  <c r="M3085" i="13"/>
  <c r="N3083" i="13"/>
  <c r="J3082" i="13" a="1"/>
  <c r="J3082" i="13" s="1"/>
  <c r="K2896" i="13"/>
  <c r="L2896" i="13" s="1"/>
  <c r="I2897" i="13" s="1"/>
  <c r="K2897" i="13" l="1"/>
  <c r="L2897" i="13" s="1"/>
  <c r="I2898" i="13" s="1"/>
  <c r="K2919" i="14"/>
  <c r="L2919" i="14" s="1"/>
  <c r="I2920" i="14" s="1"/>
  <c r="M3086" i="13"/>
  <c r="M3087" i="14"/>
  <c r="N3083" i="14"/>
  <c r="J3082" i="14" a="1"/>
  <c r="J3082" i="14" s="1"/>
  <c r="J3083" i="13" a="1"/>
  <c r="J3083" i="13" s="1"/>
  <c r="N3084" i="13"/>
  <c r="K2920" i="14" l="1"/>
  <c r="L2920" i="14" s="1"/>
  <c r="I2921" i="14" s="1"/>
  <c r="K2898" i="13"/>
  <c r="L2898" i="13" s="1"/>
  <c r="I2899" i="13" s="1"/>
  <c r="M3088" i="14"/>
  <c r="J3084" i="13" a="1"/>
  <c r="J3084" i="13" s="1"/>
  <c r="N3085" i="13"/>
  <c r="N3084" i="14"/>
  <c r="J3083" i="14" a="1"/>
  <c r="J3083" i="14" s="1"/>
  <c r="M3087" i="13"/>
  <c r="K2899" i="13" l="1"/>
  <c r="L2899" i="13" s="1"/>
  <c r="I2900" i="13" s="1"/>
  <c r="K2921" i="14"/>
  <c r="L2921" i="14" s="1"/>
  <c r="I2922" i="14" s="1"/>
  <c r="J3085" i="13" a="1"/>
  <c r="J3085" i="13" s="1"/>
  <c r="N3086" i="13"/>
  <c r="M3088" i="13"/>
  <c r="J3084" i="14" a="1"/>
  <c r="J3084" i="14" s="1"/>
  <c r="N3085" i="14"/>
  <c r="M3089" i="14"/>
  <c r="K2922" i="14" l="1"/>
  <c r="L2922" i="14" s="1"/>
  <c r="I2923" i="14" s="1"/>
  <c r="K2900" i="13"/>
  <c r="L2900" i="13" s="1"/>
  <c r="I2901" i="13" s="1"/>
  <c r="M3090" i="14"/>
  <c r="M3089" i="13"/>
  <c r="N3087" i="13"/>
  <c r="J3086" i="13" a="1"/>
  <c r="J3086" i="13" s="1"/>
  <c r="J3085" i="14" a="1"/>
  <c r="J3085" i="14" s="1"/>
  <c r="N3086" i="14"/>
  <c r="K2923" i="14" l="1"/>
  <c r="L2923" i="14" s="1"/>
  <c r="I2924" i="14" s="1"/>
  <c r="N3087" i="14"/>
  <c r="J3086" i="14" a="1"/>
  <c r="J3086" i="14" s="1"/>
  <c r="M3090" i="13"/>
  <c r="K2901" i="13"/>
  <c r="L2901" i="13" s="1"/>
  <c r="I2902" i="13" s="1"/>
  <c r="M3091" i="14"/>
  <c r="J3087" i="13" a="1"/>
  <c r="J3087" i="13" s="1"/>
  <c r="N3088" i="13"/>
  <c r="K2902" i="13" l="1"/>
  <c r="L2902" i="13" s="1"/>
  <c r="I2903" i="13" s="1"/>
  <c r="K2924" i="14"/>
  <c r="L2924" i="14" s="1"/>
  <c r="I2925" i="14" s="1"/>
  <c r="J3088" i="13" a="1"/>
  <c r="J3088" i="13" s="1"/>
  <c r="N3089" i="13"/>
  <c r="N3088" i="14"/>
  <c r="J3087" i="14" a="1"/>
  <c r="J3087" i="14" s="1"/>
  <c r="M3092" i="14"/>
  <c r="M3091" i="13"/>
  <c r="K2903" i="13" l="1"/>
  <c r="L2903" i="13" s="1"/>
  <c r="I2904" i="13" s="1"/>
  <c r="J3088" i="14" a="1"/>
  <c r="J3088" i="14" s="1"/>
  <c r="N3089" i="14"/>
  <c r="K2925" i="14"/>
  <c r="L2925" i="14" s="1"/>
  <c r="I2926" i="14" s="1"/>
  <c r="M3092" i="13"/>
  <c r="J3089" i="13" a="1"/>
  <c r="J3089" i="13" s="1"/>
  <c r="N3090" i="13"/>
  <c r="M3093" i="14"/>
  <c r="K2926" i="14" l="1"/>
  <c r="L2926" i="14" s="1"/>
  <c r="I2927" i="14" s="1"/>
  <c r="K2904" i="13"/>
  <c r="L2904" i="13" s="1"/>
  <c r="I2905" i="13" s="1"/>
  <c r="M3094" i="14"/>
  <c r="M3093" i="13"/>
  <c r="J3089" i="14" a="1"/>
  <c r="J3089" i="14" s="1"/>
  <c r="N3090" i="14"/>
  <c r="N3091" i="13"/>
  <c r="J3090" i="13" a="1"/>
  <c r="J3090" i="13" s="1"/>
  <c r="K2927" i="14" l="1"/>
  <c r="L2927" i="14" s="1"/>
  <c r="I2928" i="14" s="1"/>
  <c r="M3094" i="13"/>
  <c r="K2905" i="13"/>
  <c r="L2905" i="13" s="1"/>
  <c r="I2906" i="13" s="1"/>
  <c r="N3091" i="14"/>
  <c r="J3090" i="14" a="1"/>
  <c r="J3090" i="14" s="1"/>
  <c r="J3091" i="13" a="1"/>
  <c r="J3091" i="13" s="1"/>
  <c r="N3092" i="13"/>
  <c r="M3095" i="14"/>
  <c r="K2906" i="13" l="1"/>
  <c r="L2906" i="13" s="1"/>
  <c r="I2907" i="13" s="1"/>
  <c r="K2928" i="14"/>
  <c r="L2928" i="14" s="1"/>
  <c r="I2929" i="14" s="1"/>
  <c r="N3092" i="14"/>
  <c r="J3091" i="14" a="1"/>
  <c r="J3091" i="14" s="1"/>
  <c r="M3095" i="13"/>
  <c r="M3096" i="14"/>
  <c r="J3092" i="13" a="1"/>
  <c r="J3092" i="13" s="1"/>
  <c r="N3093" i="13"/>
  <c r="K2929" i="14" l="1"/>
  <c r="L2929" i="14" s="1"/>
  <c r="I2930" i="14" s="1"/>
  <c r="K2907" i="13"/>
  <c r="L2907" i="13" s="1"/>
  <c r="I2908" i="13" s="1"/>
  <c r="J3093" i="13" a="1"/>
  <c r="J3093" i="13" s="1"/>
  <c r="N3094" i="13"/>
  <c r="M3096" i="13"/>
  <c r="M3097" i="14"/>
  <c r="J3092" i="14" a="1"/>
  <c r="J3092" i="14" s="1"/>
  <c r="N3093" i="14"/>
  <c r="K2930" i="14" l="1"/>
  <c r="L2930" i="14" s="1"/>
  <c r="I2931" i="14" s="1"/>
  <c r="J3093" i="14" a="1"/>
  <c r="J3093" i="14" s="1"/>
  <c r="N3094" i="14"/>
  <c r="M3097" i="13"/>
  <c r="K2908" i="13"/>
  <c r="L2908" i="13" s="1"/>
  <c r="I2909" i="13" s="1"/>
  <c r="M3098" i="14"/>
  <c r="N3095" i="13"/>
  <c r="J3094" i="13" a="1"/>
  <c r="J3094" i="13" s="1"/>
  <c r="K2909" i="13" l="1"/>
  <c r="L2909" i="13" s="1"/>
  <c r="I2910" i="13" s="1"/>
  <c r="K2931" i="14"/>
  <c r="L2931" i="14" s="1"/>
  <c r="I2932" i="14" s="1"/>
  <c r="N3095" i="14"/>
  <c r="J3094" i="14" a="1"/>
  <c r="J3094" i="14" s="1"/>
  <c r="J3095" i="13" a="1"/>
  <c r="J3095" i="13" s="1"/>
  <c r="N3096" i="13"/>
  <c r="M3099" i="14"/>
  <c r="M3098" i="13"/>
  <c r="K2932" i="14" l="1"/>
  <c r="L2932" i="14" s="1"/>
  <c r="I2933" i="14" s="1"/>
  <c r="K2910" i="13"/>
  <c r="L2910" i="13" s="1"/>
  <c r="I2911" i="13" s="1"/>
  <c r="M3100" i="14"/>
  <c r="J3096" i="13" a="1"/>
  <c r="J3096" i="13" s="1"/>
  <c r="N3097" i="13"/>
  <c r="M3099" i="13"/>
  <c r="N3096" i="14"/>
  <c r="J3095" i="14" a="1"/>
  <c r="J3095" i="14" s="1"/>
  <c r="K2911" i="13" l="1"/>
  <c r="L2911" i="13" s="1"/>
  <c r="I2912" i="13" s="1"/>
  <c r="K2933" i="14"/>
  <c r="L2933" i="14" s="1"/>
  <c r="I2934" i="14" s="1"/>
  <c r="J3097" i="13" a="1"/>
  <c r="J3097" i="13" s="1"/>
  <c r="N3098" i="13"/>
  <c r="J3096" i="14" a="1"/>
  <c r="J3096" i="14" s="1"/>
  <c r="N3097" i="14"/>
  <c r="M3100" i="13"/>
  <c r="M3101" i="14"/>
  <c r="K2934" i="14" l="1"/>
  <c r="L2934" i="14" s="1"/>
  <c r="I2935" i="14" s="1"/>
  <c r="K2912" i="13"/>
  <c r="L2912" i="13" s="1"/>
  <c r="I2913" i="13" s="1"/>
  <c r="J3097" i="14" a="1"/>
  <c r="J3097" i="14" s="1"/>
  <c r="N3098" i="14"/>
  <c r="N3099" i="13"/>
  <c r="J3098" i="13" a="1"/>
  <c r="J3098" i="13" s="1"/>
  <c r="M3102" i="14"/>
  <c r="M3101" i="13"/>
  <c r="K2913" i="13" l="1"/>
  <c r="L2913" i="13" s="1"/>
  <c r="I2914" i="13" s="1"/>
  <c r="K2935" i="14"/>
  <c r="L2935" i="14" s="1"/>
  <c r="I2936" i="14" s="1"/>
  <c r="J3099" i="13" a="1"/>
  <c r="J3099" i="13" s="1"/>
  <c r="N3100" i="13"/>
  <c r="M3103" i="14"/>
  <c r="M3102" i="13"/>
  <c r="N3099" i="14"/>
  <c r="J3098" i="14" a="1"/>
  <c r="J3098" i="14" s="1"/>
  <c r="K2914" i="13" l="1"/>
  <c r="L2914" i="13" s="1"/>
  <c r="I2915" i="13" s="1"/>
  <c r="K2936" i="14"/>
  <c r="L2936" i="14" s="1"/>
  <c r="I2937" i="14" s="1"/>
  <c r="N3100" i="14"/>
  <c r="J3099" i="14" a="1"/>
  <c r="J3099" i="14" s="1"/>
  <c r="M3104" i="14"/>
  <c r="J3100" i="13" a="1"/>
  <c r="J3100" i="13" s="1"/>
  <c r="N3101" i="13"/>
  <c r="M3103" i="13"/>
  <c r="K2915" i="13" l="1"/>
  <c r="L2915" i="13" s="1"/>
  <c r="I2916" i="13" s="1"/>
  <c r="M3104" i="13"/>
  <c r="M3105" i="14"/>
  <c r="K2937" i="14"/>
  <c r="L2937" i="14" s="1"/>
  <c r="I2938" i="14" s="1"/>
  <c r="J3101" i="13" a="1"/>
  <c r="J3101" i="13" s="1"/>
  <c r="N3102" i="13"/>
  <c r="J3100" i="14" a="1"/>
  <c r="J3100" i="14" s="1"/>
  <c r="N3101" i="14"/>
  <c r="K2916" i="13" l="1"/>
  <c r="L2916" i="13" s="1"/>
  <c r="I2917" i="13" s="1"/>
  <c r="K2938" i="14"/>
  <c r="L2938" i="14" s="1"/>
  <c r="I2939" i="14" s="1"/>
  <c r="J3101" i="14" a="1"/>
  <c r="J3101" i="14" s="1"/>
  <c r="N3102" i="14"/>
  <c r="M3105" i="13"/>
  <c r="N3103" i="13"/>
  <c r="J3102" i="13" a="1"/>
  <c r="J3102" i="13" s="1"/>
  <c r="M3106" i="14"/>
  <c r="K2917" i="13" l="1"/>
  <c r="L2917" i="13" s="1"/>
  <c r="I2918" i="13" s="1"/>
  <c r="M3106" i="13"/>
  <c r="K2939" i="14"/>
  <c r="L2939" i="14" s="1"/>
  <c r="I2940" i="14" s="1"/>
  <c r="N3103" i="14"/>
  <c r="J3102" i="14" a="1"/>
  <c r="J3102" i="14" s="1"/>
  <c r="M3107" i="14"/>
  <c r="J3103" i="13" a="1"/>
  <c r="J3103" i="13" s="1"/>
  <c r="N3104" i="13"/>
  <c r="K2940" i="14" l="1"/>
  <c r="L2940" i="14" s="1"/>
  <c r="I2941" i="14" s="1"/>
  <c r="K2918" i="13"/>
  <c r="L2918" i="13" s="1"/>
  <c r="I2919" i="13" s="1"/>
  <c r="N3104" i="14"/>
  <c r="J3103" i="14" a="1"/>
  <c r="J3103" i="14" s="1"/>
  <c r="M3107" i="13"/>
  <c r="J3104" i="13" a="1"/>
  <c r="J3104" i="13" s="1"/>
  <c r="N3105" i="13"/>
  <c r="M3108" i="14"/>
  <c r="K2919" i="13" l="1"/>
  <c r="L2919" i="13" s="1"/>
  <c r="I2920" i="13" s="1"/>
  <c r="K2941" i="14"/>
  <c r="L2941" i="14" s="1"/>
  <c r="I2942" i="14" s="1"/>
  <c r="M3109" i="14"/>
  <c r="M3108" i="13"/>
  <c r="J3105" i="13" a="1"/>
  <c r="J3105" i="13" s="1"/>
  <c r="N3106" i="13"/>
  <c r="J3104" i="14" a="1"/>
  <c r="J3104" i="14" s="1"/>
  <c r="N3105" i="14"/>
  <c r="K2942" i="14" l="1"/>
  <c r="L2942" i="14" s="1"/>
  <c r="I2943" i="14" s="1"/>
  <c r="K2920" i="13"/>
  <c r="L2920" i="13" s="1"/>
  <c r="I2921" i="13" s="1"/>
  <c r="N3107" i="13"/>
  <c r="J3106" i="13" a="1"/>
  <c r="J3106" i="13" s="1"/>
  <c r="J3105" i="14" a="1"/>
  <c r="J3105" i="14" s="1"/>
  <c r="N3106" i="14"/>
  <c r="M3109" i="13"/>
  <c r="M3110" i="14"/>
  <c r="K2943" i="14" l="1"/>
  <c r="L2943" i="14" s="1"/>
  <c r="I2944" i="14" s="1"/>
  <c r="N3107" i="14"/>
  <c r="J3106" i="14" a="1"/>
  <c r="J3106" i="14" s="1"/>
  <c r="K2921" i="13"/>
  <c r="L2921" i="13" s="1"/>
  <c r="I2922" i="13" s="1"/>
  <c r="M3111" i="14"/>
  <c r="M3110" i="13"/>
  <c r="J3107" i="13" a="1"/>
  <c r="J3107" i="13" s="1"/>
  <c r="N3108" i="13"/>
  <c r="K2922" i="13" l="1"/>
  <c r="L2922" i="13" s="1"/>
  <c r="I2923" i="13" s="1"/>
  <c r="K2944" i="14"/>
  <c r="L2944" i="14" s="1"/>
  <c r="I2945" i="14" s="1"/>
  <c r="J3108" i="13" a="1"/>
  <c r="J3108" i="13" s="1"/>
  <c r="N3109" i="13"/>
  <c r="M3112" i="14"/>
  <c r="N3108" i="14"/>
  <c r="J3107" i="14" a="1"/>
  <c r="J3107" i="14" s="1"/>
  <c r="M3111" i="13"/>
  <c r="K2923" i="13" l="1"/>
  <c r="L2923" i="13" s="1"/>
  <c r="I2924" i="13" s="1"/>
  <c r="K2945" i="14"/>
  <c r="L2945" i="14" s="1"/>
  <c r="I2946" i="14" s="1"/>
  <c r="J3109" i="13" a="1"/>
  <c r="J3109" i="13" s="1"/>
  <c r="N3110" i="13"/>
  <c r="M3112" i="13"/>
  <c r="M3113" i="14"/>
  <c r="J3108" i="14" a="1"/>
  <c r="J3108" i="14" s="1"/>
  <c r="N3109" i="14"/>
  <c r="K2946" i="14" l="1"/>
  <c r="L2946" i="14" s="1"/>
  <c r="I2947" i="14" s="1"/>
  <c r="K2924" i="13"/>
  <c r="L2924" i="13" s="1"/>
  <c r="I2925" i="13" s="1"/>
  <c r="N3111" i="13"/>
  <c r="J3110" i="13" a="1"/>
  <c r="J3110" i="13" s="1"/>
  <c r="J3109" i="14" a="1"/>
  <c r="J3109" i="14" s="1"/>
  <c r="N3110" i="14"/>
  <c r="M3113" i="13"/>
  <c r="M3114" i="14"/>
  <c r="K2947" i="14" l="1"/>
  <c r="L2947" i="14" s="1"/>
  <c r="I2948" i="14" s="1"/>
  <c r="N3111" i="14"/>
  <c r="J3110" i="14" a="1"/>
  <c r="J3110" i="14" s="1"/>
  <c r="K2925" i="13"/>
  <c r="L2925" i="13" s="1"/>
  <c r="I2926" i="13" s="1"/>
  <c r="M3115" i="14"/>
  <c r="M3114" i="13"/>
  <c r="J3111" i="13" a="1"/>
  <c r="J3111" i="13" s="1"/>
  <c r="N3112" i="13"/>
  <c r="K2926" i="13" l="1"/>
  <c r="L2926" i="13" s="1"/>
  <c r="I2927" i="13" s="1"/>
  <c r="K2948" i="14"/>
  <c r="L2948" i="14" s="1"/>
  <c r="I2949" i="14" s="1"/>
  <c r="N3112" i="14"/>
  <c r="J3111" i="14" a="1"/>
  <c r="J3111" i="14" s="1"/>
  <c r="J3112" i="13" a="1"/>
  <c r="J3112" i="13" s="1"/>
  <c r="N3113" i="13"/>
  <c r="M3116" i="14"/>
  <c r="M3115" i="13"/>
  <c r="K2949" i="14" l="1"/>
  <c r="L2949" i="14" s="1"/>
  <c r="I2950" i="14" s="1"/>
  <c r="K2927" i="13"/>
  <c r="L2927" i="13" s="1"/>
  <c r="I2928" i="13" s="1"/>
  <c r="J3113" i="13" a="1"/>
  <c r="J3113" i="13" s="1"/>
  <c r="N3114" i="13"/>
  <c r="M3116" i="13"/>
  <c r="M3117" i="14"/>
  <c r="J3112" i="14" a="1"/>
  <c r="J3112" i="14" s="1"/>
  <c r="N3113" i="14"/>
  <c r="K2928" i="13" l="1"/>
  <c r="L2928" i="13" s="1"/>
  <c r="I2929" i="13" s="1"/>
  <c r="K2950" i="14"/>
  <c r="L2950" i="14" s="1"/>
  <c r="I2951" i="14" s="1"/>
  <c r="J3113" i="14" a="1"/>
  <c r="J3113" i="14" s="1"/>
  <c r="N3114" i="14"/>
  <c r="M3117" i="13"/>
  <c r="N3115" i="13"/>
  <c r="J3114" i="13" a="1"/>
  <c r="J3114" i="13" s="1"/>
  <c r="M3118" i="14"/>
  <c r="K2951" i="14" l="1"/>
  <c r="L2951" i="14" s="1"/>
  <c r="I2952" i="14" s="1"/>
  <c r="K2929" i="13"/>
  <c r="L2929" i="13" s="1"/>
  <c r="I2930" i="13" s="1"/>
  <c r="M3119" i="14"/>
  <c r="M3118" i="13"/>
  <c r="N3115" i="14"/>
  <c r="J3114" i="14" a="1"/>
  <c r="J3114" i="14" s="1"/>
  <c r="J3115" i="13" a="1"/>
  <c r="J3115" i="13" s="1"/>
  <c r="N3116" i="13"/>
  <c r="K2930" i="13" l="1"/>
  <c r="L2930" i="13" s="1"/>
  <c r="I2931" i="13" s="1"/>
  <c r="K2952" i="14"/>
  <c r="L2952" i="14" s="1"/>
  <c r="I2953" i="14" s="1"/>
  <c r="J3116" i="13" a="1"/>
  <c r="J3116" i="13" s="1"/>
  <c r="N3117" i="13"/>
  <c r="M3119" i="13"/>
  <c r="N3116" i="14"/>
  <c r="J3115" i="14" a="1"/>
  <c r="J3115" i="14" s="1"/>
  <c r="M3120" i="14"/>
  <c r="K2953" i="14" l="1"/>
  <c r="L2953" i="14" s="1"/>
  <c r="I2954" i="14" s="1"/>
  <c r="K2931" i="13"/>
  <c r="L2931" i="13" s="1"/>
  <c r="I2932" i="13" s="1"/>
  <c r="M3121" i="14"/>
  <c r="M3120" i="13"/>
  <c r="J3117" i="13" a="1"/>
  <c r="J3117" i="13" s="1"/>
  <c r="N3118" i="13"/>
  <c r="J3116" i="14" a="1"/>
  <c r="J3116" i="14" s="1"/>
  <c r="N3117" i="14"/>
  <c r="K2932" i="13" l="1"/>
  <c r="L2932" i="13" s="1"/>
  <c r="I2933" i="13" s="1"/>
  <c r="M3121" i="13"/>
  <c r="J3117" i="14" a="1"/>
  <c r="J3117" i="14" s="1"/>
  <c r="N3118" i="14"/>
  <c r="N3119" i="13"/>
  <c r="J3118" i="13" a="1"/>
  <c r="J3118" i="13" s="1"/>
  <c r="M3122" i="14"/>
  <c r="K2954" i="14"/>
  <c r="L2954" i="14" s="1"/>
  <c r="I2955" i="14" s="1"/>
  <c r="K2955" i="14" l="1"/>
  <c r="L2955" i="14" s="1"/>
  <c r="I2956" i="14" s="1"/>
  <c r="K2933" i="13"/>
  <c r="L2933" i="13" s="1"/>
  <c r="I2934" i="13" s="1"/>
  <c r="M3122" i="13"/>
  <c r="J3119" i="13" a="1"/>
  <c r="J3119" i="13" s="1"/>
  <c r="N3120" i="13"/>
  <c r="N3119" i="14"/>
  <c r="J3118" i="14" a="1"/>
  <c r="J3118" i="14" s="1"/>
  <c r="M3123" i="14"/>
  <c r="K2956" i="14" l="1"/>
  <c r="L2956" i="14" s="1"/>
  <c r="I2957" i="14" s="1"/>
  <c r="J3120" i="13" a="1"/>
  <c r="J3120" i="13" s="1"/>
  <c r="N3121" i="13"/>
  <c r="M3124" i="14"/>
  <c r="K2934" i="13"/>
  <c r="L2934" i="13" s="1"/>
  <c r="I2935" i="13" s="1"/>
  <c r="N3120" i="14"/>
  <c r="J3119" i="14" a="1"/>
  <c r="J3119" i="14" s="1"/>
  <c r="M3123" i="13"/>
  <c r="K2935" i="13" l="1"/>
  <c r="L2935" i="13" s="1"/>
  <c r="I2936" i="13" s="1"/>
  <c r="K2957" i="14"/>
  <c r="L2957" i="14" s="1"/>
  <c r="I2958" i="14" s="1"/>
  <c r="J3121" i="13" a="1"/>
  <c r="J3121" i="13" s="1"/>
  <c r="N3122" i="13"/>
  <c r="M3124" i="13"/>
  <c r="J3120" i="14" a="1"/>
  <c r="J3120" i="14" s="1"/>
  <c r="N3121" i="14"/>
  <c r="M3125" i="14"/>
  <c r="K2958" i="14" l="1"/>
  <c r="L2958" i="14" s="1"/>
  <c r="I2959" i="14" s="1"/>
  <c r="K2936" i="13"/>
  <c r="L2936" i="13" s="1"/>
  <c r="I2937" i="13" s="1"/>
  <c r="M3126" i="14"/>
  <c r="M3125" i="13"/>
  <c r="N3123" i="13"/>
  <c r="J3122" i="13" a="1"/>
  <c r="J3122" i="13" s="1"/>
  <c r="J3121" i="14" a="1"/>
  <c r="J3121" i="14" s="1"/>
  <c r="N3122" i="14"/>
  <c r="K2937" i="13" l="1"/>
  <c r="L2937" i="13" s="1"/>
  <c r="I2938" i="13" s="1"/>
  <c r="K2959" i="14"/>
  <c r="L2959" i="14" s="1"/>
  <c r="I2960" i="14" s="1"/>
  <c r="M3126" i="13"/>
  <c r="M3127" i="14"/>
  <c r="N3123" i="14"/>
  <c r="J3122" i="14" a="1"/>
  <c r="J3122" i="14" s="1"/>
  <c r="J3123" i="13" a="1"/>
  <c r="J3123" i="13" s="1"/>
  <c r="N3124" i="13"/>
  <c r="K2960" i="14" l="1"/>
  <c r="L2960" i="14" s="1"/>
  <c r="I2961" i="14" s="1"/>
  <c r="K2938" i="13"/>
  <c r="L2938" i="13" s="1"/>
  <c r="I2939" i="13" s="1"/>
  <c r="M3128" i="14"/>
  <c r="J3124" i="13" a="1"/>
  <c r="J3124" i="13" s="1"/>
  <c r="N3125" i="13"/>
  <c r="N3124" i="14"/>
  <c r="J3123" i="14" a="1"/>
  <c r="J3123" i="14" s="1"/>
  <c r="M3127" i="13"/>
  <c r="K2939" i="13" l="1"/>
  <c r="L2939" i="13" s="1"/>
  <c r="I2940" i="13" s="1"/>
  <c r="K2961" i="14"/>
  <c r="L2961" i="14" s="1"/>
  <c r="I2962" i="14" s="1"/>
  <c r="J3125" i="13" a="1"/>
  <c r="J3125" i="13" s="1"/>
  <c r="N3126" i="13"/>
  <c r="M3128" i="13"/>
  <c r="J3124" i="14" a="1"/>
  <c r="J3124" i="14" s="1"/>
  <c r="N3125" i="14"/>
  <c r="M3129" i="14"/>
  <c r="K2962" i="14" l="1"/>
  <c r="L2962" i="14" s="1"/>
  <c r="I2963" i="14" s="1"/>
  <c r="K2940" i="13"/>
  <c r="L2940" i="13" s="1"/>
  <c r="I2941" i="13" s="1"/>
  <c r="J3125" i="14" a="1"/>
  <c r="J3125" i="14" s="1"/>
  <c r="N3126" i="14"/>
  <c r="M3130" i="14"/>
  <c r="M3129" i="13"/>
  <c r="N3127" i="13"/>
  <c r="J3126" i="13" a="1"/>
  <c r="J3126" i="13" s="1"/>
  <c r="K2941" i="13" l="1"/>
  <c r="L2941" i="13" s="1"/>
  <c r="I2942" i="13" s="1"/>
  <c r="K2963" i="14"/>
  <c r="L2963" i="14" s="1"/>
  <c r="I2964" i="14" s="1"/>
  <c r="M3131" i="14"/>
  <c r="J3127" i="13" a="1"/>
  <c r="J3127" i="13" s="1"/>
  <c r="N3128" i="13"/>
  <c r="M3130" i="13"/>
  <c r="N3127" i="14"/>
  <c r="J3126" i="14" a="1"/>
  <c r="J3126" i="14" s="1"/>
  <c r="K2964" i="14" l="1"/>
  <c r="L2964" i="14" s="1"/>
  <c r="I2965" i="14" s="1"/>
  <c r="K2942" i="13"/>
  <c r="L2942" i="13" s="1"/>
  <c r="I2943" i="13" s="1"/>
  <c r="J3128" i="13" a="1"/>
  <c r="J3128" i="13" s="1"/>
  <c r="N3129" i="13"/>
  <c r="N3128" i="14"/>
  <c r="J3127" i="14" a="1"/>
  <c r="J3127" i="14" s="1"/>
  <c r="M3131" i="13"/>
  <c r="M3132" i="14"/>
  <c r="K2943" i="13" l="1"/>
  <c r="L2943" i="13" s="1"/>
  <c r="I2944" i="13" s="1"/>
  <c r="K2965" i="14"/>
  <c r="L2965" i="14" s="1"/>
  <c r="I2966" i="14" s="1"/>
  <c r="J3128" i="14" a="1"/>
  <c r="J3128" i="14" s="1"/>
  <c r="N3129" i="14"/>
  <c r="J3129" i="13" a="1"/>
  <c r="J3129" i="13" s="1"/>
  <c r="N3130" i="13"/>
  <c r="M3133" i="14"/>
  <c r="M3132" i="13"/>
  <c r="K2966" i="14" l="1"/>
  <c r="L2966" i="14" s="1"/>
  <c r="I2967" i="14" s="1"/>
  <c r="K2944" i="13"/>
  <c r="L2944" i="13" s="1"/>
  <c r="I2945" i="13" s="1"/>
  <c r="M3133" i="13"/>
  <c r="N3131" i="13"/>
  <c r="J3130" i="13" a="1"/>
  <c r="J3130" i="13" s="1"/>
  <c r="J3129" i="14" a="1"/>
  <c r="J3129" i="14" s="1"/>
  <c r="N3130" i="14"/>
  <c r="M3134" i="14"/>
  <c r="K2945" i="13" l="1"/>
  <c r="L2945" i="13" s="1"/>
  <c r="I2946" i="13" s="1"/>
  <c r="K2967" i="14"/>
  <c r="L2967" i="14" s="1"/>
  <c r="I2968" i="14" s="1"/>
  <c r="J3131" i="13" a="1"/>
  <c r="J3131" i="13" s="1"/>
  <c r="N3132" i="13"/>
  <c r="N3131" i="14"/>
  <c r="J3130" i="14" a="1"/>
  <c r="J3130" i="14" s="1"/>
  <c r="M3134" i="13"/>
  <c r="M3135" i="14"/>
  <c r="K2968" i="14" l="1"/>
  <c r="L2968" i="14" s="1"/>
  <c r="I2969" i="14" s="1"/>
  <c r="K2946" i="13"/>
  <c r="L2946" i="13" s="1"/>
  <c r="I2947" i="13" s="1"/>
  <c r="N3132" i="14"/>
  <c r="J3131" i="14" a="1"/>
  <c r="J3131" i="14" s="1"/>
  <c r="J3132" i="13" a="1"/>
  <c r="J3132" i="13" s="1"/>
  <c r="N3133" i="13"/>
  <c r="M3136" i="14"/>
  <c r="M3135" i="13"/>
  <c r="K2947" i="13" l="1"/>
  <c r="L2947" i="13" s="1"/>
  <c r="I2948" i="13" s="1"/>
  <c r="K2969" i="14"/>
  <c r="L2969" i="14" s="1"/>
  <c r="I2970" i="14" s="1"/>
  <c r="J3133" i="13" a="1"/>
  <c r="J3133" i="13" s="1"/>
  <c r="N3134" i="13"/>
  <c r="M3136" i="13"/>
  <c r="M3137" i="14"/>
  <c r="J3132" i="14" a="1"/>
  <c r="J3132" i="14" s="1"/>
  <c r="N3133" i="14"/>
  <c r="K2970" i="14" l="1"/>
  <c r="L2970" i="14" s="1"/>
  <c r="I2971" i="14" s="1"/>
  <c r="K2948" i="13"/>
  <c r="L2948" i="13" s="1"/>
  <c r="I2949" i="13" s="1"/>
  <c r="J3133" i="14" a="1"/>
  <c r="J3133" i="14" s="1"/>
  <c r="N3134" i="14"/>
  <c r="M3137" i="13"/>
  <c r="M3138" i="14"/>
  <c r="N3135" i="13"/>
  <c r="J3134" i="13" a="1"/>
  <c r="J3134" i="13" s="1"/>
  <c r="K2949" i="13" l="1"/>
  <c r="L2949" i="13" s="1"/>
  <c r="I2950" i="13" s="1"/>
  <c r="K2971" i="14"/>
  <c r="L2971" i="14" s="1"/>
  <c r="I2972" i="14" s="1"/>
  <c r="M3138" i="13"/>
  <c r="M3139" i="14"/>
  <c r="J3135" i="13" a="1"/>
  <c r="J3135" i="13" s="1"/>
  <c r="N3136" i="13"/>
  <c r="N3135" i="14"/>
  <c r="J3134" i="14" a="1"/>
  <c r="J3134" i="14" s="1"/>
  <c r="K2972" i="14" l="1"/>
  <c r="L2972" i="14" s="1"/>
  <c r="I2973" i="14" s="1"/>
  <c r="K2950" i="13"/>
  <c r="L2950" i="13" s="1"/>
  <c r="I2951" i="13" s="1"/>
  <c r="N3136" i="14"/>
  <c r="J3135" i="14" a="1"/>
  <c r="J3135" i="14" s="1"/>
  <c r="M3140" i="14"/>
  <c r="J3136" i="13" a="1"/>
  <c r="J3136" i="13" s="1"/>
  <c r="N3137" i="13"/>
  <c r="M3139" i="13"/>
  <c r="K2951" i="13" l="1"/>
  <c r="L2951" i="13" s="1"/>
  <c r="I2952" i="13" s="1"/>
  <c r="K2973" i="14"/>
  <c r="L2973" i="14" s="1"/>
  <c r="I2974" i="14" s="1"/>
  <c r="J3137" i="13" a="1"/>
  <c r="J3137" i="13" s="1"/>
  <c r="N3138" i="13"/>
  <c r="M3140" i="13"/>
  <c r="M3141" i="14"/>
  <c r="J3136" i="14" a="1"/>
  <c r="J3136" i="14" s="1"/>
  <c r="N3137" i="14"/>
  <c r="K2974" i="14" l="1"/>
  <c r="L2974" i="14" s="1"/>
  <c r="I2975" i="14" s="1"/>
  <c r="K2952" i="13"/>
  <c r="L2952" i="13" s="1"/>
  <c r="I2953" i="13" s="1"/>
  <c r="M3141" i="13"/>
  <c r="N3139" i="13"/>
  <c r="J3138" i="13" a="1"/>
  <c r="J3138" i="13" s="1"/>
  <c r="J3137" i="14" a="1"/>
  <c r="J3137" i="14" s="1"/>
  <c r="N3138" i="14"/>
  <c r="M3142" i="14"/>
  <c r="K2953" i="13" l="1"/>
  <c r="L2953" i="13" s="1"/>
  <c r="I2954" i="13" s="1"/>
  <c r="K2975" i="14"/>
  <c r="L2975" i="14" s="1"/>
  <c r="I2976" i="14" s="1"/>
  <c r="J3139" i="13" a="1"/>
  <c r="J3139" i="13" s="1"/>
  <c r="N3140" i="13"/>
  <c r="N3139" i="14"/>
  <c r="J3138" i="14" a="1"/>
  <c r="J3138" i="14" s="1"/>
  <c r="M3142" i="13"/>
  <c r="M3143" i="14"/>
  <c r="K2976" i="14" l="1"/>
  <c r="L2976" i="14" s="1"/>
  <c r="I2977" i="14" s="1"/>
  <c r="K2954" i="13"/>
  <c r="L2954" i="13" s="1"/>
  <c r="I2955" i="13" s="1"/>
  <c r="N3140" i="14"/>
  <c r="J3139" i="14" a="1"/>
  <c r="J3139" i="14" s="1"/>
  <c r="J3140" i="13" a="1"/>
  <c r="J3140" i="13" s="1"/>
  <c r="N3141" i="13"/>
  <c r="M3144" i="14"/>
  <c r="M3143" i="13"/>
  <c r="K2955" i="13" l="1"/>
  <c r="L2955" i="13" s="1"/>
  <c r="I2956" i="13" s="1"/>
  <c r="K2977" i="14"/>
  <c r="L2977" i="14" s="1"/>
  <c r="I2978" i="14" s="1"/>
  <c r="J3141" i="13" a="1"/>
  <c r="J3141" i="13" s="1"/>
  <c r="N3142" i="13"/>
  <c r="M3144" i="13"/>
  <c r="M3145" i="14"/>
  <c r="J3140" i="14" a="1"/>
  <c r="J3140" i="14" s="1"/>
  <c r="N3141" i="14"/>
  <c r="K2956" i="13" l="1"/>
  <c r="L2956" i="13" s="1"/>
  <c r="I2957" i="13" s="1"/>
  <c r="J3141" i="14" a="1"/>
  <c r="J3141" i="14" s="1"/>
  <c r="N3142" i="14"/>
  <c r="K2978" i="14"/>
  <c r="L2978" i="14" s="1"/>
  <c r="I2979" i="14" s="1"/>
  <c r="M3145" i="13"/>
  <c r="N3143" i="13"/>
  <c r="J3142" i="13" a="1"/>
  <c r="J3142" i="13" s="1"/>
  <c r="M3146" i="14"/>
  <c r="K2979" i="14" l="1"/>
  <c r="L2979" i="14" s="1"/>
  <c r="I2980" i="14" s="1"/>
  <c r="K2957" i="13"/>
  <c r="L2957" i="13" s="1"/>
  <c r="I2958" i="13" s="1"/>
  <c r="M3147" i="14"/>
  <c r="M3146" i="13"/>
  <c r="N3143" i="14"/>
  <c r="J3142" i="14" a="1"/>
  <c r="J3142" i="14" s="1"/>
  <c r="J3143" i="13" a="1"/>
  <c r="J3143" i="13" s="1"/>
  <c r="N3144" i="13"/>
  <c r="K2958" i="13" l="1"/>
  <c r="L2958" i="13" s="1"/>
  <c r="I2959" i="13" s="1"/>
  <c r="K2980" i="14"/>
  <c r="L2980" i="14" s="1"/>
  <c r="I2981" i="14" s="1"/>
  <c r="M3147" i="13"/>
  <c r="J3144" i="13" a="1"/>
  <c r="J3144" i="13" s="1"/>
  <c r="N3145" i="13"/>
  <c r="N3144" i="14"/>
  <c r="J3143" i="14" a="1"/>
  <c r="J3143" i="14" s="1"/>
  <c r="M3148" i="14"/>
  <c r="K2959" i="13" l="1"/>
  <c r="L2959" i="13" s="1"/>
  <c r="I2960" i="13" s="1"/>
  <c r="J3145" i="13" a="1"/>
  <c r="J3145" i="13" s="1"/>
  <c r="N3146" i="13"/>
  <c r="M3149" i="14"/>
  <c r="K2981" i="14"/>
  <c r="L2981" i="14" s="1"/>
  <c r="I2982" i="14" s="1"/>
  <c r="J3144" i="14" a="1"/>
  <c r="J3144" i="14" s="1"/>
  <c r="N3145" i="14"/>
  <c r="M3148" i="13"/>
  <c r="K2982" i="14" l="1"/>
  <c r="L2982" i="14" s="1"/>
  <c r="I2983" i="14" s="1"/>
  <c r="K2960" i="13"/>
  <c r="L2960" i="13" s="1"/>
  <c r="I2961" i="13" s="1"/>
  <c r="N3147" i="13"/>
  <c r="J3146" i="13" a="1"/>
  <c r="J3146" i="13" s="1"/>
  <c r="M3149" i="13"/>
  <c r="J3145" i="14" a="1"/>
  <c r="J3145" i="14" s="1"/>
  <c r="N3146" i="14"/>
  <c r="M3150" i="14"/>
  <c r="K2961" i="13" l="1"/>
  <c r="L2961" i="13" s="1"/>
  <c r="I2962" i="13" s="1"/>
  <c r="K2983" i="14"/>
  <c r="L2983" i="14" s="1"/>
  <c r="I2984" i="14" s="1"/>
  <c r="N3147" i="14"/>
  <c r="J3146" i="14" a="1"/>
  <c r="J3146" i="14" s="1"/>
  <c r="M3150" i="13"/>
  <c r="M3151" i="14"/>
  <c r="J3147" i="13" a="1"/>
  <c r="J3147" i="13" s="1"/>
  <c r="N3148" i="13"/>
  <c r="K2984" i="14" l="1"/>
  <c r="L2984" i="14" s="1"/>
  <c r="I2985" i="14" s="1"/>
  <c r="K2962" i="13"/>
  <c r="L2962" i="13" s="1"/>
  <c r="I2963" i="13" s="1"/>
  <c r="J3148" i="13" a="1"/>
  <c r="J3148" i="13" s="1"/>
  <c r="N3149" i="13"/>
  <c r="M3151" i="13"/>
  <c r="M3152" i="14"/>
  <c r="N3148" i="14"/>
  <c r="J3147" i="14" a="1"/>
  <c r="J3147" i="14" s="1"/>
  <c r="K2963" i="13" l="1"/>
  <c r="L2963" i="13" s="1"/>
  <c r="I2964" i="13" s="1"/>
  <c r="K2985" i="14"/>
  <c r="L2985" i="14" s="1"/>
  <c r="I2986" i="14" s="1"/>
  <c r="J3148" i="14" a="1"/>
  <c r="J3148" i="14" s="1"/>
  <c r="N3149" i="14"/>
  <c r="M3152" i="13"/>
  <c r="J3149" i="13" a="1"/>
  <c r="J3149" i="13" s="1"/>
  <c r="N3150" i="13"/>
  <c r="M3153" i="14"/>
  <c r="K2986" i="14" l="1"/>
  <c r="L2986" i="14" s="1"/>
  <c r="I2987" i="14" s="1"/>
  <c r="K2964" i="13"/>
  <c r="L2964" i="13" s="1"/>
  <c r="I2965" i="13" s="1"/>
  <c r="M3154" i="14"/>
  <c r="M3153" i="13"/>
  <c r="N3151" i="13"/>
  <c r="J3150" i="13" a="1"/>
  <c r="J3150" i="13" s="1"/>
  <c r="J3149" i="14" a="1"/>
  <c r="J3149" i="14" s="1"/>
  <c r="N3150" i="14"/>
  <c r="K2965" i="13" l="1"/>
  <c r="L2965" i="13" s="1"/>
  <c r="I2966" i="13" s="1"/>
  <c r="K2987" i="14"/>
  <c r="L2987" i="14" s="1"/>
  <c r="I2988" i="14" s="1"/>
  <c r="N3151" i="14"/>
  <c r="J3150" i="14" a="1"/>
  <c r="J3150" i="14" s="1"/>
  <c r="M3154" i="13"/>
  <c r="M3155" i="14"/>
  <c r="J3151" i="13" a="1"/>
  <c r="J3151" i="13" s="1"/>
  <c r="N3152" i="13"/>
  <c r="K2988" i="14" l="1"/>
  <c r="L2988" i="14" s="1"/>
  <c r="I2989" i="14" s="1"/>
  <c r="K2966" i="13"/>
  <c r="L2966" i="13" s="1"/>
  <c r="I2967" i="13" s="1"/>
  <c r="J3152" i="13" a="1"/>
  <c r="J3152" i="13" s="1"/>
  <c r="N3153" i="13"/>
  <c r="M3155" i="13"/>
  <c r="M3156" i="14"/>
  <c r="N3152" i="14"/>
  <c r="J3151" i="14" a="1"/>
  <c r="J3151" i="14" s="1"/>
  <c r="K2967" i="13" l="1"/>
  <c r="L2967" i="13" s="1"/>
  <c r="I2968" i="13" s="1"/>
  <c r="K2989" i="14"/>
  <c r="L2989" i="14" s="1"/>
  <c r="I2990" i="14" s="1"/>
  <c r="J3153" i="13" a="1"/>
  <c r="J3153" i="13" s="1"/>
  <c r="N3154" i="13"/>
  <c r="J3152" i="14" a="1"/>
  <c r="J3152" i="14" s="1"/>
  <c r="N3153" i="14"/>
  <c r="M3156" i="13"/>
  <c r="M3157" i="14"/>
  <c r="K2990" i="14" l="1"/>
  <c r="L2990" i="14" s="1"/>
  <c r="I2991" i="14" s="1"/>
  <c r="K2968" i="13"/>
  <c r="L2968" i="13" s="1"/>
  <c r="I2969" i="13" s="1"/>
  <c r="M3158" i="14"/>
  <c r="J3153" i="14" a="1"/>
  <c r="J3153" i="14" s="1"/>
  <c r="N3154" i="14"/>
  <c r="N3155" i="13"/>
  <c r="J3154" i="13" a="1"/>
  <c r="J3154" i="13" s="1"/>
  <c r="M3157" i="13"/>
  <c r="K2969" i="13" l="1"/>
  <c r="L2969" i="13" s="1"/>
  <c r="I2970" i="13" s="1"/>
  <c r="K2991" i="14"/>
  <c r="L2991" i="14" s="1"/>
  <c r="I2992" i="14" s="1"/>
  <c r="M3158" i="13"/>
  <c r="M3159" i="14"/>
  <c r="N3155" i="14"/>
  <c r="J3154" i="14" a="1"/>
  <c r="J3154" i="14" s="1"/>
  <c r="J3155" i="13" a="1"/>
  <c r="J3155" i="13" s="1"/>
  <c r="N3156" i="13"/>
  <c r="K2992" i="14" l="1"/>
  <c r="L2992" i="14" s="1"/>
  <c r="I2993" i="14" s="1"/>
  <c r="K2970" i="13"/>
  <c r="L2970" i="13" s="1"/>
  <c r="I2971" i="13" s="1"/>
  <c r="J3156" i="13" a="1"/>
  <c r="J3156" i="13" s="1"/>
  <c r="N3157" i="13"/>
  <c r="M3160" i="14"/>
  <c r="N3156" i="14"/>
  <c r="J3155" i="14" a="1"/>
  <c r="J3155" i="14" s="1"/>
  <c r="M3159" i="13"/>
  <c r="K2971" i="13" l="1"/>
  <c r="L2971" i="13" s="1"/>
  <c r="I2972" i="13" s="1"/>
  <c r="K2993" i="14"/>
  <c r="L2993" i="14" s="1"/>
  <c r="I2994" i="14" s="1"/>
  <c r="M3160" i="13"/>
  <c r="M3161" i="14"/>
  <c r="J3157" i="13" a="1"/>
  <c r="J3157" i="13" s="1"/>
  <c r="N3158" i="13"/>
  <c r="J3156" i="14" a="1"/>
  <c r="J3156" i="14" s="1"/>
  <c r="N3157" i="14"/>
  <c r="K2994" i="14" l="1"/>
  <c r="L2994" i="14" s="1"/>
  <c r="I2995" i="14" s="1"/>
  <c r="K2972" i="13"/>
  <c r="L2972" i="13" s="1"/>
  <c r="I2973" i="13" s="1"/>
  <c r="J3157" i="14" a="1"/>
  <c r="J3157" i="14" s="1"/>
  <c r="N3158" i="14"/>
  <c r="M3162" i="14"/>
  <c r="N3159" i="13"/>
  <c r="J3158" i="13" a="1"/>
  <c r="J3158" i="13" s="1"/>
  <c r="M3161" i="13"/>
  <c r="K2973" i="13" l="1"/>
  <c r="L2973" i="13" s="1"/>
  <c r="I2974" i="13" s="1"/>
  <c r="K2995" i="14"/>
  <c r="L2995" i="14" s="1"/>
  <c r="I2996" i="14" s="1"/>
  <c r="M3162" i="13"/>
  <c r="M3163" i="14"/>
  <c r="N3159" i="14"/>
  <c r="J3158" i="14" a="1"/>
  <c r="J3158" i="14" s="1"/>
  <c r="J3159" i="13" a="1"/>
  <c r="J3159" i="13" s="1"/>
  <c r="N3160" i="13"/>
  <c r="K2996" i="14" l="1"/>
  <c r="L2996" i="14" s="1"/>
  <c r="I2997" i="14" s="1"/>
  <c r="K2974" i="13"/>
  <c r="L2974" i="13" s="1"/>
  <c r="I2975" i="13" s="1"/>
  <c r="J3160" i="13" a="1"/>
  <c r="J3160" i="13" s="1"/>
  <c r="N3161" i="13"/>
  <c r="M3164" i="14"/>
  <c r="N3160" i="14"/>
  <c r="J3159" i="14" a="1"/>
  <c r="J3159" i="14" s="1"/>
  <c r="M3163" i="13"/>
  <c r="K2997" i="14" l="1"/>
  <c r="L2997" i="14" s="1"/>
  <c r="I2998" i="14" s="1"/>
  <c r="J3160" i="14" a="1"/>
  <c r="J3160" i="14" s="1"/>
  <c r="N3161" i="14"/>
  <c r="M3164" i="13"/>
  <c r="M3165" i="14"/>
  <c r="K2975" i="13"/>
  <c r="L2975" i="13" s="1"/>
  <c r="I2976" i="13" s="1"/>
  <c r="J3161" i="13" a="1"/>
  <c r="J3161" i="13" s="1"/>
  <c r="N3162" i="13"/>
  <c r="K2976" i="13" l="1"/>
  <c r="L2976" i="13" s="1"/>
  <c r="I2977" i="13" s="1"/>
  <c r="K2998" i="14"/>
  <c r="L2998" i="14" s="1"/>
  <c r="I2999" i="14" s="1"/>
  <c r="N3163" i="13"/>
  <c r="J3162" i="13" a="1"/>
  <c r="J3162" i="13" s="1"/>
  <c r="J3161" i="14" a="1"/>
  <c r="J3161" i="14" s="1"/>
  <c r="N3162" i="14"/>
  <c r="M3166" i="14"/>
  <c r="M3165" i="13"/>
  <c r="K2999" i="14" l="1"/>
  <c r="L2999" i="14" s="1"/>
  <c r="I3000" i="14" s="1"/>
  <c r="K2977" i="13"/>
  <c r="L2977" i="13" s="1"/>
  <c r="I2978" i="13" s="1"/>
  <c r="N3163" i="14"/>
  <c r="J3162" i="14" a="1"/>
  <c r="J3162" i="14" s="1"/>
  <c r="M3166" i="13"/>
  <c r="M3167" i="14"/>
  <c r="J3163" i="13" a="1"/>
  <c r="J3163" i="13" s="1"/>
  <c r="N3164" i="13"/>
  <c r="K2978" i="13" l="1"/>
  <c r="L2978" i="13" s="1"/>
  <c r="I2979" i="13" s="1"/>
  <c r="K3000" i="14"/>
  <c r="L3000" i="14" s="1"/>
  <c r="I3001" i="14" s="1"/>
  <c r="J3164" i="13" a="1"/>
  <c r="J3164" i="13" s="1"/>
  <c r="N3165" i="13"/>
  <c r="M3167" i="13"/>
  <c r="M3168" i="14"/>
  <c r="N3164" i="14"/>
  <c r="J3163" i="14" a="1"/>
  <c r="J3163" i="14" s="1"/>
  <c r="K3001" i="14" l="1"/>
  <c r="L3001" i="14" s="1"/>
  <c r="I3002" i="14" s="1"/>
  <c r="K2979" i="13"/>
  <c r="L2979" i="13" s="1"/>
  <c r="I2980" i="13" s="1"/>
  <c r="J3164" i="14" a="1"/>
  <c r="J3164" i="14" s="1"/>
  <c r="N3165" i="14"/>
  <c r="M3168" i="13"/>
  <c r="J3165" i="13" a="1"/>
  <c r="J3165" i="13" s="1"/>
  <c r="N3166" i="13"/>
  <c r="M3169" i="14"/>
  <c r="K2980" i="13" l="1"/>
  <c r="L2980" i="13" s="1"/>
  <c r="I2981" i="13" s="1"/>
  <c r="K3002" i="14"/>
  <c r="L3002" i="14" s="1"/>
  <c r="I3003" i="14" s="1"/>
  <c r="M3170" i="14"/>
  <c r="M3169" i="13"/>
  <c r="N3167" i="13"/>
  <c r="J3166" i="13" a="1"/>
  <c r="J3166" i="13" s="1"/>
  <c r="J3165" i="14" a="1"/>
  <c r="J3165" i="14" s="1"/>
  <c r="N3166" i="14"/>
  <c r="K3003" i="14" l="1"/>
  <c r="L3003" i="14" s="1"/>
  <c r="I3004" i="14" s="1"/>
  <c r="K2981" i="13"/>
  <c r="L2981" i="13" s="1"/>
  <c r="I2982" i="13" s="1"/>
  <c r="M3170" i="13"/>
  <c r="M3171" i="14"/>
  <c r="N3167" i="14"/>
  <c r="J3166" i="14" a="1"/>
  <c r="J3166" i="14" s="1"/>
  <c r="J3167" i="13" a="1"/>
  <c r="J3167" i="13" s="1"/>
  <c r="N3168" i="13"/>
  <c r="K2982" i="13" l="1"/>
  <c r="L2982" i="13" s="1"/>
  <c r="I2983" i="13" s="1"/>
  <c r="K3004" i="14"/>
  <c r="L3004" i="14" s="1"/>
  <c r="I3005" i="14" s="1"/>
  <c r="J3168" i="13" a="1"/>
  <c r="J3168" i="13" s="1"/>
  <c r="N3169" i="13"/>
  <c r="M3172" i="14"/>
  <c r="N3168" i="14"/>
  <c r="J3167" i="14" a="1"/>
  <c r="J3167" i="14" s="1"/>
  <c r="M3171" i="13"/>
  <c r="K3005" i="14" l="1"/>
  <c r="L3005" i="14" s="1"/>
  <c r="I3006" i="14" s="1"/>
  <c r="K2983" i="13"/>
  <c r="L2983" i="13" s="1"/>
  <c r="I2984" i="13" s="1"/>
  <c r="J3168" i="14" a="1"/>
  <c r="J3168" i="14" s="1"/>
  <c r="N3169" i="14"/>
  <c r="M3172" i="13"/>
  <c r="M3173" i="14"/>
  <c r="J3169" i="13" a="1"/>
  <c r="J3169" i="13" s="1"/>
  <c r="N3170" i="13"/>
  <c r="K2984" i="13" l="1"/>
  <c r="L2984" i="13" s="1"/>
  <c r="I2985" i="13" s="1"/>
  <c r="K3006" i="14"/>
  <c r="L3006" i="14" s="1"/>
  <c r="I3007" i="14" s="1"/>
  <c r="M3173" i="13"/>
  <c r="J3169" i="14" a="1"/>
  <c r="J3169" i="14" s="1"/>
  <c r="N3170" i="14"/>
  <c r="N3171" i="13"/>
  <c r="J3170" i="13" a="1"/>
  <c r="J3170" i="13" s="1"/>
  <c r="M3174" i="14"/>
  <c r="K3007" i="14" l="1"/>
  <c r="L3007" i="14" s="1"/>
  <c r="I3008" i="14" s="1"/>
  <c r="K2985" i="13"/>
  <c r="L2985" i="13" s="1"/>
  <c r="I2986" i="13" s="1"/>
  <c r="N3171" i="14"/>
  <c r="J3170" i="14" a="1"/>
  <c r="J3170" i="14" s="1"/>
  <c r="M3175" i="14"/>
  <c r="M3174" i="13"/>
  <c r="J3171" i="13" a="1"/>
  <c r="J3171" i="13" s="1"/>
  <c r="N3172" i="13"/>
  <c r="K2986" i="13" l="1"/>
  <c r="L2986" i="13" s="1"/>
  <c r="I2987" i="13" s="1"/>
  <c r="K3008" i="14"/>
  <c r="L3008" i="14" s="1"/>
  <c r="I3009" i="14" s="1"/>
  <c r="M3176" i="14"/>
  <c r="J3172" i="13" a="1"/>
  <c r="J3172" i="13" s="1"/>
  <c r="N3173" i="13"/>
  <c r="M3175" i="13"/>
  <c r="N3172" i="14"/>
  <c r="J3171" i="14" a="1"/>
  <c r="J3171" i="14" s="1"/>
  <c r="K3009" i="14" l="1"/>
  <c r="L3009" i="14" s="1"/>
  <c r="I3010" i="14" s="1"/>
  <c r="K2987" i="13"/>
  <c r="L2987" i="13" s="1"/>
  <c r="I2988" i="13" s="1"/>
  <c r="J3173" i="13" a="1"/>
  <c r="J3173" i="13" s="1"/>
  <c r="N3174" i="13"/>
  <c r="J3172" i="14" a="1"/>
  <c r="J3172" i="14" s="1"/>
  <c r="N3173" i="14"/>
  <c r="M3176" i="13"/>
  <c r="M3177" i="14"/>
  <c r="K2988" i="13" l="1"/>
  <c r="L2988" i="13" s="1"/>
  <c r="I2989" i="13" s="1"/>
  <c r="K3010" i="14"/>
  <c r="L3010" i="14" s="1"/>
  <c r="I3011" i="14" s="1"/>
  <c r="J3173" i="14" a="1"/>
  <c r="J3173" i="14" s="1"/>
  <c r="N3174" i="14"/>
  <c r="N3175" i="13"/>
  <c r="J3174" i="13" a="1"/>
  <c r="J3174" i="13" s="1"/>
  <c r="M3178" i="14"/>
  <c r="M3177" i="13"/>
  <c r="K3011" i="14" l="1"/>
  <c r="L3011" i="14" s="1"/>
  <c r="I3012" i="14" s="1"/>
  <c r="K2989" i="13"/>
  <c r="L2989" i="13" s="1"/>
  <c r="I2990" i="13" s="1"/>
  <c r="J3175" i="13" a="1"/>
  <c r="J3175" i="13" s="1"/>
  <c r="N3176" i="13"/>
  <c r="M3178" i="13"/>
  <c r="N3175" i="14"/>
  <c r="J3174" i="14" a="1"/>
  <c r="J3174" i="14" s="1"/>
  <c r="M3179" i="14"/>
  <c r="K2990" i="13" l="1"/>
  <c r="L2990" i="13" s="1"/>
  <c r="I2991" i="13" s="1"/>
  <c r="K3012" i="14"/>
  <c r="L3012" i="14" s="1"/>
  <c r="I3013" i="14" s="1"/>
  <c r="M3180" i="14"/>
  <c r="N3176" i="14"/>
  <c r="J3175" i="14" a="1"/>
  <c r="J3175" i="14" s="1"/>
  <c r="M3179" i="13"/>
  <c r="J3176" i="13" a="1"/>
  <c r="J3176" i="13" s="1"/>
  <c r="N3177" i="13"/>
  <c r="K3013" i="14" l="1"/>
  <c r="L3013" i="14" s="1"/>
  <c r="I3014" i="14" s="1"/>
  <c r="K2991" i="13"/>
  <c r="L2991" i="13" s="1"/>
  <c r="I2992" i="13" s="1"/>
  <c r="N3177" i="14"/>
  <c r="J3176" i="14" a="1"/>
  <c r="J3176" i="14" s="1"/>
  <c r="J3177" i="13" a="1"/>
  <c r="J3177" i="13" s="1"/>
  <c r="N3178" i="13"/>
  <c r="M3181" i="14"/>
  <c r="M3180" i="13"/>
  <c r="K2992" i="13" l="1"/>
  <c r="L2992" i="13" s="1"/>
  <c r="I2993" i="13" s="1"/>
  <c r="K3014" i="14"/>
  <c r="L3014" i="14" s="1"/>
  <c r="I3015" i="14" s="1"/>
  <c r="N3179" i="13"/>
  <c r="J3178" i="13" a="1"/>
  <c r="J3178" i="13" s="1"/>
  <c r="M3181" i="13"/>
  <c r="M3182" i="14"/>
  <c r="N3178" i="14"/>
  <c r="J3177" i="14" a="1"/>
  <c r="J3177" i="14" s="1"/>
  <c r="K3015" i="14" l="1"/>
  <c r="L3015" i="14" s="1"/>
  <c r="I3016" i="14" s="1"/>
  <c r="K2993" i="13"/>
  <c r="L2993" i="13" s="1"/>
  <c r="I2994" i="13" s="1"/>
  <c r="M3182" i="13"/>
  <c r="J3178" i="14" a="1"/>
  <c r="J3178" i="14" s="1"/>
  <c r="N3179" i="14"/>
  <c r="M3183" i="14"/>
  <c r="J3179" i="13" a="1"/>
  <c r="J3179" i="13" s="1"/>
  <c r="N3180" i="13"/>
  <c r="K2994" i="13" l="1"/>
  <c r="L2994" i="13" s="1"/>
  <c r="I2995" i="13" s="1"/>
  <c r="K3016" i="14"/>
  <c r="L3016" i="14" s="1"/>
  <c r="I3017" i="14" s="1"/>
  <c r="J3180" i="13" a="1"/>
  <c r="J3180" i="13" s="1"/>
  <c r="N3181" i="13"/>
  <c r="N3180" i="14"/>
  <c r="J3179" i="14" a="1"/>
  <c r="J3179" i="14" s="1"/>
  <c r="M3184" i="14"/>
  <c r="M3183" i="13"/>
  <c r="K3017" i="14" l="1"/>
  <c r="L3017" i="14" s="1"/>
  <c r="I3018" i="14" s="1"/>
  <c r="K2995" i="13"/>
  <c r="L2995" i="13" s="1"/>
  <c r="I2996" i="13" s="1"/>
  <c r="M3184" i="13"/>
  <c r="N3181" i="14"/>
  <c r="J3180" i="14" a="1"/>
  <c r="J3180" i="14" s="1"/>
  <c r="J3181" i="13" a="1"/>
  <c r="J3181" i="13" s="1"/>
  <c r="N3182" i="13"/>
  <c r="M3185" i="14"/>
  <c r="K2996" i="13" l="1"/>
  <c r="L2996" i="13" s="1"/>
  <c r="I2997" i="13" s="1"/>
  <c r="K3018" i="14"/>
  <c r="L3018" i="14" s="1"/>
  <c r="I3019" i="14" s="1"/>
  <c r="N3182" i="14"/>
  <c r="J3181" i="14" a="1"/>
  <c r="J3181" i="14" s="1"/>
  <c r="N3183" i="13"/>
  <c r="J3182" i="13" a="1"/>
  <c r="J3182" i="13" s="1"/>
  <c r="M3186" i="14"/>
  <c r="M3185" i="13"/>
  <c r="K3019" i="14" l="1"/>
  <c r="L3019" i="14" s="1"/>
  <c r="I3020" i="14" s="1"/>
  <c r="K2997" i="13"/>
  <c r="L2997" i="13" s="1"/>
  <c r="I2998" i="13" s="1"/>
  <c r="J3183" i="13" a="1"/>
  <c r="J3183" i="13" s="1"/>
  <c r="N3184" i="13"/>
  <c r="M3186" i="13"/>
  <c r="M3187" i="14"/>
  <c r="J3182" i="14" a="1"/>
  <c r="J3182" i="14" s="1"/>
  <c r="N3183" i="14"/>
  <c r="K2998" i="13" l="1"/>
  <c r="L2998" i="13" s="1"/>
  <c r="I2999" i="13" s="1"/>
  <c r="K3020" i="14"/>
  <c r="L3020" i="14" s="1"/>
  <c r="I3021" i="14" s="1"/>
  <c r="N3184" i="14"/>
  <c r="J3183" i="14" a="1"/>
  <c r="J3183" i="14" s="1"/>
  <c r="M3187" i="13"/>
  <c r="J3184" i="13" a="1"/>
  <c r="J3184" i="13" s="1"/>
  <c r="N3185" i="13"/>
  <c r="M3188" i="14"/>
  <c r="K3021" i="14" l="1"/>
  <c r="L3021" i="14" s="1"/>
  <c r="I3022" i="14" s="1"/>
  <c r="K2999" i="13"/>
  <c r="L2999" i="13" s="1"/>
  <c r="I3000" i="13" s="1"/>
  <c r="M3189" i="14"/>
  <c r="J3185" i="13" a="1"/>
  <c r="J3185" i="13" s="1"/>
  <c r="N3186" i="13"/>
  <c r="M3188" i="13"/>
  <c r="N3185" i="14"/>
  <c r="J3184" i="14" a="1"/>
  <c r="J3184" i="14" s="1"/>
  <c r="K3000" i="13" l="1"/>
  <c r="L3000" i="13" s="1"/>
  <c r="I3001" i="13" s="1"/>
  <c r="K3022" i="14"/>
  <c r="L3022" i="14" s="1"/>
  <c r="I3023" i="14" s="1"/>
  <c r="N3187" i="13"/>
  <c r="J3186" i="13" a="1"/>
  <c r="J3186" i="13" s="1"/>
  <c r="N3186" i="14"/>
  <c r="J3185" i="14" a="1"/>
  <c r="J3185" i="14" s="1"/>
  <c r="M3189" i="13"/>
  <c r="M3190" i="14"/>
  <c r="K3023" i="14" l="1"/>
  <c r="L3023" i="14" s="1"/>
  <c r="I3024" i="14" s="1"/>
  <c r="K3001" i="13"/>
  <c r="L3001" i="13" s="1"/>
  <c r="I3002" i="13" s="1"/>
  <c r="M3191" i="14"/>
  <c r="J3186" i="14" a="1"/>
  <c r="J3186" i="14" s="1"/>
  <c r="N3187" i="14"/>
  <c r="M3190" i="13"/>
  <c r="J3187" i="13" a="1"/>
  <c r="J3187" i="13" s="1"/>
  <c r="N3188" i="13"/>
  <c r="K3002" i="13" l="1"/>
  <c r="L3002" i="13" s="1"/>
  <c r="I3003" i="13" s="1"/>
  <c r="K3024" i="14"/>
  <c r="L3024" i="14" s="1"/>
  <c r="I3025" i="14" s="1"/>
  <c r="N3188" i="14"/>
  <c r="J3187" i="14" a="1"/>
  <c r="J3187" i="14" s="1"/>
  <c r="J3188" i="13" a="1"/>
  <c r="J3188" i="13" s="1"/>
  <c r="N3189" i="13"/>
  <c r="M3191" i="13"/>
  <c r="M3192" i="14"/>
  <c r="K3025" i="14" l="1"/>
  <c r="L3025" i="14" s="1"/>
  <c r="I3026" i="14" s="1"/>
  <c r="K3003" i="13"/>
  <c r="L3003" i="13" s="1"/>
  <c r="I3004" i="13" s="1"/>
  <c r="J3189" i="13" a="1"/>
  <c r="J3189" i="13" s="1"/>
  <c r="N3190" i="13"/>
  <c r="M3193" i="14"/>
  <c r="M3192" i="13"/>
  <c r="N3189" i="14"/>
  <c r="J3188" i="14" a="1"/>
  <c r="J3188" i="14" s="1"/>
  <c r="K3004" i="13" l="1"/>
  <c r="L3004" i="13" s="1"/>
  <c r="I3005" i="13" s="1"/>
  <c r="K3026" i="14"/>
  <c r="L3026" i="14" s="1"/>
  <c r="I3027" i="14" s="1"/>
  <c r="N3190" i="14"/>
  <c r="J3189" i="14" a="1"/>
  <c r="J3189" i="14" s="1"/>
  <c r="M3194" i="14"/>
  <c r="N3191" i="13"/>
  <c r="J3190" i="13" a="1"/>
  <c r="J3190" i="13" s="1"/>
  <c r="M3193" i="13"/>
  <c r="K3027" i="14" l="1"/>
  <c r="L3027" i="14" s="1"/>
  <c r="I3028" i="14" s="1"/>
  <c r="K3005" i="13"/>
  <c r="L3005" i="13" s="1"/>
  <c r="I3006" i="13" s="1"/>
  <c r="M3194" i="13"/>
  <c r="J3191" i="13" a="1"/>
  <c r="J3191" i="13" s="1"/>
  <c r="N3192" i="13"/>
  <c r="M3195" i="14"/>
  <c r="J3190" i="14" a="1"/>
  <c r="J3190" i="14" s="1"/>
  <c r="N3191" i="14"/>
  <c r="K3006" i="13" l="1"/>
  <c r="L3006" i="13" s="1"/>
  <c r="I3007" i="13" s="1"/>
  <c r="K3028" i="14"/>
  <c r="L3028" i="14" s="1"/>
  <c r="I3029" i="14" s="1"/>
  <c r="J3192" i="13" a="1"/>
  <c r="J3192" i="13" s="1"/>
  <c r="N3193" i="13"/>
  <c r="N3192" i="14"/>
  <c r="J3191" i="14" a="1"/>
  <c r="J3191" i="14" s="1"/>
  <c r="M3196" i="14"/>
  <c r="M3195" i="13"/>
  <c r="K3029" i="14" l="1"/>
  <c r="L3029" i="14" s="1"/>
  <c r="I3030" i="14" s="1"/>
  <c r="K3007" i="13"/>
  <c r="L3007" i="13" s="1"/>
  <c r="I3008" i="13" s="1"/>
  <c r="N3193" i="14"/>
  <c r="J3192" i="14" a="1"/>
  <c r="J3192" i="14" s="1"/>
  <c r="M3196" i="13"/>
  <c r="J3193" i="13" a="1"/>
  <c r="J3193" i="13" s="1"/>
  <c r="N3194" i="13"/>
  <c r="M3197" i="14"/>
  <c r="K3008" i="13" l="1"/>
  <c r="L3008" i="13" s="1"/>
  <c r="I3009" i="13" s="1"/>
  <c r="K3030" i="14"/>
  <c r="L3030" i="14" s="1"/>
  <c r="I3031" i="14" s="1"/>
  <c r="N3195" i="13"/>
  <c r="J3194" i="13" a="1"/>
  <c r="J3194" i="13" s="1"/>
  <c r="M3198" i="14"/>
  <c r="M3197" i="13"/>
  <c r="N3194" i="14"/>
  <c r="J3193" i="14" a="1"/>
  <c r="J3193" i="14" s="1"/>
  <c r="K3009" i="13" l="1"/>
  <c r="L3009" i="13" s="1"/>
  <c r="I3010" i="13" s="1"/>
  <c r="M3199" i="14"/>
  <c r="K3031" i="14"/>
  <c r="L3031" i="14" s="1"/>
  <c r="I3032" i="14" s="1"/>
  <c r="J3194" i="14" a="1"/>
  <c r="J3194" i="14" s="1"/>
  <c r="N3195" i="14"/>
  <c r="M3198" i="13"/>
  <c r="J3195" i="13" a="1"/>
  <c r="J3195" i="13" s="1"/>
  <c r="N3196" i="13"/>
  <c r="K3032" i="14" l="1"/>
  <c r="L3032" i="14" s="1"/>
  <c r="I3033" i="14" s="1"/>
  <c r="K3010" i="13"/>
  <c r="L3010" i="13" s="1"/>
  <c r="I3011" i="13" s="1"/>
  <c r="J3196" i="13" a="1"/>
  <c r="J3196" i="13" s="1"/>
  <c r="N3197" i="13"/>
  <c r="N3196" i="14"/>
  <c r="J3195" i="14" a="1"/>
  <c r="J3195" i="14" s="1"/>
  <c r="M3200" i="14"/>
  <c r="M3199" i="13"/>
  <c r="K3011" i="13" l="1"/>
  <c r="L3011" i="13" s="1"/>
  <c r="I3012" i="13" s="1"/>
  <c r="K3033" i="14"/>
  <c r="L3033" i="14" s="1"/>
  <c r="I3034" i="14" s="1"/>
  <c r="N3197" i="14"/>
  <c r="J3196" i="14" a="1"/>
  <c r="J3196" i="14" s="1"/>
  <c r="M3201" i="14"/>
  <c r="J3197" i="13" a="1"/>
  <c r="J3197" i="13" s="1"/>
  <c r="N3198" i="13"/>
  <c r="M3200" i="13"/>
  <c r="K3034" i="14" l="1"/>
  <c r="L3034" i="14" s="1"/>
  <c r="I3035" i="14" s="1"/>
  <c r="K3012" i="13"/>
  <c r="L3012" i="13" s="1"/>
  <c r="I3013" i="13" s="1"/>
  <c r="M3201" i="13"/>
  <c r="M3202" i="14"/>
  <c r="N3199" i="13"/>
  <c r="J3198" i="13" a="1"/>
  <c r="J3198" i="13" s="1"/>
  <c r="N3198" i="14"/>
  <c r="J3197" i="14" a="1"/>
  <c r="J3197" i="14" s="1"/>
  <c r="K3013" i="13" l="1"/>
  <c r="L3013" i="13" s="1"/>
  <c r="I3014" i="13" s="1"/>
  <c r="K3035" i="14"/>
  <c r="L3035" i="14" s="1"/>
  <c r="I3036" i="14" s="1"/>
  <c r="M3203" i="14"/>
  <c r="J3198" i="14" a="1"/>
  <c r="J3198" i="14" s="1"/>
  <c r="N3199" i="14"/>
  <c r="M3202" i="13"/>
  <c r="J3199" i="13" a="1"/>
  <c r="J3199" i="13" s="1"/>
  <c r="N3200" i="13"/>
  <c r="K3036" i="14" l="1"/>
  <c r="L3036" i="14" s="1"/>
  <c r="I3037" i="14" s="1"/>
  <c r="K3014" i="13"/>
  <c r="L3014" i="13" s="1"/>
  <c r="I3015" i="13" s="1"/>
  <c r="N3200" i="14"/>
  <c r="J3199" i="14" a="1"/>
  <c r="J3199" i="14" s="1"/>
  <c r="J3200" i="13" a="1"/>
  <c r="J3200" i="13" s="1"/>
  <c r="N3201" i="13"/>
  <c r="M3203" i="13"/>
  <c r="M3204" i="14"/>
  <c r="K3015" i="13" l="1"/>
  <c r="L3015" i="13" s="1"/>
  <c r="I3016" i="13" s="1"/>
  <c r="K3037" i="14"/>
  <c r="L3037" i="14" s="1"/>
  <c r="I3038" i="14" s="1"/>
  <c r="J3201" i="13" a="1"/>
  <c r="J3201" i="13" s="1"/>
  <c r="N3202" i="13"/>
  <c r="M3205" i="14"/>
  <c r="M3204" i="13"/>
  <c r="N3201" i="14"/>
  <c r="J3200" i="14" a="1"/>
  <c r="J3200" i="14" s="1"/>
  <c r="K3038" i="14" l="1"/>
  <c r="L3038" i="14" s="1"/>
  <c r="I3039" i="14" s="1"/>
  <c r="K3016" i="13"/>
  <c r="L3016" i="13" s="1"/>
  <c r="I3017" i="13" s="1"/>
  <c r="N3202" i="14"/>
  <c r="J3201" i="14" a="1"/>
  <c r="J3201" i="14" s="1"/>
  <c r="M3206" i="14"/>
  <c r="N3203" i="13"/>
  <c r="J3202" i="13" a="1"/>
  <c r="J3202" i="13" s="1"/>
  <c r="M3205" i="13"/>
  <c r="K3017" i="13" l="1"/>
  <c r="L3017" i="13" s="1"/>
  <c r="I3018" i="13" s="1"/>
  <c r="K3039" i="14"/>
  <c r="L3039" i="14" s="1"/>
  <c r="I3040" i="14" s="1"/>
  <c r="M3206" i="13"/>
  <c r="M3207" i="14"/>
  <c r="J3203" i="13" a="1"/>
  <c r="J3203" i="13" s="1"/>
  <c r="N3204" i="13"/>
  <c r="J3202" i="14" a="1"/>
  <c r="J3202" i="14" s="1"/>
  <c r="N3203" i="14"/>
  <c r="K3040" i="14" l="1"/>
  <c r="L3040" i="14" s="1"/>
  <c r="I3041" i="14" s="1"/>
  <c r="K3018" i="13"/>
  <c r="L3018" i="13" s="1"/>
  <c r="I3019" i="13" s="1"/>
  <c r="J3204" i="13" a="1"/>
  <c r="J3204" i="13" s="1"/>
  <c r="N3205" i="13"/>
  <c r="N3204" i="14"/>
  <c r="J3203" i="14" a="1"/>
  <c r="J3203" i="14" s="1"/>
  <c r="M3208" i="14"/>
  <c r="M3207" i="13"/>
  <c r="K3019" i="13" l="1"/>
  <c r="L3019" i="13" s="1"/>
  <c r="I3020" i="13" s="1"/>
  <c r="K3041" i="14"/>
  <c r="L3041" i="14" s="1"/>
  <c r="I3042" i="14" s="1"/>
  <c r="N3205" i="14"/>
  <c r="J3204" i="14" a="1"/>
  <c r="J3204" i="14" s="1"/>
  <c r="J3205" i="13" a="1"/>
  <c r="J3205" i="13" s="1"/>
  <c r="N3206" i="13"/>
  <c r="M3208" i="13"/>
  <c r="M3209" i="14"/>
  <c r="K3042" i="14" l="1"/>
  <c r="L3042" i="14" s="1"/>
  <c r="I3043" i="14" s="1"/>
  <c r="K3020" i="13"/>
  <c r="L3020" i="13" s="1"/>
  <c r="I3021" i="13" s="1"/>
  <c r="N3207" i="13"/>
  <c r="J3206" i="13" a="1"/>
  <c r="J3206" i="13" s="1"/>
  <c r="M3210" i="14"/>
  <c r="M3209" i="13"/>
  <c r="N3206" i="14"/>
  <c r="J3205" i="14" a="1"/>
  <c r="J3205" i="14" s="1"/>
  <c r="K3021" i="13" l="1"/>
  <c r="L3021" i="13" s="1"/>
  <c r="I3022" i="13" s="1"/>
  <c r="K3043" i="14"/>
  <c r="L3043" i="14" s="1"/>
  <c r="I3044" i="14" s="1"/>
  <c r="M3211" i="14"/>
  <c r="J3206" i="14" a="1"/>
  <c r="J3206" i="14" s="1"/>
  <c r="N3207" i="14"/>
  <c r="M3210" i="13"/>
  <c r="J3207" i="13" a="1"/>
  <c r="J3207" i="13" s="1"/>
  <c r="N3208" i="13"/>
  <c r="K3044" i="14" l="1"/>
  <c r="L3044" i="14" s="1"/>
  <c r="I3045" i="14" s="1"/>
  <c r="K3022" i="13"/>
  <c r="L3022" i="13" s="1"/>
  <c r="I3023" i="13" s="1"/>
  <c r="J3208" i="13" a="1"/>
  <c r="J3208" i="13" s="1"/>
  <c r="N3209" i="13"/>
  <c r="N3208" i="14"/>
  <c r="J3207" i="14" a="1"/>
  <c r="J3207" i="14" s="1"/>
  <c r="M3212" i="14"/>
  <c r="M3211" i="13"/>
  <c r="K3023" i="13" l="1"/>
  <c r="L3023" i="13" s="1"/>
  <c r="I3024" i="13" s="1"/>
  <c r="K3045" i="14"/>
  <c r="L3045" i="14" s="1"/>
  <c r="I3046" i="14" s="1"/>
  <c r="N3209" i="14"/>
  <c r="J3208" i="14" a="1"/>
  <c r="J3208" i="14" s="1"/>
  <c r="M3213" i="14"/>
  <c r="J3209" i="13" a="1"/>
  <c r="J3209" i="13" s="1"/>
  <c r="N3210" i="13"/>
  <c r="M3212" i="13"/>
  <c r="K3046" i="14" l="1"/>
  <c r="L3046" i="14" s="1"/>
  <c r="I3047" i="14" s="1"/>
  <c r="K3024" i="13"/>
  <c r="L3024" i="13" s="1"/>
  <c r="I3025" i="13" s="1"/>
  <c r="N3211" i="13"/>
  <c r="J3210" i="13" a="1"/>
  <c r="J3210" i="13" s="1"/>
  <c r="M3213" i="13"/>
  <c r="M3214" i="14"/>
  <c r="N3210" i="14"/>
  <c r="J3209" i="14" a="1"/>
  <c r="J3209" i="14" s="1"/>
  <c r="K3025" i="13" l="1"/>
  <c r="L3025" i="13" s="1"/>
  <c r="I3026" i="13" s="1"/>
  <c r="K3047" i="14"/>
  <c r="L3047" i="14" s="1"/>
  <c r="I3048" i="14" s="1"/>
  <c r="M3214" i="13"/>
  <c r="J3210" i="14" a="1"/>
  <c r="J3210" i="14" s="1"/>
  <c r="N3211" i="14"/>
  <c r="M3215" i="14"/>
  <c r="J3211" i="13" a="1"/>
  <c r="J3211" i="13" s="1"/>
  <c r="N3212" i="13"/>
  <c r="K3048" i="14" l="1"/>
  <c r="L3048" i="14" s="1"/>
  <c r="I3049" i="14" s="1"/>
  <c r="K3026" i="13"/>
  <c r="L3026" i="13" s="1"/>
  <c r="I3027" i="13" s="1"/>
  <c r="J3212" i="13" a="1"/>
  <c r="J3212" i="13" s="1"/>
  <c r="N3213" i="13"/>
  <c r="N3212" i="14"/>
  <c r="J3211" i="14" a="1"/>
  <c r="J3211" i="14" s="1"/>
  <c r="M3216" i="14"/>
  <c r="M3215" i="13"/>
  <c r="K3027" i="13" l="1"/>
  <c r="L3027" i="13" s="1"/>
  <c r="I3028" i="13" s="1"/>
  <c r="K3049" i="14"/>
  <c r="L3049" i="14" s="1"/>
  <c r="I3050" i="14" s="1"/>
  <c r="N3213" i="14"/>
  <c r="J3212" i="14" a="1"/>
  <c r="J3212" i="14" s="1"/>
  <c r="J3213" i="13" a="1"/>
  <c r="J3213" i="13" s="1"/>
  <c r="N3214" i="13"/>
  <c r="M3216" i="13"/>
  <c r="M3217" i="14"/>
  <c r="K3050" i="14" l="1"/>
  <c r="L3050" i="14" s="1"/>
  <c r="I3051" i="14" s="1"/>
  <c r="K3028" i="13"/>
  <c r="L3028" i="13" s="1"/>
  <c r="I3029" i="13" s="1"/>
  <c r="N3215" i="13"/>
  <c r="J3214" i="13" a="1"/>
  <c r="J3214" i="13" s="1"/>
  <c r="M3218" i="14"/>
  <c r="M3217" i="13"/>
  <c r="N3214" i="14"/>
  <c r="J3213" i="14" a="1"/>
  <c r="J3213" i="14" s="1"/>
  <c r="K3029" i="13" l="1"/>
  <c r="L3029" i="13" s="1"/>
  <c r="I3030" i="13" s="1"/>
  <c r="K3051" i="14"/>
  <c r="L3051" i="14" s="1"/>
  <c r="I3052" i="14" s="1"/>
  <c r="M3219" i="14"/>
  <c r="J3214" i="14" a="1"/>
  <c r="J3214" i="14" s="1"/>
  <c r="N3215" i="14"/>
  <c r="M3218" i="13"/>
  <c r="J3215" i="13" a="1"/>
  <c r="J3215" i="13" s="1"/>
  <c r="N3216" i="13"/>
  <c r="K3052" i="14" l="1"/>
  <c r="L3052" i="14" s="1"/>
  <c r="I3053" i="14" s="1"/>
  <c r="K3030" i="13"/>
  <c r="L3030" i="13" s="1"/>
  <c r="I3031" i="13" s="1"/>
  <c r="J3216" i="13" a="1"/>
  <c r="J3216" i="13" s="1"/>
  <c r="N3217" i="13"/>
  <c r="N3216" i="14"/>
  <c r="J3215" i="14" a="1"/>
  <c r="J3215" i="14" s="1"/>
  <c r="M3219" i="13"/>
  <c r="M3220" i="14"/>
  <c r="K3031" i="13" l="1"/>
  <c r="L3031" i="13" s="1"/>
  <c r="I3032" i="13" s="1"/>
  <c r="K3053" i="14"/>
  <c r="L3053" i="14" s="1"/>
  <c r="I3054" i="14" s="1"/>
  <c r="J3216" i="14" a="1"/>
  <c r="J3216" i="14" s="1"/>
  <c r="N3217" i="14"/>
  <c r="J3217" i="13" a="1"/>
  <c r="J3217" i="13" s="1"/>
  <c r="N3218" i="13"/>
  <c r="M3221" i="14"/>
  <c r="M3220" i="13"/>
  <c r="K3054" i="14" l="1"/>
  <c r="L3054" i="14" s="1"/>
  <c r="I3055" i="14" s="1"/>
  <c r="K3032" i="13"/>
  <c r="L3032" i="13" s="1"/>
  <c r="I3033" i="13" s="1"/>
  <c r="N3219" i="13"/>
  <c r="J3218" i="13" a="1"/>
  <c r="J3218" i="13" s="1"/>
  <c r="N3218" i="14"/>
  <c r="J3217" i="14" a="1"/>
  <c r="J3217" i="14" s="1"/>
  <c r="M3221" i="13"/>
  <c r="M3222" i="14"/>
  <c r="K3033" i="13" l="1"/>
  <c r="L3033" i="13" s="1"/>
  <c r="I3034" i="13" s="1"/>
  <c r="K3055" i="14"/>
  <c r="L3055" i="14" s="1"/>
  <c r="I3056" i="14" s="1"/>
  <c r="M3223" i="14"/>
  <c r="J3218" i="14" a="1"/>
  <c r="J3218" i="14" s="1"/>
  <c r="N3219" i="14"/>
  <c r="M3222" i="13"/>
  <c r="J3219" i="13" a="1"/>
  <c r="J3219" i="13" s="1"/>
  <c r="N3220" i="13"/>
  <c r="K3056" i="14" l="1"/>
  <c r="L3056" i="14" s="1"/>
  <c r="I3057" i="14" s="1"/>
  <c r="K3034" i="13"/>
  <c r="L3034" i="13" s="1"/>
  <c r="I3035" i="13" s="1"/>
  <c r="J3220" i="13" a="1"/>
  <c r="J3220" i="13" s="1"/>
  <c r="N3221" i="13"/>
  <c r="N3220" i="14"/>
  <c r="J3219" i="14" a="1"/>
  <c r="J3219" i="14" s="1"/>
  <c r="M3223" i="13"/>
  <c r="M3224" i="14"/>
  <c r="K3035" i="13" l="1"/>
  <c r="L3035" i="13" s="1"/>
  <c r="I3036" i="13" s="1"/>
  <c r="K3057" i="14"/>
  <c r="L3057" i="14" s="1"/>
  <c r="I3058" i="14" s="1"/>
  <c r="N3221" i="14"/>
  <c r="J3220" i="14" a="1"/>
  <c r="J3220" i="14" s="1"/>
  <c r="M3225" i="14"/>
  <c r="J3221" i="13" a="1"/>
  <c r="J3221" i="13" s="1"/>
  <c r="N3222" i="13"/>
  <c r="M3224" i="13"/>
  <c r="K3058" i="14" l="1"/>
  <c r="L3058" i="14" s="1"/>
  <c r="I3059" i="14" s="1"/>
  <c r="K3036" i="13"/>
  <c r="L3036" i="13" s="1"/>
  <c r="I3037" i="13" s="1"/>
  <c r="N3223" i="13"/>
  <c r="J3222" i="13" a="1"/>
  <c r="J3222" i="13" s="1"/>
  <c r="M3225" i="13"/>
  <c r="M3226" i="14"/>
  <c r="N3222" i="14"/>
  <c r="J3221" i="14" a="1"/>
  <c r="J3221" i="14" s="1"/>
  <c r="K3037" i="13" l="1"/>
  <c r="L3037" i="13" s="1"/>
  <c r="I3038" i="13" s="1"/>
  <c r="K3059" i="14"/>
  <c r="L3059" i="14" s="1"/>
  <c r="I3060" i="14" s="1"/>
  <c r="M3226" i="13"/>
  <c r="J3222" i="14" a="1"/>
  <c r="J3222" i="14" s="1"/>
  <c r="N3223" i="14"/>
  <c r="M3227" i="14"/>
  <c r="J3223" i="13" a="1"/>
  <c r="J3223" i="13" s="1"/>
  <c r="N3224" i="13"/>
  <c r="K3060" i="14" l="1"/>
  <c r="L3060" i="14" s="1"/>
  <c r="I3061" i="14" s="1"/>
  <c r="K3038" i="13"/>
  <c r="L3038" i="13" s="1"/>
  <c r="I3039" i="13" s="1"/>
  <c r="J3224" i="13" a="1"/>
  <c r="J3224" i="13" s="1"/>
  <c r="N3225" i="13"/>
  <c r="N3224" i="14"/>
  <c r="J3223" i="14" a="1"/>
  <c r="J3223" i="14" s="1"/>
  <c r="M3228" i="14"/>
  <c r="M3227" i="13"/>
  <c r="K3039" i="13" l="1"/>
  <c r="L3039" i="13" s="1"/>
  <c r="I3040" i="13" s="1"/>
  <c r="K3061" i="14"/>
  <c r="L3061" i="14" s="1"/>
  <c r="I3062" i="14" s="1"/>
  <c r="N3225" i="14"/>
  <c r="J3224" i="14" a="1"/>
  <c r="J3224" i="14" s="1"/>
  <c r="M3229" i="14"/>
  <c r="J3225" i="13" a="1"/>
  <c r="J3225" i="13" s="1"/>
  <c r="N3226" i="13"/>
  <c r="M3228" i="13"/>
  <c r="K3062" i="14" l="1"/>
  <c r="L3062" i="14" s="1"/>
  <c r="I3063" i="14" s="1"/>
  <c r="K3040" i="13"/>
  <c r="L3040" i="13" s="1"/>
  <c r="I3041" i="13" s="1"/>
  <c r="N3227" i="13"/>
  <c r="J3226" i="13" a="1"/>
  <c r="J3226" i="13" s="1"/>
  <c r="M3229" i="13"/>
  <c r="M3230" i="14"/>
  <c r="N3226" i="14"/>
  <c r="J3225" i="14" a="1"/>
  <c r="J3225" i="14" s="1"/>
  <c r="K3041" i="13" l="1"/>
  <c r="L3041" i="13" s="1"/>
  <c r="I3042" i="13" s="1"/>
  <c r="K3063" i="14"/>
  <c r="L3063" i="14" s="1"/>
  <c r="I3064" i="14" s="1"/>
  <c r="J3226" i="14" a="1"/>
  <c r="J3226" i="14" s="1"/>
  <c r="N3227" i="14"/>
  <c r="M3231" i="14"/>
  <c r="M3230" i="13"/>
  <c r="J3227" i="13" a="1"/>
  <c r="J3227" i="13" s="1"/>
  <c r="N3228" i="13"/>
  <c r="K3064" i="14" l="1"/>
  <c r="L3064" i="14" s="1"/>
  <c r="I3065" i="14" s="1"/>
  <c r="K3042" i="13"/>
  <c r="L3042" i="13" s="1"/>
  <c r="I3043" i="13" s="1"/>
  <c r="J3228" i="13" a="1"/>
  <c r="J3228" i="13" s="1"/>
  <c r="N3229" i="13"/>
  <c r="M3232" i="14"/>
  <c r="N3228" i="14"/>
  <c r="J3227" i="14" a="1"/>
  <c r="J3227" i="14" s="1"/>
  <c r="M3231" i="13"/>
  <c r="K3065" i="14" l="1"/>
  <c r="L3065" i="14" s="1"/>
  <c r="I3066" i="14" s="1"/>
  <c r="K3043" i="13"/>
  <c r="L3043" i="13" s="1"/>
  <c r="I3044" i="13" s="1"/>
  <c r="M3233" i="14"/>
  <c r="M3232" i="13"/>
  <c r="J3229" i="13" a="1"/>
  <c r="J3229" i="13" s="1"/>
  <c r="N3230" i="13"/>
  <c r="N3229" i="14"/>
  <c r="J3228" i="14" a="1"/>
  <c r="J3228" i="14" s="1"/>
  <c r="K3044" i="13" l="1"/>
  <c r="L3044" i="13" s="1"/>
  <c r="I3045" i="13" s="1"/>
  <c r="K3066" i="14"/>
  <c r="L3066" i="14" s="1"/>
  <c r="I3067" i="14" s="1"/>
  <c r="N3230" i="14"/>
  <c r="J3229" i="14" a="1"/>
  <c r="J3229" i="14" s="1"/>
  <c r="M3233" i="13"/>
  <c r="N3231" i="13"/>
  <c r="J3230" i="13" a="1"/>
  <c r="J3230" i="13" s="1"/>
  <c r="M3234" i="14"/>
  <c r="K3067" i="14" l="1"/>
  <c r="L3067" i="14" s="1"/>
  <c r="I3068" i="14" s="1"/>
  <c r="K3045" i="13"/>
  <c r="L3045" i="13" s="1"/>
  <c r="I3046" i="13" s="1"/>
  <c r="M3235" i="14"/>
  <c r="M3234" i="13"/>
  <c r="J3231" i="13" a="1"/>
  <c r="J3231" i="13" s="1"/>
  <c r="N3232" i="13"/>
  <c r="J3230" i="14" a="1"/>
  <c r="J3230" i="14" s="1"/>
  <c r="N3231" i="14"/>
  <c r="K3046" i="13" l="1"/>
  <c r="L3046" i="13" s="1"/>
  <c r="I3047" i="13" s="1"/>
  <c r="K3068" i="14"/>
  <c r="L3068" i="14" s="1"/>
  <c r="I3069" i="14" s="1"/>
  <c r="N3232" i="14"/>
  <c r="J3231" i="14" a="1"/>
  <c r="J3231" i="14" s="1"/>
  <c r="M3235" i="13"/>
  <c r="J3232" i="13" a="1"/>
  <c r="J3232" i="13" s="1"/>
  <c r="N3233" i="13"/>
  <c r="M3236" i="14"/>
  <c r="K3069" i="14" l="1"/>
  <c r="L3069" i="14" s="1"/>
  <c r="I3070" i="14" s="1"/>
  <c r="K3047" i="13"/>
  <c r="L3047" i="13" s="1"/>
  <c r="I3048" i="13" s="1"/>
  <c r="J3233" i="13" a="1"/>
  <c r="J3233" i="13" s="1"/>
  <c r="N3234" i="13"/>
  <c r="M3237" i="14"/>
  <c r="M3236" i="13"/>
  <c r="N3233" i="14"/>
  <c r="J3232" i="14" a="1"/>
  <c r="J3232" i="14" s="1"/>
  <c r="K3048" i="13" l="1"/>
  <c r="L3048" i="13" s="1"/>
  <c r="I3049" i="13" s="1"/>
  <c r="K3070" i="14"/>
  <c r="L3070" i="14" s="1"/>
  <c r="I3071" i="14" s="1"/>
  <c r="N3234" i="14"/>
  <c r="J3233" i="14" a="1"/>
  <c r="J3233" i="14" s="1"/>
  <c r="M3238" i="14"/>
  <c r="N3235" i="13"/>
  <c r="J3234" i="13" a="1"/>
  <c r="J3234" i="13" s="1"/>
  <c r="M3237" i="13"/>
  <c r="K3071" i="14" l="1"/>
  <c r="L3071" i="14" s="1"/>
  <c r="I3072" i="14" s="1"/>
  <c r="K3049" i="13"/>
  <c r="L3049" i="13" s="1"/>
  <c r="I3050" i="13" s="1"/>
  <c r="J3235" i="13" a="1"/>
  <c r="J3235" i="13" s="1"/>
  <c r="N3236" i="13"/>
  <c r="M3238" i="13"/>
  <c r="M3239" i="14"/>
  <c r="J3234" i="14" a="1"/>
  <c r="J3234" i="14" s="1"/>
  <c r="N3235" i="14"/>
  <c r="K3050" i="13" l="1"/>
  <c r="L3050" i="13" s="1"/>
  <c r="I3051" i="13" s="1"/>
  <c r="K3072" i="14"/>
  <c r="L3072" i="14" s="1"/>
  <c r="I3073" i="14" s="1"/>
  <c r="N3236" i="14"/>
  <c r="J3235" i="14" a="1"/>
  <c r="J3235" i="14" s="1"/>
  <c r="M3239" i="13"/>
  <c r="J3236" i="13" a="1"/>
  <c r="J3236" i="13" s="1"/>
  <c r="N3237" i="13"/>
  <c r="M3240" i="14"/>
  <c r="K3073" i="14" l="1"/>
  <c r="L3073" i="14" s="1"/>
  <c r="I3074" i="14" s="1"/>
  <c r="K3051" i="13"/>
  <c r="L3051" i="13" s="1"/>
  <c r="I3052" i="13" s="1"/>
  <c r="M3241" i="14"/>
  <c r="M3240" i="13"/>
  <c r="J3237" i="13" a="1"/>
  <c r="J3237" i="13" s="1"/>
  <c r="N3238" i="13"/>
  <c r="N3237" i="14"/>
  <c r="J3236" i="14" a="1"/>
  <c r="J3236" i="14" s="1"/>
  <c r="K3052" i="13" l="1"/>
  <c r="L3052" i="13" s="1"/>
  <c r="I3053" i="13" s="1"/>
  <c r="K3074" i="14"/>
  <c r="L3074" i="14" s="1"/>
  <c r="I3075" i="14" s="1"/>
  <c r="N3238" i="14"/>
  <c r="J3237" i="14" a="1"/>
  <c r="J3237" i="14" s="1"/>
  <c r="M3241" i="13"/>
  <c r="N3239" i="13"/>
  <c r="J3238" i="13" a="1"/>
  <c r="J3238" i="13" s="1"/>
  <c r="M3242" i="14"/>
  <c r="K3075" i="14" l="1"/>
  <c r="L3075" i="14" s="1"/>
  <c r="I3076" i="14" s="1"/>
  <c r="K3053" i="13"/>
  <c r="L3053" i="13" s="1"/>
  <c r="I3054" i="13" s="1"/>
  <c r="M3243" i="14"/>
  <c r="J3239" i="13" a="1"/>
  <c r="J3239" i="13" s="1"/>
  <c r="N3240" i="13"/>
  <c r="M3242" i="13"/>
  <c r="J3238" i="14" a="1"/>
  <c r="J3238" i="14" s="1"/>
  <c r="N3239" i="14"/>
  <c r="K3054" i="13" l="1"/>
  <c r="L3054" i="13" s="1"/>
  <c r="I3055" i="13" s="1"/>
  <c r="K3076" i="14"/>
  <c r="L3076" i="14" s="1"/>
  <c r="I3077" i="14" s="1"/>
  <c r="N3240" i="14"/>
  <c r="J3239" i="14" a="1"/>
  <c r="J3239" i="14" s="1"/>
  <c r="J3240" i="13" a="1"/>
  <c r="J3240" i="13" s="1"/>
  <c r="N3241" i="13"/>
  <c r="M3244" i="14"/>
  <c r="M3243" i="13"/>
  <c r="K3055" i="13" l="1"/>
  <c r="L3055" i="13" s="1"/>
  <c r="I3056" i="13" s="1"/>
  <c r="J3241" i="13" a="1"/>
  <c r="J3241" i="13" s="1"/>
  <c r="N3242" i="13"/>
  <c r="K3077" i="14"/>
  <c r="L3077" i="14" s="1"/>
  <c r="I3078" i="14" s="1"/>
  <c r="M3244" i="13"/>
  <c r="M3245" i="14"/>
  <c r="N3241" i="14"/>
  <c r="J3240" i="14" a="1"/>
  <c r="J3240" i="14" s="1"/>
  <c r="K3078" i="14" l="1"/>
  <c r="L3078" i="14" s="1"/>
  <c r="I3079" i="14" s="1"/>
  <c r="K3056" i="13"/>
  <c r="L3056" i="13" s="1"/>
  <c r="I3057" i="13" s="1"/>
  <c r="N3243" i="13"/>
  <c r="J3242" i="13" a="1"/>
  <c r="J3242" i="13" s="1"/>
  <c r="M3245" i="13"/>
  <c r="N3242" i="14"/>
  <c r="J3241" i="14" a="1"/>
  <c r="J3241" i="14" s="1"/>
  <c r="M3246" i="14"/>
  <c r="K3057" i="13" l="1"/>
  <c r="L3057" i="13" s="1"/>
  <c r="I3058" i="13" s="1"/>
  <c r="K3079" i="14"/>
  <c r="L3079" i="14" s="1"/>
  <c r="I3080" i="14" s="1"/>
  <c r="M3246" i="13"/>
  <c r="M3247" i="14"/>
  <c r="J3242" i="14" a="1"/>
  <c r="J3242" i="14" s="1"/>
  <c r="N3243" i="14"/>
  <c r="J3243" i="13" a="1"/>
  <c r="J3243" i="13" s="1"/>
  <c r="N3244" i="13"/>
  <c r="K3080" i="14" l="1"/>
  <c r="L3080" i="14" s="1"/>
  <c r="I3081" i="14" s="1"/>
  <c r="K3058" i="13"/>
  <c r="L3058" i="13" s="1"/>
  <c r="I3059" i="13" s="1"/>
  <c r="J3244" i="13" a="1"/>
  <c r="J3244" i="13" s="1"/>
  <c r="N3245" i="13"/>
  <c r="M3248" i="14"/>
  <c r="N3244" i="14"/>
  <c r="J3243" i="14" a="1"/>
  <c r="J3243" i="14" s="1"/>
  <c r="M3247" i="13"/>
  <c r="K3059" i="13" l="1"/>
  <c r="L3059" i="13" s="1"/>
  <c r="I3060" i="13" s="1"/>
  <c r="K3081" i="14"/>
  <c r="L3081" i="14" s="1"/>
  <c r="I3082" i="14" s="1"/>
  <c r="M3249" i="14"/>
  <c r="M3248" i="13"/>
  <c r="J3245" i="13" a="1"/>
  <c r="J3245" i="13" s="1"/>
  <c r="N3246" i="13"/>
  <c r="N3245" i="14"/>
  <c r="J3244" i="14" a="1"/>
  <c r="J3244" i="14" s="1"/>
  <c r="K3060" i="13" l="1"/>
  <c r="L3060" i="13" s="1"/>
  <c r="I3061" i="13" s="1"/>
  <c r="K3082" i="14"/>
  <c r="L3082" i="14" s="1"/>
  <c r="I3083" i="14" s="1"/>
  <c r="N3246" i="14"/>
  <c r="J3245" i="14" a="1"/>
  <c r="J3245" i="14" s="1"/>
  <c r="N3247" i="13"/>
  <c r="J3246" i="13" a="1"/>
  <c r="J3246" i="13" s="1"/>
  <c r="M3249" i="13"/>
  <c r="M3250" i="14"/>
  <c r="K3083" i="14" l="1"/>
  <c r="L3083" i="14" s="1"/>
  <c r="I3084" i="14" s="1"/>
  <c r="K3061" i="13"/>
  <c r="L3061" i="13" s="1"/>
  <c r="I3062" i="13" s="1"/>
  <c r="J3247" i="13" a="1"/>
  <c r="J3247" i="13" s="1"/>
  <c r="N3248" i="13"/>
  <c r="M3251" i="14"/>
  <c r="M3250" i="13"/>
  <c r="J3246" i="14" a="1"/>
  <c r="J3246" i="14" s="1"/>
  <c r="N3247" i="14"/>
  <c r="K3062" i="13" l="1"/>
  <c r="L3062" i="13" s="1"/>
  <c r="I3063" i="13" s="1"/>
  <c r="K3084" i="14"/>
  <c r="L3084" i="14" s="1"/>
  <c r="I3085" i="14" s="1"/>
  <c r="N3248" i="14"/>
  <c r="J3247" i="14" a="1"/>
  <c r="J3247" i="14" s="1"/>
  <c r="M3252" i="14"/>
  <c r="J3248" i="13" a="1"/>
  <c r="J3248" i="13" s="1"/>
  <c r="N3249" i="13"/>
  <c r="M3251" i="13"/>
  <c r="K3063" i="13" l="1"/>
  <c r="L3063" i="13" s="1"/>
  <c r="I3064" i="13" s="1"/>
  <c r="K3085" i="14"/>
  <c r="L3085" i="14" s="1"/>
  <c r="I3086" i="14" s="1"/>
  <c r="J3249" i="13" a="1"/>
  <c r="J3249" i="13" s="1"/>
  <c r="N3250" i="13"/>
  <c r="M3253" i="14"/>
  <c r="M3252" i="13"/>
  <c r="N3249" i="14"/>
  <c r="J3248" i="14" a="1"/>
  <c r="J3248" i="14" s="1"/>
  <c r="K3064" i="13" l="1"/>
  <c r="L3064" i="13" s="1"/>
  <c r="I3065" i="13" s="1"/>
  <c r="K3086" i="14"/>
  <c r="L3086" i="14" s="1"/>
  <c r="I3087" i="14" s="1"/>
  <c r="N3250" i="14"/>
  <c r="J3249" i="14" a="1"/>
  <c r="J3249" i="14" s="1"/>
  <c r="M3254" i="14"/>
  <c r="N3251" i="13"/>
  <c r="J3250" i="13" a="1"/>
  <c r="J3250" i="13" s="1"/>
  <c r="M3253" i="13"/>
  <c r="K3087" i="14" l="1"/>
  <c r="L3087" i="14" s="1"/>
  <c r="I3088" i="14" s="1"/>
  <c r="K3065" i="13"/>
  <c r="L3065" i="13" s="1"/>
  <c r="I3066" i="13" s="1"/>
  <c r="M3254" i="13"/>
  <c r="M3255" i="14"/>
  <c r="J3251" i="13" a="1"/>
  <c r="J3251" i="13" s="1"/>
  <c r="N3252" i="13"/>
  <c r="J3250" i="14" a="1"/>
  <c r="J3250" i="14" s="1"/>
  <c r="N3251" i="14"/>
  <c r="K3066" i="13" l="1"/>
  <c r="L3066" i="13" s="1"/>
  <c r="I3067" i="13" s="1"/>
  <c r="K3088" i="14"/>
  <c r="L3088" i="14" s="1"/>
  <c r="I3089" i="14" s="1"/>
  <c r="N3252" i="14"/>
  <c r="J3251" i="14" a="1"/>
  <c r="J3251" i="14" s="1"/>
  <c r="M3256" i="14"/>
  <c r="J3252" i="13" a="1"/>
  <c r="J3252" i="13" s="1"/>
  <c r="N3253" i="13"/>
  <c r="M3255" i="13"/>
  <c r="K3089" i="14" l="1"/>
  <c r="L3089" i="14" s="1"/>
  <c r="I3090" i="14" s="1"/>
  <c r="K3067" i="13"/>
  <c r="L3067" i="13" s="1"/>
  <c r="I3068" i="13" s="1"/>
  <c r="J3253" i="13" a="1"/>
  <c r="J3253" i="13" s="1"/>
  <c r="N3254" i="13"/>
  <c r="M3257" i="14"/>
  <c r="M3256" i="13"/>
  <c r="N3253" i="14"/>
  <c r="J3252" i="14" a="1"/>
  <c r="J3252" i="14" s="1"/>
  <c r="K3068" i="13" l="1"/>
  <c r="L3068" i="13" s="1"/>
  <c r="I3069" i="13" s="1"/>
  <c r="K3090" i="14"/>
  <c r="L3090" i="14" s="1"/>
  <c r="I3091" i="14" s="1"/>
  <c r="N3254" i="14"/>
  <c r="J3253" i="14" a="1"/>
  <c r="J3253" i="14" s="1"/>
  <c r="M3258" i="14"/>
  <c r="N3255" i="13"/>
  <c r="J3254" i="13" a="1"/>
  <c r="J3254" i="13" s="1"/>
  <c r="M3257" i="13"/>
  <c r="K3091" i="14" l="1"/>
  <c r="L3091" i="14" s="1"/>
  <c r="I3092" i="14" s="1"/>
  <c r="K3069" i="13"/>
  <c r="L3069" i="13" s="1"/>
  <c r="I3070" i="13" s="1"/>
  <c r="J3255" i="13" a="1"/>
  <c r="J3255" i="13" s="1"/>
  <c r="N3256" i="13"/>
  <c r="M3258" i="13"/>
  <c r="M3259" i="14"/>
  <c r="J3254" i="14" a="1"/>
  <c r="J3254" i="14" s="1"/>
  <c r="N3255" i="14"/>
  <c r="K3070" i="13" l="1"/>
  <c r="L3070" i="13" s="1"/>
  <c r="I3071" i="13" s="1"/>
  <c r="K3092" i="14"/>
  <c r="L3092" i="14" s="1"/>
  <c r="I3093" i="14" s="1"/>
  <c r="N3256" i="14"/>
  <c r="J3255" i="14" a="1"/>
  <c r="J3255" i="14" s="1"/>
  <c r="M3260" i="14"/>
  <c r="M3259" i="13"/>
  <c r="J3256" i="13" a="1"/>
  <c r="J3256" i="13" s="1"/>
  <c r="N3257" i="13"/>
  <c r="K3093" i="14" l="1"/>
  <c r="L3093" i="14" s="1"/>
  <c r="I3094" i="14" s="1"/>
  <c r="K3071" i="13"/>
  <c r="L3071" i="13" s="1"/>
  <c r="I3072" i="13" s="1"/>
  <c r="J3257" i="13" a="1"/>
  <c r="J3257" i="13" s="1"/>
  <c r="N3258" i="13"/>
  <c r="M3261" i="14"/>
  <c r="M3260" i="13"/>
  <c r="N3257" i="14"/>
  <c r="J3256" i="14" a="1"/>
  <c r="J3256" i="14" s="1"/>
  <c r="K3072" i="13" l="1"/>
  <c r="L3072" i="13" s="1"/>
  <c r="I3073" i="13" s="1"/>
  <c r="K3094" i="14"/>
  <c r="L3094" i="14" s="1"/>
  <c r="I3095" i="14" s="1"/>
  <c r="N3258" i="14"/>
  <c r="J3257" i="14" a="1"/>
  <c r="J3257" i="14" s="1"/>
  <c r="M3262" i="14"/>
  <c r="N3259" i="13"/>
  <c r="J3258" i="13" a="1"/>
  <c r="J3258" i="13" s="1"/>
  <c r="M3261" i="13"/>
  <c r="K3095" i="14" l="1"/>
  <c r="L3095" i="14" s="1"/>
  <c r="I3096" i="14" s="1"/>
  <c r="K3073" i="13"/>
  <c r="L3073" i="13" s="1"/>
  <c r="I3074" i="13" s="1"/>
  <c r="M3262" i="13"/>
  <c r="M3263" i="14"/>
  <c r="J3259" i="13" a="1"/>
  <c r="J3259" i="13" s="1"/>
  <c r="N3260" i="13"/>
  <c r="J3258" i="14" a="1"/>
  <c r="J3258" i="14" s="1"/>
  <c r="N3259" i="14"/>
  <c r="K3074" i="13" l="1"/>
  <c r="L3074" i="13" s="1"/>
  <c r="I3075" i="13" s="1"/>
  <c r="K3096" i="14"/>
  <c r="L3096" i="14" s="1"/>
  <c r="I3097" i="14" s="1"/>
  <c r="N3260" i="14"/>
  <c r="J3259" i="14" a="1"/>
  <c r="J3259" i="14" s="1"/>
  <c r="M3264" i="14"/>
  <c r="J3260" i="13" a="1"/>
  <c r="J3260" i="13" s="1"/>
  <c r="N3261" i="13"/>
  <c r="M3263" i="13"/>
  <c r="K3097" i="14" l="1"/>
  <c r="L3097" i="14" s="1"/>
  <c r="I3098" i="14" s="1"/>
  <c r="K3075" i="13"/>
  <c r="L3075" i="13" s="1"/>
  <c r="I3076" i="13" s="1"/>
  <c r="M3265" i="14"/>
  <c r="M3264" i="13"/>
  <c r="J3261" i="13" a="1"/>
  <c r="J3261" i="13" s="1"/>
  <c r="N3262" i="13"/>
  <c r="N3261" i="14"/>
  <c r="J3260" i="14" a="1"/>
  <c r="J3260" i="14" s="1"/>
  <c r="K3076" i="13" l="1"/>
  <c r="L3076" i="13" s="1"/>
  <c r="I3077" i="13" s="1"/>
  <c r="K3098" i="14"/>
  <c r="L3098" i="14" s="1"/>
  <c r="I3099" i="14" s="1"/>
  <c r="N3262" i="14"/>
  <c r="J3261" i="14" a="1"/>
  <c r="J3261" i="14" s="1"/>
  <c r="M3265" i="13"/>
  <c r="N3263" i="13"/>
  <c r="J3262" i="13" a="1"/>
  <c r="J3262" i="13" s="1"/>
  <c r="M3266" i="14"/>
  <c r="K3099" i="14" l="1"/>
  <c r="L3099" i="14" s="1"/>
  <c r="I3100" i="14" s="1"/>
  <c r="K3077" i="13"/>
  <c r="L3077" i="13" s="1"/>
  <c r="I3078" i="13" s="1"/>
  <c r="M3266" i="13"/>
  <c r="M3267" i="14"/>
  <c r="J3263" i="13" a="1"/>
  <c r="J3263" i="13" s="1"/>
  <c r="N3264" i="13"/>
  <c r="J3262" i="14" a="1"/>
  <c r="J3262" i="14" s="1"/>
  <c r="N3263" i="14"/>
  <c r="K3078" i="13" l="1"/>
  <c r="L3078" i="13" s="1"/>
  <c r="I3079" i="13" s="1"/>
  <c r="K3100" i="14"/>
  <c r="L3100" i="14" s="1"/>
  <c r="I3101" i="14" s="1"/>
  <c r="N3264" i="14"/>
  <c r="J3263" i="14" a="1"/>
  <c r="J3263" i="14" s="1"/>
  <c r="M3268" i="14"/>
  <c r="J3264" i="13" a="1"/>
  <c r="J3264" i="13" s="1"/>
  <c r="N3265" i="13"/>
  <c r="M3267" i="13"/>
  <c r="K3079" i="13" l="1"/>
  <c r="L3079" i="13" s="1"/>
  <c r="I3080" i="13" s="1"/>
  <c r="M3268" i="13"/>
  <c r="M3269" i="14"/>
  <c r="K3101" i="14"/>
  <c r="L3101" i="14" s="1"/>
  <c r="I3102" i="14" s="1"/>
  <c r="J3265" i="13" a="1"/>
  <c r="J3265" i="13" s="1"/>
  <c r="N3266" i="13"/>
  <c r="N3265" i="14"/>
  <c r="J3264" i="14" a="1"/>
  <c r="J3264" i="14" s="1"/>
  <c r="K3102" i="14" l="1"/>
  <c r="L3102" i="14" s="1"/>
  <c r="I3103" i="14" s="1"/>
  <c r="K3080" i="13"/>
  <c r="L3080" i="13" s="1"/>
  <c r="I3081" i="13" s="1"/>
  <c r="M3269" i="13"/>
  <c r="N3267" i="13"/>
  <c r="J3266" i="13" a="1"/>
  <c r="J3266" i="13" s="1"/>
  <c r="N3266" i="14"/>
  <c r="J3265" i="14" a="1"/>
  <c r="J3265" i="14" s="1"/>
  <c r="M3270" i="14"/>
  <c r="K3081" i="13" l="1"/>
  <c r="L3081" i="13" s="1"/>
  <c r="I3082" i="13" s="1"/>
  <c r="K3103" i="14"/>
  <c r="L3103" i="14" s="1"/>
  <c r="I3104" i="14" s="1"/>
  <c r="J3267" i="13" a="1"/>
  <c r="J3267" i="13" s="1"/>
  <c r="N3268" i="13"/>
  <c r="M3270" i="13"/>
  <c r="M3271" i="14"/>
  <c r="J3266" i="14" a="1"/>
  <c r="J3266" i="14" s="1"/>
  <c r="N3267" i="14"/>
  <c r="K3104" i="14" l="1"/>
  <c r="L3104" i="14" s="1"/>
  <c r="I3105" i="14" s="1"/>
  <c r="K3082" i="13"/>
  <c r="L3082" i="13" s="1"/>
  <c r="I3083" i="13" s="1"/>
  <c r="N3268" i="14"/>
  <c r="J3267" i="14" a="1"/>
  <c r="J3267" i="14" s="1"/>
  <c r="M3271" i="13"/>
  <c r="M3272" i="14"/>
  <c r="J3268" i="13" a="1"/>
  <c r="J3268" i="13" s="1"/>
  <c r="N3269" i="13"/>
  <c r="K3083" i="13" l="1"/>
  <c r="L3083" i="13" s="1"/>
  <c r="I3084" i="13" s="1"/>
  <c r="K3105" i="14"/>
  <c r="L3105" i="14" s="1"/>
  <c r="I3106" i="14" s="1"/>
  <c r="J3269" i="13" a="1"/>
  <c r="J3269" i="13" s="1"/>
  <c r="N3270" i="13"/>
  <c r="M3272" i="13"/>
  <c r="M3273" i="14"/>
  <c r="N3269" i="14"/>
  <c r="J3268" i="14" a="1"/>
  <c r="J3268" i="14" s="1"/>
  <c r="K3106" i="14" l="1"/>
  <c r="L3106" i="14" s="1"/>
  <c r="I3107" i="14" s="1"/>
  <c r="K3084" i="13"/>
  <c r="L3084" i="13" s="1"/>
  <c r="I3085" i="13" s="1"/>
  <c r="N3270" i="14"/>
  <c r="J3269" i="14" a="1"/>
  <c r="J3269" i="14" s="1"/>
  <c r="M3273" i="13"/>
  <c r="N3271" i="13"/>
  <c r="J3270" i="13" a="1"/>
  <c r="J3270" i="13" s="1"/>
  <c r="M3274" i="14"/>
  <c r="K3085" i="13" l="1"/>
  <c r="L3085" i="13" s="1"/>
  <c r="I3086" i="13" s="1"/>
  <c r="K3107" i="14"/>
  <c r="L3107" i="14" s="1"/>
  <c r="I3108" i="14" s="1"/>
  <c r="M3275" i="14"/>
  <c r="M3274" i="13"/>
  <c r="J3271" i="13" a="1"/>
  <c r="J3271" i="13" s="1"/>
  <c r="N3272" i="13"/>
  <c r="J3270" i="14" a="1"/>
  <c r="J3270" i="14" s="1"/>
  <c r="N3271" i="14"/>
  <c r="K3108" i="14" l="1"/>
  <c r="L3108" i="14" s="1"/>
  <c r="I3109" i="14" s="1"/>
  <c r="K3086" i="13"/>
  <c r="L3086" i="13" s="1"/>
  <c r="I3087" i="13" s="1"/>
  <c r="N3272" i="14"/>
  <c r="J3271" i="14" a="1"/>
  <c r="J3271" i="14" s="1"/>
  <c r="M3275" i="13"/>
  <c r="J3272" i="13" a="1"/>
  <c r="J3272" i="13" s="1"/>
  <c r="N3273" i="13"/>
  <c r="M3276" i="14"/>
  <c r="K3087" i="13" l="1"/>
  <c r="L3087" i="13" s="1"/>
  <c r="I3088" i="13" s="1"/>
  <c r="K3109" i="14"/>
  <c r="L3109" i="14" s="1"/>
  <c r="I3110" i="14" s="1"/>
  <c r="M3277" i="14"/>
  <c r="J3273" i="13" a="1"/>
  <c r="J3273" i="13" s="1"/>
  <c r="N3274" i="13"/>
  <c r="M3276" i="13"/>
  <c r="N3273" i="14"/>
  <c r="J3272" i="14" a="1"/>
  <c r="J3272" i="14" s="1"/>
  <c r="K3110" i="14" l="1"/>
  <c r="L3110" i="14" s="1"/>
  <c r="I3111" i="14" s="1"/>
  <c r="K3088" i="13"/>
  <c r="L3088" i="13" s="1"/>
  <c r="I3089" i="13" s="1"/>
  <c r="N3275" i="13"/>
  <c r="J3274" i="13" a="1"/>
  <c r="J3274" i="13" s="1"/>
  <c r="N3274" i="14"/>
  <c r="J3273" i="14" a="1"/>
  <c r="J3273" i="14" s="1"/>
  <c r="M3277" i="13"/>
  <c r="M3278" i="14"/>
  <c r="K3089" i="13" l="1"/>
  <c r="L3089" i="13" s="1"/>
  <c r="I3090" i="13" s="1"/>
  <c r="K3111" i="14"/>
  <c r="L3111" i="14" s="1"/>
  <c r="I3112" i="14" s="1"/>
  <c r="J3274" i="14" a="1"/>
  <c r="J3274" i="14" s="1"/>
  <c r="N3275" i="14"/>
  <c r="M3279" i="14"/>
  <c r="M3278" i="13"/>
  <c r="J3275" i="13" a="1"/>
  <c r="J3275" i="13" s="1"/>
  <c r="N3276" i="13"/>
  <c r="K3112" i="14" l="1"/>
  <c r="L3112" i="14" s="1"/>
  <c r="I3113" i="14" s="1"/>
  <c r="K3090" i="13"/>
  <c r="L3090" i="13" s="1"/>
  <c r="I3091" i="13" s="1"/>
  <c r="J3276" i="13" a="1"/>
  <c r="J3276" i="13" s="1"/>
  <c r="N3277" i="13"/>
  <c r="M3280" i="14"/>
  <c r="N3276" i="14"/>
  <c r="J3275" i="14" a="1"/>
  <c r="J3275" i="14" s="1"/>
  <c r="M3279" i="13"/>
  <c r="K3091" i="13" l="1"/>
  <c r="L3091" i="13" s="1"/>
  <c r="I3092" i="13" s="1"/>
  <c r="K3113" i="14"/>
  <c r="L3113" i="14" s="1"/>
  <c r="I3114" i="14" s="1"/>
  <c r="M3281" i="14"/>
  <c r="N3277" i="14"/>
  <c r="J3276" i="14" a="1"/>
  <c r="J3276" i="14" s="1"/>
  <c r="M3280" i="13"/>
  <c r="J3277" i="13" a="1"/>
  <c r="J3277" i="13" s="1"/>
  <c r="N3278" i="13"/>
  <c r="K3114" i="14" l="1"/>
  <c r="L3114" i="14" s="1"/>
  <c r="I3115" i="14" s="1"/>
  <c r="K3092" i="13"/>
  <c r="L3092" i="13" s="1"/>
  <c r="I3093" i="13" s="1"/>
  <c r="N3279" i="13"/>
  <c r="J3278" i="13" a="1"/>
  <c r="J3278" i="13" s="1"/>
  <c r="N3278" i="14"/>
  <c r="J3277" i="14" a="1"/>
  <c r="J3277" i="14" s="1"/>
  <c r="M3281" i="13"/>
  <c r="M3282" i="14"/>
  <c r="K3093" i="13" l="1"/>
  <c r="L3093" i="13" s="1"/>
  <c r="I3094" i="13" s="1"/>
  <c r="K3115" i="14"/>
  <c r="L3115" i="14" s="1"/>
  <c r="I3116" i="14" s="1"/>
  <c r="M3283" i="14"/>
  <c r="J3278" i="14" a="1"/>
  <c r="J3278" i="14" s="1"/>
  <c r="N3279" i="14"/>
  <c r="M3282" i="13"/>
  <c r="J3279" i="13" a="1"/>
  <c r="J3279" i="13" s="1"/>
  <c r="N3280" i="13"/>
  <c r="K3116" i="14" l="1"/>
  <c r="L3116" i="14" s="1"/>
  <c r="I3117" i="14" s="1"/>
  <c r="K3094" i="13"/>
  <c r="L3094" i="13" s="1"/>
  <c r="I3095" i="13" s="1"/>
  <c r="N3280" i="14"/>
  <c r="J3279" i="14" a="1"/>
  <c r="J3279" i="14" s="1"/>
  <c r="J3280" i="13" a="1"/>
  <c r="J3280" i="13" s="1"/>
  <c r="N3281" i="13"/>
  <c r="M3283" i="13"/>
  <c r="M3284" i="14"/>
  <c r="K3095" i="13" l="1"/>
  <c r="L3095" i="13" s="1"/>
  <c r="I3096" i="13" s="1"/>
  <c r="K3117" i="14"/>
  <c r="L3117" i="14" s="1"/>
  <c r="I3118" i="14" s="1"/>
  <c r="M3285" i="14"/>
  <c r="J3281" i="13" a="1"/>
  <c r="J3281" i="13" s="1"/>
  <c r="N3282" i="13"/>
  <c r="M3284" i="13"/>
  <c r="J3280" i="14" a="1"/>
  <c r="J3280" i="14" s="1"/>
  <c r="N3281" i="14"/>
  <c r="K3118" i="14" l="1"/>
  <c r="L3118" i="14" s="1"/>
  <c r="I3119" i="14" s="1"/>
  <c r="K3096" i="13"/>
  <c r="L3096" i="13" s="1"/>
  <c r="I3097" i="13" s="1"/>
  <c r="N3283" i="13"/>
  <c r="J3282" i="13" a="1"/>
  <c r="J3282" i="13" s="1"/>
  <c r="N3282" i="14"/>
  <c r="J3281" i="14" a="1"/>
  <c r="J3281" i="14" s="1"/>
  <c r="M3285" i="13"/>
  <c r="M3286" i="14"/>
  <c r="K3097" i="13" l="1"/>
  <c r="L3097" i="13" s="1"/>
  <c r="I3098" i="13" s="1"/>
  <c r="K3119" i="14"/>
  <c r="L3119" i="14" s="1"/>
  <c r="I3120" i="14" s="1"/>
  <c r="J3282" i="14" a="1"/>
  <c r="J3282" i="14" s="1"/>
  <c r="N3283" i="14"/>
  <c r="M3287" i="14"/>
  <c r="M3286" i="13"/>
  <c r="J3283" i="13" a="1"/>
  <c r="J3283" i="13" s="1"/>
  <c r="N3284" i="13"/>
  <c r="K3120" i="14" l="1"/>
  <c r="L3120" i="14" s="1"/>
  <c r="I3121" i="14" s="1"/>
  <c r="K3098" i="13"/>
  <c r="L3098" i="13" s="1"/>
  <c r="I3099" i="13" s="1"/>
  <c r="J3284" i="13" a="1"/>
  <c r="J3284" i="13" s="1"/>
  <c r="N3285" i="13"/>
  <c r="M3288" i="14"/>
  <c r="N3284" i="14"/>
  <c r="J3283" i="14" a="1"/>
  <c r="J3283" i="14" s="1"/>
  <c r="M3287" i="13"/>
  <c r="K3121" i="14" l="1"/>
  <c r="L3121" i="14" s="1"/>
  <c r="I3122" i="14" s="1"/>
  <c r="M3289" i="14"/>
  <c r="M3288" i="13"/>
  <c r="K3099" i="13"/>
  <c r="L3099" i="13" s="1"/>
  <c r="I3100" i="13" s="1"/>
  <c r="J3285" i="13" a="1"/>
  <c r="J3285" i="13" s="1"/>
  <c r="N3286" i="13"/>
  <c r="N3285" i="14"/>
  <c r="J3284" i="14" a="1"/>
  <c r="J3284" i="14" s="1"/>
  <c r="K3122" i="14" l="1"/>
  <c r="L3122" i="14" s="1"/>
  <c r="I3123" i="14" s="1"/>
  <c r="N3286" i="14"/>
  <c r="J3285" i="14" a="1"/>
  <c r="J3285" i="14" s="1"/>
  <c r="M3290" i="14"/>
  <c r="N3287" i="13"/>
  <c r="J3286" i="13" a="1"/>
  <c r="J3286" i="13" s="1"/>
  <c r="K3100" i="13"/>
  <c r="L3100" i="13" s="1"/>
  <c r="I3101" i="13" s="1"/>
  <c r="M3289" i="13"/>
  <c r="K3101" i="13" l="1"/>
  <c r="L3101" i="13" s="1"/>
  <c r="I3102" i="13" s="1"/>
  <c r="K3123" i="14"/>
  <c r="L3123" i="14" s="1"/>
  <c r="I3124" i="14" s="1"/>
  <c r="J3287" i="13" a="1"/>
  <c r="J3287" i="13" s="1"/>
  <c r="N3288" i="13"/>
  <c r="J3286" i="14" a="1"/>
  <c r="J3286" i="14" s="1"/>
  <c r="N3287" i="14"/>
  <c r="M3290" i="13"/>
  <c r="M3291" i="14"/>
  <c r="K3124" i="14" l="1"/>
  <c r="L3124" i="14" s="1"/>
  <c r="I3125" i="14" s="1"/>
  <c r="K3102" i="13"/>
  <c r="L3102" i="13" s="1"/>
  <c r="I3103" i="13" s="1"/>
  <c r="N3288" i="14"/>
  <c r="J3287" i="14" a="1"/>
  <c r="J3287" i="14" s="1"/>
  <c r="M3292" i="14"/>
  <c r="J3288" i="13" a="1"/>
  <c r="J3288" i="13" s="1"/>
  <c r="N3289" i="13"/>
  <c r="M3291" i="13"/>
  <c r="K3103" i="13" l="1"/>
  <c r="L3103" i="13" s="1"/>
  <c r="I3104" i="13" s="1"/>
  <c r="K3125" i="14"/>
  <c r="L3125" i="14" s="1"/>
  <c r="I3126" i="14" s="1"/>
  <c r="J3289" i="13" a="1"/>
  <c r="J3289" i="13" s="1"/>
  <c r="N3290" i="13"/>
  <c r="M3293" i="14"/>
  <c r="M3292" i="13"/>
  <c r="N3289" i="14"/>
  <c r="J3288" i="14" a="1"/>
  <c r="J3288" i="14" s="1"/>
  <c r="K3126" i="14" l="1"/>
  <c r="L3126" i="14" s="1"/>
  <c r="I3127" i="14" s="1"/>
  <c r="K3104" i="13"/>
  <c r="L3104" i="13" s="1"/>
  <c r="I3105" i="13" s="1"/>
  <c r="N3290" i="14"/>
  <c r="J3289" i="14" a="1"/>
  <c r="J3289" i="14" s="1"/>
  <c r="M3294" i="14"/>
  <c r="N3291" i="13"/>
  <c r="J3290" i="13" a="1"/>
  <c r="J3290" i="13" s="1"/>
  <c r="M3293" i="13"/>
  <c r="K3105" i="13" l="1"/>
  <c r="L3105" i="13" s="1"/>
  <c r="I3106" i="13" s="1"/>
  <c r="K3127" i="14"/>
  <c r="L3127" i="14" s="1"/>
  <c r="I3128" i="14" s="1"/>
  <c r="M3294" i="13"/>
  <c r="M3295" i="14"/>
  <c r="J3291" i="13" a="1"/>
  <c r="J3291" i="13" s="1"/>
  <c r="N3292" i="13"/>
  <c r="J3290" i="14" a="1"/>
  <c r="J3290" i="14" s="1"/>
  <c r="N3291" i="14"/>
  <c r="K3128" i="14" l="1"/>
  <c r="L3128" i="14" s="1"/>
  <c r="I3129" i="14" s="1"/>
  <c r="K3106" i="13"/>
  <c r="L3106" i="13" s="1"/>
  <c r="I3107" i="13" s="1"/>
  <c r="N3292" i="14"/>
  <c r="J3291" i="14" a="1"/>
  <c r="J3291" i="14" s="1"/>
  <c r="M3296" i="14"/>
  <c r="J3292" i="13" a="1"/>
  <c r="J3292" i="13" s="1"/>
  <c r="N3293" i="13"/>
  <c r="M3295" i="13"/>
  <c r="K3107" i="13" l="1"/>
  <c r="L3107" i="13" s="1"/>
  <c r="I3108" i="13" s="1"/>
  <c r="M3297" i="14"/>
  <c r="N3293" i="14"/>
  <c r="J3292" i="14" a="1"/>
  <c r="J3292" i="14" s="1"/>
  <c r="M3296" i="13"/>
  <c r="J3293" i="13" a="1"/>
  <c r="J3293" i="13" s="1"/>
  <c r="N3294" i="13"/>
  <c r="K3129" i="14"/>
  <c r="L3129" i="14" s="1"/>
  <c r="I3130" i="14" s="1"/>
  <c r="K3130" i="14" l="1"/>
  <c r="L3130" i="14" s="1"/>
  <c r="I3131" i="14" s="1"/>
  <c r="K3108" i="13"/>
  <c r="L3108" i="13" s="1"/>
  <c r="I3109" i="13" s="1"/>
  <c r="N3295" i="13"/>
  <c r="J3294" i="13" a="1"/>
  <c r="J3294" i="13" s="1"/>
  <c r="M3297" i="13"/>
  <c r="M3298" i="14"/>
  <c r="N3294" i="14"/>
  <c r="J3293" i="14" a="1"/>
  <c r="J3293" i="14" s="1"/>
  <c r="K3109" i="13" l="1"/>
  <c r="L3109" i="13" s="1"/>
  <c r="I3110" i="13" s="1"/>
  <c r="K3131" i="14"/>
  <c r="L3131" i="14" s="1"/>
  <c r="I3132" i="14" s="1"/>
  <c r="M3298" i="13"/>
  <c r="J3294" i="14" a="1"/>
  <c r="J3294" i="14" s="1"/>
  <c r="N3295" i="14"/>
  <c r="M3299" i="14"/>
  <c r="J3295" i="13" a="1"/>
  <c r="J3295" i="13" s="1"/>
  <c r="N3296" i="13"/>
  <c r="K3132" i="14" l="1"/>
  <c r="L3132" i="14" s="1"/>
  <c r="I3133" i="14" s="1"/>
  <c r="K3110" i="13"/>
  <c r="L3110" i="13" s="1"/>
  <c r="I3111" i="13" s="1"/>
  <c r="J3296" i="13" a="1"/>
  <c r="J3296" i="13" s="1"/>
  <c r="N3297" i="13"/>
  <c r="N3296" i="14"/>
  <c r="J3295" i="14" a="1"/>
  <c r="J3295" i="14" s="1"/>
  <c r="M3300" i="14"/>
  <c r="M3299" i="13"/>
  <c r="K3111" i="13" l="1"/>
  <c r="L3111" i="13" s="1"/>
  <c r="I3112" i="13" s="1"/>
  <c r="K3133" i="14"/>
  <c r="L3133" i="14" s="1"/>
  <c r="I3134" i="14" s="1"/>
  <c r="N3297" i="14"/>
  <c r="J3296" i="14" a="1"/>
  <c r="J3296" i="14" s="1"/>
  <c r="J3297" i="13" a="1"/>
  <c r="J3297" i="13" s="1"/>
  <c r="N3298" i="13"/>
  <c r="M3300" i="13"/>
  <c r="M3301" i="14"/>
  <c r="K3134" i="14" l="1"/>
  <c r="L3134" i="14" s="1"/>
  <c r="I3135" i="14" s="1"/>
  <c r="K3112" i="13"/>
  <c r="L3112" i="13" s="1"/>
  <c r="I3113" i="13" s="1"/>
  <c r="N3299" i="13"/>
  <c r="J3298" i="13" a="1"/>
  <c r="J3298" i="13" s="1"/>
  <c r="M3302" i="14"/>
  <c r="M3301" i="13"/>
  <c r="N3298" i="14"/>
  <c r="J3297" i="14" a="1"/>
  <c r="J3297" i="14" s="1"/>
  <c r="K3113" i="13" l="1"/>
  <c r="L3113" i="13" s="1"/>
  <c r="I3114" i="13" s="1"/>
  <c r="K3135" i="14"/>
  <c r="L3135" i="14" s="1"/>
  <c r="I3136" i="14" s="1"/>
  <c r="J3298" i="14" a="1"/>
  <c r="J3298" i="14" s="1"/>
  <c r="N3299" i="14"/>
  <c r="M3303" i="14"/>
  <c r="M3302" i="13"/>
  <c r="J3299" i="13" a="1"/>
  <c r="J3299" i="13" s="1"/>
  <c r="N3300" i="13"/>
  <c r="K3136" i="14" l="1"/>
  <c r="L3136" i="14" s="1"/>
  <c r="I3137" i="14" s="1"/>
  <c r="K3114" i="13"/>
  <c r="L3114" i="13" s="1"/>
  <c r="I3115" i="13" s="1"/>
  <c r="J3300" i="13" a="1"/>
  <c r="J3300" i="13" s="1"/>
  <c r="N3301" i="13"/>
  <c r="M3304" i="14"/>
  <c r="N3300" i="14"/>
  <c r="J3299" i="14" a="1"/>
  <c r="J3299" i="14" s="1"/>
  <c r="M3303" i="13"/>
  <c r="K3115" i="13" l="1"/>
  <c r="L3115" i="13" s="1"/>
  <c r="I3116" i="13" s="1"/>
  <c r="K3137" i="14"/>
  <c r="L3137" i="14" s="1"/>
  <c r="I3138" i="14" s="1"/>
  <c r="M3305" i="14"/>
  <c r="N3301" i="14"/>
  <c r="J3300" i="14" a="1"/>
  <c r="J3300" i="14" s="1"/>
  <c r="M3304" i="13"/>
  <c r="J3301" i="13" a="1"/>
  <c r="J3301" i="13" s="1"/>
  <c r="N3302" i="13"/>
  <c r="K3138" i="14" l="1"/>
  <c r="L3138" i="14" s="1"/>
  <c r="I3139" i="14" s="1"/>
  <c r="K3116" i="13"/>
  <c r="L3116" i="13" s="1"/>
  <c r="I3117" i="13" s="1"/>
  <c r="N3303" i="13"/>
  <c r="J3302" i="13" a="1"/>
  <c r="J3302" i="13" s="1"/>
  <c r="N3302" i="14"/>
  <c r="J3301" i="14" a="1"/>
  <c r="J3301" i="14" s="1"/>
  <c r="M3305" i="13"/>
  <c r="M3306" i="14"/>
  <c r="K3139" i="14" l="1"/>
  <c r="L3139" i="14" s="1"/>
  <c r="I3140" i="14" s="1"/>
  <c r="J3302" i="14" a="1"/>
  <c r="J3302" i="14" s="1"/>
  <c r="N3303" i="14"/>
  <c r="K3117" i="13"/>
  <c r="L3117" i="13" s="1"/>
  <c r="I3118" i="13" s="1"/>
  <c r="M3307" i="14"/>
  <c r="M3306" i="13"/>
  <c r="J3303" i="13" a="1"/>
  <c r="J3303" i="13" s="1"/>
  <c r="N3304" i="13"/>
  <c r="K3118" i="13" l="1"/>
  <c r="L3118" i="13" s="1"/>
  <c r="I3119" i="13" s="1"/>
  <c r="K3140" i="14"/>
  <c r="L3140" i="14" s="1"/>
  <c r="I3141" i="14" s="1"/>
  <c r="M3308" i="14"/>
  <c r="N3304" i="14"/>
  <c r="J3303" i="14" a="1"/>
  <c r="J3303" i="14" s="1"/>
  <c r="J3304" i="13" a="1"/>
  <c r="J3304" i="13" s="1"/>
  <c r="N3305" i="13"/>
  <c r="M3307" i="13"/>
  <c r="K3141" i="14" l="1"/>
  <c r="L3141" i="14" s="1"/>
  <c r="I3142" i="14" s="1"/>
  <c r="K3119" i="13"/>
  <c r="L3119" i="13" s="1"/>
  <c r="I3120" i="13" s="1"/>
  <c r="N3305" i="14"/>
  <c r="J3304" i="14" a="1"/>
  <c r="J3304" i="14" s="1"/>
  <c r="M3308" i="13"/>
  <c r="J3305" i="13" a="1"/>
  <c r="J3305" i="13" s="1"/>
  <c r="N3306" i="13"/>
  <c r="M3309" i="14"/>
  <c r="K3120" i="13" l="1"/>
  <c r="L3120" i="13" s="1"/>
  <c r="I3121" i="13" s="1"/>
  <c r="K3142" i="14"/>
  <c r="L3142" i="14" s="1"/>
  <c r="I3143" i="14" s="1"/>
  <c r="N3307" i="13"/>
  <c r="J3306" i="13" a="1"/>
  <c r="J3306" i="13" s="1"/>
  <c r="M3310" i="14"/>
  <c r="M3309" i="13"/>
  <c r="N3306" i="14"/>
  <c r="J3305" i="14" a="1"/>
  <c r="J3305" i="14" s="1"/>
  <c r="K3143" i="14" l="1"/>
  <c r="L3143" i="14" s="1"/>
  <c r="I3144" i="14" s="1"/>
  <c r="K3121" i="13"/>
  <c r="L3121" i="13" s="1"/>
  <c r="I3122" i="13" s="1"/>
  <c r="J3306" i="14" a="1"/>
  <c r="J3306" i="14" s="1"/>
  <c r="N3307" i="14"/>
  <c r="M3311" i="14"/>
  <c r="M3310" i="13"/>
  <c r="J3307" i="13" a="1"/>
  <c r="J3307" i="13" s="1"/>
  <c r="N3308" i="13"/>
  <c r="K3122" i="13" l="1"/>
  <c r="L3122" i="13" s="1"/>
  <c r="I3123" i="13" s="1"/>
  <c r="K3144" i="14"/>
  <c r="L3144" i="14" s="1"/>
  <c r="I3145" i="14" s="1"/>
  <c r="M3312" i="14"/>
  <c r="N3308" i="14"/>
  <c r="J3307" i="14" a="1"/>
  <c r="J3307" i="14" s="1"/>
  <c r="J3308" i="13" a="1"/>
  <c r="J3308" i="13" s="1"/>
  <c r="N3309" i="13"/>
  <c r="M3311" i="13"/>
  <c r="K3145" i="14" l="1"/>
  <c r="L3145" i="14" s="1"/>
  <c r="I3146" i="14" s="1"/>
  <c r="K3123" i="13"/>
  <c r="L3123" i="13" s="1"/>
  <c r="I3124" i="13" s="1"/>
  <c r="M3312" i="13"/>
  <c r="N3309" i="14"/>
  <c r="J3308" i="14" a="1"/>
  <c r="J3308" i="14" s="1"/>
  <c r="J3309" i="13" a="1"/>
  <c r="J3309" i="13" s="1"/>
  <c r="N3310" i="13"/>
  <c r="M3313" i="14"/>
  <c r="K3124" i="13" l="1"/>
  <c r="L3124" i="13" s="1"/>
  <c r="I3125" i="13" s="1"/>
  <c r="K3146" i="14"/>
  <c r="L3146" i="14" s="1"/>
  <c r="I3147" i="14" s="1"/>
  <c r="N3310" i="14"/>
  <c r="J3309" i="14" a="1"/>
  <c r="J3309" i="14" s="1"/>
  <c r="N3311" i="13"/>
  <c r="J3310" i="13" a="1"/>
  <c r="J3310" i="13" s="1"/>
  <c r="M3314" i="14"/>
  <c r="M3313" i="13"/>
  <c r="K3147" i="14" l="1"/>
  <c r="L3147" i="14" s="1"/>
  <c r="I3148" i="14" s="1"/>
  <c r="J3310" i="14" a="1"/>
  <c r="J3310" i="14" s="1"/>
  <c r="N3311" i="14"/>
  <c r="M3314" i="13"/>
  <c r="K3125" i="13"/>
  <c r="L3125" i="13" s="1"/>
  <c r="I3126" i="13" s="1"/>
  <c r="J3311" i="13" a="1"/>
  <c r="J3311" i="13" s="1"/>
  <c r="N3312" i="13"/>
  <c r="M3315" i="14"/>
  <c r="K3126" i="13" l="1"/>
  <c r="L3126" i="13" s="1"/>
  <c r="I3127" i="13" s="1"/>
  <c r="K3148" i="14"/>
  <c r="L3148" i="14" s="1"/>
  <c r="I3149" i="14" s="1"/>
  <c r="N3312" i="14"/>
  <c r="J3311" i="14" a="1"/>
  <c r="J3311" i="14" s="1"/>
  <c r="M3316" i="14"/>
  <c r="J3312" i="13" a="1"/>
  <c r="J3312" i="13" s="1"/>
  <c r="N3313" i="13"/>
  <c r="M3315" i="13"/>
  <c r="K3149" i="14" l="1"/>
  <c r="L3149" i="14" s="1"/>
  <c r="I3150" i="14" s="1"/>
  <c r="K3127" i="13"/>
  <c r="L3127" i="13" s="1"/>
  <c r="I3128" i="13" s="1"/>
  <c r="M3317" i="14"/>
  <c r="J3313" i="13" a="1"/>
  <c r="J3313" i="13" s="1"/>
  <c r="N3314" i="13"/>
  <c r="M3316" i="13"/>
  <c r="N3313" i="14"/>
  <c r="J3312" i="14" a="1"/>
  <c r="J3312" i="14" s="1"/>
  <c r="K3128" i="13" l="1"/>
  <c r="L3128" i="13" s="1"/>
  <c r="I3129" i="13" s="1"/>
  <c r="K3150" i="14"/>
  <c r="L3150" i="14" s="1"/>
  <c r="I3151" i="14" s="1"/>
  <c r="N3315" i="13"/>
  <c r="J3314" i="13" a="1"/>
  <c r="J3314" i="13" s="1"/>
  <c r="N3314" i="14"/>
  <c r="J3313" i="14" a="1"/>
  <c r="J3313" i="14" s="1"/>
  <c r="M3317" i="13"/>
  <c r="M3318" i="14"/>
  <c r="K3151" i="14" l="1"/>
  <c r="L3151" i="14" s="1"/>
  <c r="I3152" i="14" s="1"/>
  <c r="K3129" i="13"/>
  <c r="L3129" i="13" s="1"/>
  <c r="I3130" i="13" s="1"/>
  <c r="J3314" i="14" a="1"/>
  <c r="J3314" i="14" s="1"/>
  <c r="N3315" i="14"/>
  <c r="M3319" i="14"/>
  <c r="M3318" i="13"/>
  <c r="J3315" i="13" a="1"/>
  <c r="J3315" i="13" s="1"/>
  <c r="N3316" i="13"/>
  <c r="K3130" i="13" l="1"/>
  <c r="L3130" i="13" s="1"/>
  <c r="I3131" i="13" s="1"/>
  <c r="K3152" i="14"/>
  <c r="L3152" i="14" s="1"/>
  <c r="I3153" i="14" s="1"/>
  <c r="J3316" i="13" a="1"/>
  <c r="J3316" i="13" s="1"/>
  <c r="N3317" i="13"/>
  <c r="M3320" i="14"/>
  <c r="N3316" i="14"/>
  <c r="J3315" i="14" a="1"/>
  <c r="J3315" i="14" s="1"/>
  <c r="M3319" i="13"/>
  <c r="K3153" i="14" l="1"/>
  <c r="L3153" i="14" s="1"/>
  <c r="I3154" i="14" s="1"/>
  <c r="K3131" i="13"/>
  <c r="L3131" i="13" s="1"/>
  <c r="I3132" i="13" s="1"/>
  <c r="M3321" i="14"/>
  <c r="N3317" i="14"/>
  <c r="J3316" i="14" a="1"/>
  <c r="J3316" i="14" s="1"/>
  <c r="M3320" i="13"/>
  <c r="J3317" i="13" a="1"/>
  <c r="J3317" i="13" s="1"/>
  <c r="N3318" i="13"/>
  <c r="K3132" i="13" l="1"/>
  <c r="L3132" i="13" s="1"/>
  <c r="I3133" i="13" s="1"/>
  <c r="K3154" i="14"/>
  <c r="L3154" i="14" s="1"/>
  <c r="I3155" i="14" s="1"/>
  <c r="N3319" i="13"/>
  <c r="J3318" i="13" a="1"/>
  <c r="J3318" i="13" s="1"/>
  <c r="N3318" i="14"/>
  <c r="J3317" i="14" a="1"/>
  <c r="J3317" i="14" s="1"/>
  <c r="M3321" i="13"/>
  <c r="M3322" i="14"/>
  <c r="K3155" i="14" l="1"/>
  <c r="L3155" i="14" s="1"/>
  <c r="I3156" i="14" s="1"/>
  <c r="K3133" i="13"/>
  <c r="L3133" i="13" s="1"/>
  <c r="I3134" i="13" s="1"/>
  <c r="J3318" i="14" a="1"/>
  <c r="J3318" i="14" s="1"/>
  <c r="N3319" i="14"/>
  <c r="M3323" i="14"/>
  <c r="M3322" i="13"/>
  <c r="J3319" i="13" a="1"/>
  <c r="J3319" i="13" s="1"/>
  <c r="N3320" i="13"/>
  <c r="K3134" i="13" l="1"/>
  <c r="L3134" i="13" s="1"/>
  <c r="I3135" i="13" s="1"/>
  <c r="K3156" i="14"/>
  <c r="L3156" i="14" s="1"/>
  <c r="I3157" i="14" s="1"/>
  <c r="J3320" i="13" a="1"/>
  <c r="J3320" i="13" s="1"/>
  <c r="N3321" i="13"/>
  <c r="M3324" i="14"/>
  <c r="M3323" i="13"/>
  <c r="N3320" i="14"/>
  <c r="J3319" i="14" a="1"/>
  <c r="J3319" i="14" s="1"/>
  <c r="K3157" i="14" l="1"/>
  <c r="L3157" i="14" s="1"/>
  <c r="I3158" i="14" s="1"/>
  <c r="K3135" i="13"/>
  <c r="L3135" i="13" s="1"/>
  <c r="I3136" i="13" s="1"/>
  <c r="M3325" i="14"/>
  <c r="N3321" i="14"/>
  <c r="J3320" i="14" a="1"/>
  <c r="J3320" i="14" s="1"/>
  <c r="J3321" i="13" a="1"/>
  <c r="J3321" i="13" s="1"/>
  <c r="N3322" i="13"/>
  <c r="M3324" i="13"/>
  <c r="K3136" i="13" l="1"/>
  <c r="L3136" i="13" s="1"/>
  <c r="I3137" i="13" s="1"/>
  <c r="K3158" i="14"/>
  <c r="L3158" i="14" s="1"/>
  <c r="I3159" i="14" s="1"/>
  <c r="N3322" i="14"/>
  <c r="J3321" i="14" a="1"/>
  <c r="J3321" i="14" s="1"/>
  <c r="M3325" i="13"/>
  <c r="N3323" i="13"/>
  <c r="J3322" i="13" a="1"/>
  <c r="J3322" i="13" s="1"/>
  <c r="M3326" i="14"/>
  <c r="K3159" i="14" l="1"/>
  <c r="L3159" i="14" s="1"/>
  <c r="I3160" i="14" s="1"/>
  <c r="K3137" i="13"/>
  <c r="L3137" i="13" s="1"/>
  <c r="I3138" i="13" s="1"/>
  <c r="M3326" i="13"/>
  <c r="M3327" i="14"/>
  <c r="J3323" i="13" a="1"/>
  <c r="J3323" i="13" s="1"/>
  <c r="N3324" i="13"/>
  <c r="J3322" i="14" a="1"/>
  <c r="J3322" i="14" s="1"/>
  <c r="N3323" i="14"/>
  <c r="K3138" i="13" l="1"/>
  <c r="L3138" i="13" s="1"/>
  <c r="I3139" i="13" s="1"/>
  <c r="K3160" i="14"/>
  <c r="L3160" i="14" s="1"/>
  <c r="I3161" i="14" s="1"/>
  <c r="N3324" i="14"/>
  <c r="J3323" i="14" a="1"/>
  <c r="J3323" i="14" s="1"/>
  <c r="M3328" i="14"/>
  <c r="J3324" i="13" a="1"/>
  <c r="J3324" i="13" s="1"/>
  <c r="N3325" i="13"/>
  <c r="M3327" i="13"/>
  <c r="K3161" i="14" l="1"/>
  <c r="L3161" i="14" s="1"/>
  <c r="I3162" i="14" s="1"/>
  <c r="K3139" i="13"/>
  <c r="L3139" i="13" s="1"/>
  <c r="I3140" i="13" s="1"/>
  <c r="J3325" i="13" a="1"/>
  <c r="J3325" i="13" s="1"/>
  <c r="N3326" i="13"/>
  <c r="M3329" i="14"/>
  <c r="M3328" i="13"/>
  <c r="N3325" i="14"/>
  <c r="J3324" i="14" a="1"/>
  <c r="J3324" i="14" s="1"/>
  <c r="K3140" i="13" l="1"/>
  <c r="L3140" i="13" s="1"/>
  <c r="I3141" i="13" s="1"/>
  <c r="K3162" i="14"/>
  <c r="L3162" i="14" s="1"/>
  <c r="I3163" i="14" s="1"/>
  <c r="N3326" i="14"/>
  <c r="J3325" i="14" a="1"/>
  <c r="J3325" i="14" s="1"/>
  <c r="M3330" i="14"/>
  <c r="N3327" i="13"/>
  <c r="J3326" i="13" a="1"/>
  <c r="J3326" i="13" s="1"/>
  <c r="M3329" i="13"/>
  <c r="K3163" i="14" l="1"/>
  <c r="L3163" i="14" s="1"/>
  <c r="I3164" i="14" s="1"/>
  <c r="K3141" i="13"/>
  <c r="L3141" i="13" s="1"/>
  <c r="I3142" i="13" s="1"/>
  <c r="M3330" i="13"/>
  <c r="M3331" i="14"/>
  <c r="J3327" i="13" a="1"/>
  <c r="J3327" i="13" s="1"/>
  <c r="N3328" i="13"/>
  <c r="J3326" i="14" a="1"/>
  <c r="J3326" i="14" s="1"/>
  <c r="N3327" i="14"/>
  <c r="K3142" i="13" l="1"/>
  <c r="L3142" i="13" s="1"/>
  <c r="I3143" i="13" s="1"/>
  <c r="K3164" i="14"/>
  <c r="L3164" i="14" s="1"/>
  <c r="I3165" i="14" s="1"/>
  <c r="N3328" i="14"/>
  <c r="J3327" i="14" a="1"/>
  <c r="J3327" i="14" s="1"/>
  <c r="M3332" i="14"/>
  <c r="J3328" i="13" a="1"/>
  <c r="J3328" i="13" s="1"/>
  <c r="N3329" i="13"/>
  <c r="M3331" i="13"/>
  <c r="K3165" i="14" l="1"/>
  <c r="L3165" i="14" s="1"/>
  <c r="I3166" i="14" s="1"/>
  <c r="K3143" i="13"/>
  <c r="L3143" i="13" s="1"/>
  <c r="I3144" i="13" s="1"/>
  <c r="J3329" i="13" a="1"/>
  <c r="J3329" i="13" s="1"/>
  <c r="N3330" i="13"/>
  <c r="M3333" i="14"/>
  <c r="M3332" i="13"/>
  <c r="N3329" i="14"/>
  <c r="J3328" i="14" a="1"/>
  <c r="J3328" i="14" s="1"/>
  <c r="K3144" i="13" l="1"/>
  <c r="L3144" i="13" s="1"/>
  <c r="I3145" i="13" s="1"/>
  <c r="K3166" i="14"/>
  <c r="L3166" i="14" s="1"/>
  <c r="I3167" i="14" s="1"/>
  <c r="N3330" i="14"/>
  <c r="J3329" i="14" a="1"/>
  <c r="J3329" i="14" s="1"/>
  <c r="M3334" i="14"/>
  <c r="N3331" i="13"/>
  <c r="J3330" i="13" a="1"/>
  <c r="J3330" i="13" s="1"/>
  <c r="M3333" i="13"/>
  <c r="K3167" i="14" l="1"/>
  <c r="L3167" i="14" s="1"/>
  <c r="I3168" i="14" s="1"/>
  <c r="K3145" i="13"/>
  <c r="L3145" i="13" s="1"/>
  <c r="I3146" i="13" s="1"/>
  <c r="M3334" i="13"/>
  <c r="J3331" i="13" a="1"/>
  <c r="J3331" i="13" s="1"/>
  <c r="N3332" i="13"/>
  <c r="M3335" i="14"/>
  <c r="J3330" i="14" a="1"/>
  <c r="J3330" i="14" s="1"/>
  <c r="N3331" i="14"/>
  <c r="K3146" i="13" l="1"/>
  <c r="L3146" i="13" s="1"/>
  <c r="I3147" i="13" s="1"/>
  <c r="K3168" i="14"/>
  <c r="L3168" i="14" s="1"/>
  <c r="I3169" i="14" s="1"/>
  <c r="J3332" i="13" a="1"/>
  <c r="J3332" i="13" s="1"/>
  <c r="N3333" i="13"/>
  <c r="N3332" i="14"/>
  <c r="J3331" i="14" a="1"/>
  <c r="J3331" i="14" s="1"/>
  <c r="M3336" i="14"/>
  <c r="M3335" i="13"/>
  <c r="K3169" i="14" l="1"/>
  <c r="L3169" i="14" s="1"/>
  <c r="I3170" i="14" s="1"/>
  <c r="K3147" i="13"/>
  <c r="L3147" i="13" s="1"/>
  <c r="I3148" i="13" s="1"/>
  <c r="N3333" i="14"/>
  <c r="J3332" i="14" a="1"/>
  <c r="J3332" i="14" s="1"/>
  <c r="M3337" i="14"/>
  <c r="J3333" i="13" a="1"/>
  <c r="J3333" i="13" s="1"/>
  <c r="N3334" i="13"/>
  <c r="M3336" i="13"/>
  <c r="K3148" i="13" l="1"/>
  <c r="L3148" i="13" s="1"/>
  <c r="I3149" i="13" s="1"/>
  <c r="K3170" i="14"/>
  <c r="L3170" i="14" s="1"/>
  <c r="I3171" i="14" s="1"/>
  <c r="N3335" i="13"/>
  <c r="J3334" i="13" a="1"/>
  <c r="J3334" i="13" s="1"/>
  <c r="M3337" i="13"/>
  <c r="M3338" i="14"/>
  <c r="N3334" i="14"/>
  <c r="J3333" i="14" a="1"/>
  <c r="J3333" i="14" s="1"/>
  <c r="K3171" i="14" l="1"/>
  <c r="L3171" i="14" s="1"/>
  <c r="I3172" i="14" s="1"/>
  <c r="K3149" i="13"/>
  <c r="L3149" i="13" s="1"/>
  <c r="I3150" i="13" s="1"/>
  <c r="M3338" i="13"/>
  <c r="J3334" i="14" a="1"/>
  <c r="J3334" i="14" s="1"/>
  <c r="N3335" i="14"/>
  <c r="M3339" i="14"/>
  <c r="J3335" i="13" a="1"/>
  <c r="J3335" i="13" s="1"/>
  <c r="N3336" i="13"/>
  <c r="K3150" i="13" l="1"/>
  <c r="L3150" i="13" s="1"/>
  <c r="I3151" i="13" s="1"/>
  <c r="K3172" i="14"/>
  <c r="L3172" i="14" s="1"/>
  <c r="I3173" i="14" s="1"/>
  <c r="J3336" i="13" a="1"/>
  <c r="J3336" i="13" s="1"/>
  <c r="N3337" i="13"/>
  <c r="N3336" i="14"/>
  <c r="J3335" i="14" a="1"/>
  <c r="J3335" i="14" s="1"/>
  <c r="M3340" i="14"/>
  <c r="M3339" i="13"/>
  <c r="K3173" i="14" l="1"/>
  <c r="L3173" i="14" s="1"/>
  <c r="I3174" i="14" s="1"/>
  <c r="K3151" i="13"/>
  <c r="L3151" i="13" s="1"/>
  <c r="I3152" i="13" s="1"/>
  <c r="N3337" i="14"/>
  <c r="J3336" i="14" a="1"/>
  <c r="J3336" i="14" s="1"/>
  <c r="J3337" i="13" a="1"/>
  <c r="J3337" i="13" s="1"/>
  <c r="N3338" i="13"/>
  <c r="M3340" i="13"/>
  <c r="M3341" i="14"/>
  <c r="K3152" i="13" l="1"/>
  <c r="L3152" i="13" s="1"/>
  <c r="I3153" i="13" s="1"/>
  <c r="K3174" i="14"/>
  <c r="L3174" i="14" s="1"/>
  <c r="I3175" i="14" s="1"/>
  <c r="N3339" i="13"/>
  <c r="J3338" i="13" a="1"/>
  <c r="J3338" i="13" s="1"/>
  <c r="M3342" i="14"/>
  <c r="M3341" i="13"/>
  <c r="N3338" i="14"/>
  <c r="J3337" i="14" a="1"/>
  <c r="J3337" i="14" s="1"/>
  <c r="K3175" i="14" l="1"/>
  <c r="L3175" i="14" s="1"/>
  <c r="I3176" i="14" s="1"/>
  <c r="K3153" i="13"/>
  <c r="L3153" i="13" s="1"/>
  <c r="I3154" i="13" s="1"/>
  <c r="J3338" i="14" a="1"/>
  <c r="J3338" i="14" s="1"/>
  <c r="N3339" i="14"/>
  <c r="M3343" i="14"/>
  <c r="M3342" i="13"/>
  <c r="J3339" i="13" a="1"/>
  <c r="J3339" i="13" s="1"/>
  <c r="N3340" i="13"/>
  <c r="K3154" i="13" l="1"/>
  <c r="L3154" i="13" s="1"/>
  <c r="I3155" i="13" s="1"/>
  <c r="K3176" i="14"/>
  <c r="L3176" i="14" s="1"/>
  <c r="I3177" i="14" s="1"/>
  <c r="J3340" i="13" a="1"/>
  <c r="J3340" i="13" s="1"/>
  <c r="N3341" i="13"/>
  <c r="N3340" i="14"/>
  <c r="J3339" i="14" a="1"/>
  <c r="J3339" i="14" s="1"/>
  <c r="M3344" i="14"/>
  <c r="M3343" i="13"/>
  <c r="K3177" i="14" l="1"/>
  <c r="L3177" i="14" s="1"/>
  <c r="I3178" i="14" s="1"/>
  <c r="K3155" i="13"/>
  <c r="L3155" i="13" s="1"/>
  <c r="I3156" i="13" s="1"/>
  <c r="M3344" i="13"/>
  <c r="N3341" i="14"/>
  <c r="J3340" i="14" a="1"/>
  <c r="J3340" i="14" s="1"/>
  <c r="M3345" i="14"/>
  <c r="J3341" i="13" a="1"/>
  <c r="J3341" i="13" s="1"/>
  <c r="N3342" i="13"/>
  <c r="K3156" i="13" l="1"/>
  <c r="L3156" i="13" s="1"/>
  <c r="I3157" i="13" s="1"/>
  <c r="K3178" i="14"/>
  <c r="L3178" i="14" s="1"/>
  <c r="I3179" i="14" s="1"/>
  <c r="N3343" i="13"/>
  <c r="J3342" i="13" a="1"/>
  <c r="J3342" i="13" s="1"/>
  <c r="N3342" i="14"/>
  <c r="J3341" i="14" a="1"/>
  <c r="J3341" i="14" s="1"/>
  <c r="M3346" i="14"/>
  <c r="M3345" i="13"/>
  <c r="K3179" i="14" l="1"/>
  <c r="L3179" i="14" s="1"/>
  <c r="I3180" i="14" s="1"/>
  <c r="K3157" i="13"/>
  <c r="L3157" i="13" s="1"/>
  <c r="I3158" i="13" s="1"/>
  <c r="J3342" i="14" a="1"/>
  <c r="J3342" i="14" s="1"/>
  <c r="N3343" i="14"/>
  <c r="M3346" i="13"/>
  <c r="M3347" i="14"/>
  <c r="J3343" i="13" a="1"/>
  <c r="J3343" i="13" s="1"/>
  <c r="N3344" i="13"/>
  <c r="K3158" i="13" l="1"/>
  <c r="L3158" i="13" s="1"/>
  <c r="I3159" i="13" s="1"/>
  <c r="K3180" i="14"/>
  <c r="L3180" i="14" s="1"/>
  <c r="I3181" i="14" s="1"/>
  <c r="M3347" i="13"/>
  <c r="N3344" i="14"/>
  <c r="J3343" i="14" a="1"/>
  <c r="J3343" i="14" s="1"/>
  <c r="J3344" i="13" a="1"/>
  <c r="J3344" i="13" s="1"/>
  <c r="N3345" i="13"/>
  <c r="M3348" i="14"/>
  <c r="K3181" i="14" l="1"/>
  <c r="L3181" i="14" s="1"/>
  <c r="I3182" i="14" s="1"/>
  <c r="K3159" i="13"/>
  <c r="L3159" i="13" s="1"/>
  <c r="I3160" i="13" s="1"/>
  <c r="N3345" i="14"/>
  <c r="J3344" i="14" a="1"/>
  <c r="J3344" i="14" s="1"/>
  <c r="J3345" i="13" a="1"/>
  <c r="J3345" i="13" s="1"/>
  <c r="N3346" i="13"/>
  <c r="M3349" i="14"/>
  <c r="M3348" i="13"/>
  <c r="K3160" i="13" l="1"/>
  <c r="L3160" i="13" s="1"/>
  <c r="I3161" i="13" s="1"/>
  <c r="K3182" i="14"/>
  <c r="L3182" i="14" s="1"/>
  <c r="I3183" i="14" s="1"/>
  <c r="N3347" i="13"/>
  <c r="J3346" i="13" a="1"/>
  <c r="J3346" i="13" s="1"/>
  <c r="M3349" i="13"/>
  <c r="M3350" i="14"/>
  <c r="N3346" i="14"/>
  <c r="J3345" i="14" a="1"/>
  <c r="J3345" i="14" s="1"/>
  <c r="K3183" i="14" l="1"/>
  <c r="L3183" i="14" s="1"/>
  <c r="I3184" i="14" s="1"/>
  <c r="K3161" i="13"/>
  <c r="L3161" i="13" s="1"/>
  <c r="I3162" i="13" s="1"/>
  <c r="M3350" i="13"/>
  <c r="J3346" i="14" a="1"/>
  <c r="J3346" i="14" s="1"/>
  <c r="N3347" i="14"/>
  <c r="M3351" i="14"/>
  <c r="J3347" i="13" a="1"/>
  <c r="J3347" i="13" s="1"/>
  <c r="N3348" i="13"/>
  <c r="K3162" i="13" l="1"/>
  <c r="L3162" i="13" s="1"/>
  <c r="I3163" i="13" s="1"/>
  <c r="K3184" i="14"/>
  <c r="L3184" i="14" s="1"/>
  <c r="I3185" i="14" s="1"/>
  <c r="J3347" i="14" a="1"/>
  <c r="J3347" i="14" s="1"/>
  <c r="N3348" i="14"/>
  <c r="J3348" i="13" a="1"/>
  <c r="J3348" i="13" s="1"/>
  <c r="N3349" i="13"/>
  <c r="M3352" i="14"/>
  <c r="M3351" i="13"/>
  <c r="K3185" i="14" l="1"/>
  <c r="L3185" i="14" s="1"/>
  <c r="I3186" i="14" s="1"/>
  <c r="K3163" i="13"/>
  <c r="L3163" i="13" s="1"/>
  <c r="I3164" i="13" s="1"/>
  <c r="J3349" i="13" a="1"/>
  <c r="J3349" i="13" s="1"/>
  <c r="N3350" i="13"/>
  <c r="N3349" i="14"/>
  <c r="J3348" i="14" a="1"/>
  <c r="J3348" i="14" s="1"/>
  <c r="M3352" i="13"/>
  <c r="M3353" i="14"/>
  <c r="K3164" i="13" l="1"/>
  <c r="L3164" i="13" s="1"/>
  <c r="I3165" i="13" s="1"/>
  <c r="K3186" i="14"/>
  <c r="L3186" i="14" s="1"/>
  <c r="I3187" i="14" s="1"/>
  <c r="N3350" i="14"/>
  <c r="J3349" i="14" a="1"/>
  <c r="J3349" i="14" s="1"/>
  <c r="N3351" i="13"/>
  <c r="J3350" i="13" a="1"/>
  <c r="J3350" i="13" s="1"/>
  <c r="M3354" i="14"/>
  <c r="M3353" i="13"/>
  <c r="K3187" i="14" l="1"/>
  <c r="L3187" i="14" s="1"/>
  <c r="I3188" i="14" s="1"/>
  <c r="K3165" i="13"/>
  <c r="L3165" i="13" s="1"/>
  <c r="I3166" i="13" s="1"/>
  <c r="M3354" i="13"/>
  <c r="J3351" i="13" a="1"/>
  <c r="J3351" i="13" s="1"/>
  <c r="N3352" i="13"/>
  <c r="M3355" i="14"/>
  <c r="J3350" i="14" a="1"/>
  <c r="J3350" i="14" s="1"/>
  <c r="N3351" i="14"/>
  <c r="K3166" i="13" l="1"/>
  <c r="L3166" i="13" s="1"/>
  <c r="I3167" i="13" s="1"/>
  <c r="K3188" i="14"/>
  <c r="L3188" i="14" s="1"/>
  <c r="I3189" i="14" s="1"/>
  <c r="J3352" i="13" a="1"/>
  <c r="J3352" i="13" s="1"/>
  <c r="N3353" i="13"/>
  <c r="N3352" i="14"/>
  <c r="J3351" i="14" a="1"/>
  <c r="J3351" i="14" s="1"/>
  <c r="M3356" i="14"/>
  <c r="M3355" i="13"/>
  <c r="K3189" i="14" l="1"/>
  <c r="L3189" i="14" s="1"/>
  <c r="I3190" i="14" s="1"/>
  <c r="K3167" i="13"/>
  <c r="L3167" i="13" s="1"/>
  <c r="I3168" i="13" s="1"/>
  <c r="N3353" i="14"/>
  <c r="J3352" i="14" a="1"/>
  <c r="J3352" i="14" s="1"/>
  <c r="M3357" i="14"/>
  <c r="J3353" i="13" a="1"/>
  <c r="J3353" i="13" s="1"/>
  <c r="N3354" i="13"/>
  <c r="M3356" i="13"/>
  <c r="K3168" i="13" l="1"/>
  <c r="L3168" i="13" s="1"/>
  <c r="I3169" i="13" s="1"/>
  <c r="K3190" i="14"/>
  <c r="L3190" i="14" s="1"/>
  <c r="I3191" i="14" s="1"/>
  <c r="N3355" i="13"/>
  <c r="J3354" i="13" a="1"/>
  <c r="J3354" i="13" s="1"/>
  <c r="M3357" i="13"/>
  <c r="M3358" i="14"/>
  <c r="N3354" i="14"/>
  <c r="J3353" i="14" a="1"/>
  <c r="J3353" i="14" s="1"/>
  <c r="K3191" i="14" l="1"/>
  <c r="L3191" i="14" s="1"/>
  <c r="I3192" i="14" s="1"/>
  <c r="K3169" i="13"/>
  <c r="L3169" i="13" s="1"/>
  <c r="I3170" i="13" s="1"/>
  <c r="J3354" i="14" a="1"/>
  <c r="J3354" i="14" s="1"/>
  <c r="N3355" i="14"/>
  <c r="M3358" i="13"/>
  <c r="M3359" i="14"/>
  <c r="J3355" i="13" a="1"/>
  <c r="J3355" i="13" s="1"/>
  <c r="N3356" i="13"/>
  <c r="K3170" i="13" l="1"/>
  <c r="L3170" i="13" s="1"/>
  <c r="I3171" i="13" s="1"/>
  <c r="K3192" i="14"/>
  <c r="L3192" i="14" s="1"/>
  <c r="I3193" i="14" s="1"/>
  <c r="M3359" i="13"/>
  <c r="N3356" i="14"/>
  <c r="J3355" i="14" a="1"/>
  <c r="J3355" i="14" s="1"/>
  <c r="J3356" i="13" a="1"/>
  <c r="J3356" i="13" s="1"/>
  <c r="N3357" i="13"/>
  <c r="M3360" i="14"/>
  <c r="K3193" i="14" l="1"/>
  <c r="L3193" i="14" s="1"/>
  <c r="I3194" i="14" s="1"/>
  <c r="K3171" i="13"/>
  <c r="L3171" i="13" s="1"/>
  <c r="I3172" i="13" s="1"/>
  <c r="N3357" i="14"/>
  <c r="J3356" i="14" a="1"/>
  <c r="J3356" i="14" s="1"/>
  <c r="M3361" i="14"/>
  <c r="J3357" i="13" a="1"/>
  <c r="J3357" i="13" s="1"/>
  <c r="N3358" i="13"/>
  <c r="M3360" i="13"/>
  <c r="K3172" i="13" l="1"/>
  <c r="L3172" i="13" s="1"/>
  <c r="I3173" i="13" s="1"/>
  <c r="K3194" i="14"/>
  <c r="L3194" i="14" s="1"/>
  <c r="I3195" i="14" s="1"/>
  <c r="M3361" i="13"/>
  <c r="M3362" i="14"/>
  <c r="N3359" i="13"/>
  <c r="J3358" i="13" a="1"/>
  <c r="J3358" i="13" s="1"/>
  <c r="N3358" i="14"/>
  <c r="J3357" i="14" a="1"/>
  <c r="J3357" i="14" s="1"/>
  <c r="K3195" i="14" l="1"/>
  <c r="L3195" i="14" s="1"/>
  <c r="I3196" i="14" s="1"/>
  <c r="K3173" i="13"/>
  <c r="L3173" i="13" s="1"/>
  <c r="I3174" i="13" s="1"/>
  <c r="J3358" i="14" a="1"/>
  <c r="J3358" i="14" s="1"/>
  <c r="N3359" i="14"/>
  <c r="M3362" i="13"/>
  <c r="M3363" i="14"/>
  <c r="J3359" i="13" a="1"/>
  <c r="J3359" i="13" s="1"/>
  <c r="N3360" i="13"/>
  <c r="K3174" i="13" l="1"/>
  <c r="L3174" i="13" s="1"/>
  <c r="I3175" i="13" s="1"/>
  <c r="K3196" i="14"/>
  <c r="L3196" i="14" s="1"/>
  <c r="I3197" i="14" s="1"/>
  <c r="J3360" i="13" a="1"/>
  <c r="J3360" i="13" s="1"/>
  <c r="N3361" i="13"/>
  <c r="M3363" i="13"/>
  <c r="N3360" i="14"/>
  <c r="J3359" i="14" a="1"/>
  <c r="J3359" i="14" s="1"/>
  <c r="M3364" i="14"/>
  <c r="K3197" i="14" l="1"/>
  <c r="L3197" i="14" s="1"/>
  <c r="I3198" i="14" s="1"/>
  <c r="K3175" i="13"/>
  <c r="L3175" i="13" s="1"/>
  <c r="I3176" i="13" s="1"/>
  <c r="M3365" i="14"/>
  <c r="N3361" i="14"/>
  <c r="J3360" i="14" a="1"/>
  <c r="J3360" i="14" s="1"/>
  <c r="M3364" i="13"/>
  <c r="J3361" i="13" a="1"/>
  <c r="J3361" i="13" s="1"/>
  <c r="N3362" i="13"/>
  <c r="K3176" i="13" l="1"/>
  <c r="L3176" i="13" s="1"/>
  <c r="I3177" i="13" s="1"/>
  <c r="K3198" i="14"/>
  <c r="L3198" i="14" s="1"/>
  <c r="I3199" i="14" s="1"/>
  <c r="N3363" i="13"/>
  <c r="J3362" i="13" a="1"/>
  <c r="J3362" i="13" s="1"/>
  <c r="N3362" i="14"/>
  <c r="J3361" i="14" a="1"/>
  <c r="J3361" i="14" s="1"/>
  <c r="M3365" i="13"/>
  <c r="M3366" i="14"/>
  <c r="K3199" i="14" l="1"/>
  <c r="L3199" i="14" s="1"/>
  <c r="I3200" i="14" s="1"/>
  <c r="K3177" i="13"/>
  <c r="L3177" i="13" s="1"/>
  <c r="I3178" i="13" s="1"/>
  <c r="J3362" i="14" a="1"/>
  <c r="J3362" i="14" s="1"/>
  <c r="N3363" i="14"/>
  <c r="M3367" i="14"/>
  <c r="M3366" i="13"/>
  <c r="J3363" i="13" a="1"/>
  <c r="J3363" i="13" s="1"/>
  <c r="N3364" i="13"/>
  <c r="K3178" i="13" l="1"/>
  <c r="L3178" i="13" s="1"/>
  <c r="I3179" i="13" s="1"/>
  <c r="K3200" i="14"/>
  <c r="L3200" i="14" s="1"/>
  <c r="I3201" i="14" s="1"/>
  <c r="J3364" i="13" a="1"/>
  <c r="J3364" i="13" s="1"/>
  <c r="N3365" i="13"/>
  <c r="M3368" i="14"/>
  <c r="N3364" i="14"/>
  <c r="J3363" i="14" a="1"/>
  <c r="J3363" i="14" s="1"/>
  <c r="M3367" i="13"/>
  <c r="K3201" i="14" l="1"/>
  <c r="L3201" i="14" s="1"/>
  <c r="I3202" i="14" s="1"/>
  <c r="K3179" i="13"/>
  <c r="L3179" i="13" s="1"/>
  <c r="I3180" i="13" s="1"/>
  <c r="M3369" i="14"/>
  <c r="M3368" i="13"/>
  <c r="J3365" i="13" a="1"/>
  <c r="J3365" i="13" s="1"/>
  <c r="N3366" i="13"/>
  <c r="N3365" i="14"/>
  <c r="J3364" i="14" a="1"/>
  <c r="J3364" i="14" s="1"/>
  <c r="K3180" i="13" l="1"/>
  <c r="L3180" i="13" s="1"/>
  <c r="I3181" i="13" s="1"/>
  <c r="K3202" i="14"/>
  <c r="L3202" i="14" s="1"/>
  <c r="I3203" i="14" s="1"/>
  <c r="N3366" i="14"/>
  <c r="J3365" i="14" a="1"/>
  <c r="J3365" i="14" s="1"/>
  <c r="M3369" i="13"/>
  <c r="N3367" i="13"/>
  <c r="J3366" i="13" a="1"/>
  <c r="J3366" i="13" s="1"/>
  <c r="M3370" i="14"/>
  <c r="K3203" i="14" l="1"/>
  <c r="L3203" i="14" s="1"/>
  <c r="I3204" i="14" s="1"/>
  <c r="K3181" i="13"/>
  <c r="L3181" i="13" s="1"/>
  <c r="I3182" i="13" s="1"/>
  <c r="M3370" i="13"/>
  <c r="M3371" i="14"/>
  <c r="J3367" i="13" a="1"/>
  <c r="J3367" i="13" s="1"/>
  <c r="N3368" i="13"/>
  <c r="J3366" i="14" a="1"/>
  <c r="J3366" i="14" s="1"/>
  <c r="N3367" i="14"/>
  <c r="K3182" i="13" l="1"/>
  <c r="L3182" i="13" s="1"/>
  <c r="I3183" i="13" s="1"/>
  <c r="K3204" i="14"/>
  <c r="L3204" i="14" s="1"/>
  <c r="I3205" i="14" s="1"/>
  <c r="N3368" i="14"/>
  <c r="J3367" i="14" a="1"/>
  <c r="J3367" i="14" s="1"/>
  <c r="J3368" i="13" a="1"/>
  <c r="J3368" i="13" s="1"/>
  <c r="N3369" i="13"/>
  <c r="M3372" i="14"/>
  <c r="M3371" i="13"/>
  <c r="K3205" i="14" l="1"/>
  <c r="L3205" i="14" s="1"/>
  <c r="I3206" i="14" s="1"/>
  <c r="K3183" i="13"/>
  <c r="L3183" i="13" s="1"/>
  <c r="I3184" i="13" s="1"/>
  <c r="J3369" i="13" a="1"/>
  <c r="J3369" i="13" s="1"/>
  <c r="N3370" i="13"/>
  <c r="M3372" i="13"/>
  <c r="M3373" i="14"/>
  <c r="N3369" i="14"/>
  <c r="J3368" i="14" a="1"/>
  <c r="J3368" i="14" s="1"/>
  <c r="K3184" i="13" l="1"/>
  <c r="L3184" i="13" s="1"/>
  <c r="I3185" i="13" s="1"/>
  <c r="K3206" i="14"/>
  <c r="L3206" i="14" s="1"/>
  <c r="I3207" i="14" s="1"/>
  <c r="N3370" i="14"/>
  <c r="J3369" i="14" a="1"/>
  <c r="J3369" i="14" s="1"/>
  <c r="M3373" i="13"/>
  <c r="N3371" i="13"/>
  <c r="J3370" i="13" a="1"/>
  <c r="J3370" i="13" s="1"/>
  <c r="M3374" i="14"/>
  <c r="K3207" i="14" l="1"/>
  <c r="L3207" i="14" s="1"/>
  <c r="I3208" i="14" s="1"/>
  <c r="K3185" i="13"/>
  <c r="L3185" i="13" s="1"/>
  <c r="I3186" i="13" s="1"/>
  <c r="M3375" i="14"/>
  <c r="M3374" i="13"/>
  <c r="J3371" i="13" a="1"/>
  <c r="J3371" i="13" s="1"/>
  <c r="N3372" i="13"/>
  <c r="J3370" i="14" a="1"/>
  <c r="J3370" i="14" s="1"/>
  <c r="N3371" i="14"/>
  <c r="K3186" i="13" l="1"/>
  <c r="L3186" i="13" s="1"/>
  <c r="I3187" i="13" s="1"/>
  <c r="K3208" i="14"/>
  <c r="L3208" i="14" s="1"/>
  <c r="I3209" i="14" s="1"/>
  <c r="N3372" i="14"/>
  <c r="J3371" i="14" a="1"/>
  <c r="J3371" i="14" s="1"/>
  <c r="M3375" i="13"/>
  <c r="J3372" i="13" a="1"/>
  <c r="J3372" i="13" s="1"/>
  <c r="N3373" i="13"/>
  <c r="M3376" i="14"/>
  <c r="K3209" i="14" l="1"/>
  <c r="L3209" i="14" s="1"/>
  <c r="I3210" i="14" s="1"/>
  <c r="K3187" i="13"/>
  <c r="L3187" i="13" s="1"/>
  <c r="I3188" i="13" s="1"/>
  <c r="J3373" i="13" a="1"/>
  <c r="J3373" i="13" s="1"/>
  <c r="N3374" i="13"/>
  <c r="M3377" i="14"/>
  <c r="M3376" i="13"/>
  <c r="N3373" i="14"/>
  <c r="J3372" i="14" a="1"/>
  <c r="J3372" i="14" s="1"/>
  <c r="K3188" i="13" l="1"/>
  <c r="L3188" i="13" s="1"/>
  <c r="I3189" i="13" s="1"/>
  <c r="K3210" i="14"/>
  <c r="L3210" i="14" s="1"/>
  <c r="I3211" i="14" s="1"/>
  <c r="N3374" i="14"/>
  <c r="J3373" i="14" a="1"/>
  <c r="J3373" i="14" s="1"/>
  <c r="M3378" i="14"/>
  <c r="N3375" i="13"/>
  <c r="J3374" i="13" a="1"/>
  <c r="J3374" i="13" s="1"/>
  <c r="M3377" i="13"/>
  <c r="K3189" i="13" l="1"/>
  <c r="L3189" i="13" s="1"/>
  <c r="I3190" i="13" s="1"/>
  <c r="J3375" i="13" a="1"/>
  <c r="J3375" i="13" s="1"/>
  <c r="N3376" i="13"/>
  <c r="M3378" i="13"/>
  <c r="M3379" i="14"/>
  <c r="K3211" i="14"/>
  <c r="L3211" i="14" s="1"/>
  <c r="I3212" i="14" s="1"/>
  <c r="J3374" i="14" a="1"/>
  <c r="J3374" i="14" s="1"/>
  <c r="N3375" i="14"/>
  <c r="K3212" i="14" l="1"/>
  <c r="L3212" i="14" s="1"/>
  <c r="I3213" i="14" s="1"/>
  <c r="K3190" i="13"/>
  <c r="L3190" i="13" s="1"/>
  <c r="I3191" i="13" s="1"/>
  <c r="J3376" i="13" a="1"/>
  <c r="J3376" i="13" s="1"/>
  <c r="N3377" i="13"/>
  <c r="N3376" i="14"/>
  <c r="J3375" i="14" a="1"/>
  <c r="J3375" i="14" s="1"/>
  <c r="M3380" i="14"/>
  <c r="M3379" i="13"/>
  <c r="K3191" i="13" l="1"/>
  <c r="L3191" i="13" s="1"/>
  <c r="I3192" i="13" s="1"/>
  <c r="K3213" i="14"/>
  <c r="L3213" i="14" s="1"/>
  <c r="I3214" i="14" s="1"/>
  <c r="M3380" i="13"/>
  <c r="N3377" i="14"/>
  <c r="J3376" i="14" a="1"/>
  <c r="J3376" i="14" s="1"/>
  <c r="M3381" i="14"/>
  <c r="J3377" i="13" a="1"/>
  <c r="J3377" i="13" s="1"/>
  <c r="N3378" i="13"/>
  <c r="K3214" i="14" l="1"/>
  <c r="L3214" i="14" s="1"/>
  <c r="I3215" i="14" s="1"/>
  <c r="K3192" i="13"/>
  <c r="L3192" i="13" s="1"/>
  <c r="I3193" i="13" s="1"/>
  <c r="N3378" i="14"/>
  <c r="J3377" i="14" a="1"/>
  <c r="J3377" i="14" s="1"/>
  <c r="N3379" i="13"/>
  <c r="J3378" i="13" a="1"/>
  <c r="J3378" i="13" s="1"/>
  <c r="M3382" i="14"/>
  <c r="M3381" i="13"/>
  <c r="K3193" i="13" l="1"/>
  <c r="L3193" i="13" s="1"/>
  <c r="I3194" i="13" s="1"/>
  <c r="K3215" i="14"/>
  <c r="L3215" i="14" s="1"/>
  <c r="I3216" i="14" s="1"/>
  <c r="J3379" i="13" a="1"/>
  <c r="J3379" i="13" s="1"/>
  <c r="N3380" i="13"/>
  <c r="M3382" i="13"/>
  <c r="M3383" i="14"/>
  <c r="J3378" i="14" a="1"/>
  <c r="J3378" i="14" s="1"/>
  <c r="N3379" i="14"/>
  <c r="K3216" i="14" l="1"/>
  <c r="L3216" i="14" s="1"/>
  <c r="I3217" i="14" s="1"/>
  <c r="K3194" i="13"/>
  <c r="L3194" i="13" s="1"/>
  <c r="I3195" i="13" s="1"/>
  <c r="N3380" i="14"/>
  <c r="J3379" i="14" a="1"/>
  <c r="J3379" i="14" s="1"/>
  <c r="M3383" i="13"/>
  <c r="J3380" i="13" a="1"/>
  <c r="J3380" i="13" s="1"/>
  <c r="N3381" i="13"/>
  <c r="M3384" i="14"/>
  <c r="K3195" i="13" l="1"/>
  <c r="L3195" i="13" s="1"/>
  <c r="I3196" i="13" s="1"/>
  <c r="K3217" i="14"/>
  <c r="L3217" i="14" s="1"/>
  <c r="I3218" i="14" s="1"/>
  <c r="M3385" i="14"/>
  <c r="J3381" i="13" a="1"/>
  <c r="J3381" i="13" s="1"/>
  <c r="N3382" i="13"/>
  <c r="M3384" i="13"/>
  <c r="N3381" i="14"/>
  <c r="J3380" i="14" a="1"/>
  <c r="J3380" i="14" s="1"/>
  <c r="K3218" i="14" l="1"/>
  <c r="L3218" i="14" s="1"/>
  <c r="I3219" i="14" s="1"/>
  <c r="N3383" i="13"/>
  <c r="J3382" i="13" a="1"/>
  <c r="J3382" i="13" s="1"/>
  <c r="M3386" i="14"/>
  <c r="N3382" i="14"/>
  <c r="J3381" i="14" a="1"/>
  <c r="J3381" i="14" s="1"/>
  <c r="M3385" i="13"/>
  <c r="K3196" i="13"/>
  <c r="L3196" i="13" s="1"/>
  <c r="I3197" i="13" s="1"/>
  <c r="K3197" i="13" l="1"/>
  <c r="L3197" i="13" s="1"/>
  <c r="I3198" i="13" s="1"/>
  <c r="K3219" i="14"/>
  <c r="L3219" i="14" s="1"/>
  <c r="I3220" i="14" s="1"/>
  <c r="J3383" i="13" a="1"/>
  <c r="J3383" i="13" s="1"/>
  <c r="N3384" i="13"/>
  <c r="M3386" i="13"/>
  <c r="J3382" i="14" a="1"/>
  <c r="J3382" i="14" s="1"/>
  <c r="N3383" i="14"/>
  <c r="M3387" i="14"/>
  <c r="K3220" i="14" l="1"/>
  <c r="L3220" i="14" s="1"/>
  <c r="I3221" i="14" s="1"/>
  <c r="K3198" i="13"/>
  <c r="L3198" i="13" s="1"/>
  <c r="I3199" i="13" s="1"/>
  <c r="N3384" i="14"/>
  <c r="J3383" i="14" a="1"/>
  <c r="J3383" i="14" s="1"/>
  <c r="M3388" i="14"/>
  <c r="M3387" i="13"/>
  <c r="J3384" i="13" a="1"/>
  <c r="J3384" i="13" s="1"/>
  <c r="N3385" i="13"/>
  <c r="K3199" i="13" l="1"/>
  <c r="L3199" i="13" s="1"/>
  <c r="I3200" i="13" s="1"/>
  <c r="K3221" i="14"/>
  <c r="L3221" i="14" s="1"/>
  <c r="I3222" i="14" s="1"/>
  <c r="M3389" i="14"/>
  <c r="J3385" i="13" a="1"/>
  <c r="J3385" i="13" s="1"/>
  <c r="N3386" i="13"/>
  <c r="M3388" i="13"/>
  <c r="N3385" i="14"/>
  <c r="J3384" i="14" a="1"/>
  <c r="J3384" i="14" s="1"/>
  <c r="K3222" i="14" l="1"/>
  <c r="L3222" i="14" s="1"/>
  <c r="I3223" i="14" s="1"/>
  <c r="K3200" i="13"/>
  <c r="L3200" i="13" s="1"/>
  <c r="I3201" i="13" s="1"/>
  <c r="N3387" i="13"/>
  <c r="J3386" i="13" a="1"/>
  <c r="J3386" i="13" s="1"/>
  <c r="N3386" i="14"/>
  <c r="J3385" i="14" a="1"/>
  <c r="J3385" i="14" s="1"/>
  <c r="M3389" i="13"/>
  <c r="M3390" i="14"/>
  <c r="K3201" i="13" l="1"/>
  <c r="L3201" i="13" s="1"/>
  <c r="I3202" i="13" s="1"/>
  <c r="K3223" i="14"/>
  <c r="L3223" i="14" s="1"/>
  <c r="I3224" i="14" s="1"/>
  <c r="J3386" i="14" a="1"/>
  <c r="J3386" i="14" s="1"/>
  <c r="N3387" i="14"/>
  <c r="M3391" i="14"/>
  <c r="M3390" i="13"/>
  <c r="J3387" i="13" a="1"/>
  <c r="J3387" i="13" s="1"/>
  <c r="N3388" i="13"/>
  <c r="K3224" i="14" l="1"/>
  <c r="L3224" i="14" s="1"/>
  <c r="I3225" i="14" s="1"/>
  <c r="K3202" i="13"/>
  <c r="L3202" i="13" s="1"/>
  <c r="I3203" i="13" s="1"/>
  <c r="J3388" i="13" a="1"/>
  <c r="J3388" i="13" s="1"/>
  <c r="N3389" i="13"/>
  <c r="M3392" i="14"/>
  <c r="N3388" i="14"/>
  <c r="J3387" i="14" a="1"/>
  <c r="J3387" i="14" s="1"/>
  <c r="M3391" i="13"/>
  <c r="K3203" i="13" l="1"/>
  <c r="L3203" i="13" s="1"/>
  <c r="I3204" i="13" s="1"/>
  <c r="K3225" i="14"/>
  <c r="L3225" i="14" s="1"/>
  <c r="I3226" i="14" s="1"/>
  <c r="J3389" i="13" a="1"/>
  <c r="J3389" i="13" s="1"/>
  <c r="N3390" i="13"/>
  <c r="M3393" i="14"/>
  <c r="M3392" i="13"/>
  <c r="N3389" i="14"/>
  <c r="J3388" i="14" a="1"/>
  <c r="J3388" i="14" s="1"/>
  <c r="K3204" i="13" l="1"/>
  <c r="L3204" i="13" s="1"/>
  <c r="I3205" i="13" s="1"/>
  <c r="N3390" i="14"/>
  <c r="J3389" i="14" a="1"/>
  <c r="J3389" i="14" s="1"/>
  <c r="N3391" i="13"/>
  <c r="J3390" i="13" a="1"/>
  <c r="J3390" i="13" s="1"/>
  <c r="M3394" i="14"/>
  <c r="K3226" i="14"/>
  <c r="L3226" i="14" s="1"/>
  <c r="I3227" i="14" s="1"/>
  <c r="M3393" i="13"/>
  <c r="K3227" i="14" l="1"/>
  <c r="L3227" i="14" s="1"/>
  <c r="I3228" i="14" s="1"/>
  <c r="K3205" i="13"/>
  <c r="L3205" i="13" s="1"/>
  <c r="I3206" i="13" s="1"/>
  <c r="J3390" i="14" a="1"/>
  <c r="J3390" i="14" s="1"/>
  <c r="N3391" i="14"/>
  <c r="M3395" i="14"/>
  <c r="M3394" i="13"/>
  <c r="J3391" i="13" a="1"/>
  <c r="J3391" i="13" s="1"/>
  <c r="N3392" i="13"/>
  <c r="K3206" i="13" l="1"/>
  <c r="L3206" i="13" s="1"/>
  <c r="I3207" i="13" s="1"/>
  <c r="K3228" i="14"/>
  <c r="L3228" i="14" s="1"/>
  <c r="I3229" i="14" s="1"/>
  <c r="M3396" i="14"/>
  <c r="N3392" i="14"/>
  <c r="J3391" i="14" a="1"/>
  <c r="J3391" i="14" s="1"/>
  <c r="J3392" i="13" a="1"/>
  <c r="J3392" i="13" s="1"/>
  <c r="N3393" i="13"/>
  <c r="M3395" i="13"/>
  <c r="K3229" i="14" l="1"/>
  <c r="L3229" i="14" s="1"/>
  <c r="I3230" i="14" s="1"/>
  <c r="K3207" i="13"/>
  <c r="L3207" i="13" s="1"/>
  <c r="I3208" i="13" s="1"/>
  <c r="N3393" i="14"/>
  <c r="J3392" i="14" a="1"/>
  <c r="J3392" i="14" s="1"/>
  <c r="J3393" i="13" a="1"/>
  <c r="J3393" i="13" s="1"/>
  <c r="N3394" i="13"/>
  <c r="M3397" i="14"/>
  <c r="M3396" i="13"/>
  <c r="K3208" i="13" l="1"/>
  <c r="L3208" i="13" s="1"/>
  <c r="I3209" i="13" s="1"/>
  <c r="K3230" i="14"/>
  <c r="L3230" i="14" s="1"/>
  <c r="I3231" i="14" s="1"/>
  <c r="N3395" i="13"/>
  <c r="J3394" i="13" a="1"/>
  <c r="J3394" i="13" s="1"/>
  <c r="M3397" i="13"/>
  <c r="M3398" i="14"/>
  <c r="N3394" i="14"/>
  <c r="J3393" i="14" a="1"/>
  <c r="J3393" i="14" s="1"/>
  <c r="K3231" i="14" l="1"/>
  <c r="L3231" i="14" s="1"/>
  <c r="I3232" i="14" s="1"/>
  <c r="K3209" i="13"/>
  <c r="L3209" i="13" s="1"/>
  <c r="I3210" i="13" s="1"/>
  <c r="M3398" i="13"/>
  <c r="J3394" i="14" a="1"/>
  <c r="J3394" i="14" s="1"/>
  <c r="N3395" i="14"/>
  <c r="M3399" i="14"/>
  <c r="J3395" i="13" a="1"/>
  <c r="J3395" i="13" s="1"/>
  <c r="N3396" i="13"/>
  <c r="K3210" i="13" l="1"/>
  <c r="L3210" i="13" s="1"/>
  <c r="I3211" i="13" s="1"/>
  <c r="K3232" i="14"/>
  <c r="L3232" i="14" s="1"/>
  <c r="I3233" i="14" s="1"/>
  <c r="J3396" i="13" a="1"/>
  <c r="J3396" i="13" s="1"/>
  <c r="N3397" i="13"/>
  <c r="N3396" i="14"/>
  <c r="J3395" i="14" a="1"/>
  <c r="J3395" i="14" s="1"/>
  <c r="M3400" i="14"/>
  <c r="M3399" i="13"/>
  <c r="K3233" i="14" l="1"/>
  <c r="L3233" i="14" s="1"/>
  <c r="I3234" i="14" s="1"/>
  <c r="K3211" i="13"/>
  <c r="L3211" i="13" s="1"/>
  <c r="I3212" i="13" s="1"/>
  <c r="N3397" i="14"/>
  <c r="J3396" i="14" a="1"/>
  <c r="J3396" i="14" s="1"/>
  <c r="M3400" i="13"/>
  <c r="M3401" i="14"/>
  <c r="J3397" i="13" a="1"/>
  <c r="J3397" i="13" s="1"/>
  <c r="N3398" i="13"/>
  <c r="K3212" i="13" l="1"/>
  <c r="L3212" i="13" s="1"/>
  <c r="I3213" i="13" s="1"/>
  <c r="K3234" i="14"/>
  <c r="L3234" i="14" s="1"/>
  <c r="I3235" i="14" s="1"/>
  <c r="N3399" i="13"/>
  <c r="J3398" i="13" a="1"/>
  <c r="J3398" i="13" s="1"/>
  <c r="M3401" i="13"/>
  <c r="M3402" i="14"/>
  <c r="N3398" i="14"/>
  <c r="J3397" i="14" a="1"/>
  <c r="J3397" i="14" s="1"/>
  <c r="K3235" i="14" l="1"/>
  <c r="L3235" i="14" s="1"/>
  <c r="I3236" i="14" s="1"/>
  <c r="K3213" i="13"/>
  <c r="L3213" i="13" s="1"/>
  <c r="I3214" i="13" s="1"/>
  <c r="M3402" i="13"/>
  <c r="J3398" i="14" a="1"/>
  <c r="J3398" i="14" s="1"/>
  <c r="N3399" i="14"/>
  <c r="M3403" i="14"/>
  <c r="J3399" i="13" a="1"/>
  <c r="J3399" i="13" s="1"/>
  <c r="N3400" i="13"/>
  <c r="K3214" i="13" l="1"/>
  <c r="L3214" i="13" s="1"/>
  <c r="I3215" i="13" s="1"/>
  <c r="K3236" i="14"/>
  <c r="L3236" i="14" s="1"/>
  <c r="I3237" i="14" s="1"/>
  <c r="J3400" i="13" a="1"/>
  <c r="J3400" i="13" s="1"/>
  <c r="N3401" i="13"/>
  <c r="N3400" i="14"/>
  <c r="J3399" i="14" a="1"/>
  <c r="J3399" i="14" s="1"/>
  <c r="M3404" i="14"/>
  <c r="M3403" i="13"/>
  <c r="K3237" i="14" l="1"/>
  <c r="L3237" i="14" s="1"/>
  <c r="I3238" i="14" s="1"/>
  <c r="K3215" i="13"/>
  <c r="L3215" i="13" s="1"/>
  <c r="I3216" i="13" s="1"/>
  <c r="N3401" i="14"/>
  <c r="J3400" i="14" a="1"/>
  <c r="J3400" i="14" s="1"/>
  <c r="J3401" i="13" a="1"/>
  <c r="J3401" i="13" s="1"/>
  <c r="N3402" i="13"/>
  <c r="M3404" i="13"/>
  <c r="M3405" i="14"/>
  <c r="K3216" i="13" l="1"/>
  <c r="L3216" i="13" s="1"/>
  <c r="I3217" i="13" s="1"/>
  <c r="K3238" i="14"/>
  <c r="L3238" i="14" s="1"/>
  <c r="I3239" i="14" s="1"/>
  <c r="N3403" i="13"/>
  <c r="J3402" i="13" a="1"/>
  <c r="J3402" i="13" s="1"/>
  <c r="M3406" i="14"/>
  <c r="M3405" i="13"/>
  <c r="N3402" i="14"/>
  <c r="J3401" i="14" a="1"/>
  <c r="J3401" i="14" s="1"/>
  <c r="K3239" i="14" l="1"/>
  <c r="L3239" i="14" s="1"/>
  <c r="I3240" i="14" s="1"/>
  <c r="K3217" i="13"/>
  <c r="L3217" i="13" s="1"/>
  <c r="I3218" i="13" s="1"/>
  <c r="M3407" i="14"/>
  <c r="J3402" i="14" a="1"/>
  <c r="J3402" i="14" s="1"/>
  <c r="N3403" i="14"/>
  <c r="M3406" i="13"/>
  <c r="J3403" i="13" a="1"/>
  <c r="J3403" i="13" s="1"/>
  <c r="N3404" i="13"/>
  <c r="K3218" i="13" l="1"/>
  <c r="L3218" i="13" s="1"/>
  <c r="I3219" i="13" s="1"/>
  <c r="K3240" i="14"/>
  <c r="L3240" i="14" s="1"/>
  <c r="I3241" i="14" s="1"/>
  <c r="N3404" i="14"/>
  <c r="J3403" i="14" a="1"/>
  <c r="J3403" i="14" s="1"/>
  <c r="J3404" i="13" a="1"/>
  <c r="J3404" i="13" s="1"/>
  <c r="N3405" i="13"/>
  <c r="M3408" i="14"/>
  <c r="M3407" i="13"/>
  <c r="K3241" i="14" l="1"/>
  <c r="L3241" i="14" s="1"/>
  <c r="I3242" i="14" s="1"/>
  <c r="K3219" i="13"/>
  <c r="L3219" i="13" s="1"/>
  <c r="I3220" i="13" s="1"/>
  <c r="J3405" i="13" a="1"/>
  <c r="J3405" i="13" s="1"/>
  <c r="N3406" i="13"/>
  <c r="M3408" i="13"/>
  <c r="M3409" i="14"/>
  <c r="N3405" i="14"/>
  <c r="J3404" i="14" a="1"/>
  <c r="J3404" i="14" s="1"/>
  <c r="K3220" i="13" l="1"/>
  <c r="L3220" i="13" s="1"/>
  <c r="I3221" i="13" s="1"/>
  <c r="K3242" i="14"/>
  <c r="L3242" i="14" s="1"/>
  <c r="I3243" i="14" s="1"/>
  <c r="N3406" i="14"/>
  <c r="J3405" i="14" a="1"/>
  <c r="J3405" i="14" s="1"/>
  <c r="M3409" i="13"/>
  <c r="N3407" i="13"/>
  <c r="J3406" i="13" a="1"/>
  <c r="J3406" i="13" s="1"/>
  <c r="M3410" i="14"/>
  <c r="K3243" i="14" l="1"/>
  <c r="L3243" i="14" s="1"/>
  <c r="I3244" i="14" s="1"/>
  <c r="K3221" i="13"/>
  <c r="L3221" i="13" s="1"/>
  <c r="I3222" i="13" s="1"/>
  <c r="J3407" i="13" a="1"/>
  <c r="J3407" i="13" s="1"/>
  <c r="N3408" i="13"/>
  <c r="M3411" i="14"/>
  <c r="M3410" i="13"/>
  <c r="J3406" i="14" a="1"/>
  <c r="J3406" i="14" s="1"/>
  <c r="N3407" i="14"/>
  <c r="K3222" i="13" l="1"/>
  <c r="L3222" i="13" s="1"/>
  <c r="I3223" i="13" s="1"/>
  <c r="K3244" i="14"/>
  <c r="L3244" i="14" s="1"/>
  <c r="I3245" i="14" s="1"/>
  <c r="N3408" i="14"/>
  <c r="J3407" i="14" a="1"/>
  <c r="J3407" i="14" s="1"/>
  <c r="M3412" i="14"/>
  <c r="J3408" i="13" a="1"/>
  <c r="J3408" i="13" s="1"/>
  <c r="N3409" i="13"/>
  <c r="M3411" i="13"/>
  <c r="K3245" i="14" l="1"/>
  <c r="L3245" i="14" s="1"/>
  <c r="I3246" i="14" s="1"/>
  <c r="K3223" i="13"/>
  <c r="L3223" i="13" s="1"/>
  <c r="I3224" i="13" s="1"/>
  <c r="J3409" i="13" a="1"/>
  <c r="J3409" i="13" s="1"/>
  <c r="N3410" i="13"/>
  <c r="M3413" i="14"/>
  <c r="M3412" i="13"/>
  <c r="J3408" i="14" a="1"/>
  <c r="J3408" i="14" s="1"/>
  <c r="N3409" i="14"/>
  <c r="K3224" i="13" l="1"/>
  <c r="L3224" i="13" s="1"/>
  <c r="I3225" i="13" s="1"/>
  <c r="K3246" i="14"/>
  <c r="L3246" i="14" s="1"/>
  <c r="I3247" i="14" s="1"/>
  <c r="M3414" i="14"/>
  <c r="N3411" i="13"/>
  <c r="J3410" i="13" a="1"/>
  <c r="J3410" i="13" s="1"/>
  <c r="N3410" i="14"/>
  <c r="J3409" i="14" a="1"/>
  <c r="J3409" i="14" s="1"/>
  <c r="M3413" i="13"/>
  <c r="K3247" i="14" l="1"/>
  <c r="L3247" i="14" s="1"/>
  <c r="I3248" i="14" s="1"/>
  <c r="K3225" i="13"/>
  <c r="L3225" i="13" s="1"/>
  <c r="I3226" i="13" s="1"/>
  <c r="M3414" i="13"/>
  <c r="J3411" i="13" a="1"/>
  <c r="J3411" i="13" s="1"/>
  <c r="N3412" i="13"/>
  <c r="J3410" i="14" a="1"/>
  <c r="J3410" i="14" s="1"/>
  <c r="N3411" i="14"/>
  <c r="M3415" i="14"/>
  <c r="K3226" i="13" l="1"/>
  <c r="L3226" i="13" s="1"/>
  <c r="I3227" i="13" s="1"/>
  <c r="K3248" i="14"/>
  <c r="L3248" i="14" s="1"/>
  <c r="I3249" i="14" s="1"/>
  <c r="J3412" i="13" a="1"/>
  <c r="J3412" i="13" s="1"/>
  <c r="N3413" i="13"/>
  <c r="N3412" i="14"/>
  <c r="J3411" i="14" a="1"/>
  <c r="J3411" i="14" s="1"/>
  <c r="M3416" i="14"/>
  <c r="M3415" i="13"/>
  <c r="K3249" i="14" l="1"/>
  <c r="L3249" i="14" s="1"/>
  <c r="I3250" i="14" s="1"/>
  <c r="K3227" i="13"/>
  <c r="L3227" i="13" s="1"/>
  <c r="I3228" i="13" s="1"/>
  <c r="N3413" i="14"/>
  <c r="J3412" i="14" a="1"/>
  <c r="J3412" i="14" s="1"/>
  <c r="J3413" i="13" a="1"/>
  <c r="J3413" i="13" s="1"/>
  <c r="N3414" i="13"/>
  <c r="M3416" i="13"/>
  <c r="M3417" i="14"/>
  <c r="K3228" i="13" l="1"/>
  <c r="L3228" i="13" s="1"/>
  <c r="I3229" i="13" s="1"/>
  <c r="K3250" i="14"/>
  <c r="L3250" i="14" s="1"/>
  <c r="I3251" i="14" s="1"/>
  <c r="N3415" i="13"/>
  <c r="J3414" i="13" a="1"/>
  <c r="J3414" i="13" s="1"/>
  <c r="M3418" i="14"/>
  <c r="M3417" i="13"/>
  <c r="N3414" i="14"/>
  <c r="J3413" i="14" a="1"/>
  <c r="J3413" i="14" s="1"/>
  <c r="K3251" i="14" l="1"/>
  <c r="L3251" i="14" s="1"/>
  <c r="I3252" i="14" s="1"/>
  <c r="K3229" i="13"/>
  <c r="L3229" i="13" s="1"/>
  <c r="I3230" i="13" s="1"/>
  <c r="M3419" i="14"/>
  <c r="J3414" i="14" a="1"/>
  <c r="J3414" i="14" s="1"/>
  <c r="N3415" i="14"/>
  <c r="M3418" i="13"/>
  <c r="J3415" i="13" a="1"/>
  <c r="J3415" i="13" s="1"/>
  <c r="N3416" i="13"/>
  <c r="K3230" i="13" l="1"/>
  <c r="L3230" i="13" s="1"/>
  <c r="I3231" i="13" s="1"/>
  <c r="K3252" i="14"/>
  <c r="L3252" i="14" s="1"/>
  <c r="I3253" i="14" s="1"/>
  <c r="J3416" i="13" a="1"/>
  <c r="J3416" i="13" s="1"/>
  <c r="N3417" i="13"/>
  <c r="N3416" i="14"/>
  <c r="J3415" i="14" a="1"/>
  <c r="J3415" i="14" s="1"/>
  <c r="M3420" i="14"/>
  <c r="M3419" i="13"/>
  <c r="K3253" i="14" l="1"/>
  <c r="L3253" i="14" s="1"/>
  <c r="I3254" i="14" s="1"/>
  <c r="K3231" i="13"/>
  <c r="L3231" i="13" s="1"/>
  <c r="I3232" i="13" s="1"/>
  <c r="N3417" i="14"/>
  <c r="J3416" i="14" a="1"/>
  <c r="J3416" i="14" s="1"/>
  <c r="J3417" i="13" a="1"/>
  <c r="J3417" i="13" s="1"/>
  <c r="N3418" i="13"/>
  <c r="M3420" i="13"/>
  <c r="M3421" i="14"/>
  <c r="K3232" i="13" l="1"/>
  <c r="L3232" i="13" s="1"/>
  <c r="I3233" i="13" s="1"/>
  <c r="K3254" i="14"/>
  <c r="L3254" i="14" s="1"/>
  <c r="I3255" i="14" s="1"/>
  <c r="N3419" i="13"/>
  <c r="J3418" i="13" a="1"/>
  <c r="J3418" i="13" s="1"/>
  <c r="M3422" i="14"/>
  <c r="M3421" i="13"/>
  <c r="N3418" i="14"/>
  <c r="J3417" i="14" a="1"/>
  <c r="J3417" i="14" s="1"/>
  <c r="K3255" i="14" l="1"/>
  <c r="L3255" i="14" s="1"/>
  <c r="I3256" i="14" s="1"/>
  <c r="K3233" i="13"/>
  <c r="L3233" i="13" s="1"/>
  <c r="I3234" i="13" s="1"/>
  <c r="J3418" i="14" a="1"/>
  <c r="J3418" i="14" s="1"/>
  <c r="N3419" i="14"/>
  <c r="M3423" i="14"/>
  <c r="M3422" i="13"/>
  <c r="J3419" i="13" a="1"/>
  <c r="J3419" i="13" s="1"/>
  <c r="N3420" i="13"/>
  <c r="K3234" i="13" l="1"/>
  <c r="L3234" i="13" s="1"/>
  <c r="I3235" i="13" s="1"/>
  <c r="K3256" i="14"/>
  <c r="L3256" i="14" s="1"/>
  <c r="I3257" i="14" s="1"/>
  <c r="J3420" i="13" a="1"/>
  <c r="J3420" i="13" s="1"/>
  <c r="N3421" i="13"/>
  <c r="M3424" i="14"/>
  <c r="N3420" i="14"/>
  <c r="J3419" i="14" a="1"/>
  <c r="J3419" i="14" s="1"/>
  <c r="M3423" i="13"/>
  <c r="K3257" i="14" l="1"/>
  <c r="L3257" i="14" s="1"/>
  <c r="I3258" i="14" s="1"/>
  <c r="K3235" i="13"/>
  <c r="L3235" i="13" s="1"/>
  <c r="I3236" i="13" s="1"/>
  <c r="N3421" i="14"/>
  <c r="J3420" i="14" a="1"/>
  <c r="J3420" i="14" s="1"/>
  <c r="M3425" i="14"/>
  <c r="M3424" i="13"/>
  <c r="J3421" i="13" a="1"/>
  <c r="J3421" i="13" s="1"/>
  <c r="N3422" i="13"/>
  <c r="K3236" i="13" l="1"/>
  <c r="L3236" i="13" s="1"/>
  <c r="I3237" i="13" s="1"/>
  <c r="K3258" i="14"/>
  <c r="L3258" i="14" s="1"/>
  <c r="I3259" i="14" s="1"/>
  <c r="M3426" i="14"/>
  <c r="N3423" i="13"/>
  <c r="J3422" i="13" a="1"/>
  <c r="J3422" i="13" s="1"/>
  <c r="M3425" i="13"/>
  <c r="N3422" i="14"/>
  <c r="J3421" i="14" a="1"/>
  <c r="J3421" i="14" s="1"/>
  <c r="K3259" i="14" l="1"/>
  <c r="L3259" i="14" s="1"/>
  <c r="I3260" i="14" s="1"/>
  <c r="K3237" i="13"/>
  <c r="L3237" i="13" s="1"/>
  <c r="I3238" i="13" s="1"/>
  <c r="J3423" i="13" a="1"/>
  <c r="J3423" i="13" s="1"/>
  <c r="N3424" i="13"/>
  <c r="M3427" i="14"/>
  <c r="J3422" i="14" a="1"/>
  <c r="J3422" i="14" s="1"/>
  <c r="N3423" i="14"/>
  <c r="M3426" i="13"/>
  <c r="K3238" i="13" l="1"/>
  <c r="L3238" i="13" s="1"/>
  <c r="I3239" i="13" s="1"/>
  <c r="K3260" i="14"/>
  <c r="L3260" i="14" s="1"/>
  <c r="I3261" i="14" s="1"/>
  <c r="N3424" i="14"/>
  <c r="J3423" i="14" a="1"/>
  <c r="J3423" i="14" s="1"/>
  <c r="M3427" i="13"/>
  <c r="M3428" i="14"/>
  <c r="J3424" i="13" a="1"/>
  <c r="J3424" i="13" s="1"/>
  <c r="N3425" i="13"/>
  <c r="K3261" i="14" l="1"/>
  <c r="L3261" i="14" s="1"/>
  <c r="I3262" i="14" s="1"/>
  <c r="K3239" i="13"/>
  <c r="L3239" i="13" s="1"/>
  <c r="I3240" i="13" s="1"/>
  <c r="J3425" i="13" a="1"/>
  <c r="J3425" i="13" s="1"/>
  <c r="N3426" i="13"/>
  <c r="M3428" i="13"/>
  <c r="M3429" i="14"/>
  <c r="N3425" i="14"/>
  <c r="J3424" i="14" a="1"/>
  <c r="J3424" i="14" s="1"/>
  <c r="K3240" i="13" l="1"/>
  <c r="L3240" i="13" s="1"/>
  <c r="I3241" i="13" s="1"/>
  <c r="K3262" i="14"/>
  <c r="L3262" i="14" s="1"/>
  <c r="I3263" i="14" s="1"/>
  <c r="N3426" i="14"/>
  <c r="J3425" i="14" a="1"/>
  <c r="J3425" i="14" s="1"/>
  <c r="M3429" i="13"/>
  <c r="N3427" i="13"/>
  <c r="J3426" i="13" a="1"/>
  <c r="J3426" i="13" s="1"/>
  <c r="M3430" i="14"/>
  <c r="K3263" i="14" l="1"/>
  <c r="L3263" i="14" s="1"/>
  <c r="I3264" i="14" s="1"/>
  <c r="K3241" i="13"/>
  <c r="L3241" i="13" s="1"/>
  <c r="I3242" i="13" s="1"/>
  <c r="M3430" i="13"/>
  <c r="M3431" i="14"/>
  <c r="J3427" i="13" a="1"/>
  <c r="J3427" i="13" s="1"/>
  <c r="N3428" i="13"/>
  <c r="J3426" i="14" a="1"/>
  <c r="J3426" i="14" s="1"/>
  <c r="N3427" i="14"/>
  <c r="K3242" i="13" l="1"/>
  <c r="L3242" i="13" s="1"/>
  <c r="I3243" i="13" s="1"/>
  <c r="K3264" i="14"/>
  <c r="L3264" i="14" s="1"/>
  <c r="I3265" i="14" s="1"/>
  <c r="M3432" i="14"/>
  <c r="N3428" i="14"/>
  <c r="J3427" i="14" a="1"/>
  <c r="J3427" i="14" s="1"/>
  <c r="J3428" i="13" a="1"/>
  <c r="J3428" i="13" s="1"/>
  <c r="N3429" i="13"/>
  <c r="M3431" i="13"/>
  <c r="K3265" i="14" l="1"/>
  <c r="L3265" i="14" s="1"/>
  <c r="I3266" i="14" s="1"/>
  <c r="K3243" i="13"/>
  <c r="L3243" i="13" s="1"/>
  <c r="I3244" i="13" s="1"/>
  <c r="N3429" i="14"/>
  <c r="J3428" i="14" a="1"/>
  <c r="J3428" i="14" s="1"/>
  <c r="J3429" i="13" a="1"/>
  <c r="J3429" i="13" s="1"/>
  <c r="N3430" i="13"/>
  <c r="M3433" i="14"/>
  <c r="M3432" i="13"/>
  <c r="K3244" i="13" l="1"/>
  <c r="L3244" i="13" s="1"/>
  <c r="I3245" i="13" s="1"/>
  <c r="K3266" i="14"/>
  <c r="L3266" i="14" s="1"/>
  <c r="I3267" i="14" s="1"/>
  <c r="N3431" i="13"/>
  <c r="J3430" i="13" a="1"/>
  <c r="J3430" i="13" s="1"/>
  <c r="M3433" i="13"/>
  <c r="M3434" i="14"/>
  <c r="N3430" i="14"/>
  <c r="J3429" i="14" a="1"/>
  <c r="J3429" i="14" s="1"/>
  <c r="K3267" i="14" l="1"/>
  <c r="L3267" i="14" s="1"/>
  <c r="I3268" i="14" s="1"/>
  <c r="K3245" i="13"/>
  <c r="L3245" i="13" s="1"/>
  <c r="I3246" i="13" s="1"/>
  <c r="M3434" i="13"/>
  <c r="J3430" i="14" a="1"/>
  <c r="J3430" i="14" s="1"/>
  <c r="N3431" i="14"/>
  <c r="M3435" i="14"/>
  <c r="J3431" i="13" a="1"/>
  <c r="J3431" i="13" s="1"/>
  <c r="N3432" i="13"/>
  <c r="K3246" i="13" l="1"/>
  <c r="L3246" i="13" s="1"/>
  <c r="I3247" i="13" s="1"/>
  <c r="K3268" i="14"/>
  <c r="L3268" i="14" s="1"/>
  <c r="I3269" i="14" s="1"/>
  <c r="N3432" i="14"/>
  <c r="J3431" i="14" a="1"/>
  <c r="J3431" i="14" s="1"/>
  <c r="J3432" i="13" a="1"/>
  <c r="J3432" i="13" s="1"/>
  <c r="N3433" i="13"/>
  <c r="M3436" i="14"/>
  <c r="M3435" i="13"/>
  <c r="K3269" i="14" l="1"/>
  <c r="L3269" i="14" s="1"/>
  <c r="I3270" i="14" s="1"/>
  <c r="K3247" i="13"/>
  <c r="L3247" i="13" s="1"/>
  <c r="I3248" i="13" s="1"/>
  <c r="J3433" i="13" a="1"/>
  <c r="J3433" i="13" s="1"/>
  <c r="N3434" i="13"/>
  <c r="M3436" i="13"/>
  <c r="M3437" i="14"/>
  <c r="N3433" i="14"/>
  <c r="J3432" i="14" a="1"/>
  <c r="J3432" i="14" s="1"/>
  <c r="K3248" i="13" l="1"/>
  <c r="L3248" i="13" s="1"/>
  <c r="I3249" i="13" s="1"/>
  <c r="K3270" i="14"/>
  <c r="L3270" i="14" s="1"/>
  <c r="I3271" i="14" s="1"/>
  <c r="N3434" i="14"/>
  <c r="J3433" i="14" a="1"/>
  <c r="J3433" i="14" s="1"/>
  <c r="M3437" i="13"/>
  <c r="N3435" i="13"/>
  <c r="J3434" i="13" a="1"/>
  <c r="J3434" i="13" s="1"/>
  <c r="M3438" i="14"/>
  <c r="K3271" i="14" l="1"/>
  <c r="L3271" i="14" s="1"/>
  <c r="I3272" i="14" s="1"/>
  <c r="K3249" i="13"/>
  <c r="L3249" i="13" s="1"/>
  <c r="I3250" i="13" s="1"/>
  <c r="M3438" i="13"/>
  <c r="M3439" i="14"/>
  <c r="J3435" i="13" a="1"/>
  <c r="J3435" i="13" s="1"/>
  <c r="N3436" i="13"/>
  <c r="J3434" i="14" a="1"/>
  <c r="J3434" i="14" s="1"/>
  <c r="N3435" i="14"/>
  <c r="K3250" i="13" l="1"/>
  <c r="L3250" i="13" s="1"/>
  <c r="I3251" i="13" s="1"/>
  <c r="K3272" i="14"/>
  <c r="L3272" i="14" s="1"/>
  <c r="I3273" i="14" s="1"/>
  <c r="N3436" i="14"/>
  <c r="J3435" i="14" a="1"/>
  <c r="J3435" i="14" s="1"/>
  <c r="M3440" i="14"/>
  <c r="J3436" i="13" a="1"/>
  <c r="J3436" i="13" s="1"/>
  <c r="N3437" i="13"/>
  <c r="M3439" i="13"/>
  <c r="K3273" i="14" l="1"/>
  <c r="L3273" i="14" s="1"/>
  <c r="I3274" i="14" s="1"/>
  <c r="K3251" i="13"/>
  <c r="L3251" i="13" s="1"/>
  <c r="I3252" i="13" s="1"/>
  <c r="J3437" i="13" a="1"/>
  <c r="J3437" i="13" s="1"/>
  <c r="N3438" i="13"/>
  <c r="M3441" i="14"/>
  <c r="M3440" i="13"/>
  <c r="N3437" i="14"/>
  <c r="J3436" i="14" a="1"/>
  <c r="J3436" i="14" s="1"/>
  <c r="K3252" i="13" l="1"/>
  <c r="L3252" i="13" s="1"/>
  <c r="I3253" i="13" s="1"/>
  <c r="K3274" i="14"/>
  <c r="L3274" i="14" s="1"/>
  <c r="I3275" i="14" s="1"/>
  <c r="N3438" i="14"/>
  <c r="J3437" i="14" a="1"/>
  <c r="J3437" i="14" s="1"/>
  <c r="M3442" i="14"/>
  <c r="N3439" i="13"/>
  <c r="J3438" i="13" a="1"/>
  <c r="J3438" i="13" s="1"/>
  <c r="M3441" i="13"/>
  <c r="K3275" i="14" l="1"/>
  <c r="L3275" i="14" s="1"/>
  <c r="I3276" i="14" s="1"/>
  <c r="K3253" i="13"/>
  <c r="L3253" i="13" s="1"/>
  <c r="I3254" i="13" s="1"/>
  <c r="M3442" i="13"/>
  <c r="M3443" i="14"/>
  <c r="J3439" i="13" a="1"/>
  <c r="J3439" i="13" s="1"/>
  <c r="N3440" i="13"/>
  <c r="J3438" i="14" a="1"/>
  <c r="J3438" i="14" s="1"/>
  <c r="N3439" i="14"/>
  <c r="K3254" i="13" l="1"/>
  <c r="L3254" i="13" s="1"/>
  <c r="I3255" i="13" s="1"/>
  <c r="K3276" i="14"/>
  <c r="L3276" i="14" s="1"/>
  <c r="I3277" i="14" s="1"/>
  <c r="M3444" i="14"/>
  <c r="J3440" i="13" a="1"/>
  <c r="J3440" i="13" s="1"/>
  <c r="N3441" i="13"/>
  <c r="J3439" i="14" a="1"/>
  <c r="J3439" i="14" s="1"/>
  <c r="N3440" i="14"/>
  <c r="M3443" i="13"/>
  <c r="K3277" i="14" l="1"/>
  <c r="L3277" i="14" s="1"/>
  <c r="I3278" i="14" s="1"/>
  <c r="K3255" i="13"/>
  <c r="L3255" i="13" s="1"/>
  <c r="I3256" i="13" s="1"/>
  <c r="J3441" i="13" a="1"/>
  <c r="J3441" i="13" s="1"/>
  <c r="N3442" i="13"/>
  <c r="J3440" i="14" a="1"/>
  <c r="J3440" i="14" s="1"/>
  <c r="N3441" i="14"/>
  <c r="M3445" i="14"/>
  <c r="M3444" i="13"/>
  <c r="K3256" i="13" l="1"/>
  <c r="L3256" i="13" s="1"/>
  <c r="I3257" i="13" s="1"/>
  <c r="K3278" i="14"/>
  <c r="L3278" i="14" s="1"/>
  <c r="I3279" i="14" s="1"/>
  <c r="N3442" i="14"/>
  <c r="J3441" i="14" a="1"/>
  <c r="J3441" i="14" s="1"/>
  <c r="N3443" i="13"/>
  <c r="J3442" i="13" a="1"/>
  <c r="J3442" i="13" s="1"/>
  <c r="M3445" i="13"/>
  <c r="M3446" i="14"/>
  <c r="K3279" i="14" l="1"/>
  <c r="L3279" i="14" s="1"/>
  <c r="I3280" i="14" s="1"/>
  <c r="K3257" i="13"/>
  <c r="L3257" i="13" s="1"/>
  <c r="I3258" i="13" s="1"/>
  <c r="J3443" i="13" a="1"/>
  <c r="J3443" i="13" s="1"/>
  <c r="N3444" i="13"/>
  <c r="M3447" i="14"/>
  <c r="M3446" i="13"/>
  <c r="J3442" i="14" a="1"/>
  <c r="J3442" i="14" s="1"/>
  <c r="N3443" i="14"/>
  <c r="K3258" i="13" l="1"/>
  <c r="L3258" i="13" s="1"/>
  <c r="I3259" i="13" s="1"/>
  <c r="K3280" i="14"/>
  <c r="L3280" i="14" s="1"/>
  <c r="I3281" i="14" s="1"/>
  <c r="J3443" i="14" a="1"/>
  <c r="J3443" i="14" s="1"/>
  <c r="N3444" i="14"/>
  <c r="M3448" i="14"/>
  <c r="J3444" i="13" a="1"/>
  <c r="J3444" i="13" s="1"/>
  <c r="N3445" i="13"/>
  <c r="M3447" i="13"/>
  <c r="K3281" i="14" l="1"/>
  <c r="L3281" i="14" s="1"/>
  <c r="I3282" i="14" s="1"/>
  <c r="K3259" i="13"/>
  <c r="L3259" i="13" s="1"/>
  <c r="I3260" i="13" s="1"/>
  <c r="J3445" i="13" a="1"/>
  <c r="J3445" i="13" s="1"/>
  <c r="N3446" i="13"/>
  <c r="M3449" i="14"/>
  <c r="M3448" i="13"/>
  <c r="N3445" i="14"/>
  <c r="J3444" i="14" a="1"/>
  <c r="J3444" i="14" s="1"/>
  <c r="K3260" i="13" l="1"/>
  <c r="L3260" i="13" s="1"/>
  <c r="I3261" i="13" s="1"/>
  <c r="K3282" i="14"/>
  <c r="L3282" i="14" s="1"/>
  <c r="I3283" i="14" s="1"/>
  <c r="N3446" i="14"/>
  <c r="J3445" i="14" a="1"/>
  <c r="J3445" i="14" s="1"/>
  <c r="M3450" i="14"/>
  <c r="N3447" i="13"/>
  <c r="J3446" i="13" a="1"/>
  <c r="J3446" i="13" s="1"/>
  <c r="M3449" i="13"/>
  <c r="K3283" i="14" l="1"/>
  <c r="L3283" i="14" s="1"/>
  <c r="I3284" i="14" s="1"/>
  <c r="K3261" i="13"/>
  <c r="L3261" i="13" s="1"/>
  <c r="I3262" i="13" s="1"/>
  <c r="M3450" i="13"/>
  <c r="J3447" i="13" a="1"/>
  <c r="J3447" i="13" s="1"/>
  <c r="N3448" i="13"/>
  <c r="M3451" i="14"/>
  <c r="J3446" i="14" a="1"/>
  <c r="J3446" i="14" s="1"/>
  <c r="N3447" i="14"/>
  <c r="K3262" i="13" l="1"/>
  <c r="L3262" i="13" s="1"/>
  <c r="I3263" i="13" s="1"/>
  <c r="K3284" i="14"/>
  <c r="L3284" i="14" s="1"/>
  <c r="I3285" i="14" s="1"/>
  <c r="J3447" i="14" a="1"/>
  <c r="J3447" i="14" s="1"/>
  <c r="N3448" i="14"/>
  <c r="J3448" i="13" a="1"/>
  <c r="J3448" i="13" s="1"/>
  <c r="N3449" i="13"/>
  <c r="M3452" i="14"/>
  <c r="M3451" i="13"/>
  <c r="K3285" i="14" l="1"/>
  <c r="L3285" i="14" s="1"/>
  <c r="I3286" i="14" s="1"/>
  <c r="K3263" i="13"/>
  <c r="L3263" i="13" s="1"/>
  <c r="I3264" i="13" s="1"/>
  <c r="J3449" i="13" a="1"/>
  <c r="J3449" i="13" s="1"/>
  <c r="N3450" i="13"/>
  <c r="J3448" i="14" a="1"/>
  <c r="J3448" i="14" s="1"/>
  <c r="N3449" i="14"/>
  <c r="M3452" i="13"/>
  <c r="M3453" i="14"/>
  <c r="K3264" i="13" l="1"/>
  <c r="L3264" i="13" s="1"/>
  <c r="I3265" i="13" s="1"/>
  <c r="K3286" i="14"/>
  <c r="L3286" i="14" s="1"/>
  <c r="I3287" i="14" s="1"/>
  <c r="N3450" i="14"/>
  <c r="J3449" i="14" a="1"/>
  <c r="J3449" i="14" s="1"/>
  <c r="N3451" i="13"/>
  <c r="J3450" i="13" a="1"/>
  <c r="J3450" i="13" s="1"/>
  <c r="M3454" i="14"/>
  <c r="M3453" i="13"/>
  <c r="K3287" i="14" l="1"/>
  <c r="L3287" i="14" s="1"/>
  <c r="I3288" i="14" s="1"/>
  <c r="K3265" i="13"/>
  <c r="L3265" i="13" s="1"/>
  <c r="I3266" i="13" s="1"/>
  <c r="J3451" i="13" a="1"/>
  <c r="J3451" i="13" s="1"/>
  <c r="N3452" i="13"/>
  <c r="M3454" i="13"/>
  <c r="M3455" i="14"/>
  <c r="J3450" i="14" a="1"/>
  <c r="J3450" i="14" s="1"/>
  <c r="N3451" i="14"/>
  <c r="K3266" i="13" l="1"/>
  <c r="L3266" i="13" s="1"/>
  <c r="I3267" i="13" s="1"/>
  <c r="K3288" i="14"/>
  <c r="L3288" i="14" s="1"/>
  <c r="I3289" i="14" s="1"/>
  <c r="J3451" i="14" a="1"/>
  <c r="J3451" i="14" s="1"/>
  <c r="N3452" i="14"/>
  <c r="M3455" i="13"/>
  <c r="J3452" i="13" a="1"/>
  <c r="J3452" i="13" s="1"/>
  <c r="N3453" i="13"/>
  <c r="M3456" i="14"/>
  <c r="K3267" i="13" l="1"/>
  <c r="L3267" i="13" s="1"/>
  <c r="I3268" i="13" s="1"/>
  <c r="M3457" i="14"/>
  <c r="M3456" i="13"/>
  <c r="K3289" i="14"/>
  <c r="L3289" i="14" s="1"/>
  <c r="I3290" i="14" s="1"/>
  <c r="J3453" i="13" a="1"/>
  <c r="J3453" i="13" s="1"/>
  <c r="N3454" i="13"/>
  <c r="N3453" i="14"/>
  <c r="J3452" i="14" a="1"/>
  <c r="J3452" i="14" s="1"/>
  <c r="K3290" i="14" l="1"/>
  <c r="L3290" i="14" s="1"/>
  <c r="I3291" i="14" s="1"/>
  <c r="K3268" i="13"/>
  <c r="L3268" i="13" s="1"/>
  <c r="I3269" i="13" s="1"/>
  <c r="N3454" i="14"/>
  <c r="J3453" i="14" a="1"/>
  <c r="J3453" i="14" s="1"/>
  <c r="M3458" i="14"/>
  <c r="N3455" i="13"/>
  <c r="J3454" i="13" a="1"/>
  <c r="J3454" i="13" s="1"/>
  <c r="M3457" i="13"/>
  <c r="K3269" i="13" l="1"/>
  <c r="L3269" i="13" s="1"/>
  <c r="I3270" i="13" s="1"/>
  <c r="K3291" i="14"/>
  <c r="L3291" i="14" s="1"/>
  <c r="I3292" i="14" s="1"/>
  <c r="J3455" i="13" a="1"/>
  <c r="J3455" i="13" s="1"/>
  <c r="N3456" i="13"/>
  <c r="M3458" i="13"/>
  <c r="M3459" i="14"/>
  <c r="J3454" i="14" a="1"/>
  <c r="J3454" i="14" s="1"/>
  <c r="N3455" i="14"/>
  <c r="K3270" i="13" l="1"/>
  <c r="L3270" i="13" s="1"/>
  <c r="I3271" i="13" s="1"/>
  <c r="K3292" i="14"/>
  <c r="L3292" i="14" s="1"/>
  <c r="I3293" i="14" s="1"/>
  <c r="M3460" i="14"/>
  <c r="M3459" i="13"/>
  <c r="J3455" i="14" a="1"/>
  <c r="J3455" i="14" s="1"/>
  <c r="N3456" i="14"/>
  <c r="J3456" i="13" a="1"/>
  <c r="J3456" i="13" s="1"/>
  <c r="N3457" i="13"/>
  <c r="K3271" i="13" l="1"/>
  <c r="L3271" i="13" s="1"/>
  <c r="I3272" i="13" s="1"/>
  <c r="K3293" i="14"/>
  <c r="L3293" i="14" s="1"/>
  <c r="I3294" i="14" s="1"/>
  <c r="J3457" i="13" a="1"/>
  <c r="J3457" i="13" s="1"/>
  <c r="N3458" i="13"/>
  <c r="M3460" i="13"/>
  <c r="J3456" i="14" a="1"/>
  <c r="J3456" i="14" s="1"/>
  <c r="N3457" i="14"/>
  <c r="M3461" i="14"/>
  <c r="K3272" i="13" l="1"/>
  <c r="L3272" i="13" s="1"/>
  <c r="I3273" i="13" s="1"/>
  <c r="K3294" i="14"/>
  <c r="L3294" i="14" s="1"/>
  <c r="I3295" i="14" s="1"/>
  <c r="N3458" i="14"/>
  <c r="J3457" i="14" a="1"/>
  <c r="J3457" i="14" s="1"/>
  <c r="N3459" i="13"/>
  <c r="J3458" i="13" a="1"/>
  <c r="J3458" i="13" s="1"/>
  <c r="M3462" i="14"/>
  <c r="M3461" i="13"/>
  <c r="J3459" i="13" l="1" a="1"/>
  <c r="J3459" i="13" s="1"/>
  <c r="N3460" i="13"/>
  <c r="K3295" i="14"/>
  <c r="L3295" i="14" s="1"/>
  <c r="I3296" i="14" s="1"/>
  <c r="M3462" i="13"/>
  <c r="M3463" i="14"/>
  <c r="J3458" i="14" a="1"/>
  <c r="J3458" i="14" s="1"/>
  <c r="N3459" i="14"/>
  <c r="K3273" i="13"/>
  <c r="L3273" i="13" s="1"/>
  <c r="I3274" i="13" s="1"/>
  <c r="K3274" i="13" l="1"/>
  <c r="L3274" i="13" s="1"/>
  <c r="I3275" i="13" s="1"/>
  <c r="K3296" i="14"/>
  <c r="L3296" i="14" s="1"/>
  <c r="I3297" i="14" s="1"/>
  <c r="M3464" i="14"/>
  <c r="J3459" i="14" a="1"/>
  <c r="J3459" i="14" s="1"/>
  <c r="N3460" i="14"/>
  <c r="J3460" i="13" a="1"/>
  <c r="J3460" i="13" s="1"/>
  <c r="N3461" i="13"/>
  <c r="M3463" i="13"/>
  <c r="K3297" i="14" l="1"/>
  <c r="L3297" i="14" s="1"/>
  <c r="I3298" i="14" s="1"/>
  <c r="K3275" i="13"/>
  <c r="L3275" i="13" s="1"/>
  <c r="I3276" i="13" s="1"/>
  <c r="N3461" i="14"/>
  <c r="J3460" i="14" a="1"/>
  <c r="J3460" i="14" s="1"/>
  <c r="M3464" i="13"/>
  <c r="J3461" i="13" a="1"/>
  <c r="J3461" i="13" s="1"/>
  <c r="N3462" i="13"/>
  <c r="M3465" i="14"/>
  <c r="K3276" i="13" l="1"/>
  <c r="L3276" i="13" s="1"/>
  <c r="I3277" i="13" s="1"/>
  <c r="K3298" i="14"/>
  <c r="L3298" i="14" s="1"/>
  <c r="I3299" i="14" s="1"/>
  <c r="N3463" i="13"/>
  <c r="J3462" i="13" a="1"/>
  <c r="J3462" i="13" s="1"/>
  <c r="M3466" i="14"/>
  <c r="M3465" i="13"/>
  <c r="N3462" i="14"/>
  <c r="J3461" i="14" a="1"/>
  <c r="J3461" i="14" s="1"/>
  <c r="K3299" i="14" l="1"/>
  <c r="L3299" i="14" s="1"/>
  <c r="I3300" i="14" s="1"/>
  <c r="K3277" i="13"/>
  <c r="L3277" i="13" s="1"/>
  <c r="I3278" i="13" s="1"/>
  <c r="J3462" i="14" a="1"/>
  <c r="J3462" i="14" s="1"/>
  <c r="N3463" i="14"/>
  <c r="M3467" i="14"/>
  <c r="M3466" i="13"/>
  <c r="J3463" i="13" a="1"/>
  <c r="J3463" i="13" s="1"/>
  <c r="N3464" i="13"/>
  <c r="J3464" i="13" l="1" a="1"/>
  <c r="J3464" i="13" s="1"/>
  <c r="N3465" i="13"/>
  <c r="M3467" i="13"/>
  <c r="M3468" i="14"/>
  <c r="K3278" i="13"/>
  <c r="L3278" i="13" s="1"/>
  <c r="I3279" i="13" s="1"/>
  <c r="K3300" i="14"/>
  <c r="L3300" i="14" s="1"/>
  <c r="I3301" i="14" s="1"/>
  <c r="J3463" i="14" a="1"/>
  <c r="J3463" i="14" s="1"/>
  <c r="N3464" i="14"/>
  <c r="K3301" i="14" l="1"/>
  <c r="L3301" i="14" s="1"/>
  <c r="I3302" i="14" s="1"/>
  <c r="K3279" i="13"/>
  <c r="L3279" i="13" s="1"/>
  <c r="I3280" i="13" s="1"/>
  <c r="M3468" i="13"/>
  <c r="J3464" i="14" a="1"/>
  <c r="J3464" i="14" s="1"/>
  <c r="N3465" i="14"/>
  <c r="M3469" i="14"/>
  <c r="J3465" i="13" a="1"/>
  <c r="J3465" i="13" s="1"/>
  <c r="N3466" i="13"/>
  <c r="K3280" i="13" l="1"/>
  <c r="L3280" i="13" s="1"/>
  <c r="I3281" i="13" s="1"/>
  <c r="K3302" i="14"/>
  <c r="L3302" i="14" s="1"/>
  <c r="I3303" i="14" s="1"/>
  <c r="N3467" i="13"/>
  <c r="J3466" i="13" a="1"/>
  <c r="J3466" i="13" s="1"/>
  <c r="N3466" i="14"/>
  <c r="J3465" i="14" a="1"/>
  <c r="J3465" i="14" s="1"/>
  <c r="M3470" i="14"/>
  <c r="M3469" i="13"/>
  <c r="K3303" i="14" l="1"/>
  <c r="L3303" i="14" s="1"/>
  <c r="I3304" i="14" s="1"/>
  <c r="K3281" i="13"/>
  <c r="L3281" i="13" s="1"/>
  <c r="I3282" i="13" s="1"/>
  <c r="J3466" i="14" a="1"/>
  <c r="J3466" i="14" s="1"/>
  <c r="N3467" i="14"/>
  <c r="M3470" i="13"/>
  <c r="M3471" i="14"/>
  <c r="J3467" i="13" a="1"/>
  <c r="J3467" i="13" s="1"/>
  <c r="N3468" i="13"/>
  <c r="K3282" i="13" l="1"/>
  <c r="L3282" i="13" s="1"/>
  <c r="I3283" i="13" s="1"/>
  <c r="K3304" i="14"/>
  <c r="L3304" i="14" s="1"/>
  <c r="I3305" i="14" s="1"/>
  <c r="M3471" i="13"/>
  <c r="J3468" i="13" a="1"/>
  <c r="J3468" i="13" s="1"/>
  <c r="N3469" i="13"/>
  <c r="J3467" i="14" a="1"/>
  <c r="J3467" i="14" s="1"/>
  <c r="N3468" i="14"/>
  <c r="M3472" i="14"/>
  <c r="K3305" i="14" l="1"/>
  <c r="L3305" i="14" s="1"/>
  <c r="I3306" i="14" s="1"/>
  <c r="K3283" i="13"/>
  <c r="L3283" i="13" s="1"/>
  <c r="I3284" i="13" s="1"/>
  <c r="M3473" i="14"/>
  <c r="N3469" i="14"/>
  <c r="J3468" i="14" a="1"/>
  <c r="J3468" i="14" s="1"/>
  <c r="J3469" i="13" a="1"/>
  <c r="J3469" i="13" s="1"/>
  <c r="N3470" i="13"/>
  <c r="M3472" i="13"/>
  <c r="K3284" i="13" l="1"/>
  <c r="L3284" i="13" s="1"/>
  <c r="I3285" i="13" s="1"/>
  <c r="K3306" i="14"/>
  <c r="L3306" i="14" s="1"/>
  <c r="I3307" i="14" s="1"/>
  <c r="M3473" i="13"/>
  <c r="N3470" i="14"/>
  <c r="J3469" i="14" a="1"/>
  <c r="J3469" i="14" s="1"/>
  <c r="N3471" i="13"/>
  <c r="J3470" i="13" a="1"/>
  <c r="J3470" i="13" s="1"/>
  <c r="M3474" i="14"/>
  <c r="K3307" i="14" l="1"/>
  <c r="L3307" i="14" s="1"/>
  <c r="I3308" i="14" s="1"/>
  <c r="K3285" i="13"/>
  <c r="L3285" i="13" s="1"/>
  <c r="I3286" i="13" s="1"/>
  <c r="M3475" i="14"/>
  <c r="J3470" i="14" a="1"/>
  <c r="J3470" i="14" s="1"/>
  <c r="N3471" i="14"/>
  <c r="M3474" i="13"/>
  <c r="J3471" i="13" a="1"/>
  <c r="J3471" i="13" s="1"/>
  <c r="N3472" i="13"/>
  <c r="K3286" i="13" l="1"/>
  <c r="L3286" i="13" s="1"/>
  <c r="I3287" i="13" s="1"/>
  <c r="K3308" i="14"/>
  <c r="L3308" i="14" s="1"/>
  <c r="I3309" i="14" s="1"/>
  <c r="J3471" i="14" a="1"/>
  <c r="J3471" i="14" s="1"/>
  <c r="N3472" i="14"/>
  <c r="J3472" i="13" a="1"/>
  <c r="J3472" i="13" s="1"/>
  <c r="N3473" i="13"/>
  <c r="M3475" i="13"/>
  <c r="M3476" i="14"/>
  <c r="K3309" i="14" l="1"/>
  <c r="L3309" i="14" s="1"/>
  <c r="I3310" i="14" s="1"/>
  <c r="K3287" i="13"/>
  <c r="L3287" i="13" s="1"/>
  <c r="I3288" i="13" s="1"/>
  <c r="J3473" i="13" a="1"/>
  <c r="J3473" i="13" s="1"/>
  <c r="N3474" i="13"/>
  <c r="J3472" i="14" a="1"/>
  <c r="J3472" i="14" s="1"/>
  <c r="N3473" i="14"/>
  <c r="M3477" i="14"/>
  <c r="M3476" i="13"/>
  <c r="K3288" i="13" l="1"/>
  <c r="L3288" i="13" s="1"/>
  <c r="I3289" i="13" s="1"/>
  <c r="K3310" i="14"/>
  <c r="L3310" i="14" s="1"/>
  <c r="I3311" i="14" s="1"/>
  <c r="N3475" i="13"/>
  <c r="J3474" i="13" a="1"/>
  <c r="J3474" i="13" s="1"/>
  <c r="N3474" i="14"/>
  <c r="J3473" i="14" a="1"/>
  <c r="J3473" i="14" s="1"/>
  <c r="M3477" i="13"/>
  <c r="M3478" i="14"/>
  <c r="K3311" i="14" l="1"/>
  <c r="L3311" i="14" s="1"/>
  <c r="I3312" i="14" s="1"/>
  <c r="K3289" i="13"/>
  <c r="L3289" i="13" s="1"/>
  <c r="I3290" i="13" s="1"/>
  <c r="J3474" i="14" a="1"/>
  <c r="J3474" i="14" s="1"/>
  <c r="N3475" i="14"/>
  <c r="M3479" i="14"/>
  <c r="M3478" i="13"/>
  <c r="J3475" i="13" a="1"/>
  <c r="J3475" i="13" s="1"/>
  <c r="N3476" i="13"/>
  <c r="K3290" i="13" l="1"/>
  <c r="L3290" i="13" s="1"/>
  <c r="I3291" i="13" s="1"/>
  <c r="K3312" i="14"/>
  <c r="L3312" i="14" s="1"/>
  <c r="I3313" i="14" s="1"/>
  <c r="J3476" i="13" a="1"/>
  <c r="J3476" i="13" s="1"/>
  <c r="N3477" i="13"/>
  <c r="M3480" i="14"/>
  <c r="J3475" i="14" a="1"/>
  <c r="J3475" i="14" s="1"/>
  <c r="N3476" i="14"/>
  <c r="M3479" i="13"/>
  <c r="K3313" i="14" l="1"/>
  <c r="L3313" i="14" s="1"/>
  <c r="I3314" i="14" s="1"/>
  <c r="K3291" i="13"/>
  <c r="L3291" i="13" s="1"/>
  <c r="I3292" i="13" s="1"/>
  <c r="M3481" i="14"/>
  <c r="M3480" i="13"/>
  <c r="J3477" i="13" a="1"/>
  <c r="J3477" i="13" s="1"/>
  <c r="N3478" i="13"/>
  <c r="N3477" i="14"/>
  <c r="J3476" i="14" a="1"/>
  <c r="J3476" i="14" s="1"/>
  <c r="K3292" i="13" l="1"/>
  <c r="L3292" i="13" s="1"/>
  <c r="I3293" i="13" s="1"/>
  <c r="K3314" i="14"/>
  <c r="L3314" i="14" s="1"/>
  <c r="I3315" i="14" s="1"/>
  <c r="N3478" i="14"/>
  <c r="J3477" i="14" a="1"/>
  <c r="J3477" i="14" s="1"/>
  <c r="M3481" i="13"/>
  <c r="N3479" i="13"/>
  <c r="J3478" i="13" a="1"/>
  <c r="J3478" i="13" s="1"/>
  <c r="M3482" i="14"/>
  <c r="K3315" i="14" l="1"/>
  <c r="L3315" i="14" s="1"/>
  <c r="I3316" i="14" s="1"/>
  <c r="J3479" i="13" a="1"/>
  <c r="J3479" i="13" s="1"/>
  <c r="N3480" i="13"/>
  <c r="M3482" i="13"/>
  <c r="M3483" i="14"/>
  <c r="J3478" i="14" a="1"/>
  <c r="J3478" i="14" s="1"/>
  <c r="N3479" i="14"/>
  <c r="K3293" i="13"/>
  <c r="L3293" i="13" s="1"/>
  <c r="I3294" i="13" s="1"/>
  <c r="K3294" i="13" l="1"/>
  <c r="L3294" i="13" s="1"/>
  <c r="I3295" i="13" s="1"/>
  <c r="M3484" i="14"/>
  <c r="J3480" i="13" a="1"/>
  <c r="J3480" i="13" s="1"/>
  <c r="N3481" i="13"/>
  <c r="J3479" i="14" a="1"/>
  <c r="J3479" i="14" s="1"/>
  <c r="N3480" i="14"/>
  <c r="M3483" i="13"/>
  <c r="K3316" i="14"/>
  <c r="L3316" i="14" s="1"/>
  <c r="I3317" i="14" s="1"/>
  <c r="K3317" i="14" l="1"/>
  <c r="L3317" i="14" s="1"/>
  <c r="I3318" i="14" s="1"/>
  <c r="K3295" i="13"/>
  <c r="L3295" i="13" s="1"/>
  <c r="I3296" i="13" s="1"/>
  <c r="J3480" i="14" a="1"/>
  <c r="J3480" i="14" s="1"/>
  <c r="N3481" i="14"/>
  <c r="M3485" i="14"/>
  <c r="J3481" i="13" a="1"/>
  <c r="J3481" i="13" s="1"/>
  <c r="N3482" i="13"/>
  <c r="M3484" i="13"/>
  <c r="K3296" i="13" l="1"/>
  <c r="L3296" i="13" s="1"/>
  <c r="I3297" i="13" s="1"/>
  <c r="K3318" i="14"/>
  <c r="L3318" i="14" s="1"/>
  <c r="I3319" i="14" s="1"/>
  <c r="N3483" i="13"/>
  <c r="J3482" i="13" a="1"/>
  <c r="J3482" i="13" s="1"/>
  <c r="M3485" i="13"/>
  <c r="M3486" i="14"/>
  <c r="N3482" i="14"/>
  <c r="J3481" i="14" a="1"/>
  <c r="J3481" i="14" s="1"/>
  <c r="K3319" i="14" l="1"/>
  <c r="L3319" i="14" s="1"/>
  <c r="I3320" i="14" s="1"/>
  <c r="K3297" i="13"/>
  <c r="L3297" i="13" s="1"/>
  <c r="I3298" i="13" s="1"/>
  <c r="M3486" i="13"/>
  <c r="J3482" i="14" a="1"/>
  <c r="J3482" i="14" s="1"/>
  <c r="N3483" i="14"/>
  <c r="M3487" i="14"/>
  <c r="J3483" i="13" a="1"/>
  <c r="J3483" i="13" s="1"/>
  <c r="N3484" i="13"/>
  <c r="K3320" i="14" l="1"/>
  <c r="L3320" i="14" s="1"/>
  <c r="I3321" i="14" s="1"/>
  <c r="K3298" i="13"/>
  <c r="L3298" i="13" s="1"/>
  <c r="I3299" i="13" s="1"/>
  <c r="J3484" i="13" a="1"/>
  <c r="J3484" i="13" s="1"/>
  <c r="N3485" i="13"/>
  <c r="J3483" i="14" a="1"/>
  <c r="J3483" i="14" s="1"/>
  <c r="N3484" i="14"/>
  <c r="M3488" i="14"/>
  <c r="M3487" i="13"/>
  <c r="K3299" i="13" l="1"/>
  <c r="L3299" i="13" s="1"/>
  <c r="I3300" i="13" s="1"/>
  <c r="K3321" i="14"/>
  <c r="L3321" i="14" s="1"/>
  <c r="I3322" i="14" s="1"/>
  <c r="N3485" i="14"/>
  <c r="J3484" i="14" a="1"/>
  <c r="J3484" i="14" s="1"/>
  <c r="M3488" i="13"/>
  <c r="M3489" i="14"/>
  <c r="J3485" i="13" a="1"/>
  <c r="J3485" i="13" s="1"/>
  <c r="N3486" i="13"/>
  <c r="K3322" i="14" l="1"/>
  <c r="L3322" i="14" s="1"/>
  <c r="I3323" i="14" s="1"/>
  <c r="K3300" i="13"/>
  <c r="L3300" i="13" s="1"/>
  <c r="I3301" i="13" s="1"/>
  <c r="M3489" i="13"/>
  <c r="N3487" i="13"/>
  <c r="J3486" i="13" a="1"/>
  <c r="J3486" i="13" s="1"/>
  <c r="M3490" i="14"/>
  <c r="N3486" i="14"/>
  <c r="J3485" i="14" a="1"/>
  <c r="J3485" i="14" s="1"/>
  <c r="K3301" i="13" l="1"/>
  <c r="L3301" i="13" s="1"/>
  <c r="I3302" i="13" s="1"/>
  <c r="K3323" i="14"/>
  <c r="L3323" i="14" s="1"/>
  <c r="I3324" i="14" s="1"/>
  <c r="J3487" i="13" a="1"/>
  <c r="J3487" i="13" s="1"/>
  <c r="N3488" i="13"/>
  <c r="J3486" i="14" a="1"/>
  <c r="J3486" i="14" s="1"/>
  <c r="N3487" i="14"/>
  <c r="M3490" i="13"/>
  <c r="M3491" i="14"/>
  <c r="K3324" i="14" l="1"/>
  <c r="L3324" i="14" s="1"/>
  <c r="I3325" i="14" s="1"/>
  <c r="K3302" i="13"/>
  <c r="L3302" i="13" s="1"/>
  <c r="I3303" i="13" s="1"/>
  <c r="J3487" i="14" a="1"/>
  <c r="J3487" i="14" s="1"/>
  <c r="N3488" i="14"/>
  <c r="J3488" i="13" a="1"/>
  <c r="J3488" i="13" s="1"/>
  <c r="N3489" i="13"/>
  <c r="M3492" i="14"/>
  <c r="M3491" i="13"/>
  <c r="K3303" i="13" l="1"/>
  <c r="L3303" i="13" s="1"/>
  <c r="I3304" i="13" s="1"/>
  <c r="K3325" i="14"/>
  <c r="L3325" i="14" s="1"/>
  <c r="I3326" i="14" s="1"/>
  <c r="J3488" i="14" a="1"/>
  <c r="J3488" i="14" s="1"/>
  <c r="N3489" i="14"/>
  <c r="J3489" i="13" a="1"/>
  <c r="J3489" i="13" s="1"/>
  <c r="N3490" i="13"/>
  <c r="M3492" i="13"/>
  <c r="M3493" i="14"/>
  <c r="K3326" i="14" l="1"/>
  <c r="L3326" i="14" s="1"/>
  <c r="I3327" i="14" s="1"/>
  <c r="K3304" i="13"/>
  <c r="L3304" i="13" s="1"/>
  <c r="I3305" i="13" s="1"/>
  <c r="N3491" i="13"/>
  <c r="J3490" i="13" a="1"/>
  <c r="J3490" i="13" s="1"/>
  <c r="N3490" i="14"/>
  <c r="J3489" i="14" a="1"/>
  <c r="J3489" i="14" s="1"/>
  <c r="M3494" i="14"/>
  <c r="M3493" i="13"/>
  <c r="K3305" i="13" l="1"/>
  <c r="L3305" i="13" s="1"/>
  <c r="I3306" i="13" s="1"/>
  <c r="K3327" i="14"/>
  <c r="L3327" i="14" s="1"/>
  <c r="I3328" i="14" s="1"/>
  <c r="M3494" i="13"/>
  <c r="J3490" i="14" a="1"/>
  <c r="J3490" i="14" s="1"/>
  <c r="N3491" i="14"/>
  <c r="M3495" i="14"/>
  <c r="J3491" i="13" a="1"/>
  <c r="J3491" i="13" s="1"/>
  <c r="N3492" i="13"/>
  <c r="K3328" i="14" l="1"/>
  <c r="L3328" i="14" s="1"/>
  <c r="I3329" i="14" s="1"/>
  <c r="K3306" i="13"/>
  <c r="L3306" i="13" s="1"/>
  <c r="I3307" i="13" s="1"/>
  <c r="J3491" i="14" a="1"/>
  <c r="J3491" i="14" s="1"/>
  <c r="N3492" i="14"/>
  <c r="J3492" i="13" a="1"/>
  <c r="J3492" i="13" s="1"/>
  <c r="N3493" i="13"/>
  <c r="M3496" i="14"/>
  <c r="M3495" i="13"/>
  <c r="K3329" i="14" l="1"/>
  <c r="L3329" i="14" s="1"/>
  <c r="I3330" i="14" s="1"/>
  <c r="J3493" i="13" a="1"/>
  <c r="J3493" i="13" s="1"/>
  <c r="N3494" i="13"/>
  <c r="K3307" i="13"/>
  <c r="L3307" i="13" s="1"/>
  <c r="I3308" i="13" s="1"/>
  <c r="M3496" i="13"/>
  <c r="N3493" i="14"/>
  <c r="J3492" i="14" a="1"/>
  <c r="J3492" i="14" s="1"/>
  <c r="M3497" i="14"/>
  <c r="K3308" i="13" l="1"/>
  <c r="L3308" i="13" s="1"/>
  <c r="I3309" i="13" s="1"/>
  <c r="K3330" i="14"/>
  <c r="L3330" i="14" s="1"/>
  <c r="I3331" i="14" s="1"/>
  <c r="N3495" i="13"/>
  <c r="J3494" i="13" a="1"/>
  <c r="J3494" i="13" s="1"/>
  <c r="M3498" i="14"/>
  <c r="M3497" i="13"/>
  <c r="N3494" i="14"/>
  <c r="J3493" i="14" a="1"/>
  <c r="J3493" i="14" s="1"/>
  <c r="K3331" i="14" l="1"/>
  <c r="L3331" i="14" s="1"/>
  <c r="I3332" i="14" s="1"/>
  <c r="K3309" i="13"/>
  <c r="L3309" i="13" s="1"/>
  <c r="I3310" i="13" s="1"/>
  <c r="J3494" i="14" a="1"/>
  <c r="J3494" i="14" s="1"/>
  <c r="N3495" i="14"/>
  <c r="M3499" i="14"/>
  <c r="M3498" i="13"/>
  <c r="J3495" i="13" a="1"/>
  <c r="J3495" i="13" s="1"/>
  <c r="N3496" i="13"/>
  <c r="K3310" i="13" l="1"/>
  <c r="L3310" i="13" s="1"/>
  <c r="I3311" i="13" s="1"/>
  <c r="K3332" i="14"/>
  <c r="L3332" i="14" s="1"/>
  <c r="I3333" i="14" s="1"/>
  <c r="J3496" i="13" a="1"/>
  <c r="J3496" i="13" s="1"/>
  <c r="N3497" i="13"/>
  <c r="M3500" i="14"/>
  <c r="J3495" i="14" a="1"/>
  <c r="J3495" i="14" s="1"/>
  <c r="N3496" i="14"/>
  <c r="M3499" i="13"/>
  <c r="K3333" i="14" l="1"/>
  <c r="L3333" i="14" s="1"/>
  <c r="I3334" i="14" s="1"/>
  <c r="K3311" i="13"/>
  <c r="L3311" i="13" s="1"/>
  <c r="I3312" i="13" s="1"/>
  <c r="M3501" i="14"/>
  <c r="J3496" i="14" a="1"/>
  <c r="J3496" i="14" s="1"/>
  <c r="N3497" i="14"/>
  <c r="M3500" i="13"/>
  <c r="J3497" i="13" a="1"/>
  <c r="J3497" i="13" s="1"/>
  <c r="N3498" i="13"/>
  <c r="K3312" i="13" l="1"/>
  <c r="L3312" i="13" s="1"/>
  <c r="I3313" i="13" s="1"/>
  <c r="K3334" i="14"/>
  <c r="L3334" i="14" s="1"/>
  <c r="I3335" i="14" s="1"/>
  <c r="N3498" i="14"/>
  <c r="J3497" i="14" a="1"/>
  <c r="J3497" i="14" s="1"/>
  <c r="N3499" i="13"/>
  <c r="J3498" i="13" a="1"/>
  <c r="J3498" i="13" s="1"/>
  <c r="M3501" i="13"/>
  <c r="M3502" i="14"/>
  <c r="K3335" i="14" l="1"/>
  <c r="L3335" i="14" s="1"/>
  <c r="I3336" i="14" s="1"/>
  <c r="K3313" i="13"/>
  <c r="L3313" i="13" s="1"/>
  <c r="I3314" i="13" s="1"/>
  <c r="J3499" i="13" a="1"/>
  <c r="J3499" i="13" s="1"/>
  <c r="N3500" i="13"/>
  <c r="M3503" i="14"/>
  <c r="M3502" i="13"/>
  <c r="J3498" i="14" a="1"/>
  <c r="J3498" i="14" s="1"/>
  <c r="N3499" i="14"/>
  <c r="K3314" i="13" l="1"/>
  <c r="L3314" i="13" s="1"/>
  <c r="I3315" i="13" s="1"/>
  <c r="K3336" i="14"/>
  <c r="L3336" i="14" s="1"/>
  <c r="I3337" i="14" s="1"/>
  <c r="J3499" i="14" a="1"/>
  <c r="J3499" i="14" s="1"/>
  <c r="N3500" i="14"/>
  <c r="M3504" i="14"/>
  <c r="J3500" i="13" a="1"/>
  <c r="J3500" i="13" s="1"/>
  <c r="N3501" i="13"/>
  <c r="M3503" i="13"/>
  <c r="K3337" i="14" l="1"/>
  <c r="L3337" i="14" s="1"/>
  <c r="I3338" i="14" s="1"/>
  <c r="K3315" i="13"/>
  <c r="L3315" i="13" s="1"/>
  <c r="I3316" i="13" s="1"/>
  <c r="J3501" i="13" a="1"/>
  <c r="J3501" i="13" s="1"/>
  <c r="N3502" i="13"/>
  <c r="M3505" i="14"/>
  <c r="M3504" i="13"/>
  <c r="N3501" i="14"/>
  <c r="J3500" i="14" a="1"/>
  <c r="J3500" i="14" s="1"/>
  <c r="K3316" i="13" l="1"/>
  <c r="L3316" i="13" s="1"/>
  <c r="I3317" i="13" s="1"/>
  <c r="K3338" i="14"/>
  <c r="L3338" i="14" s="1"/>
  <c r="I3339" i="14" s="1"/>
  <c r="N3502" i="14"/>
  <c r="J3501" i="14" a="1"/>
  <c r="J3501" i="14" s="1"/>
  <c r="M3506" i="14"/>
  <c r="N3503" i="13"/>
  <c r="J3502" i="13" a="1"/>
  <c r="J3502" i="13" s="1"/>
  <c r="M3505" i="13"/>
  <c r="K3339" i="14" l="1"/>
  <c r="L3339" i="14" s="1"/>
  <c r="I3340" i="14" s="1"/>
  <c r="K3317" i="13"/>
  <c r="L3317" i="13" s="1"/>
  <c r="I3318" i="13" s="1"/>
  <c r="M3506" i="13"/>
  <c r="M3507" i="14"/>
  <c r="J3503" i="13" a="1"/>
  <c r="J3503" i="13" s="1"/>
  <c r="N3504" i="13"/>
  <c r="J3502" i="14" a="1"/>
  <c r="J3502" i="14" s="1"/>
  <c r="N3503" i="14"/>
  <c r="K3318" i="13" l="1"/>
  <c r="L3318" i="13" s="1"/>
  <c r="I3319" i="13" s="1"/>
  <c r="K3340" i="14"/>
  <c r="L3340" i="14" s="1"/>
  <c r="I3341" i="14" s="1"/>
  <c r="M3508" i="14"/>
  <c r="J3503" i="14" a="1"/>
  <c r="J3503" i="14" s="1"/>
  <c r="N3504" i="14"/>
  <c r="J3504" i="13" a="1"/>
  <c r="J3504" i="13" s="1"/>
  <c r="N3505" i="13"/>
  <c r="M3507" i="13"/>
  <c r="K3341" i="14" l="1"/>
  <c r="L3341" i="14" s="1"/>
  <c r="I3342" i="14" s="1"/>
  <c r="K3319" i="13"/>
  <c r="L3319" i="13" s="1"/>
  <c r="I3320" i="13" s="1"/>
  <c r="J3505" i="13" a="1"/>
  <c r="J3505" i="13" s="1"/>
  <c r="N3506" i="13"/>
  <c r="M3509" i="14"/>
  <c r="J3504" i="14" a="1"/>
  <c r="J3504" i="14" s="1"/>
  <c r="N3505" i="14"/>
  <c r="M3508" i="13"/>
  <c r="K3320" i="13" l="1"/>
  <c r="L3320" i="13" s="1"/>
  <c r="I3321" i="13" s="1"/>
  <c r="K3342" i="14"/>
  <c r="L3342" i="14" s="1"/>
  <c r="I3343" i="14" s="1"/>
  <c r="N3506" i="14"/>
  <c r="J3505" i="14" a="1"/>
  <c r="J3505" i="14" s="1"/>
  <c r="M3509" i="13"/>
  <c r="M3510" i="14"/>
  <c r="N3507" i="13"/>
  <c r="J3506" i="13" a="1"/>
  <c r="J3506" i="13" s="1"/>
  <c r="K3343" i="14" l="1"/>
  <c r="L3343" i="14" s="1"/>
  <c r="I3344" i="14" s="1"/>
  <c r="K3321" i="13"/>
  <c r="L3321" i="13" s="1"/>
  <c r="I3322" i="13" s="1"/>
  <c r="M3510" i="13"/>
  <c r="J3507" i="13" a="1"/>
  <c r="J3507" i="13" s="1"/>
  <c r="N3508" i="13"/>
  <c r="M3511" i="14"/>
  <c r="J3506" i="14" a="1"/>
  <c r="J3506" i="14" s="1"/>
  <c r="N3507" i="14"/>
  <c r="K3322" i="13" l="1"/>
  <c r="L3322" i="13" s="1"/>
  <c r="I3323" i="13" s="1"/>
  <c r="K3344" i="14"/>
  <c r="L3344" i="14" s="1"/>
  <c r="I3345" i="14" s="1"/>
  <c r="J3507" i="14" a="1"/>
  <c r="J3507" i="14" s="1"/>
  <c r="N3508" i="14"/>
  <c r="J3508" i="13" a="1"/>
  <c r="J3508" i="13" s="1"/>
  <c r="N3509" i="13"/>
  <c r="M3512" i="14"/>
  <c r="M3511" i="13"/>
  <c r="K3345" i="14" l="1"/>
  <c r="L3345" i="14" s="1"/>
  <c r="I3346" i="14" s="1"/>
  <c r="K3323" i="13"/>
  <c r="L3323" i="13" s="1"/>
  <c r="I3324" i="13" s="1"/>
  <c r="J3509" i="13" a="1"/>
  <c r="J3509" i="13" s="1"/>
  <c r="N3510" i="13"/>
  <c r="N3509" i="14"/>
  <c r="J3508" i="14" a="1"/>
  <c r="J3508" i="14" s="1"/>
  <c r="M3512" i="13"/>
  <c r="M3513" i="14"/>
  <c r="K3324" i="13" l="1"/>
  <c r="L3324" i="13" s="1"/>
  <c r="I3325" i="13" s="1"/>
  <c r="K3346" i="14"/>
  <c r="L3346" i="14" s="1"/>
  <c r="I3347" i="14" s="1"/>
  <c r="N3510" i="14"/>
  <c r="J3509" i="14" a="1"/>
  <c r="J3509" i="14" s="1"/>
  <c r="N3511" i="13"/>
  <c r="J3510" i="13" a="1"/>
  <c r="J3510" i="13" s="1"/>
  <c r="M3514" i="14"/>
  <c r="M3513" i="13"/>
  <c r="K3347" i="14" l="1"/>
  <c r="L3347" i="14" s="1"/>
  <c r="I3348" i="14" s="1"/>
  <c r="K3325" i="13"/>
  <c r="L3325" i="13" s="1"/>
  <c r="I3326" i="13" s="1"/>
  <c r="J3511" i="13" a="1"/>
  <c r="J3511" i="13" s="1"/>
  <c r="N3512" i="13"/>
  <c r="M3514" i="13"/>
  <c r="M3515" i="14"/>
  <c r="J3510" i="14" a="1"/>
  <c r="J3510" i="14" s="1"/>
  <c r="N3511" i="14"/>
  <c r="K3326" i="13" l="1"/>
  <c r="L3326" i="13" s="1"/>
  <c r="I3327" i="13" s="1"/>
  <c r="K3348" i="14"/>
  <c r="L3348" i="14" s="1"/>
  <c r="I3349" i="14" s="1"/>
  <c r="J3511" i="14" a="1"/>
  <c r="J3511" i="14" s="1"/>
  <c r="N3512" i="14"/>
  <c r="M3515" i="13"/>
  <c r="J3512" i="13" a="1"/>
  <c r="J3512" i="13" s="1"/>
  <c r="N3513" i="13"/>
  <c r="M3516" i="14"/>
  <c r="K3349" i="14" l="1"/>
  <c r="L3349" i="14" s="1"/>
  <c r="I3350" i="14" s="1"/>
  <c r="K3327" i="13"/>
  <c r="L3327" i="13" s="1"/>
  <c r="I3328" i="13" s="1"/>
  <c r="M3517" i="14"/>
  <c r="M3516" i="13"/>
  <c r="J3512" i="14" a="1"/>
  <c r="J3512" i="14" s="1"/>
  <c r="N3513" i="14"/>
  <c r="J3513" i="13" a="1"/>
  <c r="J3513" i="13" s="1"/>
  <c r="N3514" i="13"/>
  <c r="K3328" i="13" l="1"/>
  <c r="L3328" i="13" s="1"/>
  <c r="I3329" i="13" s="1"/>
  <c r="K3350" i="14"/>
  <c r="L3350" i="14" s="1"/>
  <c r="I3351" i="14" s="1"/>
  <c r="N3515" i="13"/>
  <c r="J3514" i="13" a="1"/>
  <c r="J3514" i="13" s="1"/>
  <c r="M3517" i="13"/>
  <c r="N3514" i="14"/>
  <c r="J3513" i="14" a="1"/>
  <c r="J3513" i="14" s="1"/>
  <c r="M3518" i="14"/>
  <c r="K3351" i="14" l="1"/>
  <c r="L3351" i="14" s="1"/>
  <c r="I3352" i="14" s="1"/>
  <c r="K3329" i="13"/>
  <c r="L3329" i="13" s="1"/>
  <c r="I3330" i="13" s="1"/>
  <c r="M3518" i="13"/>
  <c r="M3519" i="14"/>
  <c r="J3514" i="14" a="1"/>
  <c r="J3514" i="14" s="1"/>
  <c r="N3515" i="14"/>
  <c r="J3515" i="13" a="1"/>
  <c r="J3515" i="13" s="1"/>
  <c r="N3516" i="13"/>
  <c r="K3330" i="13" l="1"/>
  <c r="L3330" i="13" s="1"/>
  <c r="I3331" i="13" s="1"/>
  <c r="K3352" i="14"/>
  <c r="L3352" i="14" s="1"/>
  <c r="I3353" i="14" s="1"/>
  <c r="J3516" i="13" a="1"/>
  <c r="J3516" i="13" s="1"/>
  <c r="N3517" i="13"/>
  <c r="M3520" i="14"/>
  <c r="J3515" i="14" a="1"/>
  <c r="J3515" i="14" s="1"/>
  <c r="N3516" i="14"/>
  <c r="M3519" i="13"/>
  <c r="K3353" i="14" l="1"/>
  <c r="L3353" i="14" s="1"/>
  <c r="I3354" i="14" s="1"/>
  <c r="K3331" i="13"/>
  <c r="L3331" i="13" s="1"/>
  <c r="I3332" i="13" s="1"/>
  <c r="N3517" i="14"/>
  <c r="J3516" i="14" a="1"/>
  <c r="J3516" i="14" s="1"/>
  <c r="M3521" i="14"/>
  <c r="M3520" i="13"/>
  <c r="J3517" i="13" a="1"/>
  <c r="J3517" i="13" s="1"/>
  <c r="N3518" i="13"/>
  <c r="K3332" i="13" l="1"/>
  <c r="L3332" i="13" s="1"/>
  <c r="I3333" i="13" s="1"/>
  <c r="M3521" i="13"/>
  <c r="K3354" i="14"/>
  <c r="L3354" i="14" s="1"/>
  <c r="I3355" i="14" s="1"/>
  <c r="N3519" i="13"/>
  <c r="J3518" i="13" a="1"/>
  <c r="J3518" i="13" s="1"/>
  <c r="N3518" i="14"/>
  <c r="J3517" i="14" a="1"/>
  <c r="J3517" i="14" s="1"/>
  <c r="M3522" i="14"/>
  <c r="K3355" i="14" l="1"/>
  <c r="L3355" i="14" s="1"/>
  <c r="I3356" i="14" s="1"/>
  <c r="K3333" i="13"/>
  <c r="L3333" i="13" s="1"/>
  <c r="I3334" i="13" s="1"/>
  <c r="M3522" i="13"/>
  <c r="J3519" i="13" a="1"/>
  <c r="J3519" i="13" s="1"/>
  <c r="N3520" i="13"/>
  <c r="M3523" i="14"/>
  <c r="J3518" i="14" a="1"/>
  <c r="J3518" i="14" s="1"/>
  <c r="N3519" i="14"/>
  <c r="K3334" i="13" l="1"/>
  <c r="L3334" i="13" s="1"/>
  <c r="I3335" i="13" s="1"/>
  <c r="K3356" i="14"/>
  <c r="L3356" i="14" s="1"/>
  <c r="I3357" i="14" s="1"/>
  <c r="J3520" i="13" a="1"/>
  <c r="J3520" i="13" s="1"/>
  <c r="N3521" i="13"/>
  <c r="J3519" i="14" a="1"/>
  <c r="J3519" i="14" s="1"/>
  <c r="N3520" i="14"/>
  <c r="M3524" i="14"/>
  <c r="M3523" i="13"/>
  <c r="K3357" i="14" l="1"/>
  <c r="L3357" i="14" s="1"/>
  <c r="I3358" i="14" s="1"/>
  <c r="K3335" i="13"/>
  <c r="L3335" i="13" s="1"/>
  <c r="I3336" i="13" s="1"/>
  <c r="J3521" i="13" a="1"/>
  <c r="J3521" i="13" s="1"/>
  <c r="N3522" i="13"/>
  <c r="J3520" i="14" a="1"/>
  <c r="J3520" i="14" s="1"/>
  <c r="N3521" i="14"/>
  <c r="M3524" i="13"/>
  <c r="M3525" i="14"/>
  <c r="K3336" i="13" l="1"/>
  <c r="L3336" i="13" s="1"/>
  <c r="I3337" i="13" s="1"/>
  <c r="K3358" i="14"/>
  <c r="L3358" i="14" s="1"/>
  <c r="I3359" i="14" s="1"/>
  <c r="N3522" i="14"/>
  <c r="J3521" i="14" a="1"/>
  <c r="J3521" i="14" s="1"/>
  <c r="N3523" i="13"/>
  <c r="J3522" i="13" a="1"/>
  <c r="J3522" i="13" s="1"/>
  <c r="M3526" i="14"/>
  <c r="M3525" i="13"/>
  <c r="K3359" i="14" l="1"/>
  <c r="L3359" i="14" s="1"/>
  <c r="I3360" i="14" s="1"/>
  <c r="K3337" i="13"/>
  <c r="L3337" i="13" s="1"/>
  <c r="I3338" i="13" s="1"/>
  <c r="J3523" i="13" a="1"/>
  <c r="J3523" i="13" s="1"/>
  <c r="N3524" i="13"/>
  <c r="M3526" i="13"/>
  <c r="M3527" i="14"/>
  <c r="J3522" i="14" a="1"/>
  <c r="J3522" i="14" s="1"/>
  <c r="N3523" i="14"/>
  <c r="K3338" i="13" l="1"/>
  <c r="L3338" i="13" s="1"/>
  <c r="I3339" i="13" s="1"/>
  <c r="K3360" i="14"/>
  <c r="L3360" i="14" s="1"/>
  <c r="I3361" i="14" s="1"/>
  <c r="J3523" i="14" a="1"/>
  <c r="J3523" i="14" s="1"/>
  <c r="N3524" i="14"/>
  <c r="M3527" i="13"/>
  <c r="M3528" i="14"/>
  <c r="J3524" i="13" a="1"/>
  <c r="J3524" i="13" s="1"/>
  <c r="N3525" i="13"/>
  <c r="K3361" i="14" l="1"/>
  <c r="L3361" i="14" s="1"/>
  <c r="I3362" i="14" s="1"/>
  <c r="K3339" i="13"/>
  <c r="L3339" i="13" s="1"/>
  <c r="I3340" i="13" s="1"/>
  <c r="J3525" i="13" a="1"/>
  <c r="J3525" i="13" s="1"/>
  <c r="N3526" i="13"/>
  <c r="M3528" i="13"/>
  <c r="M3529" i="14"/>
  <c r="N3525" i="14"/>
  <c r="J3524" i="14" a="1"/>
  <c r="J3524" i="14" s="1"/>
  <c r="K3340" i="13" l="1"/>
  <c r="L3340" i="13" s="1"/>
  <c r="I3341" i="13" s="1"/>
  <c r="K3362" i="14"/>
  <c r="L3362" i="14" s="1"/>
  <c r="I3363" i="14" s="1"/>
  <c r="N3526" i="14"/>
  <c r="J3525" i="14" a="1"/>
  <c r="J3525" i="14" s="1"/>
  <c r="M3529" i="13"/>
  <c r="N3527" i="13"/>
  <c r="J3526" i="13" a="1"/>
  <c r="J3526" i="13" s="1"/>
  <c r="M3530" i="14"/>
  <c r="K3363" i="14" l="1"/>
  <c r="L3363" i="14" s="1"/>
  <c r="I3364" i="14" s="1"/>
  <c r="K3341" i="13"/>
  <c r="L3341" i="13" s="1"/>
  <c r="I3342" i="13" s="1"/>
  <c r="M3530" i="13"/>
  <c r="J3527" i="13" a="1"/>
  <c r="J3527" i="13" s="1"/>
  <c r="N3528" i="13"/>
  <c r="M3531" i="14"/>
  <c r="J3526" i="14" a="1"/>
  <c r="J3526" i="14" s="1"/>
  <c r="N3527" i="14"/>
  <c r="K3342" i="13" l="1"/>
  <c r="L3342" i="13" s="1"/>
  <c r="I3343" i="13" s="1"/>
  <c r="K3364" i="14"/>
  <c r="L3364" i="14" s="1"/>
  <c r="I3365" i="14" s="1"/>
  <c r="J3527" i="14" a="1"/>
  <c r="J3527" i="14" s="1"/>
  <c r="N3528" i="14"/>
  <c r="J3528" i="13" a="1"/>
  <c r="J3528" i="13" s="1"/>
  <c r="N3529" i="13"/>
  <c r="M3532" i="14"/>
  <c r="M3531" i="13"/>
  <c r="K3365" i="14" l="1"/>
  <c r="L3365" i="14" s="1"/>
  <c r="I3366" i="14" s="1"/>
  <c r="K3343" i="13"/>
  <c r="L3343" i="13" s="1"/>
  <c r="I3344" i="13" s="1"/>
  <c r="J3529" i="13" a="1"/>
  <c r="J3529" i="13" s="1"/>
  <c r="N3530" i="13"/>
  <c r="J3528" i="14" a="1"/>
  <c r="J3528" i="14" s="1"/>
  <c r="N3529" i="14"/>
  <c r="M3532" i="13"/>
  <c r="M3533" i="14"/>
  <c r="K3344" i="13" l="1"/>
  <c r="L3344" i="13" s="1"/>
  <c r="I3345" i="13" s="1"/>
  <c r="K3366" i="14"/>
  <c r="L3366" i="14" s="1"/>
  <c r="I3367" i="14" s="1"/>
  <c r="N3530" i="14"/>
  <c r="J3529" i="14" a="1"/>
  <c r="J3529" i="14" s="1"/>
  <c r="N3531" i="13"/>
  <c r="J3530" i="13" a="1"/>
  <c r="J3530" i="13" s="1"/>
  <c r="M3534" i="14"/>
  <c r="M3533" i="13"/>
  <c r="K3367" i="14" l="1"/>
  <c r="L3367" i="14" s="1"/>
  <c r="I3368" i="14" s="1"/>
  <c r="K3345" i="13"/>
  <c r="L3345" i="13" s="1"/>
  <c r="I3346" i="13" s="1"/>
  <c r="M3534" i="13"/>
  <c r="J3531" i="13" a="1"/>
  <c r="J3531" i="13" s="1"/>
  <c r="N3532" i="13"/>
  <c r="M3535" i="14"/>
  <c r="J3530" i="14" a="1"/>
  <c r="J3530" i="14" s="1"/>
  <c r="N3531" i="14"/>
  <c r="K3346" i="13" l="1"/>
  <c r="L3346" i="13" s="1"/>
  <c r="I3347" i="13" s="1"/>
  <c r="K3368" i="14"/>
  <c r="L3368" i="14" s="1"/>
  <c r="I3369" i="14" s="1"/>
  <c r="J3532" i="13" a="1"/>
  <c r="J3532" i="13" s="1"/>
  <c r="N3533" i="13"/>
  <c r="J3531" i="14" a="1"/>
  <c r="J3531" i="14" s="1"/>
  <c r="N3532" i="14"/>
  <c r="M3536" i="14"/>
  <c r="M3535" i="13"/>
  <c r="K3369" i="14" l="1"/>
  <c r="L3369" i="14" s="1"/>
  <c r="I3370" i="14" s="1"/>
  <c r="K3347" i="13"/>
  <c r="L3347" i="13" s="1"/>
  <c r="I3348" i="13" s="1"/>
  <c r="N3533" i="14"/>
  <c r="J3532" i="14" a="1"/>
  <c r="J3532" i="14" s="1"/>
  <c r="M3537" i="14"/>
  <c r="J3533" i="13" a="1"/>
  <c r="J3533" i="13" s="1"/>
  <c r="N3534" i="13"/>
  <c r="M3536" i="13"/>
  <c r="K3348" i="13" l="1"/>
  <c r="L3348" i="13" s="1"/>
  <c r="I3349" i="13" s="1"/>
  <c r="K3370" i="14"/>
  <c r="L3370" i="14" s="1"/>
  <c r="I3371" i="14" s="1"/>
  <c r="N3535" i="13"/>
  <c r="J3534" i="13" a="1"/>
  <c r="J3534" i="13" s="1"/>
  <c r="M3537" i="13"/>
  <c r="M3538" i="14"/>
  <c r="N3534" i="14"/>
  <c r="J3533" i="14" a="1"/>
  <c r="J3533" i="14" s="1"/>
  <c r="K3371" i="14" l="1"/>
  <c r="L3371" i="14" s="1"/>
  <c r="I3372" i="14" s="1"/>
  <c r="K3349" i="13"/>
  <c r="L3349" i="13" s="1"/>
  <c r="I3350" i="13" s="1"/>
  <c r="M3538" i="13"/>
  <c r="J3534" i="14" a="1"/>
  <c r="J3534" i="14" s="1"/>
  <c r="N3535" i="14"/>
  <c r="M3539" i="14"/>
  <c r="J3535" i="13" a="1"/>
  <c r="J3535" i="13" s="1"/>
  <c r="N3536" i="13"/>
  <c r="K3350" i="13" l="1"/>
  <c r="L3350" i="13" s="1"/>
  <c r="I3351" i="13" s="1"/>
  <c r="K3372" i="14"/>
  <c r="L3372" i="14" s="1"/>
  <c r="I3373" i="14" s="1"/>
  <c r="J3536" i="13" a="1"/>
  <c r="J3536" i="13" s="1"/>
  <c r="N3537" i="13"/>
  <c r="J3535" i="14" a="1"/>
  <c r="J3535" i="14" s="1"/>
  <c r="N3536" i="14"/>
  <c r="M3540" i="14"/>
  <c r="M3539" i="13"/>
  <c r="K3373" i="14" l="1"/>
  <c r="L3373" i="14" s="1"/>
  <c r="I3374" i="14" s="1"/>
  <c r="K3351" i="13"/>
  <c r="L3351" i="13" s="1"/>
  <c r="I3352" i="13" s="1"/>
  <c r="J3536" i="14" a="1"/>
  <c r="J3536" i="14" s="1"/>
  <c r="N3537" i="14"/>
  <c r="M3540" i="13"/>
  <c r="M3541" i="14"/>
  <c r="J3537" i="13" a="1"/>
  <c r="J3537" i="13" s="1"/>
  <c r="N3538" i="13"/>
  <c r="K3352" i="13" l="1"/>
  <c r="L3352" i="13" s="1"/>
  <c r="I3353" i="13" s="1"/>
  <c r="K3374" i="14"/>
  <c r="L3374" i="14" s="1"/>
  <c r="I3375" i="14" s="1"/>
  <c r="N3539" i="13"/>
  <c r="J3538" i="13" a="1"/>
  <c r="J3538" i="13" s="1"/>
  <c r="M3541" i="13"/>
  <c r="N3538" i="14"/>
  <c r="J3537" i="14" a="1"/>
  <c r="J3537" i="14" s="1"/>
  <c r="M3542" i="14"/>
  <c r="K3375" i="14" l="1"/>
  <c r="L3375" i="14" s="1"/>
  <c r="I3376" i="14" s="1"/>
  <c r="K3353" i="13"/>
  <c r="L3353" i="13" s="1"/>
  <c r="I3354" i="13" s="1"/>
  <c r="M3542" i="13"/>
  <c r="J3538" i="14" a="1"/>
  <c r="J3538" i="14" s="1"/>
  <c r="N3539" i="14"/>
  <c r="M3543" i="14"/>
  <c r="J3539" i="13" a="1"/>
  <c r="J3539" i="13" s="1"/>
  <c r="N3540" i="13"/>
  <c r="K3354" i="13" l="1"/>
  <c r="L3354" i="13" s="1"/>
  <c r="I3355" i="13" s="1"/>
  <c r="K3376" i="14"/>
  <c r="L3376" i="14" s="1"/>
  <c r="I3377" i="14" s="1"/>
  <c r="J3540" i="13" a="1"/>
  <c r="J3540" i="13" s="1"/>
  <c r="N3541" i="13"/>
  <c r="J3539" i="14" a="1"/>
  <c r="J3539" i="14" s="1"/>
  <c r="N3540" i="14"/>
  <c r="M3544" i="14"/>
  <c r="M3543" i="13"/>
  <c r="K3377" i="14" l="1"/>
  <c r="L3377" i="14" s="1"/>
  <c r="I3378" i="14" s="1"/>
  <c r="K3355" i="13"/>
  <c r="L3355" i="13" s="1"/>
  <c r="I3356" i="13" s="1"/>
  <c r="N3541" i="14"/>
  <c r="J3540" i="14" a="1"/>
  <c r="J3540" i="14" s="1"/>
  <c r="J3541" i="13" a="1"/>
  <c r="J3541" i="13" s="1"/>
  <c r="N3542" i="13"/>
  <c r="M3544" i="13"/>
  <c r="M3545" i="14"/>
  <c r="K3356" i="13" l="1"/>
  <c r="L3356" i="13" s="1"/>
  <c r="I3357" i="13" s="1"/>
  <c r="K3378" i="14"/>
  <c r="L3378" i="14" s="1"/>
  <c r="I3379" i="14" s="1"/>
  <c r="N3543" i="13"/>
  <c r="J3542" i="13" a="1"/>
  <c r="J3542" i="13" s="1"/>
  <c r="M3546" i="14"/>
  <c r="M3545" i="13"/>
  <c r="N3542" i="14"/>
  <c r="J3541" i="14" a="1"/>
  <c r="J3541" i="14" s="1"/>
  <c r="K3379" i="14" l="1"/>
  <c r="L3379" i="14" s="1"/>
  <c r="I3380" i="14" s="1"/>
  <c r="K3357" i="13"/>
  <c r="L3357" i="13" s="1"/>
  <c r="I3358" i="13" s="1"/>
  <c r="J3542" i="14" a="1"/>
  <c r="J3542" i="14" s="1"/>
  <c r="N3543" i="14"/>
  <c r="M3547" i="14"/>
  <c r="M3546" i="13"/>
  <c r="J3543" i="13" a="1"/>
  <c r="J3543" i="13" s="1"/>
  <c r="N3544" i="13"/>
  <c r="K3358" i="13" l="1"/>
  <c r="L3358" i="13" s="1"/>
  <c r="I3359" i="13" s="1"/>
  <c r="K3380" i="14"/>
  <c r="L3380" i="14" s="1"/>
  <c r="I3381" i="14" s="1"/>
  <c r="J3544" i="13" a="1"/>
  <c r="J3544" i="13" s="1"/>
  <c r="N3545" i="13"/>
  <c r="M3548" i="14"/>
  <c r="J3543" i="14" a="1"/>
  <c r="J3543" i="14" s="1"/>
  <c r="N3544" i="14"/>
  <c r="M3547" i="13"/>
  <c r="K3381" i="14" l="1"/>
  <c r="L3381" i="14" s="1"/>
  <c r="I3382" i="14" s="1"/>
  <c r="K3359" i="13"/>
  <c r="L3359" i="13" s="1"/>
  <c r="I3360" i="13" s="1"/>
  <c r="M3549" i="14"/>
  <c r="J3544" i="14" a="1"/>
  <c r="J3544" i="14" s="1"/>
  <c r="N3545" i="14"/>
  <c r="M3548" i="13"/>
  <c r="J3545" i="13" a="1"/>
  <c r="J3545" i="13" s="1"/>
  <c r="N3546" i="13"/>
  <c r="K3360" i="13" l="1"/>
  <c r="L3360" i="13" s="1"/>
  <c r="I3361" i="13" s="1"/>
  <c r="K3382" i="14"/>
  <c r="L3382" i="14" s="1"/>
  <c r="I3383" i="14" s="1"/>
  <c r="N3546" i="14"/>
  <c r="J3545" i="14" a="1"/>
  <c r="J3545" i="14" s="1"/>
  <c r="N3547" i="13"/>
  <c r="J3546" i="13" a="1"/>
  <c r="J3546" i="13" s="1"/>
  <c r="M3549" i="13"/>
  <c r="M3550" i="14"/>
  <c r="K3383" i="14" l="1"/>
  <c r="L3383" i="14" s="1"/>
  <c r="I3384" i="14" s="1"/>
  <c r="J3547" i="13" a="1"/>
  <c r="J3547" i="13" s="1"/>
  <c r="N3548" i="13"/>
  <c r="M3551" i="14"/>
  <c r="M3550" i="13"/>
  <c r="J3546" i="14" a="1"/>
  <c r="J3546" i="14" s="1"/>
  <c r="N3547" i="14"/>
  <c r="K3361" i="13"/>
  <c r="L3361" i="13" s="1"/>
  <c r="I3362" i="13" s="1"/>
  <c r="K3362" i="13" l="1"/>
  <c r="L3362" i="13" s="1"/>
  <c r="I3363" i="13" s="1"/>
  <c r="K3384" i="14"/>
  <c r="L3384" i="14" s="1"/>
  <c r="I3385" i="14" s="1"/>
  <c r="J3548" i="13" a="1"/>
  <c r="J3548" i="13" s="1"/>
  <c r="N3549" i="13"/>
  <c r="M3551" i="13"/>
  <c r="M3552" i="14"/>
  <c r="J3547" i="14" a="1"/>
  <c r="J3547" i="14" s="1"/>
  <c r="N3548" i="14"/>
  <c r="K3385" i="14" l="1"/>
  <c r="L3385" i="14" s="1"/>
  <c r="I3386" i="14" s="1"/>
  <c r="K3363" i="13"/>
  <c r="L3363" i="13" s="1"/>
  <c r="I3364" i="13" s="1"/>
  <c r="N3549" i="14"/>
  <c r="J3548" i="14" a="1"/>
  <c r="J3548" i="14" s="1"/>
  <c r="M3552" i="13"/>
  <c r="J3549" i="13" a="1"/>
  <c r="J3549" i="13" s="1"/>
  <c r="N3550" i="13"/>
  <c r="M3553" i="14"/>
  <c r="K3364" i="13" l="1"/>
  <c r="L3364" i="13" s="1"/>
  <c r="I3365" i="13" s="1"/>
  <c r="K3386" i="14"/>
  <c r="L3386" i="14" s="1"/>
  <c r="I3387" i="14" s="1"/>
  <c r="N3551" i="13"/>
  <c r="J3550" i="13" a="1"/>
  <c r="J3550" i="13" s="1"/>
  <c r="M3554" i="14"/>
  <c r="M3553" i="13"/>
  <c r="N3550" i="14"/>
  <c r="J3549" i="14" a="1"/>
  <c r="J3549" i="14" s="1"/>
  <c r="K3387" i="14" l="1"/>
  <c r="L3387" i="14" s="1"/>
  <c r="I3388" i="14" s="1"/>
  <c r="K3365" i="13"/>
  <c r="L3365" i="13" s="1"/>
  <c r="I3366" i="13" s="1"/>
  <c r="J3550" i="14" a="1"/>
  <c r="J3550" i="14" s="1"/>
  <c r="N3551" i="14"/>
  <c r="M3555" i="14"/>
  <c r="M3554" i="13"/>
  <c r="J3551" i="13" a="1"/>
  <c r="J3551" i="13" s="1"/>
  <c r="N3552" i="13"/>
  <c r="K3366" i="13" l="1"/>
  <c r="L3366" i="13" s="1"/>
  <c r="I3367" i="13" s="1"/>
  <c r="K3388" i="14"/>
  <c r="L3388" i="14" s="1"/>
  <c r="I3389" i="14" s="1"/>
  <c r="J3552" i="13" a="1"/>
  <c r="J3552" i="13" s="1"/>
  <c r="N3553" i="13"/>
  <c r="M3556" i="14"/>
  <c r="J3551" i="14" a="1"/>
  <c r="J3551" i="14" s="1"/>
  <c r="N3552" i="14"/>
  <c r="M3555" i="13"/>
  <c r="K3389" i="14" l="1"/>
  <c r="L3389" i="14" s="1"/>
  <c r="I3390" i="14" s="1"/>
  <c r="K3367" i="13"/>
  <c r="L3367" i="13" s="1"/>
  <c r="I3368" i="13" s="1"/>
  <c r="J3552" i="14" a="1"/>
  <c r="J3552" i="14" s="1"/>
  <c r="N3553" i="14"/>
  <c r="M3557" i="14"/>
  <c r="M3556" i="13"/>
  <c r="J3553" i="13" a="1"/>
  <c r="J3553" i="13" s="1"/>
  <c r="N3554" i="13"/>
  <c r="K3368" i="13" l="1"/>
  <c r="L3368" i="13" s="1"/>
  <c r="I3369" i="13" s="1"/>
  <c r="K3390" i="14"/>
  <c r="L3390" i="14" s="1"/>
  <c r="I3391" i="14" s="1"/>
  <c r="N3555" i="13"/>
  <c r="J3554" i="13" a="1"/>
  <c r="J3554" i="13" s="1"/>
  <c r="M3558" i="14"/>
  <c r="N3554" i="14"/>
  <c r="J3553" i="14" a="1"/>
  <c r="J3553" i="14" s="1"/>
  <c r="M3557" i="13"/>
  <c r="K3391" i="14" l="1"/>
  <c r="L3391" i="14" s="1"/>
  <c r="I3392" i="14" s="1"/>
  <c r="K3369" i="13"/>
  <c r="L3369" i="13" s="1"/>
  <c r="I3370" i="13" s="1"/>
  <c r="M3558" i="13"/>
  <c r="M3559" i="14"/>
  <c r="J3554" i="14" a="1"/>
  <c r="J3554" i="14" s="1"/>
  <c r="N3555" i="14"/>
  <c r="J3555" i="13" a="1"/>
  <c r="J3555" i="13" s="1"/>
  <c r="N3556" i="13"/>
  <c r="K3370" i="13" l="1"/>
  <c r="L3370" i="13" s="1"/>
  <c r="I3371" i="13" s="1"/>
  <c r="K3392" i="14"/>
  <c r="L3392" i="14" s="1"/>
  <c r="I3393" i="14" s="1"/>
  <c r="J3556" i="13" a="1"/>
  <c r="J3556" i="13" s="1"/>
  <c r="N3557" i="13"/>
  <c r="M3560" i="14"/>
  <c r="J3555" i="14" a="1"/>
  <c r="J3555" i="14" s="1"/>
  <c r="N3556" i="14"/>
  <c r="M3559" i="13"/>
  <c r="K3393" i="14" l="1"/>
  <c r="L3393" i="14" s="1"/>
  <c r="I3394" i="14" s="1"/>
  <c r="K3371" i="13"/>
  <c r="L3371" i="13" s="1"/>
  <c r="I3372" i="13" s="1"/>
  <c r="M3561" i="14"/>
  <c r="N3557" i="14"/>
  <c r="J3556" i="14" a="1"/>
  <c r="J3556" i="14" s="1"/>
  <c r="M3560" i="13"/>
  <c r="J3557" i="13" a="1"/>
  <c r="J3557" i="13" s="1"/>
  <c r="N3558" i="13"/>
  <c r="K3372" i="13" l="1"/>
  <c r="L3372" i="13" s="1"/>
  <c r="I3373" i="13" s="1"/>
  <c r="K3394" i="14"/>
  <c r="L3394" i="14" s="1"/>
  <c r="I3395" i="14" s="1"/>
  <c r="N3559" i="13"/>
  <c r="J3558" i="13" a="1"/>
  <c r="J3558" i="13" s="1"/>
  <c r="N3558" i="14"/>
  <c r="J3557" i="14" a="1"/>
  <c r="J3557" i="14" s="1"/>
  <c r="M3561" i="13"/>
  <c r="M3562" i="14"/>
  <c r="K3395" i="14" l="1"/>
  <c r="L3395" i="14" s="1"/>
  <c r="I3396" i="14" s="1"/>
  <c r="K3373" i="13"/>
  <c r="L3373" i="13" s="1"/>
  <c r="I3374" i="13" s="1"/>
  <c r="J3558" i="14" a="1"/>
  <c r="J3558" i="14" s="1"/>
  <c r="N3559" i="14"/>
  <c r="M3563" i="14"/>
  <c r="M3562" i="13"/>
  <c r="J3559" i="13" a="1"/>
  <c r="J3559" i="13" s="1"/>
  <c r="N3560" i="13"/>
  <c r="K3374" i="13" l="1"/>
  <c r="L3374" i="13" s="1"/>
  <c r="I3375" i="13" s="1"/>
  <c r="K3396" i="14"/>
  <c r="L3396" i="14" s="1"/>
  <c r="I3397" i="14" s="1"/>
  <c r="M3564" i="14"/>
  <c r="J3559" i="14" a="1"/>
  <c r="J3559" i="14" s="1"/>
  <c r="N3560" i="14"/>
  <c r="J3560" i="13" a="1"/>
  <c r="J3560" i="13" s="1"/>
  <c r="N3561" i="13"/>
  <c r="M3563" i="13"/>
  <c r="K3397" i="14" l="1"/>
  <c r="L3397" i="14" s="1"/>
  <c r="I3398" i="14" s="1"/>
  <c r="J3560" i="14" a="1"/>
  <c r="J3560" i="14" s="1"/>
  <c r="N3561" i="14"/>
  <c r="K3375" i="13"/>
  <c r="L3375" i="13" s="1"/>
  <c r="I3376" i="13" s="1"/>
  <c r="M3564" i="13"/>
  <c r="J3561" i="13" a="1"/>
  <c r="J3561" i="13" s="1"/>
  <c r="N3562" i="13"/>
  <c r="M3565" i="14"/>
  <c r="K3376" i="13" l="1"/>
  <c r="L3376" i="13" s="1"/>
  <c r="I3377" i="13" s="1"/>
  <c r="K3398" i="14"/>
  <c r="L3398" i="14" s="1"/>
  <c r="I3399" i="14" s="1"/>
  <c r="N3562" i="14"/>
  <c r="J3561" i="14" a="1"/>
  <c r="J3561" i="14" s="1"/>
  <c r="M3566" i="14"/>
  <c r="M3565" i="13"/>
  <c r="N3563" i="13"/>
  <c r="J3562" i="13" a="1"/>
  <c r="J3562" i="13" s="1"/>
  <c r="K3399" i="14" l="1"/>
  <c r="L3399" i="14" s="1"/>
  <c r="I3400" i="14" s="1"/>
  <c r="K3377" i="13"/>
  <c r="L3377" i="13" s="1"/>
  <c r="I3378" i="13" s="1"/>
  <c r="J3563" i="13" a="1"/>
  <c r="J3563" i="13" s="1"/>
  <c r="N3564" i="13"/>
  <c r="M3567" i="14"/>
  <c r="M3566" i="13"/>
  <c r="J3562" i="14" a="1"/>
  <c r="J3562" i="14" s="1"/>
  <c r="N3563" i="14"/>
  <c r="K3378" i="13" l="1"/>
  <c r="L3378" i="13" s="1"/>
  <c r="I3379" i="13" s="1"/>
  <c r="K3400" i="14"/>
  <c r="L3400" i="14" s="1"/>
  <c r="I3401" i="14" s="1"/>
  <c r="J3563" i="14" a="1"/>
  <c r="J3563" i="14" s="1"/>
  <c r="N3564" i="14"/>
  <c r="M3568" i="14"/>
  <c r="J3564" i="13" a="1"/>
  <c r="J3564" i="13" s="1"/>
  <c r="N3565" i="13"/>
  <c r="M3567" i="13"/>
  <c r="K3401" i="14" l="1"/>
  <c r="L3401" i="14" s="1"/>
  <c r="I3402" i="14" s="1"/>
  <c r="K3379" i="13"/>
  <c r="L3379" i="13" s="1"/>
  <c r="I3380" i="13" s="1"/>
  <c r="J3565" i="13" a="1"/>
  <c r="J3565" i="13" s="1"/>
  <c r="N3566" i="13"/>
  <c r="M3569" i="14"/>
  <c r="M3568" i="13"/>
  <c r="N3565" i="14"/>
  <c r="J3564" i="14" a="1"/>
  <c r="J3564" i="14" s="1"/>
  <c r="K3380" i="13" l="1"/>
  <c r="L3380" i="13" s="1"/>
  <c r="I3381" i="13" s="1"/>
  <c r="K3402" i="14"/>
  <c r="L3402" i="14" s="1"/>
  <c r="I3403" i="14" s="1"/>
  <c r="N3566" i="14"/>
  <c r="J3565" i="14" a="1"/>
  <c r="J3565" i="14" s="1"/>
  <c r="M3570" i="14"/>
  <c r="N3567" i="13"/>
  <c r="J3566" i="13" a="1"/>
  <c r="J3566" i="13" s="1"/>
  <c r="M3569" i="13"/>
  <c r="K3403" i="14" l="1"/>
  <c r="L3403" i="14" s="1"/>
  <c r="I3404" i="14" s="1"/>
  <c r="K3381" i="13"/>
  <c r="L3381" i="13" s="1"/>
  <c r="I3382" i="13" s="1"/>
  <c r="M3570" i="13"/>
  <c r="M3571" i="14"/>
  <c r="J3567" i="13" a="1"/>
  <c r="J3567" i="13" s="1"/>
  <c r="N3568" i="13"/>
  <c r="J3566" i="14" a="1"/>
  <c r="J3566" i="14" s="1"/>
  <c r="N3567" i="14"/>
  <c r="K3382" i="13" l="1"/>
  <c r="L3382" i="13" s="1"/>
  <c r="I3383" i="13" s="1"/>
  <c r="K3404" i="14"/>
  <c r="L3404" i="14" s="1"/>
  <c r="I3405" i="14" s="1"/>
  <c r="J3567" i="14" a="1"/>
  <c r="J3567" i="14" s="1"/>
  <c r="N3568" i="14"/>
  <c r="M3572" i="14"/>
  <c r="J3568" i="13" a="1"/>
  <c r="J3568" i="13" s="1"/>
  <c r="N3569" i="13"/>
  <c r="M3571" i="13"/>
  <c r="K3405" i="14" l="1"/>
  <c r="L3405" i="14" s="1"/>
  <c r="I3406" i="14" s="1"/>
  <c r="K3383" i="13"/>
  <c r="L3383" i="13" s="1"/>
  <c r="I3384" i="13" s="1"/>
  <c r="M3573" i="14"/>
  <c r="J3569" i="13" a="1"/>
  <c r="J3569" i="13" s="1"/>
  <c r="N3570" i="13"/>
  <c r="M3572" i="13"/>
  <c r="J3568" i="14" a="1"/>
  <c r="J3568" i="14" s="1"/>
  <c r="N3569" i="14"/>
  <c r="K3384" i="13" l="1"/>
  <c r="L3384" i="13" s="1"/>
  <c r="I3385" i="13" s="1"/>
  <c r="K3406" i="14"/>
  <c r="L3406" i="14" s="1"/>
  <c r="I3407" i="14" s="1"/>
  <c r="N3570" i="14"/>
  <c r="J3569" i="14" a="1"/>
  <c r="J3569" i="14" s="1"/>
  <c r="N3571" i="13"/>
  <c r="J3570" i="13" a="1"/>
  <c r="J3570" i="13" s="1"/>
  <c r="M3573" i="13"/>
  <c r="M3574" i="14"/>
  <c r="K3407" i="14" l="1"/>
  <c r="L3407" i="14" s="1"/>
  <c r="I3408" i="14" s="1"/>
  <c r="K3385" i="13"/>
  <c r="L3385" i="13" s="1"/>
  <c r="I3386" i="13" s="1"/>
  <c r="J3571" i="13" a="1"/>
  <c r="J3571" i="13" s="1"/>
  <c r="N3572" i="13"/>
  <c r="M3575" i="14"/>
  <c r="M3574" i="13"/>
  <c r="J3570" i="14" a="1"/>
  <c r="J3570" i="14" s="1"/>
  <c r="N3571" i="14"/>
  <c r="K3386" i="13" l="1"/>
  <c r="L3386" i="13" s="1"/>
  <c r="I3387" i="13" s="1"/>
  <c r="K3408" i="14"/>
  <c r="L3408" i="14" s="1"/>
  <c r="I3409" i="14" s="1"/>
  <c r="J3571" i="14" a="1"/>
  <c r="J3571" i="14" s="1"/>
  <c r="N3572" i="14"/>
  <c r="M3576" i="14"/>
  <c r="J3572" i="13" a="1"/>
  <c r="J3572" i="13" s="1"/>
  <c r="N3573" i="13"/>
  <c r="M3575" i="13"/>
  <c r="K3409" i="14" l="1"/>
  <c r="L3409" i="14" s="1"/>
  <c r="I3410" i="14" s="1"/>
  <c r="K3387" i="13"/>
  <c r="L3387" i="13" s="1"/>
  <c r="I3388" i="13" s="1"/>
  <c r="M3577" i="14"/>
  <c r="J3573" i="13" a="1"/>
  <c r="J3573" i="13" s="1"/>
  <c r="N3574" i="13"/>
  <c r="M3576" i="13"/>
  <c r="N3573" i="14"/>
  <c r="J3572" i="14" a="1"/>
  <c r="J3572" i="14" s="1"/>
  <c r="K3388" i="13" l="1"/>
  <c r="L3388" i="13" s="1"/>
  <c r="I3389" i="13" s="1"/>
  <c r="K3410" i="14"/>
  <c r="L3410" i="14" s="1"/>
  <c r="I3411" i="14" s="1"/>
  <c r="N3575" i="13"/>
  <c r="J3574" i="13" a="1"/>
  <c r="J3574" i="13" s="1"/>
  <c r="N3574" i="14"/>
  <c r="J3573" i="14" a="1"/>
  <c r="J3573" i="14" s="1"/>
  <c r="M3577" i="13"/>
  <c r="M3578" i="14"/>
  <c r="K3411" i="14" l="1"/>
  <c r="L3411" i="14" s="1"/>
  <c r="I3412" i="14" s="1"/>
  <c r="K3389" i="13"/>
  <c r="L3389" i="13" s="1"/>
  <c r="I3390" i="13" s="1"/>
  <c r="J3574" i="14" a="1"/>
  <c r="J3574" i="14" s="1"/>
  <c r="N3575" i="14"/>
  <c r="M3579" i="14"/>
  <c r="M3578" i="13"/>
  <c r="J3575" i="13" a="1"/>
  <c r="J3575" i="13" s="1"/>
  <c r="N3576" i="13"/>
  <c r="K3390" i="13" l="1"/>
  <c r="L3390" i="13" s="1"/>
  <c r="I3391" i="13" s="1"/>
  <c r="K3412" i="14"/>
  <c r="L3412" i="14" s="1"/>
  <c r="I3413" i="14" s="1"/>
  <c r="J3576" i="13" a="1"/>
  <c r="J3576" i="13" s="1"/>
  <c r="N3577" i="13"/>
  <c r="M3580" i="14"/>
  <c r="J3575" i="14" a="1"/>
  <c r="J3575" i="14" s="1"/>
  <c r="N3576" i="14"/>
  <c r="M3579" i="13"/>
  <c r="K3413" i="14" l="1"/>
  <c r="L3413" i="14" s="1"/>
  <c r="I3414" i="14" s="1"/>
  <c r="K3391" i="13"/>
  <c r="L3391" i="13" s="1"/>
  <c r="I3392" i="13" s="1"/>
  <c r="M3581" i="14"/>
  <c r="M3580" i="13"/>
  <c r="J3576" i="14" a="1"/>
  <c r="J3576" i="14" s="1"/>
  <c r="N3577" i="14"/>
  <c r="J3577" i="13" a="1"/>
  <c r="J3577" i="13" s="1"/>
  <c r="N3578" i="13"/>
  <c r="K3392" i="13" l="1"/>
  <c r="L3392" i="13" s="1"/>
  <c r="I3393" i="13" s="1"/>
  <c r="K3414" i="14"/>
  <c r="L3414" i="14" s="1"/>
  <c r="I3415" i="14" s="1"/>
  <c r="N3579" i="13"/>
  <c r="J3578" i="13" a="1"/>
  <c r="J3578" i="13" s="1"/>
  <c r="M3581" i="13"/>
  <c r="N3578" i="14"/>
  <c r="J3577" i="14" a="1"/>
  <c r="J3577" i="14" s="1"/>
  <c r="M3582" i="14"/>
  <c r="K3415" i="14" l="1"/>
  <c r="L3415" i="14" s="1"/>
  <c r="I3416" i="14" s="1"/>
  <c r="K3393" i="13"/>
  <c r="L3393" i="13" s="1"/>
  <c r="I3394" i="13" s="1"/>
  <c r="M3582" i="13"/>
  <c r="M3583" i="14"/>
  <c r="J3578" i="14" a="1"/>
  <c r="J3578" i="14" s="1"/>
  <c r="N3579" i="14"/>
  <c r="J3579" i="13" a="1"/>
  <c r="J3579" i="13" s="1"/>
  <c r="N3580" i="13"/>
  <c r="K3394" i="13" l="1"/>
  <c r="L3394" i="13" s="1"/>
  <c r="I3395" i="13" s="1"/>
  <c r="K3416" i="14"/>
  <c r="L3416" i="14" s="1"/>
  <c r="I3417" i="14" s="1"/>
  <c r="J3580" i="13" a="1"/>
  <c r="J3580" i="13" s="1"/>
  <c r="N3581" i="13"/>
  <c r="M3584" i="14"/>
  <c r="J3579" i="14" a="1"/>
  <c r="J3579" i="14" s="1"/>
  <c r="N3580" i="14"/>
  <c r="M3583" i="13"/>
  <c r="K3417" i="14" l="1"/>
  <c r="L3417" i="14" s="1"/>
  <c r="I3418" i="14" s="1"/>
  <c r="K3395" i="13"/>
  <c r="L3395" i="13" s="1"/>
  <c r="I3396" i="13" s="1"/>
  <c r="N3581" i="14"/>
  <c r="J3580" i="14" a="1"/>
  <c r="J3580" i="14" s="1"/>
  <c r="M3585" i="14"/>
  <c r="M3584" i="13"/>
  <c r="J3581" i="13" a="1"/>
  <c r="J3581" i="13" s="1"/>
  <c r="N3582" i="13"/>
  <c r="K3396" i="13" l="1"/>
  <c r="L3396" i="13" s="1"/>
  <c r="I3397" i="13" s="1"/>
  <c r="K3418" i="14"/>
  <c r="L3418" i="14" s="1"/>
  <c r="I3419" i="14" s="1"/>
  <c r="M3586" i="14"/>
  <c r="N3583" i="13"/>
  <c r="J3582" i="13" a="1"/>
  <c r="J3582" i="13" s="1"/>
  <c r="M3585" i="13"/>
  <c r="N3582" i="14"/>
  <c r="J3581" i="14" a="1"/>
  <c r="J3581" i="14" s="1"/>
  <c r="K3419" i="14" l="1"/>
  <c r="L3419" i="14" s="1"/>
  <c r="I3420" i="14" s="1"/>
  <c r="K3397" i="13"/>
  <c r="L3397" i="13" s="1"/>
  <c r="I3398" i="13" s="1"/>
  <c r="J3582" i="14" a="1"/>
  <c r="J3582" i="14" s="1"/>
  <c r="N3583" i="14"/>
  <c r="J3583" i="13" a="1"/>
  <c r="J3583" i="13" s="1"/>
  <c r="N3584" i="13"/>
  <c r="M3586" i="13"/>
  <c r="M3587" i="14"/>
  <c r="K3398" i="13" l="1"/>
  <c r="L3398" i="13" s="1"/>
  <c r="I3399" i="13" s="1"/>
  <c r="J3584" i="13" a="1"/>
  <c r="J3584" i="13" s="1"/>
  <c r="N3585" i="13"/>
  <c r="M3587" i="13"/>
  <c r="M3588" i="14"/>
  <c r="J3583" i="14" a="1"/>
  <c r="J3583" i="14" s="1"/>
  <c r="N3584" i="14"/>
  <c r="K3420" i="14"/>
  <c r="L3420" i="14" s="1"/>
  <c r="I3421" i="14" s="1"/>
  <c r="K3399" i="13" l="1"/>
  <c r="L3399" i="13" s="1"/>
  <c r="I3400" i="13" s="1"/>
  <c r="M3589" i="14"/>
  <c r="J3585" i="13" a="1"/>
  <c r="J3585" i="13" s="1"/>
  <c r="N3586" i="13"/>
  <c r="K3421" i="14"/>
  <c r="L3421" i="14" s="1"/>
  <c r="I3422" i="14" s="1"/>
  <c r="J3584" i="14" a="1"/>
  <c r="J3584" i="14" s="1"/>
  <c r="N3585" i="14"/>
  <c r="M3588" i="13"/>
  <c r="K3422" i="14" l="1"/>
  <c r="L3422" i="14" s="1"/>
  <c r="I3423" i="14" s="1"/>
  <c r="K3400" i="13"/>
  <c r="L3400" i="13" s="1"/>
  <c r="I3401" i="13" s="1"/>
  <c r="N3586" i="14"/>
  <c r="J3585" i="14" a="1"/>
  <c r="J3585" i="14" s="1"/>
  <c r="M3589" i="13"/>
  <c r="M3590" i="14"/>
  <c r="N3587" i="13"/>
  <c r="J3586" i="13" a="1"/>
  <c r="J3586" i="13" s="1"/>
  <c r="K3423" i="14" l="1"/>
  <c r="L3423" i="14" s="1"/>
  <c r="I3424" i="14" s="1"/>
  <c r="M3590" i="13"/>
  <c r="K3401" i="13"/>
  <c r="L3401" i="13" s="1"/>
  <c r="I3402" i="13" s="1"/>
  <c r="J3587" i="13" a="1"/>
  <c r="J3587" i="13" s="1"/>
  <c r="N3588" i="13"/>
  <c r="M3591" i="14"/>
  <c r="J3586" i="14" a="1"/>
  <c r="J3586" i="14" s="1"/>
  <c r="N3587" i="14"/>
  <c r="K3402" i="13" l="1"/>
  <c r="L3402" i="13" s="1"/>
  <c r="I3403" i="13" s="1"/>
  <c r="K3424" i="14"/>
  <c r="L3424" i="14" s="1"/>
  <c r="I3425" i="14" s="1"/>
  <c r="J3587" i="14" a="1"/>
  <c r="J3587" i="14" s="1"/>
  <c r="N3588" i="14"/>
  <c r="J3588" i="13" a="1"/>
  <c r="J3588" i="13" s="1"/>
  <c r="N3589" i="13"/>
  <c r="M3591" i="13"/>
  <c r="M3592" i="14"/>
  <c r="K3403" i="13" l="1"/>
  <c r="L3403" i="13" s="1"/>
  <c r="I3404" i="13" s="1"/>
  <c r="M3592" i="13"/>
  <c r="M3593" i="14"/>
  <c r="J3589" i="13" a="1"/>
  <c r="J3589" i="13" s="1"/>
  <c r="N3590" i="13"/>
  <c r="K3425" i="14"/>
  <c r="L3425" i="14" s="1"/>
  <c r="I3426" i="14" s="1"/>
  <c r="N3589" i="14"/>
  <c r="J3588" i="14" a="1"/>
  <c r="J3588" i="14" s="1"/>
  <c r="K3426" i="14" l="1"/>
  <c r="L3426" i="14" s="1"/>
  <c r="I3427" i="14" s="1"/>
  <c r="K3404" i="13"/>
  <c r="L3404" i="13" s="1"/>
  <c r="I3405" i="13" s="1"/>
  <c r="N3591" i="13"/>
  <c r="J3590" i="13" a="1"/>
  <c r="J3590" i="13" s="1"/>
  <c r="M3593" i="13"/>
  <c r="N3590" i="14"/>
  <c r="J3589" i="14" a="1"/>
  <c r="J3589" i="14" s="1"/>
  <c r="M3594" i="14"/>
  <c r="K3405" i="13" l="1"/>
  <c r="L3405" i="13" s="1"/>
  <c r="I3406" i="13" s="1"/>
  <c r="K3427" i="14"/>
  <c r="L3427" i="14" s="1"/>
  <c r="I3428" i="14" s="1"/>
  <c r="M3594" i="13"/>
  <c r="J3590" i="14" a="1"/>
  <c r="J3590" i="14" s="1"/>
  <c r="N3591" i="14"/>
  <c r="M3595" i="14"/>
  <c r="J3591" i="13" a="1"/>
  <c r="J3591" i="13" s="1"/>
  <c r="N3592" i="13"/>
  <c r="K3428" i="14" l="1"/>
  <c r="L3428" i="14" s="1"/>
  <c r="I3429" i="14" s="1"/>
  <c r="K3406" i="13"/>
  <c r="L3406" i="13" s="1"/>
  <c r="I3407" i="13" s="1"/>
  <c r="J3591" i="14" a="1"/>
  <c r="J3591" i="14" s="1"/>
  <c r="N3592" i="14"/>
  <c r="J3592" i="13" a="1"/>
  <c r="J3592" i="13" s="1"/>
  <c r="N3593" i="13"/>
  <c r="M3596" i="14"/>
  <c r="M3595" i="13"/>
  <c r="K3407" i="13" l="1"/>
  <c r="L3407" i="13" s="1"/>
  <c r="I3408" i="13" s="1"/>
  <c r="K3429" i="14"/>
  <c r="L3429" i="14" s="1"/>
  <c r="I3430" i="14" s="1"/>
  <c r="J3593" i="13" a="1"/>
  <c r="J3593" i="13" s="1"/>
  <c r="N3594" i="13"/>
  <c r="J3592" i="14" a="1"/>
  <c r="J3592" i="14" s="1"/>
  <c r="N3593" i="14"/>
  <c r="M3596" i="13"/>
  <c r="M3597" i="14"/>
  <c r="K3430" i="14" l="1"/>
  <c r="L3430" i="14" s="1"/>
  <c r="I3431" i="14" s="1"/>
  <c r="K3408" i="13"/>
  <c r="L3408" i="13" s="1"/>
  <c r="I3409" i="13" s="1"/>
  <c r="M3598" i="14"/>
  <c r="N3594" i="14"/>
  <c r="J3593" i="14" a="1"/>
  <c r="J3593" i="14" s="1"/>
  <c r="N3595" i="13"/>
  <c r="J3594" i="13" a="1"/>
  <c r="J3594" i="13" s="1"/>
  <c r="M3597" i="13"/>
  <c r="K3409" i="13" l="1"/>
  <c r="L3409" i="13" s="1"/>
  <c r="I3410" i="13" s="1"/>
  <c r="K3431" i="14"/>
  <c r="L3431" i="14" s="1"/>
  <c r="I3432" i="14" s="1"/>
  <c r="J3594" i="14" a="1"/>
  <c r="J3594" i="14" s="1"/>
  <c r="N3595" i="14"/>
  <c r="M3598" i="13"/>
  <c r="J3595" i="13" a="1"/>
  <c r="J3595" i="13" s="1"/>
  <c r="N3596" i="13"/>
  <c r="M3599" i="14"/>
  <c r="K3432" i="14" l="1"/>
  <c r="L3432" i="14" s="1"/>
  <c r="I3433" i="14" s="1"/>
  <c r="K3410" i="13"/>
  <c r="L3410" i="13" s="1"/>
  <c r="I3411" i="13" s="1"/>
  <c r="M3600" i="14"/>
  <c r="M3599" i="13"/>
  <c r="J3595" i="14" a="1"/>
  <c r="J3595" i="14" s="1"/>
  <c r="N3596" i="14"/>
  <c r="J3596" i="13" a="1"/>
  <c r="J3596" i="13" s="1"/>
  <c r="N3597" i="13"/>
  <c r="K3411" i="13" l="1"/>
  <c r="L3411" i="13" s="1"/>
  <c r="I3412" i="13" s="1"/>
  <c r="K3433" i="14"/>
  <c r="L3433" i="14" s="1"/>
  <c r="I3434" i="14" s="1"/>
  <c r="J3597" i="13" a="1"/>
  <c r="J3597" i="13" s="1"/>
  <c r="N3598" i="13"/>
  <c r="N3597" i="14"/>
  <c r="J3596" i="14" a="1"/>
  <c r="J3596" i="14" s="1"/>
  <c r="M3601" i="14"/>
  <c r="M3600" i="13"/>
  <c r="K3434" i="14" l="1"/>
  <c r="L3434" i="14" s="1"/>
  <c r="I3435" i="14" s="1"/>
  <c r="K3412" i="13"/>
  <c r="L3412" i="13" s="1"/>
  <c r="I3413" i="13" s="1"/>
  <c r="M3602" i="14"/>
  <c r="M3601" i="13"/>
  <c r="N3598" i="14"/>
  <c r="J3597" i="14" a="1"/>
  <c r="J3597" i="14" s="1"/>
  <c r="N3599" i="13"/>
  <c r="J3598" i="13" a="1"/>
  <c r="J3598" i="13" s="1"/>
  <c r="K3413" i="13" l="1"/>
  <c r="L3413" i="13" s="1"/>
  <c r="I3414" i="13" s="1"/>
  <c r="K3435" i="14"/>
  <c r="L3435" i="14" s="1"/>
  <c r="I3436" i="14" s="1"/>
  <c r="M3602" i="13"/>
  <c r="J3599" i="13" a="1"/>
  <c r="J3599" i="13" s="1"/>
  <c r="N3600" i="13"/>
  <c r="J3598" i="14" a="1"/>
  <c r="J3598" i="14" s="1"/>
  <c r="N3599" i="14"/>
  <c r="M3603" i="14"/>
  <c r="K3414" i="13" l="1"/>
  <c r="L3414" i="13" s="1"/>
  <c r="I3415" i="13" s="1"/>
  <c r="J3600" i="13" a="1"/>
  <c r="J3600" i="13" s="1"/>
  <c r="N3601" i="13"/>
  <c r="K3436" i="14"/>
  <c r="L3436" i="14" s="1"/>
  <c r="I3437" i="14" s="1"/>
  <c r="M3604" i="14"/>
  <c r="J3599" i="14" a="1"/>
  <c r="J3599" i="14" s="1"/>
  <c r="N3600" i="14"/>
  <c r="M3603" i="13"/>
  <c r="K3437" i="14" l="1"/>
  <c r="L3437" i="14" s="1"/>
  <c r="I3438" i="14" s="1"/>
  <c r="K3415" i="13"/>
  <c r="L3415" i="13" s="1"/>
  <c r="I3416" i="13" s="1"/>
  <c r="J3600" i="14" a="1"/>
  <c r="J3600" i="14" s="1"/>
  <c r="N3601" i="14"/>
  <c r="M3605" i="14"/>
  <c r="J3601" i="13" a="1"/>
  <c r="J3601" i="13" s="1"/>
  <c r="N3602" i="13"/>
  <c r="M3604" i="13"/>
  <c r="K3438" i="14" l="1"/>
  <c r="L3438" i="14" s="1"/>
  <c r="I3439" i="14" s="1"/>
  <c r="K3416" i="13"/>
  <c r="L3416" i="13" s="1"/>
  <c r="I3417" i="13" s="1"/>
  <c r="M3605" i="13"/>
  <c r="M3606" i="14"/>
  <c r="N3603" i="13"/>
  <c r="J3602" i="13" a="1"/>
  <c r="J3602" i="13" s="1"/>
  <c r="N3602" i="14"/>
  <c r="J3601" i="14" a="1"/>
  <c r="J3601" i="14" s="1"/>
  <c r="K3417" i="13" l="1"/>
  <c r="L3417" i="13" s="1"/>
  <c r="I3418" i="13" s="1"/>
  <c r="K3439" i="14"/>
  <c r="L3439" i="14" s="1"/>
  <c r="I3440" i="14" s="1"/>
  <c r="J3602" i="14" a="1"/>
  <c r="J3602" i="14" s="1"/>
  <c r="N3603" i="14"/>
  <c r="M3607" i="14"/>
  <c r="M3606" i="13"/>
  <c r="J3603" i="13" a="1"/>
  <c r="J3603" i="13" s="1"/>
  <c r="N3604" i="13"/>
  <c r="K3440" i="14" l="1"/>
  <c r="L3440" i="14" s="1"/>
  <c r="I3441" i="14" s="1"/>
  <c r="J3604" i="13" a="1"/>
  <c r="J3604" i="13" s="1"/>
  <c r="N3605" i="13"/>
  <c r="M3608" i="14"/>
  <c r="M3607" i="13"/>
  <c r="J3603" i="14" a="1"/>
  <c r="J3603" i="14" s="1"/>
  <c r="N3604" i="14"/>
  <c r="K3418" i="13"/>
  <c r="L3418" i="13" s="1"/>
  <c r="I3419" i="13" s="1"/>
  <c r="K3441" i="14" l="1"/>
  <c r="L3441" i="14" s="1"/>
  <c r="I3442" i="14" s="1"/>
  <c r="K3419" i="13"/>
  <c r="L3419" i="13" s="1"/>
  <c r="I3420" i="13" s="1"/>
  <c r="J3605" i="13" a="1"/>
  <c r="J3605" i="13" s="1"/>
  <c r="N3606" i="13"/>
  <c r="N3605" i="14"/>
  <c r="J3604" i="14" a="1"/>
  <c r="J3604" i="14" s="1"/>
  <c r="M3608" i="13"/>
  <c r="M3609" i="14"/>
  <c r="K3420" i="13" l="1"/>
  <c r="L3420" i="13" s="1"/>
  <c r="I3421" i="13" s="1"/>
  <c r="K3442" i="14"/>
  <c r="L3442" i="14" s="1"/>
  <c r="I3443" i="14" s="1"/>
  <c r="M3609" i="13"/>
  <c r="M3610" i="14"/>
  <c r="N3606" i="14"/>
  <c r="J3605" i="14" a="1"/>
  <c r="J3605" i="14" s="1"/>
  <c r="N3607" i="13"/>
  <c r="J3606" i="13" a="1"/>
  <c r="J3606" i="13" s="1"/>
  <c r="K3421" i="13" l="1"/>
  <c r="L3421" i="13" s="1"/>
  <c r="I3422" i="13" s="1"/>
  <c r="K3443" i="14"/>
  <c r="L3443" i="14" s="1"/>
  <c r="I3444" i="14" s="1"/>
  <c r="J3607" i="13" a="1"/>
  <c r="J3607" i="13" s="1"/>
  <c r="N3608" i="13"/>
  <c r="M3611" i="14"/>
  <c r="M3610" i="13"/>
  <c r="J3606" i="14" a="1"/>
  <c r="J3606" i="14" s="1"/>
  <c r="N3607" i="14"/>
  <c r="K3444" i="14" l="1"/>
  <c r="L3444" i="14" s="1"/>
  <c r="I3445" i="14" s="1"/>
  <c r="K3422" i="13"/>
  <c r="L3422" i="13" s="1"/>
  <c r="I3423" i="13" s="1"/>
  <c r="J3607" i="14" a="1"/>
  <c r="J3607" i="14" s="1"/>
  <c r="N3608" i="14"/>
  <c r="M3612" i="14"/>
  <c r="J3608" i="13" a="1"/>
  <c r="J3608" i="13" s="1"/>
  <c r="N3609" i="13"/>
  <c r="M3611" i="13"/>
  <c r="K3445" i="14" l="1"/>
  <c r="L3445" i="14" s="1"/>
  <c r="I3446" i="14" s="1"/>
  <c r="M3612" i="13"/>
  <c r="M3613" i="14"/>
  <c r="K3423" i="13"/>
  <c r="L3423" i="13" s="1"/>
  <c r="I3424" i="13" s="1"/>
  <c r="J3609" i="13" a="1"/>
  <c r="J3609" i="13" s="1"/>
  <c r="N3610" i="13"/>
  <c r="J3608" i="14" a="1"/>
  <c r="J3608" i="14" s="1"/>
  <c r="N3609" i="14"/>
  <c r="K3424" i="13" l="1"/>
  <c r="L3424" i="13" s="1"/>
  <c r="I3425" i="13" s="1"/>
  <c r="K3446" i="14"/>
  <c r="L3446" i="14" s="1"/>
  <c r="I3447" i="14" s="1"/>
  <c r="N3610" i="14"/>
  <c r="J3609" i="14" a="1"/>
  <c r="J3609" i="14" s="1"/>
  <c r="M3613" i="13"/>
  <c r="N3611" i="13"/>
  <c r="J3610" i="13" a="1"/>
  <c r="J3610" i="13" s="1"/>
  <c r="M3614" i="14"/>
  <c r="K3425" i="13" l="1"/>
  <c r="L3425" i="13" s="1"/>
  <c r="I3426" i="13" s="1"/>
  <c r="M3614" i="13"/>
  <c r="K3447" i="14"/>
  <c r="L3447" i="14" s="1"/>
  <c r="I3448" i="14" s="1"/>
  <c r="M3615" i="14"/>
  <c r="J3611" i="13" a="1"/>
  <c r="J3611" i="13" s="1"/>
  <c r="N3612" i="13"/>
  <c r="J3610" i="14" a="1"/>
  <c r="J3610" i="14" s="1"/>
  <c r="N3611" i="14"/>
  <c r="K3426" i="13" l="1"/>
  <c r="L3426" i="13" s="1"/>
  <c r="I3427" i="13" s="1"/>
  <c r="J3611" i="14" a="1"/>
  <c r="J3611" i="14" s="1"/>
  <c r="N3612" i="14"/>
  <c r="M3616" i="14"/>
  <c r="M3615" i="13"/>
  <c r="J3612" i="13" a="1"/>
  <c r="J3612" i="13" s="1"/>
  <c r="N3613" i="13"/>
  <c r="K3448" i="14"/>
  <c r="L3448" i="14" s="1"/>
  <c r="I3449" i="14" s="1"/>
  <c r="K3449" i="14" l="1"/>
  <c r="L3449" i="14" s="1"/>
  <c r="I3450" i="14" s="1"/>
  <c r="K3427" i="13"/>
  <c r="L3427" i="13" s="1"/>
  <c r="I3428" i="13" s="1"/>
  <c r="N3613" i="14"/>
  <c r="J3612" i="14" a="1"/>
  <c r="J3612" i="14" s="1"/>
  <c r="M3616" i="13"/>
  <c r="J3613" i="13" a="1"/>
  <c r="J3613" i="13" s="1"/>
  <c r="N3614" i="13"/>
  <c r="M3617" i="14"/>
  <c r="K3428" i="13" l="1"/>
  <c r="L3428" i="13" s="1"/>
  <c r="I3429" i="13" s="1"/>
  <c r="K3450" i="14"/>
  <c r="L3450" i="14" s="1"/>
  <c r="I3451" i="14" s="1"/>
  <c r="M3618" i="14"/>
  <c r="M3617" i="13"/>
  <c r="N3615" i="13"/>
  <c r="J3614" i="13" a="1"/>
  <c r="J3614" i="13" s="1"/>
  <c r="N3614" i="14"/>
  <c r="J3613" i="14" a="1"/>
  <c r="J3613" i="14" s="1"/>
  <c r="M3618" i="13" l="1"/>
  <c r="K3451" i="14"/>
  <c r="L3451" i="14" s="1"/>
  <c r="I3452" i="14" s="1"/>
  <c r="J3614" i="14" a="1"/>
  <c r="J3614" i="14" s="1"/>
  <c r="N3615" i="14"/>
  <c r="J3615" i="13" a="1"/>
  <c r="J3615" i="13" s="1"/>
  <c r="N3616" i="13"/>
  <c r="M3619" i="14"/>
  <c r="K3429" i="13"/>
  <c r="L3429" i="13" s="1"/>
  <c r="I3430" i="13" s="1"/>
  <c r="K3430" i="13" l="1"/>
  <c r="L3430" i="13" s="1"/>
  <c r="I3431" i="13" s="1"/>
  <c r="K3452" i="14"/>
  <c r="L3452" i="14" s="1"/>
  <c r="I3453" i="14" s="1"/>
  <c r="M3620" i="14"/>
  <c r="J3616" i="13" a="1"/>
  <c r="J3616" i="13" s="1"/>
  <c r="N3617" i="13"/>
  <c r="J3615" i="14" a="1"/>
  <c r="J3615" i="14" s="1"/>
  <c r="N3616" i="14"/>
  <c r="M3619" i="13"/>
  <c r="K3453" i="14" l="1"/>
  <c r="L3453" i="14" s="1"/>
  <c r="I3454" i="14" s="1"/>
  <c r="K3431" i="13"/>
  <c r="L3431" i="13" s="1"/>
  <c r="I3432" i="13" s="1"/>
  <c r="M3620" i="13"/>
  <c r="J3617" i="13" a="1"/>
  <c r="J3617" i="13" s="1"/>
  <c r="N3618" i="13"/>
  <c r="J3616" i="14" a="1"/>
  <c r="J3616" i="14" s="1"/>
  <c r="N3617" i="14"/>
  <c r="M3621" i="14"/>
  <c r="K3432" i="13" l="1"/>
  <c r="L3432" i="13" s="1"/>
  <c r="I3433" i="13" s="1"/>
  <c r="K3454" i="14"/>
  <c r="L3454" i="14" s="1"/>
  <c r="I3455" i="14" s="1"/>
  <c r="N3619" i="13"/>
  <c r="J3618" i="13" a="1"/>
  <c r="J3618" i="13" s="1"/>
  <c r="M3622" i="14"/>
  <c r="N3618" i="14"/>
  <c r="J3617" i="14" a="1"/>
  <c r="J3617" i="14" s="1"/>
  <c r="M3621" i="13"/>
  <c r="K3455" i="14" l="1"/>
  <c r="L3455" i="14" s="1"/>
  <c r="I3456" i="14" s="1"/>
  <c r="K3433" i="13"/>
  <c r="L3433" i="13" s="1"/>
  <c r="I3434" i="13" s="1"/>
  <c r="M3622" i="13"/>
  <c r="M3623" i="14"/>
  <c r="J3618" i="14" a="1"/>
  <c r="J3618" i="14" s="1"/>
  <c r="N3619" i="14"/>
  <c r="J3619" i="13" a="1"/>
  <c r="J3619" i="13" s="1"/>
  <c r="N3620" i="13"/>
  <c r="K3434" i="13" l="1"/>
  <c r="L3434" i="13" s="1"/>
  <c r="I3435" i="13" s="1"/>
  <c r="K3456" i="14"/>
  <c r="L3456" i="14" s="1"/>
  <c r="I3457" i="14" s="1"/>
  <c r="J3620" i="13" a="1"/>
  <c r="J3620" i="13" s="1"/>
  <c r="N3621" i="13"/>
  <c r="M3624" i="14"/>
  <c r="J3619" i="14" a="1"/>
  <c r="J3619" i="14" s="1"/>
  <c r="N3620" i="14"/>
  <c r="M3623" i="13"/>
  <c r="K3435" i="13" l="1"/>
  <c r="L3435" i="13" s="1"/>
  <c r="I3436" i="13" s="1"/>
  <c r="M3625" i="14"/>
  <c r="J3621" i="13" a="1"/>
  <c r="J3621" i="13" s="1"/>
  <c r="N3622" i="13"/>
  <c r="M3624" i="13"/>
  <c r="K3457" i="14"/>
  <c r="L3457" i="14" s="1"/>
  <c r="I3458" i="14" s="1"/>
  <c r="N3621" i="14"/>
  <c r="J3620" i="14" a="1"/>
  <c r="J3620" i="14" s="1"/>
  <c r="K3436" i="13" l="1"/>
  <c r="L3436" i="13" s="1"/>
  <c r="I3437" i="13" s="1"/>
  <c r="K3458" i="14"/>
  <c r="L3458" i="14" s="1"/>
  <c r="I3459" i="14" s="1"/>
  <c r="N3622" i="14"/>
  <c r="J3621" i="14" a="1"/>
  <c r="J3621" i="14" s="1"/>
  <c r="M3625" i="13"/>
  <c r="M3626" i="14"/>
  <c r="N3623" i="13"/>
  <c r="J3622" i="13" a="1"/>
  <c r="J3622" i="13" s="1"/>
  <c r="K3459" i="14" l="1"/>
  <c r="L3459" i="14" s="1"/>
  <c r="I3460" i="14" s="1"/>
  <c r="K3437" i="13"/>
  <c r="L3437" i="13" s="1"/>
  <c r="I3438" i="13" s="1"/>
  <c r="M3626" i="13"/>
  <c r="J3623" i="13" a="1"/>
  <c r="J3623" i="13" s="1"/>
  <c r="N3624" i="13"/>
  <c r="M3627" i="14"/>
  <c r="J3622" i="14" a="1"/>
  <c r="J3622" i="14" s="1"/>
  <c r="N3623" i="14"/>
  <c r="K3460" i="14" l="1"/>
  <c r="L3460" i="14" s="1"/>
  <c r="I3461" i="14" s="1"/>
  <c r="J3623" i="14" a="1"/>
  <c r="J3623" i="14" s="1"/>
  <c r="N3624" i="14"/>
  <c r="J3624" i="13" a="1"/>
  <c r="J3624" i="13" s="1"/>
  <c r="N3625" i="13"/>
  <c r="K3438" i="13"/>
  <c r="L3438" i="13" s="1"/>
  <c r="I3439" i="13" s="1"/>
  <c r="M3628" i="14"/>
  <c r="M3627" i="13"/>
  <c r="K3461" i="14" l="1"/>
  <c r="L3461" i="14" s="1"/>
  <c r="I3462" i="14" s="1"/>
  <c r="J3624" i="14" a="1"/>
  <c r="J3624" i="14" s="1"/>
  <c r="N3625" i="14"/>
  <c r="M3628" i="13"/>
  <c r="K3439" i="13"/>
  <c r="L3439" i="13" s="1"/>
  <c r="I3440" i="13" s="1"/>
  <c r="M3629" i="14"/>
  <c r="J3625" i="13" a="1"/>
  <c r="J3625" i="13" s="1"/>
  <c r="N3626" i="13"/>
  <c r="K3440" i="13" l="1"/>
  <c r="L3440" i="13" s="1"/>
  <c r="I3441" i="13" s="1"/>
  <c r="K3462" i="14"/>
  <c r="L3462" i="14" s="1"/>
  <c r="I3463" i="14" s="1"/>
  <c r="N3626" i="14"/>
  <c r="J3625" i="14" a="1"/>
  <c r="J3625" i="14" s="1"/>
  <c r="N3627" i="13"/>
  <c r="J3626" i="13" a="1"/>
  <c r="J3626" i="13" s="1"/>
  <c r="M3630" i="14"/>
  <c r="M3629" i="13"/>
  <c r="K3463" i="14" l="1"/>
  <c r="L3463" i="14" s="1"/>
  <c r="I3464" i="14" s="1"/>
  <c r="K3441" i="13"/>
  <c r="L3441" i="13" s="1"/>
  <c r="I3442" i="13" s="1"/>
  <c r="J3627" i="13" a="1"/>
  <c r="J3627" i="13" s="1"/>
  <c r="N3628" i="13"/>
  <c r="M3630" i="13"/>
  <c r="M3631" i="14"/>
  <c r="J3626" i="14" a="1"/>
  <c r="J3626" i="14" s="1"/>
  <c r="N3627" i="14"/>
  <c r="K3464" i="14" l="1"/>
  <c r="L3464" i="14" s="1"/>
  <c r="I3465" i="14" s="1"/>
  <c r="K3442" i="13"/>
  <c r="L3442" i="13" s="1"/>
  <c r="I3443" i="13" s="1"/>
  <c r="J3627" i="14" a="1"/>
  <c r="J3627" i="14" s="1"/>
  <c r="N3628" i="14"/>
  <c r="M3631" i="13"/>
  <c r="M3632" i="14"/>
  <c r="J3628" i="13" a="1"/>
  <c r="J3628" i="13" s="1"/>
  <c r="N3629" i="13"/>
  <c r="K3465" i="14" l="1"/>
  <c r="L3465" i="14" s="1"/>
  <c r="I3466" i="14" s="1"/>
  <c r="M3633" i="14"/>
  <c r="J3629" i="13" a="1"/>
  <c r="J3629" i="13" s="1"/>
  <c r="N3630" i="13"/>
  <c r="M3632" i="13"/>
  <c r="K3443" i="13"/>
  <c r="L3443" i="13" s="1"/>
  <c r="I3444" i="13" s="1"/>
  <c r="N3629" i="14"/>
  <c r="J3628" i="14" a="1"/>
  <c r="J3628" i="14" s="1"/>
  <c r="K3444" i="13" l="1"/>
  <c r="L3444" i="13" s="1"/>
  <c r="I3445" i="13" s="1"/>
  <c r="K3466" i="14"/>
  <c r="L3466" i="14" s="1"/>
  <c r="I3467" i="14" s="1"/>
  <c r="N3630" i="14"/>
  <c r="J3629" i="14" a="1"/>
  <c r="J3629" i="14" s="1"/>
  <c r="M3633" i="13"/>
  <c r="M3634" i="14"/>
  <c r="N3631" i="13"/>
  <c r="J3630" i="13" a="1"/>
  <c r="J3630" i="13" s="1"/>
  <c r="K3467" i="14" l="1"/>
  <c r="L3467" i="14" s="1"/>
  <c r="I3468" i="14" s="1"/>
  <c r="K3445" i="13"/>
  <c r="L3445" i="13" s="1"/>
  <c r="I3446" i="13" s="1"/>
  <c r="M3634" i="13"/>
  <c r="J3631" i="13" a="1"/>
  <c r="J3631" i="13" s="1"/>
  <c r="N3632" i="13"/>
  <c r="M3635" i="14"/>
  <c r="J3630" i="14" a="1"/>
  <c r="J3630" i="14" s="1"/>
  <c r="N3631" i="14"/>
  <c r="K3446" i="13" l="1"/>
  <c r="L3446" i="13" s="1"/>
  <c r="I3447" i="13" s="1"/>
  <c r="K3468" i="14"/>
  <c r="L3468" i="14" s="1"/>
  <c r="I3469" i="14" s="1"/>
  <c r="J3631" i="14" a="1"/>
  <c r="J3631" i="14" s="1"/>
  <c r="N3632" i="14"/>
  <c r="J3632" i="13" a="1"/>
  <c r="J3632" i="13" s="1"/>
  <c r="N3633" i="13"/>
  <c r="M3636" i="14"/>
  <c r="M3635" i="13"/>
  <c r="K3469" i="14" l="1"/>
  <c r="L3469" i="14" s="1"/>
  <c r="I3470" i="14" s="1"/>
  <c r="K3447" i="13"/>
  <c r="L3447" i="13" s="1"/>
  <c r="I3448" i="13" s="1"/>
  <c r="J3633" i="13" a="1"/>
  <c r="J3633" i="13" s="1"/>
  <c r="N3634" i="13"/>
  <c r="M3637" i="14"/>
  <c r="J3632" i="14" a="1"/>
  <c r="J3632" i="14" s="1"/>
  <c r="N3633" i="14"/>
  <c r="M3636" i="13"/>
  <c r="K3448" i="13" l="1"/>
  <c r="L3448" i="13" s="1"/>
  <c r="I3449" i="13" s="1"/>
  <c r="K3470" i="14"/>
  <c r="L3470" i="14" s="1"/>
  <c r="I3471" i="14" s="1"/>
  <c r="N3634" i="14"/>
  <c r="J3633" i="14" a="1"/>
  <c r="J3633" i="14" s="1"/>
  <c r="M3637" i="13"/>
  <c r="M3638" i="14"/>
  <c r="N3635" i="13"/>
  <c r="J3634" i="13" a="1"/>
  <c r="J3634" i="13" s="1"/>
  <c r="K3471" i="14" l="1"/>
  <c r="L3471" i="14" s="1"/>
  <c r="I3472" i="14" s="1"/>
  <c r="K3449" i="13"/>
  <c r="L3449" i="13" s="1"/>
  <c r="I3450" i="13" s="1"/>
  <c r="M3638" i="13"/>
  <c r="J3635" i="13" a="1"/>
  <c r="J3635" i="13" s="1"/>
  <c r="N3636" i="13"/>
  <c r="M3639" i="14"/>
  <c r="J3634" i="14" a="1"/>
  <c r="J3634" i="14" s="1"/>
  <c r="N3635" i="14"/>
  <c r="K3450" i="13" l="1"/>
  <c r="L3450" i="13" s="1"/>
  <c r="I3451" i="13" s="1"/>
  <c r="K3472" i="14"/>
  <c r="L3472" i="14" s="1"/>
  <c r="I3473" i="14" s="1"/>
  <c r="J3635" i="14" a="1"/>
  <c r="J3635" i="14" s="1"/>
  <c r="N3636" i="14"/>
  <c r="J3636" i="13" a="1"/>
  <c r="J3636" i="13" s="1"/>
  <c r="N3637" i="13"/>
  <c r="M3640" i="14"/>
  <c r="M3639" i="13"/>
  <c r="K3473" i="14" l="1"/>
  <c r="L3473" i="14" s="1"/>
  <c r="I3474" i="14" s="1"/>
  <c r="K3451" i="13"/>
  <c r="L3451" i="13" s="1"/>
  <c r="I3452" i="13" s="1"/>
  <c r="J3637" i="13" a="1"/>
  <c r="J3637" i="13" s="1"/>
  <c r="N3638" i="13"/>
  <c r="M3640" i="13"/>
  <c r="M3641" i="14"/>
  <c r="N3637" i="14"/>
  <c r="J3636" i="14" a="1"/>
  <c r="J3636" i="14" s="1"/>
  <c r="K3452" i="13" l="1"/>
  <c r="L3452" i="13" s="1"/>
  <c r="I3453" i="13" s="1"/>
  <c r="K3474" i="14"/>
  <c r="L3474" i="14" s="1"/>
  <c r="I3475" i="14" s="1"/>
  <c r="N3638" i="14"/>
  <c r="J3637" i="14" a="1"/>
  <c r="J3637" i="14" s="1"/>
  <c r="M3641" i="13"/>
  <c r="N3639" i="13"/>
  <c r="J3638" i="13" a="1"/>
  <c r="J3638" i="13" s="1"/>
  <c r="M3642" i="14"/>
  <c r="K3475" i="14" l="1"/>
  <c r="L3475" i="14" s="1"/>
  <c r="I3476" i="14" s="1"/>
  <c r="K3453" i="13"/>
  <c r="L3453" i="13" s="1"/>
  <c r="I3454" i="13" s="1"/>
  <c r="M3642" i="13"/>
  <c r="M3643" i="14"/>
  <c r="J3639" i="13" a="1"/>
  <c r="J3639" i="13" s="1"/>
  <c r="N3640" i="13"/>
  <c r="J3638" i="14" a="1"/>
  <c r="J3638" i="14" s="1"/>
  <c r="N3639" i="14"/>
  <c r="K3454" i="13" l="1"/>
  <c r="L3454" i="13" s="1"/>
  <c r="I3455" i="13" s="1"/>
  <c r="K3476" i="14"/>
  <c r="L3476" i="14" s="1"/>
  <c r="I3477" i="14" s="1"/>
  <c r="J3639" i="14" a="1"/>
  <c r="J3639" i="14" s="1"/>
  <c r="N3640" i="14"/>
  <c r="M3644" i="14"/>
  <c r="J3640" i="13" a="1"/>
  <c r="J3640" i="13" s="1"/>
  <c r="N3641" i="13"/>
  <c r="M3643" i="13"/>
  <c r="K3477" i="14" l="1"/>
  <c r="L3477" i="14" s="1"/>
  <c r="I3478" i="14" s="1"/>
  <c r="K3455" i="13"/>
  <c r="L3455" i="13" s="1"/>
  <c r="I3456" i="13" s="1"/>
  <c r="J3641" i="13" a="1"/>
  <c r="J3641" i="13" s="1"/>
  <c r="N3642" i="13"/>
  <c r="M3645" i="14"/>
  <c r="M3644" i="13"/>
  <c r="J3640" i="14" a="1"/>
  <c r="J3640" i="14" s="1"/>
  <c r="N3641" i="14"/>
  <c r="K3456" i="13" l="1"/>
  <c r="L3456" i="13" s="1"/>
  <c r="I3457" i="13" s="1"/>
  <c r="K3478" i="14"/>
  <c r="L3478" i="14" s="1"/>
  <c r="I3479" i="14" s="1"/>
  <c r="N3642" i="14"/>
  <c r="J3641" i="14" a="1"/>
  <c r="J3641" i="14" s="1"/>
  <c r="M3646" i="14"/>
  <c r="N3643" i="13"/>
  <c r="J3642" i="13" a="1"/>
  <c r="J3642" i="13" s="1"/>
  <c r="M3645" i="13"/>
  <c r="K3479" i="14" l="1"/>
  <c r="L3479" i="14" s="1"/>
  <c r="I3480" i="14" s="1"/>
  <c r="K3457" i="13"/>
  <c r="L3457" i="13" s="1"/>
  <c r="I3458" i="13" s="1"/>
  <c r="M3646" i="13"/>
  <c r="M3647" i="14"/>
  <c r="J3643" i="13" a="1"/>
  <c r="J3643" i="13" s="1"/>
  <c r="N3644" i="13"/>
  <c r="J3642" i="14" a="1"/>
  <c r="J3642" i="14" s="1"/>
  <c r="N3643" i="14"/>
  <c r="K3458" i="13" l="1"/>
  <c r="L3458" i="13" s="1"/>
  <c r="I3459" i="13" s="1"/>
  <c r="K3480" i="14"/>
  <c r="L3480" i="14" s="1"/>
  <c r="I3481" i="14" s="1"/>
  <c r="M3648" i="14"/>
  <c r="J3643" i="14" a="1"/>
  <c r="J3643" i="14" s="1"/>
  <c r="N3644" i="14"/>
  <c r="J3644" i="13" a="1"/>
  <c r="J3644" i="13" s="1"/>
  <c r="N3645" i="13"/>
  <c r="M3647" i="13"/>
  <c r="K3481" i="14" l="1"/>
  <c r="L3481" i="14" s="1"/>
  <c r="I3482" i="14" s="1"/>
  <c r="K3459" i="13"/>
  <c r="L3459" i="13" s="1"/>
  <c r="I3460" i="13" s="1"/>
  <c r="N3645" i="14"/>
  <c r="J3644" i="14" a="1"/>
  <c r="J3644" i="14" s="1"/>
  <c r="J3645" i="13" a="1"/>
  <c r="J3645" i="13" s="1"/>
  <c r="N3646" i="13"/>
  <c r="M3649" i="14"/>
  <c r="M3648" i="13"/>
  <c r="K3460" i="13" l="1"/>
  <c r="L3460" i="13" s="1"/>
  <c r="I3461" i="13" s="1"/>
  <c r="K3482" i="14"/>
  <c r="L3482" i="14" s="1"/>
  <c r="I3483" i="14" s="1"/>
  <c r="N3647" i="13"/>
  <c r="J3646" i="13" a="1"/>
  <c r="J3646" i="13" s="1"/>
  <c r="M3649" i="13"/>
  <c r="M3650" i="14"/>
  <c r="N3646" i="14"/>
  <c r="J3645" i="14" a="1"/>
  <c r="J3645" i="14" s="1"/>
  <c r="K3483" i="14" l="1"/>
  <c r="L3483" i="14" s="1"/>
  <c r="I3484" i="14" s="1"/>
  <c r="K3461" i="13"/>
  <c r="L3461" i="13" s="1"/>
  <c r="I3462" i="13" s="1"/>
  <c r="M3650" i="13"/>
  <c r="J3646" i="14" a="1"/>
  <c r="J3646" i="14" s="1"/>
  <c r="N3647" i="14"/>
  <c r="M3651" i="14"/>
  <c r="J3647" i="13" a="1"/>
  <c r="J3647" i="13" s="1"/>
  <c r="N3648" i="13"/>
  <c r="K3484" i="14" l="1"/>
  <c r="L3484" i="14" s="1"/>
  <c r="I3485" i="14" s="1"/>
  <c r="J3647" i="14" a="1"/>
  <c r="J3647" i="14" s="1"/>
  <c r="N3648" i="14"/>
  <c r="J3648" i="13" a="1"/>
  <c r="J3648" i="13" s="1"/>
  <c r="N3649" i="13"/>
  <c r="K3462" i="13"/>
  <c r="L3462" i="13" s="1"/>
  <c r="I3463" i="13" s="1"/>
  <c r="M3652" i="14"/>
  <c r="M3651" i="13"/>
  <c r="K3463" i="13" l="1"/>
  <c r="L3463" i="13" s="1"/>
  <c r="I3464" i="13" s="1"/>
  <c r="K3485" i="14"/>
  <c r="L3485" i="14" s="1"/>
  <c r="I3486" i="14" s="1"/>
  <c r="J3648" i="14" a="1"/>
  <c r="J3648" i="14" s="1"/>
  <c r="N3649" i="14"/>
  <c r="M3652" i="13"/>
  <c r="J3649" i="13" a="1"/>
  <c r="J3649" i="13" s="1"/>
  <c r="N3650" i="13"/>
  <c r="M3653" i="14"/>
  <c r="K3486" i="14" l="1"/>
  <c r="L3486" i="14" s="1"/>
  <c r="I3487" i="14" s="1"/>
  <c r="K3464" i="13"/>
  <c r="L3464" i="13" s="1"/>
  <c r="I3465" i="13" s="1"/>
  <c r="M3654" i="14"/>
  <c r="M3653" i="13"/>
  <c r="N3651" i="13"/>
  <c r="J3650" i="13" a="1"/>
  <c r="J3650" i="13" s="1"/>
  <c r="N3650" i="14"/>
  <c r="J3649" i="14" a="1"/>
  <c r="J3649" i="14" s="1"/>
  <c r="K3487" i="14" l="1"/>
  <c r="L3487" i="14" s="1"/>
  <c r="I3488" i="14" s="1"/>
  <c r="M3654" i="13"/>
  <c r="K3465" i="13"/>
  <c r="L3465" i="13" s="1"/>
  <c r="I3466" i="13" s="1"/>
  <c r="J3650" i="14" a="1"/>
  <c r="J3650" i="14" s="1"/>
  <c r="N3651" i="14"/>
  <c r="J3651" i="13" a="1"/>
  <c r="J3651" i="13" s="1"/>
  <c r="N3652" i="13"/>
  <c r="M3655" i="14"/>
  <c r="K3466" i="13" l="1"/>
  <c r="L3466" i="13" s="1"/>
  <c r="I3467" i="13" s="1"/>
  <c r="K3488" i="14"/>
  <c r="L3488" i="14" s="1"/>
  <c r="I3489" i="14" s="1"/>
  <c r="J3651" i="14" a="1"/>
  <c r="J3651" i="14" s="1"/>
  <c r="N3652" i="14"/>
  <c r="M3655" i="13"/>
  <c r="J3652" i="13" a="1"/>
  <c r="J3652" i="13" s="1"/>
  <c r="N3653" i="13"/>
  <c r="M3656" i="14"/>
  <c r="K3489" i="14" l="1"/>
  <c r="L3489" i="14" s="1"/>
  <c r="I3490" i="14" s="1"/>
  <c r="K3467" i="13"/>
  <c r="L3467" i="13" s="1"/>
  <c r="I3468" i="13" s="1"/>
  <c r="M3657" i="14"/>
  <c r="M3656" i="13"/>
  <c r="J3653" i="13" a="1"/>
  <c r="J3653" i="13" s="1"/>
  <c r="N3654" i="13"/>
  <c r="N3653" i="14"/>
  <c r="J3652" i="14" a="1"/>
  <c r="J3652" i="14" s="1"/>
  <c r="K3468" i="13" l="1"/>
  <c r="L3468" i="13" s="1"/>
  <c r="I3469" i="13" s="1"/>
  <c r="K3490" i="14"/>
  <c r="L3490" i="14" s="1"/>
  <c r="I3491" i="14" s="1"/>
  <c r="N3654" i="14"/>
  <c r="J3653" i="14" a="1"/>
  <c r="J3653" i="14" s="1"/>
  <c r="M3657" i="13"/>
  <c r="N3655" i="13"/>
  <c r="J3654" i="13" a="1"/>
  <c r="J3654" i="13" s="1"/>
  <c r="M3658" i="14"/>
  <c r="K3491" i="14" l="1"/>
  <c r="L3491" i="14" s="1"/>
  <c r="I3492" i="14" s="1"/>
  <c r="K3469" i="13"/>
  <c r="L3469" i="13" s="1"/>
  <c r="I3470" i="13" s="1"/>
  <c r="J3655" i="13" a="1"/>
  <c r="J3655" i="13" s="1"/>
  <c r="N3656" i="13"/>
  <c r="M3658" i="13"/>
  <c r="M3659" i="14"/>
  <c r="J3654" i="14" a="1"/>
  <c r="J3654" i="14" s="1"/>
  <c r="N3655" i="14"/>
  <c r="K3492" i="14" l="1"/>
  <c r="L3492" i="14" s="1"/>
  <c r="I3493" i="14" s="1"/>
  <c r="J3656" i="13" a="1"/>
  <c r="J3656" i="13" s="1"/>
  <c r="N3657" i="13"/>
  <c r="M3660" i="14"/>
  <c r="J3655" i="14" a="1"/>
  <c r="J3655" i="14" s="1"/>
  <c r="N3656" i="14"/>
  <c r="M3659" i="13"/>
  <c r="K3470" i="13"/>
  <c r="L3470" i="13" s="1"/>
  <c r="I3471" i="13" s="1"/>
  <c r="K3471" i="13" l="1"/>
  <c r="L3471" i="13" s="1"/>
  <c r="I3472" i="13" s="1"/>
  <c r="K3493" i="14"/>
  <c r="L3493" i="14" s="1"/>
  <c r="I3494" i="14" s="1"/>
  <c r="J3657" i="13" a="1"/>
  <c r="J3657" i="13" s="1"/>
  <c r="N3658" i="13"/>
  <c r="J3656" i="14" a="1"/>
  <c r="J3656" i="14" s="1"/>
  <c r="N3657" i="14"/>
  <c r="M3661" i="14"/>
  <c r="M3660" i="13"/>
  <c r="K3494" i="14" l="1"/>
  <c r="L3494" i="14" s="1"/>
  <c r="I3495" i="14" s="1"/>
  <c r="K3472" i="13"/>
  <c r="L3472" i="13" s="1"/>
  <c r="I3473" i="13" s="1"/>
  <c r="N3658" i="14"/>
  <c r="J3657" i="14" a="1"/>
  <c r="J3657" i="14" s="1"/>
  <c r="N3659" i="13"/>
  <c r="J3658" i="13" a="1"/>
  <c r="J3658" i="13" s="1"/>
  <c r="M3661" i="13"/>
  <c r="M3662" i="14"/>
  <c r="K3473" i="13" l="1"/>
  <c r="L3473" i="13" s="1"/>
  <c r="I3474" i="13" s="1"/>
  <c r="K3495" i="14"/>
  <c r="L3495" i="14" s="1"/>
  <c r="I3496" i="14" s="1"/>
  <c r="J3659" i="13" a="1"/>
  <c r="J3659" i="13" s="1"/>
  <c r="N3660" i="13"/>
  <c r="M3663" i="14"/>
  <c r="M3662" i="13"/>
  <c r="J3658" i="14" a="1"/>
  <c r="J3658" i="14" s="1"/>
  <c r="N3659" i="14"/>
  <c r="K3496" i="14" l="1"/>
  <c r="L3496" i="14" s="1"/>
  <c r="I3497" i="14" s="1"/>
  <c r="K3474" i="13"/>
  <c r="L3474" i="13" s="1"/>
  <c r="I3475" i="13" s="1"/>
  <c r="M3664" i="14"/>
  <c r="J3660" i="13" a="1"/>
  <c r="J3660" i="13" s="1"/>
  <c r="N3661" i="13"/>
  <c r="J3659" i="14" a="1"/>
  <c r="J3659" i="14" s="1"/>
  <c r="N3660" i="14"/>
  <c r="M3663" i="13"/>
  <c r="K3475" i="13" l="1"/>
  <c r="L3475" i="13" s="1"/>
  <c r="I3476" i="13" s="1"/>
  <c r="J3661" i="13" a="1"/>
  <c r="J3661" i="13" s="1"/>
  <c r="N3662" i="13"/>
  <c r="M3664" i="13"/>
  <c r="N3661" i="14"/>
  <c r="J3660" i="14" a="1"/>
  <c r="J3660" i="14" s="1"/>
  <c r="M3665" i="14"/>
  <c r="K3497" i="14"/>
  <c r="L3497" i="14" s="1"/>
  <c r="I3498" i="14" s="1"/>
  <c r="K3498" i="14" l="1"/>
  <c r="L3498" i="14" s="1"/>
  <c r="I3499" i="14" s="1"/>
  <c r="K3476" i="13"/>
  <c r="L3476" i="13" s="1"/>
  <c r="I3477" i="13" s="1"/>
  <c r="N3663" i="13"/>
  <c r="J3662" i="13" a="1"/>
  <c r="J3662" i="13" s="1"/>
  <c r="N3662" i="14"/>
  <c r="J3661" i="14" a="1"/>
  <c r="J3661" i="14" s="1"/>
  <c r="M3666" i="14"/>
  <c r="M3665" i="13"/>
  <c r="K3477" i="13" l="1"/>
  <c r="L3477" i="13" s="1"/>
  <c r="I3478" i="13" s="1"/>
  <c r="J3663" i="13" a="1"/>
  <c r="J3663" i="13" s="1"/>
  <c r="N3664" i="13"/>
  <c r="M3666" i="13"/>
  <c r="J3662" i="14" a="1"/>
  <c r="J3662" i="14" s="1"/>
  <c r="N3663" i="14"/>
  <c r="M3667" i="14"/>
  <c r="K3499" i="14"/>
  <c r="L3499" i="14" s="1"/>
  <c r="I3500" i="14" s="1"/>
  <c r="K3500" i="14" l="1"/>
  <c r="L3500" i="14" s="1"/>
  <c r="I3501" i="14" s="1"/>
  <c r="K3478" i="13"/>
  <c r="L3478" i="13" s="1"/>
  <c r="I3479" i="13" s="1"/>
  <c r="J3664" i="13" a="1"/>
  <c r="J3664" i="13" s="1"/>
  <c r="N3665" i="13"/>
  <c r="J3663" i="14" a="1"/>
  <c r="J3663" i="14" s="1"/>
  <c r="N3664" i="14"/>
  <c r="M3668" i="14"/>
  <c r="M3667" i="13"/>
  <c r="K3479" i="13" l="1"/>
  <c r="L3479" i="13" s="1"/>
  <c r="I3480" i="13" s="1"/>
  <c r="K3501" i="14"/>
  <c r="L3501" i="14" s="1"/>
  <c r="I3502" i="14" s="1"/>
  <c r="J3664" i="14" a="1"/>
  <c r="J3664" i="14" s="1"/>
  <c r="N3665" i="14"/>
  <c r="J3665" i="13" a="1"/>
  <c r="J3665" i="13" s="1"/>
  <c r="N3666" i="13"/>
  <c r="M3668" i="13"/>
  <c r="M3669" i="14"/>
  <c r="K3502" i="14" l="1"/>
  <c r="L3502" i="14" s="1"/>
  <c r="I3503" i="14" s="1"/>
  <c r="K3480" i="13"/>
  <c r="L3480" i="13" s="1"/>
  <c r="I3481" i="13" s="1"/>
  <c r="N3667" i="13"/>
  <c r="J3666" i="13" a="1"/>
  <c r="J3666" i="13" s="1"/>
  <c r="N3666" i="14"/>
  <c r="J3665" i="14" a="1"/>
  <c r="J3665" i="14" s="1"/>
  <c r="M3670" i="14"/>
  <c r="M3669" i="13"/>
  <c r="K3481" i="13" l="1"/>
  <c r="L3481" i="13" s="1"/>
  <c r="I3482" i="13" s="1"/>
  <c r="K3503" i="14"/>
  <c r="L3503" i="14" s="1"/>
  <c r="I3504" i="14" s="1"/>
  <c r="J3666" i="14" a="1"/>
  <c r="J3666" i="14" s="1"/>
  <c r="N3667" i="14"/>
  <c r="M3670" i="13"/>
  <c r="M3671" i="14"/>
  <c r="J3667" i="13" a="1"/>
  <c r="J3667" i="13" s="1"/>
  <c r="N3668" i="13"/>
  <c r="K3504" i="14" l="1"/>
  <c r="L3504" i="14" s="1"/>
  <c r="I3505" i="14" s="1"/>
  <c r="K3482" i="13"/>
  <c r="L3482" i="13" s="1"/>
  <c r="I3483" i="13" s="1"/>
  <c r="J3668" i="13" a="1"/>
  <c r="J3668" i="13" s="1"/>
  <c r="N3669" i="13"/>
  <c r="M3671" i="13"/>
  <c r="M3672" i="14"/>
  <c r="J3667" i="14" a="1"/>
  <c r="J3667" i="14" s="1"/>
  <c r="N3668" i="14"/>
  <c r="K3483" i="13" l="1"/>
  <c r="L3483" i="13" s="1"/>
  <c r="I3484" i="13" s="1"/>
  <c r="K3505" i="14"/>
  <c r="L3505" i="14" s="1"/>
  <c r="I3506" i="14" s="1"/>
  <c r="N3669" i="14"/>
  <c r="J3668" i="14" a="1"/>
  <c r="J3668" i="14" s="1"/>
  <c r="M3672" i="13"/>
  <c r="M3673" i="14"/>
  <c r="J3669" i="13" a="1"/>
  <c r="J3669" i="13" s="1"/>
  <c r="N3670" i="13"/>
  <c r="K3506" i="14" l="1"/>
  <c r="L3506" i="14" s="1"/>
  <c r="I3507" i="14" s="1"/>
  <c r="K3484" i="13"/>
  <c r="L3484" i="13" s="1"/>
  <c r="I3485" i="13" s="1"/>
  <c r="N3671" i="13"/>
  <c r="J3670" i="13" a="1"/>
  <c r="J3670" i="13" s="1"/>
  <c r="M3673" i="13"/>
  <c r="M3674" i="14"/>
  <c r="N3670" i="14"/>
  <c r="J3669" i="14" a="1"/>
  <c r="J3669" i="14" s="1"/>
  <c r="K3485" i="13" l="1"/>
  <c r="L3485" i="13" s="1"/>
  <c r="I3486" i="13" s="1"/>
  <c r="K3507" i="14"/>
  <c r="L3507" i="14" s="1"/>
  <c r="I3508" i="14" s="1"/>
  <c r="M3674" i="13"/>
  <c r="J3670" i="14" a="1"/>
  <c r="J3670" i="14" s="1"/>
  <c r="N3671" i="14"/>
  <c r="M3675" i="14"/>
  <c r="J3671" i="13" a="1"/>
  <c r="J3671" i="13" s="1"/>
  <c r="N3672" i="13"/>
  <c r="K3508" i="14" l="1"/>
  <c r="L3508" i="14" s="1"/>
  <c r="I3509" i="14" s="1"/>
  <c r="K3486" i="13"/>
  <c r="L3486" i="13" s="1"/>
  <c r="I3487" i="13" s="1"/>
  <c r="J3672" i="13" a="1"/>
  <c r="J3672" i="13" s="1"/>
  <c r="N3673" i="13"/>
  <c r="J3671" i="14" a="1"/>
  <c r="J3671" i="14" s="1"/>
  <c r="N3672" i="14"/>
  <c r="M3676" i="14"/>
  <c r="M3675" i="13"/>
  <c r="K3487" i="13" l="1"/>
  <c r="L3487" i="13" s="1"/>
  <c r="I3488" i="13" s="1"/>
  <c r="K3509" i="14"/>
  <c r="L3509" i="14" s="1"/>
  <c r="I3510" i="14" s="1"/>
  <c r="J3672" i="14" a="1"/>
  <c r="J3672" i="14" s="1"/>
  <c r="N3673" i="14"/>
  <c r="M3676" i="13"/>
  <c r="M3677" i="14"/>
  <c r="J3673" i="13" a="1"/>
  <c r="J3673" i="13" s="1"/>
  <c r="N3674" i="13"/>
  <c r="K3510" i="14" l="1"/>
  <c r="L3510" i="14" s="1"/>
  <c r="I3511" i="14" s="1"/>
  <c r="K3488" i="13"/>
  <c r="L3488" i="13" s="1"/>
  <c r="I3489" i="13" s="1"/>
  <c r="N3675" i="13"/>
  <c r="J3674" i="13" a="1"/>
  <c r="J3674" i="13" s="1"/>
  <c r="M3677" i="13"/>
  <c r="N3674" i="14"/>
  <c r="J3673" i="14" a="1"/>
  <c r="J3673" i="14" s="1"/>
  <c r="M3678" i="14"/>
  <c r="K3489" i="13" l="1"/>
  <c r="L3489" i="13" s="1"/>
  <c r="I3490" i="13" s="1"/>
  <c r="K3511" i="14"/>
  <c r="L3511" i="14" s="1"/>
  <c r="I3512" i="14" s="1"/>
  <c r="M3678" i="13"/>
  <c r="M3679" i="14"/>
  <c r="J3674" i="14" a="1"/>
  <c r="J3674" i="14" s="1"/>
  <c r="N3675" i="14"/>
  <c r="J3675" i="13" a="1"/>
  <c r="J3675" i="13" s="1"/>
  <c r="N3676" i="13"/>
  <c r="K3512" i="14" l="1"/>
  <c r="L3512" i="14" s="1"/>
  <c r="I3513" i="14" s="1"/>
  <c r="K3490" i="13"/>
  <c r="L3490" i="13" s="1"/>
  <c r="I3491" i="13" s="1"/>
  <c r="J3676" i="13" a="1"/>
  <c r="J3676" i="13" s="1"/>
  <c r="N3677" i="13"/>
  <c r="M3680" i="14"/>
  <c r="J3675" i="14" a="1"/>
  <c r="J3675" i="14" s="1"/>
  <c r="N3676" i="14"/>
  <c r="M3679" i="13"/>
  <c r="K3491" i="13" l="1"/>
  <c r="L3491" i="13" s="1"/>
  <c r="I3492" i="13" s="1"/>
  <c r="K3513" i="14"/>
  <c r="L3513" i="14" s="1"/>
  <c r="I3514" i="14" s="1"/>
  <c r="M3681" i="14"/>
  <c r="M3680" i="13"/>
  <c r="N3677" i="14"/>
  <c r="J3676" i="14" a="1"/>
  <c r="J3676" i="14" s="1"/>
  <c r="J3677" i="13" a="1"/>
  <c r="J3677" i="13" s="1"/>
  <c r="N3678" i="13"/>
  <c r="K3514" i="14" l="1"/>
  <c r="L3514" i="14" s="1"/>
  <c r="I3515" i="14" s="1"/>
  <c r="K3492" i="13"/>
  <c r="L3492" i="13" s="1"/>
  <c r="I3493" i="13" s="1"/>
  <c r="M3681" i="13"/>
  <c r="N3679" i="13"/>
  <c r="J3678" i="13" a="1"/>
  <c r="J3678" i="13" s="1"/>
  <c r="N3678" i="14"/>
  <c r="J3677" i="14" a="1"/>
  <c r="J3677" i="14" s="1"/>
  <c r="M3682" i="14"/>
  <c r="K3493" i="13" l="1"/>
  <c r="L3493" i="13" s="1"/>
  <c r="I3494" i="13" s="1"/>
  <c r="K3515" i="14"/>
  <c r="L3515" i="14" s="1"/>
  <c r="I3516" i="14" s="1"/>
  <c r="J3679" i="13" a="1"/>
  <c r="J3679" i="13" s="1"/>
  <c r="N3680" i="13"/>
  <c r="M3682" i="13"/>
  <c r="M3683" i="14"/>
  <c r="J3678" i="14" a="1"/>
  <c r="J3678" i="14" s="1"/>
  <c r="N3679" i="14"/>
  <c r="K3516" i="14" l="1"/>
  <c r="L3516" i="14" s="1"/>
  <c r="I3517" i="14" s="1"/>
  <c r="K3494" i="13"/>
  <c r="L3494" i="13" s="1"/>
  <c r="I3495" i="13" s="1"/>
  <c r="M3683" i="13"/>
  <c r="J3680" i="13" a="1"/>
  <c r="J3680" i="13" s="1"/>
  <c r="N3681" i="13"/>
  <c r="J3679" i="14" a="1"/>
  <c r="J3679" i="14" s="1"/>
  <c r="N3680" i="14"/>
  <c r="M3684" i="14"/>
  <c r="K3495" i="13" l="1"/>
  <c r="L3495" i="13" s="1"/>
  <c r="I3496" i="13" s="1"/>
  <c r="K3517" i="14"/>
  <c r="L3517" i="14" s="1"/>
  <c r="I3518" i="14" s="1"/>
  <c r="J3681" i="13" a="1"/>
  <c r="J3681" i="13" s="1"/>
  <c r="N3682" i="13"/>
  <c r="J3680" i="14" a="1"/>
  <c r="J3680" i="14" s="1"/>
  <c r="N3681" i="14"/>
  <c r="M3685" i="14"/>
  <c r="M3684" i="13"/>
  <c r="K3518" i="14" l="1"/>
  <c r="L3518" i="14" s="1"/>
  <c r="I3519" i="14" s="1"/>
  <c r="K3496" i="13"/>
  <c r="L3496" i="13" s="1"/>
  <c r="I3497" i="13" s="1"/>
  <c r="N3682" i="14"/>
  <c r="J3681" i="14" a="1"/>
  <c r="J3681" i="14" s="1"/>
  <c r="N3683" i="13"/>
  <c r="J3682" i="13" a="1"/>
  <c r="J3682" i="13" s="1"/>
  <c r="M3685" i="13"/>
  <c r="M3686" i="14"/>
  <c r="K3497" i="13" l="1"/>
  <c r="L3497" i="13" s="1"/>
  <c r="I3498" i="13" s="1"/>
  <c r="K3519" i="14"/>
  <c r="L3519" i="14" s="1"/>
  <c r="I3520" i="14" s="1"/>
  <c r="J3683" i="13" a="1"/>
  <c r="J3683" i="13" s="1"/>
  <c r="N3684" i="13"/>
  <c r="M3687" i="14"/>
  <c r="M3686" i="13"/>
  <c r="J3682" i="14" a="1"/>
  <c r="J3682" i="14" s="1"/>
  <c r="N3683" i="14"/>
  <c r="K3520" i="14" l="1"/>
  <c r="L3520" i="14" s="1"/>
  <c r="I3521" i="14" s="1"/>
  <c r="K3498" i="13"/>
  <c r="L3498" i="13" s="1"/>
  <c r="I3499" i="13" s="1"/>
  <c r="J3683" i="14" a="1"/>
  <c r="J3683" i="14" s="1"/>
  <c r="N3684" i="14"/>
  <c r="J3684" i="13" a="1"/>
  <c r="J3684" i="13" s="1"/>
  <c r="N3685" i="13"/>
  <c r="M3688" i="14"/>
  <c r="M3687" i="13"/>
  <c r="K3499" i="13" l="1"/>
  <c r="L3499" i="13" s="1"/>
  <c r="I3500" i="13" s="1"/>
  <c r="K3521" i="14"/>
  <c r="L3521" i="14" s="1"/>
  <c r="I3522" i="14" s="1"/>
  <c r="J3685" i="13" a="1"/>
  <c r="J3685" i="13" s="1"/>
  <c r="N3686" i="13"/>
  <c r="N3685" i="14"/>
  <c r="J3684" i="14" a="1"/>
  <c r="J3684" i="14" s="1"/>
  <c r="M3688" i="13"/>
  <c r="M3689" i="14"/>
  <c r="K3522" i="14" l="1"/>
  <c r="L3522" i="14" s="1"/>
  <c r="I3523" i="14" s="1"/>
  <c r="K3500" i="13"/>
  <c r="L3500" i="13" s="1"/>
  <c r="I3501" i="13" s="1"/>
  <c r="J3685" i="14" a="1"/>
  <c r="J3685" i="14" s="1"/>
  <c r="N3686" i="14"/>
  <c r="M3690" i="14"/>
  <c r="N3687" i="13"/>
  <c r="J3686" i="13" a="1"/>
  <c r="J3686" i="13" s="1"/>
  <c r="M3689" i="13"/>
  <c r="K3501" i="13" l="1"/>
  <c r="L3501" i="13" s="1"/>
  <c r="I3502" i="13" s="1"/>
  <c r="K3523" i="14"/>
  <c r="L3523" i="14" s="1"/>
  <c r="I3524" i="14" s="1"/>
  <c r="M3690" i="13"/>
  <c r="M3691" i="14"/>
  <c r="N3687" i="14"/>
  <c r="J3686" i="14" a="1"/>
  <c r="J3686" i="14" s="1"/>
  <c r="J3687" i="13" a="1"/>
  <c r="J3687" i="13" s="1"/>
  <c r="N3688" i="13"/>
  <c r="K3524" i="14" l="1"/>
  <c r="L3524" i="14" s="1"/>
  <c r="I3525" i="14" s="1"/>
  <c r="K3502" i="13"/>
  <c r="L3502" i="13" s="1"/>
  <c r="I3503" i="13" s="1"/>
  <c r="J3688" i="13" a="1"/>
  <c r="J3688" i="13" s="1"/>
  <c r="N3689" i="13"/>
  <c r="M3692" i="14"/>
  <c r="N3688" i="14"/>
  <c r="J3687" i="14" a="1"/>
  <c r="J3687" i="14" s="1"/>
  <c r="M3691" i="13"/>
  <c r="K3503" i="13" l="1"/>
  <c r="L3503" i="13" s="1"/>
  <c r="I3504" i="13" s="1"/>
  <c r="K3525" i="14"/>
  <c r="L3525" i="14" s="1"/>
  <c r="I3526" i="14" s="1"/>
  <c r="N3689" i="14"/>
  <c r="J3688" i="14" a="1"/>
  <c r="J3688" i="14" s="1"/>
  <c r="M3692" i="13"/>
  <c r="M3693" i="14"/>
  <c r="J3689" i="13" a="1"/>
  <c r="J3689" i="13" s="1"/>
  <c r="N3690" i="13"/>
  <c r="K3526" i="14" l="1"/>
  <c r="L3526" i="14" s="1"/>
  <c r="I3527" i="14" s="1"/>
  <c r="K3504" i="13"/>
  <c r="L3504" i="13" s="1"/>
  <c r="I3505" i="13" s="1"/>
  <c r="M3693" i="13"/>
  <c r="N3691" i="13"/>
  <c r="J3690" i="13" a="1"/>
  <c r="J3690" i="13" s="1"/>
  <c r="M3694" i="14"/>
  <c r="J3689" i="14" a="1"/>
  <c r="J3689" i="14" s="1"/>
  <c r="N3690" i="14"/>
  <c r="K3505" i="13" l="1"/>
  <c r="L3505" i="13" s="1"/>
  <c r="I3506" i="13" s="1"/>
  <c r="K3527" i="14"/>
  <c r="L3527" i="14" s="1"/>
  <c r="I3528" i="14" s="1"/>
  <c r="N3691" i="14"/>
  <c r="J3690" i="14" a="1"/>
  <c r="J3690" i="14" s="1"/>
  <c r="J3691" i="13" a="1"/>
  <c r="J3691" i="13" s="1"/>
  <c r="N3692" i="13"/>
  <c r="M3695" i="14"/>
  <c r="M3694" i="13"/>
  <c r="K3506" i="13" l="1"/>
  <c r="L3506" i="13" s="1"/>
  <c r="I3507" i="13" s="1"/>
  <c r="K3528" i="14"/>
  <c r="L3528" i="14" s="1"/>
  <c r="I3529" i="14" s="1"/>
  <c r="J3692" i="13" a="1"/>
  <c r="J3692" i="13" s="1"/>
  <c r="N3693" i="13"/>
  <c r="M3695" i="13"/>
  <c r="M3696" i="14"/>
  <c r="J3691" i="14" a="1"/>
  <c r="J3691" i="14" s="1"/>
  <c r="N3692" i="14"/>
  <c r="K3529" i="14" l="1"/>
  <c r="L3529" i="14" s="1"/>
  <c r="I3530" i="14" s="1"/>
  <c r="K3507" i="13"/>
  <c r="L3507" i="13" s="1"/>
  <c r="I3508" i="13" s="1"/>
  <c r="N3693" i="14"/>
  <c r="J3692" i="14" a="1"/>
  <c r="J3692" i="14" s="1"/>
  <c r="M3696" i="13"/>
  <c r="J3693" i="13" a="1"/>
  <c r="J3693" i="13" s="1"/>
  <c r="N3694" i="13"/>
  <c r="M3697" i="14"/>
  <c r="K3508" i="13" l="1"/>
  <c r="L3508" i="13" s="1"/>
  <c r="I3509" i="13" s="1"/>
  <c r="K3530" i="14"/>
  <c r="L3530" i="14" s="1"/>
  <c r="I3531" i="14" s="1"/>
  <c r="M3698" i="14"/>
  <c r="N3695" i="13"/>
  <c r="J3694" i="13" a="1"/>
  <c r="J3694" i="13" s="1"/>
  <c r="M3697" i="13"/>
  <c r="J3693" i="14" a="1"/>
  <c r="J3693" i="14" s="1"/>
  <c r="N3694" i="14"/>
  <c r="K3531" i="14" l="1"/>
  <c r="L3531" i="14" s="1"/>
  <c r="I3532" i="14" s="1"/>
  <c r="K3509" i="13"/>
  <c r="L3509" i="13" s="1"/>
  <c r="I3510" i="13" s="1"/>
  <c r="J3694" i="14" a="1"/>
  <c r="J3694" i="14" s="1"/>
  <c r="N3695" i="14"/>
  <c r="J3695" i="13" a="1"/>
  <c r="J3695" i="13" s="1"/>
  <c r="N3696" i="13"/>
  <c r="M3698" i="13"/>
  <c r="M3699" i="14"/>
  <c r="K3510" i="13" l="1"/>
  <c r="L3510" i="13" s="1"/>
  <c r="I3511" i="13" s="1"/>
  <c r="K3532" i="14"/>
  <c r="L3532" i="14" s="1"/>
  <c r="I3533" i="14" s="1"/>
  <c r="M3700" i="14"/>
  <c r="J3696" i="13" a="1"/>
  <c r="J3696" i="13" s="1"/>
  <c r="N3697" i="13"/>
  <c r="N3696" i="14"/>
  <c r="J3695" i="14" a="1"/>
  <c r="J3695" i="14" s="1"/>
  <c r="M3699" i="13"/>
  <c r="K3533" i="14" l="1"/>
  <c r="L3533" i="14" s="1"/>
  <c r="I3534" i="14" s="1"/>
  <c r="K3511" i="13"/>
  <c r="L3511" i="13" s="1"/>
  <c r="I3512" i="13" s="1"/>
  <c r="J3697" i="13" a="1"/>
  <c r="J3697" i="13" s="1"/>
  <c r="N3698" i="13"/>
  <c r="M3700" i="13"/>
  <c r="N3697" i="14"/>
  <c r="J3696" i="14" a="1"/>
  <c r="J3696" i="14" s="1"/>
  <c r="M3701" i="14"/>
  <c r="K3512" i="13" l="1"/>
  <c r="L3512" i="13" s="1"/>
  <c r="I3513" i="13" s="1"/>
  <c r="K3534" i="14"/>
  <c r="L3534" i="14" s="1"/>
  <c r="I3535" i="14" s="1"/>
  <c r="J3697" i="14" a="1"/>
  <c r="J3697" i="14" s="1"/>
  <c r="N3698" i="14"/>
  <c r="M3702" i="14"/>
  <c r="M3701" i="13"/>
  <c r="N3699" i="13"/>
  <c r="J3698" i="13" a="1"/>
  <c r="J3698" i="13" s="1"/>
  <c r="K3535" i="14" l="1"/>
  <c r="L3535" i="14" s="1"/>
  <c r="I3536" i="14" s="1"/>
  <c r="K3513" i="13"/>
  <c r="L3513" i="13" s="1"/>
  <c r="I3514" i="13" s="1"/>
  <c r="M3703" i="14"/>
  <c r="J3699" i="13" a="1"/>
  <c r="J3699" i="13" s="1"/>
  <c r="N3700" i="13"/>
  <c r="M3702" i="13"/>
  <c r="N3699" i="14"/>
  <c r="J3698" i="14" a="1"/>
  <c r="J3698" i="14" s="1"/>
  <c r="K3514" i="13" l="1"/>
  <c r="L3514" i="13" s="1"/>
  <c r="I3515" i="13" s="1"/>
  <c r="K3536" i="14"/>
  <c r="L3536" i="14" s="1"/>
  <c r="I3537" i="14" s="1"/>
  <c r="J3700" i="13" a="1"/>
  <c r="J3700" i="13" s="1"/>
  <c r="N3701" i="13"/>
  <c r="N3700" i="14"/>
  <c r="J3699" i="14" a="1"/>
  <c r="J3699" i="14" s="1"/>
  <c r="M3704" i="14"/>
  <c r="M3703" i="13"/>
  <c r="K3537" i="14" l="1"/>
  <c r="L3537" i="14" s="1"/>
  <c r="I3538" i="14" s="1"/>
  <c r="K3515" i="13"/>
  <c r="L3515" i="13" s="1"/>
  <c r="I3516" i="13" s="1"/>
  <c r="N3701" i="14"/>
  <c r="J3700" i="14" a="1"/>
  <c r="J3700" i="14" s="1"/>
  <c r="J3701" i="13" a="1"/>
  <c r="J3701" i="13" s="1"/>
  <c r="N3702" i="13"/>
  <c r="M3704" i="13"/>
  <c r="M3705" i="14"/>
  <c r="K3538" i="14" l="1"/>
  <c r="L3538" i="14" s="1"/>
  <c r="I3539" i="14" s="1"/>
  <c r="M3706" i="14"/>
  <c r="N3703" i="13"/>
  <c r="J3702" i="13" a="1"/>
  <c r="J3702" i="13" s="1"/>
  <c r="K3516" i="13"/>
  <c r="L3516" i="13" s="1"/>
  <c r="I3517" i="13" s="1"/>
  <c r="M3705" i="13"/>
  <c r="J3701" i="14" a="1"/>
  <c r="J3701" i="14" s="1"/>
  <c r="N3702" i="14"/>
  <c r="K3539" i="14" l="1"/>
  <c r="L3539" i="14" s="1"/>
  <c r="I3540" i="14" s="1"/>
  <c r="N3703" i="14"/>
  <c r="J3702" i="14" a="1"/>
  <c r="J3702" i="14" s="1"/>
  <c r="M3707" i="14"/>
  <c r="K3517" i="13"/>
  <c r="L3517" i="13" s="1"/>
  <c r="I3518" i="13" s="1"/>
  <c r="M3706" i="13"/>
  <c r="J3703" i="13" a="1"/>
  <c r="J3703" i="13" s="1"/>
  <c r="N3704" i="13"/>
  <c r="K3518" i="13" l="1"/>
  <c r="L3518" i="13" s="1"/>
  <c r="I3519" i="13" s="1"/>
  <c r="K3540" i="14"/>
  <c r="L3540" i="14" s="1"/>
  <c r="I3541" i="14" s="1"/>
  <c r="J3704" i="13" a="1"/>
  <c r="J3704" i="13" s="1"/>
  <c r="N3705" i="13"/>
  <c r="N3704" i="14"/>
  <c r="J3703" i="14" a="1"/>
  <c r="J3703" i="14" s="1"/>
  <c r="M3708" i="14"/>
  <c r="M3707" i="13"/>
  <c r="K3541" i="14" l="1"/>
  <c r="L3541" i="14" s="1"/>
  <c r="I3542" i="14" s="1"/>
  <c r="K3519" i="13"/>
  <c r="L3519" i="13" s="1"/>
  <c r="I3520" i="13" s="1"/>
  <c r="N3705" i="14"/>
  <c r="J3704" i="14" a="1"/>
  <c r="J3704" i="14" s="1"/>
  <c r="J3705" i="13" a="1"/>
  <c r="J3705" i="13" s="1"/>
  <c r="N3706" i="13"/>
  <c r="M3708" i="13"/>
  <c r="M3709" i="14"/>
  <c r="K3542" i="14" l="1"/>
  <c r="L3542" i="14" s="1"/>
  <c r="I3543" i="14" s="1"/>
  <c r="N3707" i="13"/>
  <c r="J3706" i="13" a="1"/>
  <c r="J3706" i="13" s="1"/>
  <c r="K3520" i="13"/>
  <c r="L3520" i="13" s="1"/>
  <c r="I3521" i="13" s="1"/>
  <c r="M3710" i="14"/>
  <c r="M3709" i="13"/>
  <c r="J3705" i="14" a="1"/>
  <c r="J3705" i="14" s="1"/>
  <c r="N3706" i="14"/>
  <c r="K3521" i="13" l="1"/>
  <c r="L3521" i="13" s="1"/>
  <c r="I3522" i="13" s="1"/>
  <c r="K3543" i="14"/>
  <c r="L3543" i="14" s="1"/>
  <c r="I3544" i="14" s="1"/>
  <c r="M3711" i="14"/>
  <c r="J3707" i="13" a="1"/>
  <c r="J3707" i="13" s="1"/>
  <c r="N3708" i="13"/>
  <c r="M3710" i="13"/>
  <c r="N3707" i="14"/>
  <c r="J3706" i="14" a="1"/>
  <c r="J3706" i="14" s="1"/>
  <c r="K3544" i="14" l="1"/>
  <c r="L3544" i="14" s="1"/>
  <c r="I3545" i="14" s="1"/>
  <c r="K3522" i="13"/>
  <c r="L3522" i="13" s="1"/>
  <c r="I3523" i="13" s="1"/>
  <c r="N3708" i="14"/>
  <c r="J3707" i="14" a="1"/>
  <c r="J3707" i="14" s="1"/>
  <c r="J3708" i="13" a="1"/>
  <c r="J3708" i="13" s="1"/>
  <c r="N3709" i="13"/>
  <c r="M3712" i="14"/>
  <c r="M3711" i="13"/>
  <c r="K3523" i="13" l="1"/>
  <c r="L3523" i="13" s="1"/>
  <c r="I3524" i="13" s="1"/>
  <c r="K3545" i="14"/>
  <c r="L3545" i="14" s="1"/>
  <c r="I3546" i="14" s="1"/>
  <c r="J3709" i="13" a="1"/>
  <c r="J3709" i="13" s="1"/>
  <c r="N3710" i="13"/>
  <c r="M3712" i="13"/>
  <c r="M3713" i="14"/>
  <c r="N3709" i="14"/>
  <c r="J3708" i="14" a="1"/>
  <c r="J3708" i="14" s="1"/>
  <c r="K3546" i="14" l="1"/>
  <c r="L3546" i="14" s="1"/>
  <c r="I3547" i="14" s="1"/>
  <c r="K3524" i="13"/>
  <c r="L3524" i="13" s="1"/>
  <c r="I3525" i="13" s="1"/>
  <c r="J3709" i="14" a="1"/>
  <c r="J3709" i="14" s="1"/>
  <c r="N3710" i="14"/>
  <c r="M3713" i="13"/>
  <c r="N3711" i="13"/>
  <c r="J3710" i="13" a="1"/>
  <c r="J3710" i="13" s="1"/>
  <c r="M3714" i="14"/>
  <c r="K3547" i="14" l="1"/>
  <c r="L3547" i="14" s="1"/>
  <c r="I3548" i="14" s="1"/>
  <c r="M3714" i="13"/>
  <c r="K3525" i="13"/>
  <c r="L3525" i="13" s="1"/>
  <c r="I3526" i="13" s="1"/>
  <c r="N3711" i="14"/>
  <c r="J3710" i="14" a="1"/>
  <c r="J3710" i="14" s="1"/>
  <c r="M3715" i="14"/>
  <c r="J3711" i="13" a="1"/>
  <c r="J3711" i="13" s="1"/>
  <c r="N3712" i="13"/>
  <c r="K3526" i="13" l="1"/>
  <c r="L3526" i="13" s="1"/>
  <c r="I3527" i="13" s="1"/>
  <c r="K3548" i="14"/>
  <c r="L3548" i="14" s="1"/>
  <c r="I3549" i="14" s="1"/>
  <c r="J3711" i="14" a="1"/>
  <c r="J3711" i="14" s="1"/>
  <c r="N3712" i="14"/>
  <c r="M3715" i="13"/>
  <c r="J3712" i="13" a="1"/>
  <c r="J3712" i="13" s="1"/>
  <c r="N3713" i="13"/>
  <c r="M3716" i="14"/>
  <c r="K3549" i="14" l="1"/>
  <c r="L3549" i="14" s="1"/>
  <c r="I3550" i="14" s="1"/>
  <c r="K3527" i="13"/>
  <c r="L3527" i="13" s="1"/>
  <c r="I3528" i="13" s="1"/>
  <c r="M3717" i="14"/>
  <c r="M3716" i="13"/>
  <c r="J3713" i="13" a="1"/>
  <c r="J3713" i="13" s="1"/>
  <c r="N3714" i="13"/>
  <c r="N3713" i="14"/>
  <c r="J3712" i="14" a="1"/>
  <c r="J3712" i="14" s="1"/>
  <c r="K3528" i="13" l="1"/>
  <c r="L3528" i="13" s="1"/>
  <c r="I3529" i="13" s="1"/>
  <c r="K3550" i="14"/>
  <c r="L3550" i="14" s="1"/>
  <c r="I3551" i="14" s="1"/>
  <c r="J3713" i="14" a="1"/>
  <c r="J3713" i="14" s="1"/>
  <c r="N3714" i="14"/>
  <c r="M3717" i="13"/>
  <c r="N3715" i="13"/>
  <c r="J3714" i="13" a="1"/>
  <c r="J3714" i="13" s="1"/>
  <c r="M3718" i="14"/>
  <c r="K3551" i="14" l="1"/>
  <c r="L3551" i="14" s="1"/>
  <c r="I3552" i="14" s="1"/>
  <c r="K3529" i="13"/>
  <c r="L3529" i="13" s="1"/>
  <c r="I3530" i="13" s="1"/>
  <c r="M3718" i="13"/>
  <c r="J3715" i="13" a="1"/>
  <c r="J3715" i="13" s="1"/>
  <c r="N3716" i="13"/>
  <c r="M3719" i="14"/>
  <c r="J3714" i="14" a="1"/>
  <c r="J3714" i="14" s="1"/>
  <c r="N3715" i="14"/>
  <c r="K3552" i="14" l="1"/>
  <c r="L3552" i="14" s="1"/>
  <c r="I3553" i="14" s="1"/>
  <c r="N3716" i="14"/>
  <c r="J3715" i="14" a="1"/>
  <c r="J3715" i="14" s="1"/>
  <c r="J3716" i="13" a="1"/>
  <c r="J3716" i="13" s="1"/>
  <c r="N3717" i="13"/>
  <c r="M3720" i="14"/>
  <c r="K3530" i="13"/>
  <c r="L3530" i="13" s="1"/>
  <c r="I3531" i="13" s="1"/>
  <c r="M3719" i="13"/>
  <c r="K3531" i="13" l="1"/>
  <c r="L3531" i="13" s="1"/>
  <c r="I3532" i="13" s="1"/>
  <c r="K3553" i="14"/>
  <c r="L3553" i="14" s="1"/>
  <c r="I3554" i="14" s="1"/>
  <c r="N3717" i="14"/>
  <c r="J3716" i="14" a="1"/>
  <c r="J3716" i="14" s="1"/>
  <c r="J3717" i="13" a="1"/>
  <c r="J3717" i="13" s="1"/>
  <c r="N3718" i="13"/>
  <c r="M3720" i="13"/>
  <c r="M3721" i="14"/>
  <c r="K3554" i="14" l="1"/>
  <c r="L3554" i="14" s="1"/>
  <c r="I3555" i="14" s="1"/>
  <c r="K3532" i="13"/>
  <c r="L3532" i="13" s="1"/>
  <c r="I3533" i="13" s="1"/>
  <c r="N3719" i="13"/>
  <c r="J3718" i="13" a="1"/>
  <c r="J3718" i="13" s="1"/>
  <c r="M3722" i="14"/>
  <c r="M3721" i="13"/>
  <c r="J3717" i="14" a="1"/>
  <c r="J3717" i="14" s="1"/>
  <c r="N3718" i="14"/>
  <c r="K3533" i="13" l="1"/>
  <c r="L3533" i="13" s="1"/>
  <c r="I3534" i="13" s="1"/>
  <c r="K3555" i="14"/>
  <c r="L3555" i="14" s="1"/>
  <c r="I3556" i="14" s="1"/>
  <c r="N3719" i="14"/>
  <c r="J3718" i="14" a="1"/>
  <c r="J3718" i="14" s="1"/>
  <c r="M3723" i="14"/>
  <c r="M3722" i="13"/>
  <c r="J3719" i="13" a="1"/>
  <c r="J3719" i="13" s="1"/>
  <c r="N3720" i="13"/>
  <c r="K3556" i="14" l="1"/>
  <c r="L3556" i="14" s="1"/>
  <c r="I3557" i="14" s="1"/>
  <c r="K3534" i="13"/>
  <c r="L3534" i="13" s="1"/>
  <c r="I3535" i="13" s="1"/>
  <c r="J3720" i="13" a="1"/>
  <c r="J3720" i="13" s="1"/>
  <c r="N3721" i="13"/>
  <c r="M3724" i="14"/>
  <c r="M3723" i="13"/>
  <c r="N3720" i="14"/>
  <c r="J3719" i="14" a="1"/>
  <c r="J3719" i="14" s="1"/>
  <c r="K3535" i="13" l="1"/>
  <c r="L3535" i="13" s="1"/>
  <c r="I3536" i="13" s="1"/>
  <c r="K3557" i="14"/>
  <c r="L3557" i="14" s="1"/>
  <c r="I3558" i="14" s="1"/>
  <c r="N3721" i="14"/>
  <c r="J3720" i="14" a="1"/>
  <c r="J3720" i="14" s="1"/>
  <c r="M3725" i="14"/>
  <c r="J3721" i="13" a="1"/>
  <c r="J3721" i="13" s="1"/>
  <c r="N3722" i="13"/>
  <c r="M3724" i="13"/>
  <c r="K3558" i="14" l="1"/>
  <c r="L3558" i="14" s="1"/>
  <c r="I3559" i="14" s="1"/>
  <c r="K3536" i="13"/>
  <c r="L3536" i="13" s="1"/>
  <c r="I3537" i="13" s="1"/>
  <c r="N3723" i="13"/>
  <c r="J3722" i="13" a="1"/>
  <c r="J3722" i="13" s="1"/>
  <c r="M3726" i="14"/>
  <c r="M3725" i="13"/>
  <c r="J3721" i="14" a="1"/>
  <c r="J3721" i="14" s="1"/>
  <c r="N3722" i="14"/>
  <c r="K3537" i="13" l="1"/>
  <c r="L3537" i="13" s="1"/>
  <c r="I3538" i="13" s="1"/>
  <c r="K3559" i="14"/>
  <c r="L3559" i="14" s="1"/>
  <c r="I3560" i="14" s="1"/>
  <c r="N3723" i="14"/>
  <c r="J3722" i="14" a="1"/>
  <c r="J3722" i="14" s="1"/>
  <c r="M3727" i="14"/>
  <c r="M3726" i="13"/>
  <c r="J3723" i="13" a="1"/>
  <c r="J3723" i="13" s="1"/>
  <c r="N3724" i="13"/>
  <c r="K3560" i="14" l="1"/>
  <c r="L3560" i="14" s="1"/>
  <c r="I3561" i="14" s="1"/>
  <c r="K3538" i="13"/>
  <c r="L3538" i="13" s="1"/>
  <c r="I3539" i="13" s="1"/>
  <c r="J3724" i="13" a="1"/>
  <c r="J3724" i="13" s="1"/>
  <c r="N3725" i="13"/>
  <c r="M3728" i="14"/>
  <c r="M3727" i="13"/>
  <c r="N3724" i="14"/>
  <c r="J3723" i="14" a="1"/>
  <c r="J3723" i="14" s="1"/>
  <c r="K3539" i="13" l="1"/>
  <c r="L3539" i="13" s="1"/>
  <c r="I3540" i="13" s="1"/>
  <c r="K3561" i="14"/>
  <c r="L3561" i="14" s="1"/>
  <c r="I3562" i="14" s="1"/>
  <c r="N3725" i="14"/>
  <c r="J3724" i="14" a="1"/>
  <c r="J3724" i="14" s="1"/>
  <c r="M3729" i="14"/>
  <c r="J3725" i="13" a="1"/>
  <c r="J3725" i="13" s="1"/>
  <c r="N3726" i="13"/>
  <c r="M3728" i="13"/>
  <c r="K3562" i="14" l="1"/>
  <c r="L3562" i="14" s="1"/>
  <c r="I3563" i="14" s="1"/>
  <c r="K3540" i="13"/>
  <c r="L3540" i="13" s="1"/>
  <c r="I3541" i="13" s="1"/>
  <c r="M3730" i="14"/>
  <c r="N3727" i="13"/>
  <c r="J3726" i="13" a="1"/>
  <c r="J3726" i="13" s="1"/>
  <c r="M3729" i="13"/>
  <c r="J3725" i="14" a="1"/>
  <c r="J3725" i="14" s="1"/>
  <c r="N3726" i="14"/>
  <c r="K3541" i="13" l="1"/>
  <c r="L3541" i="13" s="1"/>
  <c r="I3542" i="13" s="1"/>
  <c r="K3563" i="14"/>
  <c r="L3563" i="14" s="1"/>
  <c r="I3564" i="14" s="1"/>
  <c r="J3727" i="13" a="1"/>
  <c r="J3727" i="13" s="1"/>
  <c r="N3728" i="13"/>
  <c r="N3727" i="14"/>
  <c r="J3726" i="14" a="1"/>
  <c r="J3726" i="14" s="1"/>
  <c r="M3730" i="13"/>
  <c r="M3731" i="14"/>
  <c r="K3564" i="14" l="1"/>
  <c r="L3564" i="14" s="1"/>
  <c r="I3565" i="14" s="1"/>
  <c r="K3542" i="13"/>
  <c r="L3542" i="13" s="1"/>
  <c r="I3543" i="13" s="1"/>
  <c r="N3728" i="14"/>
  <c r="J3727" i="14" a="1"/>
  <c r="J3727" i="14" s="1"/>
  <c r="M3732" i="14"/>
  <c r="J3728" i="13" a="1"/>
  <c r="J3728" i="13" s="1"/>
  <c r="N3729" i="13"/>
  <c r="M3731" i="13"/>
  <c r="K3565" i="14" l="1"/>
  <c r="L3565" i="14" s="1"/>
  <c r="I3566" i="14" s="1"/>
  <c r="M3732" i="13"/>
  <c r="M3733" i="14"/>
  <c r="K3543" i="13"/>
  <c r="L3543" i="13" s="1"/>
  <c r="I3544" i="13" s="1"/>
  <c r="J3729" i="13" a="1"/>
  <c r="J3729" i="13" s="1"/>
  <c r="N3730" i="13"/>
  <c r="N3729" i="14"/>
  <c r="J3728" i="14" a="1"/>
  <c r="J3728" i="14" s="1"/>
  <c r="K3544" i="13" l="1"/>
  <c r="L3544" i="13" s="1"/>
  <c r="I3545" i="13" s="1"/>
  <c r="K3566" i="14"/>
  <c r="L3566" i="14" s="1"/>
  <c r="I3567" i="14" s="1"/>
  <c r="J3729" i="14" a="1"/>
  <c r="J3729" i="14" s="1"/>
  <c r="N3730" i="14"/>
  <c r="M3733" i="13"/>
  <c r="N3731" i="13"/>
  <c r="J3730" i="13" a="1"/>
  <c r="J3730" i="13" s="1"/>
  <c r="M3734" i="14"/>
  <c r="K3567" i="14" l="1"/>
  <c r="L3567" i="14" s="1"/>
  <c r="I3568" i="14" s="1"/>
  <c r="K3545" i="13"/>
  <c r="L3545" i="13" s="1"/>
  <c r="I3546" i="13" s="1"/>
  <c r="J3731" i="13" a="1"/>
  <c r="J3731" i="13" s="1"/>
  <c r="N3732" i="13"/>
  <c r="M3735" i="14"/>
  <c r="M3734" i="13"/>
  <c r="N3731" i="14"/>
  <c r="J3730" i="14" a="1"/>
  <c r="J3730" i="14" s="1"/>
  <c r="K3546" i="13" l="1"/>
  <c r="L3546" i="13" s="1"/>
  <c r="I3547" i="13" s="1"/>
  <c r="K3568" i="14"/>
  <c r="L3568" i="14" s="1"/>
  <c r="I3569" i="14" s="1"/>
  <c r="M3736" i="14"/>
  <c r="N3732" i="14"/>
  <c r="J3731" i="14" a="1"/>
  <c r="J3731" i="14" s="1"/>
  <c r="J3732" i="13" a="1"/>
  <c r="J3732" i="13" s="1"/>
  <c r="N3733" i="13"/>
  <c r="M3735" i="13"/>
  <c r="K3569" i="14" l="1"/>
  <c r="L3569" i="14" s="1"/>
  <c r="I3570" i="14" s="1"/>
  <c r="K3547" i="13"/>
  <c r="L3547" i="13" s="1"/>
  <c r="I3548" i="13" s="1"/>
  <c r="M3736" i="13"/>
  <c r="N3733" i="14"/>
  <c r="J3732" i="14" a="1"/>
  <c r="J3732" i="14" s="1"/>
  <c r="J3733" i="13" a="1"/>
  <c r="J3733" i="13" s="1"/>
  <c r="N3734" i="13"/>
  <c r="M3737" i="14"/>
  <c r="K3548" i="13" l="1"/>
  <c r="L3548" i="13" s="1"/>
  <c r="I3549" i="13" s="1"/>
  <c r="K3570" i="14"/>
  <c r="L3570" i="14" s="1"/>
  <c r="I3571" i="14" s="1"/>
  <c r="M3738" i="14"/>
  <c r="J3733" i="14" a="1"/>
  <c r="J3733" i="14" s="1"/>
  <c r="N3734" i="14"/>
  <c r="N3735" i="13"/>
  <c r="J3734" i="13" a="1"/>
  <c r="J3734" i="13" s="1"/>
  <c r="M3737" i="13"/>
  <c r="K3571" i="14" l="1"/>
  <c r="L3571" i="14" s="1"/>
  <c r="I3572" i="14" s="1"/>
  <c r="K3549" i="13"/>
  <c r="L3549" i="13" s="1"/>
  <c r="I3550" i="13" s="1"/>
  <c r="N3735" i="14"/>
  <c r="J3734" i="14" a="1"/>
  <c r="J3734" i="14" s="1"/>
  <c r="M3738" i="13"/>
  <c r="M3739" i="14"/>
  <c r="N3736" i="13"/>
  <c r="J3735" i="13" a="1"/>
  <c r="J3735" i="13" s="1"/>
  <c r="K3550" i="13" l="1"/>
  <c r="L3550" i="13" s="1"/>
  <c r="I3551" i="13" s="1"/>
  <c r="K3572" i="14"/>
  <c r="L3572" i="14" s="1"/>
  <c r="I3573" i="14" s="1"/>
  <c r="M3739" i="13"/>
  <c r="M3740" i="14"/>
  <c r="J3736" i="13" a="1"/>
  <c r="J3736" i="13" s="1"/>
  <c r="N3737" i="13"/>
  <c r="N3736" i="14"/>
  <c r="J3735" i="14" a="1"/>
  <c r="J3735" i="14" s="1"/>
  <c r="K3573" i="14" l="1"/>
  <c r="L3573" i="14" s="1"/>
  <c r="I3574" i="14" s="1"/>
  <c r="K3551" i="13"/>
  <c r="L3551" i="13" s="1"/>
  <c r="I3552" i="13" s="1"/>
  <c r="N3737" i="14"/>
  <c r="J3736" i="14" a="1"/>
  <c r="J3736" i="14" s="1"/>
  <c r="M3741" i="14"/>
  <c r="N3738" i="13"/>
  <c r="J3737" i="13" a="1"/>
  <c r="J3737" i="13" s="1"/>
  <c r="M3740" i="13"/>
  <c r="K3552" i="13" l="1"/>
  <c r="L3552" i="13" s="1"/>
  <c r="I3553" i="13" s="1"/>
  <c r="J3737" i="14" a="1"/>
  <c r="J3737" i="14" s="1"/>
  <c r="N3738" i="14"/>
  <c r="N3739" i="13"/>
  <c r="J3738" i="13" a="1"/>
  <c r="J3738" i="13" s="1"/>
  <c r="M3742" i="14"/>
  <c r="M3741" i="13"/>
  <c r="K3574" i="14"/>
  <c r="L3574" i="14" s="1"/>
  <c r="I3575" i="14" s="1"/>
  <c r="K3575" i="14" l="1"/>
  <c r="L3575" i="14" s="1"/>
  <c r="I3576" i="14" s="1"/>
  <c r="K3553" i="13"/>
  <c r="L3553" i="13" s="1"/>
  <c r="I3554" i="13" s="1"/>
  <c r="M3743" i="14"/>
  <c r="N3739" i="14"/>
  <c r="J3738" i="14" a="1"/>
  <c r="J3738" i="14" s="1"/>
  <c r="M3742" i="13"/>
  <c r="N3740" i="13"/>
  <c r="J3739" i="13" a="1"/>
  <c r="J3739" i="13" s="1"/>
  <c r="K3554" i="13" l="1"/>
  <c r="L3554" i="13" s="1"/>
  <c r="I3555" i="13" s="1"/>
  <c r="K3576" i="14"/>
  <c r="L3576" i="14" s="1"/>
  <c r="I3577" i="14" s="1"/>
  <c r="N3740" i="14"/>
  <c r="J3739" i="14" a="1"/>
  <c r="J3739" i="14" s="1"/>
  <c r="M3743" i="13"/>
  <c r="J3740" i="13" a="1"/>
  <c r="J3740" i="13" s="1"/>
  <c r="N3741" i="13"/>
  <c r="M3744" i="14"/>
  <c r="K3577" i="14" l="1"/>
  <c r="L3577" i="14" s="1"/>
  <c r="I3578" i="14" s="1"/>
  <c r="K3555" i="13"/>
  <c r="L3555" i="13" s="1"/>
  <c r="I3556" i="13" s="1"/>
  <c r="N3742" i="13"/>
  <c r="J3741" i="13" a="1"/>
  <c r="J3741" i="13" s="1"/>
  <c r="M3745" i="14"/>
  <c r="M3744" i="13"/>
  <c r="N3741" i="14"/>
  <c r="J3740" i="14" a="1"/>
  <c r="J3740" i="14" s="1"/>
  <c r="K3556" i="13" l="1"/>
  <c r="L3556" i="13" s="1"/>
  <c r="I3557" i="13" s="1"/>
  <c r="K3578" i="14"/>
  <c r="L3578" i="14" s="1"/>
  <c r="I3579" i="14" s="1"/>
  <c r="M3746" i="14"/>
  <c r="J3741" i="14" a="1"/>
  <c r="J3741" i="14" s="1"/>
  <c r="N3742" i="14"/>
  <c r="M3745" i="13"/>
  <c r="N3743" i="13"/>
  <c r="J3742" i="13" a="1"/>
  <c r="J3742" i="13" s="1"/>
  <c r="K3579" i="14" l="1"/>
  <c r="L3579" i="14" s="1"/>
  <c r="I3580" i="14" s="1"/>
  <c r="K3557" i="13"/>
  <c r="L3557" i="13" s="1"/>
  <c r="I3558" i="13" s="1"/>
  <c r="N3743" i="14"/>
  <c r="J3742" i="14" a="1"/>
  <c r="J3742" i="14" s="1"/>
  <c r="N3744" i="13"/>
  <c r="J3743" i="13" a="1"/>
  <c r="J3743" i="13" s="1"/>
  <c r="M3746" i="13"/>
  <c r="M3747" i="14"/>
  <c r="K3558" i="13" l="1"/>
  <c r="L3558" i="13" s="1"/>
  <c r="I3559" i="13" s="1"/>
  <c r="K3580" i="14"/>
  <c r="L3580" i="14" s="1"/>
  <c r="I3581" i="14" s="1"/>
  <c r="M3747" i="13"/>
  <c r="M3748" i="14"/>
  <c r="J3744" i="13" a="1"/>
  <c r="J3744" i="13" s="1"/>
  <c r="N3745" i="13"/>
  <c r="N3744" i="14"/>
  <c r="J3743" i="14" a="1"/>
  <c r="J3743" i="14" s="1"/>
  <c r="K3581" i="14" l="1"/>
  <c r="L3581" i="14" s="1"/>
  <c r="I3582" i="14" s="1"/>
  <c r="K3559" i="13"/>
  <c r="L3559" i="13" s="1"/>
  <c r="I3560" i="13" s="1"/>
  <c r="N3745" i="14"/>
  <c r="J3744" i="14" a="1"/>
  <c r="J3744" i="14" s="1"/>
  <c r="M3749" i="14"/>
  <c r="N3746" i="13"/>
  <c r="J3745" i="13" a="1"/>
  <c r="J3745" i="13" s="1"/>
  <c r="M3748" i="13"/>
  <c r="K3560" i="13" l="1"/>
  <c r="L3560" i="13" s="1"/>
  <c r="I3561" i="13" s="1"/>
  <c r="K3582" i="14"/>
  <c r="L3582" i="14" s="1"/>
  <c r="I3583" i="14" s="1"/>
  <c r="N3747" i="13"/>
  <c r="J3746" i="13" a="1"/>
  <c r="J3746" i="13" s="1"/>
  <c r="M3749" i="13"/>
  <c r="M3750" i="14"/>
  <c r="J3745" i="14" a="1"/>
  <c r="J3745" i="14" s="1"/>
  <c r="N3746" i="14"/>
  <c r="K3583" i="14" l="1"/>
  <c r="L3583" i="14" s="1"/>
  <c r="I3584" i="14" s="1"/>
  <c r="K3561" i="13"/>
  <c r="L3561" i="13" s="1"/>
  <c r="I3562" i="13" s="1"/>
  <c r="M3750" i="13"/>
  <c r="N3747" i="14"/>
  <c r="J3746" i="14" a="1"/>
  <c r="J3746" i="14" s="1"/>
  <c r="M3751" i="14"/>
  <c r="N3748" i="13"/>
  <c r="J3747" i="13" a="1"/>
  <c r="J3747" i="13" s="1"/>
  <c r="K3562" i="13" l="1"/>
  <c r="L3562" i="13" s="1"/>
  <c r="I3563" i="13" s="1"/>
  <c r="K3584" i="14"/>
  <c r="L3584" i="14" s="1"/>
  <c r="I3585" i="14" s="1"/>
  <c r="N3748" i="14"/>
  <c r="J3747" i="14" a="1"/>
  <c r="J3747" i="14" s="1"/>
  <c r="M3752" i="14"/>
  <c r="M3751" i="13"/>
  <c r="J3748" i="13" a="1"/>
  <c r="J3748" i="13" s="1"/>
  <c r="N3749" i="13"/>
  <c r="K3585" i="14" l="1"/>
  <c r="L3585" i="14" s="1"/>
  <c r="I3586" i="14" s="1"/>
  <c r="K3563" i="13"/>
  <c r="L3563" i="13" s="1"/>
  <c r="I3564" i="13" s="1"/>
  <c r="N3750" i="13"/>
  <c r="J3749" i="13" a="1"/>
  <c r="J3749" i="13" s="1"/>
  <c r="M3753" i="14"/>
  <c r="M3752" i="13"/>
  <c r="N3749" i="14"/>
  <c r="J3748" i="14" a="1"/>
  <c r="J3748" i="14" s="1"/>
  <c r="K3564" i="13" l="1"/>
  <c r="L3564" i="13" s="1"/>
  <c r="I3565" i="13" s="1"/>
  <c r="K3586" i="14"/>
  <c r="L3586" i="14" s="1"/>
  <c r="I3587" i="14" s="1"/>
  <c r="J3749" i="14" a="1"/>
  <c r="J3749" i="14" s="1"/>
  <c r="N3750" i="14"/>
  <c r="M3754" i="14"/>
  <c r="M3753" i="13"/>
  <c r="N3751" i="13"/>
  <c r="J3750" i="13" a="1"/>
  <c r="J3750" i="13" s="1"/>
  <c r="K3587" i="14" l="1"/>
  <c r="L3587" i="14" s="1"/>
  <c r="I3588" i="14" s="1"/>
  <c r="K3565" i="13"/>
  <c r="L3565" i="13" s="1"/>
  <c r="I3566" i="13" s="1"/>
  <c r="M3755" i="14"/>
  <c r="M3754" i="13"/>
  <c r="N3752" i="13"/>
  <c r="J3751" i="13" a="1"/>
  <c r="J3751" i="13" s="1"/>
  <c r="N3751" i="14"/>
  <c r="J3750" i="14" a="1"/>
  <c r="J3750" i="14" s="1"/>
  <c r="K3566" i="13" l="1"/>
  <c r="L3566" i="13" s="1"/>
  <c r="I3567" i="13" s="1"/>
  <c r="K3588" i="14"/>
  <c r="L3588" i="14" s="1"/>
  <c r="I3589" i="14" s="1"/>
  <c r="M3755" i="13"/>
  <c r="N3752" i="14"/>
  <c r="J3751" i="14" a="1"/>
  <c r="J3751" i="14" s="1"/>
  <c r="M3756" i="14"/>
  <c r="J3752" i="13" a="1"/>
  <c r="J3752" i="13" s="1"/>
  <c r="N3753" i="13"/>
  <c r="K3589" i="14" l="1"/>
  <c r="L3589" i="14" s="1"/>
  <c r="I3590" i="14" s="1"/>
  <c r="K3567" i="13"/>
  <c r="L3567" i="13" s="1"/>
  <c r="I3568" i="13" s="1"/>
  <c r="N3753" i="14"/>
  <c r="J3752" i="14" a="1"/>
  <c r="J3752" i="14" s="1"/>
  <c r="N3754" i="13"/>
  <c r="J3753" i="13" a="1"/>
  <c r="J3753" i="13" s="1"/>
  <c r="M3757" i="14"/>
  <c r="M3756" i="13"/>
  <c r="K3590" i="14" l="1"/>
  <c r="L3590" i="14" s="1"/>
  <c r="I3591" i="14" s="1"/>
  <c r="M3757" i="13"/>
  <c r="N3755" i="13"/>
  <c r="J3754" i="13" a="1"/>
  <c r="J3754" i="13" s="1"/>
  <c r="K3568" i="13"/>
  <c r="L3568" i="13" s="1"/>
  <c r="I3569" i="13" s="1"/>
  <c r="M3758" i="14"/>
  <c r="J3753" i="14" a="1"/>
  <c r="J3753" i="14" s="1"/>
  <c r="N3754" i="14"/>
  <c r="K3569" i="13" l="1"/>
  <c r="L3569" i="13" s="1"/>
  <c r="I3570" i="13" s="1"/>
  <c r="N3755" i="14"/>
  <c r="J3754" i="14" a="1"/>
  <c r="J3754" i="14" s="1"/>
  <c r="M3758" i="13"/>
  <c r="M3759" i="14"/>
  <c r="N3756" i="13"/>
  <c r="J3755" i="13" a="1"/>
  <c r="J3755" i="13" s="1"/>
  <c r="K3591" i="14"/>
  <c r="L3591" i="14" s="1"/>
  <c r="I3592" i="14" s="1"/>
  <c r="K3570" i="13" l="1"/>
  <c r="L3570" i="13" s="1"/>
  <c r="I3571" i="13" s="1"/>
  <c r="K3592" i="14"/>
  <c r="L3592" i="14" s="1"/>
  <c r="I3593" i="14" s="1"/>
  <c r="J3755" i="14" a="1"/>
  <c r="J3755" i="14" s="1"/>
  <c r="N3756" i="14"/>
  <c r="M3759" i="13"/>
  <c r="M3760" i="14"/>
  <c r="J3756" i="13" a="1"/>
  <c r="J3756" i="13" s="1"/>
  <c r="N3757" i="13"/>
  <c r="K3593" i="14" l="1"/>
  <c r="L3593" i="14" s="1"/>
  <c r="I3594" i="14" s="1"/>
  <c r="K3571" i="13"/>
  <c r="L3571" i="13" s="1"/>
  <c r="I3572" i="13" s="1"/>
  <c r="M3760" i="13"/>
  <c r="N3757" i="14"/>
  <c r="J3756" i="14" a="1"/>
  <c r="J3756" i="14" s="1"/>
  <c r="N3758" i="13"/>
  <c r="J3757" i="13" a="1"/>
  <c r="J3757" i="13" s="1"/>
  <c r="M3761" i="14"/>
  <c r="K3572" i="13" l="1"/>
  <c r="L3572" i="13" s="1"/>
  <c r="I3573" i="13" s="1"/>
  <c r="K3594" i="14"/>
  <c r="L3594" i="14" s="1"/>
  <c r="I3595" i="14" s="1"/>
  <c r="J3757" i="14" a="1"/>
  <c r="J3757" i="14" s="1"/>
  <c r="N3758" i="14"/>
  <c r="M3761" i="13"/>
  <c r="M3762" i="14"/>
  <c r="N3759" i="13"/>
  <c r="J3758" i="13" a="1"/>
  <c r="J3758" i="13" s="1"/>
  <c r="K3595" i="14" l="1"/>
  <c r="L3595" i="14" s="1"/>
  <c r="I3596" i="14" s="1"/>
  <c r="M3762" i="13"/>
  <c r="N3760" i="13"/>
  <c r="J3759" i="13" a="1"/>
  <c r="J3759" i="13" s="1"/>
  <c r="M3763" i="14"/>
  <c r="J3758" i="14" a="1"/>
  <c r="J3758" i="14" s="1"/>
  <c r="N3759" i="14"/>
  <c r="K3573" i="13"/>
  <c r="L3573" i="13" s="1"/>
  <c r="I3574" i="13" s="1"/>
  <c r="K3574" i="13" l="1"/>
  <c r="L3574" i="13" s="1"/>
  <c r="I3575" i="13" s="1"/>
  <c r="K3596" i="14"/>
  <c r="L3596" i="14" s="1"/>
  <c r="I3597" i="14" s="1"/>
  <c r="N3760" i="14"/>
  <c r="J3759" i="14" a="1"/>
  <c r="J3759" i="14" s="1"/>
  <c r="M3764" i="14"/>
  <c r="M3763" i="13"/>
  <c r="J3760" i="13" a="1"/>
  <c r="J3760" i="13" s="1"/>
  <c r="N3761" i="13"/>
  <c r="K3597" i="14" l="1"/>
  <c r="L3597" i="14" s="1"/>
  <c r="I3598" i="14" s="1"/>
  <c r="K3575" i="13"/>
  <c r="L3575" i="13" s="1"/>
  <c r="I3576" i="13" s="1"/>
  <c r="M3765" i="14"/>
  <c r="N3762" i="13"/>
  <c r="J3761" i="13" a="1"/>
  <c r="J3761" i="13" s="1"/>
  <c r="M3764" i="13"/>
  <c r="N3761" i="14"/>
  <c r="J3760" i="14" a="1"/>
  <c r="J3760" i="14" s="1"/>
  <c r="K3576" i="13" l="1"/>
  <c r="L3576" i="13" s="1"/>
  <c r="I3577" i="13" s="1"/>
  <c r="K3598" i="14"/>
  <c r="L3598" i="14" s="1"/>
  <c r="I3599" i="14" s="1"/>
  <c r="N3763" i="13"/>
  <c r="J3762" i="13" a="1"/>
  <c r="J3762" i="13" s="1"/>
  <c r="J3761" i="14" a="1"/>
  <c r="J3761" i="14" s="1"/>
  <c r="N3762" i="14"/>
  <c r="M3765" i="13"/>
  <c r="M3766" i="14"/>
  <c r="K3599" i="14" l="1"/>
  <c r="L3599" i="14" s="1"/>
  <c r="I3600" i="14" s="1"/>
  <c r="M3766" i="13"/>
  <c r="M3767" i="14"/>
  <c r="N3763" i="14"/>
  <c r="J3762" i="14" a="1"/>
  <c r="J3762" i="14" s="1"/>
  <c r="N3764" i="13"/>
  <c r="J3763" i="13" a="1"/>
  <c r="J3763" i="13" s="1"/>
  <c r="K3577" i="13"/>
  <c r="L3577" i="13" s="1"/>
  <c r="I3578" i="13" s="1"/>
  <c r="K3600" i="14" l="1"/>
  <c r="L3600" i="14" s="1"/>
  <c r="I3601" i="14" s="1"/>
  <c r="M3767" i="13"/>
  <c r="N3764" i="14"/>
  <c r="J3763" i="14" a="1"/>
  <c r="J3763" i="14" s="1"/>
  <c r="K3578" i="13"/>
  <c r="L3578" i="13" s="1"/>
  <c r="I3579" i="13" s="1"/>
  <c r="M3768" i="14"/>
  <c r="J3764" i="13" a="1"/>
  <c r="J3764" i="13" s="1"/>
  <c r="N3765" i="13"/>
  <c r="K3579" i="13" l="1"/>
  <c r="L3579" i="13" s="1"/>
  <c r="I3580" i="13" s="1"/>
  <c r="K3601" i="14"/>
  <c r="L3601" i="14" s="1"/>
  <c r="I3602" i="14" s="1"/>
  <c r="N3766" i="13"/>
  <c r="J3765" i="13" a="1"/>
  <c r="J3765" i="13" s="1"/>
  <c r="M3768" i="13"/>
  <c r="M3769" i="14"/>
  <c r="N3765" i="14"/>
  <c r="J3764" i="14" a="1"/>
  <c r="J3764" i="14" s="1"/>
  <c r="K3602" i="14" l="1"/>
  <c r="L3602" i="14" s="1"/>
  <c r="I3603" i="14" s="1"/>
  <c r="K3580" i="13"/>
  <c r="L3580" i="13" s="1"/>
  <c r="I3581" i="13" s="1"/>
  <c r="M3769" i="13"/>
  <c r="J3765" i="14" a="1"/>
  <c r="J3765" i="14" s="1"/>
  <c r="N3766" i="14"/>
  <c r="M3770" i="14"/>
  <c r="N3767" i="13"/>
  <c r="J3766" i="13" a="1"/>
  <c r="J3766" i="13" s="1"/>
  <c r="K3581" i="13" l="1"/>
  <c r="L3581" i="13" s="1"/>
  <c r="I3582" i="13" s="1"/>
  <c r="K3603" i="14"/>
  <c r="L3603" i="14" s="1"/>
  <c r="I3604" i="14" s="1"/>
  <c r="N3767" i="14"/>
  <c r="J3766" i="14" a="1"/>
  <c r="J3766" i="14" s="1"/>
  <c r="N3768" i="13"/>
  <c r="J3767" i="13" a="1"/>
  <c r="J3767" i="13" s="1"/>
  <c r="M3771" i="14"/>
  <c r="M3770" i="13"/>
  <c r="K3604" i="14" l="1"/>
  <c r="L3604" i="14" s="1"/>
  <c r="I3605" i="14" s="1"/>
  <c r="K3582" i="13"/>
  <c r="L3582" i="13" s="1"/>
  <c r="I3583" i="13" s="1"/>
  <c r="J3768" i="13" a="1"/>
  <c r="J3768" i="13" s="1"/>
  <c r="N3769" i="13"/>
  <c r="M3771" i="13"/>
  <c r="M3772" i="14"/>
  <c r="N3768" i="14"/>
  <c r="J3767" i="14" a="1"/>
  <c r="J3767" i="14" s="1"/>
  <c r="K3583" i="13" l="1"/>
  <c r="L3583" i="13" s="1"/>
  <c r="I3584" i="13" s="1"/>
  <c r="K3605" i="14"/>
  <c r="L3605" i="14" s="1"/>
  <c r="I3606" i="14" s="1"/>
  <c r="M3773" i="14"/>
  <c r="N3769" i="14"/>
  <c r="J3768" i="14" a="1"/>
  <c r="J3768" i="14" s="1"/>
  <c r="M3772" i="13"/>
  <c r="N3770" i="13"/>
  <c r="J3769" i="13" a="1"/>
  <c r="J3769" i="13" s="1"/>
  <c r="K3606" i="14" l="1"/>
  <c r="L3606" i="14" s="1"/>
  <c r="I3607" i="14" s="1"/>
  <c r="K3584" i="13"/>
  <c r="L3584" i="13" s="1"/>
  <c r="I3585" i="13" s="1"/>
  <c r="J3769" i="14" a="1"/>
  <c r="J3769" i="14" s="1"/>
  <c r="N3770" i="14"/>
  <c r="M3774" i="14"/>
  <c r="N3771" i="13"/>
  <c r="J3770" i="13" a="1"/>
  <c r="J3770" i="13" s="1"/>
  <c r="M3773" i="13"/>
  <c r="K3585" i="13" l="1"/>
  <c r="L3585" i="13" s="1"/>
  <c r="I3586" i="13" s="1"/>
  <c r="K3607" i="14"/>
  <c r="L3607" i="14" s="1"/>
  <c r="I3608" i="14" s="1"/>
  <c r="N3772" i="13"/>
  <c r="J3771" i="13" a="1"/>
  <c r="J3771" i="13" s="1"/>
  <c r="M3774" i="13"/>
  <c r="M3775" i="14"/>
  <c r="N3771" i="14"/>
  <c r="J3770" i="14" a="1"/>
  <c r="J3770" i="14" s="1"/>
  <c r="K3586" i="13" l="1"/>
  <c r="L3586" i="13" s="1"/>
  <c r="I3587" i="13" s="1"/>
  <c r="M3775" i="13"/>
  <c r="N3772" i="14"/>
  <c r="J3771" i="14" a="1"/>
  <c r="J3771" i="14" s="1"/>
  <c r="K3608" i="14"/>
  <c r="L3608" i="14" s="1"/>
  <c r="I3609" i="14" s="1"/>
  <c r="M3776" i="14"/>
  <c r="J3772" i="13" a="1"/>
  <c r="J3772" i="13" s="1"/>
  <c r="N3773" i="13"/>
  <c r="K3609" i="14" l="1"/>
  <c r="L3609" i="14" s="1"/>
  <c r="I3610" i="14" s="1"/>
  <c r="K3587" i="13"/>
  <c r="L3587" i="13" s="1"/>
  <c r="I3588" i="13" s="1"/>
  <c r="M3776" i="13"/>
  <c r="N3774" i="13"/>
  <c r="J3773" i="13" a="1"/>
  <c r="J3773" i="13" s="1"/>
  <c r="M3777" i="14"/>
  <c r="N3773" i="14"/>
  <c r="J3772" i="14" a="1"/>
  <c r="J3772" i="14" s="1"/>
  <c r="K3588" i="13" l="1"/>
  <c r="L3588" i="13" s="1"/>
  <c r="I3589" i="13" s="1"/>
  <c r="K3610" i="14"/>
  <c r="L3610" i="14" s="1"/>
  <c r="I3611" i="14" s="1"/>
  <c r="N3775" i="13"/>
  <c r="J3774" i="13" a="1"/>
  <c r="J3774" i="13" s="1"/>
  <c r="M3778" i="14"/>
  <c r="J3773" i="14" a="1"/>
  <c r="J3773" i="14" s="1"/>
  <c r="N3774" i="14"/>
  <c r="M3777" i="13"/>
  <c r="K3589" i="13" l="1"/>
  <c r="L3589" i="13" s="1"/>
  <c r="I3590" i="13" s="1"/>
  <c r="M3778" i="13"/>
  <c r="K3611" i="14"/>
  <c r="L3611" i="14" s="1"/>
  <c r="I3612" i="14" s="1"/>
  <c r="N3775" i="14"/>
  <c r="J3774" i="14" a="1"/>
  <c r="J3774" i="14" s="1"/>
  <c r="M3779" i="14"/>
  <c r="N3776" i="13"/>
  <c r="J3775" i="13" a="1"/>
  <c r="J3775" i="13" s="1"/>
  <c r="K3612" i="14" l="1"/>
  <c r="L3612" i="14" s="1"/>
  <c r="I3613" i="14" s="1"/>
  <c r="K3590" i="13"/>
  <c r="L3590" i="13" s="1"/>
  <c r="I3591" i="13" s="1"/>
  <c r="M3779" i="13"/>
  <c r="J3775" i="14" a="1"/>
  <c r="J3775" i="14" s="1"/>
  <c r="N3776" i="14"/>
  <c r="J3776" i="13" a="1"/>
  <c r="J3776" i="13" s="1"/>
  <c r="N3777" i="13"/>
  <c r="M3780" i="14"/>
  <c r="K3591" i="13" l="1"/>
  <c r="L3591" i="13" s="1"/>
  <c r="I3592" i="13" s="1"/>
  <c r="K3613" i="14"/>
  <c r="L3613" i="14" s="1"/>
  <c r="I3614" i="14" s="1"/>
  <c r="N3777" i="14"/>
  <c r="J3776" i="14" a="1"/>
  <c r="J3776" i="14" s="1"/>
  <c r="M3781" i="14"/>
  <c r="N3778" i="13"/>
  <c r="J3777" i="13" a="1"/>
  <c r="J3777" i="13" s="1"/>
  <c r="M3780" i="13"/>
  <c r="K3614" i="14" l="1"/>
  <c r="L3614" i="14" s="1"/>
  <c r="I3615" i="14" s="1"/>
  <c r="K3592" i="13"/>
  <c r="L3592" i="13" s="1"/>
  <c r="I3593" i="13" s="1"/>
  <c r="N3779" i="13"/>
  <c r="J3778" i="13" a="1"/>
  <c r="J3778" i="13" s="1"/>
  <c r="M3781" i="13"/>
  <c r="M3782" i="14"/>
  <c r="J3777" i="14" a="1"/>
  <c r="J3777" i="14" s="1"/>
  <c r="N3778" i="14"/>
  <c r="K3593" i="13" l="1"/>
  <c r="L3593" i="13" s="1"/>
  <c r="I3594" i="13" s="1"/>
  <c r="K3615" i="14"/>
  <c r="L3615" i="14" s="1"/>
  <c r="I3616" i="14" s="1"/>
  <c r="J3778" i="14" a="1"/>
  <c r="J3778" i="14" s="1"/>
  <c r="N3779" i="14"/>
  <c r="M3782" i="13"/>
  <c r="M3783" i="14"/>
  <c r="N3780" i="13"/>
  <c r="J3779" i="13" a="1"/>
  <c r="J3779" i="13" s="1"/>
  <c r="K3616" i="14" l="1"/>
  <c r="L3616" i="14" s="1"/>
  <c r="I3617" i="14" s="1"/>
  <c r="K3594" i="13"/>
  <c r="L3594" i="13" s="1"/>
  <c r="I3595" i="13" s="1"/>
  <c r="M3783" i="13"/>
  <c r="N3780" i="14"/>
  <c r="J3779" i="14" a="1"/>
  <c r="J3779" i="14" s="1"/>
  <c r="J3780" i="13" a="1"/>
  <c r="J3780" i="13" s="1"/>
  <c r="N3781" i="13"/>
  <c r="M3784" i="14"/>
  <c r="K3617" i="14" l="1"/>
  <c r="L3617" i="14" s="1"/>
  <c r="I3618" i="14" s="1"/>
  <c r="M3785" i="14"/>
  <c r="N3781" i="14"/>
  <c r="J3780" i="14" a="1"/>
  <c r="J3780" i="14" s="1"/>
  <c r="K3595" i="13"/>
  <c r="L3595" i="13" s="1"/>
  <c r="I3596" i="13" s="1"/>
  <c r="N3782" i="13"/>
  <c r="J3781" i="13" a="1"/>
  <c r="J3781" i="13" s="1"/>
  <c r="M3784" i="13"/>
  <c r="K3618" i="14" l="1"/>
  <c r="L3618" i="14" s="1"/>
  <c r="I3619" i="14" s="1"/>
  <c r="N3783" i="13"/>
  <c r="J3782" i="13" a="1"/>
  <c r="J3782" i="13" s="1"/>
  <c r="M3785" i="13"/>
  <c r="K3596" i="13"/>
  <c r="L3596" i="13" s="1"/>
  <c r="I3597" i="13" s="1"/>
  <c r="M3786" i="14"/>
  <c r="J3781" i="14" a="1"/>
  <c r="J3781" i="14" s="1"/>
  <c r="N3782" i="14"/>
  <c r="K3597" i="13" l="1"/>
  <c r="L3597" i="13" s="1"/>
  <c r="I3598" i="13" s="1"/>
  <c r="K3619" i="14"/>
  <c r="L3619" i="14" s="1"/>
  <c r="I3620" i="14" s="1"/>
  <c r="N3783" i="14"/>
  <c r="J3782" i="14" a="1"/>
  <c r="J3782" i="14" s="1"/>
  <c r="N3784" i="13"/>
  <c r="J3783" i="13" a="1"/>
  <c r="J3783" i="13" s="1"/>
  <c r="M3787" i="14"/>
  <c r="M3786" i="13"/>
  <c r="K3620" i="14" l="1"/>
  <c r="L3620" i="14" s="1"/>
  <c r="I3621" i="14" s="1"/>
  <c r="K3598" i="13"/>
  <c r="L3598" i="13" s="1"/>
  <c r="I3599" i="13" s="1"/>
  <c r="J3784" i="13" a="1"/>
  <c r="J3784" i="13" s="1"/>
  <c r="N3785" i="13"/>
  <c r="M3787" i="13"/>
  <c r="M3788" i="14"/>
  <c r="N3784" i="14"/>
  <c r="J3783" i="14" a="1"/>
  <c r="J3783" i="14" s="1"/>
  <c r="K3621" i="14" l="1"/>
  <c r="L3621" i="14" s="1"/>
  <c r="I3622" i="14" s="1"/>
  <c r="K3599" i="13"/>
  <c r="L3599" i="13" s="1"/>
  <c r="I3600" i="13" s="1"/>
  <c r="N3785" i="14"/>
  <c r="J3784" i="14" a="1"/>
  <c r="J3784" i="14" s="1"/>
  <c r="N3786" i="13"/>
  <c r="J3785" i="13" a="1"/>
  <c r="J3785" i="13" s="1"/>
  <c r="M3788" i="13"/>
  <c r="M3789" i="14"/>
  <c r="K3600" i="13" l="1"/>
  <c r="L3600" i="13" s="1"/>
  <c r="I3601" i="13" s="1"/>
  <c r="K3622" i="14"/>
  <c r="L3622" i="14" s="1"/>
  <c r="I3623" i="14" s="1"/>
  <c r="M3789" i="13"/>
  <c r="M3790" i="14"/>
  <c r="N3787" i="13"/>
  <c r="J3786" i="13" a="1"/>
  <c r="J3786" i="13" s="1"/>
  <c r="J3785" i="14" a="1"/>
  <c r="J3785" i="14" s="1"/>
  <c r="N3786" i="14"/>
  <c r="K3601" i="13" l="1"/>
  <c r="L3601" i="13" s="1"/>
  <c r="I3602" i="13" s="1"/>
  <c r="N3787" i="14"/>
  <c r="J3786" i="14" a="1"/>
  <c r="J3786" i="14" s="1"/>
  <c r="M3791" i="14"/>
  <c r="K3623" i="14"/>
  <c r="L3623" i="14" s="1"/>
  <c r="I3624" i="14" s="1"/>
  <c r="M3790" i="13"/>
  <c r="N3788" i="13"/>
  <c r="J3787" i="13" a="1"/>
  <c r="J3787" i="13" s="1"/>
  <c r="K3624" i="14" l="1"/>
  <c r="L3624" i="14" s="1"/>
  <c r="I3625" i="14" s="1"/>
  <c r="K3602" i="13"/>
  <c r="L3602" i="13" s="1"/>
  <c r="I3603" i="13" s="1"/>
  <c r="N3788" i="14"/>
  <c r="J3787" i="14" a="1"/>
  <c r="J3787" i="14" s="1"/>
  <c r="J3788" i="13" a="1"/>
  <c r="J3788" i="13" s="1"/>
  <c r="N3789" i="13"/>
  <c r="M3791" i="13"/>
  <c r="M3792" i="14"/>
  <c r="K3603" i="13" l="1"/>
  <c r="L3603" i="13" s="1"/>
  <c r="I3604" i="13" s="1"/>
  <c r="K3625" i="14"/>
  <c r="L3625" i="14" s="1"/>
  <c r="I3626" i="14" s="1"/>
  <c r="N3790" i="13"/>
  <c r="J3789" i="13" a="1"/>
  <c r="J3789" i="13" s="1"/>
  <c r="M3793" i="14"/>
  <c r="M3792" i="13"/>
  <c r="N3789" i="14"/>
  <c r="J3788" i="14" a="1"/>
  <c r="J3788" i="14" s="1"/>
  <c r="K3626" i="14" l="1"/>
  <c r="L3626" i="14" s="1"/>
  <c r="I3627" i="14" s="1"/>
  <c r="K3604" i="13"/>
  <c r="L3604" i="13" s="1"/>
  <c r="I3605" i="13" s="1"/>
  <c r="M3794" i="14"/>
  <c r="J3789" i="14" a="1"/>
  <c r="J3789" i="14" s="1"/>
  <c r="N3790" i="14"/>
  <c r="M3793" i="13"/>
  <c r="N3791" i="13"/>
  <c r="J3790" i="13" a="1"/>
  <c r="J3790" i="13" s="1"/>
  <c r="K3627" i="14" l="1"/>
  <c r="L3627" i="14" s="1"/>
  <c r="I3628" i="14" s="1"/>
  <c r="K3605" i="13"/>
  <c r="L3605" i="13" s="1"/>
  <c r="I3606" i="13" s="1"/>
  <c r="N3792" i="13"/>
  <c r="J3791" i="13" a="1"/>
  <c r="J3791" i="13" s="1"/>
  <c r="N3791" i="14"/>
  <c r="J3790" i="14" a="1"/>
  <c r="J3790" i="14" s="1"/>
  <c r="M3794" i="13"/>
  <c r="M3795" i="14"/>
  <c r="K3628" i="14" l="1"/>
  <c r="L3628" i="14" s="1"/>
  <c r="I3629" i="14" s="1"/>
  <c r="M3796" i="14"/>
  <c r="N3792" i="14"/>
  <c r="J3791" i="14" a="1"/>
  <c r="J3791" i="14" s="1"/>
  <c r="K3606" i="13"/>
  <c r="L3606" i="13" s="1"/>
  <c r="I3607" i="13" s="1"/>
  <c r="M3795" i="13"/>
  <c r="J3792" i="13" a="1"/>
  <c r="J3792" i="13" s="1"/>
  <c r="N3793" i="13"/>
  <c r="K3629" i="14" l="1"/>
  <c r="L3629" i="14" s="1"/>
  <c r="I3630" i="14" s="1"/>
  <c r="N3794" i="13"/>
  <c r="J3793" i="13" a="1"/>
  <c r="J3793" i="13" s="1"/>
  <c r="K3607" i="13"/>
  <c r="L3607" i="13" s="1"/>
  <c r="I3608" i="13" s="1"/>
  <c r="M3797" i="14"/>
  <c r="M3796" i="13"/>
  <c r="N3793" i="14"/>
  <c r="J3792" i="14" a="1"/>
  <c r="J3792" i="14" s="1"/>
  <c r="K3608" i="13" l="1"/>
  <c r="L3608" i="13" s="1"/>
  <c r="I3609" i="13" s="1"/>
  <c r="K3630" i="14"/>
  <c r="L3630" i="14" s="1"/>
  <c r="I3631" i="14" s="1"/>
  <c r="N3795" i="13"/>
  <c r="J3794" i="13" a="1"/>
  <c r="J3794" i="13" s="1"/>
  <c r="M3798" i="14"/>
  <c r="M3797" i="13"/>
  <c r="J3793" i="14" a="1"/>
  <c r="J3793" i="14" s="1"/>
  <c r="N3794" i="14"/>
  <c r="K3631" i="14" l="1"/>
  <c r="L3631" i="14" s="1"/>
  <c r="I3632" i="14" s="1"/>
  <c r="K3609" i="13"/>
  <c r="L3609" i="13" s="1"/>
  <c r="I3610" i="13" s="1"/>
  <c r="M3799" i="14"/>
  <c r="N3795" i="14"/>
  <c r="J3794" i="14" a="1"/>
  <c r="J3794" i="14" s="1"/>
  <c r="M3798" i="13"/>
  <c r="N3796" i="13"/>
  <c r="J3795" i="13" a="1"/>
  <c r="J3795" i="13" s="1"/>
  <c r="K3610" i="13" l="1"/>
  <c r="L3610" i="13" s="1"/>
  <c r="I3611" i="13" s="1"/>
  <c r="K3632" i="14"/>
  <c r="L3632" i="14" s="1"/>
  <c r="I3633" i="14" s="1"/>
  <c r="N3796" i="14"/>
  <c r="J3795" i="14" a="1"/>
  <c r="J3795" i="14" s="1"/>
  <c r="M3799" i="13"/>
  <c r="J3796" i="13" a="1"/>
  <c r="J3796" i="13" s="1"/>
  <c r="N3797" i="13"/>
  <c r="M3800" i="14"/>
  <c r="K3611" i="13" l="1"/>
  <c r="L3611" i="13" s="1"/>
  <c r="I3612" i="13" s="1"/>
  <c r="M3801" i="14"/>
  <c r="M3800" i="13"/>
  <c r="K3633" i="14"/>
  <c r="L3633" i="14" s="1"/>
  <c r="I3634" i="14" s="1"/>
  <c r="N3798" i="13"/>
  <c r="J3797" i="13" a="1"/>
  <c r="J3797" i="13" s="1"/>
  <c r="N3797" i="14"/>
  <c r="J3796" i="14" a="1"/>
  <c r="J3796" i="14" s="1"/>
  <c r="K3612" i="13" l="1"/>
  <c r="L3612" i="13" s="1"/>
  <c r="I3613" i="13" s="1"/>
  <c r="J3797" i="14" a="1"/>
  <c r="J3797" i="14" s="1"/>
  <c r="N3798" i="14"/>
  <c r="M3802" i="14"/>
  <c r="K3634" i="14"/>
  <c r="L3634" i="14" s="1"/>
  <c r="I3635" i="14" s="1"/>
  <c r="M3801" i="13"/>
  <c r="N3799" i="13"/>
  <c r="J3798" i="13" a="1"/>
  <c r="J3798" i="13" s="1"/>
  <c r="K3635" i="14" l="1"/>
  <c r="L3635" i="14" s="1"/>
  <c r="I3636" i="14" s="1"/>
  <c r="K3613" i="13"/>
  <c r="L3613" i="13" s="1"/>
  <c r="I3614" i="13" s="1"/>
  <c r="N3799" i="14"/>
  <c r="J3798" i="14" a="1"/>
  <c r="J3798" i="14" s="1"/>
  <c r="N3800" i="13"/>
  <c r="J3799" i="13" a="1"/>
  <c r="J3799" i="13" s="1"/>
  <c r="M3803" i="14"/>
  <c r="M3802" i="13"/>
  <c r="K3614" i="13" l="1"/>
  <c r="L3614" i="13" s="1"/>
  <c r="I3615" i="13" s="1"/>
  <c r="K3636" i="14"/>
  <c r="L3636" i="14" s="1"/>
  <c r="I3637" i="14" s="1"/>
  <c r="J3800" i="13" a="1"/>
  <c r="J3800" i="13" s="1"/>
  <c r="N3801" i="13"/>
  <c r="M3803" i="13"/>
  <c r="M3804" i="14"/>
  <c r="N3800" i="14"/>
  <c r="J3799" i="14" a="1"/>
  <c r="J3799" i="14" s="1"/>
  <c r="K3615" i="13" l="1"/>
  <c r="L3615" i="13" s="1"/>
  <c r="I3616" i="13" s="1"/>
  <c r="K3637" i="14"/>
  <c r="L3637" i="14" s="1"/>
  <c r="I3638" i="14" s="1"/>
  <c r="M3804" i="13"/>
  <c r="N3802" i="13"/>
  <c r="J3801" i="13" a="1"/>
  <c r="J3801" i="13" s="1"/>
  <c r="N3801" i="14"/>
  <c r="J3800" i="14" a="1"/>
  <c r="J3800" i="14" s="1"/>
  <c r="M3805" i="14"/>
  <c r="K3638" i="14" l="1"/>
  <c r="L3638" i="14" s="1"/>
  <c r="I3639" i="14" s="1"/>
  <c r="K3616" i="13"/>
  <c r="L3616" i="13" s="1"/>
  <c r="I3617" i="13" s="1"/>
  <c r="N3803" i="13"/>
  <c r="J3802" i="13" a="1"/>
  <c r="J3802" i="13" s="1"/>
  <c r="M3806" i="14"/>
  <c r="J3801" i="14" a="1"/>
  <c r="J3801" i="14" s="1"/>
  <c r="N3802" i="14"/>
  <c r="M3805" i="13"/>
  <c r="K3617" i="13" l="1"/>
  <c r="L3617" i="13" s="1"/>
  <c r="I3618" i="13" s="1"/>
  <c r="K3639" i="14"/>
  <c r="L3639" i="14" s="1"/>
  <c r="I3640" i="14" s="1"/>
  <c r="M3806" i="13"/>
  <c r="M3807" i="14"/>
  <c r="N3803" i="14"/>
  <c r="J3802" i="14" a="1"/>
  <c r="J3802" i="14" s="1"/>
  <c r="N3804" i="13"/>
  <c r="J3803" i="13" a="1"/>
  <c r="J3803" i="13" s="1"/>
  <c r="K3618" i="13" l="1"/>
  <c r="L3618" i="13" s="1"/>
  <c r="I3619" i="13" s="1"/>
  <c r="J3804" i="13" a="1"/>
  <c r="J3804" i="13" s="1"/>
  <c r="N3805" i="13"/>
  <c r="M3808" i="14"/>
  <c r="K3640" i="14"/>
  <c r="L3640" i="14" s="1"/>
  <c r="I3641" i="14" s="1"/>
  <c r="M3807" i="13"/>
  <c r="N3804" i="14"/>
  <c r="J3803" i="14" a="1"/>
  <c r="J3803" i="14" s="1"/>
  <c r="K3641" i="14" l="1"/>
  <c r="L3641" i="14" s="1"/>
  <c r="I3642" i="14" s="1"/>
  <c r="K3619" i="13"/>
  <c r="L3619" i="13" s="1"/>
  <c r="I3620" i="13" s="1"/>
  <c r="N3806" i="13"/>
  <c r="J3805" i="13" a="1"/>
  <c r="J3805" i="13" s="1"/>
  <c r="N3805" i="14"/>
  <c r="J3804" i="14" a="1"/>
  <c r="J3804" i="14" s="1"/>
  <c r="M3808" i="13"/>
  <c r="M3809" i="14"/>
  <c r="K3620" i="13" l="1"/>
  <c r="L3620" i="13" s="1"/>
  <c r="I3621" i="13" s="1"/>
  <c r="K3642" i="14"/>
  <c r="L3642" i="14" s="1"/>
  <c r="I3643" i="14" s="1"/>
  <c r="J3805" i="14" a="1"/>
  <c r="J3805" i="14" s="1"/>
  <c r="N3806" i="14"/>
  <c r="M3810" i="14"/>
  <c r="M3809" i="13"/>
  <c r="N3807" i="13"/>
  <c r="J3806" i="13" a="1"/>
  <c r="J3806" i="13" s="1"/>
  <c r="K3643" i="14" l="1"/>
  <c r="L3643" i="14" s="1"/>
  <c r="I3644" i="14" s="1"/>
  <c r="K3621" i="13"/>
  <c r="L3621" i="13" s="1"/>
  <c r="I3622" i="13" s="1"/>
  <c r="N3808" i="13"/>
  <c r="J3807" i="13" a="1"/>
  <c r="J3807" i="13" s="1"/>
  <c r="M3811" i="14"/>
  <c r="N3807" i="14"/>
  <c r="J3806" i="14" a="1"/>
  <c r="J3806" i="14" s="1"/>
  <c r="M3810" i="13"/>
  <c r="K3644" i="14" l="1"/>
  <c r="L3644" i="14" s="1"/>
  <c r="I3645" i="14" s="1"/>
  <c r="J3808" i="13" a="1"/>
  <c r="J3808" i="13" s="1"/>
  <c r="N3809" i="13"/>
  <c r="M3811" i="13"/>
  <c r="M3812" i="14"/>
  <c r="K3622" i="13"/>
  <c r="L3622" i="13" s="1"/>
  <c r="I3623" i="13" s="1"/>
  <c r="N3808" i="14"/>
  <c r="J3807" i="14" a="1"/>
  <c r="J3807" i="14" s="1"/>
  <c r="K3623" i="13" l="1"/>
  <c r="L3623" i="13" s="1"/>
  <c r="I3624" i="13" s="1"/>
  <c r="K3645" i="14"/>
  <c r="L3645" i="14" s="1"/>
  <c r="I3646" i="14" s="1"/>
  <c r="N3810" i="13"/>
  <c r="J3809" i="13" a="1"/>
  <c r="J3809" i="13" s="1"/>
  <c r="N3809" i="14"/>
  <c r="J3808" i="14" a="1"/>
  <c r="J3808" i="14" s="1"/>
  <c r="M3813" i="14"/>
  <c r="M3812" i="13"/>
  <c r="K3646" i="14" l="1"/>
  <c r="L3646" i="14" s="1"/>
  <c r="I3647" i="14" s="1"/>
  <c r="K3624" i="13"/>
  <c r="L3624" i="13" s="1"/>
  <c r="I3625" i="13" s="1"/>
  <c r="M3813" i="13"/>
  <c r="J3809" i="14" a="1"/>
  <c r="J3809" i="14" s="1"/>
  <c r="N3810" i="14"/>
  <c r="M3814" i="14"/>
  <c r="N3811" i="13"/>
  <c r="J3810" i="13" a="1"/>
  <c r="J3810" i="13" s="1"/>
  <c r="K3625" i="13" l="1"/>
  <c r="L3625" i="13" s="1"/>
  <c r="I3626" i="13" s="1"/>
  <c r="K3647" i="14"/>
  <c r="L3647" i="14" s="1"/>
  <c r="I3648" i="14" s="1"/>
  <c r="N3811" i="14"/>
  <c r="J3810" i="14" a="1"/>
  <c r="J3810" i="14" s="1"/>
  <c r="N3812" i="13"/>
  <c r="J3811" i="13" a="1"/>
  <c r="J3811" i="13" s="1"/>
  <c r="M3814" i="13"/>
  <c r="M3815" i="14"/>
  <c r="K3648" i="14" l="1"/>
  <c r="L3648" i="14" s="1"/>
  <c r="I3649" i="14" s="1"/>
  <c r="K3626" i="13"/>
  <c r="L3626" i="13" s="1"/>
  <c r="I3627" i="13" s="1"/>
  <c r="J3812" i="13" a="1"/>
  <c r="J3812" i="13" s="1"/>
  <c r="N3813" i="13"/>
  <c r="M3816" i="14"/>
  <c r="M3815" i="13"/>
  <c r="N3812" i="14"/>
  <c r="J3811" i="14" a="1"/>
  <c r="J3811" i="14" s="1"/>
  <c r="K3649" i="14" l="1"/>
  <c r="L3649" i="14" s="1"/>
  <c r="I3650" i="14" s="1"/>
  <c r="M3817" i="14"/>
  <c r="K3627" i="13"/>
  <c r="L3627" i="13" s="1"/>
  <c r="I3628" i="13" s="1"/>
  <c r="N3814" i="13"/>
  <c r="J3813" i="13" a="1"/>
  <c r="J3813" i="13" s="1"/>
  <c r="N3813" i="14"/>
  <c r="J3812" i="14" a="1"/>
  <c r="J3812" i="14" s="1"/>
  <c r="M3816" i="13"/>
  <c r="K3628" i="13" l="1"/>
  <c r="L3628" i="13" s="1"/>
  <c r="I3629" i="13" s="1"/>
  <c r="K3650" i="14"/>
  <c r="L3650" i="14" s="1"/>
  <c r="I3651" i="14" s="1"/>
  <c r="N3815" i="13"/>
  <c r="J3814" i="13" a="1"/>
  <c r="J3814" i="13" s="1"/>
  <c r="M3818" i="14"/>
  <c r="M3817" i="13"/>
  <c r="J3813" i="14" a="1"/>
  <c r="J3813" i="14" s="1"/>
  <c r="N3814" i="14"/>
  <c r="K3651" i="14" l="1"/>
  <c r="L3651" i="14" s="1"/>
  <c r="I3652" i="14" s="1"/>
  <c r="K3629" i="13"/>
  <c r="L3629" i="13" s="1"/>
  <c r="I3630" i="13" s="1"/>
  <c r="N3815" i="14"/>
  <c r="J3814" i="14" a="1"/>
  <c r="J3814" i="14" s="1"/>
  <c r="M3819" i="14"/>
  <c r="M3818" i="13"/>
  <c r="N3816" i="13"/>
  <c r="J3815" i="13" a="1"/>
  <c r="J3815" i="13" s="1"/>
  <c r="K3630" i="13" l="1"/>
  <c r="L3630" i="13" s="1"/>
  <c r="I3631" i="13" s="1"/>
  <c r="K3652" i="14"/>
  <c r="L3652" i="14" s="1"/>
  <c r="I3653" i="14" s="1"/>
  <c r="J3816" i="13" a="1"/>
  <c r="J3816" i="13" s="1"/>
  <c r="N3817" i="13"/>
  <c r="M3820" i="14"/>
  <c r="M3819" i="13"/>
  <c r="N3816" i="14"/>
  <c r="J3815" i="14" a="1"/>
  <c r="J3815" i="14" s="1"/>
  <c r="K3653" i="14" l="1"/>
  <c r="L3653" i="14" s="1"/>
  <c r="I3654" i="14" s="1"/>
  <c r="K3631" i="13"/>
  <c r="L3631" i="13" s="1"/>
  <c r="I3632" i="13" s="1"/>
  <c r="N3817" i="14"/>
  <c r="J3816" i="14" a="1"/>
  <c r="J3816" i="14" s="1"/>
  <c r="M3821" i="14"/>
  <c r="N3818" i="13"/>
  <c r="J3817" i="13" a="1"/>
  <c r="J3817" i="13" s="1"/>
  <c r="M3820" i="13"/>
  <c r="K3654" i="14" l="1"/>
  <c r="L3654" i="14" s="1"/>
  <c r="I3655" i="14" s="1"/>
  <c r="M3821" i="13"/>
  <c r="M3822" i="14"/>
  <c r="K3632" i="13"/>
  <c r="L3632" i="13" s="1"/>
  <c r="I3633" i="13" s="1"/>
  <c r="N3819" i="13"/>
  <c r="J3818" i="13" a="1"/>
  <c r="J3818" i="13" s="1"/>
  <c r="J3817" i="14" a="1"/>
  <c r="J3817" i="14" s="1"/>
  <c r="N3818" i="14"/>
  <c r="K3655" i="14" l="1"/>
  <c r="L3655" i="14" s="1"/>
  <c r="I3656" i="14" s="1"/>
  <c r="N3819" i="14"/>
  <c r="J3818" i="14" a="1"/>
  <c r="J3818" i="14" s="1"/>
  <c r="M3822" i="13"/>
  <c r="K3633" i="13"/>
  <c r="L3633" i="13" s="1"/>
  <c r="I3634" i="13" s="1"/>
  <c r="M3823" i="14"/>
  <c r="N3820" i="13"/>
  <c r="J3819" i="13" a="1"/>
  <c r="J3819" i="13" s="1"/>
  <c r="K3634" i="13" l="1"/>
  <c r="L3634" i="13" s="1"/>
  <c r="I3635" i="13" s="1"/>
  <c r="K3656" i="14"/>
  <c r="L3656" i="14" s="1"/>
  <c r="I3657" i="14" s="1"/>
  <c r="J3819" i="14" a="1"/>
  <c r="J3819" i="14" s="1"/>
  <c r="N3820" i="14"/>
  <c r="J3820" i="13" a="1"/>
  <c r="J3820" i="13" s="1"/>
  <c r="N3821" i="13"/>
  <c r="M3824" i="14"/>
  <c r="M3823" i="13"/>
  <c r="K3657" i="14" l="1"/>
  <c r="L3657" i="14" s="1"/>
  <c r="I3658" i="14" s="1"/>
  <c r="K3635" i="13"/>
  <c r="L3635" i="13" s="1"/>
  <c r="I3636" i="13" s="1"/>
  <c r="N3822" i="13"/>
  <c r="J3821" i="13" a="1"/>
  <c r="J3821" i="13" s="1"/>
  <c r="N3821" i="14"/>
  <c r="J3820" i="14" a="1"/>
  <c r="J3820" i="14" s="1"/>
  <c r="M3824" i="13"/>
  <c r="M3825" i="14"/>
  <c r="K3636" i="13" l="1"/>
  <c r="L3636" i="13" s="1"/>
  <c r="I3637" i="13" s="1"/>
  <c r="K3658" i="14"/>
  <c r="L3658" i="14" s="1"/>
  <c r="I3659" i="14" s="1"/>
  <c r="J3821" i="14" a="1"/>
  <c r="J3821" i="14" s="1"/>
  <c r="N3822" i="14"/>
  <c r="M3826" i="14"/>
  <c r="M3825" i="13"/>
  <c r="N3823" i="13"/>
  <c r="J3822" i="13" a="1"/>
  <c r="J3822" i="13" s="1"/>
  <c r="K3659" i="14" l="1"/>
  <c r="L3659" i="14" s="1"/>
  <c r="I3660" i="14" s="1"/>
  <c r="K3637" i="13"/>
  <c r="L3637" i="13" s="1"/>
  <c r="I3638" i="13" s="1"/>
  <c r="J3822" i="14" a="1"/>
  <c r="J3822" i="14" s="1"/>
  <c r="N3823" i="14"/>
  <c r="N3824" i="13"/>
  <c r="J3823" i="13" a="1"/>
  <c r="J3823" i="13" s="1"/>
  <c r="M3827" i="14"/>
  <c r="M3826" i="13"/>
  <c r="K3660" i="14" l="1"/>
  <c r="L3660" i="14" s="1"/>
  <c r="I3661" i="14" s="1"/>
  <c r="J3824" i="13" a="1"/>
  <c r="J3824" i="13" s="1"/>
  <c r="N3825" i="13"/>
  <c r="M3827" i="13"/>
  <c r="K3638" i="13"/>
  <c r="L3638" i="13" s="1"/>
  <c r="I3639" i="13" s="1"/>
  <c r="M3828" i="14"/>
  <c r="N3824" i="14"/>
  <c r="J3823" i="14" a="1"/>
  <c r="J3823" i="14" s="1"/>
  <c r="K3639" i="13" l="1"/>
  <c r="L3639" i="13" s="1"/>
  <c r="I3640" i="13" s="1"/>
  <c r="K3661" i="14"/>
  <c r="L3661" i="14" s="1"/>
  <c r="I3662" i="14" s="1"/>
  <c r="N3826" i="13"/>
  <c r="J3825" i="13" a="1"/>
  <c r="J3825" i="13" s="1"/>
  <c r="N3825" i="14"/>
  <c r="J3824" i="14" a="1"/>
  <c r="J3824" i="14" s="1"/>
  <c r="M3829" i="14"/>
  <c r="M3828" i="13"/>
  <c r="K3640" i="13" l="1"/>
  <c r="L3640" i="13" s="1"/>
  <c r="I3641" i="13" s="1"/>
  <c r="J3825" i="14" a="1"/>
  <c r="J3825" i="14" s="1"/>
  <c r="N3826" i="14"/>
  <c r="K3662" i="14"/>
  <c r="L3662" i="14" s="1"/>
  <c r="I3663" i="14" s="1"/>
  <c r="M3829" i="13"/>
  <c r="M3830" i="14"/>
  <c r="N3827" i="13"/>
  <c r="J3826" i="13" a="1"/>
  <c r="J3826" i="13" s="1"/>
  <c r="K3663" i="14" l="1"/>
  <c r="L3663" i="14" s="1"/>
  <c r="I3664" i="14" s="1"/>
  <c r="K3641" i="13"/>
  <c r="L3641" i="13" s="1"/>
  <c r="I3642" i="13" s="1"/>
  <c r="M3830" i="13"/>
  <c r="N3827" i="14"/>
  <c r="J3826" i="14" a="1"/>
  <c r="J3826" i="14" s="1"/>
  <c r="N3828" i="13"/>
  <c r="J3827" i="13" a="1"/>
  <c r="J3827" i="13" s="1"/>
  <c r="M3831" i="14"/>
  <c r="K3642" i="13" l="1"/>
  <c r="L3642" i="13" s="1"/>
  <c r="I3643" i="13" s="1"/>
  <c r="K3664" i="14"/>
  <c r="L3664" i="14" s="1"/>
  <c r="I3665" i="14" s="1"/>
  <c r="N3828" i="14"/>
  <c r="J3827" i="14" a="1"/>
  <c r="J3827" i="14" s="1"/>
  <c r="M3831" i="13"/>
  <c r="M3832" i="14"/>
  <c r="J3828" i="13" a="1"/>
  <c r="J3828" i="13" s="1"/>
  <c r="N3829" i="13"/>
  <c r="K3665" i="14" l="1"/>
  <c r="L3665" i="14" s="1"/>
  <c r="I3666" i="14" s="1"/>
  <c r="K3643" i="13"/>
  <c r="L3643" i="13" s="1"/>
  <c r="I3644" i="13" s="1"/>
  <c r="M3832" i="13"/>
  <c r="N3830" i="13"/>
  <c r="J3829" i="13" a="1"/>
  <c r="J3829" i="13" s="1"/>
  <c r="M3833" i="14"/>
  <c r="N3829" i="14"/>
  <c r="J3828" i="14" a="1"/>
  <c r="J3828" i="14" s="1"/>
  <c r="K3666" i="14" l="1"/>
  <c r="L3666" i="14" s="1"/>
  <c r="I3667" i="14" s="1"/>
  <c r="J3829" i="14" a="1"/>
  <c r="J3829" i="14" s="1"/>
  <c r="N3830" i="14"/>
  <c r="K3644" i="13"/>
  <c r="L3644" i="13" s="1"/>
  <c r="I3645" i="13" s="1"/>
  <c r="N3831" i="13"/>
  <c r="J3830" i="13" a="1"/>
  <c r="J3830" i="13" s="1"/>
  <c r="M3834" i="14"/>
  <c r="M3833" i="13"/>
  <c r="K3645" i="13" l="1"/>
  <c r="L3645" i="13" s="1"/>
  <c r="I3646" i="13" s="1"/>
  <c r="K3667" i="14"/>
  <c r="L3667" i="14" s="1"/>
  <c r="I3668" i="14" s="1"/>
  <c r="N3831" i="14"/>
  <c r="J3830" i="14" a="1"/>
  <c r="J3830" i="14" s="1"/>
  <c r="N3832" i="13"/>
  <c r="J3831" i="13" a="1"/>
  <c r="J3831" i="13" s="1"/>
  <c r="M3834" i="13"/>
  <c r="M3835" i="14"/>
  <c r="K3668" i="14" l="1"/>
  <c r="L3668" i="14" s="1"/>
  <c r="I3669" i="14" s="1"/>
  <c r="K3646" i="13"/>
  <c r="L3646" i="13" s="1"/>
  <c r="I3647" i="13" s="1"/>
  <c r="M3836" i="14"/>
  <c r="J3832" i="13" a="1"/>
  <c r="J3832" i="13" s="1"/>
  <c r="N3833" i="13"/>
  <c r="M3835" i="13"/>
  <c r="N3832" i="14"/>
  <c r="J3831" i="14" a="1"/>
  <c r="J3831" i="14" s="1"/>
  <c r="K3647" i="13" l="1"/>
  <c r="L3647" i="13" s="1"/>
  <c r="I3648" i="13" s="1"/>
  <c r="K3669" i="14"/>
  <c r="L3669" i="14" s="1"/>
  <c r="I3670" i="14" s="1"/>
  <c r="N3834" i="13"/>
  <c r="J3833" i="13" a="1"/>
  <c r="J3833" i="13" s="1"/>
  <c r="N3833" i="14"/>
  <c r="J3832" i="14" a="1"/>
  <c r="J3832" i="14" s="1"/>
  <c r="M3836" i="13"/>
  <c r="M3837" i="14"/>
  <c r="K3670" i="14" l="1"/>
  <c r="L3670" i="14" s="1"/>
  <c r="I3671" i="14" s="1"/>
  <c r="K3648" i="13"/>
  <c r="L3648" i="13" s="1"/>
  <c r="I3649" i="13" s="1"/>
  <c r="J3833" i="14" a="1"/>
  <c r="J3833" i="14" s="1"/>
  <c r="N3834" i="14"/>
  <c r="M3838" i="14"/>
  <c r="M3837" i="13"/>
  <c r="N3835" i="13"/>
  <c r="J3834" i="13" a="1"/>
  <c r="J3834" i="13" s="1"/>
  <c r="K3671" i="14" l="1"/>
  <c r="L3671" i="14" s="1"/>
  <c r="I3672" i="14" s="1"/>
  <c r="M3839" i="14"/>
  <c r="K3649" i="13"/>
  <c r="L3649" i="13" s="1"/>
  <c r="I3650" i="13" s="1"/>
  <c r="N3836" i="13"/>
  <c r="J3835" i="13" a="1"/>
  <c r="J3835" i="13" s="1"/>
  <c r="M3838" i="13"/>
  <c r="N3835" i="14"/>
  <c r="J3834" i="14" a="1"/>
  <c r="J3834" i="14" s="1"/>
  <c r="K3672" i="14" l="1"/>
  <c r="L3672" i="14" s="1"/>
  <c r="I3673" i="14" s="1"/>
  <c r="K3650" i="13"/>
  <c r="L3650" i="13" s="1"/>
  <c r="I3651" i="13" s="1"/>
  <c r="M3840" i="14"/>
  <c r="J3836" i="13" a="1"/>
  <c r="J3836" i="13" s="1"/>
  <c r="N3837" i="13"/>
  <c r="N3836" i="14"/>
  <c r="J3835" i="14" a="1"/>
  <c r="J3835" i="14" s="1"/>
  <c r="M3839" i="13"/>
  <c r="K3651" i="13" l="1"/>
  <c r="L3651" i="13" s="1"/>
  <c r="I3652" i="13" s="1"/>
  <c r="K3673" i="14"/>
  <c r="L3673" i="14" s="1"/>
  <c r="I3674" i="14" s="1"/>
  <c r="N3838" i="13"/>
  <c r="J3837" i="13" a="1"/>
  <c r="J3837" i="13" s="1"/>
  <c r="M3840" i="13"/>
  <c r="N3837" i="14"/>
  <c r="J3836" i="14" a="1"/>
  <c r="J3836" i="14" s="1"/>
  <c r="M3841" i="14"/>
  <c r="K3674" i="14" l="1"/>
  <c r="L3674" i="14" s="1"/>
  <c r="I3675" i="14" s="1"/>
  <c r="K3652" i="13"/>
  <c r="L3652" i="13" s="1"/>
  <c r="I3653" i="13" s="1"/>
  <c r="M3841" i="13"/>
  <c r="M3842" i="14"/>
  <c r="J3837" i="14" a="1"/>
  <c r="J3837" i="14" s="1"/>
  <c r="N3838" i="14"/>
  <c r="N3839" i="13"/>
  <c r="J3838" i="13" a="1"/>
  <c r="J3838" i="13" s="1"/>
  <c r="K3675" i="14" l="1"/>
  <c r="L3675" i="14" s="1"/>
  <c r="I3676" i="14" s="1"/>
  <c r="N3840" i="13"/>
  <c r="J3839" i="13" a="1"/>
  <c r="J3839" i="13" s="1"/>
  <c r="M3843" i="14"/>
  <c r="K3653" i="13"/>
  <c r="L3653" i="13" s="1"/>
  <c r="I3654" i="13" s="1"/>
  <c r="N3839" i="14"/>
  <c r="J3838" i="14" a="1"/>
  <c r="J3838" i="14" s="1"/>
  <c r="M3842" i="13"/>
  <c r="K3654" i="13" l="1"/>
  <c r="L3654" i="13" s="1"/>
  <c r="I3655" i="13" s="1"/>
  <c r="K3676" i="14"/>
  <c r="L3676" i="14" s="1"/>
  <c r="I3677" i="14" s="1"/>
  <c r="J3840" i="13" a="1"/>
  <c r="J3840" i="13" s="1"/>
  <c r="N3841" i="13"/>
  <c r="M3843" i="13"/>
  <c r="M3844" i="14"/>
  <c r="J3839" i="14" a="1"/>
  <c r="J3839" i="14" s="1"/>
  <c r="N3840" i="14"/>
  <c r="K3677" i="14" l="1"/>
  <c r="L3677" i="14" s="1"/>
  <c r="I3678" i="14" s="1"/>
  <c r="K3655" i="13"/>
  <c r="L3655" i="13" s="1"/>
  <c r="I3656" i="13" s="1"/>
  <c r="N3841" i="14"/>
  <c r="J3840" i="14" a="1"/>
  <c r="J3840" i="14" s="1"/>
  <c r="M3845" i="14"/>
  <c r="M3844" i="13"/>
  <c r="N3842" i="13"/>
  <c r="J3841" i="13" a="1"/>
  <c r="J3841" i="13" s="1"/>
  <c r="K3656" i="13" l="1"/>
  <c r="L3656" i="13" s="1"/>
  <c r="I3657" i="13" s="1"/>
  <c r="M3845" i="13"/>
  <c r="N3843" i="13"/>
  <c r="J3842" i="13" a="1"/>
  <c r="J3842" i="13" s="1"/>
  <c r="M3846" i="14"/>
  <c r="J3841" i="14" a="1"/>
  <c r="J3841" i="14" s="1"/>
  <c r="N3842" i="14"/>
  <c r="K3678" i="14"/>
  <c r="L3678" i="14" s="1"/>
  <c r="I3679" i="14" s="1"/>
  <c r="K3679" i="14" l="1"/>
  <c r="L3679" i="14" s="1"/>
  <c r="I3680" i="14" s="1"/>
  <c r="K3657" i="13"/>
  <c r="L3657" i="13" s="1"/>
  <c r="I3658" i="13" s="1"/>
  <c r="M3846" i="13"/>
  <c r="J3842" i="14" a="1"/>
  <c r="J3842" i="14" s="1"/>
  <c r="N3843" i="14"/>
  <c r="M3847" i="14"/>
  <c r="N3844" i="13"/>
  <c r="J3843" i="13" a="1"/>
  <c r="J3843" i="13" s="1"/>
  <c r="K3658" i="13" l="1"/>
  <c r="L3658" i="13" s="1"/>
  <c r="I3659" i="13" s="1"/>
  <c r="K3680" i="14"/>
  <c r="L3680" i="14" s="1"/>
  <c r="I3681" i="14" s="1"/>
  <c r="N3844" i="14"/>
  <c r="J3843" i="14" a="1"/>
  <c r="J3843" i="14" s="1"/>
  <c r="M3848" i="14"/>
  <c r="M3847" i="13"/>
  <c r="J3844" i="13" a="1"/>
  <c r="J3844" i="13" s="1"/>
  <c r="N3845" i="13"/>
  <c r="K3659" i="13" l="1"/>
  <c r="L3659" i="13" s="1"/>
  <c r="I3660" i="13" s="1"/>
  <c r="K3681" i="14"/>
  <c r="L3681" i="14" s="1"/>
  <c r="I3682" i="14" s="1"/>
  <c r="N3846" i="13"/>
  <c r="J3845" i="13" a="1"/>
  <c r="J3845" i="13" s="1"/>
  <c r="M3849" i="14"/>
  <c r="M3848" i="13"/>
  <c r="N3845" i="14"/>
  <c r="J3844" i="14" a="1"/>
  <c r="J3844" i="14" s="1"/>
  <c r="K3660" i="13" l="1"/>
  <c r="L3660" i="13" s="1"/>
  <c r="I3661" i="13" s="1"/>
  <c r="K3682" i="14"/>
  <c r="L3682" i="14" s="1"/>
  <c r="I3683" i="14" s="1"/>
  <c r="J3845" i="14" a="1"/>
  <c r="J3845" i="14" s="1"/>
  <c r="N3846" i="14"/>
  <c r="M3850" i="14"/>
  <c r="M3849" i="13"/>
  <c r="N3847" i="13"/>
  <c r="J3846" i="13" a="1"/>
  <c r="J3846" i="13" s="1"/>
  <c r="K3683" i="14" l="1"/>
  <c r="L3683" i="14" s="1"/>
  <c r="I3684" i="14" s="1"/>
  <c r="K3661" i="13"/>
  <c r="L3661" i="13" s="1"/>
  <c r="I3662" i="13" s="1"/>
  <c r="M3851" i="14"/>
  <c r="M3850" i="13"/>
  <c r="N3848" i="13"/>
  <c r="J3847" i="13" a="1"/>
  <c r="J3847" i="13" s="1"/>
  <c r="N3847" i="14"/>
  <c r="J3846" i="14" a="1"/>
  <c r="J3846" i="14" s="1"/>
  <c r="K3662" i="13" l="1"/>
  <c r="L3662" i="13" s="1"/>
  <c r="I3663" i="13" s="1"/>
  <c r="K3684" i="14"/>
  <c r="L3684" i="14" s="1"/>
  <c r="I3685" i="14" s="1"/>
  <c r="M3851" i="13"/>
  <c r="N3848" i="14"/>
  <c r="J3847" i="14" a="1"/>
  <c r="J3847" i="14" s="1"/>
  <c r="M3852" i="14"/>
  <c r="J3848" i="13" a="1"/>
  <c r="J3848" i="13" s="1"/>
  <c r="N3849" i="13"/>
  <c r="K3685" i="14" l="1"/>
  <c r="L3685" i="14" s="1"/>
  <c r="I3686" i="14" s="1"/>
  <c r="K3663" i="13"/>
  <c r="L3663" i="13" s="1"/>
  <c r="I3664" i="13" s="1"/>
  <c r="N3850" i="13"/>
  <c r="J3849" i="13" a="1"/>
  <c r="J3849" i="13" s="1"/>
  <c r="N3849" i="14"/>
  <c r="J3848" i="14" a="1"/>
  <c r="J3848" i="14" s="1"/>
  <c r="M3853" i="14"/>
  <c r="M3852" i="13"/>
  <c r="K3664" i="13" l="1"/>
  <c r="L3664" i="13" s="1"/>
  <c r="I3665" i="13" s="1"/>
  <c r="K3686" i="14"/>
  <c r="L3686" i="14" s="1"/>
  <c r="I3687" i="14" s="1"/>
  <c r="J3849" i="14" a="1"/>
  <c r="J3849" i="14" s="1"/>
  <c r="N3850" i="14"/>
  <c r="M3853" i="13"/>
  <c r="M3854" i="14"/>
  <c r="N3851" i="13"/>
  <c r="J3850" i="13" a="1"/>
  <c r="J3850" i="13" s="1"/>
  <c r="K3687" i="14" l="1"/>
  <c r="L3687" i="14" s="1"/>
  <c r="I3688" i="14" s="1"/>
  <c r="K3665" i="13"/>
  <c r="L3665" i="13" s="1"/>
  <c r="I3666" i="13" s="1"/>
  <c r="M3854" i="13"/>
  <c r="N3852" i="13"/>
  <c r="J3851" i="13" a="1"/>
  <c r="J3851" i="13" s="1"/>
  <c r="N3851" i="14"/>
  <c r="J3850" i="14" a="1"/>
  <c r="J3850" i="14" s="1"/>
  <c r="M3855" i="14"/>
  <c r="K3688" i="14" l="1"/>
  <c r="L3688" i="14" s="1"/>
  <c r="I3689" i="14" s="1"/>
  <c r="J3852" i="13" a="1"/>
  <c r="J3852" i="13" s="1"/>
  <c r="N3853" i="13"/>
  <c r="K3666" i="13"/>
  <c r="L3666" i="13" s="1"/>
  <c r="I3667" i="13" s="1"/>
  <c r="M3856" i="14"/>
  <c r="M3855" i="13"/>
  <c r="N3852" i="14"/>
  <c r="J3851" i="14" a="1"/>
  <c r="J3851" i="14" s="1"/>
  <c r="K3667" i="13" l="1"/>
  <c r="L3667" i="13" s="1"/>
  <c r="I3668" i="13" s="1"/>
  <c r="K3689" i="14"/>
  <c r="L3689" i="14" s="1"/>
  <c r="I3690" i="14" s="1"/>
  <c r="N3854" i="13"/>
  <c r="J3853" i="13" a="1"/>
  <c r="J3853" i="13" s="1"/>
  <c r="N3853" i="14"/>
  <c r="J3852" i="14" a="1"/>
  <c r="J3852" i="14" s="1"/>
  <c r="M3857" i="14"/>
  <c r="M3856" i="13"/>
  <c r="K3690" i="14" l="1"/>
  <c r="L3690" i="14" s="1"/>
  <c r="I3691" i="14" s="1"/>
  <c r="K3668" i="13"/>
  <c r="L3668" i="13" s="1"/>
  <c r="I3669" i="13" s="1"/>
  <c r="M3857" i="13"/>
  <c r="J3853" i="14" a="1"/>
  <c r="J3853" i="14" s="1"/>
  <c r="N3854" i="14"/>
  <c r="M3858" i="14"/>
  <c r="N3855" i="13"/>
  <c r="J3854" i="13" a="1"/>
  <c r="J3854" i="13" s="1"/>
  <c r="K3669" i="13" l="1"/>
  <c r="L3669" i="13" s="1"/>
  <c r="I3670" i="13" s="1"/>
  <c r="K3691" i="14"/>
  <c r="L3691" i="14" s="1"/>
  <c r="I3692" i="14" s="1"/>
  <c r="N3855" i="14"/>
  <c r="J3854" i="14" a="1"/>
  <c r="J3854" i="14" s="1"/>
  <c r="N3856" i="13"/>
  <c r="J3855" i="13" a="1"/>
  <c r="J3855" i="13" s="1"/>
  <c r="M3858" i="13"/>
  <c r="M3859" i="14"/>
  <c r="K3670" i="13" l="1"/>
  <c r="L3670" i="13" s="1"/>
  <c r="I3671" i="13" s="1"/>
  <c r="M3860" i="14"/>
  <c r="K3692" i="14"/>
  <c r="L3692" i="14" s="1"/>
  <c r="I3693" i="14" s="1"/>
  <c r="J3856" i="13" a="1"/>
  <c r="J3856" i="13" s="1"/>
  <c r="N3857" i="13"/>
  <c r="M3859" i="13"/>
  <c r="N3856" i="14"/>
  <c r="J3855" i="14" a="1"/>
  <c r="J3855" i="14" s="1"/>
  <c r="K3693" i="14" l="1"/>
  <c r="L3693" i="14" s="1"/>
  <c r="I3694" i="14" s="1"/>
  <c r="K3671" i="13"/>
  <c r="L3671" i="13" s="1"/>
  <c r="I3672" i="13" s="1"/>
  <c r="N3858" i="13"/>
  <c r="J3857" i="13" a="1"/>
  <c r="J3857" i="13" s="1"/>
  <c r="M3861" i="14"/>
  <c r="N3857" i="14"/>
  <c r="J3856" i="14" a="1"/>
  <c r="J3856" i="14" s="1"/>
  <c r="M3860" i="13"/>
  <c r="K3672" i="13" l="1"/>
  <c r="L3672" i="13" s="1"/>
  <c r="I3673" i="13" s="1"/>
  <c r="J3857" i="14" a="1"/>
  <c r="J3857" i="14" s="1"/>
  <c r="N3858" i="14"/>
  <c r="M3861" i="13"/>
  <c r="M3862" i="14"/>
  <c r="N3859" i="13"/>
  <c r="J3858" i="13" a="1"/>
  <c r="J3858" i="13" s="1"/>
  <c r="K3694" i="14"/>
  <c r="L3694" i="14" s="1"/>
  <c r="I3695" i="14" s="1"/>
  <c r="K3695" i="14" l="1"/>
  <c r="L3695" i="14" s="1"/>
  <c r="I3696" i="14" s="1"/>
  <c r="K3673" i="13"/>
  <c r="L3673" i="13" s="1"/>
  <c r="I3674" i="13" s="1"/>
  <c r="M3863" i="14"/>
  <c r="N3859" i="14"/>
  <c r="J3858" i="14" a="1"/>
  <c r="J3858" i="14" s="1"/>
  <c r="M3862" i="13"/>
  <c r="N3860" i="13"/>
  <c r="J3859" i="13" a="1"/>
  <c r="J3859" i="13" s="1"/>
  <c r="K3674" i="13" l="1"/>
  <c r="L3674" i="13" s="1"/>
  <c r="I3675" i="13" s="1"/>
  <c r="K3696" i="14"/>
  <c r="L3696" i="14" s="1"/>
  <c r="I3697" i="14" s="1"/>
  <c r="J3860" i="13" a="1"/>
  <c r="J3860" i="13" s="1"/>
  <c r="N3861" i="13"/>
  <c r="N3860" i="14"/>
  <c r="J3859" i="14" a="1"/>
  <c r="J3859" i="14" s="1"/>
  <c r="M3863" i="13"/>
  <c r="M3864" i="14"/>
  <c r="K3675" i="13" l="1"/>
  <c r="L3675" i="13" s="1"/>
  <c r="I3676" i="13" s="1"/>
  <c r="M3865" i="14"/>
  <c r="N3862" i="13"/>
  <c r="J3861" i="13" a="1"/>
  <c r="J3861" i="13" s="1"/>
  <c r="N3861" i="14"/>
  <c r="J3860" i="14" a="1"/>
  <c r="J3860" i="14" s="1"/>
  <c r="K3697" i="14"/>
  <c r="L3697" i="14" s="1"/>
  <c r="I3698" i="14" s="1"/>
  <c r="M3864" i="13"/>
  <c r="K3698" i="14" l="1"/>
  <c r="L3698" i="14" s="1"/>
  <c r="I3699" i="14" s="1"/>
  <c r="K3676" i="13"/>
  <c r="L3676" i="13" s="1"/>
  <c r="I3677" i="13" s="1"/>
  <c r="M3865" i="13"/>
  <c r="M3866" i="14"/>
  <c r="J3861" i="14" a="1"/>
  <c r="J3861" i="14" s="1"/>
  <c r="N3862" i="14"/>
  <c r="N3863" i="13"/>
  <c r="J3862" i="13" a="1"/>
  <c r="J3862" i="13" s="1"/>
  <c r="K3699" i="14" l="1"/>
  <c r="L3699" i="14" s="1"/>
  <c r="I3700" i="14" s="1"/>
  <c r="M3867" i="14"/>
  <c r="K3677" i="13"/>
  <c r="L3677" i="13" s="1"/>
  <c r="I3678" i="13" s="1"/>
  <c r="N3863" i="14"/>
  <c r="J3862" i="14" a="1"/>
  <c r="J3862" i="14" s="1"/>
  <c r="N3864" i="13"/>
  <c r="J3863" i="13" a="1"/>
  <c r="J3863" i="13" s="1"/>
  <c r="M3866" i="13"/>
  <c r="K3678" i="13" l="1"/>
  <c r="L3678" i="13" s="1"/>
  <c r="I3679" i="13" s="1"/>
  <c r="K3700" i="14"/>
  <c r="L3700" i="14" s="1"/>
  <c r="I3701" i="14" s="1"/>
  <c r="M3868" i="14"/>
  <c r="N3864" i="14"/>
  <c r="J3863" i="14" a="1"/>
  <c r="J3863" i="14" s="1"/>
  <c r="M3867" i="13"/>
  <c r="J3864" i="13" a="1"/>
  <c r="J3864" i="13" s="1"/>
  <c r="N3865" i="13"/>
  <c r="K3701" i="14" l="1"/>
  <c r="L3701" i="14" s="1"/>
  <c r="I3702" i="14" s="1"/>
  <c r="K3679" i="13"/>
  <c r="L3679" i="13" s="1"/>
  <c r="I3680" i="13" s="1"/>
  <c r="N3866" i="13"/>
  <c r="J3865" i="13" a="1"/>
  <c r="J3865" i="13" s="1"/>
  <c r="N3865" i="14"/>
  <c r="J3864" i="14" a="1"/>
  <c r="J3864" i="14" s="1"/>
  <c r="M3868" i="13"/>
  <c r="M3869" i="14"/>
  <c r="K3680" i="13" l="1"/>
  <c r="L3680" i="13" s="1"/>
  <c r="I3681" i="13" s="1"/>
  <c r="K3702" i="14"/>
  <c r="L3702" i="14" s="1"/>
  <c r="I3703" i="14" s="1"/>
  <c r="J3865" i="14" a="1"/>
  <c r="J3865" i="14" s="1"/>
  <c r="N3866" i="14"/>
  <c r="M3870" i="14"/>
  <c r="M3869" i="13"/>
  <c r="N3867" i="13"/>
  <c r="J3866" i="13" a="1"/>
  <c r="J3866" i="13" s="1"/>
  <c r="K3703" i="14" l="1"/>
  <c r="L3703" i="14" s="1"/>
  <c r="I3704" i="14" s="1"/>
  <c r="K3681" i="13"/>
  <c r="L3681" i="13" s="1"/>
  <c r="I3682" i="13" s="1"/>
  <c r="M3871" i="14"/>
  <c r="N3868" i="13"/>
  <c r="J3867" i="13" a="1"/>
  <c r="J3867" i="13" s="1"/>
  <c r="M3870" i="13"/>
  <c r="N3867" i="14"/>
  <c r="J3866" i="14" a="1"/>
  <c r="J3866" i="14" s="1"/>
  <c r="K3682" i="13" l="1"/>
  <c r="L3682" i="13" s="1"/>
  <c r="I3683" i="13" s="1"/>
  <c r="K3704" i="14"/>
  <c r="L3704" i="14" s="1"/>
  <c r="I3705" i="14" s="1"/>
  <c r="J3868" i="13" a="1"/>
  <c r="J3868" i="13" s="1"/>
  <c r="N3869" i="13"/>
  <c r="N3868" i="14"/>
  <c r="J3867" i="14" a="1"/>
  <c r="J3867" i="14" s="1"/>
  <c r="M3871" i="13"/>
  <c r="M3872" i="14"/>
  <c r="K3705" i="14" l="1"/>
  <c r="L3705" i="14" s="1"/>
  <c r="I3706" i="14" s="1"/>
  <c r="K3683" i="13"/>
  <c r="L3683" i="13" s="1"/>
  <c r="I3684" i="13" s="1"/>
  <c r="N3869" i="14"/>
  <c r="J3868" i="14" a="1"/>
  <c r="J3868" i="14" s="1"/>
  <c r="N3870" i="13"/>
  <c r="J3869" i="13" a="1"/>
  <c r="J3869" i="13" s="1"/>
  <c r="M3873" i="14"/>
  <c r="M3872" i="13"/>
  <c r="K3684" i="13" l="1"/>
  <c r="L3684" i="13" s="1"/>
  <c r="I3685" i="13" s="1"/>
  <c r="K3706" i="14"/>
  <c r="L3706" i="14" s="1"/>
  <c r="I3707" i="14" s="1"/>
  <c r="M3873" i="13"/>
  <c r="N3871" i="13"/>
  <c r="J3870" i="13" a="1"/>
  <c r="J3870" i="13" s="1"/>
  <c r="M3874" i="14"/>
  <c r="J3869" i="14" a="1"/>
  <c r="J3869" i="14" s="1"/>
  <c r="N3870" i="14"/>
  <c r="K3707" i="14" l="1"/>
  <c r="L3707" i="14" s="1"/>
  <c r="I3708" i="14" s="1"/>
  <c r="K3685" i="13"/>
  <c r="L3685" i="13" s="1"/>
  <c r="I3686" i="13" s="1"/>
  <c r="N3871" i="14"/>
  <c r="J3870" i="14" a="1"/>
  <c r="J3870" i="14" s="1"/>
  <c r="N3872" i="13"/>
  <c r="J3871" i="13" a="1"/>
  <c r="J3871" i="13" s="1"/>
  <c r="M3874" i="13"/>
  <c r="M3875" i="14"/>
  <c r="K3686" i="13" l="1"/>
  <c r="L3686" i="13" s="1"/>
  <c r="I3687" i="13" s="1"/>
  <c r="K3708" i="14"/>
  <c r="L3708" i="14" s="1"/>
  <c r="I3709" i="14" s="1"/>
  <c r="M3876" i="14"/>
  <c r="J3872" i="13" a="1"/>
  <c r="J3872" i="13" s="1"/>
  <c r="N3873" i="13"/>
  <c r="M3875" i="13"/>
  <c r="N3872" i="14"/>
  <c r="J3871" i="14" a="1"/>
  <c r="J3871" i="14" s="1"/>
  <c r="K3687" i="13" l="1"/>
  <c r="L3687" i="13" s="1"/>
  <c r="I3688" i="13" s="1"/>
  <c r="N3874" i="13"/>
  <c r="J3873" i="13" a="1"/>
  <c r="J3873" i="13" s="1"/>
  <c r="K3709" i="14"/>
  <c r="L3709" i="14" s="1"/>
  <c r="I3710" i="14" s="1"/>
  <c r="N3873" i="14"/>
  <c r="J3872" i="14" a="1"/>
  <c r="J3872" i="14" s="1"/>
  <c r="M3876" i="13"/>
  <c r="M3877" i="14"/>
  <c r="K3710" i="14" l="1"/>
  <c r="L3710" i="14" s="1"/>
  <c r="I3711" i="14" s="1"/>
  <c r="K3688" i="13"/>
  <c r="L3688" i="13" s="1"/>
  <c r="I3689" i="13" s="1"/>
  <c r="M3878" i="14"/>
  <c r="J3873" i="14" a="1"/>
  <c r="J3873" i="14" s="1"/>
  <c r="N3874" i="14"/>
  <c r="N3875" i="13"/>
  <c r="J3874" i="13" a="1"/>
  <c r="J3874" i="13" s="1"/>
  <c r="M3877" i="13"/>
  <c r="K3689" i="13" l="1"/>
  <c r="L3689" i="13" s="1"/>
  <c r="I3690" i="13" s="1"/>
  <c r="N3875" i="14"/>
  <c r="J3874" i="14" a="1"/>
  <c r="J3874" i="14" s="1"/>
  <c r="M3878" i="13"/>
  <c r="N3876" i="13"/>
  <c r="J3875" i="13" a="1"/>
  <c r="J3875" i="13" s="1"/>
  <c r="M3879" i="14"/>
  <c r="K3711" i="14"/>
  <c r="L3711" i="14" s="1"/>
  <c r="I3712" i="14" s="1"/>
  <c r="K3712" i="14" l="1"/>
  <c r="L3712" i="14" s="1"/>
  <c r="I3713" i="14" s="1"/>
  <c r="K3690" i="13"/>
  <c r="L3690" i="13" s="1"/>
  <c r="I3691" i="13" s="1"/>
  <c r="N3876" i="14"/>
  <c r="J3875" i="14" a="1"/>
  <c r="J3875" i="14" s="1"/>
  <c r="J3876" i="13" a="1"/>
  <c r="J3876" i="13" s="1"/>
  <c r="N3877" i="13"/>
  <c r="M3880" i="14"/>
  <c r="M3879" i="13"/>
  <c r="K3691" i="13" l="1"/>
  <c r="L3691" i="13" s="1"/>
  <c r="I3692" i="13" s="1"/>
  <c r="K3713" i="14"/>
  <c r="L3713" i="14" s="1"/>
  <c r="I3714" i="14" s="1"/>
  <c r="N3878" i="13"/>
  <c r="J3877" i="13" a="1"/>
  <c r="J3877" i="13" s="1"/>
  <c r="M3880" i="13"/>
  <c r="M3881" i="14"/>
  <c r="N3877" i="14"/>
  <c r="J3876" i="14" a="1"/>
  <c r="J3876" i="14" s="1"/>
  <c r="K3714" i="14" l="1"/>
  <c r="L3714" i="14" s="1"/>
  <c r="I3715" i="14" s="1"/>
  <c r="K3692" i="13"/>
  <c r="L3692" i="13" s="1"/>
  <c r="I3693" i="13" s="1"/>
  <c r="M3881" i="13"/>
  <c r="J3877" i="14" a="1"/>
  <c r="J3877" i="14" s="1"/>
  <c r="N3878" i="14"/>
  <c r="M3882" i="14"/>
  <c r="N3879" i="13"/>
  <c r="J3878" i="13" a="1"/>
  <c r="J3878" i="13" s="1"/>
  <c r="K3715" i="14" l="1"/>
  <c r="L3715" i="14" s="1"/>
  <c r="I3716" i="14" s="1"/>
  <c r="N3879" i="14"/>
  <c r="J3878" i="14" a="1"/>
  <c r="J3878" i="14" s="1"/>
  <c r="N3880" i="13"/>
  <c r="J3879" i="13" a="1"/>
  <c r="J3879" i="13" s="1"/>
  <c r="M3883" i="14"/>
  <c r="K3693" i="13"/>
  <c r="L3693" i="13" s="1"/>
  <c r="I3694" i="13" s="1"/>
  <c r="M3882" i="13"/>
  <c r="K3716" i="14" l="1"/>
  <c r="L3716" i="14" s="1"/>
  <c r="I3717" i="14" s="1"/>
  <c r="M3883" i="13"/>
  <c r="M3884" i="14"/>
  <c r="N3880" i="14"/>
  <c r="J3879" i="14" a="1"/>
  <c r="J3879" i="14" s="1"/>
  <c r="K3694" i="13"/>
  <c r="L3694" i="13" s="1"/>
  <c r="I3695" i="13" s="1"/>
  <c r="J3880" i="13" a="1"/>
  <c r="J3880" i="13" s="1"/>
  <c r="N3881" i="13"/>
  <c r="K3695" i="13" l="1"/>
  <c r="L3695" i="13" s="1"/>
  <c r="I3696" i="13" s="1"/>
  <c r="K3717" i="14"/>
  <c r="L3717" i="14" s="1"/>
  <c r="I3718" i="14" s="1"/>
  <c r="N3882" i="13"/>
  <c r="J3881" i="13" a="1"/>
  <c r="J3881" i="13" s="1"/>
  <c r="N3881" i="14"/>
  <c r="J3880" i="14" a="1"/>
  <c r="J3880" i="14" s="1"/>
  <c r="M3884" i="13"/>
  <c r="M3885" i="14"/>
  <c r="K3718" i="14" l="1"/>
  <c r="L3718" i="14" s="1"/>
  <c r="I3719" i="14" s="1"/>
  <c r="K3696" i="13"/>
  <c r="L3696" i="13" s="1"/>
  <c r="I3697" i="13" s="1"/>
  <c r="J3881" i="14" a="1"/>
  <c r="J3881" i="14" s="1"/>
  <c r="N3882" i="14"/>
  <c r="M3886" i="14"/>
  <c r="M3885" i="13"/>
  <c r="N3883" i="13"/>
  <c r="J3882" i="13" a="1"/>
  <c r="J3882" i="13" s="1"/>
  <c r="K3697" i="13" l="1"/>
  <c r="L3697" i="13" s="1"/>
  <c r="I3698" i="13" s="1"/>
  <c r="K3719" i="14"/>
  <c r="L3719" i="14" s="1"/>
  <c r="I3720" i="14" s="1"/>
  <c r="M3887" i="14"/>
  <c r="N3884" i="13"/>
  <c r="J3883" i="13" a="1"/>
  <c r="J3883" i="13" s="1"/>
  <c r="M3886" i="13"/>
  <c r="N3883" i="14"/>
  <c r="J3882" i="14" a="1"/>
  <c r="J3882" i="14" s="1"/>
  <c r="K3720" i="14" l="1"/>
  <c r="L3720" i="14" s="1"/>
  <c r="I3721" i="14" s="1"/>
  <c r="K3698" i="13"/>
  <c r="L3698" i="13" s="1"/>
  <c r="I3699" i="13" s="1"/>
  <c r="J3884" i="13" a="1"/>
  <c r="J3884" i="13" s="1"/>
  <c r="N3885" i="13"/>
  <c r="J3883" i="14" a="1"/>
  <c r="J3883" i="14" s="1"/>
  <c r="N3884" i="14"/>
  <c r="M3887" i="13"/>
  <c r="M3888" i="14"/>
  <c r="K3699" i="13" l="1"/>
  <c r="L3699" i="13" s="1"/>
  <c r="I3700" i="13" s="1"/>
  <c r="K3721" i="14"/>
  <c r="L3721" i="14" s="1"/>
  <c r="I3722" i="14" s="1"/>
  <c r="N3885" i="14"/>
  <c r="J3884" i="14" a="1"/>
  <c r="J3884" i="14" s="1"/>
  <c r="M3888" i="13"/>
  <c r="M3889" i="14"/>
  <c r="N3886" i="13"/>
  <c r="J3885" i="13" a="1"/>
  <c r="J3885" i="13" s="1"/>
  <c r="K3722" i="14" l="1"/>
  <c r="L3722" i="14" s="1"/>
  <c r="I3723" i="14" s="1"/>
  <c r="K3700" i="13"/>
  <c r="L3700" i="13" s="1"/>
  <c r="I3701" i="13" s="1"/>
  <c r="M3889" i="13"/>
  <c r="N3887" i="13"/>
  <c r="J3886" i="13" a="1"/>
  <c r="J3886" i="13" s="1"/>
  <c r="M3890" i="14"/>
  <c r="J3885" i="14" a="1"/>
  <c r="J3885" i="14" s="1"/>
  <c r="N3886" i="14"/>
  <c r="K3723" i="14" l="1"/>
  <c r="L3723" i="14" s="1"/>
  <c r="I3724" i="14" s="1"/>
  <c r="J3886" i="14" a="1"/>
  <c r="J3886" i="14" s="1"/>
  <c r="N3887" i="14"/>
  <c r="N3888" i="13"/>
  <c r="J3887" i="13" a="1"/>
  <c r="J3887" i="13" s="1"/>
  <c r="K3701" i="13"/>
  <c r="L3701" i="13" s="1"/>
  <c r="I3702" i="13" s="1"/>
  <c r="M3890" i="13"/>
  <c r="M3891" i="14"/>
  <c r="K3702" i="13" l="1"/>
  <c r="L3702" i="13" s="1"/>
  <c r="I3703" i="13" s="1"/>
  <c r="K3724" i="14"/>
  <c r="L3724" i="14" s="1"/>
  <c r="I3725" i="14" s="1"/>
  <c r="N3888" i="14"/>
  <c r="J3887" i="14" a="1"/>
  <c r="J3887" i="14" s="1"/>
  <c r="M3892" i="14"/>
  <c r="M3891" i="13"/>
  <c r="J3888" i="13" a="1"/>
  <c r="J3888" i="13" s="1"/>
  <c r="N3889" i="13"/>
  <c r="K3725" i="14" l="1"/>
  <c r="L3725" i="14" s="1"/>
  <c r="I3726" i="14" s="1"/>
  <c r="K3703" i="13"/>
  <c r="L3703" i="13" s="1"/>
  <c r="I3704" i="13" s="1"/>
  <c r="N3890" i="13"/>
  <c r="J3889" i="13" a="1"/>
  <c r="J3889" i="13" s="1"/>
  <c r="M3893" i="14"/>
  <c r="M3892" i="13"/>
  <c r="N3889" i="14"/>
  <c r="J3888" i="14" a="1"/>
  <c r="J3888" i="14" s="1"/>
  <c r="K3704" i="13" l="1"/>
  <c r="L3704" i="13" s="1"/>
  <c r="I3705" i="13" s="1"/>
  <c r="K3726" i="14"/>
  <c r="L3726" i="14" s="1"/>
  <c r="I3727" i="14" s="1"/>
  <c r="J3889" i="14" a="1"/>
  <c r="J3889" i="14" s="1"/>
  <c r="N3890" i="14"/>
  <c r="M3894" i="14"/>
  <c r="M3893" i="13"/>
  <c r="N3891" i="13"/>
  <c r="J3890" i="13" a="1"/>
  <c r="J3890" i="13" s="1"/>
  <c r="K3727" i="14" l="1"/>
  <c r="L3727" i="14" s="1"/>
  <c r="I3728" i="14" s="1"/>
  <c r="K3705" i="13"/>
  <c r="L3705" i="13" s="1"/>
  <c r="I3706" i="13" s="1"/>
  <c r="M3895" i="14"/>
  <c r="N3892" i="13"/>
  <c r="J3891" i="13" a="1"/>
  <c r="J3891" i="13" s="1"/>
  <c r="N3891" i="14"/>
  <c r="J3890" i="14" a="1"/>
  <c r="J3890" i="14" s="1"/>
  <c r="M3894" i="13"/>
  <c r="K3728" i="14" l="1"/>
  <c r="L3728" i="14" s="1"/>
  <c r="I3729" i="14" s="1"/>
  <c r="M3895" i="13"/>
  <c r="K3706" i="13"/>
  <c r="L3706" i="13" s="1"/>
  <c r="I3707" i="13" s="1"/>
  <c r="J3892" i="13" a="1"/>
  <c r="J3892" i="13" s="1"/>
  <c r="N3893" i="13"/>
  <c r="M3896" i="14"/>
  <c r="N3892" i="14"/>
  <c r="J3891" i="14" a="1"/>
  <c r="J3891" i="14" s="1"/>
  <c r="K3707" i="13" l="1"/>
  <c r="L3707" i="13" s="1"/>
  <c r="I3708" i="13" s="1"/>
  <c r="K3729" i="14"/>
  <c r="L3729" i="14" s="1"/>
  <c r="I3730" i="14" s="1"/>
  <c r="N3894" i="13"/>
  <c r="J3893" i="13" a="1"/>
  <c r="J3893" i="13" s="1"/>
  <c r="M3896" i="13"/>
  <c r="N3893" i="14"/>
  <c r="J3892" i="14" a="1"/>
  <c r="J3892" i="14" s="1"/>
  <c r="M3897" i="14"/>
  <c r="K3730" i="14" l="1"/>
  <c r="L3730" i="14" s="1"/>
  <c r="I3731" i="14" s="1"/>
  <c r="K3708" i="13"/>
  <c r="L3708" i="13" s="1"/>
  <c r="I3709" i="13" s="1"/>
  <c r="M3898" i="14"/>
  <c r="M3897" i="13"/>
  <c r="J3893" i="14" a="1"/>
  <c r="J3893" i="14" s="1"/>
  <c r="N3894" i="14"/>
  <c r="N3895" i="13"/>
  <c r="J3894" i="13" a="1"/>
  <c r="J3894" i="13" s="1"/>
  <c r="K3709" i="13" l="1"/>
  <c r="L3709" i="13" s="1"/>
  <c r="I3710" i="13" s="1"/>
  <c r="K3731" i="14"/>
  <c r="L3731" i="14" s="1"/>
  <c r="I3732" i="14" s="1"/>
  <c r="N3896" i="13"/>
  <c r="J3895" i="13" a="1"/>
  <c r="J3895" i="13" s="1"/>
  <c r="M3898" i="13"/>
  <c r="N3895" i="14"/>
  <c r="J3894" i="14" a="1"/>
  <c r="J3894" i="14" s="1"/>
  <c r="M3899" i="14"/>
  <c r="K3710" i="13" l="1"/>
  <c r="L3710" i="13" s="1"/>
  <c r="I3711" i="13" s="1"/>
  <c r="M3900" i="14"/>
  <c r="M3899" i="13"/>
  <c r="K3732" i="14"/>
  <c r="L3732" i="14" s="1"/>
  <c r="I3733" i="14" s="1"/>
  <c r="N3896" i="14"/>
  <c r="J3895" i="14" a="1"/>
  <c r="J3895" i="14" s="1"/>
  <c r="J3896" i="13" a="1"/>
  <c r="J3896" i="13" s="1"/>
  <c r="N3897" i="13"/>
  <c r="K3711" i="13" l="1"/>
  <c r="L3711" i="13" s="1"/>
  <c r="I3712" i="13" s="1"/>
  <c r="N3898" i="13"/>
  <c r="J3897" i="13" a="1"/>
  <c r="J3897" i="13" s="1"/>
  <c r="K3733" i="14"/>
  <c r="L3733" i="14" s="1"/>
  <c r="I3734" i="14" s="1"/>
  <c r="M3901" i="14"/>
  <c r="N3897" i="14"/>
  <c r="J3896" i="14" a="1"/>
  <c r="J3896" i="14" s="1"/>
  <c r="M3900" i="13"/>
  <c r="K3734" i="14" l="1"/>
  <c r="L3734" i="14" s="1"/>
  <c r="I3735" i="14" s="1"/>
  <c r="K3712" i="13"/>
  <c r="L3712" i="13" s="1"/>
  <c r="I3713" i="13" s="1"/>
  <c r="M3902" i="14"/>
  <c r="N3899" i="13"/>
  <c r="J3898" i="13" a="1"/>
  <c r="J3898" i="13" s="1"/>
  <c r="M3901" i="13"/>
  <c r="J3897" i="14" a="1"/>
  <c r="J3897" i="14" s="1"/>
  <c r="N3898" i="14"/>
  <c r="N3899" i="14" l="1"/>
  <c r="J3898" i="14" a="1"/>
  <c r="J3898" i="14" s="1"/>
  <c r="N3900" i="13"/>
  <c r="J3899" i="13" a="1"/>
  <c r="J3899" i="13" s="1"/>
  <c r="K3713" i="13"/>
  <c r="L3713" i="13" s="1"/>
  <c r="I3714" i="13" s="1"/>
  <c r="M3902" i="13"/>
  <c r="M3903" i="14"/>
  <c r="K3735" i="14"/>
  <c r="L3735" i="14" s="1"/>
  <c r="I3736" i="14" s="1"/>
  <c r="K3736" i="14" l="1"/>
  <c r="L3736" i="14" s="1"/>
  <c r="I3737" i="14" s="1"/>
  <c r="K3714" i="13"/>
  <c r="L3714" i="13" s="1"/>
  <c r="I3715" i="13" s="1"/>
  <c r="M3903" i="13"/>
  <c r="J3900" i="13" a="1"/>
  <c r="J3900" i="13" s="1"/>
  <c r="N3901" i="13"/>
  <c r="M3904" i="14"/>
  <c r="N3900" i="14"/>
  <c r="J3899" i="14" a="1"/>
  <c r="J3899" i="14" s="1"/>
  <c r="K3715" i="13" l="1"/>
  <c r="L3715" i="13" s="1"/>
  <c r="I3716" i="13" s="1"/>
  <c r="K3737" i="14"/>
  <c r="L3737" i="14" s="1"/>
  <c r="I3738" i="14" s="1"/>
  <c r="N3902" i="13"/>
  <c r="J3901" i="13" a="1"/>
  <c r="J3901" i="13" s="1"/>
  <c r="N3901" i="14"/>
  <c r="J3900" i="14" a="1"/>
  <c r="J3900" i="14" s="1"/>
  <c r="M3905" i="14"/>
  <c r="M3904" i="13"/>
  <c r="K3738" i="14" l="1"/>
  <c r="L3738" i="14" s="1"/>
  <c r="I3739" i="14" s="1"/>
  <c r="K3716" i="13"/>
  <c r="L3716" i="13" s="1"/>
  <c r="I3717" i="13" s="1"/>
  <c r="J3901" i="14" a="1"/>
  <c r="J3901" i="14" s="1"/>
  <c r="N3902" i="14"/>
  <c r="M3905" i="13"/>
  <c r="M3906" i="14"/>
  <c r="N3903" i="13"/>
  <c r="J3902" i="13" a="1"/>
  <c r="J3902" i="13" s="1"/>
  <c r="K3717" i="13" l="1"/>
  <c r="L3717" i="13" s="1"/>
  <c r="I3718" i="13" s="1"/>
  <c r="K3739" i="14"/>
  <c r="L3739" i="14" s="1"/>
  <c r="I3740" i="14" s="1"/>
  <c r="M3906" i="13"/>
  <c r="N3904" i="13"/>
  <c r="J3903" i="13" a="1"/>
  <c r="J3903" i="13" s="1"/>
  <c r="M3907" i="14"/>
  <c r="N3903" i="14"/>
  <c r="J3902" i="14" a="1"/>
  <c r="J3902" i="14" s="1"/>
  <c r="K3740" i="14" l="1"/>
  <c r="L3740" i="14" s="1"/>
  <c r="I3741" i="14" s="1"/>
  <c r="K3718" i="13"/>
  <c r="L3718" i="13" s="1"/>
  <c r="I3719" i="13" s="1"/>
  <c r="J3904" i="13" a="1"/>
  <c r="J3904" i="13" s="1"/>
  <c r="N3905" i="13"/>
  <c r="J3903" i="14" a="1"/>
  <c r="J3903" i="14" s="1"/>
  <c r="N3904" i="14"/>
  <c r="M3908" i="14"/>
  <c r="M3907" i="13"/>
  <c r="K3719" i="13" l="1"/>
  <c r="L3719" i="13" s="1"/>
  <c r="I3720" i="13" s="1"/>
  <c r="K3741" i="14"/>
  <c r="L3741" i="14" s="1"/>
  <c r="I3742" i="14" s="1"/>
  <c r="N3905" i="14"/>
  <c r="J3904" i="14" a="1"/>
  <c r="J3904" i="14" s="1"/>
  <c r="N3906" i="13"/>
  <c r="J3905" i="13" a="1"/>
  <c r="J3905" i="13" s="1"/>
  <c r="M3908" i="13"/>
  <c r="M3909" i="14"/>
  <c r="K3742" i="14" l="1"/>
  <c r="L3742" i="14" s="1"/>
  <c r="I3743" i="14" s="1"/>
  <c r="K3720" i="13"/>
  <c r="L3720" i="13" s="1"/>
  <c r="I3721" i="13" s="1"/>
  <c r="M3909" i="13"/>
  <c r="M3910" i="14"/>
  <c r="N3907" i="13"/>
  <c r="J3906" i="13" a="1"/>
  <c r="J3906" i="13" s="1"/>
  <c r="J3905" i="14" a="1"/>
  <c r="J3905" i="14" s="1"/>
  <c r="N3906" i="14"/>
  <c r="N3908" i="13" l="1"/>
  <c r="J3907" i="13" a="1"/>
  <c r="J3907" i="13" s="1"/>
  <c r="J3906" i="14" a="1"/>
  <c r="J3906" i="14" s="1"/>
  <c r="N3907" i="14"/>
  <c r="M3911" i="14"/>
  <c r="K3721" i="13"/>
  <c r="L3721" i="13" s="1"/>
  <c r="I3722" i="13" s="1"/>
  <c r="M3910" i="13"/>
  <c r="K3743" i="14"/>
  <c r="L3743" i="14" s="1"/>
  <c r="I3744" i="14" s="1"/>
  <c r="N3908" i="14" l="1"/>
  <c r="J3907" i="14" a="1"/>
  <c r="J3907" i="14" s="1"/>
  <c r="K3744" i="14"/>
  <c r="L3744" i="14" s="1"/>
  <c r="I3745" i="14" s="1"/>
  <c r="M3912" i="14"/>
  <c r="K3722" i="13"/>
  <c r="L3722" i="13" s="1"/>
  <c r="I3723" i="13" s="1"/>
  <c r="M3911" i="13"/>
  <c r="J3908" i="13" a="1"/>
  <c r="J3908" i="13" s="1"/>
  <c r="N3909" i="13"/>
  <c r="K3723" i="13" l="1"/>
  <c r="L3723" i="13" s="1"/>
  <c r="I3724" i="13" s="1"/>
  <c r="K3745" i="14"/>
  <c r="L3745" i="14" s="1"/>
  <c r="I3746" i="14" s="1"/>
  <c r="N3910" i="13"/>
  <c r="J3909" i="13" a="1"/>
  <c r="J3909" i="13" s="1"/>
  <c r="M3912" i="13"/>
  <c r="M3913" i="14"/>
  <c r="N3909" i="14"/>
  <c r="J3908" i="14" a="1"/>
  <c r="J3908" i="14" s="1"/>
  <c r="K3746" i="14" l="1"/>
  <c r="L3746" i="14" s="1"/>
  <c r="I3747" i="14" s="1"/>
  <c r="K3724" i="13"/>
  <c r="L3724" i="13" s="1"/>
  <c r="I3725" i="13" s="1"/>
  <c r="M3913" i="13"/>
  <c r="M3914" i="14"/>
  <c r="J3909" i="14" a="1"/>
  <c r="J3909" i="14" s="1"/>
  <c r="N3910" i="14"/>
  <c r="N3911" i="13"/>
  <c r="J3910" i="13" a="1"/>
  <c r="J3910" i="13" s="1"/>
  <c r="K3725" i="13" l="1"/>
  <c r="L3725" i="13" s="1"/>
  <c r="I3726" i="13" s="1"/>
  <c r="K3747" i="14"/>
  <c r="L3747" i="14" s="1"/>
  <c r="I3748" i="14" s="1"/>
  <c r="M3915" i="14"/>
  <c r="N3912" i="13"/>
  <c r="J3911" i="13" a="1"/>
  <c r="J3911" i="13" s="1"/>
  <c r="N3911" i="14"/>
  <c r="J3910" i="14" a="1"/>
  <c r="J3910" i="14" s="1"/>
  <c r="M3914" i="13"/>
  <c r="K3748" i="14" l="1"/>
  <c r="L3748" i="14" s="1"/>
  <c r="I3749" i="14" s="1"/>
  <c r="K3726" i="13"/>
  <c r="L3726" i="13" s="1"/>
  <c r="I3727" i="13" s="1"/>
  <c r="M3915" i="13"/>
  <c r="J3912" i="13" a="1"/>
  <c r="J3912" i="13" s="1"/>
  <c r="N3913" i="13"/>
  <c r="M3916" i="14"/>
  <c r="N3912" i="14"/>
  <c r="J3911" i="14" a="1"/>
  <c r="J3911" i="14" s="1"/>
  <c r="K3727" i="13" l="1"/>
  <c r="L3727" i="13" s="1"/>
  <c r="I3728" i="13" s="1"/>
  <c r="K3749" i="14"/>
  <c r="L3749" i="14" s="1"/>
  <c r="I3750" i="14" s="1"/>
  <c r="N3914" i="13"/>
  <c r="J3913" i="13" a="1"/>
  <c r="J3913" i="13" s="1"/>
  <c r="N3913" i="14"/>
  <c r="J3912" i="14" a="1"/>
  <c r="J3912" i="14" s="1"/>
  <c r="M3917" i="14"/>
  <c r="M3916" i="13"/>
  <c r="K3728" i="13" l="1"/>
  <c r="L3728" i="13" s="1"/>
  <c r="I3729" i="13" s="1"/>
  <c r="J3913" i="14" a="1"/>
  <c r="J3913" i="14" s="1"/>
  <c r="N3914" i="14"/>
  <c r="K3750" i="14"/>
  <c r="L3750" i="14" s="1"/>
  <c r="I3751" i="14" s="1"/>
  <c r="M3917" i="13"/>
  <c r="M3918" i="14"/>
  <c r="N3915" i="13"/>
  <c r="J3914" i="13" a="1"/>
  <c r="J3914" i="13" s="1"/>
  <c r="K3729" i="13" l="1"/>
  <c r="L3729" i="13" s="1"/>
  <c r="I3730" i="13" s="1"/>
  <c r="K3751" i="14"/>
  <c r="L3751" i="14" s="1"/>
  <c r="I3752" i="14" s="1"/>
  <c r="M3918" i="13"/>
  <c r="N3915" i="14"/>
  <c r="J3914" i="14" a="1"/>
  <c r="J3914" i="14" s="1"/>
  <c r="N3916" i="13"/>
  <c r="J3915" i="13" a="1"/>
  <c r="J3915" i="13" s="1"/>
  <c r="M3919" i="14"/>
  <c r="K3730" i="13" l="1"/>
  <c r="L3730" i="13" s="1"/>
  <c r="I3731" i="13" s="1"/>
  <c r="M3920" i="14"/>
  <c r="K3752" i="14"/>
  <c r="L3752" i="14" s="1"/>
  <c r="I3753" i="14" s="1"/>
  <c r="M3919" i="13"/>
  <c r="N3916" i="14"/>
  <c r="J3915" i="14" a="1"/>
  <c r="J3915" i="14" s="1"/>
  <c r="J3916" i="13" a="1"/>
  <c r="J3916" i="13" s="1"/>
  <c r="N3917" i="13"/>
  <c r="K3753" i="14" l="1"/>
  <c r="L3753" i="14" s="1"/>
  <c r="I3754" i="14" s="1"/>
  <c r="K3731" i="13"/>
  <c r="L3731" i="13" s="1"/>
  <c r="I3732" i="13" s="1"/>
  <c r="N3918" i="13"/>
  <c r="J3917" i="13" a="1"/>
  <c r="J3917" i="13" s="1"/>
  <c r="M3920" i="13"/>
  <c r="M3921" i="14"/>
  <c r="N3917" i="14"/>
  <c r="J3916" i="14" a="1"/>
  <c r="J3916" i="14" s="1"/>
  <c r="K3732" i="13" l="1"/>
  <c r="L3732" i="13" s="1"/>
  <c r="I3733" i="13" s="1"/>
  <c r="K3754" i="14"/>
  <c r="L3754" i="14" s="1"/>
  <c r="I3755" i="14" s="1"/>
  <c r="M3921" i="13"/>
  <c r="M3922" i="14"/>
  <c r="J3917" i="14" a="1"/>
  <c r="J3917" i="14" s="1"/>
  <c r="N3918" i="14"/>
  <c r="N3919" i="13"/>
  <c r="J3918" i="13" a="1"/>
  <c r="J3918" i="13" s="1"/>
  <c r="K3755" i="14" l="1"/>
  <c r="L3755" i="14" s="1"/>
  <c r="I3756" i="14" s="1"/>
  <c r="K3733" i="13"/>
  <c r="L3733" i="13" s="1"/>
  <c r="I3734" i="13" s="1"/>
  <c r="N3920" i="13"/>
  <c r="J3919" i="13" a="1"/>
  <c r="J3919" i="13" s="1"/>
  <c r="M3923" i="14"/>
  <c r="N3919" i="14"/>
  <c r="J3918" i="14" a="1"/>
  <c r="J3918" i="14" s="1"/>
  <c r="M3922" i="13"/>
  <c r="K3734" i="13" l="1"/>
  <c r="L3734" i="13" s="1"/>
  <c r="I3735" i="13" s="1"/>
  <c r="K3756" i="14"/>
  <c r="L3756" i="14" s="1"/>
  <c r="I3757" i="14" s="1"/>
  <c r="M3924" i="14"/>
  <c r="N3920" i="14"/>
  <c r="J3919" i="14" a="1"/>
  <c r="J3919" i="14" s="1"/>
  <c r="M3923" i="13"/>
  <c r="J3920" i="13" a="1"/>
  <c r="J3920" i="13" s="1"/>
  <c r="N3921" i="13"/>
  <c r="K3735" i="13" l="1"/>
  <c r="L3735" i="13" s="1"/>
  <c r="I3736" i="13" s="1"/>
  <c r="N3921" i="14"/>
  <c r="J3920" i="14" a="1"/>
  <c r="J3920" i="14" s="1"/>
  <c r="N3922" i="13"/>
  <c r="J3921" i="13" a="1"/>
  <c r="J3921" i="13" s="1"/>
  <c r="K3757" i="14"/>
  <c r="L3757" i="14" s="1"/>
  <c r="I3758" i="14" s="1"/>
  <c r="M3924" i="13"/>
  <c r="M3925" i="14"/>
  <c r="K3736" i="13" l="1"/>
  <c r="L3736" i="13" s="1"/>
  <c r="I3737" i="13" s="1"/>
  <c r="M3926" i="14"/>
  <c r="J3921" i="14" a="1"/>
  <c r="J3921" i="14" s="1"/>
  <c r="N3922" i="14"/>
  <c r="K3758" i="14"/>
  <c r="L3758" i="14" s="1"/>
  <c r="I3759" i="14" s="1"/>
  <c r="M3925" i="13"/>
  <c r="N3923" i="13"/>
  <c r="J3922" i="13" a="1"/>
  <c r="J3922" i="13" s="1"/>
  <c r="K3759" i="14" l="1"/>
  <c r="L3759" i="14" s="1"/>
  <c r="I3760" i="14" s="1"/>
  <c r="K3737" i="13"/>
  <c r="L3737" i="13" s="1"/>
  <c r="I3738" i="13" s="1"/>
  <c r="M3927" i="14"/>
  <c r="N3924" i="13"/>
  <c r="J3923" i="13" a="1"/>
  <c r="J3923" i="13" s="1"/>
  <c r="M3926" i="13"/>
  <c r="N3923" i="14"/>
  <c r="J3922" i="14" a="1"/>
  <c r="J3922" i="14" s="1"/>
  <c r="K3738" i="13" l="1"/>
  <c r="L3738" i="13" s="1"/>
  <c r="I3739" i="13" s="1"/>
  <c r="K3760" i="14"/>
  <c r="L3760" i="14" s="1"/>
  <c r="I3761" i="14" s="1"/>
  <c r="J3924" i="13" a="1"/>
  <c r="J3924" i="13" s="1"/>
  <c r="N3925" i="13"/>
  <c r="N3924" i="14"/>
  <c r="J3923" i="14" a="1"/>
  <c r="J3923" i="14" s="1"/>
  <c r="M3927" i="13"/>
  <c r="M3928" i="14"/>
  <c r="K3761" i="14" l="1"/>
  <c r="L3761" i="14" s="1"/>
  <c r="I3762" i="14" s="1"/>
  <c r="K3739" i="13"/>
  <c r="L3739" i="13" s="1"/>
  <c r="I3740" i="13" s="1"/>
  <c r="N3925" i="14"/>
  <c r="J3924" i="14" a="1"/>
  <c r="J3924" i="14" s="1"/>
  <c r="N3926" i="13"/>
  <c r="J3925" i="13" a="1"/>
  <c r="J3925" i="13" s="1"/>
  <c r="M3929" i="14"/>
  <c r="M3928" i="13"/>
  <c r="K3762" i="14" l="1"/>
  <c r="L3762" i="14" s="1"/>
  <c r="I3763" i="14" s="1"/>
  <c r="M3929" i="13"/>
  <c r="K3740" i="13"/>
  <c r="L3740" i="13" s="1"/>
  <c r="I3741" i="13" s="1"/>
  <c r="M3930" i="14"/>
  <c r="N3927" i="13"/>
  <c r="J3926" i="13" a="1"/>
  <c r="J3926" i="13" s="1"/>
  <c r="J3925" i="14" a="1"/>
  <c r="J3925" i="14" s="1"/>
  <c r="N3926" i="14"/>
  <c r="K3741" i="13" l="1"/>
  <c r="L3741" i="13" s="1"/>
  <c r="I3742" i="13" s="1"/>
  <c r="K3763" i="14"/>
  <c r="L3763" i="14" s="1"/>
  <c r="I3764" i="14" s="1"/>
  <c r="N3927" i="14"/>
  <c r="J3926" i="14" a="1"/>
  <c r="J3926" i="14" s="1"/>
  <c r="M3931" i="14"/>
  <c r="M3930" i="13"/>
  <c r="N3928" i="13"/>
  <c r="J3927" i="13" a="1"/>
  <c r="J3927" i="13" s="1"/>
  <c r="K3764" i="14" l="1"/>
  <c r="L3764" i="14" s="1"/>
  <c r="I3765" i="14" s="1"/>
  <c r="K3742" i="13"/>
  <c r="L3742" i="13" s="1"/>
  <c r="I3743" i="13" s="1"/>
  <c r="M3932" i="14"/>
  <c r="J3928" i="13" a="1"/>
  <c r="J3928" i="13" s="1"/>
  <c r="N3929" i="13"/>
  <c r="M3931" i="13"/>
  <c r="N3928" i="14"/>
  <c r="J3927" i="14" a="1"/>
  <c r="J3927" i="14" s="1"/>
  <c r="K3743" i="13" l="1"/>
  <c r="L3743" i="13" s="1"/>
  <c r="I3744" i="13" s="1"/>
  <c r="K3765" i="14"/>
  <c r="L3765" i="14" s="1"/>
  <c r="I3766" i="14" s="1"/>
  <c r="N3930" i="13"/>
  <c r="J3929" i="13" a="1"/>
  <c r="J3929" i="13" s="1"/>
  <c r="N3929" i="14"/>
  <c r="J3928" i="14" a="1"/>
  <c r="J3928" i="14" s="1"/>
  <c r="M3932" i="13"/>
  <c r="M3933" i="14"/>
  <c r="K3744" i="13" l="1"/>
  <c r="L3744" i="13" s="1"/>
  <c r="I3745" i="13" s="1"/>
  <c r="J3929" i="14" a="1"/>
  <c r="J3929" i="14" s="1"/>
  <c r="N3930" i="14"/>
  <c r="K3766" i="14"/>
  <c r="L3766" i="14" s="1"/>
  <c r="I3767" i="14" s="1"/>
  <c r="M3934" i="14"/>
  <c r="M3933" i="13"/>
  <c r="N3931" i="13"/>
  <c r="J3930" i="13" a="1"/>
  <c r="J3930" i="13" s="1"/>
  <c r="K3767" i="14" l="1"/>
  <c r="L3767" i="14" s="1"/>
  <c r="I3768" i="14" s="1"/>
  <c r="K3745" i="13"/>
  <c r="L3745" i="13" s="1"/>
  <c r="I3746" i="13" s="1"/>
  <c r="M3935" i="14"/>
  <c r="N3931" i="14"/>
  <c r="J3930" i="14" a="1"/>
  <c r="J3930" i="14" s="1"/>
  <c r="N3932" i="13"/>
  <c r="J3931" i="13" a="1"/>
  <c r="J3931" i="13" s="1"/>
  <c r="M3934" i="13"/>
  <c r="K3768" i="14" l="1"/>
  <c r="L3768" i="14" s="1"/>
  <c r="I3769" i="14" s="1"/>
  <c r="K3746" i="13"/>
  <c r="L3746" i="13" s="1"/>
  <c r="I3747" i="13" s="1"/>
  <c r="M3935" i="13"/>
  <c r="N3932" i="14"/>
  <c r="J3931" i="14" a="1"/>
  <c r="J3931" i="14" s="1"/>
  <c r="M3936" i="14"/>
  <c r="J3932" i="13" a="1"/>
  <c r="J3932" i="13" s="1"/>
  <c r="N3933" i="13"/>
  <c r="K3747" i="13" l="1"/>
  <c r="L3747" i="13" s="1"/>
  <c r="I3748" i="13" s="1"/>
  <c r="K3769" i="14"/>
  <c r="L3769" i="14" s="1"/>
  <c r="I3770" i="14" s="1"/>
  <c r="N3934" i="13"/>
  <c r="J3933" i="13" a="1"/>
  <c r="J3933" i="13" s="1"/>
  <c r="N3933" i="14"/>
  <c r="J3932" i="14" a="1"/>
  <c r="J3932" i="14" s="1"/>
  <c r="M3937" i="14"/>
  <c r="M3936" i="13"/>
  <c r="K3770" i="14" l="1"/>
  <c r="L3770" i="14" s="1"/>
  <c r="I3771" i="14" s="1"/>
  <c r="K3748" i="13"/>
  <c r="L3748" i="13" s="1"/>
  <c r="I3749" i="13" s="1"/>
  <c r="J3933" i="14" a="1"/>
  <c r="J3933" i="14" s="1"/>
  <c r="N3934" i="14"/>
  <c r="M3937" i="13"/>
  <c r="M3938" i="14"/>
  <c r="N3935" i="13"/>
  <c r="J3934" i="13" a="1"/>
  <c r="J3934" i="13" s="1"/>
  <c r="K3749" i="13" l="1"/>
  <c r="L3749" i="13" s="1"/>
  <c r="I3750" i="13" s="1"/>
  <c r="K3771" i="14"/>
  <c r="L3771" i="14" s="1"/>
  <c r="I3772" i="14" s="1"/>
  <c r="M3938" i="13"/>
  <c r="N3936" i="13"/>
  <c r="J3935" i="13" a="1"/>
  <c r="J3935" i="13" s="1"/>
  <c r="N3935" i="14"/>
  <c r="J3934" i="14" a="1"/>
  <c r="J3934" i="14" s="1"/>
  <c r="M3939" i="14"/>
  <c r="K3772" i="14" l="1"/>
  <c r="L3772" i="14" s="1"/>
  <c r="I3773" i="14" s="1"/>
  <c r="K3750" i="13"/>
  <c r="L3750" i="13" s="1"/>
  <c r="I3751" i="13" s="1"/>
  <c r="M3940" i="14"/>
  <c r="J3936" i="13" a="1"/>
  <c r="J3936" i="13" s="1"/>
  <c r="N3937" i="13"/>
  <c r="M3939" i="13"/>
  <c r="N3936" i="14"/>
  <c r="J3935" i="14" a="1"/>
  <c r="J3935" i="14" s="1"/>
  <c r="K3773" i="14" l="1"/>
  <c r="L3773" i="14" s="1"/>
  <c r="I3774" i="14" s="1"/>
  <c r="N3938" i="13"/>
  <c r="J3937" i="13" a="1"/>
  <c r="J3937" i="13" s="1"/>
  <c r="N3937" i="14"/>
  <c r="J3936" i="14" a="1"/>
  <c r="J3936" i="14" s="1"/>
  <c r="K3751" i="13"/>
  <c r="L3751" i="13" s="1"/>
  <c r="I3752" i="13" s="1"/>
  <c r="M3940" i="13"/>
  <c r="M3941" i="14"/>
  <c r="K3774" i="14" l="1"/>
  <c r="L3774" i="14" s="1"/>
  <c r="I3775" i="14" s="1"/>
  <c r="M3942" i="14"/>
  <c r="N3939" i="13"/>
  <c r="J3938" i="13" a="1"/>
  <c r="J3938" i="13" s="1"/>
  <c r="K3752" i="13"/>
  <c r="L3752" i="13" s="1"/>
  <c r="I3753" i="13" s="1"/>
  <c r="M3941" i="13"/>
  <c r="J3937" i="14" a="1"/>
  <c r="J3937" i="14" s="1"/>
  <c r="N3938" i="14"/>
  <c r="K3753" i="13" l="1"/>
  <c r="L3753" i="13" s="1"/>
  <c r="I3754" i="13" s="1"/>
  <c r="K3775" i="14"/>
  <c r="L3775" i="14" s="1"/>
  <c r="I3776" i="14" s="1"/>
  <c r="M3943" i="14"/>
  <c r="N3939" i="14"/>
  <c r="J3938" i="14" a="1"/>
  <c r="J3938" i="14" s="1"/>
  <c r="M3942" i="13"/>
  <c r="N3940" i="13"/>
  <c r="J3939" i="13" a="1"/>
  <c r="J3939" i="13" s="1"/>
  <c r="K3776" i="14" l="1"/>
  <c r="L3776" i="14" s="1"/>
  <c r="I3777" i="14" s="1"/>
  <c r="K3754" i="13"/>
  <c r="L3754" i="13" s="1"/>
  <c r="I3755" i="13" s="1"/>
  <c r="N3940" i="14"/>
  <c r="J3939" i="14" a="1"/>
  <c r="J3939" i="14" s="1"/>
  <c r="M3943" i="13"/>
  <c r="J3940" i="13" a="1"/>
  <c r="J3940" i="13" s="1"/>
  <c r="N3941" i="13"/>
  <c r="M3944" i="14"/>
  <c r="K3755" i="13" l="1"/>
  <c r="L3755" i="13" s="1"/>
  <c r="I3756" i="13" s="1"/>
  <c r="K3777" i="14"/>
  <c r="L3777" i="14" s="1"/>
  <c r="I3778" i="14" s="1"/>
  <c r="N3942" i="13"/>
  <c r="J3941" i="13" a="1"/>
  <c r="J3941" i="13" s="1"/>
  <c r="M3945" i="14"/>
  <c r="M3944" i="13"/>
  <c r="N3941" i="14"/>
  <c r="J3940" i="14" a="1"/>
  <c r="J3940" i="14" s="1"/>
  <c r="K3778" i="14" l="1"/>
  <c r="L3778" i="14" s="1"/>
  <c r="I3779" i="14" s="1"/>
  <c r="J3941" i="14" a="1"/>
  <c r="J3941" i="14" s="1"/>
  <c r="N3942" i="14"/>
  <c r="M3946" i="14"/>
  <c r="M3945" i="13"/>
  <c r="N3943" i="13"/>
  <c r="J3942" i="13" a="1"/>
  <c r="J3942" i="13" s="1"/>
  <c r="K3756" i="13"/>
  <c r="L3756" i="13" s="1"/>
  <c r="I3757" i="13" s="1"/>
  <c r="K3779" i="14" l="1"/>
  <c r="L3779" i="14" s="1"/>
  <c r="I3780" i="14" s="1"/>
  <c r="K3757" i="13"/>
  <c r="L3757" i="13" s="1"/>
  <c r="I3758" i="13" s="1"/>
  <c r="M3946" i="13"/>
  <c r="N3943" i="14"/>
  <c r="J3942" i="14" a="1"/>
  <c r="J3942" i="14" s="1"/>
  <c r="M3947" i="14"/>
  <c r="N3944" i="13"/>
  <c r="J3943" i="13" a="1"/>
  <c r="J3943" i="13" s="1"/>
  <c r="K3758" i="13" l="1"/>
  <c r="L3758" i="13" s="1"/>
  <c r="I3759" i="13" s="1"/>
  <c r="K3780" i="14"/>
  <c r="L3780" i="14" s="1"/>
  <c r="I3781" i="14" s="1"/>
  <c r="N3944" i="14"/>
  <c r="J3943" i="14" a="1"/>
  <c r="J3943" i="14" s="1"/>
  <c r="J3944" i="13" a="1"/>
  <c r="J3944" i="13" s="1"/>
  <c r="N3945" i="13"/>
  <c r="M3948" i="14"/>
  <c r="M3947" i="13"/>
  <c r="K3781" i="14" l="1"/>
  <c r="L3781" i="14" s="1"/>
  <c r="I3782" i="14" s="1"/>
  <c r="K3759" i="13"/>
  <c r="L3759" i="13" s="1"/>
  <c r="I3760" i="13" s="1"/>
  <c r="N3946" i="13"/>
  <c r="J3945" i="13" a="1"/>
  <c r="J3945" i="13" s="1"/>
  <c r="M3948" i="13"/>
  <c r="M3949" i="14"/>
  <c r="N3945" i="14"/>
  <c r="J3944" i="14" a="1"/>
  <c r="J3944" i="14" s="1"/>
  <c r="K3760" i="13" l="1"/>
  <c r="L3760" i="13" s="1"/>
  <c r="I3761" i="13" s="1"/>
  <c r="K3782" i="14"/>
  <c r="L3782" i="14" s="1"/>
  <c r="I3783" i="14" s="1"/>
  <c r="J3945" i="14" a="1"/>
  <c r="J3945" i="14" s="1"/>
  <c r="N3946" i="14"/>
  <c r="M3949" i="13"/>
  <c r="M3950" i="14"/>
  <c r="N3947" i="13"/>
  <c r="J3946" i="13" a="1"/>
  <c r="J3946" i="13" s="1"/>
  <c r="K3783" i="14" l="1"/>
  <c r="L3783" i="14" s="1"/>
  <c r="I3784" i="14" s="1"/>
  <c r="K3761" i="13"/>
  <c r="L3761" i="13" s="1"/>
  <c r="I3762" i="13" s="1"/>
  <c r="M3950" i="13"/>
  <c r="N3948" i="13"/>
  <c r="J3947" i="13" a="1"/>
  <c r="J3947" i="13" s="1"/>
  <c r="N3947" i="14"/>
  <c r="J3946" i="14" a="1"/>
  <c r="J3946" i="14" s="1"/>
  <c r="M3951" i="14"/>
  <c r="K3762" i="13" l="1"/>
  <c r="L3762" i="13" s="1"/>
  <c r="I3763" i="13" s="1"/>
  <c r="K3784" i="14"/>
  <c r="L3784" i="14" s="1"/>
  <c r="I3785" i="14" s="1"/>
  <c r="J3948" i="13" a="1"/>
  <c r="J3948" i="13" s="1"/>
  <c r="N3949" i="13"/>
  <c r="M3951" i="13"/>
  <c r="M3952" i="14"/>
  <c r="J3947" i="14" a="1"/>
  <c r="J3947" i="14" s="1"/>
  <c r="N3948" i="14"/>
  <c r="K3785" i="14" l="1"/>
  <c r="L3785" i="14" s="1"/>
  <c r="I3786" i="14" s="1"/>
  <c r="K3763" i="13"/>
  <c r="L3763" i="13" s="1"/>
  <c r="I3764" i="13" s="1"/>
  <c r="N3949" i="14"/>
  <c r="J3948" i="14" a="1"/>
  <c r="J3948" i="14" s="1"/>
  <c r="M3952" i="13"/>
  <c r="N3950" i="13"/>
  <c r="J3949" i="13" a="1"/>
  <c r="J3949" i="13" s="1"/>
  <c r="M3953" i="14"/>
  <c r="K3764" i="13" l="1"/>
  <c r="L3764" i="13" s="1"/>
  <c r="I3765" i="13" s="1"/>
  <c r="K3786" i="14"/>
  <c r="L3786" i="14" s="1"/>
  <c r="I3787" i="14" s="1"/>
  <c r="M3954" i="14"/>
  <c r="M3953" i="13"/>
  <c r="N3951" i="13"/>
  <c r="J3950" i="13" a="1"/>
  <c r="J3950" i="13" s="1"/>
  <c r="J3949" i="14" a="1"/>
  <c r="J3949" i="14" s="1"/>
  <c r="N3950" i="14"/>
  <c r="K3787" i="14" l="1"/>
  <c r="L3787" i="14" s="1"/>
  <c r="I3788" i="14" s="1"/>
  <c r="K3765" i="13"/>
  <c r="L3765" i="13" s="1"/>
  <c r="I3766" i="13" s="1"/>
  <c r="J3950" i="14" a="1"/>
  <c r="J3950" i="14" s="1"/>
  <c r="N3951" i="14"/>
  <c r="M3954" i="13"/>
  <c r="N3952" i="13"/>
  <c r="J3951" i="13" a="1"/>
  <c r="J3951" i="13" s="1"/>
  <c r="M3955" i="14"/>
  <c r="K3766" i="13" l="1"/>
  <c r="L3766" i="13" s="1"/>
  <c r="I3767" i="13" s="1"/>
  <c r="K3788" i="14"/>
  <c r="L3788" i="14" s="1"/>
  <c r="I3789" i="14" s="1"/>
  <c r="M3956" i="14"/>
  <c r="M3955" i="13"/>
  <c r="J3952" i="13" a="1"/>
  <c r="J3952" i="13" s="1"/>
  <c r="N3953" i="13"/>
  <c r="N3952" i="14"/>
  <c r="J3951" i="14" a="1"/>
  <c r="J3951" i="14" s="1"/>
  <c r="K3767" i="13" l="1"/>
  <c r="L3767" i="13" s="1"/>
  <c r="I3768" i="13" s="1"/>
  <c r="K3789" i="14"/>
  <c r="L3789" i="14" s="1"/>
  <c r="I3790" i="14" s="1"/>
  <c r="N3954" i="13"/>
  <c r="J3953" i="13" a="1"/>
  <c r="J3953" i="13" s="1"/>
  <c r="N3953" i="14"/>
  <c r="J3952" i="14" a="1"/>
  <c r="J3952" i="14" s="1"/>
  <c r="M3956" i="13"/>
  <c r="M3957" i="14"/>
  <c r="K3790" i="14" l="1"/>
  <c r="L3790" i="14" s="1"/>
  <c r="I3791" i="14" s="1"/>
  <c r="K3768" i="13"/>
  <c r="L3768" i="13" s="1"/>
  <c r="I3769" i="13" s="1"/>
  <c r="J3953" i="14" a="1"/>
  <c r="J3953" i="14" s="1"/>
  <c r="N3954" i="14"/>
  <c r="M3957" i="13"/>
  <c r="M3958" i="14"/>
  <c r="N3955" i="13"/>
  <c r="J3954" i="13" a="1"/>
  <c r="J3954" i="13" s="1"/>
  <c r="K3769" i="13" l="1"/>
  <c r="L3769" i="13" s="1"/>
  <c r="I3770" i="13" s="1"/>
  <c r="K3791" i="14"/>
  <c r="L3791" i="14" s="1"/>
  <c r="I3792" i="14" s="1"/>
  <c r="M3958" i="13"/>
  <c r="N3956" i="13"/>
  <c r="J3955" i="13" a="1"/>
  <c r="J3955" i="13" s="1"/>
  <c r="N3955" i="14"/>
  <c r="J3954" i="14" a="1"/>
  <c r="J3954" i="14" s="1"/>
  <c r="M3959" i="14"/>
  <c r="K3770" i="13" l="1"/>
  <c r="L3770" i="13" s="1"/>
  <c r="I3771" i="13" s="1"/>
  <c r="J3956" i="13" a="1"/>
  <c r="J3956" i="13" s="1"/>
  <c r="N3957" i="13"/>
  <c r="M3960" i="14"/>
  <c r="K3792" i="14"/>
  <c r="L3792" i="14" s="1"/>
  <c r="I3793" i="14" s="1"/>
  <c r="M3959" i="13"/>
  <c r="N3956" i="14"/>
  <c r="J3955" i="14" a="1"/>
  <c r="J3955" i="14" s="1"/>
  <c r="K3793" i="14" l="1"/>
  <c r="L3793" i="14" s="1"/>
  <c r="I3794" i="14" s="1"/>
  <c r="N3958" i="13"/>
  <c r="J3957" i="13" a="1"/>
  <c r="J3957" i="13" s="1"/>
  <c r="N3957" i="14"/>
  <c r="J3956" i="14" a="1"/>
  <c r="J3956" i="14" s="1"/>
  <c r="M3960" i="13"/>
  <c r="M3961" i="14"/>
  <c r="K3771" i="13"/>
  <c r="L3771" i="13" s="1"/>
  <c r="I3772" i="13" s="1"/>
  <c r="K3772" i="13" l="1"/>
  <c r="L3772" i="13" s="1"/>
  <c r="I3773" i="13" s="1"/>
  <c r="K3794" i="14"/>
  <c r="L3794" i="14" s="1"/>
  <c r="I3795" i="14" s="1"/>
  <c r="N3959" i="13"/>
  <c r="J3958" i="13" a="1"/>
  <c r="J3958" i="13" s="1"/>
  <c r="M3961" i="13"/>
  <c r="M3962" i="14"/>
  <c r="J3957" i="14" a="1"/>
  <c r="J3957" i="14" s="1"/>
  <c r="N3958" i="14"/>
  <c r="K3795" i="14" l="1"/>
  <c r="L3795" i="14" s="1"/>
  <c r="I3796" i="14" s="1"/>
  <c r="K3773" i="13"/>
  <c r="L3773" i="13" s="1"/>
  <c r="I3774" i="13" s="1"/>
  <c r="M3962" i="13"/>
  <c r="M3963" i="14"/>
  <c r="N3959" i="14"/>
  <c r="J3958" i="14" a="1"/>
  <c r="J3958" i="14" s="1"/>
  <c r="N3960" i="13"/>
  <c r="J3959" i="13" a="1"/>
  <c r="J3959" i="13" s="1"/>
  <c r="K3774" i="13" l="1"/>
  <c r="L3774" i="13" s="1"/>
  <c r="I3775" i="13" s="1"/>
  <c r="K3796" i="14"/>
  <c r="L3796" i="14" s="1"/>
  <c r="I3797" i="14" s="1"/>
  <c r="M3964" i="14"/>
  <c r="J3960" i="13" a="1"/>
  <c r="J3960" i="13" s="1"/>
  <c r="N3961" i="13"/>
  <c r="M3963" i="13"/>
  <c r="N3960" i="14"/>
  <c r="J3959" i="14" a="1"/>
  <c r="J3959" i="14" s="1"/>
  <c r="K3797" i="14" l="1"/>
  <c r="L3797" i="14" s="1"/>
  <c r="I3798" i="14" s="1"/>
  <c r="K3775" i="13"/>
  <c r="L3775" i="13" s="1"/>
  <c r="I3776" i="13" s="1"/>
  <c r="N3962" i="13"/>
  <c r="J3961" i="13" a="1"/>
  <c r="J3961" i="13" s="1"/>
  <c r="N3961" i="14"/>
  <c r="J3960" i="14" a="1"/>
  <c r="J3960" i="14" s="1"/>
  <c r="M3964" i="13"/>
  <c r="M3965" i="14"/>
  <c r="K3776" i="13" l="1"/>
  <c r="L3776" i="13" s="1"/>
  <c r="I3777" i="13" s="1"/>
  <c r="K3798" i="14"/>
  <c r="L3798" i="14" s="1"/>
  <c r="I3799" i="14" s="1"/>
  <c r="M3966" i="14"/>
  <c r="J3961" i="14" a="1"/>
  <c r="J3961" i="14" s="1"/>
  <c r="N3962" i="14"/>
  <c r="M3965" i="13"/>
  <c r="N3963" i="13"/>
  <c r="J3962" i="13" a="1"/>
  <c r="J3962" i="13" s="1"/>
  <c r="K3799" i="14" l="1"/>
  <c r="L3799" i="14" s="1"/>
  <c r="I3800" i="14" s="1"/>
  <c r="K3777" i="13"/>
  <c r="L3777" i="13" s="1"/>
  <c r="I3778" i="13" s="1"/>
  <c r="N3964" i="13"/>
  <c r="J3963" i="13" a="1"/>
  <c r="J3963" i="13" s="1"/>
  <c r="M3967" i="14"/>
  <c r="N3963" i="14"/>
  <c r="J3962" i="14" a="1"/>
  <c r="J3962" i="14" s="1"/>
  <c r="M3966" i="13"/>
  <c r="K3778" i="13" l="1"/>
  <c r="L3778" i="13" s="1"/>
  <c r="I3779" i="13" s="1"/>
  <c r="K3800" i="14"/>
  <c r="L3800" i="14" s="1"/>
  <c r="I3801" i="14" s="1"/>
  <c r="N3964" i="14"/>
  <c r="J3963" i="14" a="1"/>
  <c r="J3963" i="14" s="1"/>
  <c r="M3968" i="14"/>
  <c r="M3967" i="13"/>
  <c r="J3964" i="13" a="1"/>
  <c r="J3964" i="13" s="1"/>
  <c r="N3965" i="13"/>
  <c r="K3801" i="14" l="1"/>
  <c r="L3801" i="14" s="1"/>
  <c r="I3802" i="14" s="1"/>
  <c r="K3779" i="13"/>
  <c r="L3779" i="13" s="1"/>
  <c r="I3780" i="13" s="1"/>
  <c r="N3966" i="13"/>
  <c r="J3965" i="13" a="1"/>
  <c r="J3965" i="13" s="1"/>
  <c r="M3969" i="14"/>
  <c r="M3968" i="13"/>
  <c r="N3965" i="14"/>
  <c r="J3964" i="14" a="1"/>
  <c r="J3964" i="14" s="1"/>
  <c r="K3780" i="13" l="1"/>
  <c r="L3780" i="13" s="1"/>
  <c r="I3781" i="13" s="1"/>
  <c r="K3802" i="14"/>
  <c r="L3802" i="14" s="1"/>
  <c r="I3803" i="14" s="1"/>
  <c r="M3970" i="14"/>
  <c r="J3965" i="14" a="1"/>
  <c r="J3965" i="14" s="1"/>
  <c r="N3966" i="14"/>
  <c r="M3969" i="13"/>
  <c r="N3967" i="13"/>
  <c r="J3966" i="13" a="1"/>
  <c r="J3966" i="13" s="1"/>
  <c r="K3803" i="14" l="1"/>
  <c r="L3803" i="14" s="1"/>
  <c r="I3804" i="14" s="1"/>
  <c r="K3781" i="13"/>
  <c r="L3781" i="13" s="1"/>
  <c r="I3782" i="13" s="1"/>
  <c r="N3967" i="14"/>
  <c r="J3966" i="14" a="1"/>
  <c r="J3966" i="14" s="1"/>
  <c r="N3968" i="13"/>
  <c r="J3967" i="13" a="1"/>
  <c r="J3967" i="13" s="1"/>
  <c r="M3970" i="13"/>
  <c r="M3971" i="14"/>
  <c r="K3782" i="13" l="1"/>
  <c r="L3782" i="13" s="1"/>
  <c r="I3783" i="13" s="1"/>
  <c r="K3804" i="14"/>
  <c r="L3804" i="14" s="1"/>
  <c r="I3805" i="14" s="1"/>
  <c r="J3968" i="13" a="1"/>
  <c r="J3968" i="13" s="1"/>
  <c r="N3969" i="13"/>
  <c r="M3972" i="14"/>
  <c r="M3971" i="13"/>
  <c r="J3967" i="14" a="1"/>
  <c r="J3967" i="14" s="1"/>
  <c r="N3968" i="14"/>
  <c r="K3805" i="14" l="1"/>
  <c r="L3805" i="14" s="1"/>
  <c r="I3806" i="14" s="1"/>
  <c r="K3783" i="13"/>
  <c r="L3783" i="13" s="1"/>
  <c r="I3784" i="13" s="1"/>
  <c r="N3969" i="14"/>
  <c r="J3968" i="14" a="1"/>
  <c r="J3968" i="14" s="1"/>
  <c r="M3973" i="14"/>
  <c r="N3970" i="13"/>
  <c r="J3969" i="13" a="1"/>
  <c r="J3969" i="13" s="1"/>
  <c r="M3972" i="13"/>
  <c r="K3784" i="13" l="1"/>
  <c r="L3784" i="13" s="1"/>
  <c r="I3785" i="13" s="1"/>
  <c r="K3806" i="14"/>
  <c r="L3806" i="14" s="1"/>
  <c r="I3807" i="14" s="1"/>
  <c r="M3973" i="13"/>
  <c r="N3971" i="13"/>
  <c r="J3970" i="13" a="1"/>
  <c r="J3970" i="13" s="1"/>
  <c r="M3974" i="14"/>
  <c r="J3969" i="14" a="1"/>
  <c r="J3969" i="14" s="1"/>
  <c r="N3970" i="14"/>
  <c r="K3807" i="14" l="1"/>
  <c r="L3807" i="14" s="1"/>
  <c r="I3808" i="14" s="1"/>
  <c r="K3785" i="13"/>
  <c r="L3785" i="13" s="1"/>
  <c r="I3786" i="13" s="1"/>
  <c r="J3970" i="14" a="1"/>
  <c r="J3970" i="14" s="1"/>
  <c r="N3971" i="14"/>
  <c r="M3974" i="13"/>
  <c r="N3972" i="13"/>
  <c r="J3971" i="13" a="1"/>
  <c r="J3971" i="13" s="1"/>
  <c r="M3975" i="14"/>
  <c r="K3786" i="13" l="1"/>
  <c r="L3786" i="13" s="1"/>
  <c r="I3787" i="13" s="1"/>
  <c r="K3808" i="14"/>
  <c r="L3808" i="14" s="1"/>
  <c r="I3809" i="14" s="1"/>
  <c r="M3976" i="14"/>
  <c r="J3972" i="13" a="1"/>
  <c r="J3972" i="13" s="1"/>
  <c r="N3973" i="13"/>
  <c r="M3975" i="13"/>
  <c r="N3972" i="14"/>
  <c r="J3971" i="14" a="1"/>
  <c r="J3971" i="14" s="1"/>
  <c r="K3809" i="14" l="1"/>
  <c r="L3809" i="14" s="1"/>
  <c r="I3810" i="14" s="1"/>
  <c r="K3787" i="13"/>
  <c r="L3787" i="13" s="1"/>
  <c r="I3788" i="13" s="1"/>
  <c r="N3974" i="13"/>
  <c r="J3973" i="13" a="1"/>
  <c r="J3973" i="13" s="1"/>
  <c r="N3973" i="14"/>
  <c r="J3972" i="14" a="1"/>
  <c r="J3972" i="14" s="1"/>
  <c r="M3976" i="13"/>
  <c r="M3977" i="14"/>
  <c r="K3788" i="13" l="1"/>
  <c r="L3788" i="13" s="1"/>
  <c r="I3789" i="13" s="1"/>
  <c r="K3810" i="14"/>
  <c r="L3810" i="14" s="1"/>
  <c r="I3811" i="14" s="1"/>
  <c r="M3978" i="14"/>
  <c r="J3973" i="14" a="1"/>
  <c r="J3973" i="14" s="1"/>
  <c r="N3974" i="14"/>
  <c r="M3977" i="13"/>
  <c r="N3975" i="13"/>
  <c r="J3974" i="13" a="1"/>
  <c r="J3974" i="13" s="1"/>
  <c r="K3811" i="14" l="1"/>
  <c r="L3811" i="14" s="1"/>
  <c r="I3812" i="14" s="1"/>
  <c r="K3789" i="13"/>
  <c r="L3789" i="13" s="1"/>
  <c r="I3790" i="13" s="1"/>
  <c r="N3975" i="14"/>
  <c r="J3974" i="14" a="1"/>
  <c r="J3974" i="14" s="1"/>
  <c r="M3979" i="14"/>
  <c r="N3976" i="13"/>
  <c r="J3975" i="13" a="1"/>
  <c r="J3975" i="13" s="1"/>
  <c r="M3978" i="13"/>
  <c r="K3790" i="13" l="1"/>
  <c r="L3790" i="13" s="1"/>
  <c r="I3791" i="13" s="1"/>
  <c r="K3812" i="14"/>
  <c r="L3812" i="14" s="1"/>
  <c r="I3813" i="14" s="1"/>
  <c r="M3980" i="14"/>
  <c r="M3979" i="13"/>
  <c r="J3976" i="13" a="1"/>
  <c r="J3976" i="13" s="1"/>
  <c r="N3977" i="13"/>
  <c r="N3976" i="14"/>
  <c r="J3975" i="14" a="1"/>
  <c r="J3975" i="14" s="1"/>
  <c r="K3813" i="14" l="1"/>
  <c r="L3813" i="14" s="1"/>
  <c r="I3814" i="14" s="1"/>
  <c r="K3791" i="13"/>
  <c r="L3791" i="13" s="1"/>
  <c r="I3792" i="13" s="1"/>
  <c r="N3977" i="14"/>
  <c r="J3976" i="14" a="1"/>
  <c r="J3976" i="14" s="1"/>
  <c r="M3980" i="13"/>
  <c r="N3978" i="13"/>
  <c r="J3977" i="13" a="1"/>
  <c r="J3977" i="13" s="1"/>
  <c r="M3981" i="14"/>
  <c r="K3792" i="13" l="1"/>
  <c r="L3792" i="13" s="1"/>
  <c r="I3793" i="13" s="1"/>
  <c r="K3814" i="14"/>
  <c r="L3814" i="14" s="1"/>
  <c r="I3815" i="14" s="1"/>
  <c r="M3982" i="14"/>
  <c r="M3981" i="13"/>
  <c r="N3979" i="13"/>
  <c r="J3978" i="13" a="1"/>
  <c r="J3978" i="13" s="1"/>
  <c r="J3977" i="14" a="1"/>
  <c r="J3977" i="14" s="1"/>
  <c r="N3978" i="14"/>
  <c r="K3815" i="14" l="1"/>
  <c r="L3815" i="14" s="1"/>
  <c r="I3816" i="14" s="1"/>
  <c r="K3793" i="13"/>
  <c r="L3793" i="13" s="1"/>
  <c r="I3794" i="13" s="1"/>
  <c r="N3979" i="14"/>
  <c r="J3978" i="14" a="1"/>
  <c r="J3978" i="14" s="1"/>
  <c r="M3982" i="13"/>
  <c r="M3983" i="14"/>
  <c r="N3980" i="13"/>
  <c r="J3979" i="13" a="1"/>
  <c r="J3979" i="13" s="1"/>
  <c r="K3794" i="13" l="1"/>
  <c r="L3794" i="13" s="1"/>
  <c r="I3795" i="13" s="1"/>
  <c r="K3816" i="14"/>
  <c r="L3816" i="14" s="1"/>
  <c r="I3817" i="14" s="1"/>
  <c r="M3983" i="13"/>
  <c r="J3980" i="13" a="1"/>
  <c r="J3980" i="13" s="1"/>
  <c r="N3981" i="13"/>
  <c r="M3984" i="14"/>
  <c r="N3980" i="14"/>
  <c r="J3979" i="14" a="1"/>
  <c r="J3979" i="14" s="1"/>
  <c r="K3817" i="14" l="1"/>
  <c r="L3817" i="14" s="1"/>
  <c r="I3818" i="14" s="1"/>
  <c r="K3795" i="13"/>
  <c r="L3795" i="13" s="1"/>
  <c r="I3796" i="13" s="1"/>
  <c r="N3982" i="13"/>
  <c r="J3981" i="13" a="1"/>
  <c r="J3981" i="13" s="1"/>
  <c r="N3981" i="14"/>
  <c r="J3980" i="14" a="1"/>
  <c r="J3980" i="14" s="1"/>
  <c r="M3985" i="14"/>
  <c r="M3984" i="13"/>
  <c r="K3796" i="13" l="1"/>
  <c r="L3796" i="13" s="1"/>
  <c r="I3797" i="13" s="1"/>
  <c r="K3818" i="14"/>
  <c r="L3818" i="14" s="1"/>
  <c r="I3819" i="14" s="1"/>
  <c r="M3985" i="13"/>
  <c r="J3981" i="14" a="1"/>
  <c r="J3981" i="14" s="1"/>
  <c r="N3982" i="14"/>
  <c r="M3986" i="14"/>
  <c r="N3983" i="13"/>
  <c r="J3982" i="13" a="1"/>
  <c r="J3982" i="13" s="1"/>
  <c r="K3819" i="14" l="1"/>
  <c r="L3819" i="14" s="1"/>
  <c r="I3820" i="14" s="1"/>
  <c r="K3797" i="13"/>
  <c r="L3797" i="13" s="1"/>
  <c r="I3798" i="13" s="1"/>
  <c r="N3983" i="14"/>
  <c r="J3982" i="14" a="1"/>
  <c r="J3982" i="14" s="1"/>
  <c r="N3984" i="13"/>
  <c r="J3983" i="13" a="1"/>
  <c r="J3983" i="13" s="1"/>
  <c r="M3986" i="13"/>
  <c r="M3987" i="14"/>
  <c r="K3820" i="14" l="1"/>
  <c r="L3820" i="14" s="1"/>
  <c r="I3821" i="14" s="1"/>
  <c r="J3984" i="13" a="1"/>
  <c r="J3984" i="13" s="1"/>
  <c r="N3985" i="13"/>
  <c r="K3798" i="13"/>
  <c r="L3798" i="13" s="1"/>
  <c r="I3799" i="13" s="1"/>
  <c r="M3987" i="13"/>
  <c r="M3988" i="14"/>
  <c r="N3984" i="14"/>
  <c r="J3983" i="14" a="1"/>
  <c r="J3983" i="14" s="1"/>
  <c r="K3799" i="13" l="1"/>
  <c r="L3799" i="13" s="1"/>
  <c r="I3800" i="13" s="1"/>
  <c r="K3821" i="14"/>
  <c r="L3821" i="14" s="1"/>
  <c r="I3822" i="14" s="1"/>
  <c r="N3986" i="13"/>
  <c r="J3985" i="13" a="1"/>
  <c r="J3985" i="13" s="1"/>
  <c r="N3985" i="14"/>
  <c r="J3984" i="14" a="1"/>
  <c r="J3984" i="14" s="1"/>
  <c r="M3988" i="13"/>
  <c r="M3989" i="14"/>
  <c r="K3822" i="14" l="1"/>
  <c r="L3822" i="14" s="1"/>
  <c r="I3823" i="14" s="1"/>
  <c r="K3800" i="13"/>
  <c r="L3800" i="13" s="1"/>
  <c r="I3801" i="13" s="1"/>
  <c r="M3990" i="14"/>
  <c r="J3985" i="14" a="1"/>
  <c r="J3985" i="14" s="1"/>
  <c r="N3986" i="14"/>
  <c r="M3989" i="13"/>
  <c r="N3987" i="13"/>
  <c r="J3986" i="13" a="1"/>
  <c r="J3986" i="13" s="1"/>
  <c r="K3801" i="13" l="1"/>
  <c r="L3801" i="13" s="1"/>
  <c r="I3802" i="13" s="1"/>
  <c r="K3823" i="14"/>
  <c r="L3823" i="14" s="1"/>
  <c r="I3824" i="14" s="1"/>
  <c r="N3987" i="14"/>
  <c r="J3986" i="14" a="1"/>
  <c r="J3986" i="14" s="1"/>
  <c r="N3988" i="13"/>
  <c r="J3987" i="13" a="1"/>
  <c r="J3987" i="13" s="1"/>
  <c r="M3991" i="14"/>
  <c r="M3990" i="13"/>
  <c r="K3824" i="14" l="1"/>
  <c r="L3824" i="14" s="1"/>
  <c r="I3825" i="14" s="1"/>
  <c r="K3802" i="13"/>
  <c r="L3802" i="13" s="1"/>
  <c r="I3803" i="13" s="1"/>
  <c r="M3991" i="13"/>
  <c r="J3988" i="13" a="1"/>
  <c r="J3988" i="13" s="1"/>
  <c r="N3989" i="13"/>
  <c r="M3992" i="14"/>
  <c r="N3988" i="14"/>
  <c r="J3987" i="14" a="1"/>
  <c r="J3987" i="14" s="1"/>
  <c r="K3803" i="13" l="1"/>
  <c r="L3803" i="13" s="1"/>
  <c r="I3804" i="13" s="1"/>
  <c r="K3825" i="14"/>
  <c r="L3825" i="14" s="1"/>
  <c r="I3826" i="14" s="1"/>
  <c r="N3990" i="13"/>
  <c r="J3989" i="13" a="1"/>
  <c r="J3989" i="13" s="1"/>
  <c r="N3989" i="14"/>
  <c r="J3988" i="14" a="1"/>
  <c r="J3988" i="14" s="1"/>
  <c r="M3993" i="14"/>
  <c r="M3992" i="13"/>
  <c r="K3826" i="14" l="1"/>
  <c r="L3826" i="14" s="1"/>
  <c r="I3827" i="14" s="1"/>
  <c r="K3804" i="13"/>
  <c r="L3804" i="13" s="1"/>
  <c r="I3805" i="13" s="1"/>
  <c r="J3989" i="14" a="1"/>
  <c r="J3989" i="14" s="1"/>
  <c r="N3990" i="14"/>
  <c r="M3994" i="14"/>
  <c r="M3993" i="13"/>
  <c r="N3991" i="13"/>
  <c r="J3990" i="13" a="1"/>
  <c r="J3990" i="13" s="1"/>
  <c r="K3805" i="13" l="1"/>
  <c r="L3805" i="13" s="1"/>
  <c r="I3806" i="13" s="1"/>
  <c r="K3827" i="14"/>
  <c r="L3827" i="14" s="1"/>
  <c r="I3828" i="14" s="1"/>
  <c r="M3995" i="14"/>
  <c r="N3992" i="13"/>
  <c r="J3991" i="13" a="1"/>
  <c r="J3991" i="13" s="1"/>
  <c r="N3991" i="14"/>
  <c r="J3990" i="14" a="1"/>
  <c r="J3990" i="14" s="1"/>
  <c r="M3994" i="13"/>
  <c r="K3828" i="14" l="1"/>
  <c r="L3828" i="14" s="1"/>
  <c r="I3829" i="14" s="1"/>
  <c r="K3806" i="13"/>
  <c r="L3806" i="13" s="1"/>
  <c r="I3807" i="13" s="1"/>
  <c r="M3995" i="13"/>
  <c r="J3992" i="13" a="1"/>
  <c r="J3992" i="13" s="1"/>
  <c r="N3993" i="13"/>
  <c r="M3996" i="14"/>
  <c r="N3992" i="14"/>
  <c r="J3991" i="14" a="1"/>
  <c r="J3991" i="14" s="1"/>
  <c r="K3807" i="13" l="1"/>
  <c r="L3807" i="13" s="1"/>
  <c r="I3808" i="13" s="1"/>
  <c r="K3829" i="14"/>
  <c r="L3829" i="14" s="1"/>
  <c r="I3830" i="14" s="1"/>
  <c r="N3994" i="13"/>
  <c r="J3993" i="13" a="1"/>
  <c r="J3993" i="13" s="1"/>
  <c r="N3993" i="14"/>
  <c r="J3992" i="14" a="1"/>
  <c r="J3992" i="14" s="1"/>
  <c r="M3997" i="14"/>
  <c r="M3996" i="13"/>
  <c r="K3830" i="14" l="1"/>
  <c r="L3830" i="14" s="1"/>
  <c r="I3831" i="14" s="1"/>
  <c r="K3808" i="13"/>
  <c r="L3808" i="13" s="1"/>
  <c r="I3809" i="13" s="1"/>
  <c r="M3997" i="13"/>
  <c r="J3993" i="14" a="1"/>
  <c r="J3993" i="14" s="1"/>
  <c r="N3994" i="14"/>
  <c r="M3998" i="14"/>
  <c r="N3995" i="13"/>
  <c r="J3994" i="13" a="1"/>
  <c r="J3994" i="13" s="1"/>
  <c r="K3809" i="13" l="1"/>
  <c r="L3809" i="13" s="1"/>
  <c r="I3810" i="13" s="1"/>
  <c r="K3831" i="14"/>
  <c r="L3831" i="14" s="1"/>
  <c r="I3832" i="14" s="1"/>
  <c r="N3995" i="14"/>
  <c r="J3994" i="14" a="1"/>
  <c r="J3994" i="14" s="1"/>
  <c r="M3998" i="13"/>
  <c r="N3996" i="13"/>
  <c r="J3995" i="13" a="1"/>
  <c r="J3995" i="13" s="1"/>
  <c r="M3999" i="14"/>
  <c r="K3832" i="14" l="1"/>
  <c r="L3832" i="14" s="1"/>
  <c r="I3833" i="14" s="1"/>
  <c r="K3810" i="13"/>
  <c r="L3810" i="13" s="1"/>
  <c r="I3811" i="13" s="1"/>
  <c r="M4000" i="14"/>
  <c r="J3996" i="13" a="1"/>
  <c r="J3996" i="13" s="1"/>
  <c r="N3997" i="13"/>
  <c r="M3999" i="13"/>
  <c r="N3996" i="14"/>
  <c r="J3995" i="14" a="1"/>
  <c r="J3995" i="14" s="1"/>
  <c r="K3811" i="13" l="1"/>
  <c r="L3811" i="13" s="1"/>
  <c r="I3812" i="13" s="1"/>
  <c r="K3833" i="14"/>
  <c r="L3833" i="14" s="1"/>
  <c r="I3834" i="14" s="1"/>
  <c r="N3998" i="13"/>
  <c r="J3997" i="13" a="1"/>
  <c r="J3997" i="13" s="1"/>
  <c r="N3997" i="14"/>
  <c r="J3996" i="14" a="1"/>
  <c r="J3996" i="14" s="1"/>
  <c r="M4000" i="13"/>
  <c r="M4001" i="14"/>
  <c r="K3834" i="14" l="1"/>
  <c r="L3834" i="14" s="1"/>
  <c r="I3835" i="14" s="1"/>
  <c r="K3812" i="13"/>
  <c r="L3812" i="13" s="1"/>
  <c r="I3813" i="13" s="1"/>
  <c r="J3997" i="14" a="1"/>
  <c r="J3997" i="14" s="1"/>
  <c r="N3998" i="14"/>
  <c r="M4002" i="14"/>
  <c r="M4001" i="13"/>
  <c r="N3999" i="13"/>
  <c r="J3998" i="13" a="1"/>
  <c r="J3998" i="13" s="1"/>
  <c r="K3835" i="14" l="1"/>
  <c r="L3835" i="14" s="1"/>
  <c r="I3836" i="14" s="1"/>
  <c r="K3813" i="13"/>
  <c r="L3813" i="13" s="1"/>
  <c r="I3814" i="13" s="1"/>
  <c r="N4000" i="13"/>
  <c r="J3999" i="13" a="1"/>
  <c r="J3999" i="13" s="1"/>
  <c r="M4003" i="14"/>
  <c r="M4002" i="13"/>
  <c r="N3999" i="14"/>
  <c r="J3998" i="14" a="1"/>
  <c r="J3998" i="14" s="1"/>
  <c r="K3814" i="13" l="1"/>
  <c r="L3814" i="13" s="1"/>
  <c r="I3815" i="13" s="1"/>
  <c r="K3836" i="14"/>
  <c r="L3836" i="14" s="1"/>
  <c r="I3837" i="14" s="1"/>
  <c r="M4003" i="13"/>
  <c r="M4004" i="14"/>
  <c r="N4000" i="14"/>
  <c r="J3999" i="14" a="1"/>
  <c r="J3999" i="14" s="1"/>
  <c r="J4000" i="13" a="1"/>
  <c r="J4000" i="13" s="1"/>
  <c r="N4001" i="13"/>
  <c r="K3837" i="14" l="1"/>
  <c r="L3837" i="14" s="1"/>
  <c r="I3838" i="14" s="1"/>
  <c r="K3815" i="13"/>
  <c r="L3815" i="13" s="1"/>
  <c r="I3816" i="13" s="1"/>
  <c r="N4002" i="13"/>
  <c r="J4001" i="13" a="1"/>
  <c r="J4001" i="13" s="1"/>
  <c r="M4005" i="14"/>
  <c r="N4001" i="14"/>
  <c r="J4000" i="14" a="1"/>
  <c r="J4000" i="14" s="1"/>
  <c r="M4004" i="13"/>
  <c r="K3816" i="13" l="1"/>
  <c r="L3816" i="13" s="1"/>
  <c r="I3817" i="13" s="1"/>
  <c r="K3838" i="14"/>
  <c r="L3838" i="14" s="1"/>
  <c r="I3839" i="14" s="1"/>
  <c r="M4005" i="13"/>
  <c r="M4006" i="14"/>
  <c r="J4001" i="14" a="1"/>
  <c r="J4001" i="14" s="1"/>
  <c r="N4002" i="14"/>
  <c r="N4003" i="13"/>
  <c r="J4002" i="13" a="1"/>
  <c r="J4002" i="13" s="1"/>
  <c r="K3839" i="14" l="1"/>
  <c r="L3839" i="14" s="1"/>
  <c r="I3840" i="14" s="1"/>
  <c r="K3817" i="13"/>
  <c r="L3817" i="13" s="1"/>
  <c r="I3818" i="13" s="1"/>
  <c r="N4004" i="13"/>
  <c r="J4003" i="13" a="1"/>
  <c r="J4003" i="13" s="1"/>
  <c r="M4007" i="14"/>
  <c r="N4003" i="14"/>
  <c r="J4002" i="14" a="1"/>
  <c r="J4002" i="14" s="1"/>
  <c r="M4006" i="13"/>
  <c r="K3818" i="13" l="1"/>
  <c r="L3818" i="13" s="1"/>
  <c r="I3819" i="13" s="1"/>
  <c r="K3840" i="14"/>
  <c r="L3840" i="14" s="1"/>
  <c r="I3841" i="14" s="1"/>
  <c r="M4007" i="13"/>
  <c r="N4004" i="14"/>
  <c r="J4003" i="14" a="1"/>
  <c r="J4003" i="14" s="1"/>
  <c r="M4008" i="14"/>
  <c r="J4004" i="13" a="1"/>
  <c r="J4004" i="13" s="1"/>
  <c r="N4005" i="13"/>
  <c r="K3841" i="14" l="1"/>
  <c r="L3841" i="14" s="1"/>
  <c r="I3842" i="14" s="1"/>
  <c r="K3819" i="13"/>
  <c r="L3819" i="13" s="1"/>
  <c r="I3820" i="13" s="1"/>
  <c r="N4006" i="13"/>
  <c r="J4005" i="13" a="1"/>
  <c r="J4005" i="13" s="1"/>
  <c r="N4005" i="14"/>
  <c r="J4004" i="14" a="1"/>
  <c r="J4004" i="14" s="1"/>
  <c r="M4009" i="14"/>
  <c r="M4008" i="13"/>
  <c r="K3820" i="13" l="1"/>
  <c r="L3820" i="13" s="1"/>
  <c r="I3821" i="13" s="1"/>
  <c r="K3842" i="14"/>
  <c r="L3842" i="14" s="1"/>
  <c r="I3843" i="14" s="1"/>
  <c r="J4005" i="14" a="1"/>
  <c r="J4005" i="14" s="1"/>
  <c r="N4006" i="14"/>
  <c r="M4009" i="13"/>
  <c r="M4010" i="14"/>
  <c r="N4007" i="13"/>
  <c r="J4006" i="13" a="1"/>
  <c r="J4006" i="13" s="1"/>
  <c r="K3843" i="14" l="1"/>
  <c r="L3843" i="14" s="1"/>
  <c r="I3844" i="14" s="1"/>
  <c r="K3821" i="13"/>
  <c r="L3821" i="13" s="1"/>
  <c r="I3822" i="13" s="1"/>
  <c r="N4008" i="13"/>
  <c r="J4007" i="13" a="1"/>
  <c r="J4007" i="13" s="1"/>
  <c r="M4010" i="13"/>
  <c r="N4007" i="14"/>
  <c r="J4006" i="14" a="1"/>
  <c r="J4006" i="14" s="1"/>
  <c r="M4011" i="14"/>
  <c r="K3822" i="13" l="1"/>
  <c r="L3822" i="13" s="1"/>
  <c r="I3823" i="13" s="1"/>
  <c r="K3844" i="14"/>
  <c r="L3844" i="14" s="1"/>
  <c r="I3845" i="14" s="1"/>
  <c r="M4012" i="14"/>
  <c r="M4011" i="13"/>
  <c r="N4008" i="14"/>
  <c r="J4007" i="14" a="1"/>
  <c r="J4007" i="14" s="1"/>
  <c r="J4008" i="13" a="1"/>
  <c r="J4008" i="13" s="1"/>
  <c r="N4009" i="13"/>
  <c r="K3845" i="14" l="1"/>
  <c r="L3845" i="14" s="1"/>
  <c r="I3846" i="14" s="1"/>
  <c r="K3823" i="13"/>
  <c r="L3823" i="13" s="1"/>
  <c r="I3824" i="13" s="1"/>
  <c r="N4010" i="13"/>
  <c r="J4009" i="13" a="1"/>
  <c r="J4009" i="13" s="1"/>
  <c r="M4012" i="13"/>
  <c r="N4009" i="14"/>
  <c r="J4008" i="14" a="1"/>
  <c r="J4008" i="14" s="1"/>
  <c r="M4013" i="14"/>
  <c r="K3824" i="13" l="1"/>
  <c r="L3824" i="13" s="1"/>
  <c r="I3825" i="13" s="1"/>
  <c r="K3846" i="14"/>
  <c r="L3846" i="14" s="1"/>
  <c r="I3847" i="14" s="1"/>
  <c r="M4014" i="14"/>
  <c r="J4009" i="14" a="1"/>
  <c r="J4009" i="14" s="1"/>
  <c r="N4010" i="14"/>
  <c r="M4013" i="13"/>
  <c r="N4011" i="13"/>
  <c r="J4010" i="13" a="1"/>
  <c r="J4010" i="13" s="1"/>
  <c r="K3847" i="14" l="1"/>
  <c r="L3847" i="14" s="1"/>
  <c r="I3848" i="14" s="1"/>
  <c r="K3825" i="13"/>
  <c r="L3825" i="13" s="1"/>
  <c r="I3826" i="13" s="1"/>
  <c r="N4011" i="14"/>
  <c r="J4010" i="14" a="1"/>
  <c r="J4010" i="14" s="1"/>
  <c r="M4014" i="13"/>
  <c r="N4012" i="13"/>
  <c r="J4011" i="13" a="1"/>
  <c r="J4011" i="13" s="1"/>
  <c r="M4015" i="14"/>
  <c r="K3826" i="13" l="1"/>
  <c r="L3826" i="13" s="1"/>
  <c r="I3827" i="13" s="1"/>
  <c r="K3848" i="14"/>
  <c r="L3848" i="14" s="1"/>
  <c r="I3849" i="14" s="1"/>
  <c r="M4016" i="14"/>
  <c r="M4015" i="13"/>
  <c r="J4012" i="13" a="1"/>
  <c r="J4012" i="13" s="1"/>
  <c r="N4013" i="13"/>
  <c r="J4011" i="14" a="1"/>
  <c r="J4011" i="14" s="1"/>
  <c r="N4012" i="14"/>
  <c r="K3849" i="14" l="1"/>
  <c r="L3849" i="14" s="1"/>
  <c r="I3850" i="14" s="1"/>
  <c r="K3827" i="13"/>
  <c r="L3827" i="13" s="1"/>
  <c r="I3828" i="13" s="1"/>
  <c r="N4013" i="14"/>
  <c r="J4012" i="14" a="1"/>
  <c r="J4012" i="14" s="1"/>
  <c r="M4016" i="13"/>
  <c r="N4014" i="13"/>
  <c r="J4013" i="13" a="1"/>
  <c r="J4013" i="13" s="1"/>
  <c r="M4017" i="14"/>
  <c r="K3828" i="13" l="1"/>
  <c r="L3828" i="13" s="1"/>
  <c r="I3829" i="13" s="1"/>
  <c r="K3850" i="14"/>
  <c r="L3850" i="14" s="1"/>
  <c r="I3851" i="14" s="1"/>
  <c r="N4015" i="13"/>
  <c r="J4014" i="13" a="1"/>
  <c r="J4014" i="13" s="1"/>
  <c r="M4017" i="13"/>
  <c r="M4018" i="14"/>
  <c r="J4013" i="14" a="1"/>
  <c r="J4013" i="14" s="1"/>
  <c r="N4014" i="14"/>
  <c r="K3851" i="14" l="1"/>
  <c r="L3851" i="14" s="1"/>
  <c r="I3852" i="14" s="1"/>
  <c r="K3829" i="13"/>
  <c r="L3829" i="13" s="1"/>
  <c r="I3830" i="13" s="1"/>
  <c r="J4014" i="14" a="1"/>
  <c r="J4014" i="14" s="1"/>
  <c r="N4015" i="14"/>
  <c r="M4018" i="13"/>
  <c r="M4019" i="14"/>
  <c r="N4016" i="13"/>
  <c r="J4015" i="13" a="1"/>
  <c r="J4015" i="13" s="1"/>
  <c r="K3830" i="13" l="1"/>
  <c r="L3830" i="13" s="1"/>
  <c r="I3831" i="13" s="1"/>
  <c r="K3852" i="14"/>
  <c r="L3852" i="14" s="1"/>
  <c r="I3853" i="14" s="1"/>
  <c r="M4019" i="13"/>
  <c r="J4016" i="13" a="1"/>
  <c r="J4016" i="13" s="1"/>
  <c r="N4017" i="13"/>
  <c r="N4016" i="14"/>
  <c r="J4015" i="14" a="1"/>
  <c r="J4015" i="14" s="1"/>
  <c r="M4020" i="14"/>
  <c r="K3853" i="14" l="1"/>
  <c r="L3853" i="14" s="1"/>
  <c r="I3854" i="14" s="1"/>
  <c r="K3831" i="13"/>
  <c r="L3831" i="13" s="1"/>
  <c r="I3832" i="13" s="1"/>
  <c r="N4018" i="13"/>
  <c r="J4017" i="13" a="1"/>
  <c r="J4017" i="13" s="1"/>
  <c r="M4021" i="14"/>
  <c r="N4017" i="14"/>
  <c r="J4016" i="14" a="1"/>
  <c r="J4016" i="14" s="1"/>
  <c r="M4020" i="13"/>
  <c r="K3832" i="13" l="1"/>
  <c r="L3832" i="13" s="1"/>
  <c r="I3833" i="13" s="1"/>
  <c r="K3854" i="14"/>
  <c r="L3854" i="14" s="1"/>
  <c r="I3855" i="14" s="1"/>
  <c r="M4021" i="13"/>
  <c r="M4022" i="14"/>
  <c r="J4017" i="14" a="1"/>
  <c r="J4017" i="14" s="1"/>
  <c r="N4018" i="14"/>
  <c r="N4019" i="13"/>
  <c r="J4018" i="13" a="1"/>
  <c r="J4018" i="13" s="1"/>
  <c r="K3855" i="14" l="1"/>
  <c r="L3855" i="14" s="1"/>
  <c r="I3856" i="14" s="1"/>
  <c r="K3833" i="13"/>
  <c r="L3833" i="13" s="1"/>
  <c r="I3834" i="13" s="1"/>
  <c r="M4023" i="14"/>
  <c r="N4020" i="13"/>
  <c r="J4019" i="13" a="1"/>
  <c r="J4019" i="13" s="1"/>
  <c r="N4019" i="14"/>
  <c r="J4018" i="14" a="1"/>
  <c r="J4018" i="14" s="1"/>
  <c r="M4022" i="13"/>
  <c r="K3834" i="13" l="1"/>
  <c r="L3834" i="13" s="1"/>
  <c r="I3835" i="13" s="1"/>
  <c r="K3856" i="14"/>
  <c r="L3856" i="14" s="1"/>
  <c r="I3857" i="14" s="1"/>
  <c r="J4020" i="13" a="1"/>
  <c r="J4020" i="13" s="1"/>
  <c r="N4021" i="13"/>
  <c r="M4024" i="14"/>
  <c r="M4023" i="13"/>
  <c r="N4020" i="14"/>
  <c r="J4019" i="14" a="1"/>
  <c r="J4019" i="14" s="1"/>
  <c r="K3857" i="14" l="1"/>
  <c r="L3857" i="14" s="1"/>
  <c r="I3858" i="14" s="1"/>
  <c r="K3835" i="13"/>
  <c r="L3835" i="13" s="1"/>
  <c r="I3836" i="13" s="1"/>
  <c r="N4021" i="14"/>
  <c r="J4020" i="14" a="1"/>
  <c r="J4020" i="14" s="1"/>
  <c r="M4025" i="14"/>
  <c r="N4022" i="13"/>
  <c r="J4021" i="13" a="1"/>
  <c r="J4021" i="13" s="1"/>
  <c r="M4024" i="13"/>
  <c r="K3836" i="13" l="1"/>
  <c r="L3836" i="13" s="1"/>
  <c r="I3837" i="13" s="1"/>
  <c r="K3858" i="14"/>
  <c r="L3858" i="14" s="1"/>
  <c r="I3859" i="14" s="1"/>
  <c r="M4025" i="13"/>
  <c r="M4026" i="14"/>
  <c r="N4023" i="13"/>
  <c r="J4022" i="13" a="1"/>
  <c r="J4022" i="13" s="1"/>
  <c r="J4021" i="14" a="1"/>
  <c r="J4021" i="14" s="1"/>
  <c r="N4022" i="14"/>
  <c r="K3859" i="14" l="1"/>
  <c r="L3859" i="14" s="1"/>
  <c r="I3860" i="14" s="1"/>
  <c r="K3837" i="13"/>
  <c r="L3837" i="13" s="1"/>
  <c r="I3838" i="13" s="1"/>
  <c r="N4023" i="14"/>
  <c r="J4022" i="14" a="1"/>
  <c r="J4022" i="14" s="1"/>
  <c r="M4027" i="14"/>
  <c r="N4024" i="13"/>
  <c r="J4023" i="13" a="1"/>
  <c r="J4023" i="13" s="1"/>
  <c r="M4026" i="13"/>
  <c r="K3838" i="13" l="1"/>
  <c r="L3838" i="13" s="1"/>
  <c r="I3839" i="13" s="1"/>
  <c r="K3860" i="14"/>
  <c r="L3860" i="14" s="1"/>
  <c r="I3861" i="14" s="1"/>
  <c r="M4028" i="14"/>
  <c r="M4027" i="13"/>
  <c r="J4024" i="13" a="1"/>
  <c r="J4024" i="13" s="1"/>
  <c r="N4025" i="13"/>
  <c r="N4024" i="14"/>
  <c r="J4023" i="14" a="1"/>
  <c r="J4023" i="14" s="1"/>
  <c r="K3861" i="14" l="1"/>
  <c r="L3861" i="14" s="1"/>
  <c r="I3862" i="14" s="1"/>
  <c r="K3839" i="13"/>
  <c r="L3839" i="13" s="1"/>
  <c r="I3840" i="13" s="1"/>
  <c r="N4025" i="14"/>
  <c r="J4024" i="14" a="1"/>
  <c r="J4024" i="14" s="1"/>
  <c r="M4028" i="13"/>
  <c r="N4026" i="13"/>
  <c r="J4025" i="13" a="1"/>
  <c r="J4025" i="13" s="1"/>
  <c r="M4029" i="14"/>
  <c r="K3840" i="13" l="1"/>
  <c r="L3840" i="13" s="1"/>
  <c r="I3841" i="13" s="1"/>
  <c r="K3862" i="14"/>
  <c r="L3862" i="14" s="1"/>
  <c r="I3863" i="14" s="1"/>
  <c r="M4030" i="14"/>
  <c r="M4029" i="13"/>
  <c r="N4027" i="13"/>
  <c r="J4026" i="13" a="1"/>
  <c r="J4026" i="13" s="1"/>
  <c r="J4025" i="14" a="1"/>
  <c r="J4025" i="14" s="1"/>
  <c r="N4026" i="14"/>
  <c r="K3863" i="14" l="1"/>
  <c r="L3863" i="14" s="1"/>
  <c r="I3864" i="14" s="1"/>
  <c r="K3841" i="13"/>
  <c r="L3841" i="13" s="1"/>
  <c r="I3842" i="13" s="1"/>
  <c r="N4027" i="14"/>
  <c r="J4026" i="14" a="1"/>
  <c r="J4026" i="14" s="1"/>
  <c r="M4030" i="13"/>
  <c r="M4031" i="14"/>
  <c r="N4028" i="13"/>
  <c r="J4027" i="13" a="1"/>
  <c r="J4027" i="13" s="1"/>
  <c r="K3842" i="13" l="1"/>
  <c r="L3842" i="13" s="1"/>
  <c r="I3843" i="13" s="1"/>
  <c r="K3864" i="14"/>
  <c r="L3864" i="14" s="1"/>
  <c r="I3865" i="14" s="1"/>
  <c r="M4031" i="13"/>
  <c r="J4028" i="13" a="1"/>
  <c r="J4028" i="13" s="1"/>
  <c r="N4029" i="13"/>
  <c r="M4032" i="14"/>
  <c r="N4028" i="14"/>
  <c r="J4027" i="14" a="1"/>
  <c r="J4027" i="14" s="1"/>
  <c r="K3865" i="14" l="1"/>
  <c r="L3865" i="14" s="1"/>
  <c r="I3866" i="14" s="1"/>
  <c r="K3843" i="13"/>
  <c r="L3843" i="13" s="1"/>
  <c r="I3844" i="13" s="1"/>
  <c r="N4030" i="13"/>
  <c r="J4029" i="13" a="1"/>
  <c r="J4029" i="13" s="1"/>
  <c r="N4029" i="14"/>
  <c r="J4028" i="14" a="1"/>
  <c r="J4028" i="14" s="1"/>
  <c r="M4033" i="14"/>
  <c r="M4032" i="13"/>
  <c r="K3844" i="13" l="1"/>
  <c r="L3844" i="13" s="1"/>
  <c r="I3845" i="13" s="1"/>
  <c r="K3866" i="14"/>
  <c r="L3866" i="14" s="1"/>
  <c r="I3867" i="14" s="1"/>
  <c r="J4029" i="14" a="1"/>
  <c r="J4029" i="14" s="1"/>
  <c r="N4030" i="14"/>
  <c r="M4033" i="13"/>
  <c r="M4034" i="14"/>
  <c r="N4031" i="13"/>
  <c r="J4030" i="13" a="1"/>
  <c r="J4030" i="13" s="1"/>
  <c r="K3867" i="14" l="1"/>
  <c r="L3867" i="14" s="1"/>
  <c r="I3868" i="14" s="1"/>
  <c r="K3845" i="13"/>
  <c r="L3845" i="13" s="1"/>
  <c r="I3846" i="13" s="1"/>
  <c r="M4034" i="13"/>
  <c r="N4032" i="13"/>
  <c r="J4031" i="13" a="1"/>
  <c r="J4031" i="13" s="1"/>
  <c r="N4031" i="14"/>
  <c r="J4030" i="14" a="1"/>
  <c r="J4030" i="14" s="1"/>
  <c r="M4035" i="14"/>
  <c r="K3846" i="13" l="1"/>
  <c r="L3846" i="13" s="1"/>
  <c r="I3847" i="13" s="1"/>
  <c r="K3868" i="14"/>
  <c r="L3868" i="14" s="1"/>
  <c r="I3869" i="14" s="1"/>
  <c r="J4032" i="13" a="1"/>
  <c r="J4032" i="13" s="1"/>
  <c r="N4033" i="13"/>
  <c r="M4035" i="13"/>
  <c r="M4036" i="14"/>
  <c r="J4031" i="14" a="1"/>
  <c r="J4031" i="14" s="1"/>
  <c r="N4032" i="14"/>
  <c r="K3869" i="14" l="1"/>
  <c r="L3869" i="14" s="1"/>
  <c r="I3870" i="14" s="1"/>
  <c r="K3847" i="13"/>
  <c r="L3847" i="13" s="1"/>
  <c r="I3848" i="13" s="1"/>
  <c r="M4036" i="13"/>
  <c r="N4034" i="13"/>
  <c r="J4033" i="13" a="1"/>
  <c r="J4033" i="13" s="1"/>
  <c r="N4033" i="14"/>
  <c r="J4032" i="14" a="1"/>
  <c r="J4032" i="14" s="1"/>
  <c r="M4037" i="14"/>
  <c r="K3848" i="13" l="1"/>
  <c r="L3848" i="13" s="1"/>
  <c r="I3849" i="13" s="1"/>
  <c r="K3870" i="14"/>
  <c r="L3870" i="14" s="1"/>
  <c r="I3871" i="14" s="1"/>
  <c r="N4035" i="13"/>
  <c r="J4034" i="13" a="1"/>
  <c r="J4034" i="13" s="1"/>
  <c r="M4037" i="13"/>
  <c r="M4038" i="14"/>
  <c r="J4033" i="14" a="1"/>
  <c r="J4033" i="14" s="1"/>
  <c r="N4034" i="14"/>
  <c r="K3871" i="14" l="1"/>
  <c r="L3871" i="14" s="1"/>
  <c r="I3872" i="14" s="1"/>
  <c r="K3849" i="13"/>
  <c r="L3849" i="13" s="1"/>
  <c r="I3850" i="13" s="1"/>
  <c r="J4034" i="14" a="1"/>
  <c r="J4034" i="14" s="1"/>
  <c r="N4035" i="14"/>
  <c r="M4038" i="13"/>
  <c r="M4039" i="14"/>
  <c r="N4036" i="13"/>
  <c r="J4035" i="13" a="1"/>
  <c r="J4035" i="13" s="1"/>
  <c r="K3850" i="13" l="1"/>
  <c r="L3850" i="13" s="1"/>
  <c r="I3851" i="13" s="1"/>
  <c r="K3872" i="14"/>
  <c r="L3872" i="14" s="1"/>
  <c r="I3873" i="14" s="1"/>
  <c r="M4039" i="13"/>
  <c r="J4036" i="13" a="1"/>
  <c r="J4036" i="13" s="1"/>
  <c r="N4037" i="13"/>
  <c r="N4036" i="14"/>
  <c r="J4035" i="14" a="1"/>
  <c r="J4035" i="14" s="1"/>
  <c r="M4040" i="14"/>
  <c r="K3873" i="14" l="1"/>
  <c r="L3873" i="14" s="1"/>
  <c r="I3874" i="14" s="1"/>
  <c r="K3851" i="13"/>
  <c r="L3851" i="13" s="1"/>
  <c r="I3852" i="13" s="1"/>
  <c r="N4038" i="13"/>
  <c r="J4037" i="13" a="1"/>
  <c r="J4037" i="13" s="1"/>
  <c r="M4041" i="14"/>
  <c r="N4037" i="14"/>
  <c r="J4036" i="14" a="1"/>
  <c r="J4036" i="14" s="1"/>
  <c r="M4040" i="13"/>
  <c r="K3852" i="13" l="1"/>
  <c r="L3852" i="13" s="1"/>
  <c r="I3853" i="13" s="1"/>
  <c r="K3874" i="14"/>
  <c r="L3874" i="14" s="1"/>
  <c r="I3875" i="14" s="1"/>
  <c r="M4041" i="13"/>
  <c r="M4042" i="14"/>
  <c r="J4037" i="14" a="1"/>
  <c r="J4037" i="14" s="1"/>
  <c r="N4038" i="14"/>
  <c r="N4039" i="13"/>
  <c r="J4038" i="13" a="1"/>
  <c r="J4038" i="13" s="1"/>
  <c r="K3875" i="14" l="1"/>
  <c r="L3875" i="14" s="1"/>
  <c r="I3876" i="14" s="1"/>
  <c r="K3853" i="13"/>
  <c r="L3853" i="13" s="1"/>
  <c r="I3854" i="13" s="1"/>
  <c r="M4043" i="14"/>
  <c r="N4040" i="13"/>
  <c r="J4039" i="13" a="1"/>
  <c r="J4039" i="13" s="1"/>
  <c r="N4039" i="14"/>
  <c r="J4038" i="14" a="1"/>
  <c r="J4038" i="14" s="1"/>
  <c r="M4042" i="13"/>
  <c r="K3854" i="13" l="1"/>
  <c r="L3854" i="13" s="1"/>
  <c r="I3855" i="13" s="1"/>
  <c r="K3876" i="14"/>
  <c r="L3876" i="14" s="1"/>
  <c r="I3877" i="14" s="1"/>
  <c r="J4040" i="13" a="1"/>
  <c r="J4040" i="13" s="1"/>
  <c r="N4041" i="13"/>
  <c r="M4043" i="13"/>
  <c r="N4040" i="14"/>
  <c r="J4039" i="14" a="1"/>
  <c r="J4039" i="14" s="1"/>
  <c r="M4044" i="14"/>
  <c r="K3877" i="14" l="1"/>
  <c r="L3877" i="14" s="1"/>
  <c r="I3878" i="14" s="1"/>
  <c r="K3855" i="13"/>
  <c r="L3855" i="13" s="1"/>
  <c r="I3856" i="13" s="1"/>
  <c r="M4045" i="14"/>
  <c r="M4044" i="13"/>
  <c r="N4042" i="13"/>
  <c r="J4041" i="13" a="1"/>
  <c r="J4041" i="13" s="1"/>
  <c r="J4040" i="14" a="1"/>
  <c r="J4040" i="14" s="1"/>
  <c r="N4041" i="14"/>
  <c r="K3856" i="13" l="1"/>
  <c r="L3856" i="13" s="1"/>
  <c r="I3857" i="13" s="1"/>
  <c r="K3878" i="14"/>
  <c r="L3878" i="14" s="1"/>
  <c r="I3879" i="14" s="1"/>
  <c r="J4041" i="14" a="1"/>
  <c r="J4041" i="14" s="1"/>
  <c r="N4042" i="14"/>
  <c r="M4045" i="13"/>
  <c r="M4046" i="14"/>
  <c r="N4043" i="13"/>
  <c r="J4042" i="13" a="1"/>
  <c r="J4042" i="13" s="1"/>
  <c r="K3879" i="14" l="1"/>
  <c r="L3879" i="14" s="1"/>
  <c r="I3880" i="14" s="1"/>
  <c r="K3857" i="13"/>
  <c r="L3857" i="13" s="1"/>
  <c r="I3858" i="13" s="1"/>
  <c r="M4046" i="13"/>
  <c r="N4044" i="13"/>
  <c r="J4043" i="13" a="1"/>
  <c r="J4043" i="13" s="1"/>
  <c r="J4042" i="14" a="1"/>
  <c r="J4042" i="14" s="1"/>
  <c r="N4043" i="14"/>
  <c r="M4047" i="14"/>
  <c r="K3858" i="13" l="1"/>
  <c r="L3858" i="13" s="1"/>
  <c r="I3859" i="13" s="1"/>
  <c r="K3880" i="14"/>
  <c r="L3880" i="14" s="1"/>
  <c r="I3881" i="14" s="1"/>
  <c r="J4044" i="13" a="1"/>
  <c r="J4044" i="13" s="1"/>
  <c r="N4045" i="13"/>
  <c r="N4044" i="14"/>
  <c r="J4043" i="14" a="1"/>
  <c r="J4043" i="14" s="1"/>
  <c r="M4047" i="13"/>
  <c r="M4048" i="14"/>
  <c r="K3881" i="14" l="1"/>
  <c r="L3881" i="14" s="1"/>
  <c r="I3882" i="14" s="1"/>
  <c r="K3859" i="13"/>
  <c r="L3859" i="13" s="1"/>
  <c r="I3860" i="13" s="1"/>
  <c r="J4044" i="14" a="1"/>
  <c r="J4044" i="14" s="1"/>
  <c r="N4045" i="14"/>
  <c r="N4046" i="13"/>
  <c r="J4045" i="13" a="1"/>
  <c r="J4045" i="13" s="1"/>
  <c r="M4049" i="14"/>
  <c r="M4048" i="13"/>
  <c r="K3860" i="13" l="1"/>
  <c r="L3860" i="13" s="1"/>
  <c r="I3861" i="13" s="1"/>
  <c r="K3882" i="14"/>
  <c r="L3882" i="14" s="1"/>
  <c r="I3883" i="14" s="1"/>
  <c r="N4047" i="13"/>
  <c r="J4046" i="13" a="1"/>
  <c r="J4046" i="13" s="1"/>
  <c r="M4049" i="13"/>
  <c r="J4045" i="14" a="1"/>
  <c r="J4045" i="14" s="1"/>
  <c r="N4046" i="14"/>
  <c r="M4050" i="14"/>
  <c r="K3883" i="14" l="1"/>
  <c r="L3883" i="14" s="1"/>
  <c r="I3884" i="14" s="1"/>
  <c r="K3861" i="13"/>
  <c r="L3861" i="13" s="1"/>
  <c r="I3862" i="13" s="1"/>
  <c r="N4047" i="14"/>
  <c r="J4046" i="14" a="1"/>
  <c r="J4046" i="14" s="1"/>
  <c r="M4051" i="14"/>
  <c r="M4050" i="13"/>
  <c r="N4048" i="13"/>
  <c r="J4047" i="13" a="1"/>
  <c r="J4047" i="13" s="1"/>
  <c r="K3862" i="13" l="1"/>
  <c r="L3862" i="13" s="1"/>
  <c r="I3863" i="13" s="1"/>
  <c r="K3884" i="14"/>
  <c r="L3884" i="14" s="1"/>
  <c r="I3885" i="14" s="1"/>
  <c r="J4048" i="13" a="1"/>
  <c r="J4048" i="13" s="1"/>
  <c r="N4049" i="13"/>
  <c r="M4052" i="14"/>
  <c r="M4051" i="13"/>
  <c r="N4048" i="14"/>
  <c r="J4047" i="14" a="1"/>
  <c r="J4047" i="14" s="1"/>
  <c r="K3885" i="14" l="1"/>
  <c r="L3885" i="14" s="1"/>
  <c r="I3886" i="14" s="1"/>
  <c r="K3863" i="13"/>
  <c r="L3863" i="13" s="1"/>
  <c r="I3864" i="13" s="1"/>
  <c r="J4048" i="14" a="1"/>
  <c r="J4048" i="14" s="1"/>
  <c r="N4049" i="14"/>
  <c r="M4053" i="14"/>
  <c r="N4050" i="13"/>
  <c r="J4049" i="13" a="1"/>
  <c r="J4049" i="13" s="1"/>
  <c r="M4052" i="13"/>
  <c r="K3864" i="13" l="1"/>
  <c r="L3864" i="13" s="1"/>
  <c r="I3865" i="13" s="1"/>
  <c r="K3886" i="14"/>
  <c r="L3886" i="14" s="1"/>
  <c r="I3887" i="14" s="1"/>
  <c r="M4053" i="13"/>
  <c r="M4054" i="14"/>
  <c r="J4049" i="14" a="1"/>
  <c r="J4049" i="14" s="1"/>
  <c r="N4050" i="14"/>
  <c r="N4051" i="13"/>
  <c r="J4050" i="13" a="1"/>
  <c r="J4050" i="13" s="1"/>
  <c r="K3887" i="14" l="1"/>
  <c r="L3887" i="14" s="1"/>
  <c r="I3888" i="14" s="1"/>
  <c r="K3865" i="13"/>
  <c r="L3865" i="13" s="1"/>
  <c r="I3866" i="13" s="1"/>
  <c r="M4055" i="14"/>
  <c r="N4052" i="13"/>
  <c r="J4051" i="13" a="1"/>
  <c r="J4051" i="13" s="1"/>
  <c r="N4051" i="14"/>
  <c r="J4050" i="14" a="1"/>
  <c r="J4050" i="14" s="1"/>
  <c r="M4054" i="13"/>
  <c r="K3866" i="13" l="1"/>
  <c r="L3866" i="13" s="1"/>
  <c r="I3867" i="13" s="1"/>
  <c r="K3888" i="14"/>
  <c r="L3888" i="14" s="1"/>
  <c r="I3889" i="14" s="1"/>
  <c r="J4052" i="13" a="1"/>
  <c r="J4052" i="13" s="1"/>
  <c r="N4053" i="13"/>
  <c r="M4055" i="13"/>
  <c r="N4052" i="14"/>
  <c r="J4051" i="14" a="1"/>
  <c r="J4051" i="14" s="1"/>
  <c r="M4056" i="14"/>
  <c r="K3889" i="14" l="1"/>
  <c r="L3889" i="14" s="1"/>
  <c r="I3890" i="14" s="1"/>
  <c r="K3867" i="13"/>
  <c r="L3867" i="13" s="1"/>
  <c r="I3868" i="13" s="1"/>
  <c r="J4052" i="14" a="1"/>
  <c r="J4052" i="14" s="1"/>
  <c r="N4053" i="14"/>
  <c r="M4057" i="14"/>
  <c r="M4056" i="13"/>
  <c r="N4054" i="13"/>
  <c r="J4053" i="13" a="1"/>
  <c r="J4053" i="13" s="1"/>
  <c r="K3868" i="13" l="1"/>
  <c r="L3868" i="13" s="1"/>
  <c r="I3869" i="13" s="1"/>
  <c r="K3890" i="14"/>
  <c r="L3890" i="14" s="1"/>
  <c r="I3891" i="14" s="1"/>
  <c r="N4055" i="13"/>
  <c r="J4054" i="13" a="1"/>
  <c r="J4054" i="13" s="1"/>
  <c r="M4058" i="14"/>
  <c r="M4057" i="13"/>
  <c r="J4053" i="14" a="1"/>
  <c r="J4053" i="14" s="1"/>
  <c r="N4054" i="14"/>
  <c r="K3891" i="14" l="1"/>
  <c r="L3891" i="14" s="1"/>
  <c r="I3892" i="14" s="1"/>
  <c r="K3869" i="13"/>
  <c r="L3869" i="13" s="1"/>
  <c r="I3870" i="13" s="1"/>
  <c r="M4059" i="14"/>
  <c r="N4055" i="14"/>
  <c r="J4054" i="14" a="1"/>
  <c r="J4054" i="14" s="1"/>
  <c r="M4058" i="13"/>
  <c r="N4056" i="13"/>
  <c r="J4055" i="13" a="1"/>
  <c r="J4055" i="13" s="1"/>
  <c r="K3892" i="14" l="1"/>
  <c r="L3892" i="14" s="1"/>
  <c r="I3893" i="14" s="1"/>
  <c r="K3870" i="13"/>
  <c r="L3870" i="13" s="1"/>
  <c r="I3871" i="13" s="1"/>
  <c r="J4056" i="13" a="1"/>
  <c r="J4056" i="13" s="1"/>
  <c r="N4057" i="13"/>
  <c r="M4059" i="13"/>
  <c r="N4056" i="14"/>
  <c r="J4055" i="14" a="1"/>
  <c r="J4055" i="14" s="1"/>
  <c r="M4060" i="14"/>
  <c r="K3871" i="13" l="1"/>
  <c r="L3871" i="13" s="1"/>
  <c r="I3872" i="13" s="1"/>
  <c r="K3893" i="14"/>
  <c r="L3893" i="14" s="1"/>
  <c r="I3894" i="14" s="1"/>
  <c r="J4056" i="14" a="1"/>
  <c r="J4056" i="14" s="1"/>
  <c r="N4057" i="14"/>
  <c r="N4058" i="13"/>
  <c r="J4057" i="13" a="1"/>
  <c r="J4057" i="13" s="1"/>
  <c r="M4061" i="14"/>
  <c r="M4060" i="13"/>
  <c r="K3894" i="14" l="1"/>
  <c r="L3894" i="14" s="1"/>
  <c r="I3895" i="14" s="1"/>
  <c r="K3872" i="13"/>
  <c r="L3872" i="13" s="1"/>
  <c r="I3873" i="13" s="1"/>
  <c r="N4059" i="13"/>
  <c r="J4058" i="13" a="1"/>
  <c r="J4058" i="13" s="1"/>
  <c r="J4057" i="14" a="1"/>
  <c r="J4057" i="14" s="1"/>
  <c r="N4058" i="14"/>
  <c r="M4061" i="13"/>
  <c r="M4062" i="14"/>
  <c r="K3873" i="13" l="1"/>
  <c r="L3873" i="13" s="1"/>
  <c r="I3874" i="13" s="1"/>
  <c r="K3895" i="14"/>
  <c r="L3895" i="14" s="1"/>
  <c r="I3896" i="14" s="1"/>
  <c r="M4063" i="14"/>
  <c r="J4058" i="14" a="1"/>
  <c r="J4058" i="14" s="1"/>
  <c r="N4059" i="14"/>
  <c r="M4062" i="13"/>
  <c r="N4060" i="13"/>
  <c r="J4059" i="13" a="1"/>
  <c r="J4059" i="13" s="1"/>
  <c r="K3896" i="14" l="1"/>
  <c r="L3896" i="14" s="1"/>
  <c r="I3897" i="14" s="1"/>
  <c r="K3874" i="13"/>
  <c r="L3874" i="13" s="1"/>
  <c r="I3875" i="13" s="1"/>
  <c r="N4060" i="14"/>
  <c r="J4059" i="14" a="1"/>
  <c r="J4059" i="14" s="1"/>
  <c r="M4063" i="13"/>
  <c r="J4060" i="13" a="1"/>
  <c r="J4060" i="13" s="1"/>
  <c r="N4061" i="13"/>
  <c r="M4064" i="14"/>
  <c r="K3875" i="13" l="1"/>
  <c r="L3875" i="13" s="1"/>
  <c r="I3876" i="13" s="1"/>
  <c r="K3897" i="14"/>
  <c r="L3897" i="14" s="1"/>
  <c r="I3898" i="14" s="1"/>
  <c r="N4062" i="13"/>
  <c r="J4061" i="13" a="1"/>
  <c r="J4061" i="13" s="1"/>
  <c r="M4065" i="14"/>
  <c r="M4064" i="13"/>
  <c r="J4060" i="14" a="1"/>
  <c r="J4060" i="14" s="1"/>
  <c r="N4061" i="14"/>
  <c r="K3898" i="14" l="1"/>
  <c r="L3898" i="14" s="1"/>
  <c r="I3899" i="14" s="1"/>
  <c r="K3876" i="13"/>
  <c r="L3876" i="13" s="1"/>
  <c r="I3877" i="13" s="1"/>
  <c r="J4061" i="14" a="1"/>
  <c r="J4061" i="14" s="1"/>
  <c r="N4062" i="14"/>
  <c r="M4066" i="14"/>
  <c r="M4065" i="13"/>
  <c r="N4063" i="13"/>
  <c r="J4062" i="13" a="1"/>
  <c r="J4062" i="13" s="1"/>
  <c r="K3877" i="13" l="1"/>
  <c r="L3877" i="13" s="1"/>
  <c r="I3878" i="13" s="1"/>
  <c r="K3899" i="14"/>
  <c r="L3899" i="14" s="1"/>
  <c r="I3900" i="14" s="1"/>
  <c r="M4067" i="14"/>
  <c r="N4064" i="13"/>
  <c r="J4063" i="13" a="1"/>
  <c r="J4063" i="13" s="1"/>
  <c r="N4063" i="14"/>
  <c r="J4062" i="14" a="1"/>
  <c r="J4062" i="14" s="1"/>
  <c r="M4066" i="13"/>
  <c r="K3900" i="14" l="1"/>
  <c r="L3900" i="14" s="1"/>
  <c r="I3901" i="14" s="1"/>
  <c r="K3878" i="13"/>
  <c r="L3878" i="13" s="1"/>
  <c r="I3879" i="13" s="1"/>
  <c r="J4064" i="13" a="1"/>
  <c r="J4064" i="13" s="1"/>
  <c r="N4065" i="13"/>
  <c r="M4067" i="13"/>
  <c r="N4064" i="14"/>
  <c r="J4063" i="14" a="1"/>
  <c r="J4063" i="14" s="1"/>
  <c r="M4068" i="14"/>
  <c r="K3879" i="13" l="1"/>
  <c r="L3879" i="13" s="1"/>
  <c r="I3880" i="13" s="1"/>
  <c r="K3901" i="14"/>
  <c r="L3901" i="14" s="1"/>
  <c r="I3902" i="14" s="1"/>
  <c r="J4064" i="14" a="1"/>
  <c r="J4064" i="14" s="1"/>
  <c r="N4065" i="14"/>
  <c r="M4069" i="14"/>
  <c r="M4068" i="13"/>
  <c r="N4066" i="13"/>
  <c r="J4065" i="13" a="1"/>
  <c r="J4065" i="13" s="1"/>
  <c r="K3902" i="14" l="1"/>
  <c r="L3902" i="14" s="1"/>
  <c r="I3903" i="14" s="1"/>
  <c r="K3880" i="13"/>
  <c r="L3880" i="13" s="1"/>
  <c r="I3881" i="13" s="1"/>
  <c r="M4070" i="14"/>
  <c r="N4067" i="13"/>
  <c r="J4066" i="13" a="1"/>
  <c r="J4066" i="13" s="1"/>
  <c r="J4065" i="14" a="1"/>
  <c r="J4065" i="14" s="1"/>
  <c r="N4066" i="14"/>
  <c r="M4069" i="13"/>
  <c r="K3881" i="13" l="1"/>
  <c r="L3881" i="13" s="1"/>
  <c r="I3882" i="13" s="1"/>
  <c r="K3903" i="14"/>
  <c r="L3903" i="14" s="1"/>
  <c r="I3904" i="14" s="1"/>
  <c r="M4070" i="13"/>
  <c r="N4068" i="13"/>
  <c r="J4067" i="13" a="1"/>
  <c r="J4067" i="13" s="1"/>
  <c r="N4067" i="14"/>
  <c r="J4066" i="14" a="1"/>
  <c r="J4066" i="14" s="1"/>
  <c r="M4071" i="14"/>
  <c r="K3904" i="14" l="1"/>
  <c r="L3904" i="14" s="1"/>
  <c r="I3905" i="14" s="1"/>
  <c r="K3882" i="13"/>
  <c r="L3882" i="13" s="1"/>
  <c r="I3883" i="13" s="1"/>
  <c r="M4072" i="14"/>
  <c r="J4068" i="13" a="1"/>
  <c r="J4068" i="13" s="1"/>
  <c r="N4069" i="13"/>
  <c r="M4071" i="13"/>
  <c r="N4068" i="14"/>
  <c r="J4067" i="14" a="1"/>
  <c r="J4067" i="14" s="1"/>
  <c r="K3883" i="13" l="1"/>
  <c r="L3883" i="13" s="1"/>
  <c r="I3884" i="13" s="1"/>
  <c r="K3905" i="14"/>
  <c r="L3905" i="14" s="1"/>
  <c r="I3906" i="14" s="1"/>
  <c r="N4070" i="13"/>
  <c r="J4069" i="13" a="1"/>
  <c r="J4069" i="13" s="1"/>
  <c r="J4068" i="14" a="1"/>
  <c r="J4068" i="14" s="1"/>
  <c r="N4069" i="14"/>
  <c r="M4072" i="13"/>
  <c r="M4073" i="14"/>
  <c r="K3906" i="14" l="1"/>
  <c r="L3906" i="14" s="1"/>
  <c r="I3907" i="14" s="1"/>
  <c r="K3884" i="13"/>
  <c r="L3884" i="13" s="1"/>
  <c r="I3885" i="13" s="1"/>
  <c r="J4069" i="14" a="1"/>
  <c r="J4069" i="14" s="1"/>
  <c r="N4070" i="14"/>
  <c r="M4074" i="14"/>
  <c r="M4073" i="13"/>
  <c r="N4071" i="13"/>
  <c r="J4070" i="13" a="1"/>
  <c r="J4070" i="13" s="1"/>
  <c r="K3885" i="13" l="1"/>
  <c r="L3885" i="13" s="1"/>
  <c r="I3886" i="13" s="1"/>
  <c r="K3907" i="14"/>
  <c r="L3907" i="14" s="1"/>
  <c r="I3908" i="14" s="1"/>
  <c r="M4075" i="14"/>
  <c r="N4072" i="13"/>
  <c r="J4071" i="13" a="1"/>
  <c r="J4071" i="13" s="1"/>
  <c r="N4071" i="14"/>
  <c r="J4070" i="14" a="1"/>
  <c r="J4070" i="14" s="1"/>
  <c r="M4074" i="13"/>
  <c r="K3908" i="14" l="1"/>
  <c r="L3908" i="14" s="1"/>
  <c r="I3909" i="14" s="1"/>
  <c r="K3886" i="13"/>
  <c r="L3886" i="13" s="1"/>
  <c r="I3887" i="13" s="1"/>
  <c r="M4075" i="13"/>
  <c r="J4072" i="13" a="1"/>
  <c r="J4072" i="13" s="1"/>
  <c r="N4073" i="13"/>
  <c r="N4072" i="14"/>
  <c r="J4071" i="14" a="1"/>
  <c r="J4071" i="14" s="1"/>
  <c r="M4076" i="14"/>
  <c r="K3887" i="13" l="1"/>
  <c r="L3887" i="13" s="1"/>
  <c r="I3888" i="13" s="1"/>
  <c r="K3909" i="14"/>
  <c r="L3909" i="14" s="1"/>
  <c r="I3910" i="14" s="1"/>
  <c r="M4077" i="14"/>
  <c r="N4074" i="13"/>
  <c r="J4073" i="13" a="1"/>
  <c r="J4073" i="13" s="1"/>
  <c r="J4072" i="14" a="1"/>
  <c r="J4072" i="14" s="1"/>
  <c r="N4073" i="14"/>
  <c r="M4076" i="13"/>
  <c r="K3910" i="14" l="1"/>
  <c r="L3910" i="14" s="1"/>
  <c r="I3911" i="14" s="1"/>
  <c r="M4077" i="13"/>
  <c r="N4075" i="13"/>
  <c r="J4074" i="13" a="1"/>
  <c r="J4074" i="13" s="1"/>
  <c r="J4073" i="14" a="1"/>
  <c r="J4073" i="14" s="1"/>
  <c r="N4074" i="14"/>
  <c r="M4078" i="14"/>
  <c r="K3888" i="13"/>
  <c r="L3888" i="13" s="1"/>
  <c r="I3889" i="13" s="1"/>
  <c r="K3889" i="13" l="1"/>
  <c r="L3889" i="13" s="1"/>
  <c r="I3890" i="13" s="1"/>
  <c r="K3911" i="14"/>
  <c r="L3911" i="14" s="1"/>
  <c r="I3912" i="14" s="1"/>
  <c r="M4079" i="14"/>
  <c r="J4074" i="14" a="1"/>
  <c r="J4074" i="14" s="1"/>
  <c r="N4075" i="14"/>
  <c r="M4078" i="13"/>
  <c r="N4076" i="13"/>
  <c r="J4075" i="13" a="1"/>
  <c r="J4075" i="13" s="1"/>
  <c r="K3912" i="14" l="1"/>
  <c r="L3912" i="14" s="1"/>
  <c r="I3913" i="14" s="1"/>
  <c r="K3890" i="13"/>
  <c r="L3890" i="13" s="1"/>
  <c r="I3891" i="13" s="1"/>
  <c r="N4076" i="14"/>
  <c r="J4075" i="14" a="1"/>
  <c r="J4075" i="14" s="1"/>
  <c r="J4076" i="13" a="1"/>
  <c r="J4076" i="13" s="1"/>
  <c r="N4077" i="13"/>
  <c r="M4079" i="13"/>
  <c r="M4080" i="14"/>
  <c r="K3891" i="13" l="1"/>
  <c r="L3891" i="13" s="1"/>
  <c r="I3892" i="13" s="1"/>
  <c r="K3913" i="14"/>
  <c r="L3913" i="14" s="1"/>
  <c r="I3914" i="14" s="1"/>
  <c r="M4081" i="14"/>
  <c r="N4078" i="13"/>
  <c r="J4077" i="13" a="1"/>
  <c r="J4077" i="13" s="1"/>
  <c r="M4080" i="13"/>
  <c r="J4076" i="14" a="1"/>
  <c r="J4076" i="14" s="1"/>
  <c r="N4077" i="14"/>
  <c r="K3914" i="14" l="1"/>
  <c r="L3914" i="14" s="1"/>
  <c r="I3915" i="14" s="1"/>
  <c r="K3892" i="13"/>
  <c r="L3892" i="13" s="1"/>
  <c r="I3893" i="13" s="1"/>
  <c r="J4077" i="14" a="1"/>
  <c r="J4077" i="14" s="1"/>
  <c r="N4078" i="14"/>
  <c r="N4079" i="13"/>
  <c r="J4078" i="13" a="1"/>
  <c r="J4078" i="13" s="1"/>
  <c r="M4081" i="13"/>
  <c r="M4082" i="14"/>
  <c r="K3893" i="13" l="1"/>
  <c r="L3893" i="13" s="1"/>
  <c r="I3894" i="13" s="1"/>
  <c r="K3915" i="14"/>
  <c r="L3915" i="14" s="1"/>
  <c r="I3916" i="14" s="1"/>
  <c r="N4080" i="13"/>
  <c r="J4079" i="13" a="1"/>
  <c r="J4079" i="13" s="1"/>
  <c r="N4079" i="14"/>
  <c r="J4078" i="14" a="1"/>
  <c r="J4078" i="14" s="1"/>
  <c r="M4083" i="14"/>
  <c r="M4082" i="13"/>
  <c r="K3916" i="14" l="1"/>
  <c r="L3916" i="14" s="1"/>
  <c r="I3917" i="14" s="1"/>
  <c r="N4080" i="14"/>
  <c r="J4079" i="14" a="1"/>
  <c r="J4079" i="14" s="1"/>
  <c r="M4083" i="13"/>
  <c r="M4084" i="14"/>
  <c r="J4080" i="13" a="1"/>
  <c r="J4080" i="13" s="1"/>
  <c r="N4081" i="13"/>
  <c r="K3894" i="13"/>
  <c r="L3894" i="13" s="1"/>
  <c r="I3895" i="13" s="1"/>
  <c r="K3917" i="14" l="1"/>
  <c r="L3917" i="14" s="1"/>
  <c r="I3918" i="14" s="1"/>
  <c r="K3895" i="13"/>
  <c r="L3895" i="13" s="1"/>
  <c r="I3896" i="13" s="1"/>
  <c r="M4085" i="14"/>
  <c r="J4080" i="14" a="1"/>
  <c r="J4080" i="14" s="1"/>
  <c r="N4081" i="14"/>
  <c r="N4082" i="13"/>
  <c r="J4081" i="13" a="1"/>
  <c r="J4081" i="13" s="1"/>
  <c r="M4084" i="13"/>
  <c r="K3918" i="14" l="1"/>
  <c r="L3918" i="14" s="1"/>
  <c r="I3919" i="14" s="1"/>
  <c r="M4085" i="13"/>
  <c r="J4081" i="14" a="1"/>
  <c r="J4081" i="14" s="1"/>
  <c r="N4082" i="14"/>
  <c r="K3896" i="13"/>
  <c r="L3896" i="13" s="1"/>
  <c r="I3897" i="13" s="1"/>
  <c r="M4086" i="14"/>
  <c r="N4083" i="13"/>
  <c r="J4082" i="13" a="1"/>
  <c r="J4082" i="13" s="1"/>
  <c r="K3919" i="14" l="1"/>
  <c r="L3919" i="14" s="1"/>
  <c r="I3920" i="14" s="1"/>
  <c r="M4086" i="13"/>
  <c r="N4084" i="13"/>
  <c r="J4083" i="13" a="1"/>
  <c r="J4083" i="13" s="1"/>
  <c r="K3897" i="13"/>
  <c r="L3897" i="13" s="1"/>
  <c r="I3898" i="13" s="1"/>
  <c r="M4087" i="14"/>
  <c r="N4083" i="14"/>
  <c r="J4082" i="14" a="1"/>
  <c r="J4082" i="14" s="1"/>
  <c r="K3920" i="14" l="1"/>
  <c r="L3920" i="14" s="1"/>
  <c r="I3921" i="14" s="1"/>
  <c r="M4087" i="13"/>
  <c r="K3898" i="13"/>
  <c r="L3898" i="13" s="1"/>
  <c r="I3899" i="13" s="1"/>
  <c r="N4084" i="14"/>
  <c r="J4083" i="14" a="1"/>
  <c r="J4083" i="14" s="1"/>
  <c r="M4088" i="14"/>
  <c r="J4084" i="13" a="1"/>
  <c r="J4084" i="13" s="1"/>
  <c r="N4085" i="13"/>
  <c r="K3899" i="13" l="1"/>
  <c r="L3899" i="13" s="1"/>
  <c r="I3900" i="13" s="1"/>
  <c r="K3921" i="14"/>
  <c r="L3921" i="14" s="1"/>
  <c r="I3922" i="14" s="1"/>
  <c r="N4086" i="13"/>
  <c r="J4085" i="13" a="1"/>
  <c r="J4085" i="13" s="1"/>
  <c r="J4084" i="14" a="1"/>
  <c r="J4084" i="14" s="1"/>
  <c r="N4085" i="14"/>
  <c r="M4088" i="13"/>
  <c r="M4089" i="14"/>
  <c r="M4090" i="14" l="1"/>
  <c r="M4089" i="13"/>
  <c r="J4085" i="14" a="1"/>
  <c r="J4085" i="14" s="1"/>
  <c r="N4086" i="14"/>
  <c r="K3922" i="14"/>
  <c r="L3922" i="14" s="1"/>
  <c r="I3923" i="14" s="1"/>
  <c r="N4087" i="13"/>
  <c r="J4086" i="13" a="1"/>
  <c r="J4086" i="13" s="1"/>
  <c r="K3900" i="13"/>
  <c r="L3900" i="13" s="1"/>
  <c r="I3901" i="13" s="1"/>
  <c r="K3901" i="13" l="1"/>
  <c r="L3901" i="13" s="1"/>
  <c r="I3902" i="13" s="1"/>
  <c r="K3923" i="14"/>
  <c r="L3923" i="14" s="1"/>
  <c r="I3924" i="14" s="1"/>
  <c r="M4090" i="13"/>
  <c r="N4087" i="14"/>
  <c r="J4086" i="14" a="1"/>
  <c r="J4086" i="14" s="1"/>
  <c r="M4091" i="14"/>
  <c r="N4088" i="13"/>
  <c r="J4087" i="13" a="1"/>
  <c r="J4087" i="13" s="1"/>
  <c r="K3924" i="14" l="1"/>
  <c r="L3924" i="14" s="1"/>
  <c r="I3925" i="14" s="1"/>
  <c r="K3902" i="13"/>
  <c r="L3902" i="13" s="1"/>
  <c r="I3903" i="13" s="1"/>
  <c r="J4088" i="13" a="1"/>
  <c r="J4088" i="13" s="1"/>
  <c r="N4089" i="13"/>
  <c r="N4088" i="14"/>
  <c r="J4087" i="14" a="1"/>
  <c r="J4087" i="14" s="1"/>
  <c r="M4091" i="13"/>
  <c r="M4092" i="14"/>
  <c r="K3903" i="13" l="1"/>
  <c r="L3903" i="13" s="1"/>
  <c r="I3904" i="13" s="1"/>
  <c r="K3925" i="14"/>
  <c r="L3925" i="14" s="1"/>
  <c r="I3926" i="14" s="1"/>
  <c r="J4088" i="14" a="1"/>
  <c r="J4088" i="14" s="1"/>
  <c r="N4089" i="14"/>
  <c r="M4093" i="14"/>
  <c r="N4090" i="13"/>
  <c r="J4089" i="13" a="1"/>
  <c r="J4089" i="13" s="1"/>
  <c r="M4092" i="13"/>
  <c r="K3904" i="13" l="1"/>
  <c r="L3904" i="13" s="1"/>
  <c r="I3905" i="13" s="1"/>
  <c r="N4091" i="13"/>
  <c r="J4090" i="13" a="1"/>
  <c r="J4090" i="13" s="1"/>
  <c r="M4094" i="14"/>
  <c r="M4093" i="13"/>
  <c r="K3926" i="14"/>
  <c r="L3926" i="14" s="1"/>
  <c r="I3927" i="14" s="1"/>
  <c r="J4089" i="14" a="1"/>
  <c r="J4089" i="14" s="1"/>
  <c r="N4090" i="14"/>
  <c r="K3905" i="13" l="1"/>
  <c r="L3905" i="13" s="1"/>
  <c r="I3906" i="13" s="1"/>
  <c r="J4090" i="14" a="1"/>
  <c r="J4090" i="14" s="1"/>
  <c r="N4091" i="14"/>
  <c r="M4094" i="13"/>
  <c r="N4092" i="13"/>
  <c r="J4091" i="13" a="1"/>
  <c r="J4091" i="13" s="1"/>
  <c r="M4095" i="14"/>
  <c r="K3927" i="14"/>
  <c r="L3927" i="14" s="1"/>
  <c r="I3928" i="14" s="1"/>
  <c r="K3928" i="14" l="1"/>
  <c r="L3928" i="14" s="1"/>
  <c r="I3929" i="14" s="1"/>
  <c r="K3906" i="13"/>
  <c r="L3906" i="13" s="1"/>
  <c r="I3907" i="13" s="1"/>
  <c r="J4092" i="13" a="1"/>
  <c r="J4092" i="13" s="1"/>
  <c r="N4093" i="13"/>
  <c r="M4095" i="13"/>
  <c r="N4092" i="14"/>
  <c r="J4091" i="14" a="1"/>
  <c r="J4091" i="14" s="1"/>
  <c r="M4096" i="14"/>
  <c r="K3929" i="14" l="1"/>
  <c r="L3929" i="14" s="1"/>
  <c r="I3930" i="14" s="1"/>
  <c r="K3907" i="13"/>
  <c r="L3907" i="13" s="1"/>
  <c r="I3908" i="13" s="1"/>
  <c r="N4094" i="13"/>
  <c r="J4093" i="13" a="1"/>
  <c r="J4093" i="13" s="1"/>
  <c r="J4092" i="14" a="1"/>
  <c r="J4092" i="14" s="1"/>
  <c r="N4093" i="14"/>
  <c r="M4097" i="14"/>
  <c r="M4096" i="13"/>
  <c r="K3930" i="14" l="1"/>
  <c r="L3930" i="14" s="1"/>
  <c r="I3931" i="14" s="1"/>
  <c r="M4097" i="13"/>
  <c r="J4093" i="14" a="1"/>
  <c r="J4093" i="14" s="1"/>
  <c r="N4094" i="14"/>
  <c r="K3908" i="13"/>
  <c r="L3908" i="13" s="1"/>
  <c r="I3909" i="13" s="1"/>
  <c r="M4098" i="14"/>
  <c r="N4095" i="13"/>
  <c r="J4094" i="13" a="1"/>
  <c r="J4094" i="13" s="1"/>
  <c r="K3931" i="14" l="1"/>
  <c r="L3931" i="14" s="1"/>
  <c r="I3932" i="14" s="1"/>
  <c r="N4095" i="14"/>
  <c r="J4094" i="14" a="1"/>
  <c r="J4094" i="14" s="1"/>
  <c r="M4098" i="13"/>
  <c r="K3909" i="13"/>
  <c r="L3909" i="13" s="1"/>
  <c r="I3910" i="13" s="1"/>
  <c r="M4099" i="14"/>
  <c r="N4096" i="13"/>
  <c r="J4095" i="13" a="1"/>
  <c r="J4095" i="13" s="1"/>
  <c r="K3910" i="13" l="1"/>
  <c r="L3910" i="13" s="1"/>
  <c r="I3911" i="13" s="1"/>
  <c r="K3932" i="14"/>
  <c r="L3932" i="14" s="1"/>
  <c r="I3933" i="14" s="1"/>
  <c r="J4096" i="13" a="1"/>
  <c r="J4096" i="13" s="1"/>
  <c r="N4097" i="13"/>
  <c r="N4096" i="14"/>
  <c r="J4095" i="14" a="1"/>
  <c r="J4095" i="14" s="1"/>
  <c r="M4099" i="13"/>
  <c r="M4100" i="14"/>
  <c r="M4100" i="13" l="1"/>
  <c r="J4096" i="14" a="1"/>
  <c r="J4096" i="14" s="1"/>
  <c r="N4097" i="14"/>
  <c r="K3933" i="14"/>
  <c r="L3933" i="14" s="1"/>
  <c r="I3934" i="14" s="1"/>
  <c r="M4101" i="14"/>
  <c r="N4098" i="13"/>
  <c r="J4097" i="13" a="1"/>
  <c r="J4097" i="13" s="1"/>
  <c r="K3911" i="13"/>
  <c r="L3911" i="13" s="1"/>
  <c r="I3912" i="13" s="1"/>
  <c r="K3912" i="13" l="1"/>
  <c r="L3912" i="13" s="1"/>
  <c r="I3913" i="13" s="1"/>
  <c r="M4102" i="14"/>
  <c r="J4097" i="14" a="1"/>
  <c r="J4097" i="14" s="1"/>
  <c r="N4098" i="14"/>
  <c r="M4101" i="13"/>
  <c r="N4099" i="13"/>
  <c r="J4098" i="13" a="1"/>
  <c r="J4098" i="13" s="1"/>
  <c r="K3934" i="14"/>
  <c r="L3934" i="14" s="1"/>
  <c r="I3935" i="14" s="1"/>
  <c r="K3913" i="13" l="1"/>
  <c r="L3913" i="13" s="1"/>
  <c r="I3914" i="13" s="1"/>
  <c r="K3935" i="14"/>
  <c r="L3935" i="14" s="1"/>
  <c r="I3936" i="14" s="1"/>
  <c r="N4100" i="13"/>
  <c r="J4099" i="13" a="1"/>
  <c r="J4099" i="13" s="1"/>
  <c r="M4102" i="13"/>
  <c r="M4103" i="14"/>
  <c r="N4099" i="14"/>
  <c r="J4098" i="14" a="1"/>
  <c r="J4098" i="14" s="1"/>
  <c r="K3914" i="13" l="1"/>
  <c r="L3914" i="13" s="1"/>
  <c r="I3915" i="13" s="1"/>
  <c r="M4103" i="13"/>
  <c r="N4100" i="14"/>
  <c r="J4099" i="14" a="1"/>
  <c r="J4099" i="14" s="1"/>
  <c r="K3936" i="14"/>
  <c r="L3936" i="14" s="1"/>
  <c r="I3937" i="14" s="1"/>
  <c r="M4104" i="14"/>
  <c r="J4100" i="13" a="1"/>
  <c r="J4100" i="13" s="1"/>
  <c r="N4101" i="13"/>
  <c r="K3915" i="13" l="1"/>
  <c r="L3915" i="13" s="1"/>
  <c r="I3916" i="13" s="1"/>
  <c r="K3937" i="14"/>
  <c r="L3937" i="14" s="1"/>
  <c r="I3938" i="14" s="1"/>
  <c r="N4102" i="13"/>
  <c r="J4101" i="13" a="1"/>
  <c r="J4101" i="13" s="1"/>
  <c r="M4104" i="13"/>
  <c r="M4105" i="14"/>
  <c r="J4100" i="14" a="1"/>
  <c r="J4100" i="14" s="1"/>
  <c r="N4101" i="14"/>
  <c r="K3916" i="13" l="1"/>
  <c r="L3916" i="13" s="1"/>
  <c r="I3917" i="13" s="1"/>
  <c r="K3938" i="14"/>
  <c r="L3938" i="14" s="1"/>
  <c r="I3939" i="14" s="1"/>
  <c r="J4101" i="14" a="1"/>
  <c r="J4101" i="14" s="1"/>
  <c r="N4102" i="14"/>
  <c r="M4105" i="13"/>
  <c r="M4106" i="14"/>
  <c r="J4102" i="13" a="1"/>
  <c r="J4102" i="13" s="1"/>
  <c r="N4103" i="13"/>
  <c r="K3939" i="14" l="1"/>
  <c r="L3939" i="14" s="1"/>
  <c r="I3940" i="14" s="1"/>
  <c r="K3917" i="13"/>
  <c r="L3917" i="13" s="1"/>
  <c r="I3918" i="13" s="1"/>
  <c r="N4104" i="13"/>
  <c r="J4103" i="13" a="1"/>
  <c r="J4103" i="13" s="1"/>
  <c r="M4106" i="13"/>
  <c r="M4107" i="14"/>
  <c r="N4103" i="14"/>
  <c r="J4102" i="14" a="1"/>
  <c r="J4102" i="14" s="1"/>
  <c r="K3918" i="13" l="1"/>
  <c r="L3918" i="13" s="1"/>
  <c r="I3919" i="13" s="1"/>
  <c r="K3940" i="14"/>
  <c r="L3940" i="14" s="1"/>
  <c r="I3941" i="14" s="1"/>
  <c r="M4107" i="13"/>
  <c r="N4104" i="14"/>
  <c r="J4103" i="14" a="1"/>
  <c r="J4103" i="14" s="1"/>
  <c r="M4108" i="14"/>
  <c r="J4104" i="13" a="1"/>
  <c r="J4104" i="13" s="1"/>
  <c r="N4105" i="13"/>
  <c r="K3941" i="14" l="1"/>
  <c r="L3941" i="14" s="1"/>
  <c r="I3942" i="14" s="1"/>
  <c r="K3919" i="13"/>
  <c r="L3919" i="13" s="1"/>
  <c r="I3920" i="13" s="1"/>
  <c r="N4106" i="13"/>
  <c r="J4105" i="13" a="1"/>
  <c r="J4105" i="13" s="1"/>
  <c r="J4104" i="14" a="1"/>
  <c r="J4104" i="14" s="1"/>
  <c r="N4105" i="14"/>
  <c r="M4109" i="14"/>
  <c r="M4108" i="13"/>
  <c r="K3920" i="13" l="1"/>
  <c r="L3920" i="13" s="1"/>
  <c r="I3921" i="13" s="1"/>
  <c r="K3942" i="14"/>
  <c r="L3942" i="14" s="1"/>
  <c r="I3943" i="14" s="1"/>
  <c r="M4109" i="13"/>
  <c r="J4105" i="14" a="1"/>
  <c r="J4105" i="14" s="1"/>
  <c r="N4106" i="14"/>
  <c r="M4110" i="14"/>
  <c r="J4106" i="13" a="1"/>
  <c r="J4106" i="13" s="1"/>
  <c r="N4107" i="13"/>
  <c r="K3943" i="14" l="1"/>
  <c r="L3943" i="14" s="1"/>
  <c r="I3944" i="14" s="1"/>
  <c r="K3921" i="13"/>
  <c r="L3921" i="13" s="1"/>
  <c r="I3922" i="13" s="1"/>
  <c r="N4108" i="13"/>
  <c r="J4107" i="13" a="1"/>
  <c r="J4107" i="13" s="1"/>
  <c r="J4106" i="14" a="1"/>
  <c r="J4106" i="14" s="1"/>
  <c r="N4107" i="14"/>
  <c r="M4111" i="14"/>
  <c r="M4110" i="13"/>
  <c r="K3922" i="13" l="1"/>
  <c r="L3922" i="13" s="1"/>
  <c r="I3923" i="13" s="1"/>
  <c r="K3944" i="14"/>
  <c r="L3944" i="14" s="1"/>
  <c r="I3945" i="14" s="1"/>
  <c r="N4108" i="14"/>
  <c r="J4107" i="14" a="1"/>
  <c r="J4107" i="14" s="1"/>
  <c r="M4111" i="13"/>
  <c r="M4112" i="14"/>
  <c r="J4108" i="13" a="1"/>
  <c r="J4108" i="13" s="1"/>
  <c r="N4109" i="13"/>
  <c r="K3945" i="14" l="1"/>
  <c r="L3945" i="14" s="1"/>
  <c r="I3946" i="14" s="1"/>
  <c r="K3923" i="13"/>
  <c r="L3923" i="13" s="1"/>
  <c r="I3924" i="13" s="1"/>
  <c r="N4110" i="13"/>
  <c r="J4109" i="13" a="1"/>
  <c r="J4109" i="13" s="1"/>
  <c r="M4112" i="13"/>
  <c r="M4113" i="14"/>
  <c r="J4108" i="14" a="1"/>
  <c r="J4108" i="14" s="1"/>
  <c r="N4109" i="14"/>
  <c r="K3924" i="13" l="1"/>
  <c r="L3924" i="13" s="1"/>
  <c r="I3925" i="13" s="1"/>
  <c r="K3946" i="14"/>
  <c r="L3946" i="14" s="1"/>
  <c r="I3947" i="14" s="1"/>
  <c r="J4109" i="14" a="1"/>
  <c r="J4109" i="14" s="1"/>
  <c r="N4110" i="14"/>
  <c r="M4113" i="13"/>
  <c r="M4114" i="14"/>
  <c r="J4110" i="13" a="1"/>
  <c r="J4110" i="13" s="1"/>
  <c r="N4111" i="13"/>
  <c r="K3947" i="14" l="1"/>
  <c r="L3947" i="14" s="1"/>
  <c r="I3948" i="14" s="1"/>
  <c r="K3925" i="13"/>
  <c r="L3925" i="13" s="1"/>
  <c r="I3926" i="13" s="1"/>
  <c r="N4112" i="13"/>
  <c r="J4111" i="13" a="1"/>
  <c r="J4111" i="13" s="1"/>
  <c r="M4114" i="13"/>
  <c r="M4115" i="14"/>
  <c r="N4111" i="14"/>
  <c r="J4110" i="14" a="1"/>
  <c r="J4110" i="14" s="1"/>
  <c r="K3926" i="13" l="1"/>
  <c r="L3926" i="13" s="1"/>
  <c r="I3927" i="13" s="1"/>
  <c r="K3948" i="14"/>
  <c r="L3948" i="14" s="1"/>
  <c r="I3949" i="14" s="1"/>
  <c r="M4115" i="13"/>
  <c r="N4112" i="14"/>
  <c r="J4111" i="14" a="1"/>
  <c r="J4111" i="14" s="1"/>
  <c r="M4116" i="14"/>
  <c r="J4112" i="13" a="1"/>
  <c r="J4112" i="13" s="1"/>
  <c r="N4113" i="13"/>
  <c r="K3949" i="14" l="1"/>
  <c r="L3949" i="14" s="1"/>
  <c r="I3950" i="14" s="1"/>
  <c r="K3927" i="13"/>
  <c r="L3927" i="13" s="1"/>
  <c r="I3928" i="13" s="1"/>
  <c r="N4114" i="13"/>
  <c r="J4113" i="13" a="1"/>
  <c r="J4113" i="13" s="1"/>
  <c r="J4112" i="14" a="1"/>
  <c r="J4112" i="14" s="1"/>
  <c r="N4113" i="14"/>
  <c r="M4117" i="14"/>
  <c r="M4116" i="13"/>
  <c r="K3950" i="14" l="1"/>
  <c r="L3950" i="14" s="1"/>
  <c r="I3951" i="14" s="1"/>
  <c r="J4113" i="14" a="1"/>
  <c r="J4113" i="14" s="1"/>
  <c r="N4114" i="14"/>
  <c r="K3928" i="13"/>
  <c r="L3928" i="13" s="1"/>
  <c r="I3929" i="13" s="1"/>
  <c r="M4117" i="13"/>
  <c r="M4118" i="14"/>
  <c r="J4114" i="13" a="1"/>
  <c r="J4114" i="13" s="1"/>
  <c r="N4115" i="13"/>
  <c r="K3929" i="13" l="1"/>
  <c r="L3929" i="13" s="1"/>
  <c r="I3930" i="13" s="1"/>
  <c r="K3951" i="14"/>
  <c r="L3951" i="14" s="1"/>
  <c r="I3952" i="14" s="1"/>
  <c r="N4116" i="13"/>
  <c r="J4115" i="13" a="1"/>
  <c r="J4115" i="13" s="1"/>
  <c r="N4115" i="14"/>
  <c r="J4114" i="14" a="1"/>
  <c r="J4114" i="14" s="1"/>
  <c r="M4118" i="13"/>
  <c r="M4119" i="14"/>
  <c r="K3952" i="14" l="1"/>
  <c r="L3952" i="14" s="1"/>
  <c r="I3953" i="14" s="1"/>
  <c r="K3930" i="13"/>
  <c r="L3930" i="13" s="1"/>
  <c r="I3931" i="13" s="1"/>
  <c r="N4116" i="14"/>
  <c r="J4115" i="14" a="1"/>
  <c r="J4115" i="14" s="1"/>
  <c r="M4119" i="13"/>
  <c r="M4120" i="14"/>
  <c r="J4116" i="13" a="1"/>
  <c r="J4116" i="13" s="1"/>
  <c r="N4117" i="13"/>
  <c r="K3931" i="13" l="1"/>
  <c r="L3931" i="13" s="1"/>
  <c r="I3932" i="13" s="1"/>
  <c r="K3953" i="14"/>
  <c r="L3953" i="14" s="1"/>
  <c r="I3954" i="14" s="1"/>
  <c r="N4118" i="13"/>
  <c r="J4117" i="13" a="1"/>
  <c r="J4117" i="13" s="1"/>
  <c r="M4120" i="13"/>
  <c r="M4121" i="14"/>
  <c r="J4116" i="14" a="1"/>
  <c r="J4116" i="14" s="1"/>
  <c r="N4117" i="14"/>
  <c r="K3954" i="14" l="1"/>
  <c r="L3954" i="14" s="1"/>
  <c r="I3955" i="14" s="1"/>
  <c r="K3932" i="13"/>
  <c r="L3932" i="13" s="1"/>
  <c r="I3933" i="13" s="1"/>
  <c r="J4117" i="14" a="1"/>
  <c r="J4117" i="14" s="1"/>
  <c r="N4118" i="14"/>
  <c r="M4121" i="13"/>
  <c r="M4122" i="14"/>
  <c r="J4118" i="13" a="1"/>
  <c r="J4118" i="13" s="1"/>
  <c r="N4119" i="13"/>
  <c r="K3933" i="13" l="1"/>
  <c r="L3933" i="13" s="1"/>
  <c r="I3934" i="13" s="1"/>
  <c r="K3955" i="14"/>
  <c r="L3955" i="14" s="1"/>
  <c r="I3956" i="14" s="1"/>
  <c r="N4120" i="13"/>
  <c r="J4119" i="13" a="1"/>
  <c r="J4119" i="13" s="1"/>
  <c r="M4122" i="13"/>
  <c r="M4123" i="14"/>
  <c r="N4119" i="14"/>
  <c r="J4118" i="14" a="1"/>
  <c r="J4118" i="14" s="1"/>
  <c r="K3956" i="14" l="1"/>
  <c r="L3956" i="14" s="1"/>
  <c r="I3957" i="14" s="1"/>
  <c r="K3934" i="13"/>
  <c r="L3934" i="13" s="1"/>
  <c r="I3935" i="13" s="1"/>
  <c r="M4123" i="13"/>
  <c r="N4120" i="14"/>
  <c r="J4119" i="14" a="1"/>
  <c r="J4119" i="14" s="1"/>
  <c r="M4124" i="14"/>
  <c r="J4120" i="13" a="1"/>
  <c r="J4120" i="13" s="1"/>
  <c r="N4121" i="13"/>
  <c r="K3935" i="13" l="1"/>
  <c r="L3935" i="13" s="1"/>
  <c r="I3936" i="13" s="1"/>
  <c r="K3957" i="14"/>
  <c r="L3957" i="14" s="1"/>
  <c r="I3958" i="14" s="1"/>
  <c r="N4122" i="13"/>
  <c r="J4121" i="13" a="1"/>
  <c r="J4121" i="13" s="1"/>
  <c r="J4120" i="14" a="1"/>
  <c r="J4120" i="14" s="1"/>
  <c r="N4121" i="14"/>
  <c r="M4125" i="14"/>
  <c r="M4124" i="13"/>
  <c r="K3958" i="14" l="1"/>
  <c r="L3958" i="14" s="1"/>
  <c r="I3959" i="14" s="1"/>
  <c r="K3936" i="13"/>
  <c r="L3936" i="13" s="1"/>
  <c r="I3937" i="13" s="1"/>
  <c r="J4121" i="14" a="1"/>
  <c r="J4121" i="14" s="1"/>
  <c r="N4122" i="14"/>
  <c r="M4125" i="13"/>
  <c r="M4126" i="14"/>
  <c r="J4122" i="13" a="1"/>
  <c r="J4122" i="13" s="1"/>
  <c r="N4123" i="13"/>
  <c r="K3937" i="13" l="1"/>
  <c r="L3937" i="13" s="1"/>
  <c r="I3938" i="13" s="1"/>
  <c r="K3959" i="14"/>
  <c r="L3959" i="14" s="1"/>
  <c r="I3960" i="14" s="1"/>
  <c r="N4124" i="13"/>
  <c r="J4123" i="13" a="1"/>
  <c r="J4123" i="13" s="1"/>
  <c r="M4126" i="13"/>
  <c r="M4127" i="14"/>
  <c r="J4122" i="14" a="1"/>
  <c r="J4122" i="14" s="1"/>
  <c r="N4123" i="14"/>
  <c r="K3960" i="14" l="1"/>
  <c r="L3960" i="14" s="1"/>
  <c r="I3961" i="14" s="1"/>
  <c r="K3938" i="13"/>
  <c r="L3938" i="13" s="1"/>
  <c r="I3939" i="13" s="1"/>
  <c r="N4124" i="14"/>
  <c r="J4123" i="14" a="1"/>
  <c r="J4123" i="14" s="1"/>
  <c r="M4127" i="13"/>
  <c r="M4128" i="14"/>
  <c r="J4124" i="13" a="1"/>
  <c r="J4124" i="13" s="1"/>
  <c r="N4125" i="13"/>
  <c r="K3939" i="13" l="1"/>
  <c r="L3939" i="13" s="1"/>
  <c r="I3940" i="13" s="1"/>
  <c r="K3961" i="14"/>
  <c r="L3961" i="14" s="1"/>
  <c r="I3962" i="14" s="1"/>
  <c r="N4126" i="13"/>
  <c r="J4125" i="13" a="1"/>
  <c r="J4125" i="13" s="1"/>
  <c r="M4128" i="13"/>
  <c r="M4129" i="14"/>
  <c r="J4124" i="14" a="1"/>
  <c r="J4124" i="14" s="1"/>
  <c r="N4125" i="14"/>
  <c r="K3962" i="14" l="1"/>
  <c r="L3962" i="14" s="1"/>
  <c r="I3963" i="14" s="1"/>
  <c r="K3940" i="13"/>
  <c r="L3940" i="13" s="1"/>
  <c r="I3941" i="13" s="1"/>
  <c r="J4125" i="14" a="1"/>
  <c r="J4125" i="14" s="1"/>
  <c r="N4126" i="14"/>
  <c r="M4129" i="13"/>
  <c r="M4130" i="14"/>
  <c r="J4126" i="13" a="1"/>
  <c r="J4126" i="13" s="1"/>
  <c r="N4127" i="13"/>
  <c r="K3941" i="13" l="1"/>
  <c r="L3941" i="13" s="1"/>
  <c r="I3942" i="13" s="1"/>
  <c r="K3963" i="14"/>
  <c r="L3963" i="14" s="1"/>
  <c r="I3964" i="14" s="1"/>
  <c r="N4128" i="13"/>
  <c r="J4127" i="13" a="1"/>
  <c r="J4127" i="13" s="1"/>
  <c r="M4130" i="13"/>
  <c r="M4131" i="14"/>
  <c r="N4127" i="14"/>
  <c r="J4126" i="14" a="1"/>
  <c r="J4126" i="14" s="1"/>
  <c r="K3964" i="14" l="1"/>
  <c r="L3964" i="14" s="1"/>
  <c r="I3965" i="14" s="1"/>
  <c r="K3942" i="13"/>
  <c r="L3942" i="13" s="1"/>
  <c r="I3943" i="13" s="1"/>
  <c r="M4131" i="13"/>
  <c r="N4128" i="14"/>
  <c r="J4127" i="14" a="1"/>
  <c r="J4127" i="14" s="1"/>
  <c r="M4132" i="14"/>
  <c r="J4128" i="13" a="1"/>
  <c r="J4128" i="13" s="1"/>
  <c r="N4129" i="13"/>
  <c r="K3943" i="13" l="1"/>
  <c r="L3943" i="13" s="1"/>
  <c r="I3944" i="13" s="1"/>
  <c r="K3965" i="14"/>
  <c r="L3965" i="14" s="1"/>
  <c r="I3966" i="14" s="1"/>
  <c r="N4130" i="13"/>
  <c r="J4129" i="13" a="1"/>
  <c r="J4129" i="13" s="1"/>
  <c r="J4128" i="14" a="1"/>
  <c r="J4128" i="14" s="1"/>
  <c r="N4129" i="14"/>
  <c r="M4133" i="14"/>
  <c r="M4132" i="13"/>
  <c r="K3966" i="14" l="1"/>
  <c r="L3966" i="14" s="1"/>
  <c r="I3967" i="14" s="1"/>
  <c r="K3944" i="13"/>
  <c r="L3944" i="13" s="1"/>
  <c r="I3945" i="13" s="1"/>
  <c r="J4129" i="14" a="1"/>
  <c r="J4129" i="14" s="1"/>
  <c r="N4130" i="14"/>
  <c r="M4133" i="13"/>
  <c r="M4134" i="14"/>
  <c r="J4130" i="13" a="1"/>
  <c r="J4130" i="13" s="1"/>
  <c r="N4131" i="13"/>
  <c r="K3945" i="13" l="1"/>
  <c r="L3945" i="13" s="1"/>
  <c r="I3946" i="13" s="1"/>
  <c r="K3967" i="14"/>
  <c r="L3967" i="14" s="1"/>
  <c r="I3968" i="14" s="1"/>
  <c r="N4132" i="13"/>
  <c r="J4131" i="13" a="1"/>
  <c r="J4131" i="13" s="1"/>
  <c r="M4134" i="13"/>
  <c r="M4135" i="14"/>
  <c r="N4131" i="14"/>
  <c r="J4130" i="14" a="1"/>
  <c r="J4130" i="14" s="1"/>
  <c r="K3968" i="14" l="1"/>
  <c r="L3968" i="14" s="1"/>
  <c r="I3969" i="14" s="1"/>
  <c r="K3946" i="13"/>
  <c r="L3946" i="13" s="1"/>
  <c r="I3947" i="13" s="1"/>
  <c r="M4135" i="13"/>
  <c r="N4132" i="14"/>
  <c r="J4131" i="14" a="1"/>
  <c r="J4131" i="14" s="1"/>
  <c r="M4136" i="14"/>
  <c r="J4132" i="13" a="1"/>
  <c r="J4132" i="13" s="1"/>
  <c r="N4133" i="13"/>
  <c r="K3969" i="14" l="1"/>
  <c r="L3969" i="14" s="1"/>
  <c r="I3970" i="14" s="1"/>
  <c r="N4134" i="13"/>
  <c r="J4133" i="13" a="1"/>
  <c r="J4133" i="13" s="1"/>
  <c r="K3947" i="13"/>
  <c r="L3947" i="13" s="1"/>
  <c r="I3948" i="13" s="1"/>
  <c r="J4132" i="14" a="1"/>
  <c r="J4132" i="14" s="1"/>
  <c r="N4133" i="14"/>
  <c r="M4137" i="14"/>
  <c r="M4136" i="13"/>
  <c r="K3948" i="13" l="1"/>
  <c r="L3948" i="13" s="1"/>
  <c r="I3949" i="13" s="1"/>
  <c r="K3970" i="14"/>
  <c r="L3970" i="14" s="1"/>
  <c r="I3971" i="14" s="1"/>
  <c r="J4133" i="14" a="1"/>
  <c r="J4133" i="14" s="1"/>
  <c r="N4134" i="14"/>
  <c r="J4134" i="13" a="1"/>
  <c r="J4134" i="13" s="1"/>
  <c r="N4135" i="13"/>
  <c r="M4137" i="13"/>
  <c r="M4138" i="14"/>
  <c r="K3971" i="14" l="1"/>
  <c r="L3971" i="14" s="1"/>
  <c r="I3972" i="14" s="1"/>
  <c r="K3949" i="13"/>
  <c r="L3949" i="13" s="1"/>
  <c r="I3950" i="13" s="1"/>
  <c r="M4139" i="14"/>
  <c r="N4136" i="13"/>
  <c r="J4135" i="13" a="1"/>
  <c r="J4135" i="13" s="1"/>
  <c r="N4135" i="14"/>
  <c r="J4134" i="14" a="1"/>
  <c r="J4134" i="14" s="1"/>
  <c r="M4138" i="13"/>
  <c r="K3950" i="13" l="1"/>
  <c r="L3950" i="13" s="1"/>
  <c r="I3951" i="13" s="1"/>
  <c r="K3972" i="14"/>
  <c r="L3972" i="14" s="1"/>
  <c r="I3973" i="14" s="1"/>
  <c r="J4136" i="13" a="1"/>
  <c r="J4136" i="13" s="1"/>
  <c r="N4137" i="13"/>
  <c r="M4139" i="13"/>
  <c r="N4136" i="14"/>
  <c r="J4135" i="14" a="1"/>
  <c r="J4135" i="14" s="1"/>
  <c r="M4140" i="14"/>
  <c r="K3973" i="14" l="1"/>
  <c r="L3973" i="14" s="1"/>
  <c r="I3974" i="14" s="1"/>
  <c r="K3951" i="13"/>
  <c r="L3951" i="13" s="1"/>
  <c r="I3952" i="13" s="1"/>
  <c r="M4141" i="14"/>
  <c r="M4140" i="13"/>
  <c r="N4138" i="13"/>
  <c r="J4137" i="13" a="1"/>
  <c r="J4137" i="13" s="1"/>
  <c r="J4136" i="14" a="1"/>
  <c r="J4136" i="14" s="1"/>
  <c r="N4137" i="14"/>
  <c r="K3952" i="13" l="1"/>
  <c r="L3952" i="13" s="1"/>
  <c r="I3953" i="13" s="1"/>
  <c r="K3974" i="14"/>
  <c r="L3974" i="14" s="1"/>
  <c r="I3975" i="14" s="1"/>
  <c r="J4137" i="14" a="1"/>
  <c r="J4137" i="14" s="1"/>
  <c r="N4138" i="14"/>
  <c r="M4141" i="13"/>
  <c r="M4142" i="14"/>
  <c r="J4138" i="13" a="1"/>
  <c r="J4138" i="13" s="1"/>
  <c r="N4139" i="13"/>
  <c r="K3975" i="14" l="1"/>
  <c r="L3975" i="14" s="1"/>
  <c r="I3976" i="14" s="1"/>
  <c r="K3953" i="13"/>
  <c r="L3953" i="13" s="1"/>
  <c r="I3954" i="13" s="1"/>
  <c r="N4140" i="13"/>
  <c r="J4139" i="13" a="1"/>
  <c r="J4139" i="13" s="1"/>
  <c r="M4142" i="13"/>
  <c r="M4143" i="14"/>
  <c r="J4138" i="14" a="1"/>
  <c r="J4138" i="14" s="1"/>
  <c r="N4139" i="14"/>
  <c r="K3954" i="13" l="1"/>
  <c r="L3954" i="13" s="1"/>
  <c r="I3955" i="13" s="1"/>
  <c r="K3976" i="14"/>
  <c r="L3976" i="14" s="1"/>
  <c r="I3977" i="14" s="1"/>
  <c r="N4140" i="14"/>
  <c r="J4139" i="14" a="1"/>
  <c r="J4139" i="14" s="1"/>
  <c r="M4143" i="13"/>
  <c r="M4144" i="14"/>
  <c r="J4140" i="13" a="1"/>
  <c r="J4140" i="13" s="1"/>
  <c r="N4141" i="13"/>
  <c r="K3977" i="14" l="1"/>
  <c r="L3977" i="14" s="1"/>
  <c r="I3978" i="14" s="1"/>
  <c r="K3955" i="13"/>
  <c r="L3955" i="13" s="1"/>
  <c r="I3956" i="13" s="1"/>
  <c r="M4144" i="13"/>
  <c r="N4142" i="13"/>
  <c r="J4141" i="13" a="1"/>
  <c r="J4141" i="13" s="1"/>
  <c r="M4145" i="14"/>
  <c r="J4140" i="14" a="1"/>
  <c r="J4140" i="14" s="1"/>
  <c r="N4141" i="14"/>
  <c r="K3956" i="13" l="1"/>
  <c r="L3956" i="13" s="1"/>
  <c r="I3957" i="13" s="1"/>
  <c r="K3978" i="14"/>
  <c r="L3978" i="14" s="1"/>
  <c r="I3979" i="14" s="1"/>
  <c r="J4142" i="13" a="1"/>
  <c r="J4142" i="13" s="1"/>
  <c r="N4143" i="13"/>
  <c r="J4141" i="14" a="1"/>
  <c r="J4141" i="14" s="1"/>
  <c r="N4142" i="14"/>
  <c r="M4145" i="13"/>
  <c r="M4146" i="14"/>
  <c r="K3979" i="14" l="1"/>
  <c r="L3979" i="14" s="1"/>
  <c r="I3980" i="14" s="1"/>
  <c r="K3957" i="13"/>
  <c r="L3957" i="13" s="1"/>
  <c r="I3958" i="13" s="1"/>
  <c r="N4143" i="14"/>
  <c r="J4142" i="14" a="1"/>
  <c r="J4142" i="14" s="1"/>
  <c r="M4147" i="14"/>
  <c r="N4144" i="13"/>
  <c r="J4143" i="13" a="1"/>
  <c r="J4143" i="13" s="1"/>
  <c r="M4146" i="13"/>
  <c r="K3958" i="13" l="1"/>
  <c r="L3958" i="13" s="1"/>
  <c r="I3959" i="13" s="1"/>
  <c r="K3980" i="14"/>
  <c r="L3980" i="14" s="1"/>
  <c r="I3981" i="14" s="1"/>
  <c r="M4147" i="13"/>
  <c r="M4148" i="14"/>
  <c r="J4144" i="13" a="1"/>
  <c r="J4144" i="13" s="1"/>
  <c r="N4145" i="13"/>
  <c r="N4144" i="14"/>
  <c r="J4143" i="14" a="1"/>
  <c r="J4143" i="14" s="1"/>
  <c r="K3981" i="14" l="1"/>
  <c r="L3981" i="14" s="1"/>
  <c r="I3982" i="14" s="1"/>
  <c r="K3959" i="13"/>
  <c r="L3959" i="13" s="1"/>
  <c r="I3960" i="13" s="1"/>
  <c r="J4144" i="14" a="1"/>
  <c r="J4144" i="14" s="1"/>
  <c r="N4145" i="14"/>
  <c r="M4149" i="14"/>
  <c r="N4146" i="13"/>
  <c r="J4145" i="13" a="1"/>
  <c r="J4145" i="13" s="1"/>
  <c r="M4148" i="13"/>
  <c r="K3960" i="13" l="1"/>
  <c r="L3960" i="13" s="1"/>
  <c r="I3961" i="13" s="1"/>
  <c r="K3982" i="14"/>
  <c r="L3982" i="14" s="1"/>
  <c r="I3983" i="14" s="1"/>
  <c r="M4149" i="13"/>
  <c r="M4150" i="14"/>
  <c r="J4145" i="14" a="1"/>
  <c r="J4145" i="14" s="1"/>
  <c r="N4146" i="14"/>
  <c r="J4146" i="13" a="1"/>
  <c r="J4146" i="13" s="1"/>
  <c r="N4147" i="13"/>
  <c r="K3983" i="14" l="1"/>
  <c r="L3983" i="14" s="1"/>
  <c r="I3984" i="14" s="1"/>
  <c r="K3961" i="13"/>
  <c r="L3961" i="13" s="1"/>
  <c r="I3962" i="13" s="1"/>
  <c r="N4148" i="13"/>
  <c r="J4147" i="13" a="1"/>
  <c r="J4147" i="13" s="1"/>
  <c r="M4151" i="14"/>
  <c r="N4147" i="14"/>
  <c r="J4146" i="14" a="1"/>
  <c r="J4146" i="14" s="1"/>
  <c r="M4150" i="13"/>
  <c r="K3962" i="13" l="1"/>
  <c r="L3962" i="13" s="1"/>
  <c r="I3963" i="13" s="1"/>
  <c r="K3984" i="14"/>
  <c r="L3984" i="14" s="1"/>
  <c r="I3985" i="14" s="1"/>
  <c r="M4151" i="13"/>
  <c r="M4152" i="14"/>
  <c r="N4148" i="14"/>
  <c r="J4147" i="14" a="1"/>
  <c r="J4147" i="14" s="1"/>
  <c r="J4148" i="13" a="1"/>
  <c r="J4148" i="13" s="1"/>
  <c r="N4149" i="13"/>
  <c r="K3985" i="14" l="1"/>
  <c r="L3985" i="14" s="1"/>
  <c r="I3986" i="14" s="1"/>
  <c r="K3963" i="13"/>
  <c r="L3963" i="13" s="1"/>
  <c r="I3964" i="13" s="1"/>
  <c r="N4150" i="13"/>
  <c r="J4149" i="13" a="1"/>
  <c r="J4149" i="13" s="1"/>
  <c r="M4153" i="14"/>
  <c r="J4148" i="14" a="1"/>
  <c r="J4148" i="14" s="1"/>
  <c r="N4149" i="14"/>
  <c r="M4152" i="13"/>
  <c r="K3964" i="13" l="1"/>
  <c r="L3964" i="13" s="1"/>
  <c r="I3965" i="13" s="1"/>
  <c r="K3986" i="14"/>
  <c r="L3986" i="14" s="1"/>
  <c r="I3987" i="14" s="1"/>
  <c r="J4149" i="14" a="1"/>
  <c r="J4149" i="14" s="1"/>
  <c r="N4150" i="14"/>
  <c r="M4153" i="13"/>
  <c r="M4154" i="14"/>
  <c r="J4150" i="13" a="1"/>
  <c r="J4150" i="13" s="1"/>
  <c r="N4151" i="13"/>
  <c r="K3987" i="14" l="1"/>
  <c r="L3987" i="14" s="1"/>
  <c r="I3988" i="14" s="1"/>
  <c r="K3965" i="13"/>
  <c r="L3965" i="13" s="1"/>
  <c r="I3966" i="13" s="1"/>
  <c r="N4152" i="13"/>
  <c r="J4151" i="13" a="1"/>
  <c r="J4151" i="13" s="1"/>
  <c r="M4154" i="13"/>
  <c r="M4155" i="14"/>
  <c r="N4151" i="14"/>
  <c r="J4150" i="14" a="1"/>
  <c r="J4150" i="14" s="1"/>
  <c r="K3966" i="13" l="1"/>
  <c r="L3966" i="13" s="1"/>
  <c r="I3967" i="13" s="1"/>
  <c r="K3988" i="14"/>
  <c r="L3988" i="14" s="1"/>
  <c r="I3989" i="14" s="1"/>
  <c r="M4155" i="13"/>
  <c r="N4152" i="14"/>
  <c r="J4151" i="14" a="1"/>
  <c r="J4151" i="14" s="1"/>
  <c r="M4156" i="14"/>
  <c r="J4152" i="13" a="1"/>
  <c r="J4152" i="13" s="1"/>
  <c r="N4153" i="13"/>
  <c r="K3989" i="14" l="1"/>
  <c r="L3989" i="14" s="1"/>
  <c r="I3990" i="14" s="1"/>
  <c r="K3967" i="13"/>
  <c r="L3967" i="13" s="1"/>
  <c r="I3968" i="13" s="1"/>
  <c r="J4152" i="14" a="1"/>
  <c r="J4152" i="14" s="1"/>
  <c r="N4153" i="14"/>
  <c r="N4154" i="13"/>
  <c r="J4153" i="13" a="1"/>
  <c r="J4153" i="13" s="1"/>
  <c r="M4157" i="14"/>
  <c r="M4156" i="13"/>
  <c r="K3968" i="13" l="1"/>
  <c r="L3968" i="13" s="1"/>
  <c r="I3969" i="13" s="1"/>
  <c r="K3990" i="14"/>
  <c r="L3990" i="14" s="1"/>
  <c r="I3991" i="14" s="1"/>
  <c r="J4154" i="13" a="1"/>
  <c r="J4154" i="13" s="1"/>
  <c r="N4155" i="13"/>
  <c r="M4157" i="13"/>
  <c r="J4153" i="14" a="1"/>
  <c r="J4153" i="14" s="1"/>
  <c r="N4154" i="14"/>
  <c r="M4158" i="14"/>
  <c r="K3991" i="14" l="1"/>
  <c r="L3991" i="14" s="1"/>
  <c r="I3992" i="14" s="1"/>
  <c r="K3969" i="13"/>
  <c r="L3969" i="13" s="1"/>
  <c r="I3970" i="13" s="1"/>
  <c r="J4154" i="14" a="1"/>
  <c r="J4154" i="14" s="1"/>
  <c r="N4155" i="14"/>
  <c r="M4159" i="14"/>
  <c r="M4158" i="13"/>
  <c r="N4156" i="13"/>
  <c r="J4155" i="13" a="1"/>
  <c r="J4155" i="13" s="1"/>
  <c r="K3970" i="13" l="1"/>
  <c r="L3970" i="13" s="1"/>
  <c r="I3971" i="13" s="1"/>
  <c r="K3992" i="14"/>
  <c r="L3992" i="14" s="1"/>
  <c r="I3993" i="14" s="1"/>
  <c r="J4156" i="13" a="1"/>
  <c r="J4156" i="13" s="1"/>
  <c r="N4157" i="13"/>
  <c r="M4160" i="14"/>
  <c r="M4159" i="13"/>
  <c r="N4156" i="14"/>
  <c r="J4155" i="14" a="1"/>
  <c r="J4155" i="14" s="1"/>
  <c r="K3993" i="14" l="1"/>
  <c r="L3993" i="14" s="1"/>
  <c r="I3994" i="14" s="1"/>
  <c r="K3971" i="13"/>
  <c r="L3971" i="13" s="1"/>
  <c r="I3972" i="13" s="1"/>
  <c r="J4156" i="14" a="1"/>
  <c r="J4156" i="14" s="1"/>
  <c r="N4157" i="14"/>
  <c r="M4161" i="14"/>
  <c r="N4158" i="13"/>
  <c r="J4157" i="13" a="1"/>
  <c r="J4157" i="13" s="1"/>
  <c r="M4160" i="13"/>
  <c r="K3972" i="13" l="1"/>
  <c r="L3972" i="13" s="1"/>
  <c r="I3973" i="13" s="1"/>
  <c r="K3994" i="14"/>
  <c r="L3994" i="14" s="1"/>
  <c r="I3995" i="14" s="1"/>
  <c r="M4162" i="14"/>
  <c r="J4157" i="14" a="1"/>
  <c r="J4157" i="14" s="1"/>
  <c r="N4158" i="14"/>
  <c r="M4161" i="13"/>
  <c r="J4158" i="13" a="1"/>
  <c r="J4158" i="13" s="1"/>
  <c r="N4159" i="13"/>
  <c r="K3995" i="14" l="1"/>
  <c r="L3995" i="14" s="1"/>
  <c r="I3996" i="14" s="1"/>
  <c r="K3973" i="13"/>
  <c r="L3973" i="13" s="1"/>
  <c r="I3974" i="13" s="1"/>
  <c r="N4159" i="14"/>
  <c r="J4158" i="14" a="1"/>
  <c r="J4158" i="14" s="1"/>
  <c r="M4163" i="14"/>
  <c r="N4160" i="13"/>
  <c r="J4159" i="13" a="1"/>
  <c r="J4159" i="13" s="1"/>
  <c r="M4162" i="13"/>
  <c r="K3996" i="14" l="1"/>
  <c r="L3996" i="14" s="1"/>
  <c r="I3997" i="14" s="1"/>
  <c r="M4163" i="13"/>
  <c r="M4164" i="14"/>
  <c r="K3974" i="13"/>
  <c r="L3974" i="13" s="1"/>
  <c r="I3975" i="13" s="1"/>
  <c r="J4160" i="13" a="1"/>
  <c r="J4160" i="13" s="1"/>
  <c r="N4161" i="13"/>
  <c r="N4160" i="14"/>
  <c r="J4159" i="14" a="1"/>
  <c r="J4159" i="14" s="1"/>
  <c r="K3975" i="13" l="1"/>
  <c r="L3975" i="13" s="1"/>
  <c r="I3976" i="13" s="1"/>
  <c r="K3997" i="14"/>
  <c r="L3997" i="14" s="1"/>
  <c r="I3998" i="14" s="1"/>
  <c r="J4160" i="14" a="1"/>
  <c r="J4160" i="14" s="1"/>
  <c r="N4161" i="14"/>
  <c r="M4164" i="13"/>
  <c r="N4162" i="13"/>
  <c r="J4161" i="13" a="1"/>
  <c r="J4161" i="13" s="1"/>
  <c r="M4165" i="14"/>
  <c r="K3998" i="14" l="1"/>
  <c r="L3998" i="14" s="1"/>
  <c r="I3999" i="14" s="1"/>
  <c r="K3976" i="13"/>
  <c r="L3976" i="13" s="1"/>
  <c r="I3977" i="13" s="1"/>
  <c r="M4166" i="14"/>
  <c r="M4165" i="13"/>
  <c r="J4161" i="14" a="1"/>
  <c r="J4161" i="14" s="1"/>
  <c r="N4162" i="14"/>
  <c r="J4162" i="13" a="1"/>
  <c r="J4162" i="13" s="1"/>
  <c r="N4163" i="13"/>
  <c r="K3977" i="13" l="1"/>
  <c r="L3977" i="13" s="1"/>
  <c r="I3978" i="13" s="1"/>
  <c r="K3999" i="14"/>
  <c r="L3999" i="14" s="1"/>
  <c r="I4000" i="14" s="1"/>
  <c r="N4164" i="13"/>
  <c r="J4163" i="13" a="1"/>
  <c r="J4163" i="13" s="1"/>
  <c r="M4166" i="13"/>
  <c r="N4163" i="14"/>
  <c r="J4162" i="14" a="1"/>
  <c r="J4162" i="14" s="1"/>
  <c r="M4167" i="14"/>
  <c r="K4000" i="14" l="1"/>
  <c r="L4000" i="14" s="1"/>
  <c r="I4001" i="14" s="1"/>
  <c r="K3978" i="13"/>
  <c r="L3978" i="13" s="1"/>
  <c r="I3979" i="13" s="1"/>
  <c r="M4167" i="13"/>
  <c r="M4168" i="14"/>
  <c r="N4164" i="14"/>
  <c r="J4163" i="14" a="1"/>
  <c r="J4163" i="14" s="1"/>
  <c r="J4164" i="13" a="1"/>
  <c r="J4164" i="13" s="1"/>
  <c r="N4165" i="13"/>
  <c r="K3979" i="13" l="1"/>
  <c r="L3979" i="13" s="1"/>
  <c r="I3980" i="13" s="1"/>
  <c r="K4001" i="14"/>
  <c r="L4001" i="14" s="1"/>
  <c r="I4002" i="14" s="1"/>
  <c r="N4166" i="13"/>
  <c r="J4165" i="13" a="1"/>
  <c r="J4165" i="13" s="1"/>
  <c r="M4169" i="14"/>
  <c r="J4164" i="14" a="1"/>
  <c r="J4164" i="14" s="1"/>
  <c r="N4165" i="14"/>
  <c r="M4168" i="13"/>
  <c r="K4002" i="14" l="1"/>
  <c r="L4002" i="14" s="1"/>
  <c r="I4003" i="14" s="1"/>
  <c r="K3980" i="13"/>
  <c r="L3980" i="13" s="1"/>
  <c r="I3981" i="13" s="1"/>
  <c r="M4169" i="13"/>
  <c r="J4165" i="14" a="1"/>
  <c r="J4165" i="14" s="1"/>
  <c r="N4166" i="14"/>
  <c r="M4170" i="14"/>
  <c r="J4166" i="13" a="1"/>
  <c r="J4166" i="13" s="1"/>
  <c r="N4167" i="13"/>
  <c r="K3981" i="13" l="1"/>
  <c r="L3981" i="13" s="1"/>
  <c r="I3982" i="13" s="1"/>
  <c r="K4003" i="14"/>
  <c r="L4003" i="14" s="1"/>
  <c r="I4004" i="14" s="1"/>
  <c r="N4168" i="13"/>
  <c r="J4167" i="13" a="1"/>
  <c r="J4167" i="13" s="1"/>
  <c r="N4167" i="14"/>
  <c r="J4166" i="14" a="1"/>
  <c r="J4166" i="14" s="1"/>
  <c r="M4171" i="14"/>
  <c r="M4170" i="13"/>
  <c r="K4004" i="14" l="1"/>
  <c r="L4004" i="14" s="1"/>
  <c r="I4005" i="14" s="1"/>
  <c r="K3982" i="13"/>
  <c r="L3982" i="13" s="1"/>
  <c r="I3983" i="13" s="1"/>
  <c r="N4168" i="14"/>
  <c r="J4167" i="14" a="1"/>
  <c r="J4167" i="14" s="1"/>
  <c r="M4171" i="13"/>
  <c r="M4172" i="14"/>
  <c r="J4168" i="13" a="1"/>
  <c r="J4168" i="13" s="1"/>
  <c r="N4169" i="13"/>
  <c r="K3983" i="13" l="1"/>
  <c r="L3983" i="13" s="1"/>
  <c r="I3984" i="13" s="1"/>
  <c r="K4005" i="14"/>
  <c r="L4005" i="14" s="1"/>
  <c r="I4006" i="14" s="1"/>
  <c r="N4170" i="13"/>
  <c r="J4169" i="13" a="1"/>
  <c r="J4169" i="13" s="1"/>
  <c r="M4172" i="13"/>
  <c r="M4173" i="14"/>
  <c r="J4168" i="14" a="1"/>
  <c r="J4168" i="14" s="1"/>
  <c r="N4169" i="14"/>
  <c r="K4006" i="14" l="1"/>
  <c r="L4006" i="14" s="1"/>
  <c r="I4007" i="14" s="1"/>
  <c r="K3984" i="13"/>
  <c r="L3984" i="13" s="1"/>
  <c r="I3985" i="13" s="1"/>
  <c r="J4169" i="14" a="1"/>
  <c r="J4169" i="14" s="1"/>
  <c r="N4170" i="14"/>
  <c r="M4173" i="13"/>
  <c r="M4174" i="14"/>
  <c r="J4170" i="13" a="1"/>
  <c r="J4170" i="13" s="1"/>
  <c r="N4171" i="13"/>
  <c r="K3985" i="13" l="1"/>
  <c r="L3985" i="13" s="1"/>
  <c r="I3986" i="13" s="1"/>
  <c r="K4007" i="14"/>
  <c r="L4007" i="14" s="1"/>
  <c r="I4008" i="14" s="1"/>
  <c r="N4172" i="13"/>
  <c r="J4171" i="13" a="1"/>
  <c r="J4171" i="13" s="1"/>
  <c r="M4174" i="13"/>
  <c r="M4175" i="14"/>
  <c r="J4170" i="14" a="1"/>
  <c r="J4170" i="14" s="1"/>
  <c r="N4171" i="14"/>
  <c r="K4008" i="14" l="1"/>
  <c r="L4008" i="14" s="1"/>
  <c r="I4009" i="14" s="1"/>
  <c r="K3986" i="13"/>
  <c r="L3986" i="13" s="1"/>
  <c r="I3987" i="13" s="1"/>
  <c r="N4172" i="14"/>
  <c r="J4171" i="14" a="1"/>
  <c r="J4171" i="14" s="1"/>
  <c r="M4175" i="13"/>
  <c r="M4176" i="14"/>
  <c r="J4172" i="13" a="1"/>
  <c r="J4172" i="13" s="1"/>
  <c r="N4173" i="13"/>
  <c r="K3987" i="13" l="1"/>
  <c r="L3987" i="13" s="1"/>
  <c r="I3988" i="13" s="1"/>
  <c r="K4009" i="14"/>
  <c r="L4009" i="14" s="1"/>
  <c r="I4010" i="14" s="1"/>
  <c r="M4176" i="13"/>
  <c r="N4174" i="13"/>
  <c r="J4173" i="13" a="1"/>
  <c r="J4173" i="13" s="1"/>
  <c r="M4177" i="14"/>
  <c r="J4172" i="14" a="1"/>
  <c r="J4172" i="14" s="1"/>
  <c r="N4173" i="14"/>
  <c r="K4010" i="14" l="1"/>
  <c r="L4010" i="14" s="1"/>
  <c r="I4011" i="14" s="1"/>
  <c r="K3988" i="13"/>
  <c r="L3988" i="13" s="1"/>
  <c r="I3989" i="13" s="1"/>
  <c r="J4174" i="13" a="1"/>
  <c r="J4174" i="13" s="1"/>
  <c r="N4175" i="13"/>
  <c r="J4173" i="14" a="1"/>
  <c r="J4173" i="14" s="1"/>
  <c r="N4174" i="14"/>
  <c r="M4177" i="13"/>
  <c r="M4178" i="14"/>
  <c r="K3989" i="13" l="1"/>
  <c r="L3989" i="13" s="1"/>
  <c r="I3990" i="13" s="1"/>
  <c r="K4011" i="14"/>
  <c r="L4011" i="14" s="1"/>
  <c r="I4012" i="14" s="1"/>
  <c r="N4175" i="14"/>
  <c r="J4174" i="14" a="1"/>
  <c r="J4174" i="14" s="1"/>
  <c r="M4179" i="14"/>
  <c r="N4176" i="13"/>
  <c r="J4175" i="13" a="1"/>
  <c r="J4175" i="13" s="1"/>
  <c r="M4178" i="13"/>
  <c r="K4012" i="14" l="1"/>
  <c r="L4012" i="14" s="1"/>
  <c r="I4013" i="14" s="1"/>
  <c r="K3990" i="13"/>
  <c r="L3990" i="13" s="1"/>
  <c r="I3991" i="13" s="1"/>
  <c r="M4179" i="13"/>
  <c r="M4180" i="14"/>
  <c r="J4176" i="13" a="1"/>
  <c r="J4176" i="13" s="1"/>
  <c r="N4177" i="13"/>
  <c r="N4176" i="14"/>
  <c r="J4175" i="14" a="1"/>
  <c r="J4175" i="14" s="1"/>
  <c r="K3991" i="13" l="1"/>
  <c r="L3991" i="13" s="1"/>
  <c r="I3992" i="13" s="1"/>
  <c r="K4013" i="14"/>
  <c r="L4013" i="14" s="1"/>
  <c r="I4014" i="14" s="1"/>
  <c r="J4176" i="14" a="1"/>
  <c r="J4176" i="14" s="1"/>
  <c r="N4177" i="14"/>
  <c r="M4181" i="14"/>
  <c r="N4178" i="13"/>
  <c r="J4177" i="13" a="1"/>
  <c r="J4177" i="13" s="1"/>
  <c r="M4180" i="13"/>
  <c r="K4014" i="14" l="1"/>
  <c r="L4014" i="14" s="1"/>
  <c r="I4015" i="14" s="1"/>
  <c r="K3992" i="13"/>
  <c r="L3992" i="13" s="1"/>
  <c r="I3993" i="13" s="1"/>
  <c r="M4182" i="14"/>
  <c r="M4181" i="13"/>
  <c r="J4177" i="14" a="1"/>
  <c r="J4177" i="14" s="1"/>
  <c r="N4178" i="14"/>
  <c r="J4178" i="13" a="1"/>
  <c r="J4178" i="13" s="1"/>
  <c r="N4179" i="13"/>
  <c r="K3993" i="13" l="1"/>
  <c r="L3993" i="13" s="1"/>
  <c r="I3994" i="13" s="1"/>
  <c r="K4015" i="14"/>
  <c r="L4015" i="14" s="1"/>
  <c r="I4016" i="14" s="1"/>
  <c r="N4180" i="13"/>
  <c r="J4179" i="13" a="1"/>
  <c r="J4179" i="13" s="1"/>
  <c r="M4182" i="13"/>
  <c r="N4179" i="14"/>
  <c r="J4178" i="14" a="1"/>
  <c r="J4178" i="14" s="1"/>
  <c r="M4183" i="14"/>
  <c r="K4016" i="14" l="1"/>
  <c r="L4016" i="14" s="1"/>
  <c r="I4017" i="14" s="1"/>
  <c r="K3994" i="13"/>
  <c r="L3994" i="13" s="1"/>
  <c r="I3995" i="13" s="1"/>
  <c r="M4183" i="13"/>
  <c r="M4184" i="14"/>
  <c r="N4180" i="14"/>
  <c r="J4179" i="14" a="1"/>
  <c r="J4179" i="14" s="1"/>
  <c r="J4180" i="13" a="1"/>
  <c r="J4180" i="13" s="1"/>
  <c r="N4181" i="13"/>
  <c r="K3995" i="13" l="1"/>
  <c r="L3995" i="13" s="1"/>
  <c r="I3996" i="13" s="1"/>
  <c r="K4017" i="14"/>
  <c r="L4017" i="14" s="1"/>
  <c r="I4018" i="14" s="1"/>
  <c r="N4182" i="13"/>
  <c r="J4181" i="13" a="1"/>
  <c r="J4181" i="13" s="1"/>
  <c r="M4185" i="14"/>
  <c r="J4180" i="14" a="1"/>
  <c r="J4180" i="14" s="1"/>
  <c r="N4181" i="14"/>
  <c r="M4184" i="13"/>
  <c r="K4018" i="14" l="1"/>
  <c r="L4018" i="14" s="1"/>
  <c r="I4019" i="14" s="1"/>
  <c r="K3996" i="13"/>
  <c r="L3996" i="13" s="1"/>
  <c r="I3997" i="13" s="1"/>
  <c r="J4181" i="14" a="1"/>
  <c r="J4181" i="14" s="1"/>
  <c r="N4182" i="14"/>
  <c r="M4185" i="13"/>
  <c r="M4186" i="14"/>
  <c r="J4182" i="13" a="1"/>
  <c r="J4182" i="13" s="1"/>
  <c r="N4183" i="13"/>
  <c r="K3997" i="13" l="1"/>
  <c r="L3997" i="13" s="1"/>
  <c r="I3998" i="13" s="1"/>
  <c r="K4019" i="14"/>
  <c r="L4019" i="14" s="1"/>
  <c r="I4020" i="14" s="1"/>
  <c r="M4186" i="13"/>
  <c r="N4184" i="13"/>
  <c r="J4183" i="13" a="1"/>
  <c r="J4183" i="13" s="1"/>
  <c r="N4183" i="14"/>
  <c r="J4182" i="14" a="1"/>
  <c r="J4182" i="14" s="1"/>
  <c r="M4187" i="14"/>
  <c r="K4020" i="14" l="1"/>
  <c r="L4020" i="14" s="1"/>
  <c r="I4021" i="14" s="1"/>
  <c r="K3998" i="13"/>
  <c r="L3998" i="13" s="1"/>
  <c r="I3999" i="13" s="1"/>
  <c r="J4184" i="13" a="1"/>
  <c r="J4184" i="13" s="1"/>
  <c r="N4185" i="13"/>
  <c r="M4187" i="13"/>
  <c r="M4188" i="14"/>
  <c r="N4184" i="14"/>
  <c r="J4183" i="14" a="1"/>
  <c r="J4183" i="14" s="1"/>
  <c r="K3999" i="13" l="1"/>
  <c r="L3999" i="13" s="1"/>
  <c r="I4000" i="13" s="1"/>
  <c r="K4021" i="14"/>
  <c r="L4021" i="14" s="1"/>
  <c r="I4022" i="14" s="1"/>
  <c r="J4184" i="14" a="1"/>
  <c r="J4184" i="14" s="1"/>
  <c r="N4185" i="14"/>
  <c r="M4188" i="13"/>
  <c r="N4186" i="13"/>
  <c r="J4185" i="13" a="1"/>
  <c r="J4185" i="13" s="1"/>
  <c r="M4189" i="14"/>
  <c r="K4022" i="14" l="1"/>
  <c r="L4022" i="14" s="1"/>
  <c r="I4023" i="14" s="1"/>
  <c r="K4000" i="13"/>
  <c r="L4000" i="13" s="1"/>
  <c r="I4001" i="13" s="1"/>
  <c r="M4189" i="13"/>
  <c r="J4186" i="13" a="1"/>
  <c r="J4186" i="13" s="1"/>
  <c r="N4187" i="13"/>
  <c r="M4190" i="14"/>
  <c r="J4185" i="14" a="1"/>
  <c r="J4185" i="14" s="1"/>
  <c r="N4186" i="14"/>
  <c r="K4001" i="13" l="1"/>
  <c r="L4001" i="13" s="1"/>
  <c r="I4002" i="13" s="1"/>
  <c r="K4023" i="14"/>
  <c r="L4023" i="14" s="1"/>
  <c r="I4024" i="14" s="1"/>
  <c r="N4188" i="13"/>
  <c r="J4187" i="13" a="1"/>
  <c r="J4187" i="13" s="1"/>
  <c r="J4186" i="14" a="1"/>
  <c r="J4186" i="14" s="1"/>
  <c r="N4187" i="14"/>
  <c r="M4191" i="14"/>
  <c r="M4190" i="13"/>
  <c r="K4024" i="14" l="1"/>
  <c r="L4024" i="14" s="1"/>
  <c r="I4025" i="14" s="1"/>
  <c r="K4002" i="13"/>
  <c r="L4002" i="13" s="1"/>
  <c r="I4003" i="13" s="1"/>
  <c r="N4188" i="14"/>
  <c r="J4187" i="14" a="1"/>
  <c r="J4187" i="14" s="1"/>
  <c r="M4191" i="13"/>
  <c r="M4192" i="14"/>
  <c r="J4188" i="13" a="1"/>
  <c r="J4188" i="13" s="1"/>
  <c r="N4189" i="13"/>
  <c r="K4025" i="14" l="1"/>
  <c r="L4025" i="14" s="1"/>
  <c r="I4026" i="14" s="1"/>
  <c r="N4190" i="13"/>
  <c r="J4189" i="13" a="1"/>
  <c r="J4189" i="13" s="1"/>
  <c r="K4003" i="13"/>
  <c r="L4003" i="13" s="1"/>
  <c r="I4004" i="13" s="1"/>
  <c r="M4192" i="13"/>
  <c r="M4193" i="14"/>
  <c r="J4188" i="14" a="1"/>
  <c r="J4188" i="14" s="1"/>
  <c r="N4189" i="14"/>
  <c r="K4004" i="13" l="1"/>
  <c r="L4004" i="13" s="1"/>
  <c r="I4005" i="13" s="1"/>
  <c r="K4026" i="14"/>
  <c r="L4026" i="14" s="1"/>
  <c r="I4027" i="14" s="1"/>
  <c r="J4190" i="13" a="1"/>
  <c r="J4190" i="13" s="1"/>
  <c r="N4191" i="13"/>
  <c r="J4189" i="14" a="1"/>
  <c r="J4189" i="14" s="1"/>
  <c r="N4190" i="14"/>
  <c r="M4193" i="13"/>
  <c r="M4194" i="14"/>
  <c r="K4027" i="14" l="1"/>
  <c r="L4027" i="14" s="1"/>
  <c r="I4028" i="14" s="1"/>
  <c r="K4005" i="13"/>
  <c r="L4005" i="13" s="1"/>
  <c r="I4006" i="13" s="1"/>
  <c r="N4191" i="14"/>
  <c r="J4190" i="14" a="1"/>
  <c r="J4190" i="14" s="1"/>
  <c r="M4195" i="14"/>
  <c r="N4192" i="13"/>
  <c r="J4191" i="13" a="1"/>
  <c r="J4191" i="13" s="1"/>
  <c r="M4194" i="13"/>
  <c r="K4006" i="13" l="1"/>
  <c r="L4006" i="13" s="1"/>
  <c r="I4007" i="13" s="1"/>
  <c r="K4028" i="14"/>
  <c r="L4028" i="14" s="1"/>
  <c r="I4029" i="14" s="1"/>
  <c r="M4195" i="13"/>
  <c r="M4196" i="14"/>
  <c r="J4192" i="13" a="1"/>
  <c r="J4192" i="13" s="1"/>
  <c r="N4193" i="13"/>
  <c r="N4192" i="14"/>
  <c r="J4191" i="14" a="1"/>
  <c r="J4191" i="14" s="1"/>
  <c r="K4029" i="14" l="1"/>
  <c r="L4029" i="14" s="1"/>
  <c r="I4030" i="14" s="1"/>
  <c r="K4007" i="13"/>
  <c r="L4007" i="13" s="1"/>
  <c r="I4008" i="13" s="1"/>
  <c r="J4192" i="14" a="1"/>
  <c r="J4192" i="14" s="1"/>
  <c r="N4193" i="14"/>
  <c r="M4197" i="14"/>
  <c r="N4194" i="13"/>
  <c r="J4193" i="13" a="1"/>
  <c r="J4193" i="13" s="1"/>
  <c r="M4196" i="13"/>
  <c r="K4030" i="14" l="1"/>
  <c r="L4030" i="14" s="1"/>
  <c r="I4031" i="14" s="1"/>
  <c r="J4193" i="14" a="1"/>
  <c r="J4193" i="14" s="1"/>
  <c r="N4194" i="14"/>
  <c r="M4197" i="13"/>
  <c r="M4198" i="14"/>
  <c r="K4008" i="13"/>
  <c r="L4008" i="13" s="1"/>
  <c r="I4009" i="13" s="1"/>
  <c r="J4194" i="13" a="1"/>
  <c r="J4194" i="13" s="1"/>
  <c r="N4195" i="13"/>
  <c r="K4009" i="13" l="1"/>
  <c r="L4009" i="13" s="1"/>
  <c r="I4010" i="13" s="1"/>
  <c r="K4031" i="14"/>
  <c r="L4031" i="14" s="1"/>
  <c r="I4032" i="14" s="1"/>
  <c r="M4199" i="14"/>
  <c r="N4195" i="14"/>
  <c r="J4194" i="14" a="1"/>
  <c r="J4194" i="14" s="1"/>
  <c r="N4196" i="13"/>
  <c r="J4195" i="13" a="1"/>
  <c r="J4195" i="13" s="1"/>
  <c r="M4198" i="13"/>
  <c r="K4032" i="14" l="1"/>
  <c r="L4032" i="14" s="1"/>
  <c r="I4033" i="14" s="1"/>
  <c r="K4010" i="13"/>
  <c r="L4010" i="13" s="1"/>
  <c r="I4011" i="13" s="1"/>
  <c r="N4196" i="14"/>
  <c r="J4195" i="14" a="1"/>
  <c r="J4195" i="14" s="1"/>
  <c r="M4199" i="13"/>
  <c r="J4196" i="13" a="1"/>
  <c r="J4196" i="13" s="1"/>
  <c r="N4197" i="13"/>
  <c r="M4200" i="14"/>
  <c r="K4011" i="13" l="1"/>
  <c r="L4011" i="13" s="1"/>
  <c r="I4012" i="13" s="1"/>
  <c r="K4033" i="14"/>
  <c r="L4033" i="14" s="1"/>
  <c r="I4034" i="14" s="1"/>
  <c r="M4201" i="14"/>
  <c r="M4200" i="13"/>
  <c r="N4198" i="13"/>
  <c r="J4197" i="13" a="1"/>
  <c r="J4197" i="13" s="1"/>
  <c r="J4196" i="14" a="1"/>
  <c r="J4196" i="14" s="1"/>
  <c r="N4197" i="14"/>
  <c r="K4034" i="14" l="1"/>
  <c r="L4034" i="14" s="1"/>
  <c r="I4035" i="14" s="1"/>
  <c r="K4012" i="13"/>
  <c r="L4012" i="13" s="1"/>
  <c r="I4013" i="13" s="1"/>
  <c r="J4197" i="14" a="1"/>
  <c r="J4197" i="14" s="1"/>
  <c r="N4198" i="14"/>
  <c r="M4201" i="13"/>
  <c r="J4198" i="13" a="1"/>
  <c r="J4198" i="13" s="1"/>
  <c r="N4199" i="13"/>
  <c r="M4202" i="14"/>
  <c r="K4013" i="13" l="1"/>
  <c r="L4013" i="13" s="1"/>
  <c r="I4014" i="13" s="1"/>
  <c r="K4035" i="14"/>
  <c r="L4035" i="14" s="1"/>
  <c r="I4036" i="14" s="1"/>
  <c r="M4203" i="14"/>
  <c r="N4200" i="13"/>
  <c r="J4199" i="13" a="1"/>
  <c r="J4199" i="13" s="1"/>
  <c r="M4202" i="13"/>
  <c r="N4199" i="14"/>
  <c r="J4198" i="14" a="1"/>
  <c r="J4198" i="14" s="1"/>
  <c r="K4014" i="13" l="1"/>
  <c r="L4014" i="13" s="1"/>
  <c r="I4015" i="13" s="1"/>
  <c r="J4200" i="13" a="1"/>
  <c r="J4200" i="13" s="1"/>
  <c r="N4201" i="13"/>
  <c r="K4036" i="14"/>
  <c r="L4036" i="14" s="1"/>
  <c r="I4037" i="14" s="1"/>
  <c r="N4200" i="14"/>
  <c r="J4199" i="14" a="1"/>
  <c r="J4199" i="14" s="1"/>
  <c r="M4203" i="13"/>
  <c r="M4204" i="14"/>
  <c r="K4037" i="14" l="1"/>
  <c r="L4037" i="14" s="1"/>
  <c r="I4038" i="14" s="1"/>
  <c r="K4015" i="13"/>
  <c r="L4015" i="13" s="1"/>
  <c r="I4016" i="13" s="1"/>
  <c r="N4202" i="13"/>
  <c r="J4201" i="13" a="1"/>
  <c r="J4201" i="13" s="1"/>
  <c r="J4200" i="14" a="1"/>
  <c r="J4200" i="14" s="1"/>
  <c r="N4201" i="14"/>
  <c r="M4205" i="14"/>
  <c r="M4204" i="13"/>
  <c r="K4016" i="13" l="1"/>
  <c r="L4016" i="13" s="1"/>
  <c r="I4017" i="13" s="1"/>
  <c r="K4038" i="14"/>
  <c r="L4038" i="14" s="1"/>
  <c r="I4039" i="14" s="1"/>
  <c r="M4206" i="14"/>
  <c r="M4205" i="13"/>
  <c r="J4201" i="14" a="1"/>
  <c r="J4201" i="14" s="1"/>
  <c r="N4202" i="14"/>
  <c r="J4202" i="13" a="1"/>
  <c r="J4202" i="13" s="1"/>
  <c r="N4203" i="13"/>
  <c r="K4017" i="13" l="1"/>
  <c r="L4017" i="13" s="1"/>
  <c r="I4018" i="13" s="1"/>
  <c r="N4204" i="13"/>
  <c r="J4203" i="13" a="1"/>
  <c r="J4203" i="13" s="1"/>
  <c r="M4206" i="13"/>
  <c r="K4039" i="14"/>
  <c r="L4039" i="14" s="1"/>
  <c r="I4040" i="14" s="1"/>
  <c r="J4202" i="14" a="1"/>
  <c r="J4202" i="14" s="1"/>
  <c r="N4203" i="14"/>
  <c r="M4207" i="14"/>
  <c r="K4040" i="14" l="1"/>
  <c r="L4040" i="14" s="1"/>
  <c r="I4041" i="14" s="1"/>
  <c r="K4018" i="13"/>
  <c r="L4018" i="13" s="1"/>
  <c r="I4019" i="13" s="1"/>
  <c r="J4204" i="13" a="1"/>
  <c r="J4204" i="13" s="1"/>
  <c r="N4205" i="13"/>
  <c r="N4204" i="14"/>
  <c r="J4203" i="14" a="1"/>
  <c r="J4203" i="14" s="1"/>
  <c r="M4207" i="13"/>
  <c r="M4208" i="14"/>
  <c r="K4019" i="13" l="1"/>
  <c r="L4019" i="13" s="1"/>
  <c r="I4020" i="13" s="1"/>
  <c r="K4041" i="14"/>
  <c r="L4041" i="14" s="1"/>
  <c r="I4042" i="14" s="1"/>
  <c r="J4204" i="14" a="1"/>
  <c r="J4204" i="14" s="1"/>
  <c r="N4205" i="14"/>
  <c r="N4206" i="13"/>
  <c r="J4205" i="13" a="1"/>
  <c r="J4205" i="13" s="1"/>
  <c r="M4209" i="14"/>
  <c r="M4208" i="13"/>
  <c r="K4042" i="14" l="1"/>
  <c r="L4042" i="14" s="1"/>
  <c r="I4043" i="14" s="1"/>
  <c r="K4020" i="13"/>
  <c r="L4020" i="13" s="1"/>
  <c r="I4021" i="13" s="1"/>
  <c r="M4209" i="13"/>
  <c r="J4206" i="13" a="1"/>
  <c r="J4206" i="13" s="1"/>
  <c r="N4207" i="13"/>
  <c r="J4205" i="14" a="1"/>
  <c r="J4205" i="14" s="1"/>
  <c r="N4206" i="14"/>
  <c r="M4210" i="14"/>
  <c r="K4021" i="13" l="1"/>
  <c r="L4021" i="13" s="1"/>
  <c r="I4022" i="13" s="1"/>
  <c r="K4043" i="14"/>
  <c r="L4043" i="14" s="1"/>
  <c r="I4044" i="14" s="1"/>
  <c r="M4211" i="14"/>
  <c r="N4208" i="13"/>
  <c r="J4207" i="13" a="1"/>
  <c r="J4207" i="13" s="1"/>
  <c r="N4207" i="14"/>
  <c r="J4206" i="14" a="1"/>
  <c r="J4206" i="14" s="1"/>
  <c r="M4210" i="13"/>
  <c r="K4044" i="14" l="1"/>
  <c r="L4044" i="14" s="1"/>
  <c r="I4045" i="14" s="1"/>
  <c r="K4022" i="13"/>
  <c r="L4022" i="13" s="1"/>
  <c r="I4023" i="13" s="1"/>
  <c r="J4208" i="13" a="1"/>
  <c r="J4208" i="13" s="1"/>
  <c r="N4209" i="13"/>
  <c r="M4211" i="13"/>
  <c r="N4208" i="14"/>
  <c r="J4207" i="14" a="1"/>
  <c r="J4207" i="14" s="1"/>
  <c r="M4212" i="14"/>
  <c r="K4023" i="13" l="1"/>
  <c r="L4023" i="13" s="1"/>
  <c r="I4024" i="13" s="1"/>
  <c r="K4045" i="14"/>
  <c r="L4045" i="14" s="1"/>
  <c r="I4046" i="14" s="1"/>
  <c r="J4208" i="14" a="1"/>
  <c r="J4208" i="14" s="1"/>
  <c r="N4209" i="14"/>
  <c r="M4213" i="14"/>
  <c r="M4212" i="13"/>
  <c r="N4210" i="13"/>
  <c r="J4209" i="13" a="1"/>
  <c r="J4209" i="13" s="1"/>
  <c r="K4046" i="14" l="1"/>
  <c r="L4046" i="14" s="1"/>
  <c r="I4047" i="14" s="1"/>
  <c r="K4024" i="13"/>
  <c r="L4024" i="13" s="1"/>
  <c r="I4025" i="13" s="1"/>
  <c r="M4214" i="14"/>
  <c r="J4210" i="13" a="1"/>
  <c r="J4210" i="13" s="1"/>
  <c r="N4211" i="13"/>
  <c r="J4209" i="14" a="1"/>
  <c r="J4209" i="14" s="1"/>
  <c r="N4210" i="14"/>
  <c r="M4213" i="13"/>
  <c r="K4025" i="13" l="1"/>
  <c r="L4025" i="13" s="1"/>
  <c r="I4026" i="13" s="1"/>
  <c r="K4047" i="14"/>
  <c r="L4047" i="14" s="1"/>
  <c r="I4048" i="14" s="1"/>
  <c r="N4212" i="13"/>
  <c r="J4211" i="13" a="1"/>
  <c r="J4211" i="13" s="1"/>
  <c r="N4211" i="14"/>
  <c r="J4210" i="14" a="1"/>
  <c r="J4210" i="14" s="1"/>
  <c r="M4215" i="14"/>
  <c r="M4214" i="13"/>
  <c r="K4048" i="14" l="1"/>
  <c r="L4048" i="14" s="1"/>
  <c r="I4049" i="14" s="1"/>
  <c r="K4026" i="13"/>
  <c r="L4026" i="13" s="1"/>
  <c r="I4027" i="13" s="1"/>
  <c r="N4212" i="14"/>
  <c r="J4211" i="14" a="1"/>
  <c r="J4211" i="14" s="1"/>
  <c r="M4215" i="13"/>
  <c r="M4216" i="14"/>
  <c r="J4212" i="13" a="1"/>
  <c r="J4212" i="13" s="1"/>
  <c r="N4213" i="13"/>
  <c r="K4027" i="13" l="1"/>
  <c r="L4027" i="13" s="1"/>
  <c r="I4028" i="13" s="1"/>
  <c r="K4049" i="14"/>
  <c r="L4049" i="14" s="1"/>
  <c r="I4050" i="14" s="1"/>
  <c r="N4214" i="13"/>
  <c r="J4213" i="13" a="1"/>
  <c r="J4213" i="13" s="1"/>
  <c r="M4216" i="13"/>
  <c r="M4217" i="14"/>
  <c r="J4212" i="14" a="1"/>
  <c r="J4212" i="14" s="1"/>
  <c r="N4213" i="14"/>
  <c r="K4050" i="14" l="1"/>
  <c r="L4050" i="14" s="1"/>
  <c r="I4051" i="14" s="1"/>
  <c r="K4028" i="13"/>
  <c r="L4028" i="13" s="1"/>
  <c r="I4029" i="13" s="1"/>
  <c r="J4213" i="14" a="1"/>
  <c r="J4213" i="14" s="1"/>
  <c r="N4214" i="14"/>
  <c r="M4217" i="13"/>
  <c r="M4218" i="14"/>
  <c r="J4214" i="13" a="1"/>
  <c r="J4214" i="13" s="1"/>
  <c r="N4215" i="13"/>
  <c r="K4029" i="13" l="1"/>
  <c r="L4029" i="13" s="1"/>
  <c r="I4030" i="13" s="1"/>
  <c r="K4051" i="14"/>
  <c r="L4051" i="14" s="1"/>
  <c r="I4052" i="14" s="1"/>
  <c r="N4216" i="13"/>
  <c r="J4215" i="13" a="1"/>
  <c r="J4215" i="13" s="1"/>
  <c r="M4218" i="13"/>
  <c r="N4215" i="14"/>
  <c r="J4214" i="14" a="1"/>
  <c r="J4214" i="14" s="1"/>
  <c r="M4219" i="14"/>
  <c r="K4052" i="14" l="1"/>
  <c r="L4052" i="14" s="1"/>
  <c r="I4053" i="14" s="1"/>
  <c r="K4030" i="13"/>
  <c r="L4030" i="13" s="1"/>
  <c r="I4031" i="13" s="1"/>
  <c r="M4219" i="13"/>
  <c r="M4220" i="14"/>
  <c r="N4216" i="14"/>
  <c r="J4215" i="14" a="1"/>
  <c r="J4215" i="14" s="1"/>
  <c r="J4216" i="13" a="1"/>
  <c r="J4216" i="13" s="1"/>
  <c r="N4217" i="13"/>
  <c r="K4031" i="13" l="1"/>
  <c r="L4031" i="13" s="1"/>
  <c r="I4032" i="13" s="1"/>
  <c r="K4053" i="14"/>
  <c r="L4053" i="14" s="1"/>
  <c r="I4054" i="14" s="1"/>
  <c r="N4218" i="13"/>
  <c r="J4217" i="13" a="1"/>
  <c r="J4217" i="13" s="1"/>
  <c r="M4221" i="14"/>
  <c r="J4216" i="14" a="1"/>
  <c r="J4216" i="14" s="1"/>
  <c r="N4217" i="14"/>
  <c r="M4220" i="13"/>
  <c r="K4054" i="14" l="1"/>
  <c r="L4054" i="14" s="1"/>
  <c r="I4055" i="14" s="1"/>
  <c r="K4032" i="13"/>
  <c r="L4032" i="13" s="1"/>
  <c r="I4033" i="13" s="1"/>
  <c r="M4221" i="13"/>
  <c r="M4222" i="14"/>
  <c r="J4217" i="14" a="1"/>
  <c r="J4217" i="14" s="1"/>
  <c r="N4218" i="14"/>
  <c r="J4218" i="13" a="1"/>
  <c r="J4218" i="13" s="1"/>
  <c r="N4219" i="13"/>
  <c r="K4033" i="13" l="1"/>
  <c r="L4033" i="13" s="1"/>
  <c r="I4034" i="13" s="1"/>
  <c r="K4055" i="14"/>
  <c r="L4055" i="14" s="1"/>
  <c r="I4056" i="14" s="1"/>
  <c r="N4220" i="13"/>
  <c r="J4219" i="13" a="1"/>
  <c r="J4219" i="13" s="1"/>
  <c r="M4223" i="14"/>
  <c r="J4218" i="14" a="1"/>
  <c r="J4218" i="14" s="1"/>
  <c r="N4219" i="14"/>
  <c r="M4222" i="13"/>
  <c r="K4056" i="14" l="1"/>
  <c r="L4056" i="14" s="1"/>
  <c r="I4057" i="14" s="1"/>
  <c r="K4034" i="13"/>
  <c r="L4034" i="13" s="1"/>
  <c r="I4035" i="13" s="1"/>
  <c r="N4220" i="14"/>
  <c r="J4219" i="14" a="1"/>
  <c r="J4219" i="14" s="1"/>
  <c r="M4223" i="13"/>
  <c r="M4224" i="14"/>
  <c r="J4220" i="13" a="1"/>
  <c r="J4220" i="13" s="1"/>
  <c r="N4221" i="13"/>
  <c r="K4035" i="13" l="1"/>
  <c r="L4035" i="13" s="1"/>
  <c r="I4036" i="13" s="1"/>
  <c r="K4057" i="14"/>
  <c r="L4057" i="14" s="1"/>
  <c r="I4058" i="14" s="1"/>
  <c r="N4222" i="13"/>
  <c r="J4221" i="13" a="1"/>
  <c r="J4221" i="13" s="1"/>
  <c r="M4224" i="13"/>
  <c r="M4225" i="14"/>
  <c r="J4220" i="14" a="1"/>
  <c r="J4220" i="14" s="1"/>
  <c r="N4221" i="14"/>
  <c r="K4058" i="14" l="1"/>
  <c r="L4058" i="14" s="1"/>
  <c r="I4059" i="14" s="1"/>
  <c r="K4036" i="13"/>
  <c r="L4036" i="13" s="1"/>
  <c r="I4037" i="13" s="1"/>
  <c r="J4221" i="14" a="1"/>
  <c r="J4221" i="14" s="1"/>
  <c r="N4222" i="14"/>
  <c r="M4225" i="13"/>
  <c r="M4226" i="14"/>
  <c r="J4222" i="13" a="1"/>
  <c r="J4222" i="13" s="1"/>
  <c r="N4223" i="13"/>
  <c r="K4037" i="13" l="1"/>
  <c r="L4037" i="13" s="1"/>
  <c r="I4038" i="13" s="1"/>
  <c r="K4059" i="14"/>
  <c r="L4059" i="14" s="1"/>
  <c r="I4060" i="14" s="1"/>
  <c r="N4224" i="13"/>
  <c r="J4223" i="13" a="1"/>
  <c r="J4223" i="13" s="1"/>
  <c r="M4226" i="13"/>
  <c r="N4223" i="14"/>
  <c r="J4222" i="14" a="1"/>
  <c r="J4222" i="14" s="1"/>
  <c r="M4227" i="14"/>
  <c r="K4060" i="14" l="1"/>
  <c r="L4060" i="14" s="1"/>
  <c r="I4061" i="14" s="1"/>
  <c r="K4038" i="13"/>
  <c r="L4038" i="13" s="1"/>
  <c r="I4039" i="13" s="1"/>
  <c r="M4227" i="13"/>
  <c r="M4228" i="14"/>
  <c r="N4224" i="14"/>
  <c r="J4223" i="14" a="1"/>
  <c r="J4223" i="14" s="1"/>
  <c r="J4224" i="13" a="1"/>
  <c r="J4224" i="13" s="1"/>
  <c r="N4225" i="13"/>
  <c r="K4039" i="13" l="1"/>
  <c r="L4039" i="13" s="1"/>
  <c r="I4040" i="13" s="1"/>
  <c r="K4061" i="14"/>
  <c r="L4061" i="14" s="1"/>
  <c r="I4062" i="14" s="1"/>
  <c r="N4226" i="13"/>
  <c r="J4225" i="13" a="1"/>
  <c r="J4225" i="13" s="1"/>
  <c r="M4229" i="14"/>
  <c r="J4224" i="14" a="1"/>
  <c r="J4224" i="14" s="1"/>
  <c r="N4225" i="14"/>
  <c r="M4228" i="13"/>
  <c r="K4062" i="14" l="1"/>
  <c r="L4062" i="14" s="1"/>
  <c r="I4063" i="14" s="1"/>
  <c r="K4040" i="13"/>
  <c r="L4040" i="13" s="1"/>
  <c r="I4041" i="13" s="1"/>
  <c r="M4229" i="13"/>
  <c r="M4230" i="14"/>
  <c r="J4225" i="14" a="1"/>
  <c r="J4225" i="14" s="1"/>
  <c r="N4226" i="14"/>
  <c r="J4226" i="13" a="1"/>
  <c r="J4226" i="13" s="1"/>
  <c r="N4227" i="13"/>
  <c r="K4041" i="13" l="1"/>
  <c r="L4041" i="13" s="1"/>
  <c r="I4042" i="13" s="1"/>
  <c r="K4063" i="14"/>
  <c r="L4063" i="14" s="1"/>
  <c r="I4064" i="14" s="1"/>
  <c r="M4231" i="14"/>
  <c r="N4228" i="13"/>
  <c r="J4227" i="13" a="1"/>
  <c r="J4227" i="13" s="1"/>
  <c r="N4227" i="14"/>
  <c r="J4226" i="14" a="1"/>
  <c r="J4226" i="14" s="1"/>
  <c r="M4230" i="13"/>
  <c r="K4042" i="13" l="1"/>
  <c r="L4042" i="13" s="1"/>
  <c r="I4043" i="13" s="1"/>
  <c r="J4228" i="13" a="1"/>
  <c r="J4228" i="13" s="1"/>
  <c r="N4229" i="13"/>
  <c r="M4231" i="13"/>
  <c r="K4064" i="14"/>
  <c r="L4064" i="14" s="1"/>
  <c r="I4065" i="14" s="1"/>
  <c r="N4228" i="14"/>
  <c r="J4227" i="14" a="1"/>
  <c r="J4227" i="14" s="1"/>
  <c r="M4232" i="14"/>
  <c r="K4065" i="14" l="1"/>
  <c r="L4065" i="14" s="1"/>
  <c r="I4066" i="14" s="1"/>
  <c r="K4043" i="13"/>
  <c r="L4043" i="13" s="1"/>
  <c r="I4044" i="13" s="1"/>
  <c r="N4230" i="13"/>
  <c r="J4229" i="13" a="1"/>
  <c r="J4229" i="13" s="1"/>
  <c r="M4233" i="14"/>
  <c r="J4228" i="14" a="1"/>
  <c r="J4228" i="14" s="1"/>
  <c r="N4229" i="14"/>
  <c r="M4232" i="13"/>
  <c r="K4044" i="13" l="1"/>
  <c r="L4044" i="13" s="1"/>
  <c r="I4045" i="13" s="1"/>
  <c r="K4066" i="14"/>
  <c r="L4066" i="14" s="1"/>
  <c r="I4067" i="14" s="1"/>
  <c r="M4233" i="13"/>
  <c r="J4229" i="14" a="1"/>
  <c r="J4229" i="14" s="1"/>
  <c r="N4230" i="14"/>
  <c r="M4234" i="14"/>
  <c r="J4230" i="13" a="1"/>
  <c r="J4230" i="13" s="1"/>
  <c r="N4231" i="13"/>
  <c r="K4067" i="14" l="1"/>
  <c r="L4067" i="14" s="1"/>
  <c r="I4068" i="14" s="1"/>
  <c r="K4045" i="13"/>
  <c r="L4045" i="13" s="1"/>
  <c r="I4046" i="13" s="1"/>
  <c r="N4231" i="14"/>
  <c r="J4230" i="14" a="1"/>
  <c r="J4230" i="14" s="1"/>
  <c r="N4232" i="13"/>
  <c r="J4231" i="13" a="1"/>
  <c r="J4231" i="13" s="1"/>
  <c r="M4235" i="14"/>
  <c r="M4234" i="13"/>
  <c r="K4046" i="13" l="1"/>
  <c r="L4046" i="13" s="1"/>
  <c r="I4047" i="13" s="1"/>
  <c r="K4068" i="14"/>
  <c r="L4068" i="14" s="1"/>
  <c r="I4069" i="14" s="1"/>
  <c r="J4232" i="13" a="1"/>
  <c r="J4232" i="13" s="1"/>
  <c r="N4233" i="13"/>
  <c r="M4235" i="13"/>
  <c r="M4236" i="14"/>
  <c r="N4232" i="14"/>
  <c r="J4231" i="14" a="1"/>
  <c r="J4231" i="14" s="1"/>
  <c r="K4069" i="14" l="1"/>
  <c r="L4069" i="14" s="1"/>
  <c r="I4070" i="14" s="1"/>
  <c r="K4047" i="13"/>
  <c r="L4047" i="13" s="1"/>
  <c r="I4048" i="13" s="1"/>
  <c r="J4232" i="14" a="1"/>
  <c r="J4232" i="14" s="1"/>
  <c r="N4233" i="14"/>
  <c r="M4236" i="13"/>
  <c r="N4234" i="13"/>
  <c r="J4233" i="13" a="1"/>
  <c r="J4233" i="13" s="1"/>
  <c r="M4237" i="14"/>
  <c r="K4048" i="13" l="1"/>
  <c r="L4048" i="13" s="1"/>
  <c r="I4049" i="13" s="1"/>
  <c r="K4070" i="14"/>
  <c r="L4070" i="14" s="1"/>
  <c r="I4071" i="14" s="1"/>
  <c r="M4238" i="14"/>
  <c r="M4237" i="13"/>
  <c r="J4234" i="13" a="1"/>
  <c r="J4234" i="13" s="1"/>
  <c r="N4235" i="13"/>
  <c r="J4233" i="14" a="1"/>
  <c r="J4233" i="14" s="1"/>
  <c r="N4234" i="14"/>
  <c r="K4049" i="13" l="1"/>
  <c r="L4049" i="13" s="1"/>
  <c r="I4050" i="13" s="1"/>
  <c r="J4234" i="14" a="1"/>
  <c r="J4234" i="14" s="1"/>
  <c r="N4235" i="14"/>
  <c r="K4071" i="14"/>
  <c r="L4071" i="14" s="1"/>
  <c r="I4072" i="14" s="1"/>
  <c r="N4236" i="13"/>
  <c r="J4235" i="13" a="1"/>
  <c r="J4235" i="13" s="1"/>
  <c r="M4239" i="14"/>
  <c r="M4238" i="13"/>
  <c r="K4072" i="14" l="1"/>
  <c r="L4072" i="14" s="1"/>
  <c r="I4073" i="14" s="1"/>
  <c r="K4050" i="13"/>
  <c r="L4050" i="13" s="1"/>
  <c r="I4051" i="13" s="1"/>
  <c r="N4236" i="14"/>
  <c r="J4235" i="14" a="1"/>
  <c r="J4235" i="14" s="1"/>
  <c r="M4239" i="13"/>
  <c r="J4236" i="13" a="1"/>
  <c r="J4236" i="13" s="1"/>
  <c r="N4237" i="13"/>
  <c r="M4240" i="14"/>
  <c r="K4051" i="13" l="1"/>
  <c r="L4051" i="13" s="1"/>
  <c r="I4052" i="13" s="1"/>
  <c r="K4073" i="14"/>
  <c r="L4073" i="14" s="1"/>
  <c r="I4074" i="14" s="1"/>
  <c r="N4238" i="13"/>
  <c r="J4237" i="13" a="1"/>
  <c r="J4237" i="13" s="1"/>
  <c r="M4241" i="14"/>
  <c r="M4240" i="13"/>
  <c r="J4236" i="14" a="1"/>
  <c r="J4236" i="14" s="1"/>
  <c r="N4237" i="14"/>
  <c r="K4074" i="14" l="1"/>
  <c r="L4074" i="14" s="1"/>
  <c r="I4075" i="14" s="1"/>
  <c r="K4052" i="13"/>
  <c r="L4052" i="13" s="1"/>
  <c r="I4053" i="13" s="1"/>
  <c r="J4237" i="14" a="1"/>
  <c r="J4237" i="14" s="1"/>
  <c r="N4238" i="14"/>
  <c r="M4242" i="14"/>
  <c r="M4241" i="13"/>
  <c r="J4238" i="13" a="1"/>
  <c r="J4238" i="13" s="1"/>
  <c r="N4239" i="13"/>
  <c r="K4053" i="13" l="1"/>
  <c r="L4053" i="13" s="1"/>
  <c r="I4054" i="13" s="1"/>
  <c r="K4075" i="14"/>
  <c r="L4075" i="14" s="1"/>
  <c r="I4076" i="14" s="1"/>
  <c r="N4240" i="13"/>
  <c r="J4239" i="13" a="1"/>
  <c r="J4239" i="13" s="1"/>
  <c r="M4243" i="14"/>
  <c r="N4239" i="14"/>
  <c r="J4238" i="14" a="1"/>
  <c r="J4238" i="14" s="1"/>
  <c r="M4242" i="13"/>
  <c r="K4076" i="14" l="1"/>
  <c r="L4076" i="14" s="1"/>
  <c r="I4077" i="14" s="1"/>
  <c r="K4054" i="13"/>
  <c r="L4054" i="13" s="1"/>
  <c r="I4055" i="13" s="1"/>
  <c r="M4243" i="13"/>
  <c r="M4244" i="14"/>
  <c r="N4240" i="14"/>
  <c r="J4239" i="14" a="1"/>
  <c r="J4239" i="14" s="1"/>
  <c r="J4240" i="13" a="1"/>
  <c r="J4240" i="13" s="1"/>
  <c r="N4241" i="13"/>
  <c r="K4055" i="13" l="1"/>
  <c r="L4055" i="13" s="1"/>
  <c r="I4056" i="13" s="1"/>
  <c r="K4077" i="14"/>
  <c r="L4077" i="14" s="1"/>
  <c r="I4078" i="14" s="1"/>
  <c r="N4242" i="13"/>
  <c r="J4241" i="13" a="1"/>
  <c r="J4241" i="13" s="1"/>
  <c r="M4245" i="14"/>
  <c r="J4240" i="14" a="1"/>
  <c r="J4240" i="14" s="1"/>
  <c r="N4241" i="14"/>
  <c r="M4244" i="13"/>
  <c r="K4078" i="14" l="1"/>
  <c r="L4078" i="14" s="1"/>
  <c r="I4079" i="14" s="1"/>
  <c r="K4056" i="13"/>
  <c r="L4056" i="13" s="1"/>
  <c r="I4057" i="13" s="1"/>
  <c r="M4245" i="13"/>
  <c r="M4246" i="14"/>
  <c r="J4241" i="14" a="1"/>
  <c r="J4241" i="14" s="1"/>
  <c r="N4242" i="14"/>
  <c r="J4242" i="13" a="1"/>
  <c r="J4242" i="13" s="1"/>
  <c r="N4243" i="13"/>
  <c r="K4057" i="13" l="1"/>
  <c r="L4057" i="13" s="1"/>
  <c r="I4058" i="13" s="1"/>
  <c r="K4079" i="14"/>
  <c r="L4079" i="14" s="1"/>
  <c r="I4080" i="14" s="1"/>
  <c r="N4244" i="13"/>
  <c r="J4243" i="13" a="1"/>
  <c r="J4243" i="13" s="1"/>
  <c r="M4247" i="14"/>
  <c r="N4243" i="14"/>
  <c r="J4242" i="14" a="1"/>
  <c r="J4242" i="14" s="1"/>
  <c r="M4246" i="13"/>
  <c r="K4080" i="14" l="1"/>
  <c r="L4080" i="14" s="1"/>
  <c r="I4081" i="14" s="1"/>
  <c r="K4058" i="13"/>
  <c r="L4058" i="13" s="1"/>
  <c r="I4059" i="13" s="1"/>
  <c r="M4247" i="13"/>
  <c r="M4248" i="14"/>
  <c r="N4244" i="14"/>
  <c r="J4243" i="14" a="1"/>
  <c r="J4243" i="14" s="1"/>
  <c r="J4244" i="13" a="1"/>
  <c r="J4244" i="13" s="1"/>
  <c r="N4245" i="13"/>
  <c r="K4059" i="13" l="1"/>
  <c r="L4059" i="13" s="1"/>
  <c r="I4060" i="13" s="1"/>
  <c r="K4081" i="14"/>
  <c r="L4081" i="14" s="1"/>
  <c r="I4082" i="14" s="1"/>
  <c r="N4246" i="13"/>
  <c r="J4245" i="13" a="1"/>
  <c r="J4245" i="13" s="1"/>
  <c r="M4249" i="14"/>
  <c r="J4244" i="14" a="1"/>
  <c r="J4244" i="14" s="1"/>
  <c r="N4245" i="14"/>
  <c r="M4248" i="13"/>
  <c r="K4082" i="14" l="1"/>
  <c r="L4082" i="14" s="1"/>
  <c r="I4083" i="14" s="1"/>
  <c r="K4060" i="13"/>
  <c r="L4060" i="13" s="1"/>
  <c r="I4061" i="13" s="1"/>
  <c r="M4249" i="13"/>
  <c r="J4245" i="14" a="1"/>
  <c r="J4245" i="14" s="1"/>
  <c r="N4246" i="14"/>
  <c r="M4250" i="14"/>
  <c r="J4246" i="13" a="1"/>
  <c r="J4246" i="13" s="1"/>
  <c r="N4247" i="13"/>
  <c r="K4061" i="13" l="1"/>
  <c r="L4061" i="13" s="1"/>
  <c r="I4062" i="13" s="1"/>
  <c r="K4083" i="14"/>
  <c r="L4083" i="14" s="1"/>
  <c r="I4084" i="14" s="1"/>
  <c r="N4247" i="14"/>
  <c r="J4246" i="14" a="1"/>
  <c r="J4246" i="14" s="1"/>
  <c r="N4248" i="13"/>
  <c r="J4247" i="13" a="1"/>
  <c r="J4247" i="13" s="1"/>
  <c r="M4251" i="14"/>
  <c r="M4250" i="13"/>
  <c r="K4084" i="14" l="1"/>
  <c r="L4084" i="14" s="1"/>
  <c r="I4085" i="14" s="1"/>
  <c r="K4062" i="13"/>
  <c r="L4062" i="13" s="1"/>
  <c r="I4063" i="13" s="1"/>
  <c r="J4248" i="13" a="1"/>
  <c r="J4248" i="13" s="1"/>
  <c r="N4249" i="13"/>
  <c r="M4251" i="13"/>
  <c r="M4252" i="14"/>
  <c r="N4248" i="14"/>
  <c r="J4247" i="14" a="1"/>
  <c r="J4247" i="14" s="1"/>
  <c r="K4063" i="13" l="1"/>
  <c r="L4063" i="13" s="1"/>
  <c r="I4064" i="13" s="1"/>
  <c r="K4085" i="14"/>
  <c r="L4085" i="14" s="1"/>
  <c r="I4086" i="14" s="1"/>
  <c r="J4248" i="14" a="1"/>
  <c r="J4248" i="14" s="1"/>
  <c r="N4249" i="14"/>
  <c r="M4252" i="13"/>
  <c r="N4250" i="13"/>
  <c r="J4249" i="13" a="1"/>
  <c r="J4249" i="13" s="1"/>
  <c r="M4253" i="14"/>
  <c r="K4086" i="14" l="1"/>
  <c r="L4086" i="14" s="1"/>
  <c r="I4087" i="14" s="1"/>
  <c r="K4064" i="13"/>
  <c r="L4064" i="13" s="1"/>
  <c r="I4065" i="13" s="1"/>
  <c r="M4254" i="14"/>
  <c r="M4253" i="13"/>
  <c r="J4250" i="13" a="1"/>
  <c r="J4250" i="13" s="1"/>
  <c r="N4251" i="13"/>
  <c r="J4249" i="14" a="1"/>
  <c r="J4249" i="14" s="1"/>
  <c r="N4250" i="14"/>
  <c r="K4065" i="13" l="1"/>
  <c r="L4065" i="13" s="1"/>
  <c r="I4066" i="13" s="1"/>
  <c r="K4087" i="14"/>
  <c r="L4087" i="14" s="1"/>
  <c r="I4088" i="14" s="1"/>
  <c r="J4250" i="14" a="1"/>
  <c r="J4250" i="14" s="1"/>
  <c r="N4251" i="14"/>
  <c r="M4254" i="13"/>
  <c r="N4252" i="13"/>
  <c r="J4251" i="13" a="1"/>
  <c r="J4251" i="13" s="1"/>
  <c r="M4255" i="14"/>
  <c r="K4088" i="14" l="1"/>
  <c r="L4088" i="14" s="1"/>
  <c r="I4089" i="14" s="1"/>
  <c r="K4066" i="13"/>
  <c r="L4066" i="13" s="1"/>
  <c r="I4067" i="13" s="1"/>
  <c r="M4255" i="13"/>
  <c r="J4252" i="13" a="1"/>
  <c r="J4252" i="13" s="1"/>
  <c r="N4253" i="13"/>
  <c r="M4256" i="14"/>
  <c r="N4252" i="14"/>
  <c r="J4251" i="14" a="1"/>
  <c r="J4251" i="14" s="1"/>
  <c r="K4067" i="13" l="1"/>
  <c r="L4067" i="13" s="1"/>
  <c r="I4068" i="13" s="1"/>
  <c r="K4089" i="14"/>
  <c r="L4089" i="14" s="1"/>
  <c r="I4090" i="14" s="1"/>
  <c r="N4254" i="13"/>
  <c r="J4253" i="13" a="1"/>
  <c r="J4253" i="13" s="1"/>
  <c r="J4252" i="14" a="1"/>
  <c r="J4252" i="14" s="1"/>
  <c r="N4253" i="14"/>
  <c r="M4257" i="14"/>
  <c r="M4256" i="13"/>
  <c r="K4090" i="14" l="1"/>
  <c r="L4090" i="14" s="1"/>
  <c r="I4091" i="14" s="1"/>
  <c r="K4068" i="13"/>
  <c r="L4068" i="13" s="1"/>
  <c r="I4069" i="13" s="1"/>
  <c r="M4257" i="13"/>
  <c r="J4253" i="14" a="1"/>
  <c r="J4253" i="14" s="1"/>
  <c r="N4254" i="14"/>
  <c r="M4258" i="14"/>
  <c r="J4254" i="13" a="1"/>
  <c r="J4254" i="13" s="1"/>
  <c r="N4255" i="13"/>
  <c r="K4069" i="13" l="1"/>
  <c r="L4069" i="13" s="1"/>
  <c r="I4070" i="13" s="1"/>
  <c r="K4091" i="14"/>
  <c r="L4091" i="14" s="1"/>
  <c r="I4092" i="14" s="1"/>
  <c r="N4255" i="14"/>
  <c r="J4254" i="14" a="1"/>
  <c r="J4254" i="14" s="1"/>
  <c r="N4256" i="13"/>
  <c r="J4255" i="13" a="1"/>
  <c r="J4255" i="13" s="1"/>
  <c r="M4259" i="14"/>
  <c r="M4258" i="13"/>
  <c r="K4092" i="14" l="1"/>
  <c r="L4092" i="14" s="1"/>
  <c r="I4093" i="14" s="1"/>
  <c r="K4070" i="13"/>
  <c r="L4070" i="13" s="1"/>
  <c r="I4071" i="13" s="1"/>
  <c r="J4256" i="13" a="1"/>
  <c r="J4256" i="13" s="1"/>
  <c r="N4257" i="13"/>
  <c r="M4259" i="13"/>
  <c r="M4260" i="14"/>
  <c r="N4256" i="14"/>
  <c r="J4255" i="14" a="1"/>
  <c r="J4255" i="14" s="1"/>
  <c r="K4071" i="13" l="1"/>
  <c r="L4071" i="13" s="1"/>
  <c r="I4072" i="13" s="1"/>
  <c r="K4093" i="14"/>
  <c r="L4093" i="14" s="1"/>
  <c r="I4094" i="14" s="1"/>
  <c r="J4256" i="14" a="1"/>
  <c r="J4256" i="14" s="1"/>
  <c r="N4257" i="14"/>
  <c r="M4260" i="13"/>
  <c r="N4258" i="13"/>
  <c r="J4257" i="13" a="1"/>
  <c r="J4257" i="13" s="1"/>
  <c r="M4261" i="14"/>
  <c r="K4094" i="14" l="1"/>
  <c r="L4094" i="14" s="1"/>
  <c r="I4095" i="14" s="1"/>
  <c r="K4072" i="13"/>
  <c r="L4072" i="13" s="1"/>
  <c r="I4073" i="13" s="1"/>
  <c r="M4262" i="14"/>
  <c r="M4261" i="13"/>
  <c r="J4257" i="14" a="1"/>
  <c r="J4257" i="14" s="1"/>
  <c r="N4258" i="14"/>
  <c r="J4258" i="13" a="1"/>
  <c r="J4258" i="13" s="1"/>
  <c r="N4259" i="13"/>
  <c r="K4073" i="13" l="1"/>
  <c r="L4073" i="13" s="1"/>
  <c r="I4074" i="13" s="1"/>
  <c r="K4095" i="14"/>
  <c r="L4095" i="14" s="1"/>
  <c r="I4096" i="14" s="1"/>
  <c r="N4260" i="13"/>
  <c r="J4259" i="13" a="1"/>
  <c r="J4259" i="13" s="1"/>
  <c r="M4262" i="13"/>
  <c r="N4259" i="14"/>
  <c r="J4258" i="14" a="1"/>
  <c r="J4258" i="14" s="1"/>
  <c r="M4263" i="14"/>
  <c r="K4096" i="14" l="1"/>
  <c r="L4096" i="14" s="1"/>
  <c r="I4097" i="14" s="1"/>
  <c r="K4074" i="13"/>
  <c r="L4074" i="13" s="1"/>
  <c r="I4075" i="13" s="1"/>
  <c r="M4263" i="13"/>
  <c r="M4264" i="14"/>
  <c r="N4260" i="14"/>
  <c r="J4259" i="14" a="1"/>
  <c r="J4259" i="14" s="1"/>
  <c r="J4260" i="13" a="1"/>
  <c r="J4260" i="13" s="1"/>
  <c r="N4261" i="13"/>
  <c r="K4075" i="13" l="1"/>
  <c r="L4075" i="13" s="1"/>
  <c r="I4076" i="13" s="1"/>
  <c r="K4097" i="14"/>
  <c r="L4097" i="14" s="1"/>
  <c r="I4098" i="14" s="1"/>
  <c r="N4262" i="13"/>
  <c r="J4261" i="13" a="1"/>
  <c r="J4261" i="13" s="1"/>
  <c r="M4265" i="14"/>
  <c r="J4260" i="14" a="1"/>
  <c r="J4260" i="14" s="1"/>
  <c r="N4261" i="14"/>
  <c r="M4264" i="13"/>
  <c r="K4098" i="14" l="1"/>
  <c r="L4098" i="14" s="1"/>
  <c r="I4099" i="14" s="1"/>
  <c r="K4076" i="13"/>
  <c r="L4076" i="13" s="1"/>
  <c r="I4077" i="13" s="1"/>
  <c r="M4266" i="14"/>
  <c r="J4261" i="14" a="1"/>
  <c r="J4261" i="14" s="1"/>
  <c r="N4262" i="14"/>
  <c r="M4265" i="13"/>
  <c r="J4262" i="13" a="1"/>
  <c r="J4262" i="13" s="1"/>
  <c r="N4263" i="13"/>
  <c r="K4077" i="13" l="1"/>
  <c r="L4077" i="13" s="1"/>
  <c r="I4078" i="13" s="1"/>
  <c r="K4099" i="14"/>
  <c r="L4099" i="14" s="1"/>
  <c r="I4100" i="14" s="1"/>
  <c r="N4264" i="13"/>
  <c r="J4263" i="13" a="1"/>
  <c r="J4263" i="13" s="1"/>
  <c r="N4263" i="14"/>
  <c r="J4262" i="14" a="1"/>
  <c r="J4262" i="14" s="1"/>
  <c r="M4267" i="14"/>
  <c r="M4266" i="13"/>
  <c r="K4100" i="14" l="1"/>
  <c r="L4100" i="14" s="1"/>
  <c r="I4101" i="14" s="1"/>
  <c r="K4078" i="13"/>
  <c r="L4078" i="13" s="1"/>
  <c r="I4079" i="13" s="1"/>
  <c r="N4264" i="14"/>
  <c r="J4263" i="14" a="1"/>
  <c r="J4263" i="14" s="1"/>
  <c r="M4267" i="13"/>
  <c r="M4268" i="14"/>
  <c r="J4264" i="13" a="1"/>
  <c r="J4264" i="13" s="1"/>
  <c r="N4265" i="13"/>
  <c r="K4079" i="13" l="1"/>
  <c r="L4079" i="13" s="1"/>
  <c r="I4080" i="13" s="1"/>
  <c r="K4101" i="14"/>
  <c r="L4101" i="14" s="1"/>
  <c r="I4102" i="14" s="1"/>
  <c r="N4266" i="13"/>
  <c r="J4265" i="13" a="1"/>
  <c r="J4265" i="13" s="1"/>
  <c r="M4268" i="13"/>
  <c r="M4269" i="14"/>
  <c r="J4264" i="14" a="1"/>
  <c r="J4264" i="14" s="1"/>
  <c r="N4265" i="14"/>
  <c r="K4102" i="14" l="1"/>
  <c r="L4102" i="14" s="1"/>
  <c r="I4103" i="14" s="1"/>
  <c r="K4080" i="13"/>
  <c r="L4080" i="13" s="1"/>
  <c r="I4081" i="13" s="1"/>
  <c r="J4265" i="14" a="1"/>
  <c r="J4265" i="14" s="1"/>
  <c r="N4266" i="14"/>
  <c r="M4269" i="13"/>
  <c r="M4270" i="14"/>
  <c r="J4266" i="13" a="1"/>
  <c r="J4266" i="13" s="1"/>
  <c r="N4267" i="13"/>
  <c r="K4081" i="13" l="1"/>
  <c r="L4081" i="13" s="1"/>
  <c r="I4082" i="13" s="1"/>
  <c r="K4103" i="14"/>
  <c r="L4103" i="14" s="1"/>
  <c r="I4104" i="14" s="1"/>
  <c r="N4268" i="13"/>
  <c r="J4267" i="13" a="1"/>
  <c r="J4267" i="13" s="1"/>
  <c r="M4270" i="13"/>
  <c r="M4271" i="14"/>
  <c r="J4266" i="14" a="1"/>
  <c r="J4266" i="14" s="1"/>
  <c r="N4267" i="14"/>
  <c r="K4104" i="14" l="1"/>
  <c r="L4104" i="14" s="1"/>
  <c r="I4105" i="14" s="1"/>
  <c r="K4082" i="13"/>
  <c r="L4082" i="13" s="1"/>
  <c r="I4083" i="13" s="1"/>
  <c r="N4268" i="14"/>
  <c r="J4267" i="14" a="1"/>
  <c r="J4267" i="14" s="1"/>
  <c r="M4271" i="13"/>
  <c r="M4272" i="14"/>
  <c r="J4268" i="13" a="1"/>
  <c r="J4268" i="13" s="1"/>
  <c r="N4269" i="13"/>
  <c r="K4083" i="13" l="1"/>
  <c r="L4083" i="13" s="1"/>
  <c r="I4084" i="13" s="1"/>
  <c r="K4105" i="14"/>
  <c r="L4105" i="14" s="1"/>
  <c r="I4106" i="14" s="1"/>
  <c r="N4270" i="13"/>
  <c r="J4269" i="13" a="1"/>
  <c r="J4269" i="13" s="1"/>
  <c r="M4272" i="13"/>
  <c r="M4273" i="14"/>
  <c r="J4268" i="14" a="1"/>
  <c r="J4268" i="14" s="1"/>
  <c r="N4269" i="14"/>
  <c r="K4106" i="14" l="1"/>
  <c r="L4106" i="14" s="1"/>
  <c r="I4107" i="14" s="1"/>
  <c r="K4084" i="13"/>
  <c r="L4084" i="13" s="1"/>
  <c r="I4085" i="13" s="1"/>
  <c r="J4269" i="14" a="1"/>
  <c r="J4269" i="14" s="1"/>
  <c r="N4270" i="14"/>
  <c r="M4273" i="13"/>
  <c r="M4274" i="14"/>
  <c r="J4270" i="13" a="1"/>
  <c r="J4270" i="13" s="1"/>
  <c r="N4271" i="13"/>
  <c r="K4085" i="13" l="1"/>
  <c r="L4085" i="13" s="1"/>
  <c r="I4086" i="13" s="1"/>
  <c r="K4107" i="14"/>
  <c r="L4107" i="14" s="1"/>
  <c r="I4108" i="14" s="1"/>
  <c r="M4275" i="14"/>
  <c r="N4272" i="13"/>
  <c r="J4271" i="13" a="1"/>
  <c r="J4271" i="13" s="1"/>
  <c r="M4274" i="13"/>
  <c r="N4271" i="14"/>
  <c r="J4270" i="14" a="1"/>
  <c r="J4270" i="14" s="1"/>
  <c r="K4108" i="14" l="1"/>
  <c r="L4108" i="14" s="1"/>
  <c r="I4109" i="14" s="1"/>
  <c r="K4086" i="13"/>
  <c r="L4086" i="13" s="1"/>
  <c r="I4087" i="13" s="1"/>
  <c r="J4272" i="13" a="1"/>
  <c r="J4272" i="13" s="1"/>
  <c r="N4273" i="13"/>
  <c r="N4272" i="14"/>
  <c r="J4271" i="14" a="1"/>
  <c r="J4271" i="14" s="1"/>
  <c r="M4275" i="13"/>
  <c r="M4276" i="14"/>
  <c r="K4109" i="14" l="1"/>
  <c r="L4109" i="14" s="1"/>
  <c r="I4110" i="14" s="1"/>
  <c r="J4272" i="14" a="1"/>
  <c r="J4272" i="14" s="1"/>
  <c r="N4273" i="14"/>
  <c r="N4274" i="13"/>
  <c r="J4273" i="13" a="1"/>
  <c r="J4273" i="13" s="1"/>
  <c r="M4277" i="14"/>
  <c r="K4087" i="13"/>
  <c r="L4087" i="13" s="1"/>
  <c r="I4088" i="13" s="1"/>
  <c r="M4276" i="13"/>
  <c r="K4088" i="13" l="1"/>
  <c r="L4088" i="13" s="1"/>
  <c r="I4089" i="13" s="1"/>
  <c r="K4110" i="14"/>
  <c r="L4110" i="14" s="1"/>
  <c r="I4111" i="14" s="1"/>
  <c r="M4277" i="13"/>
  <c r="M4278" i="14"/>
  <c r="J4273" i="14" a="1"/>
  <c r="J4273" i="14" s="1"/>
  <c r="N4274" i="14"/>
  <c r="J4274" i="13" a="1"/>
  <c r="J4274" i="13" s="1"/>
  <c r="N4275" i="13"/>
  <c r="K4089" i="13" l="1"/>
  <c r="L4089" i="13" s="1"/>
  <c r="I4090" i="13" s="1"/>
  <c r="N4276" i="13"/>
  <c r="J4275" i="13" a="1"/>
  <c r="J4275" i="13" s="1"/>
  <c r="M4279" i="14"/>
  <c r="K4111" i="14"/>
  <c r="L4111" i="14" s="1"/>
  <c r="I4112" i="14" s="1"/>
  <c r="N4275" i="14"/>
  <c r="J4274" i="14" a="1"/>
  <c r="J4274" i="14" s="1"/>
  <c r="M4278" i="13"/>
  <c r="K4112" i="14" l="1"/>
  <c r="L4112" i="14" s="1"/>
  <c r="I4113" i="14" s="1"/>
  <c r="K4090" i="13"/>
  <c r="L4090" i="13" s="1"/>
  <c r="I4091" i="13" s="1"/>
  <c r="J4276" i="13" a="1"/>
  <c r="J4276" i="13" s="1"/>
  <c r="N4277" i="13"/>
  <c r="M4279" i="13"/>
  <c r="N4276" i="14"/>
  <c r="J4275" i="14" a="1"/>
  <c r="J4275" i="14" s="1"/>
  <c r="M4280" i="14"/>
  <c r="K4091" i="13" l="1"/>
  <c r="L4091" i="13" s="1"/>
  <c r="I4092" i="13" s="1"/>
  <c r="K4113" i="14"/>
  <c r="L4113" i="14" s="1"/>
  <c r="I4114" i="14" s="1"/>
  <c r="J4276" i="14" a="1"/>
  <c r="J4276" i="14" s="1"/>
  <c r="N4277" i="14"/>
  <c r="M4281" i="14"/>
  <c r="M4280" i="13"/>
  <c r="N4278" i="13"/>
  <c r="J4277" i="13" a="1"/>
  <c r="J4277" i="13" s="1"/>
  <c r="K4114" i="14" l="1"/>
  <c r="L4114" i="14" s="1"/>
  <c r="I4115" i="14" s="1"/>
  <c r="K4092" i="13"/>
  <c r="L4092" i="13" s="1"/>
  <c r="I4093" i="13" s="1"/>
  <c r="M4281" i="13"/>
  <c r="J4278" i="13" a="1"/>
  <c r="J4278" i="13" s="1"/>
  <c r="N4279" i="13"/>
  <c r="M4282" i="14"/>
  <c r="J4277" i="14" a="1"/>
  <c r="J4277" i="14" s="1"/>
  <c r="N4278" i="14"/>
  <c r="K4093" i="13" l="1"/>
  <c r="L4093" i="13" s="1"/>
  <c r="I4094" i="13" s="1"/>
  <c r="K4115" i="14"/>
  <c r="L4115" i="14" s="1"/>
  <c r="I4116" i="14" s="1"/>
  <c r="N4280" i="13"/>
  <c r="J4279" i="13" a="1"/>
  <c r="J4279" i="13" s="1"/>
  <c r="N4279" i="14"/>
  <c r="J4278" i="14" a="1"/>
  <c r="J4278" i="14" s="1"/>
  <c r="M4283" i="14"/>
  <c r="M4282" i="13"/>
  <c r="K4116" i="14" l="1"/>
  <c r="L4116" i="14" s="1"/>
  <c r="I4117" i="14" s="1"/>
  <c r="K4094" i="13"/>
  <c r="L4094" i="13" s="1"/>
  <c r="I4095" i="13" s="1"/>
  <c r="M4283" i="13"/>
  <c r="N4280" i="14"/>
  <c r="J4279" i="14" a="1"/>
  <c r="J4279" i="14" s="1"/>
  <c r="M4284" i="14"/>
  <c r="J4280" i="13" a="1"/>
  <c r="J4280" i="13" s="1"/>
  <c r="N4281" i="13"/>
  <c r="K4095" i="13" l="1"/>
  <c r="L4095" i="13" s="1"/>
  <c r="I4096" i="13" s="1"/>
  <c r="K4117" i="14"/>
  <c r="L4117" i="14" s="1"/>
  <c r="I4118" i="14" s="1"/>
  <c r="J4280" i="14" a="1"/>
  <c r="J4280" i="14" s="1"/>
  <c r="N4281" i="14"/>
  <c r="N4282" i="13"/>
  <c r="J4281" i="13" a="1"/>
  <c r="J4281" i="13" s="1"/>
  <c r="M4285" i="14"/>
  <c r="M4284" i="13"/>
  <c r="K4118" i="14" l="1"/>
  <c r="L4118" i="14" s="1"/>
  <c r="I4119" i="14" s="1"/>
  <c r="K4096" i="13"/>
  <c r="L4096" i="13" s="1"/>
  <c r="I4097" i="13" s="1"/>
  <c r="M4285" i="13"/>
  <c r="J4282" i="13" a="1"/>
  <c r="J4282" i="13" s="1"/>
  <c r="N4283" i="13"/>
  <c r="J4281" i="14" a="1"/>
  <c r="J4281" i="14" s="1"/>
  <c r="N4282" i="14"/>
  <c r="M4286" i="14"/>
  <c r="K4097" i="13" l="1"/>
  <c r="L4097" i="13" s="1"/>
  <c r="I4098" i="13" s="1"/>
  <c r="K4119" i="14"/>
  <c r="L4119" i="14" s="1"/>
  <c r="I4120" i="14" s="1"/>
  <c r="M4287" i="14"/>
  <c r="N4284" i="13"/>
  <c r="J4283" i="13" a="1"/>
  <c r="J4283" i="13" s="1"/>
  <c r="J4282" i="14" a="1"/>
  <c r="J4282" i="14" s="1"/>
  <c r="N4283" i="14"/>
  <c r="M4286" i="13"/>
  <c r="K4120" i="14" l="1"/>
  <c r="L4120" i="14" s="1"/>
  <c r="I4121" i="14" s="1"/>
  <c r="K4098" i="13"/>
  <c r="L4098" i="13" s="1"/>
  <c r="I4099" i="13" s="1"/>
  <c r="J4284" i="13" a="1"/>
  <c r="J4284" i="13" s="1"/>
  <c r="N4285" i="13"/>
  <c r="N4284" i="14"/>
  <c r="J4283" i="14" a="1"/>
  <c r="J4283" i="14" s="1"/>
  <c r="M4287" i="13"/>
  <c r="M4288" i="14"/>
  <c r="K4099" i="13" l="1"/>
  <c r="L4099" i="13" s="1"/>
  <c r="I4100" i="13" s="1"/>
  <c r="K4121" i="14"/>
  <c r="L4121" i="14" s="1"/>
  <c r="I4122" i="14" s="1"/>
  <c r="J4284" i="14" a="1"/>
  <c r="J4284" i="14" s="1"/>
  <c r="N4285" i="14"/>
  <c r="N4286" i="13"/>
  <c r="J4285" i="13" a="1"/>
  <c r="J4285" i="13" s="1"/>
  <c r="M4289" i="14"/>
  <c r="M4288" i="13"/>
  <c r="K4122" i="14" l="1"/>
  <c r="L4122" i="14" s="1"/>
  <c r="I4123" i="14" s="1"/>
  <c r="K4100" i="13"/>
  <c r="L4100" i="13" s="1"/>
  <c r="I4101" i="13" s="1"/>
  <c r="J4286" i="13" a="1"/>
  <c r="J4286" i="13" s="1"/>
  <c r="N4287" i="13"/>
  <c r="J4285" i="14" a="1"/>
  <c r="J4285" i="14" s="1"/>
  <c r="N4286" i="14"/>
  <c r="M4289" i="13"/>
  <c r="M4290" i="14"/>
  <c r="K4101" i="13" l="1"/>
  <c r="L4101" i="13" s="1"/>
  <c r="I4102" i="13" s="1"/>
  <c r="K4123" i="14"/>
  <c r="L4123" i="14" s="1"/>
  <c r="I4124" i="14" s="1"/>
  <c r="N4287" i="14"/>
  <c r="J4286" i="14" a="1"/>
  <c r="J4286" i="14" s="1"/>
  <c r="M4291" i="14"/>
  <c r="N4288" i="13"/>
  <c r="J4287" i="13" a="1"/>
  <c r="J4287" i="13" s="1"/>
  <c r="M4290" i="13"/>
  <c r="K4124" i="14" l="1"/>
  <c r="L4124" i="14" s="1"/>
  <c r="I4125" i="14" s="1"/>
  <c r="K4102" i="13"/>
  <c r="L4102" i="13" s="1"/>
  <c r="I4103" i="13" s="1"/>
  <c r="M4291" i="13"/>
  <c r="J4288" i="13" a="1"/>
  <c r="J4288" i="13" s="1"/>
  <c r="N4289" i="13"/>
  <c r="M4292" i="14"/>
  <c r="N4288" i="14"/>
  <c r="J4287" i="14" a="1"/>
  <c r="J4287" i="14" s="1"/>
  <c r="K4103" i="13" l="1"/>
  <c r="L4103" i="13" s="1"/>
  <c r="I4104" i="13" s="1"/>
  <c r="K4125" i="14"/>
  <c r="L4125" i="14" s="1"/>
  <c r="I4126" i="14" s="1"/>
  <c r="N4290" i="13"/>
  <c r="J4289" i="13" a="1"/>
  <c r="J4289" i="13" s="1"/>
  <c r="J4288" i="14" a="1"/>
  <c r="J4288" i="14" s="1"/>
  <c r="N4289" i="14"/>
  <c r="M4293" i="14"/>
  <c r="M4292" i="13"/>
  <c r="K4126" i="14" l="1"/>
  <c r="L4126" i="14" s="1"/>
  <c r="I4127" i="14" s="1"/>
  <c r="K4104" i="13"/>
  <c r="L4104" i="13" s="1"/>
  <c r="I4105" i="13" s="1"/>
  <c r="J4289" i="14" a="1"/>
  <c r="J4289" i="14" s="1"/>
  <c r="N4290" i="14"/>
  <c r="M4293" i="13"/>
  <c r="M4294" i="14"/>
  <c r="J4290" i="13" a="1"/>
  <c r="J4290" i="13" s="1"/>
  <c r="N4291" i="13"/>
  <c r="K4105" i="13" l="1"/>
  <c r="L4105" i="13" s="1"/>
  <c r="I4106" i="13" s="1"/>
  <c r="K4127" i="14"/>
  <c r="L4127" i="14" s="1"/>
  <c r="I4128" i="14" s="1"/>
  <c r="N4292" i="13"/>
  <c r="J4291" i="13" a="1"/>
  <c r="J4291" i="13" s="1"/>
  <c r="M4294" i="13"/>
  <c r="N4291" i="14"/>
  <c r="J4290" i="14" a="1"/>
  <c r="J4290" i="14" s="1"/>
  <c r="M4295" i="14"/>
  <c r="K4128" i="14" l="1"/>
  <c r="L4128" i="14" s="1"/>
  <c r="I4129" i="14" s="1"/>
  <c r="K4106" i="13"/>
  <c r="L4106" i="13" s="1"/>
  <c r="I4107" i="13" s="1"/>
  <c r="M4295" i="13"/>
  <c r="M4296" i="14"/>
  <c r="N4292" i="14"/>
  <c r="J4291" i="14" a="1"/>
  <c r="J4291" i="14" s="1"/>
  <c r="J4292" i="13" a="1"/>
  <c r="J4292" i="13" s="1"/>
  <c r="N4293" i="13"/>
  <c r="K4107" i="13" l="1"/>
  <c r="L4107" i="13" s="1"/>
  <c r="I4108" i="13" s="1"/>
  <c r="K4129" i="14"/>
  <c r="L4129" i="14" s="1"/>
  <c r="I4130" i="14" s="1"/>
  <c r="N4294" i="13"/>
  <c r="J4293" i="13" a="1"/>
  <c r="J4293" i="13" s="1"/>
  <c r="M4297" i="14"/>
  <c r="J4292" i="14" a="1"/>
  <c r="J4292" i="14" s="1"/>
  <c r="N4293" i="14"/>
  <c r="M4296" i="13"/>
  <c r="K4108" i="13" l="1"/>
  <c r="L4108" i="13" s="1"/>
  <c r="I4109" i="13" s="1"/>
  <c r="J4293" i="14" a="1"/>
  <c r="J4293" i="14" s="1"/>
  <c r="N4294" i="14"/>
  <c r="M4297" i="13"/>
  <c r="K4130" i="14"/>
  <c r="L4130" i="14" s="1"/>
  <c r="I4131" i="14" s="1"/>
  <c r="M4298" i="14"/>
  <c r="J4294" i="13" a="1"/>
  <c r="J4294" i="13" s="1"/>
  <c r="N4295" i="13"/>
  <c r="K4131" i="14" l="1"/>
  <c r="L4131" i="14" s="1"/>
  <c r="I4132" i="14" s="1"/>
  <c r="K4109" i="13"/>
  <c r="L4109" i="13" s="1"/>
  <c r="I4110" i="13" s="1"/>
  <c r="N4296" i="13"/>
  <c r="J4295" i="13" a="1"/>
  <c r="J4295" i="13" s="1"/>
  <c r="N4295" i="14"/>
  <c r="J4294" i="14" a="1"/>
  <c r="J4294" i="14" s="1"/>
  <c r="M4299" i="14"/>
  <c r="M4298" i="13"/>
  <c r="K4110" i="13" l="1"/>
  <c r="L4110" i="13" s="1"/>
  <c r="I4111" i="13" s="1"/>
  <c r="K4132" i="14"/>
  <c r="L4132" i="14" s="1"/>
  <c r="I4133" i="14" s="1"/>
  <c r="M4299" i="13"/>
  <c r="N4296" i="14"/>
  <c r="J4295" i="14" a="1"/>
  <c r="J4295" i="14" s="1"/>
  <c r="M4300" i="14"/>
  <c r="J4296" i="13" a="1"/>
  <c r="J4296" i="13" s="1"/>
  <c r="N4297" i="13"/>
  <c r="K4133" i="14" l="1"/>
  <c r="L4133" i="14" s="1"/>
  <c r="I4134" i="14" s="1"/>
  <c r="K4111" i="13"/>
  <c r="L4111" i="13" s="1"/>
  <c r="I4112" i="13" s="1"/>
  <c r="N4298" i="13"/>
  <c r="J4297" i="13" a="1"/>
  <c r="J4297" i="13" s="1"/>
  <c r="J4296" i="14" a="1"/>
  <c r="J4296" i="14" s="1"/>
  <c r="N4297" i="14"/>
  <c r="M4301" i="14"/>
  <c r="M4300" i="13"/>
  <c r="K4112" i="13" l="1"/>
  <c r="L4112" i="13" s="1"/>
  <c r="I4113" i="13" s="1"/>
  <c r="K4134" i="14"/>
  <c r="L4134" i="14" s="1"/>
  <c r="I4135" i="14" s="1"/>
  <c r="M4301" i="13"/>
  <c r="J4297" i="14" a="1"/>
  <c r="J4297" i="14" s="1"/>
  <c r="N4298" i="14"/>
  <c r="M4302" i="14"/>
  <c r="J4298" i="13" a="1"/>
  <c r="J4298" i="13" s="1"/>
  <c r="N4299" i="13"/>
  <c r="K4135" i="14" l="1"/>
  <c r="L4135" i="14" s="1"/>
  <c r="I4136" i="14" s="1"/>
  <c r="K4113" i="13"/>
  <c r="L4113" i="13" s="1"/>
  <c r="I4114" i="13" s="1"/>
  <c r="J4298" i="14" a="1"/>
  <c r="J4298" i="14" s="1"/>
  <c r="N4299" i="14"/>
  <c r="N4300" i="13"/>
  <c r="J4299" i="13" a="1"/>
  <c r="J4299" i="13" s="1"/>
  <c r="M4303" i="14"/>
  <c r="M4302" i="13"/>
  <c r="K4114" i="13" l="1"/>
  <c r="L4114" i="13" s="1"/>
  <c r="I4115" i="13" s="1"/>
  <c r="K4136" i="14"/>
  <c r="L4136" i="14" s="1"/>
  <c r="I4137" i="14" s="1"/>
  <c r="J4300" i="13" a="1"/>
  <c r="J4300" i="13" s="1"/>
  <c r="N4301" i="13"/>
  <c r="M4303" i="13"/>
  <c r="N4300" i="14"/>
  <c r="J4299" i="14" a="1"/>
  <c r="J4299" i="14" s="1"/>
  <c r="M4304" i="14"/>
  <c r="K4137" i="14" l="1"/>
  <c r="L4137" i="14" s="1"/>
  <c r="I4138" i="14" s="1"/>
  <c r="K4115" i="13"/>
  <c r="L4115" i="13" s="1"/>
  <c r="I4116" i="13" s="1"/>
  <c r="M4305" i="14"/>
  <c r="M4304" i="13"/>
  <c r="N4302" i="13"/>
  <c r="J4301" i="13" a="1"/>
  <c r="J4301" i="13" s="1"/>
  <c r="J4300" i="14" a="1"/>
  <c r="J4300" i="14" s="1"/>
  <c r="N4301" i="14"/>
  <c r="K4116" i="13" l="1"/>
  <c r="L4116" i="13" s="1"/>
  <c r="I4117" i="13" s="1"/>
  <c r="K4138" i="14"/>
  <c r="L4138" i="14" s="1"/>
  <c r="I4139" i="14" s="1"/>
  <c r="J4301" i="14" a="1"/>
  <c r="J4301" i="14" s="1"/>
  <c r="N4302" i="14"/>
  <c r="M4305" i="13"/>
  <c r="J4302" i="13" a="1"/>
  <c r="J4302" i="13" s="1"/>
  <c r="N4303" i="13"/>
  <c r="M4306" i="14"/>
  <c r="K4139" i="14" l="1"/>
  <c r="L4139" i="14" s="1"/>
  <c r="I4140" i="14" s="1"/>
  <c r="K4117" i="13"/>
  <c r="L4117" i="13" s="1"/>
  <c r="I4118" i="13" s="1"/>
  <c r="N4304" i="13"/>
  <c r="J4303" i="13" a="1"/>
  <c r="J4303" i="13" s="1"/>
  <c r="M4307" i="14"/>
  <c r="M4306" i="13"/>
  <c r="N4303" i="14"/>
  <c r="J4302" i="14" a="1"/>
  <c r="J4302" i="14" s="1"/>
  <c r="K4118" i="13" l="1"/>
  <c r="L4118" i="13" s="1"/>
  <c r="I4119" i="13" s="1"/>
  <c r="K4140" i="14"/>
  <c r="L4140" i="14" s="1"/>
  <c r="I4141" i="14" s="1"/>
  <c r="N4304" i="14"/>
  <c r="J4303" i="14" a="1"/>
  <c r="J4303" i="14" s="1"/>
  <c r="M4308" i="14"/>
  <c r="M4307" i="13"/>
  <c r="J4304" i="13" a="1"/>
  <c r="J4304" i="13" s="1"/>
  <c r="N4305" i="13"/>
  <c r="K4141" i="14" l="1"/>
  <c r="L4141" i="14" s="1"/>
  <c r="I4142" i="14" s="1"/>
  <c r="K4119" i="13"/>
  <c r="L4119" i="13" s="1"/>
  <c r="I4120" i="13" s="1"/>
  <c r="N4306" i="13"/>
  <c r="J4305" i="13" a="1"/>
  <c r="J4305" i="13" s="1"/>
  <c r="M4309" i="14"/>
  <c r="M4308" i="13"/>
  <c r="J4304" i="14" a="1"/>
  <c r="J4304" i="14" s="1"/>
  <c r="N4305" i="14"/>
  <c r="K4120" i="13" l="1"/>
  <c r="L4120" i="13" s="1"/>
  <c r="I4121" i="13" s="1"/>
  <c r="K4142" i="14"/>
  <c r="L4142" i="14" s="1"/>
  <c r="I4143" i="14" s="1"/>
  <c r="J4305" i="14" a="1"/>
  <c r="J4305" i="14" s="1"/>
  <c r="N4306" i="14"/>
  <c r="M4310" i="14"/>
  <c r="M4309" i="13"/>
  <c r="J4306" i="13" a="1"/>
  <c r="J4306" i="13" s="1"/>
  <c r="N4307" i="13"/>
  <c r="K4143" i="14" l="1"/>
  <c r="L4143" i="14" s="1"/>
  <c r="I4144" i="14" s="1"/>
  <c r="K4121" i="13"/>
  <c r="L4121" i="13" s="1"/>
  <c r="I4122" i="13" s="1"/>
  <c r="N4308" i="13"/>
  <c r="J4307" i="13" a="1"/>
  <c r="J4307" i="13" s="1"/>
  <c r="M4311" i="14"/>
  <c r="N4307" i="14"/>
  <c r="J4306" i="14" a="1"/>
  <c r="J4306" i="14" s="1"/>
  <c r="M4310" i="13"/>
  <c r="K4122" i="13" l="1"/>
  <c r="L4122" i="13" s="1"/>
  <c r="I4123" i="13" s="1"/>
  <c r="K4144" i="14"/>
  <c r="L4144" i="14" s="1"/>
  <c r="I4145" i="14" s="1"/>
  <c r="M4311" i="13"/>
  <c r="M4312" i="14"/>
  <c r="N4308" i="14"/>
  <c r="J4307" i="14" a="1"/>
  <c r="J4307" i="14" s="1"/>
  <c r="J4308" i="13" a="1"/>
  <c r="J4308" i="13" s="1"/>
  <c r="N4309" i="13"/>
  <c r="K4145" i="14" l="1"/>
  <c r="L4145" i="14" s="1"/>
  <c r="I4146" i="14" s="1"/>
  <c r="K4123" i="13"/>
  <c r="L4123" i="13" s="1"/>
  <c r="I4124" i="13" s="1"/>
  <c r="N4310" i="13"/>
  <c r="J4309" i="13" a="1"/>
  <c r="J4309" i="13" s="1"/>
  <c r="M4313" i="14"/>
  <c r="J4308" i="14" a="1"/>
  <c r="J4308" i="14" s="1"/>
  <c r="N4309" i="14"/>
  <c r="M4312" i="13"/>
  <c r="K4124" i="13" l="1"/>
  <c r="L4124" i="13" s="1"/>
  <c r="I4125" i="13" s="1"/>
  <c r="K4146" i="14"/>
  <c r="L4146" i="14" s="1"/>
  <c r="I4147" i="14" s="1"/>
  <c r="M4313" i="13"/>
  <c r="J4309" i="14" a="1"/>
  <c r="J4309" i="14" s="1"/>
  <c r="N4310" i="14"/>
  <c r="M4314" i="14"/>
  <c r="J4310" i="13" a="1"/>
  <c r="J4310" i="13" s="1"/>
  <c r="N4311" i="13"/>
  <c r="K4147" i="14" l="1"/>
  <c r="L4147" i="14" s="1"/>
  <c r="I4148" i="14" s="1"/>
  <c r="K4125" i="13"/>
  <c r="L4125" i="13" s="1"/>
  <c r="I4126" i="13" s="1"/>
  <c r="N4311" i="14"/>
  <c r="J4310" i="14" a="1"/>
  <c r="J4310" i="14" s="1"/>
  <c r="N4312" i="13"/>
  <c r="J4311" i="13" a="1"/>
  <c r="J4311" i="13" s="1"/>
  <c r="M4315" i="14"/>
  <c r="M4314" i="13"/>
  <c r="K4126" i="13" l="1"/>
  <c r="L4126" i="13" s="1"/>
  <c r="I4127" i="13" s="1"/>
  <c r="K4148" i="14"/>
  <c r="L4148" i="14" s="1"/>
  <c r="I4149" i="14" s="1"/>
  <c r="J4312" i="13" a="1"/>
  <c r="J4312" i="13" s="1"/>
  <c r="N4313" i="13"/>
  <c r="M4315" i="13"/>
  <c r="M4316" i="14"/>
  <c r="N4312" i="14"/>
  <c r="J4311" i="14" a="1"/>
  <c r="J4311" i="14" s="1"/>
  <c r="K4149" i="14" l="1"/>
  <c r="L4149" i="14" s="1"/>
  <c r="I4150" i="14" s="1"/>
  <c r="K4127" i="13"/>
  <c r="L4127" i="13" s="1"/>
  <c r="I4128" i="13" s="1"/>
  <c r="J4312" i="14" a="1"/>
  <c r="J4312" i="14" s="1"/>
  <c r="N4313" i="14"/>
  <c r="M4316" i="13"/>
  <c r="N4314" i="13"/>
  <c r="J4313" i="13" a="1"/>
  <c r="J4313" i="13" s="1"/>
  <c r="M4317" i="14"/>
  <c r="K4128" i="13" l="1"/>
  <c r="L4128" i="13" s="1"/>
  <c r="I4129" i="13" s="1"/>
  <c r="K4150" i="14"/>
  <c r="L4150" i="14" s="1"/>
  <c r="I4151" i="14" s="1"/>
  <c r="M4318" i="14"/>
  <c r="M4317" i="13"/>
  <c r="J4313" i="14" a="1"/>
  <c r="J4313" i="14" s="1"/>
  <c r="N4314" i="14"/>
  <c r="J4314" i="13" a="1"/>
  <c r="J4314" i="13" s="1"/>
  <c r="N4315" i="13"/>
  <c r="K4151" i="14" l="1"/>
  <c r="L4151" i="14" s="1"/>
  <c r="I4152" i="14" s="1"/>
  <c r="K4129" i="13"/>
  <c r="L4129" i="13" s="1"/>
  <c r="I4130" i="13" s="1"/>
  <c r="N4316" i="13"/>
  <c r="J4315" i="13" a="1"/>
  <c r="J4315" i="13" s="1"/>
  <c r="M4318" i="13"/>
  <c r="J4314" i="14" a="1"/>
  <c r="J4314" i="14" s="1"/>
  <c r="N4315" i="14"/>
  <c r="M4319" i="14"/>
  <c r="K4130" i="13" l="1"/>
  <c r="L4130" i="13" s="1"/>
  <c r="I4131" i="13" s="1"/>
  <c r="K4152" i="14"/>
  <c r="L4152" i="14" s="1"/>
  <c r="I4153" i="14" s="1"/>
  <c r="M4319" i="13"/>
  <c r="M4320" i="14"/>
  <c r="N4316" i="14"/>
  <c r="J4315" i="14" a="1"/>
  <c r="J4315" i="14" s="1"/>
  <c r="J4316" i="13" a="1"/>
  <c r="J4316" i="13" s="1"/>
  <c r="N4317" i="13"/>
  <c r="K4153" i="14" l="1"/>
  <c r="L4153" i="14" s="1"/>
  <c r="I4154" i="14" s="1"/>
  <c r="K4131" i="13"/>
  <c r="L4131" i="13" s="1"/>
  <c r="I4132" i="13" s="1"/>
  <c r="N4318" i="13"/>
  <c r="J4317" i="13" a="1"/>
  <c r="J4317" i="13" s="1"/>
  <c r="M4321" i="14"/>
  <c r="J4316" i="14" a="1"/>
  <c r="J4316" i="14" s="1"/>
  <c r="N4317" i="14"/>
  <c r="M4320" i="13"/>
  <c r="K4132" i="13" l="1"/>
  <c r="L4132" i="13" s="1"/>
  <c r="I4133" i="13" s="1"/>
  <c r="K4154" i="14"/>
  <c r="L4154" i="14" s="1"/>
  <c r="I4155" i="14" s="1"/>
  <c r="M4321" i="13"/>
  <c r="J4317" i="14" a="1"/>
  <c r="J4317" i="14" s="1"/>
  <c r="N4318" i="14"/>
  <c r="M4322" i="14"/>
  <c r="J4318" i="13" a="1"/>
  <c r="J4318" i="13" s="1"/>
  <c r="N4319" i="13"/>
  <c r="K4155" i="14" l="1"/>
  <c r="L4155" i="14" s="1"/>
  <c r="I4156" i="14" s="1"/>
  <c r="K4133" i="13"/>
  <c r="L4133" i="13" s="1"/>
  <c r="I4134" i="13" s="1"/>
  <c r="N4319" i="14"/>
  <c r="J4318" i="14" a="1"/>
  <c r="J4318" i="14" s="1"/>
  <c r="N4320" i="13"/>
  <c r="J4319" i="13" a="1"/>
  <c r="J4319" i="13" s="1"/>
  <c r="M4323" i="14"/>
  <c r="M4322" i="13"/>
  <c r="K4134" i="13" l="1"/>
  <c r="L4134" i="13" s="1"/>
  <c r="I4135" i="13" s="1"/>
  <c r="K4156" i="14"/>
  <c r="L4156" i="14" s="1"/>
  <c r="I4157" i="14" s="1"/>
  <c r="J4320" i="13" a="1"/>
  <c r="J4320" i="13" s="1"/>
  <c r="N4321" i="13"/>
  <c r="M4323" i="13"/>
  <c r="M4324" i="14"/>
  <c r="N4320" i="14"/>
  <c r="J4319" i="14" a="1"/>
  <c r="J4319" i="14" s="1"/>
  <c r="K4157" i="14" l="1"/>
  <c r="L4157" i="14" s="1"/>
  <c r="I4158" i="14" s="1"/>
  <c r="K4135" i="13"/>
  <c r="L4135" i="13" s="1"/>
  <c r="I4136" i="13" s="1"/>
  <c r="J4320" i="14" a="1"/>
  <c r="J4320" i="14" s="1"/>
  <c r="N4321" i="14"/>
  <c r="M4324" i="13"/>
  <c r="N4322" i="13"/>
  <c r="J4321" i="13" a="1"/>
  <c r="J4321" i="13" s="1"/>
  <c r="M4325" i="14"/>
  <c r="K4136" i="13" l="1"/>
  <c r="L4136" i="13" s="1"/>
  <c r="I4137" i="13" s="1"/>
  <c r="K4158" i="14"/>
  <c r="L4158" i="14" s="1"/>
  <c r="I4159" i="14" s="1"/>
  <c r="J4322" i="13" a="1"/>
  <c r="J4322" i="13" s="1"/>
  <c r="N4323" i="13"/>
  <c r="M4326" i="14"/>
  <c r="M4325" i="13"/>
  <c r="J4321" i="14" a="1"/>
  <c r="J4321" i="14" s="1"/>
  <c r="N4322" i="14"/>
  <c r="K4159" i="14" l="1"/>
  <c r="L4159" i="14" s="1"/>
  <c r="I4160" i="14" s="1"/>
  <c r="K4137" i="13"/>
  <c r="L4137" i="13" s="1"/>
  <c r="I4138" i="13" s="1"/>
  <c r="N4323" i="14"/>
  <c r="J4322" i="14" a="1"/>
  <c r="J4322" i="14" s="1"/>
  <c r="M4327" i="14"/>
  <c r="N4324" i="13"/>
  <c r="J4323" i="13" a="1"/>
  <c r="J4323" i="13" s="1"/>
  <c r="M4326" i="13"/>
  <c r="K4138" i="13" l="1"/>
  <c r="L4138" i="13" s="1"/>
  <c r="I4139" i="13" s="1"/>
  <c r="K4160" i="14"/>
  <c r="L4160" i="14" s="1"/>
  <c r="I4161" i="14" s="1"/>
  <c r="M4327" i="13"/>
  <c r="M4328" i="14"/>
  <c r="J4324" i="13" a="1"/>
  <c r="J4324" i="13" s="1"/>
  <c r="N4325" i="13"/>
  <c r="N4324" i="14"/>
  <c r="J4323" i="14" a="1"/>
  <c r="J4323" i="14" s="1"/>
  <c r="K4161" i="14" l="1"/>
  <c r="L4161" i="14" s="1"/>
  <c r="I4162" i="14" s="1"/>
  <c r="K4139" i="13"/>
  <c r="L4139" i="13" s="1"/>
  <c r="I4140" i="13" s="1"/>
  <c r="J4324" i="14" a="1"/>
  <c r="J4324" i="14" s="1"/>
  <c r="N4325" i="14"/>
  <c r="M4329" i="14"/>
  <c r="N4326" i="13"/>
  <c r="J4325" i="13" a="1"/>
  <c r="J4325" i="13" s="1"/>
  <c r="M4328" i="13"/>
  <c r="K4140" i="13" l="1"/>
  <c r="L4140" i="13" s="1"/>
  <c r="I4141" i="13" s="1"/>
  <c r="K4162" i="14"/>
  <c r="L4162" i="14" s="1"/>
  <c r="I4163" i="14" s="1"/>
  <c r="M4329" i="13"/>
  <c r="M4330" i="14"/>
  <c r="J4325" i="14" a="1"/>
  <c r="J4325" i="14" s="1"/>
  <c r="N4326" i="14"/>
  <c r="J4326" i="13" a="1"/>
  <c r="J4326" i="13" s="1"/>
  <c r="N4327" i="13"/>
  <c r="K4163" i="14" l="1"/>
  <c r="L4163" i="14" s="1"/>
  <c r="I4164" i="14" s="1"/>
  <c r="K4141" i="13"/>
  <c r="L4141" i="13" s="1"/>
  <c r="I4142" i="13" s="1"/>
  <c r="N4328" i="13"/>
  <c r="J4327" i="13" a="1"/>
  <c r="J4327" i="13" s="1"/>
  <c r="M4331" i="14"/>
  <c r="N4327" i="14"/>
  <c r="J4326" i="14" a="1"/>
  <c r="J4326" i="14" s="1"/>
  <c r="M4330" i="13"/>
  <c r="K4142" i="13" l="1"/>
  <c r="L4142" i="13" s="1"/>
  <c r="I4143" i="13" s="1"/>
  <c r="K4164" i="14"/>
  <c r="L4164" i="14" s="1"/>
  <c r="I4165" i="14" s="1"/>
  <c r="M4331" i="13"/>
  <c r="M4332" i="14"/>
  <c r="N4328" i="14"/>
  <c r="J4327" i="14" a="1"/>
  <c r="J4327" i="14" s="1"/>
  <c r="J4328" i="13" a="1"/>
  <c r="J4328" i="13" s="1"/>
  <c r="N4329" i="13"/>
  <c r="K4165" i="14" l="1"/>
  <c r="L4165" i="14" s="1"/>
  <c r="I4166" i="14" s="1"/>
  <c r="K4143" i="13"/>
  <c r="L4143" i="13" s="1"/>
  <c r="I4144" i="13" s="1"/>
  <c r="N4330" i="13"/>
  <c r="J4329" i="13" a="1"/>
  <c r="J4329" i="13" s="1"/>
  <c r="M4333" i="14"/>
  <c r="J4328" i="14" a="1"/>
  <c r="J4328" i="14" s="1"/>
  <c r="N4329" i="14"/>
  <c r="M4332" i="13"/>
  <c r="K4144" i="13" l="1"/>
  <c r="L4144" i="13" s="1"/>
  <c r="I4145" i="13" s="1"/>
  <c r="K4166" i="14"/>
  <c r="L4166" i="14" s="1"/>
  <c r="I4167" i="14" s="1"/>
  <c r="M4334" i="14"/>
  <c r="J4329" i="14" a="1"/>
  <c r="J4329" i="14" s="1"/>
  <c r="N4330" i="14"/>
  <c r="M4333" i="13"/>
  <c r="J4330" i="13" a="1"/>
  <c r="J4330" i="13" s="1"/>
  <c r="N4331" i="13"/>
  <c r="K4167" i="14" l="1"/>
  <c r="L4167" i="14" s="1"/>
  <c r="I4168" i="14" s="1"/>
  <c r="K4145" i="13"/>
  <c r="L4145" i="13" s="1"/>
  <c r="I4146" i="13" s="1"/>
  <c r="J4330" i="14" a="1"/>
  <c r="J4330" i="14" s="1"/>
  <c r="N4331" i="14"/>
  <c r="N4332" i="13"/>
  <c r="J4331" i="13" a="1"/>
  <c r="J4331" i="13" s="1"/>
  <c r="M4335" i="14"/>
  <c r="M4334" i="13"/>
  <c r="K4146" i="13" l="1"/>
  <c r="L4146" i="13" s="1"/>
  <c r="I4147" i="13" s="1"/>
  <c r="K4168" i="14"/>
  <c r="L4168" i="14" s="1"/>
  <c r="I4169" i="14" s="1"/>
  <c r="J4332" i="13" a="1"/>
  <c r="J4332" i="13" s="1"/>
  <c r="N4333" i="13"/>
  <c r="M4335" i="13"/>
  <c r="N4332" i="14"/>
  <c r="J4331" i="14" a="1"/>
  <c r="J4331" i="14" s="1"/>
  <c r="M4336" i="14"/>
  <c r="K4169" i="14" l="1"/>
  <c r="L4169" i="14" s="1"/>
  <c r="I4170" i="14" s="1"/>
  <c r="K4147" i="13"/>
  <c r="L4147" i="13" s="1"/>
  <c r="I4148" i="13" s="1"/>
  <c r="M4337" i="14"/>
  <c r="M4336" i="13"/>
  <c r="N4334" i="13"/>
  <c r="J4333" i="13" a="1"/>
  <c r="J4333" i="13" s="1"/>
  <c r="J4332" i="14" a="1"/>
  <c r="J4332" i="14" s="1"/>
  <c r="N4333" i="14"/>
  <c r="K4148" i="13" l="1"/>
  <c r="L4148" i="13" s="1"/>
  <c r="I4149" i="13" s="1"/>
  <c r="K4170" i="14"/>
  <c r="L4170" i="14" s="1"/>
  <c r="I4171" i="14" s="1"/>
  <c r="J4333" i="14" a="1"/>
  <c r="J4333" i="14" s="1"/>
  <c r="N4334" i="14"/>
  <c r="M4337" i="13"/>
  <c r="J4334" i="13" a="1"/>
  <c r="J4334" i="13" s="1"/>
  <c r="N4335" i="13"/>
  <c r="M4338" i="14"/>
  <c r="K4171" i="14" l="1"/>
  <c r="L4171" i="14" s="1"/>
  <c r="I4172" i="14" s="1"/>
  <c r="K4149" i="13"/>
  <c r="L4149" i="13" s="1"/>
  <c r="I4150" i="13" s="1"/>
  <c r="N4336" i="13"/>
  <c r="J4335" i="13" a="1"/>
  <c r="J4335" i="13" s="1"/>
  <c r="M4339" i="14"/>
  <c r="M4338" i="13"/>
  <c r="N4335" i="14"/>
  <c r="J4334" i="14" a="1"/>
  <c r="J4334" i="14" s="1"/>
  <c r="K4150" i="13" l="1"/>
  <c r="L4150" i="13" s="1"/>
  <c r="I4151" i="13" s="1"/>
  <c r="K4172" i="14"/>
  <c r="L4172" i="14" s="1"/>
  <c r="I4173" i="14" s="1"/>
  <c r="N4336" i="14"/>
  <c r="J4335" i="14" a="1"/>
  <c r="J4335" i="14" s="1"/>
  <c r="M4340" i="14"/>
  <c r="M4339" i="13"/>
  <c r="J4336" i="13" a="1"/>
  <c r="J4336" i="13" s="1"/>
  <c r="N4337" i="13"/>
  <c r="K4173" i="14" l="1"/>
  <c r="L4173" i="14" s="1"/>
  <c r="I4174" i="14" s="1"/>
  <c r="K4151" i="13"/>
  <c r="L4151" i="13" s="1"/>
  <c r="I4152" i="13" s="1"/>
  <c r="N4338" i="13"/>
  <c r="J4337" i="13" a="1"/>
  <c r="J4337" i="13" s="1"/>
  <c r="M4341" i="14"/>
  <c r="M4340" i="13"/>
  <c r="J4336" i="14" a="1"/>
  <c r="J4336" i="14" s="1"/>
  <c r="N4337" i="14"/>
  <c r="K4152" i="13" l="1"/>
  <c r="L4152" i="13" s="1"/>
  <c r="I4153" i="13" s="1"/>
  <c r="K4174" i="14"/>
  <c r="L4174" i="14" s="1"/>
  <c r="I4175" i="14" s="1"/>
  <c r="J4337" i="14" a="1"/>
  <c r="J4337" i="14" s="1"/>
  <c r="N4338" i="14"/>
  <c r="M4342" i="14"/>
  <c r="M4341" i="13"/>
  <c r="J4338" i="13" a="1"/>
  <c r="J4338" i="13" s="1"/>
  <c r="N4339" i="13"/>
  <c r="K4175" i="14" l="1"/>
  <c r="L4175" i="14" s="1"/>
  <c r="I4176" i="14" s="1"/>
  <c r="K4153" i="13"/>
  <c r="L4153" i="13" s="1"/>
  <c r="I4154" i="13" s="1"/>
  <c r="N4340" i="13"/>
  <c r="J4339" i="13" a="1"/>
  <c r="J4339" i="13" s="1"/>
  <c r="M4343" i="14"/>
  <c r="N4339" i="14"/>
  <c r="J4338" i="14" a="1"/>
  <c r="J4338" i="14" s="1"/>
  <c r="M4342" i="13"/>
  <c r="K4154" i="13" l="1"/>
  <c r="L4154" i="13" s="1"/>
  <c r="I4155" i="13" s="1"/>
  <c r="K4176" i="14"/>
  <c r="L4176" i="14" s="1"/>
  <c r="I4177" i="14" s="1"/>
  <c r="N4340" i="14"/>
  <c r="J4339" i="14" a="1"/>
  <c r="J4339" i="14" s="1"/>
  <c r="M4343" i="13"/>
  <c r="M4344" i="14"/>
  <c r="J4340" i="13" a="1"/>
  <c r="J4340" i="13" s="1"/>
  <c r="N4341" i="13"/>
  <c r="K4177" i="14" l="1"/>
  <c r="L4177" i="14" s="1"/>
  <c r="I4178" i="14" s="1"/>
  <c r="K4155" i="13"/>
  <c r="L4155" i="13" s="1"/>
  <c r="I4156" i="13" s="1"/>
  <c r="N4342" i="13"/>
  <c r="J4341" i="13" a="1"/>
  <c r="J4341" i="13" s="1"/>
  <c r="M4344" i="13"/>
  <c r="M4345" i="14"/>
  <c r="J4340" i="14" a="1"/>
  <c r="J4340" i="14" s="1"/>
  <c r="N4341" i="14"/>
  <c r="K4156" i="13" l="1"/>
  <c r="L4156" i="13" s="1"/>
  <c r="I4157" i="13" s="1"/>
  <c r="K4178" i="14"/>
  <c r="L4178" i="14" s="1"/>
  <c r="I4179" i="14" s="1"/>
  <c r="J4341" i="14" a="1"/>
  <c r="J4341" i="14" s="1"/>
  <c r="N4342" i="14"/>
  <c r="M4345" i="13"/>
  <c r="M4346" i="14"/>
  <c r="J4342" i="13" a="1"/>
  <c r="J4342" i="13" s="1"/>
  <c r="N4343" i="13"/>
  <c r="K4179" i="14" l="1"/>
  <c r="L4179" i="14" s="1"/>
  <c r="I4180" i="14" s="1"/>
  <c r="K4157" i="13"/>
  <c r="L4157" i="13" s="1"/>
  <c r="I4158" i="13" s="1"/>
  <c r="N4344" i="13"/>
  <c r="J4343" i="13" a="1"/>
  <c r="J4343" i="13" s="1"/>
  <c r="M4346" i="13"/>
  <c r="N4343" i="14"/>
  <c r="J4342" i="14" a="1"/>
  <c r="J4342" i="14" s="1"/>
  <c r="M4347" i="14"/>
  <c r="K4158" i="13" l="1"/>
  <c r="L4158" i="13" s="1"/>
  <c r="I4159" i="13" s="1"/>
  <c r="K4180" i="14"/>
  <c r="L4180" i="14" s="1"/>
  <c r="I4181" i="14" s="1"/>
  <c r="N4344" i="14"/>
  <c r="J4343" i="14" a="1"/>
  <c r="J4343" i="14" s="1"/>
  <c r="M4347" i="13"/>
  <c r="M4348" i="14"/>
  <c r="J4344" i="13" a="1"/>
  <c r="J4344" i="13" s="1"/>
  <c r="N4345" i="13"/>
  <c r="K4181" i="14" l="1"/>
  <c r="L4181" i="14" s="1"/>
  <c r="I4182" i="14" s="1"/>
  <c r="K4159" i="13"/>
  <c r="L4159" i="13" s="1"/>
  <c r="I4160" i="13" s="1"/>
  <c r="N4346" i="13"/>
  <c r="J4345" i="13" a="1"/>
  <c r="J4345" i="13" s="1"/>
  <c r="M4348" i="13"/>
  <c r="M4349" i="14"/>
  <c r="J4344" i="14" a="1"/>
  <c r="J4344" i="14" s="1"/>
  <c r="N4345" i="14"/>
  <c r="K4160" i="13" l="1"/>
  <c r="L4160" i="13" s="1"/>
  <c r="I4161" i="13" s="1"/>
  <c r="K4182" i="14"/>
  <c r="L4182" i="14" s="1"/>
  <c r="I4183" i="14" s="1"/>
  <c r="M4349" i="13"/>
  <c r="J4345" i="14" a="1"/>
  <c r="J4345" i="14" s="1"/>
  <c r="N4346" i="14"/>
  <c r="M4350" i="14"/>
  <c r="J4346" i="13" a="1"/>
  <c r="J4346" i="13" s="1"/>
  <c r="N4347" i="13"/>
  <c r="K4183" i="14" l="1"/>
  <c r="L4183" i="14" s="1"/>
  <c r="I4184" i="14" s="1"/>
  <c r="K4161" i="13"/>
  <c r="L4161" i="13" s="1"/>
  <c r="I4162" i="13" s="1"/>
  <c r="J4346" i="14" a="1"/>
  <c r="J4346" i="14" s="1"/>
  <c r="N4347" i="14"/>
  <c r="M4351" i="14"/>
  <c r="N4348" i="13"/>
  <c r="J4347" i="13" a="1"/>
  <c r="J4347" i="13" s="1"/>
  <c r="M4350" i="13"/>
  <c r="K4162" i="13" l="1"/>
  <c r="L4162" i="13" s="1"/>
  <c r="I4163" i="13" s="1"/>
  <c r="K4184" i="14"/>
  <c r="L4184" i="14" s="1"/>
  <c r="I4185" i="14" s="1"/>
  <c r="J4348" i="13" a="1"/>
  <c r="J4348" i="13" s="1"/>
  <c r="N4349" i="13"/>
  <c r="M4351" i="13"/>
  <c r="M4352" i="14"/>
  <c r="N4348" i="14"/>
  <c r="J4347" i="14" a="1"/>
  <c r="J4347" i="14" s="1"/>
  <c r="K4185" i="14" l="1"/>
  <c r="L4185" i="14" s="1"/>
  <c r="I4186" i="14" s="1"/>
  <c r="K4163" i="13"/>
  <c r="L4163" i="13" s="1"/>
  <c r="I4164" i="13" s="1"/>
  <c r="J4348" i="14" a="1"/>
  <c r="J4348" i="14" s="1"/>
  <c r="N4349" i="14"/>
  <c r="M4352" i="13"/>
  <c r="N4350" i="13"/>
  <c r="J4349" i="13" a="1"/>
  <c r="J4349" i="13" s="1"/>
  <c r="M4353" i="14"/>
  <c r="K4186" i="14" l="1"/>
  <c r="L4186" i="14" s="1"/>
  <c r="I4187" i="14" s="1"/>
  <c r="J4350" i="13" a="1"/>
  <c r="J4350" i="13" s="1"/>
  <c r="N4351" i="13"/>
  <c r="M4353" i="13"/>
  <c r="M4354" i="14"/>
  <c r="K4164" i="13"/>
  <c r="L4164" i="13" s="1"/>
  <c r="I4165" i="13" s="1"/>
  <c r="J4349" i="14" a="1"/>
  <c r="J4349" i="14" s="1"/>
  <c r="N4350" i="14"/>
  <c r="K4165" i="13" l="1"/>
  <c r="L4165" i="13" s="1"/>
  <c r="I4166" i="13" s="1"/>
  <c r="K4187" i="14"/>
  <c r="L4187" i="14" s="1"/>
  <c r="I4188" i="14" s="1"/>
  <c r="N4351" i="14"/>
  <c r="J4350" i="14" a="1"/>
  <c r="J4350" i="14" s="1"/>
  <c r="M4355" i="14"/>
  <c r="N4352" i="13"/>
  <c r="J4351" i="13" a="1"/>
  <c r="J4351" i="13" s="1"/>
  <c r="M4354" i="13"/>
  <c r="K4188" i="14" l="1"/>
  <c r="L4188" i="14" s="1"/>
  <c r="I4189" i="14" s="1"/>
  <c r="K4166" i="13"/>
  <c r="L4166" i="13" s="1"/>
  <c r="I4167" i="13" s="1"/>
  <c r="J4352" i="13" a="1"/>
  <c r="J4352" i="13" s="1"/>
  <c r="N4353" i="13"/>
  <c r="M4355" i="13"/>
  <c r="M4356" i="14"/>
  <c r="N4352" i="14"/>
  <c r="J4351" i="14" a="1"/>
  <c r="J4351" i="14" s="1"/>
  <c r="K4167" i="13" l="1"/>
  <c r="L4167" i="13" s="1"/>
  <c r="I4168" i="13" s="1"/>
  <c r="K4189" i="14"/>
  <c r="L4189" i="14" s="1"/>
  <c r="I4190" i="14" s="1"/>
  <c r="J4352" i="14" a="1"/>
  <c r="J4352" i="14" s="1"/>
  <c r="N4353" i="14"/>
  <c r="M4356" i="13"/>
  <c r="N4354" i="13"/>
  <c r="J4353" i="13" a="1"/>
  <c r="J4353" i="13" s="1"/>
  <c r="M4357" i="14"/>
  <c r="K4168" i="13" l="1"/>
  <c r="L4168" i="13" s="1"/>
  <c r="I4169" i="13" s="1"/>
  <c r="M4358" i="14"/>
  <c r="M4357" i="13"/>
  <c r="K4190" i="14"/>
  <c r="L4190" i="14" s="1"/>
  <c r="I4191" i="14" s="1"/>
  <c r="J4353" i="14" a="1"/>
  <c r="J4353" i="14" s="1"/>
  <c r="N4354" i="14"/>
  <c r="J4354" i="13" a="1"/>
  <c r="J4354" i="13" s="1"/>
  <c r="N4355" i="13"/>
  <c r="K4169" i="13" l="1"/>
  <c r="L4169" i="13" s="1"/>
  <c r="I4170" i="13" s="1"/>
  <c r="N4356" i="13"/>
  <c r="J4355" i="13" a="1"/>
  <c r="J4355" i="13" s="1"/>
  <c r="M4359" i="14"/>
  <c r="K4191" i="14"/>
  <c r="L4191" i="14" s="1"/>
  <c r="I4192" i="14" s="1"/>
  <c r="N4355" i="14"/>
  <c r="J4354" i="14" a="1"/>
  <c r="J4354" i="14" s="1"/>
  <c r="M4358" i="13"/>
  <c r="K4170" i="13" l="1"/>
  <c r="L4170" i="13" s="1"/>
  <c r="I4171" i="13" s="1"/>
  <c r="M4359" i="13"/>
  <c r="J4356" i="13" a="1"/>
  <c r="J4356" i="13" s="1"/>
  <c r="N4357" i="13"/>
  <c r="K4192" i="14"/>
  <c r="L4192" i="14" s="1"/>
  <c r="I4193" i="14" s="1"/>
  <c r="N4356" i="14"/>
  <c r="J4355" i="14" a="1"/>
  <c r="J4355" i="14" s="1"/>
  <c r="M4360" i="14"/>
  <c r="K4193" i="14" l="1"/>
  <c r="L4193" i="14" s="1"/>
  <c r="I4194" i="14" s="1"/>
  <c r="K4171" i="13"/>
  <c r="L4171" i="13" s="1"/>
  <c r="I4172" i="13" s="1"/>
  <c r="J4356" i="14" a="1"/>
  <c r="J4356" i="14" s="1"/>
  <c r="N4357" i="14"/>
  <c r="M4361" i="14"/>
  <c r="M4360" i="13"/>
  <c r="N4358" i="13"/>
  <c r="J4357" i="13" a="1"/>
  <c r="J4357" i="13" s="1"/>
  <c r="K4172" i="13" l="1"/>
  <c r="L4172" i="13" s="1"/>
  <c r="I4173" i="13" s="1"/>
  <c r="K4194" i="14"/>
  <c r="L4194" i="14" s="1"/>
  <c r="I4195" i="14" s="1"/>
  <c r="J4358" i="13" a="1"/>
  <c r="J4358" i="13" s="1"/>
  <c r="N4359" i="13"/>
  <c r="M4362" i="14"/>
  <c r="M4361" i="13"/>
  <c r="J4357" i="14" a="1"/>
  <c r="J4357" i="14" s="1"/>
  <c r="N4358" i="14"/>
  <c r="K4195" i="14" l="1"/>
  <c r="L4195" i="14" s="1"/>
  <c r="I4196" i="14" s="1"/>
  <c r="K4173" i="13"/>
  <c r="L4173" i="13" s="1"/>
  <c r="I4174" i="13" s="1"/>
  <c r="N4360" i="13"/>
  <c r="J4359" i="13" a="1"/>
  <c r="J4359" i="13" s="1"/>
  <c r="N4359" i="14"/>
  <c r="J4358" i="14" a="1"/>
  <c r="J4358" i="14" s="1"/>
  <c r="M4363" i="14"/>
  <c r="M4362" i="13"/>
  <c r="K4174" i="13" l="1"/>
  <c r="L4174" i="13" s="1"/>
  <c r="I4175" i="13" s="1"/>
  <c r="K4196" i="14"/>
  <c r="L4196" i="14" s="1"/>
  <c r="I4197" i="14" s="1"/>
  <c r="N4360" i="14"/>
  <c r="J4359" i="14" a="1"/>
  <c r="J4359" i="14" s="1"/>
  <c r="M4363" i="13"/>
  <c r="M4364" i="14"/>
  <c r="J4360" i="13" a="1"/>
  <c r="J4360" i="13" s="1"/>
  <c r="N4361" i="13"/>
  <c r="K4197" i="14" l="1"/>
  <c r="L4197" i="14" s="1"/>
  <c r="I4198" i="14" s="1"/>
  <c r="K4175" i="13"/>
  <c r="L4175" i="13" s="1"/>
  <c r="I4176" i="13" s="1"/>
  <c r="M4364" i="13"/>
  <c r="N4362" i="13"/>
  <c r="J4361" i="13" a="1"/>
  <c r="J4361" i="13" s="1"/>
  <c r="M4365" i="14"/>
  <c r="J4360" i="14" a="1"/>
  <c r="J4360" i="14" s="1"/>
  <c r="N4361" i="14"/>
  <c r="K4176" i="13" l="1"/>
  <c r="L4176" i="13" s="1"/>
  <c r="I4177" i="13" s="1"/>
  <c r="K4198" i="14"/>
  <c r="L4198" i="14" s="1"/>
  <c r="I4199" i="14" s="1"/>
  <c r="J4361" i="14" a="1"/>
  <c r="J4361" i="14" s="1"/>
  <c r="N4362" i="14"/>
  <c r="J4362" i="13" a="1"/>
  <c r="J4362" i="13" s="1"/>
  <c r="N4363" i="13"/>
  <c r="M4366" i="14"/>
  <c r="M4365" i="13"/>
  <c r="K4199" i="14" l="1"/>
  <c r="L4199" i="14" s="1"/>
  <c r="I4200" i="14" s="1"/>
  <c r="K4177" i="13"/>
  <c r="L4177" i="13" s="1"/>
  <c r="I4178" i="13" s="1"/>
  <c r="N4364" i="13"/>
  <c r="J4363" i="13" a="1"/>
  <c r="J4363" i="13" s="1"/>
  <c r="J4362" i="14" a="1"/>
  <c r="J4362" i="14" s="1"/>
  <c r="N4363" i="14"/>
  <c r="M4366" i="13"/>
  <c r="M4367" i="14"/>
  <c r="K4178" i="13" l="1"/>
  <c r="L4178" i="13" s="1"/>
  <c r="I4179" i="13" s="1"/>
  <c r="K4200" i="14"/>
  <c r="L4200" i="14" s="1"/>
  <c r="I4201" i="14" s="1"/>
  <c r="N4364" i="14"/>
  <c r="J4363" i="14" a="1"/>
  <c r="J4363" i="14" s="1"/>
  <c r="M4368" i="14"/>
  <c r="M4367" i="13"/>
  <c r="J4364" i="13" a="1"/>
  <c r="J4364" i="13" s="1"/>
  <c r="N4365" i="13"/>
  <c r="K4201" i="14" l="1"/>
  <c r="L4201" i="14" s="1"/>
  <c r="I4202" i="14" s="1"/>
  <c r="K4179" i="13"/>
  <c r="L4179" i="13" s="1"/>
  <c r="I4180" i="13" s="1"/>
  <c r="N4366" i="13"/>
  <c r="J4365" i="13" a="1"/>
  <c r="J4365" i="13" s="1"/>
  <c r="M4369" i="14"/>
  <c r="M4368" i="13"/>
  <c r="J4364" i="14" a="1"/>
  <c r="J4364" i="14" s="1"/>
  <c r="N4365" i="14"/>
  <c r="K4180" i="13" l="1"/>
  <c r="L4180" i="13" s="1"/>
  <c r="I4181" i="13" s="1"/>
  <c r="K4202" i="14"/>
  <c r="L4202" i="14" s="1"/>
  <c r="I4203" i="14" s="1"/>
  <c r="J4365" i="14" a="1"/>
  <c r="J4365" i="14" s="1"/>
  <c r="N4366" i="14"/>
  <c r="M4370" i="14"/>
  <c r="M4369" i="13"/>
  <c r="J4366" i="13" a="1"/>
  <c r="J4366" i="13" s="1"/>
  <c r="N4367" i="13"/>
  <c r="K4203" i="14" l="1"/>
  <c r="L4203" i="14" s="1"/>
  <c r="I4204" i="14" s="1"/>
  <c r="K4181" i="13"/>
  <c r="L4181" i="13" s="1"/>
  <c r="I4182" i="13" s="1"/>
  <c r="N4368" i="13"/>
  <c r="J4367" i="13" a="1"/>
  <c r="J4367" i="13" s="1"/>
  <c r="M4371" i="14"/>
  <c r="M4370" i="13"/>
  <c r="N4367" i="14"/>
  <c r="J4366" i="14" a="1"/>
  <c r="J4366" i="14" s="1"/>
  <c r="K4182" i="13" l="1"/>
  <c r="L4182" i="13" s="1"/>
  <c r="I4183" i="13" s="1"/>
  <c r="K4204" i="14"/>
  <c r="L4204" i="14" s="1"/>
  <c r="I4205" i="14" s="1"/>
  <c r="N4368" i="14"/>
  <c r="J4367" i="14" a="1"/>
  <c r="J4367" i="14" s="1"/>
  <c r="M4372" i="14"/>
  <c r="M4371" i="13"/>
  <c r="J4368" i="13" a="1"/>
  <c r="J4368" i="13" s="1"/>
  <c r="N4369" i="13"/>
  <c r="K4205" i="14" l="1"/>
  <c r="L4205" i="14" s="1"/>
  <c r="I4206" i="14" s="1"/>
  <c r="K4183" i="13"/>
  <c r="L4183" i="13" s="1"/>
  <c r="I4184" i="13" s="1"/>
  <c r="N4370" i="13"/>
  <c r="J4369" i="13" a="1"/>
  <c r="J4369" i="13" s="1"/>
  <c r="M4373" i="14"/>
  <c r="M4372" i="13"/>
  <c r="J4368" i="14" a="1"/>
  <c r="J4368" i="14" s="1"/>
  <c r="N4369" i="14"/>
  <c r="K4184" i="13" l="1"/>
  <c r="L4184" i="13" s="1"/>
  <c r="I4185" i="13" s="1"/>
  <c r="K4206" i="14"/>
  <c r="L4206" i="14" s="1"/>
  <c r="I4207" i="14" s="1"/>
  <c r="J4369" i="14" a="1"/>
  <c r="J4369" i="14" s="1"/>
  <c r="N4370" i="14"/>
  <c r="M4374" i="14"/>
  <c r="M4373" i="13"/>
  <c r="J4370" i="13" a="1"/>
  <c r="J4370" i="13" s="1"/>
  <c r="N4371" i="13"/>
  <c r="K4207" i="14" l="1"/>
  <c r="L4207" i="14" s="1"/>
  <c r="I4208" i="14" s="1"/>
  <c r="K4185" i="13"/>
  <c r="L4185" i="13" s="1"/>
  <c r="I4186" i="13" s="1"/>
  <c r="N4372" i="13"/>
  <c r="J4371" i="13" a="1"/>
  <c r="J4371" i="13" s="1"/>
  <c r="M4375" i="14"/>
  <c r="N4371" i="14"/>
  <c r="J4370" i="14" a="1"/>
  <c r="J4370" i="14" s="1"/>
  <c r="M4374" i="13"/>
  <c r="K4186" i="13" l="1"/>
  <c r="L4186" i="13" s="1"/>
  <c r="I4187" i="13" s="1"/>
  <c r="K4208" i="14"/>
  <c r="L4208" i="14" s="1"/>
  <c r="I4209" i="14" s="1"/>
  <c r="M4375" i="13"/>
  <c r="N4372" i="14"/>
  <c r="J4371" i="14" a="1"/>
  <c r="J4371" i="14" s="1"/>
  <c r="M4376" i="14"/>
  <c r="J4372" i="13" a="1"/>
  <c r="J4372" i="13" s="1"/>
  <c r="N4373" i="13"/>
  <c r="K4209" i="14" l="1"/>
  <c r="L4209" i="14" s="1"/>
  <c r="I4210" i="14" s="1"/>
  <c r="K4187" i="13"/>
  <c r="L4187" i="13" s="1"/>
  <c r="I4188" i="13" s="1"/>
  <c r="N4374" i="13"/>
  <c r="J4373" i="13" a="1"/>
  <c r="J4373" i="13" s="1"/>
  <c r="J4372" i="14" a="1"/>
  <c r="J4372" i="14" s="1"/>
  <c r="N4373" i="14"/>
  <c r="M4377" i="14"/>
  <c r="M4376" i="13"/>
  <c r="K4188" i="13" l="1"/>
  <c r="L4188" i="13" s="1"/>
  <c r="I4189" i="13" s="1"/>
  <c r="K4210" i="14"/>
  <c r="L4210" i="14" s="1"/>
  <c r="I4211" i="14" s="1"/>
  <c r="M4377" i="13"/>
  <c r="J4373" i="14" a="1"/>
  <c r="J4373" i="14" s="1"/>
  <c r="N4374" i="14"/>
  <c r="M4378" i="14"/>
  <c r="J4374" i="13" a="1"/>
  <c r="J4374" i="13" s="1"/>
  <c r="N4375" i="13"/>
  <c r="K4211" i="14" l="1"/>
  <c r="L4211" i="14" s="1"/>
  <c r="I4212" i="14" s="1"/>
  <c r="K4189" i="13"/>
  <c r="L4189" i="13" s="1"/>
  <c r="I4190" i="13" s="1"/>
  <c r="N4376" i="13"/>
  <c r="J4375" i="13" a="1"/>
  <c r="J4375" i="13" s="1"/>
  <c r="N4375" i="14"/>
  <c r="J4374" i="14" a="1"/>
  <c r="J4374" i="14" s="1"/>
  <c r="M4379" i="14"/>
  <c r="M4378" i="13"/>
  <c r="K4190" i="13" l="1"/>
  <c r="L4190" i="13" s="1"/>
  <c r="I4191" i="13" s="1"/>
  <c r="K4212" i="14"/>
  <c r="L4212" i="14" s="1"/>
  <c r="I4213" i="14" s="1"/>
  <c r="N4376" i="14"/>
  <c r="J4375" i="14" a="1"/>
  <c r="J4375" i="14" s="1"/>
  <c r="M4379" i="13"/>
  <c r="M4380" i="14"/>
  <c r="J4376" i="13" a="1"/>
  <c r="J4376" i="13" s="1"/>
  <c r="N4377" i="13"/>
  <c r="K4213" i="14" l="1"/>
  <c r="L4213" i="14" s="1"/>
  <c r="I4214" i="14" s="1"/>
  <c r="K4191" i="13"/>
  <c r="L4191" i="13" s="1"/>
  <c r="I4192" i="13" s="1"/>
  <c r="N4378" i="13"/>
  <c r="J4377" i="13" a="1"/>
  <c r="J4377" i="13" s="1"/>
  <c r="M4380" i="13"/>
  <c r="M4381" i="14"/>
  <c r="J4376" i="14" a="1"/>
  <c r="J4376" i="14" s="1"/>
  <c r="N4377" i="14"/>
  <c r="K4192" i="13" l="1"/>
  <c r="L4192" i="13" s="1"/>
  <c r="I4193" i="13" s="1"/>
  <c r="K4214" i="14"/>
  <c r="L4214" i="14" s="1"/>
  <c r="I4215" i="14" s="1"/>
  <c r="J4377" i="14" a="1"/>
  <c r="J4377" i="14" s="1"/>
  <c r="N4378" i="14"/>
  <c r="M4381" i="13"/>
  <c r="M4382" i="14"/>
  <c r="J4378" i="13" a="1"/>
  <c r="J4378" i="13" s="1"/>
  <c r="N4379" i="13"/>
  <c r="K4215" i="14" l="1"/>
  <c r="L4215" i="14" s="1"/>
  <c r="I4216" i="14" s="1"/>
  <c r="K4193" i="13"/>
  <c r="L4193" i="13" s="1"/>
  <c r="I4194" i="13" s="1"/>
  <c r="N4380" i="13"/>
  <c r="J4379" i="13" a="1"/>
  <c r="J4379" i="13" s="1"/>
  <c r="M4382" i="13"/>
  <c r="J4378" i="14" a="1"/>
  <c r="J4378" i="14" s="1"/>
  <c r="N4379" i="14"/>
  <c r="M4383" i="14"/>
  <c r="K4194" i="13" l="1"/>
  <c r="L4194" i="13" s="1"/>
  <c r="I4195" i="13" s="1"/>
  <c r="K4216" i="14"/>
  <c r="L4216" i="14" s="1"/>
  <c r="I4217" i="14" s="1"/>
  <c r="N4380" i="14"/>
  <c r="J4379" i="14" a="1"/>
  <c r="J4379" i="14" s="1"/>
  <c r="M4383" i="13"/>
  <c r="M4384" i="14"/>
  <c r="J4380" i="13" a="1"/>
  <c r="J4380" i="13" s="1"/>
  <c r="N4381" i="13"/>
  <c r="K4217" i="14" l="1"/>
  <c r="L4217" i="14" s="1"/>
  <c r="I4218" i="14" s="1"/>
  <c r="K4195" i="13"/>
  <c r="L4195" i="13" s="1"/>
  <c r="I4196" i="13" s="1"/>
  <c r="N4382" i="13"/>
  <c r="J4381" i="13" a="1"/>
  <c r="J4381" i="13" s="1"/>
  <c r="M4384" i="13"/>
  <c r="M4385" i="14"/>
  <c r="J4380" i="14" a="1"/>
  <c r="J4380" i="14" s="1"/>
  <c r="N4381" i="14"/>
  <c r="K4196" i="13" l="1"/>
  <c r="L4196" i="13" s="1"/>
  <c r="I4197" i="13" s="1"/>
  <c r="K4218" i="14"/>
  <c r="L4218" i="14" s="1"/>
  <c r="I4219" i="14" s="1"/>
  <c r="J4381" i="14" a="1"/>
  <c r="J4381" i="14" s="1"/>
  <c r="N4382" i="14"/>
  <c r="M4385" i="13"/>
  <c r="M4386" i="14"/>
  <c r="J4382" i="13" a="1"/>
  <c r="J4382" i="13" s="1"/>
  <c r="N4383" i="13"/>
  <c r="K4219" i="14" l="1"/>
  <c r="L4219" i="14" s="1"/>
  <c r="I4220" i="14" s="1"/>
  <c r="K4197" i="13"/>
  <c r="L4197" i="13" s="1"/>
  <c r="I4198" i="13" s="1"/>
  <c r="N4384" i="13"/>
  <c r="J4383" i="13" a="1"/>
  <c r="J4383" i="13" s="1"/>
  <c r="M4386" i="13"/>
  <c r="N4383" i="14"/>
  <c r="J4382" i="14" a="1"/>
  <c r="J4382" i="14" s="1"/>
  <c r="M4387" i="14"/>
  <c r="K4198" i="13" l="1"/>
  <c r="L4198" i="13" s="1"/>
  <c r="I4199" i="13" s="1"/>
  <c r="K4220" i="14"/>
  <c r="L4220" i="14" s="1"/>
  <c r="I4221" i="14" s="1"/>
  <c r="M4387" i="13"/>
  <c r="M4388" i="14"/>
  <c r="N4384" i="14"/>
  <c r="J4383" i="14" a="1"/>
  <c r="J4383" i="14" s="1"/>
  <c r="J4384" i="13" a="1"/>
  <c r="J4384" i="13" s="1"/>
  <c r="N4385" i="13"/>
  <c r="K4221" i="14" l="1"/>
  <c r="L4221" i="14" s="1"/>
  <c r="I4222" i="14" s="1"/>
  <c r="K4199" i="13"/>
  <c r="L4199" i="13" s="1"/>
  <c r="I4200" i="13" s="1"/>
  <c r="N4386" i="13"/>
  <c r="J4385" i="13" a="1"/>
  <c r="J4385" i="13" s="1"/>
  <c r="M4389" i="14"/>
  <c r="J4384" i="14" a="1"/>
  <c r="J4384" i="14" s="1"/>
  <c r="N4385" i="14"/>
  <c r="M4388" i="13"/>
  <c r="K4200" i="13" l="1"/>
  <c r="L4200" i="13" s="1"/>
  <c r="I4201" i="13" s="1"/>
  <c r="K4222" i="14"/>
  <c r="L4222" i="14" s="1"/>
  <c r="I4223" i="14" s="1"/>
  <c r="M4389" i="13"/>
  <c r="M4390" i="14"/>
  <c r="J4385" i="14" a="1"/>
  <c r="J4385" i="14" s="1"/>
  <c r="N4386" i="14"/>
  <c r="J4386" i="13" a="1"/>
  <c r="J4386" i="13" s="1"/>
  <c r="N4387" i="13"/>
  <c r="K4223" i="14" l="1"/>
  <c r="L4223" i="14" s="1"/>
  <c r="I4224" i="14" s="1"/>
  <c r="K4201" i="13"/>
  <c r="L4201" i="13" s="1"/>
  <c r="I4202" i="13" s="1"/>
  <c r="N4388" i="13"/>
  <c r="J4387" i="13" a="1"/>
  <c r="J4387" i="13" s="1"/>
  <c r="M4391" i="14"/>
  <c r="N4387" i="14"/>
  <c r="J4386" i="14" a="1"/>
  <c r="J4386" i="14" s="1"/>
  <c r="M4390" i="13"/>
  <c r="K4202" i="13" l="1"/>
  <c r="L4202" i="13" s="1"/>
  <c r="I4203" i="13" s="1"/>
  <c r="K4224" i="14"/>
  <c r="L4224" i="14" s="1"/>
  <c r="I4225" i="14" s="1"/>
  <c r="M4391" i="13"/>
  <c r="N4388" i="14"/>
  <c r="J4387" i="14" a="1"/>
  <c r="J4387" i="14" s="1"/>
  <c r="M4392" i="14"/>
  <c r="J4388" i="13" a="1"/>
  <c r="J4388" i="13" s="1"/>
  <c r="N4389" i="13"/>
  <c r="K4225" i="14" l="1"/>
  <c r="L4225" i="14" s="1"/>
  <c r="I4226" i="14" s="1"/>
  <c r="K4203" i="13"/>
  <c r="L4203" i="13" s="1"/>
  <c r="I4204" i="13" s="1"/>
  <c r="J4388" i="14" a="1"/>
  <c r="J4388" i="14" s="1"/>
  <c r="N4389" i="14"/>
  <c r="N4390" i="13"/>
  <c r="J4389" i="13" a="1"/>
  <c r="J4389" i="13" s="1"/>
  <c r="M4393" i="14"/>
  <c r="M4392" i="13"/>
  <c r="K4204" i="13" l="1"/>
  <c r="L4204" i="13" s="1"/>
  <c r="I4205" i="13" s="1"/>
  <c r="K4226" i="14"/>
  <c r="L4226" i="14" s="1"/>
  <c r="I4227" i="14" s="1"/>
  <c r="M4393" i="13"/>
  <c r="J4390" i="13" a="1"/>
  <c r="J4390" i="13" s="1"/>
  <c r="N4391" i="13"/>
  <c r="J4389" i="14" a="1"/>
  <c r="J4389" i="14" s="1"/>
  <c r="N4390" i="14"/>
  <c r="M4394" i="14"/>
  <c r="K4227" i="14" l="1"/>
  <c r="L4227" i="14" s="1"/>
  <c r="I4228" i="14" s="1"/>
  <c r="K4205" i="13"/>
  <c r="L4205" i="13" s="1"/>
  <c r="I4206" i="13" s="1"/>
  <c r="N4392" i="13"/>
  <c r="J4391" i="13" a="1"/>
  <c r="J4391" i="13" s="1"/>
  <c r="M4395" i="14"/>
  <c r="N4391" i="14"/>
  <c r="J4390" i="14" a="1"/>
  <c r="J4390" i="14" s="1"/>
  <c r="M4394" i="13"/>
  <c r="K4206" i="13" l="1"/>
  <c r="L4206" i="13" s="1"/>
  <c r="I4207" i="13" s="1"/>
  <c r="K4228" i="14"/>
  <c r="L4228" i="14" s="1"/>
  <c r="I4229" i="14" s="1"/>
  <c r="M4395" i="13"/>
  <c r="M4396" i="14"/>
  <c r="N4392" i="14"/>
  <c r="J4391" i="14" a="1"/>
  <c r="J4391" i="14" s="1"/>
  <c r="J4392" i="13" a="1"/>
  <c r="J4392" i="13" s="1"/>
  <c r="N4393" i="13"/>
  <c r="K4229" i="14" l="1"/>
  <c r="L4229" i="14" s="1"/>
  <c r="I4230" i="14" s="1"/>
  <c r="K4207" i="13"/>
  <c r="L4207" i="13" s="1"/>
  <c r="I4208" i="13" s="1"/>
  <c r="N4394" i="13"/>
  <c r="J4393" i="13" a="1"/>
  <c r="J4393" i="13" s="1"/>
  <c r="M4397" i="14"/>
  <c r="J4392" i="14" a="1"/>
  <c r="J4392" i="14" s="1"/>
  <c r="N4393" i="14"/>
  <c r="M4396" i="13"/>
  <c r="K4208" i="13" l="1"/>
  <c r="L4208" i="13" s="1"/>
  <c r="I4209" i="13" s="1"/>
  <c r="K4230" i="14"/>
  <c r="L4230" i="14" s="1"/>
  <c r="I4231" i="14" s="1"/>
  <c r="J4393" i="14" a="1"/>
  <c r="J4393" i="14" s="1"/>
  <c r="N4394" i="14"/>
  <c r="M4398" i="14"/>
  <c r="M4397" i="13"/>
  <c r="J4394" i="13" a="1"/>
  <c r="J4394" i="13" s="1"/>
  <c r="N4395" i="13"/>
  <c r="K4209" i="13" l="1"/>
  <c r="L4209" i="13" s="1"/>
  <c r="I4210" i="13" s="1"/>
  <c r="N4396" i="13"/>
  <c r="J4395" i="13" a="1"/>
  <c r="J4395" i="13" s="1"/>
  <c r="M4399" i="14"/>
  <c r="K4231" i="14"/>
  <c r="L4231" i="14" s="1"/>
  <c r="I4232" i="14" s="1"/>
  <c r="J4394" i="14" a="1"/>
  <c r="J4394" i="14" s="1"/>
  <c r="N4395" i="14"/>
  <c r="M4398" i="13"/>
  <c r="K4232" i="14" l="1"/>
  <c r="L4232" i="14" s="1"/>
  <c r="I4233" i="14" s="1"/>
  <c r="K4210" i="13"/>
  <c r="L4210" i="13" s="1"/>
  <c r="I4211" i="13" s="1"/>
  <c r="J4396" i="13" a="1"/>
  <c r="J4396" i="13" s="1"/>
  <c r="N4397" i="13"/>
  <c r="N4396" i="14"/>
  <c r="J4395" i="14" a="1"/>
  <c r="J4395" i="14" s="1"/>
  <c r="M4399" i="13"/>
  <c r="M4400" i="14"/>
  <c r="K4211" i="13" l="1"/>
  <c r="L4211" i="13" s="1"/>
  <c r="I4212" i="13" s="1"/>
  <c r="K4233" i="14"/>
  <c r="L4233" i="14" s="1"/>
  <c r="I4234" i="14" s="1"/>
  <c r="J4396" i="14" a="1"/>
  <c r="J4396" i="14" s="1"/>
  <c r="N4397" i="14"/>
  <c r="N4398" i="13"/>
  <c r="J4397" i="13" a="1"/>
  <c r="J4397" i="13" s="1"/>
  <c r="M4401" i="14"/>
  <c r="M4400" i="13"/>
  <c r="K4234" i="14" l="1"/>
  <c r="L4234" i="14" s="1"/>
  <c r="I4235" i="14" s="1"/>
  <c r="K4212" i="13"/>
  <c r="L4212" i="13" s="1"/>
  <c r="I4213" i="13" s="1"/>
  <c r="J4398" i="13" a="1"/>
  <c r="J4398" i="13" s="1"/>
  <c r="N4399" i="13"/>
  <c r="J4397" i="14" a="1"/>
  <c r="J4397" i="14" s="1"/>
  <c r="N4398" i="14"/>
  <c r="M4401" i="13"/>
  <c r="M4402" i="14"/>
  <c r="K4213" i="13" l="1"/>
  <c r="L4213" i="13" s="1"/>
  <c r="I4214" i="13" s="1"/>
  <c r="K4235" i="14"/>
  <c r="L4235" i="14" s="1"/>
  <c r="I4236" i="14" s="1"/>
  <c r="N4399" i="14"/>
  <c r="J4398" i="14" a="1"/>
  <c r="J4398" i="14" s="1"/>
  <c r="M4403" i="14"/>
  <c r="N4400" i="13"/>
  <c r="J4399" i="13" a="1"/>
  <c r="J4399" i="13" s="1"/>
  <c r="M4402" i="13"/>
  <c r="K4236" i="14" l="1"/>
  <c r="L4236" i="14" s="1"/>
  <c r="I4237" i="14" s="1"/>
  <c r="K4214" i="13"/>
  <c r="L4214" i="13" s="1"/>
  <c r="I4215" i="13" s="1"/>
  <c r="M4403" i="13"/>
  <c r="J4400" i="13" a="1"/>
  <c r="J4400" i="13" s="1"/>
  <c r="N4401" i="13"/>
  <c r="M4404" i="14"/>
  <c r="N4400" i="14"/>
  <c r="J4399" i="14" a="1"/>
  <c r="J4399" i="14" s="1"/>
  <c r="K4215" i="13" l="1"/>
  <c r="L4215" i="13" s="1"/>
  <c r="I4216" i="13" s="1"/>
  <c r="K4237" i="14"/>
  <c r="L4237" i="14" s="1"/>
  <c r="I4238" i="14" s="1"/>
  <c r="N4402" i="13"/>
  <c r="J4401" i="13" a="1"/>
  <c r="J4401" i="13" s="1"/>
  <c r="J4400" i="14" a="1"/>
  <c r="J4400" i="14" s="1"/>
  <c r="N4401" i="14"/>
  <c r="M4405" i="14"/>
  <c r="M4404" i="13"/>
  <c r="K4238" i="14" l="1"/>
  <c r="L4238" i="14" s="1"/>
  <c r="I4239" i="14" s="1"/>
  <c r="K4216" i="13"/>
  <c r="L4216" i="13" s="1"/>
  <c r="I4217" i="13" s="1"/>
  <c r="J4401" i="14" a="1"/>
  <c r="J4401" i="14" s="1"/>
  <c r="N4402" i="14"/>
  <c r="M4406" i="14"/>
  <c r="M4405" i="13"/>
  <c r="J4402" i="13" a="1"/>
  <c r="J4402" i="13" s="1"/>
  <c r="N4403" i="13"/>
  <c r="K4217" i="13" l="1"/>
  <c r="L4217" i="13" s="1"/>
  <c r="I4218" i="13" s="1"/>
  <c r="K4239" i="14"/>
  <c r="L4239" i="14" s="1"/>
  <c r="I4240" i="14" s="1"/>
  <c r="N4404" i="13"/>
  <c r="J4403" i="13" a="1"/>
  <c r="J4403" i="13" s="1"/>
  <c r="M4407" i="14"/>
  <c r="N4403" i="14"/>
  <c r="J4402" i="14" a="1"/>
  <c r="J4402" i="14" s="1"/>
  <c r="M4406" i="13"/>
  <c r="K4240" i="14" l="1"/>
  <c r="L4240" i="14" s="1"/>
  <c r="I4241" i="14" s="1"/>
  <c r="K4218" i="13"/>
  <c r="L4218" i="13" s="1"/>
  <c r="I4219" i="13" s="1"/>
  <c r="M4407" i="13"/>
  <c r="M4408" i="14"/>
  <c r="N4404" i="14"/>
  <c r="J4403" i="14" a="1"/>
  <c r="J4403" i="14" s="1"/>
  <c r="J4404" i="13" a="1"/>
  <c r="J4404" i="13" s="1"/>
  <c r="N4405" i="13"/>
  <c r="K4219" i="13" l="1"/>
  <c r="L4219" i="13" s="1"/>
  <c r="I4220" i="13" s="1"/>
  <c r="K4241" i="14"/>
  <c r="L4241" i="14" s="1"/>
  <c r="I4242" i="14" s="1"/>
  <c r="N4406" i="13"/>
  <c r="J4405" i="13" a="1"/>
  <c r="J4405" i="13" s="1"/>
  <c r="M4409" i="14"/>
  <c r="J4404" i="14" a="1"/>
  <c r="J4404" i="14" s="1"/>
  <c r="N4405" i="14"/>
  <c r="M4408" i="13"/>
  <c r="K4242" i="14" l="1"/>
  <c r="L4242" i="14" s="1"/>
  <c r="I4243" i="14" s="1"/>
  <c r="K4220" i="13"/>
  <c r="L4220" i="13" s="1"/>
  <c r="I4221" i="13" s="1"/>
  <c r="M4409" i="13"/>
  <c r="J4405" i="14" a="1"/>
  <c r="J4405" i="14" s="1"/>
  <c r="N4406" i="14"/>
  <c r="M4410" i="14"/>
  <c r="J4406" i="13" a="1"/>
  <c r="J4406" i="13" s="1"/>
  <c r="N4407" i="13"/>
  <c r="K4221" i="13" l="1"/>
  <c r="L4221" i="13" s="1"/>
  <c r="I4222" i="13" s="1"/>
  <c r="K4243" i="14"/>
  <c r="L4243" i="14" s="1"/>
  <c r="I4244" i="14" s="1"/>
  <c r="N4407" i="14"/>
  <c r="J4406" i="14" a="1"/>
  <c r="J4406" i="14" s="1"/>
  <c r="N4408" i="13"/>
  <c r="J4407" i="13" a="1"/>
  <c r="J4407" i="13" s="1"/>
  <c r="M4411" i="14"/>
  <c r="M4410" i="13"/>
  <c r="K4222" i="13" l="1"/>
  <c r="L4222" i="13" s="1"/>
  <c r="I4223" i="13" s="1"/>
  <c r="M4411" i="13"/>
  <c r="K4244" i="14"/>
  <c r="L4244" i="14" s="1"/>
  <c r="I4245" i="14" s="1"/>
  <c r="J4408" i="13" a="1"/>
  <c r="J4408" i="13" s="1"/>
  <c r="N4409" i="13"/>
  <c r="M4412" i="14"/>
  <c r="N4408" i="14"/>
  <c r="J4407" i="14" a="1"/>
  <c r="J4407" i="14" s="1"/>
  <c r="K4245" i="14" l="1"/>
  <c r="L4245" i="14" s="1"/>
  <c r="I4246" i="14" s="1"/>
  <c r="K4223" i="13"/>
  <c r="L4223" i="13" s="1"/>
  <c r="I4224" i="13" s="1"/>
  <c r="N4410" i="13"/>
  <c r="J4409" i="13" a="1"/>
  <c r="J4409" i="13" s="1"/>
  <c r="M4412" i="13"/>
  <c r="J4408" i="14" a="1"/>
  <c r="J4408" i="14" s="1"/>
  <c r="N4409" i="14"/>
  <c r="M4413" i="14"/>
  <c r="K4224" i="13" l="1"/>
  <c r="L4224" i="13" s="1"/>
  <c r="I4225" i="13" s="1"/>
  <c r="K4246" i="14"/>
  <c r="L4246" i="14" s="1"/>
  <c r="I4247" i="14" s="1"/>
  <c r="M4414" i="14"/>
  <c r="M4413" i="13"/>
  <c r="J4409" i="14" a="1"/>
  <c r="J4409" i="14" s="1"/>
  <c r="N4410" i="14"/>
  <c r="J4410" i="13" a="1"/>
  <c r="J4410" i="13" s="1"/>
  <c r="N4411" i="13"/>
  <c r="K4247" i="14" l="1"/>
  <c r="L4247" i="14" s="1"/>
  <c r="I4248" i="14" s="1"/>
  <c r="K4225" i="13"/>
  <c r="L4225" i="13" s="1"/>
  <c r="I4226" i="13" s="1"/>
  <c r="N4412" i="13"/>
  <c r="J4411" i="13" a="1"/>
  <c r="J4411" i="13" s="1"/>
  <c r="M4414" i="13"/>
  <c r="J4410" i="14" a="1"/>
  <c r="J4410" i="14" s="1"/>
  <c r="N4411" i="14"/>
  <c r="M4415" i="14"/>
  <c r="K4226" i="13" l="1"/>
  <c r="L4226" i="13" s="1"/>
  <c r="I4227" i="13" s="1"/>
  <c r="K4248" i="14"/>
  <c r="L4248" i="14" s="1"/>
  <c r="I4249" i="14" s="1"/>
  <c r="N4412" i="14"/>
  <c r="J4411" i="14" a="1"/>
  <c r="J4411" i="14" s="1"/>
  <c r="M4415" i="13"/>
  <c r="M4416" i="14"/>
  <c r="J4412" i="13" a="1"/>
  <c r="J4412" i="13" s="1"/>
  <c r="N4413" i="13"/>
  <c r="K4249" i="14" l="1"/>
  <c r="L4249" i="14" s="1"/>
  <c r="I4250" i="14" s="1"/>
  <c r="K4227" i="13"/>
  <c r="L4227" i="13" s="1"/>
  <c r="I4228" i="13" s="1"/>
  <c r="N4414" i="13"/>
  <c r="J4413" i="13" a="1"/>
  <c r="J4413" i="13" s="1"/>
  <c r="M4416" i="13"/>
  <c r="M4417" i="14"/>
  <c r="J4412" i="14" a="1"/>
  <c r="J4412" i="14" s="1"/>
  <c r="N4413" i="14"/>
  <c r="K4228" i="13" l="1"/>
  <c r="L4228" i="13" s="1"/>
  <c r="I4229" i="13" s="1"/>
  <c r="K4250" i="14"/>
  <c r="L4250" i="14" s="1"/>
  <c r="I4251" i="14" s="1"/>
  <c r="J4413" i="14" a="1"/>
  <c r="J4413" i="14" s="1"/>
  <c r="N4414" i="14"/>
  <c r="M4417" i="13"/>
  <c r="M4418" i="14"/>
  <c r="J4414" i="13" a="1"/>
  <c r="J4414" i="13" s="1"/>
  <c r="N4415" i="13"/>
  <c r="K4251" i="14" l="1"/>
  <c r="L4251" i="14" s="1"/>
  <c r="I4252" i="14" s="1"/>
  <c r="K4229" i="13"/>
  <c r="L4229" i="13" s="1"/>
  <c r="I4230" i="13" s="1"/>
  <c r="N4416" i="13"/>
  <c r="J4415" i="13" a="1"/>
  <c r="J4415" i="13" s="1"/>
  <c r="M4418" i="13"/>
  <c r="M4419" i="14"/>
  <c r="N4415" i="14"/>
  <c r="J4414" i="14" a="1"/>
  <c r="J4414" i="14" s="1"/>
  <c r="K4230" i="13" l="1"/>
  <c r="L4230" i="13" s="1"/>
  <c r="I4231" i="13" s="1"/>
  <c r="K4252" i="14"/>
  <c r="L4252" i="14" s="1"/>
  <c r="I4253" i="14" s="1"/>
  <c r="M4419" i="13"/>
  <c r="N4416" i="14"/>
  <c r="J4415" i="14" a="1"/>
  <c r="J4415" i="14" s="1"/>
  <c r="M4420" i="14"/>
  <c r="J4416" i="13" a="1"/>
  <c r="J4416" i="13" s="1"/>
  <c r="N4417" i="13"/>
  <c r="K4253" i="14" l="1"/>
  <c r="L4253" i="14" s="1"/>
  <c r="I4254" i="14" s="1"/>
  <c r="K4231" i="13"/>
  <c r="L4231" i="13" s="1"/>
  <c r="I4232" i="13" s="1"/>
  <c r="N4418" i="13"/>
  <c r="J4417" i="13" a="1"/>
  <c r="J4417" i="13" s="1"/>
  <c r="J4416" i="14" a="1"/>
  <c r="J4416" i="14" s="1"/>
  <c r="N4417" i="14"/>
  <c r="M4421" i="14"/>
  <c r="M4420" i="13"/>
  <c r="K4232" i="13" l="1"/>
  <c r="L4232" i="13" s="1"/>
  <c r="I4233" i="13" s="1"/>
  <c r="K4254" i="14"/>
  <c r="L4254" i="14" s="1"/>
  <c r="I4255" i="14" s="1"/>
  <c r="J4417" i="14" a="1"/>
  <c r="J4417" i="14" s="1"/>
  <c r="N4418" i="14"/>
  <c r="M4421" i="13"/>
  <c r="M4422" i="14"/>
  <c r="J4418" i="13" a="1"/>
  <c r="J4418" i="13" s="1"/>
  <c r="N4419" i="13"/>
  <c r="K4255" i="14" l="1"/>
  <c r="L4255" i="14" s="1"/>
  <c r="I4256" i="14" s="1"/>
  <c r="K4233" i="13"/>
  <c r="L4233" i="13" s="1"/>
  <c r="I4234" i="13" s="1"/>
  <c r="N4420" i="13"/>
  <c r="J4419" i="13" a="1"/>
  <c r="J4419" i="13" s="1"/>
  <c r="M4422" i="13"/>
  <c r="M4423" i="14"/>
  <c r="N4419" i="14"/>
  <c r="J4418" i="14" a="1"/>
  <c r="J4418" i="14" s="1"/>
  <c r="K4234" i="13" l="1"/>
  <c r="L4234" i="13" s="1"/>
  <c r="I4235" i="13" s="1"/>
  <c r="K4256" i="14"/>
  <c r="L4256" i="14" s="1"/>
  <c r="I4257" i="14" s="1"/>
  <c r="M4423" i="13"/>
  <c r="N4420" i="14"/>
  <c r="J4419" i="14" a="1"/>
  <c r="J4419" i="14" s="1"/>
  <c r="M4424" i="14"/>
  <c r="J4420" i="13" a="1"/>
  <c r="J4420" i="13" s="1"/>
  <c r="N4421" i="13"/>
  <c r="K4257" i="14" l="1"/>
  <c r="L4257" i="14" s="1"/>
  <c r="I4258" i="14" s="1"/>
  <c r="K4235" i="13"/>
  <c r="L4235" i="13" s="1"/>
  <c r="I4236" i="13" s="1"/>
  <c r="N4422" i="13"/>
  <c r="J4421" i="13" a="1"/>
  <c r="J4421" i="13" s="1"/>
  <c r="J4420" i="14" a="1"/>
  <c r="J4420" i="14" s="1"/>
  <c r="N4421" i="14"/>
  <c r="M4425" i="14"/>
  <c r="M4424" i="13"/>
  <c r="K4258" i="14" l="1"/>
  <c r="L4258" i="14" s="1"/>
  <c r="I4259" i="14" s="1"/>
  <c r="M4425" i="13"/>
  <c r="J4421" i="14" a="1"/>
  <c r="J4421" i="14" s="1"/>
  <c r="N4422" i="14"/>
  <c r="K4236" i="13"/>
  <c r="L4236" i="13" s="1"/>
  <c r="I4237" i="13" s="1"/>
  <c r="M4426" i="14"/>
  <c r="J4422" i="13" a="1"/>
  <c r="J4422" i="13" s="1"/>
  <c r="N4423" i="13"/>
  <c r="K4237" i="13" l="1"/>
  <c r="L4237" i="13" s="1"/>
  <c r="I4238" i="13" s="1"/>
  <c r="K4259" i="14"/>
  <c r="L4259" i="14" s="1"/>
  <c r="I4260" i="14" s="1"/>
  <c r="N4424" i="13"/>
  <c r="J4423" i="13" a="1"/>
  <c r="J4423" i="13" s="1"/>
  <c r="M4426" i="13"/>
  <c r="N4423" i="14"/>
  <c r="J4422" i="14" a="1"/>
  <c r="J4422" i="14" s="1"/>
  <c r="M4427" i="14"/>
  <c r="K4260" i="14" l="1"/>
  <c r="L4260" i="14" s="1"/>
  <c r="I4261" i="14" s="1"/>
  <c r="K4238" i="13"/>
  <c r="L4238" i="13" s="1"/>
  <c r="I4239" i="13" s="1"/>
  <c r="M4427" i="13"/>
  <c r="M4428" i="14"/>
  <c r="N4424" i="14"/>
  <c r="J4423" i="14" a="1"/>
  <c r="J4423" i="14" s="1"/>
  <c r="J4424" i="13" a="1"/>
  <c r="J4424" i="13" s="1"/>
  <c r="N4425" i="13"/>
  <c r="K4239" i="13" l="1"/>
  <c r="L4239" i="13" s="1"/>
  <c r="I4240" i="13" s="1"/>
  <c r="K4261" i="14"/>
  <c r="L4261" i="14" s="1"/>
  <c r="I4262" i="14" s="1"/>
  <c r="M4429" i="14"/>
  <c r="N4426" i="13"/>
  <c r="J4425" i="13" a="1"/>
  <c r="J4425" i="13" s="1"/>
  <c r="J4424" i="14" a="1"/>
  <c r="J4424" i="14" s="1"/>
  <c r="N4425" i="14"/>
  <c r="M4428" i="13"/>
  <c r="K4262" i="14" l="1"/>
  <c r="L4262" i="14" s="1"/>
  <c r="I4263" i="14" s="1"/>
  <c r="K4240" i="13"/>
  <c r="L4240" i="13" s="1"/>
  <c r="I4241" i="13" s="1"/>
  <c r="J4426" i="13" a="1"/>
  <c r="J4426" i="13" s="1"/>
  <c r="N4427" i="13"/>
  <c r="M4429" i="13"/>
  <c r="J4425" i="14" a="1"/>
  <c r="J4425" i="14" s="1"/>
  <c r="N4426" i="14"/>
  <c r="M4430" i="14"/>
  <c r="K4241" i="13" l="1"/>
  <c r="L4241" i="13" s="1"/>
  <c r="I4242" i="13" s="1"/>
  <c r="K4263" i="14"/>
  <c r="L4263" i="14" s="1"/>
  <c r="I4264" i="14" s="1"/>
  <c r="M4431" i="14"/>
  <c r="M4430" i="13"/>
  <c r="J4426" i="14" a="1"/>
  <c r="J4426" i="14" s="1"/>
  <c r="N4427" i="14"/>
  <c r="N4428" i="13"/>
  <c r="J4427" i="13" a="1"/>
  <c r="J4427" i="13" s="1"/>
  <c r="K4264" i="14" l="1"/>
  <c r="L4264" i="14" s="1"/>
  <c r="I4265" i="14" s="1"/>
  <c r="K4242" i="13"/>
  <c r="L4242" i="13" s="1"/>
  <c r="I4243" i="13" s="1"/>
  <c r="M4431" i="13"/>
  <c r="J4428" i="13" a="1"/>
  <c r="J4428" i="13" s="1"/>
  <c r="N4429" i="13"/>
  <c r="N4428" i="14"/>
  <c r="J4427" i="14" a="1"/>
  <c r="J4427" i="14" s="1"/>
  <c r="M4432" i="14"/>
  <c r="K4243" i="13" l="1"/>
  <c r="L4243" i="13" s="1"/>
  <c r="I4244" i="13" s="1"/>
  <c r="K4265" i="14"/>
  <c r="L4265" i="14" s="1"/>
  <c r="I4266" i="14" s="1"/>
  <c r="N4430" i="13"/>
  <c r="J4429" i="13" a="1"/>
  <c r="J4429" i="13" s="1"/>
  <c r="M4433" i="14"/>
  <c r="J4428" i="14" a="1"/>
  <c r="J4428" i="14" s="1"/>
  <c r="N4429" i="14"/>
  <c r="M4432" i="13"/>
  <c r="K4266" i="14" l="1"/>
  <c r="L4266" i="14" s="1"/>
  <c r="I4267" i="14" s="1"/>
  <c r="K4244" i="13"/>
  <c r="L4244" i="13" s="1"/>
  <c r="I4245" i="13" s="1"/>
  <c r="M4433" i="13"/>
  <c r="M4434" i="14"/>
  <c r="J4429" i="14" a="1"/>
  <c r="J4429" i="14" s="1"/>
  <c r="N4430" i="14"/>
  <c r="J4430" i="13" a="1"/>
  <c r="J4430" i="13" s="1"/>
  <c r="N4431" i="13"/>
  <c r="K4245" i="13" l="1"/>
  <c r="L4245" i="13" s="1"/>
  <c r="I4246" i="13" s="1"/>
  <c r="K4267" i="14"/>
  <c r="L4267" i="14" s="1"/>
  <c r="I4268" i="14" s="1"/>
  <c r="N4432" i="13"/>
  <c r="J4431" i="13" a="1"/>
  <c r="J4431" i="13" s="1"/>
  <c r="M4435" i="14"/>
  <c r="N4431" i="14"/>
  <c r="J4430" i="14" a="1"/>
  <c r="J4430" i="14" s="1"/>
  <c r="M4434" i="13"/>
  <c r="K4268" i="14" l="1"/>
  <c r="L4268" i="14" s="1"/>
  <c r="I4269" i="14" s="1"/>
  <c r="K4246" i="13"/>
  <c r="L4246" i="13" s="1"/>
  <c r="I4247" i="13" s="1"/>
  <c r="M4435" i="13"/>
  <c r="M4436" i="14"/>
  <c r="N4432" i="14"/>
  <c r="J4431" i="14" a="1"/>
  <c r="J4431" i="14" s="1"/>
  <c r="J4432" i="13" a="1"/>
  <c r="J4432" i="13" s="1"/>
  <c r="N4433" i="13"/>
  <c r="K4269" i="14" l="1"/>
  <c r="L4269" i="14" s="1"/>
  <c r="I4270" i="14" s="1"/>
  <c r="N4434" i="13"/>
  <c r="J4433" i="13" a="1"/>
  <c r="J4433" i="13" s="1"/>
  <c r="K4247" i="13"/>
  <c r="L4247" i="13" s="1"/>
  <c r="I4248" i="13" s="1"/>
  <c r="M4437" i="14"/>
  <c r="J4432" i="14" a="1"/>
  <c r="J4432" i="14" s="1"/>
  <c r="N4433" i="14"/>
  <c r="M4436" i="13"/>
  <c r="K4248" i="13" l="1"/>
  <c r="L4248" i="13" s="1"/>
  <c r="I4249" i="13" s="1"/>
  <c r="K4270" i="14"/>
  <c r="L4270" i="14" s="1"/>
  <c r="I4271" i="14" s="1"/>
  <c r="M4438" i="14"/>
  <c r="J4434" i="13" a="1"/>
  <c r="J4434" i="13" s="1"/>
  <c r="N4435" i="13"/>
  <c r="J4433" i="14" a="1"/>
  <c r="J4433" i="14" s="1"/>
  <c r="N4434" i="14"/>
  <c r="M4437" i="13"/>
  <c r="K4271" i="14" l="1"/>
  <c r="L4271" i="14" s="1"/>
  <c r="I4272" i="14" s="1"/>
  <c r="K4249" i="13"/>
  <c r="L4249" i="13" s="1"/>
  <c r="I4250" i="13" s="1"/>
  <c r="N4436" i="13"/>
  <c r="J4435" i="13" a="1"/>
  <c r="J4435" i="13" s="1"/>
  <c r="N4435" i="14"/>
  <c r="J4434" i="14" a="1"/>
  <c r="J4434" i="14" s="1"/>
  <c r="M4439" i="14"/>
  <c r="M4438" i="13"/>
  <c r="K4250" i="13" l="1"/>
  <c r="L4250" i="13" s="1"/>
  <c r="I4251" i="13" s="1"/>
  <c r="K4272" i="14"/>
  <c r="L4272" i="14" s="1"/>
  <c r="I4273" i="14" s="1"/>
  <c r="N4436" i="14"/>
  <c r="J4435" i="14" a="1"/>
  <c r="J4435" i="14" s="1"/>
  <c r="M4439" i="13"/>
  <c r="M4440" i="14"/>
  <c r="J4436" i="13" a="1"/>
  <c r="J4436" i="13" s="1"/>
  <c r="N4437" i="13"/>
  <c r="K4273" i="14" l="1"/>
  <c r="L4273" i="14" s="1"/>
  <c r="I4274" i="14" s="1"/>
  <c r="K4251" i="13"/>
  <c r="L4251" i="13" s="1"/>
  <c r="I4252" i="13" s="1"/>
  <c r="N4438" i="13"/>
  <c r="J4437" i="13" a="1"/>
  <c r="J4437" i="13" s="1"/>
  <c r="M4440" i="13"/>
  <c r="M4441" i="14"/>
  <c r="J4436" i="14" a="1"/>
  <c r="J4436" i="14" s="1"/>
  <c r="N4437" i="14"/>
  <c r="K4252" i="13" l="1"/>
  <c r="L4252" i="13" s="1"/>
  <c r="I4253" i="13" s="1"/>
  <c r="K4274" i="14"/>
  <c r="L4274" i="14" s="1"/>
  <c r="I4275" i="14" s="1"/>
  <c r="J4437" i="14" a="1"/>
  <c r="J4437" i="14" s="1"/>
  <c r="N4438" i="14"/>
  <c r="M4441" i="13"/>
  <c r="M4442" i="14"/>
  <c r="J4438" i="13" a="1"/>
  <c r="J4438" i="13" s="1"/>
  <c r="N4439" i="13"/>
  <c r="K4275" i="14" l="1"/>
  <c r="L4275" i="14" s="1"/>
  <c r="I4276" i="14" s="1"/>
  <c r="K4253" i="13"/>
  <c r="L4253" i="13" s="1"/>
  <c r="I4254" i="13" s="1"/>
  <c r="N4440" i="13"/>
  <c r="J4439" i="13" a="1"/>
  <c r="J4439" i="13" s="1"/>
  <c r="M4442" i="13"/>
  <c r="M4443" i="14"/>
  <c r="N4439" i="14"/>
  <c r="J4438" i="14" a="1"/>
  <c r="J4438" i="14" s="1"/>
  <c r="K4254" i="13" l="1"/>
  <c r="L4254" i="13" s="1"/>
  <c r="I4255" i="13" s="1"/>
  <c r="K4276" i="14"/>
  <c r="L4276" i="14" s="1"/>
  <c r="I4277" i="14" s="1"/>
  <c r="M4443" i="13"/>
  <c r="N4440" i="14"/>
  <c r="J4439" i="14" a="1"/>
  <c r="J4439" i="14" s="1"/>
  <c r="M4444" i="14"/>
  <c r="J4440" i="13" a="1"/>
  <c r="J4440" i="13" s="1"/>
  <c r="N4441" i="13"/>
  <c r="K4277" i="14" l="1"/>
  <c r="L4277" i="14" s="1"/>
  <c r="I4278" i="14" s="1"/>
  <c r="K4255" i="13"/>
  <c r="L4255" i="13" s="1"/>
  <c r="I4256" i="13" s="1"/>
  <c r="N4442" i="13"/>
  <c r="J4441" i="13" a="1"/>
  <c r="J4441" i="13" s="1"/>
  <c r="J4440" i="14" a="1"/>
  <c r="J4440" i="14" s="1"/>
  <c r="N4441" i="14"/>
  <c r="M4445" i="14"/>
  <c r="M4444" i="13"/>
  <c r="K4256" i="13" l="1"/>
  <c r="L4256" i="13" s="1"/>
  <c r="I4257" i="13" s="1"/>
  <c r="K4278" i="14"/>
  <c r="L4278" i="14" s="1"/>
  <c r="I4279" i="14" s="1"/>
  <c r="M4445" i="13"/>
  <c r="J4441" i="14" a="1"/>
  <c r="J4441" i="14" s="1"/>
  <c r="N4442" i="14"/>
  <c r="M4446" i="14"/>
  <c r="J4442" i="13" a="1"/>
  <c r="J4442" i="13" s="1"/>
  <c r="N4443" i="13"/>
  <c r="K4279" i="14" l="1"/>
  <c r="L4279" i="14" s="1"/>
  <c r="I4280" i="14" s="1"/>
  <c r="K4257" i="13"/>
  <c r="L4257" i="13" s="1"/>
  <c r="I4258" i="13" s="1"/>
  <c r="N4444" i="13"/>
  <c r="J4443" i="13" a="1"/>
  <c r="J4443" i="13" s="1"/>
  <c r="J4442" i="14" a="1"/>
  <c r="J4442" i="14" s="1"/>
  <c r="N4443" i="14"/>
  <c r="M4447" i="14"/>
  <c r="M4446" i="13"/>
  <c r="K4258" i="13" l="1"/>
  <c r="L4258" i="13" s="1"/>
  <c r="I4259" i="13" s="1"/>
  <c r="K4280" i="14"/>
  <c r="L4280" i="14" s="1"/>
  <c r="I4281" i="14" s="1"/>
  <c r="M4447" i="13"/>
  <c r="N4444" i="14"/>
  <c r="J4443" i="14" a="1"/>
  <c r="J4443" i="14" s="1"/>
  <c r="M4448" i="14"/>
  <c r="J4444" i="13" a="1"/>
  <c r="J4444" i="13" s="1"/>
  <c r="N4445" i="13"/>
  <c r="K4281" i="14" l="1"/>
  <c r="L4281" i="14" s="1"/>
  <c r="I4282" i="14" s="1"/>
  <c r="K4259" i="13"/>
  <c r="L4259" i="13" s="1"/>
  <c r="I4260" i="13" s="1"/>
  <c r="N4446" i="13"/>
  <c r="J4445" i="13" a="1"/>
  <c r="J4445" i="13" s="1"/>
  <c r="J4444" i="14" a="1"/>
  <c r="J4444" i="14" s="1"/>
  <c r="N4445" i="14"/>
  <c r="M4449" i="14"/>
  <c r="M4448" i="13"/>
  <c r="K4260" i="13" l="1"/>
  <c r="L4260" i="13" s="1"/>
  <c r="I4261" i="13" s="1"/>
  <c r="K4282" i="14"/>
  <c r="L4282" i="14" s="1"/>
  <c r="I4283" i="14" s="1"/>
  <c r="J4445" i="14" a="1"/>
  <c r="J4445" i="14" s="1"/>
  <c r="N4446" i="14"/>
  <c r="M4449" i="13"/>
  <c r="M4450" i="14"/>
  <c r="J4446" i="13" a="1"/>
  <c r="J4446" i="13" s="1"/>
  <c r="N4447" i="13"/>
  <c r="K4283" i="14" l="1"/>
  <c r="L4283" i="14" s="1"/>
  <c r="I4284" i="14" s="1"/>
  <c r="K4261" i="13"/>
  <c r="L4261" i="13" s="1"/>
  <c r="I4262" i="13" s="1"/>
  <c r="N4448" i="13"/>
  <c r="J4447" i="13" a="1"/>
  <c r="J4447" i="13" s="1"/>
  <c r="M4450" i="13"/>
  <c r="N4447" i="14"/>
  <c r="J4446" i="14" a="1"/>
  <c r="J4446" i="14" s="1"/>
  <c r="M4451" i="14"/>
  <c r="K4262" i="13" l="1"/>
  <c r="L4262" i="13" s="1"/>
  <c r="I4263" i="13" s="1"/>
  <c r="K4284" i="14"/>
  <c r="L4284" i="14" s="1"/>
  <c r="I4285" i="14" s="1"/>
  <c r="M4451" i="13"/>
  <c r="N4448" i="14"/>
  <c r="J4447" i="14" a="1"/>
  <c r="J4447" i="14" s="1"/>
  <c r="M4452" i="14"/>
  <c r="J4448" i="13" a="1"/>
  <c r="J4448" i="13" s="1"/>
  <c r="N4449" i="13"/>
  <c r="K4285" i="14" l="1"/>
  <c r="L4285" i="14" s="1"/>
  <c r="I4286" i="14" s="1"/>
  <c r="K4263" i="13"/>
  <c r="L4263" i="13" s="1"/>
  <c r="I4264" i="13" s="1"/>
  <c r="J4448" i="14" a="1"/>
  <c r="J4448" i="14" s="1"/>
  <c r="N4449" i="14"/>
  <c r="N4450" i="13"/>
  <c r="J4449" i="13" a="1"/>
  <c r="J4449" i="13" s="1"/>
  <c r="M4453" i="14"/>
  <c r="M4452" i="13"/>
  <c r="K4264" i="13" l="1"/>
  <c r="L4264" i="13" s="1"/>
  <c r="I4265" i="13" s="1"/>
  <c r="K4286" i="14"/>
  <c r="L4286" i="14" s="1"/>
  <c r="I4287" i="14" s="1"/>
  <c r="J4450" i="13" a="1"/>
  <c r="J4450" i="13" s="1"/>
  <c r="N4451" i="13"/>
  <c r="J4449" i="14" a="1"/>
  <c r="J4449" i="14" s="1"/>
  <c r="N4450" i="14"/>
  <c r="M4453" i="13"/>
  <c r="M4454" i="14"/>
  <c r="K4287" i="14" l="1"/>
  <c r="L4287" i="14" s="1"/>
  <c r="I4288" i="14" s="1"/>
  <c r="K4265" i="13"/>
  <c r="L4265" i="13" s="1"/>
  <c r="I4266" i="13" s="1"/>
  <c r="N4451" i="14"/>
  <c r="J4450" i="14" a="1"/>
  <c r="J4450" i="14" s="1"/>
  <c r="M4455" i="14"/>
  <c r="N4452" i="13"/>
  <c r="J4451" i="13" a="1"/>
  <c r="J4451" i="13" s="1"/>
  <c r="M4454" i="13"/>
  <c r="K4266" i="13" l="1"/>
  <c r="L4266" i="13" s="1"/>
  <c r="I4267" i="13" s="1"/>
  <c r="J4452" i="13" a="1"/>
  <c r="J4452" i="13" s="1"/>
  <c r="N4453" i="13"/>
  <c r="M4455" i="13"/>
  <c r="M4456" i="14"/>
  <c r="N4452" i="14"/>
  <c r="J4451" i="14" a="1"/>
  <c r="J4451" i="14" s="1"/>
  <c r="K4288" i="14"/>
  <c r="L4288" i="14" s="1"/>
  <c r="I4289" i="14" s="1"/>
  <c r="K4289" i="14" l="1"/>
  <c r="L4289" i="14" s="1"/>
  <c r="I4290" i="14" s="1"/>
  <c r="K4267" i="13"/>
  <c r="L4267" i="13" s="1"/>
  <c r="I4268" i="13" s="1"/>
  <c r="N4454" i="13"/>
  <c r="J4453" i="13" a="1"/>
  <c r="J4453" i="13" s="1"/>
  <c r="M4457" i="14"/>
  <c r="J4452" i="14" a="1"/>
  <c r="J4452" i="14" s="1"/>
  <c r="N4453" i="14"/>
  <c r="M4456" i="13"/>
  <c r="K4268" i="13" l="1"/>
  <c r="L4268" i="13" s="1"/>
  <c r="I4269" i="13" s="1"/>
  <c r="K4290" i="14"/>
  <c r="L4290" i="14" s="1"/>
  <c r="I4291" i="14" s="1"/>
  <c r="J4453" i="14" a="1"/>
  <c r="J4453" i="14" s="1"/>
  <c r="N4454" i="14"/>
  <c r="M4457" i="13"/>
  <c r="M4458" i="14"/>
  <c r="J4454" i="13" a="1"/>
  <c r="J4454" i="13" s="1"/>
  <c r="N4455" i="13"/>
  <c r="K4291" i="14" l="1"/>
  <c r="L4291" i="14" s="1"/>
  <c r="I4292" i="14" s="1"/>
  <c r="K4269" i="13"/>
  <c r="L4269" i="13" s="1"/>
  <c r="I4270" i="13" s="1"/>
  <c r="N4456" i="13"/>
  <c r="J4455" i="13" a="1"/>
  <c r="J4455" i="13" s="1"/>
  <c r="M4458" i="13"/>
  <c r="N4455" i="14"/>
  <c r="J4454" i="14" a="1"/>
  <c r="J4454" i="14" s="1"/>
  <c r="M4459" i="14"/>
  <c r="K4270" i="13" l="1"/>
  <c r="L4270" i="13" s="1"/>
  <c r="I4271" i="13" s="1"/>
  <c r="K4292" i="14"/>
  <c r="L4292" i="14" s="1"/>
  <c r="I4293" i="14" s="1"/>
  <c r="M4459" i="13"/>
  <c r="N4456" i="14"/>
  <c r="J4455" i="14" a="1"/>
  <c r="J4455" i="14" s="1"/>
  <c r="M4460" i="14"/>
  <c r="J4456" i="13" a="1"/>
  <c r="J4456" i="13" s="1"/>
  <c r="N4457" i="13"/>
  <c r="K4293" i="14" l="1"/>
  <c r="L4293" i="14" s="1"/>
  <c r="I4294" i="14" s="1"/>
  <c r="K4271" i="13"/>
  <c r="L4271" i="13" s="1"/>
  <c r="I4272" i="13" s="1"/>
  <c r="J4456" i="14" a="1"/>
  <c r="J4456" i="14" s="1"/>
  <c r="N4457" i="14"/>
  <c r="N4458" i="13"/>
  <c r="J4457" i="13" a="1"/>
  <c r="J4457" i="13" s="1"/>
  <c r="M4461" i="14"/>
  <c r="M4460" i="13"/>
  <c r="K4272" i="13" l="1"/>
  <c r="L4272" i="13" s="1"/>
  <c r="I4273" i="13" s="1"/>
  <c r="K4294" i="14"/>
  <c r="L4294" i="14" s="1"/>
  <c r="I4295" i="14" s="1"/>
  <c r="J4458" i="13" a="1"/>
  <c r="J4458" i="13" s="1"/>
  <c r="N4459" i="13"/>
  <c r="M4461" i="13"/>
  <c r="J4457" i="14" a="1"/>
  <c r="J4457" i="14" s="1"/>
  <c r="N4458" i="14"/>
  <c r="M4462" i="14"/>
  <c r="K4295" i="14" l="1"/>
  <c r="L4295" i="14" s="1"/>
  <c r="I4296" i="14" s="1"/>
  <c r="K4273" i="13"/>
  <c r="L4273" i="13" s="1"/>
  <c r="I4274" i="13" s="1"/>
  <c r="J4458" i="14" a="1"/>
  <c r="J4458" i="14" s="1"/>
  <c r="N4459" i="14"/>
  <c r="M4463" i="14"/>
  <c r="M4462" i="13"/>
  <c r="N4460" i="13"/>
  <c r="J4459" i="13" a="1"/>
  <c r="J4459" i="13" s="1"/>
  <c r="K4274" i="13" l="1"/>
  <c r="L4274" i="13" s="1"/>
  <c r="I4275" i="13" s="1"/>
  <c r="K4296" i="14"/>
  <c r="L4296" i="14" s="1"/>
  <c r="I4297" i="14" s="1"/>
  <c r="J4460" i="13" a="1"/>
  <c r="J4460" i="13" s="1"/>
  <c r="N4461" i="13"/>
  <c r="M4464" i="14"/>
  <c r="M4463" i="13"/>
  <c r="N4460" i="14"/>
  <c r="J4459" i="14" a="1"/>
  <c r="J4459" i="14" s="1"/>
  <c r="K4297" i="14" l="1"/>
  <c r="L4297" i="14" s="1"/>
  <c r="I4298" i="14" s="1"/>
  <c r="K4275" i="13"/>
  <c r="L4275" i="13" s="1"/>
  <c r="I4276" i="13" s="1"/>
  <c r="J4460" i="14" a="1"/>
  <c r="J4460" i="14" s="1"/>
  <c r="N4461" i="14"/>
  <c r="M4465" i="14"/>
  <c r="N4462" i="13"/>
  <c r="J4461" i="13" a="1"/>
  <c r="J4461" i="13" s="1"/>
  <c r="M4464" i="13"/>
  <c r="K4276" i="13" l="1"/>
  <c r="L4276" i="13" s="1"/>
  <c r="I4277" i="13" s="1"/>
  <c r="K4298" i="14"/>
  <c r="L4298" i="14" s="1"/>
  <c r="I4299" i="14" s="1"/>
  <c r="M4465" i="13"/>
  <c r="M4466" i="14"/>
  <c r="J4461" i="14" a="1"/>
  <c r="J4461" i="14" s="1"/>
  <c r="N4462" i="14"/>
  <c r="J4462" i="13" a="1"/>
  <c r="J4462" i="13" s="1"/>
  <c r="N4463" i="13"/>
  <c r="K4277" i="13" l="1"/>
  <c r="L4277" i="13" s="1"/>
  <c r="I4278" i="13" s="1"/>
  <c r="N4464" i="13"/>
  <c r="J4463" i="13" a="1"/>
  <c r="J4463" i="13" s="1"/>
  <c r="M4467" i="14"/>
  <c r="K4299" i="14"/>
  <c r="L4299" i="14" s="1"/>
  <c r="I4300" i="14" s="1"/>
  <c r="N4463" i="14"/>
  <c r="J4462" i="14" a="1"/>
  <c r="J4462" i="14" s="1"/>
  <c r="M4466" i="13"/>
  <c r="K4300" i="14" l="1"/>
  <c r="L4300" i="14" s="1"/>
  <c r="I4301" i="14" s="1"/>
  <c r="K4278" i="13"/>
  <c r="L4278" i="13" s="1"/>
  <c r="I4279" i="13" s="1"/>
  <c r="J4464" i="13" a="1"/>
  <c r="J4464" i="13" s="1"/>
  <c r="N4465" i="13"/>
  <c r="M4467" i="13"/>
  <c r="N4464" i="14"/>
  <c r="J4463" i="14" a="1"/>
  <c r="J4463" i="14" s="1"/>
  <c r="M4468" i="14"/>
  <c r="K4279" i="13" l="1"/>
  <c r="L4279" i="13" s="1"/>
  <c r="I4280" i="13" s="1"/>
  <c r="K4301" i="14"/>
  <c r="L4301" i="14" s="1"/>
  <c r="I4302" i="14" s="1"/>
  <c r="J4464" i="14" a="1"/>
  <c r="J4464" i="14" s="1"/>
  <c r="N4465" i="14"/>
  <c r="M4469" i="14"/>
  <c r="M4468" i="13"/>
  <c r="N4466" i="13"/>
  <c r="J4465" i="13" a="1"/>
  <c r="J4465" i="13" s="1"/>
  <c r="K4302" i="14" l="1"/>
  <c r="L4302" i="14" s="1"/>
  <c r="I4303" i="14" s="1"/>
  <c r="K4280" i="13"/>
  <c r="L4280" i="13" s="1"/>
  <c r="I4281" i="13" s="1"/>
  <c r="M4470" i="14"/>
  <c r="J4466" i="13" a="1"/>
  <c r="J4466" i="13" s="1"/>
  <c r="N4467" i="13"/>
  <c r="J4465" i="14" a="1"/>
  <c r="J4465" i="14" s="1"/>
  <c r="N4466" i="14"/>
  <c r="M4469" i="13"/>
  <c r="K4281" i="13" l="1"/>
  <c r="L4281" i="13" s="1"/>
  <c r="I4282" i="13" s="1"/>
  <c r="K4303" i="14"/>
  <c r="L4303" i="14" s="1"/>
  <c r="I4304" i="14" s="1"/>
  <c r="N4468" i="13"/>
  <c r="J4467" i="13" a="1"/>
  <c r="J4467" i="13" s="1"/>
  <c r="N4467" i="14"/>
  <c r="J4466" i="14" a="1"/>
  <c r="J4466" i="14" s="1"/>
  <c r="M4471" i="14"/>
  <c r="M4470" i="13"/>
  <c r="K4304" i="14" l="1"/>
  <c r="L4304" i="14" s="1"/>
  <c r="I4305" i="14" s="1"/>
  <c r="K4282" i="13"/>
  <c r="L4282" i="13" s="1"/>
  <c r="I4283" i="13" s="1"/>
  <c r="N4468" i="14"/>
  <c r="J4467" i="14" a="1"/>
  <c r="J4467" i="14" s="1"/>
  <c r="M4471" i="13"/>
  <c r="M4472" i="14"/>
  <c r="J4468" i="13" a="1"/>
  <c r="J4468" i="13" s="1"/>
  <c r="N4469" i="13"/>
  <c r="K4283" i="13" l="1"/>
  <c r="L4283" i="13" s="1"/>
  <c r="I4284" i="13" s="1"/>
  <c r="K4305" i="14"/>
  <c r="L4305" i="14" s="1"/>
  <c r="I4306" i="14" s="1"/>
  <c r="N4470" i="13"/>
  <c r="J4469" i="13" a="1"/>
  <c r="J4469" i="13" s="1"/>
  <c r="M4472" i="13"/>
  <c r="M4473" i="14"/>
  <c r="J4468" i="14" a="1"/>
  <c r="J4468" i="14" s="1"/>
  <c r="N4469" i="14"/>
  <c r="K4306" i="14" l="1"/>
  <c r="L4306" i="14" s="1"/>
  <c r="I4307" i="14" s="1"/>
  <c r="K4284" i="13"/>
  <c r="L4284" i="13" s="1"/>
  <c r="I4285" i="13" s="1"/>
  <c r="J4469" i="14" a="1"/>
  <c r="J4469" i="14" s="1"/>
  <c r="N4470" i="14"/>
  <c r="M4473" i="13"/>
  <c r="M4474" i="14"/>
  <c r="J4470" i="13" a="1"/>
  <c r="J4470" i="13" s="1"/>
  <c r="N4471" i="13"/>
  <c r="K4285" i="13" l="1"/>
  <c r="L4285" i="13" s="1"/>
  <c r="I4286" i="13" s="1"/>
  <c r="K4307" i="14"/>
  <c r="L4307" i="14" s="1"/>
  <c r="I4308" i="14" s="1"/>
  <c r="N4472" i="13"/>
  <c r="J4471" i="13" a="1"/>
  <c r="J4471" i="13" s="1"/>
  <c r="M4474" i="13"/>
  <c r="N4471" i="14"/>
  <c r="J4470" i="14" a="1"/>
  <c r="J4470" i="14" s="1"/>
  <c r="M4475" i="14"/>
  <c r="K4308" i="14" l="1"/>
  <c r="L4308" i="14" s="1"/>
  <c r="I4309" i="14" s="1"/>
  <c r="K4286" i="13"/>
  <c r="L4286" i="13" s="1"/>
  <c r="I4287" i="13" s="1"/>
  <c r="M4475" i="13"/>
  <c r="M4476" i="14"/>
  <c r="N4472" i="14"/>
  <c r="J4471" i="14" a="1"/>
  <c r="J4471" i="14" s="1"/>
  <c r="J4472" i="13" a="1"/>
  <c r="J4472" i="13" s="1"/>
  <c r="N4473" i="13"/>
  <c r="K4287" i="13" l="1"/>
  <c r="L4287" i="13" s="1"/>
  <c r="I4288" i="13" s="1"/>
  <c r="K4309" i="14"/>
  <c r="L4309" i="14" s="1"/>
  <c r="I4310" i="14" s="1"/>
  <c r="N4474" i="13"/>
  <c r="J4473" i="13" a="1"/>
  <c r="J4473" i="13" s="1"/>
  <c r="M4477" i="14"/>
  <c r="J4472" i="14" a="1"/>
  <c r="J4472" i="14" s="1"/>
  <c r="N4473" i="14"/>
  <c r="M4476" i="13"/>
  <c r="K4310" i="14" l="1"/>
  <c r="L4310" i="14" s="1"/>
  <c r="I4311" i="14" s="1"/>
  <c r="K4288" i="13"/>
  <c r="L4288" i="13" s="1"/>
  <c r="I4289" i="13" s="1"/>
  <c r="M4477" i="13"/>
  <c r="M4478" i="14"/>
  <c r="J4473" i="14" a="1"/>
  <c r="J4473" i="14" s="1"/>
  <c r="N4474" i="14"/>
  <c r="J4474" i="13" a="1"/>
  <c r="J4474" i="13" s="1"/>
  <c r="N4475" i="13"/>
  <c r="K4289" i="13" l="1"/>
  <c r="L4289" i="13" s="1"/>
  <c r="I4290" i="13" s="1"/>
  <c r="K4311" i="14"/>
  <c r="L4311" i="14" s="1"/>
  <c r="I4312" i="14" s="1"/>
  <c r="N4476" i="13"/>
  <c r="J4475" i="13" a="1"/>
  <c r="J4475" i="13" s="1"/>
  <c r="M4479" i="14"/>
  <c r="J4474" i="14" a="1"/>
  <c r="J4474" i="14" s="1"/>
  <c r="N4475" i="14"/>
  <c r="M4478" i="13"/>
  <c r="K4312" i="14" l="1"/>
  <c r="L4312" i="14" s="1"/>
  <c r="I4313" i="14" s="1"/>
  <c r="K4290" i="13"/>
  <c r="L4290" i="13" s="1"/>
  <c r="I4291" i="13" s="1"/>
  <c r="N4476" i="14"/>
  <c r="J4475" i="14" a="1"/>
  <c r="J4475" i="14" s="1"/>
  <c r="M4479" i="13"/>
  <c r="M4480" i="14"/>
  <c r="J4476" i="13" a="1"/>
  <c r="J4476" i="13" s="1"/>
  <c r="N4477" i="13"/>
  <c r="K4291" i="13" l="1"/>
  <c r="L4291" i="13" s="1"/>
  <c r="I4292" i="13" s="1"/>
  <c r="K4313" i="14"/>
  <c r="L4313" i="14" s="1"/>
  <c r="I4314" i="14" s="1"/>
  <c r="N4478" i="13"/>
  <c r="J4477" i="13" a="1"/>
  <c r="J4477" i="13" s="1"/>
  <c r="M4480" i="13"/>
  <c r="M4481" i="14"/>
  <c r="J4476" i="14" a="1"/>
  <c r="J4476" i="14" s="1"/>
  <c r="N4477" i="14"/>
  <c r="K4314" i="14" l="1"/>
  <c r="L4314" i="14" s="1"/>
  <c r="I4315" i="14" s="1"/>
  <c r="K4292" i="13"/>
  <c r="L4292" i="13" s="1"/>
  <c r="I4293" i="13" s="1"/>
  <c r="J4477" i="14" a="1"/>
  <c r="J4477" i="14" s="1"/>
  <c r="N4478" i="14"/>
  <c r="M4481" i="13"/>
  <c r="M4482" i="14"/>
  <c r="J4478" i="13" a="1"/>
  <c r="J4478" i="13" s="1"/>
  <c r="N4479" i="13"/>
  <c r="K4293" i="13" l="1"/>
  <c r="L4293" i="13" s="1"/>
  <c r="I4294" i="13" s="1"/>
  <c r="K4315" i="14"/>
  <c r="L4315" i="14" s="1"/>
  <c r="I4316" i="14" s="1"/>
  <c r="N4480" i="13"/>
  <c r="J4479" i="13" a="1"/>
  <c r="J4479" i="13" s="1"/>
  <c r="M4482" i="13"/>
  <c r="N4479" i="14"/>
  <c r="J4478" i="14" a="1"/>
  <c r="J4478" i="14" s="1"/>
  <c r="M4483" i="14"/>
  <c r="K4316" i="14" l="1"/>
  <c r="L4316" i="14" s="1"/>
  <c r="I4317" i="14" s="1"/>
  <c r="K4294" i="13"/>
  <c r="L4294" i="13" s="1"/>
  <c r="I4295" i="13" s="1"/>
  <c r="M4483" i="13"/>
  <c r="M4484" i="14"/>
  <c r="N4480" i="14"/>
  <c r="J4479" i="14" a="1"/>
  <c r="J4479" i="14" s="1"/>
  <c r="J4480" i="13" a="1"/>
  <c r="J4480" i="13" s="1"/>
  <c r="N4481" i="13"/>
  <c r="K4295" i="13" l="1"/>
  <c r="L4295" i="13" s="1"/>
  <c r="I4296" i="13" s="1"/>
  <c r="K4317" i="14"/>
  <c r="L4317" i="14" s="1"/>
  <c r="I4318" i="14" s="1"/>
  <c r="N4482" i="13"/>
  <c r="J4481" i="13" a="1"/>
  <c r="J4481" i="13" s="1"/>
  <c r="M4485" i="14"/>
  <c r="J4480" i="14" a="1"/>
  <c r="J4480" i="14" s="1"/>
  <c r="N4481" i="14"/>
  <c r="M4484" i="13"/>
  <c r="K4318" i="14" l="1"/>
  <c r="L4318" i="14" s="1"/>
  <c r="I4319" i="14" s="1"/>
  <c r="K4296" i="13"/>
  <c r="L4296" i="13" s="1"/>
  <c r="I4297" i="13" s="1"/>
  <c r="J4481" i="14" a="1"/>
  <c r="J4481" i="14" s="1"/>
  <c r="N4482" i="14"/>
  <c r="M4485" i="13"/>
  <c r="M4486" i="14"/>
  <c r="J4482" i="13" a="1"/>
  <c r="J4482" i="13" s="1"/>
  <c r="N4483" i="13"/>
  <c r="K4297" i="13" l="1"/>
  <c r="L4297" i="13" s="1"/>
  <c r="I4298" i="13" s="1"/>
  <c r="K4319" i="14"/>
  <c r="L4319" i="14" s="1"/>
  <c r="I4320" i="14" s="1"/>
  <c r="N4484" i="13"/>
  <c r="J4483" i="13" a="1"/>
  <c r="J4483" i="13" s="1"/>
  <c r="M4486" i="13"/>
  <c r="N4483" i="14"/>
  <c r="J4482" i="14" a="1"/>
  <c r="J4482" i="14" s="1"/>
  <c r="M4487" i="14"/>
  <c r="K4320" i="14" l="1"/>
  <c r="L4320" i="14" s="1"/>
  <c r="I4321" i="14" s="1"/>
  <c r="K4298" i="13"/>
  <c r="L4298" i="13" s="1"/>
  <c r="I4299" i="13" s="1"/>
  <c r="M4487" i="13"/>
  <c r="M4488" i="14"/>
  <c r="N4484" i="14"/>
  <c r="J4483" i="14" a="1"/>
  <c r="J4483" i="14" s="1"/>
  <c r="J4484" i="13" a="1"/>
  <c r="J4484" i="13" s="1"/>
  <c r="N4485" i="13"/>
  <c r="K4299" i="13" l="1"/>
  <c r="L4299" i="13" s="1"/>
  <c r="I4300" i="13" s="1"/>
  <c r="K4321" i="14"/>
  <c r="L4321" i="14" s="1"/>
  <c r="I4322" i="14" s="1"/>
  <c r="N4486" i="13"/>
  <c r="J4485" i="13" a="1"/>
  <c r="J4485" i="13" s="1"/>
  <c r="M4489" i="14"/>
  <c r="J4484" i="14" a="1"/>
  <c r="J4484" i="14" s="1"/>
  <c r="N4485" i="14"/>
  <c r="M4488" i="13"/>
  <c r="K4322" i="14" l="1"/>
  <c r="L4322" i="14" s="1"/>
  <c r="I4323" i="14" s="1"/>
  <c r="K4300" i="13"/>
  <c r="L4300" i="13" s="1"/>
  <c r="I4301" i="13" s="1"/>
  <c r="M4489" i="13"/>
  <c r="J4485" i="14" a="1"/>
  <c r="J4485" i="14" s="1"/>
  <c r="N4486" i="14"/>
  <c r="M4490" i="14"/>
  <c r="J4486" i="13" a="1"/>
  <c r="J4486" i="13" s="1"/>
  <c r="N4487" i="13"/>
  <c r="K4301" i="13" l="1"/>
  <c r="L4301" i="13" s="1"/>
  <c r="I4302" i="13" s="1"/>
  <c r="K4323" i="14"/>
  <c r="L4323" i="14" s="1"/>
  <c r="I4324" i="14" s="1"/>
  <c r="N4487" i="14"/>
  <c r="J4486" i="14" a="1"/>
  <c r="J4486" i="14" s="1"/>
  <c r="N4488" i="13"/>
  <c r="J4487" i="13" a="1"/>
  <c r="J4487" i="13" s="1"/>
  <c r="M4491" i="14"/>
  <c r="M4490" i="13"/>
  <c r="K4324" i="14" l="1"/>
  <c r="L4324" i="14" s="1"/>
  <c r="I4325" i="14" s="1"/>
  <c r="K4302" i="13"/>
  <c r="L4302" i="13" s="1"/>
  <c r="I4303" i="13" s="1"/>
  <c r="J4488" i="13" a="1"/>
  <c r="J4488" i="13" s="1"/>
  <c r="N4489" i="13"/>
  <c r="M4491" i="13"/>
  <c r="M4492" i="14"/>
  <c r="N4488" i="14"/>
  <c r="J4487" i="14" a="1"/>
  <c r="J4487" i="14" s="1"/>
  <c r="K4303" i="13" l="1"/>
  <c r="L4303" i="13" s="1"/>
  <c r="I4304" i="13" s="1"/>
  <c r="K4325" i="14"/>
  <c r="L4325" i="14" s="1"/>
  <c r="I4326" i="14" s="1"/>
  <c r="J4488" i="14" a="1"/>
  <c r="J4488" i="14" s="1"/>
  <c r="N4489" i="14"/>
  <c r="M4492" i="13"/>
  <c r="N4490" i="13"/>
  <c r="J4489" i="13" a="1"/>
  <c r="J4489" i="13" s="1"/>
  <c r="M4493" i="14"/>
  <c r="K4326" i="14" l="1"/>
  <c r="L4326" i="14" s="1"/>
  <c r="I4327" i="14" s="1"/>
  <c r="K4304" i="13"/>
  <c r="L4304" i="13" s="1"/>
  <c r="I4305" i="13" s="1"/>
  <c r="M4494" i="14"/>
  <c r="M4493" i="13"/>
  <c r="J4490" i="13" a="1"/>
  <c r="J4490" i="13" s="1"/>
  <c r="N4491" i="13"/>
  <c r="J4489" i="14" a="1"/>
  <c r="J4489" i="14" s="1"/>
  <c r="N4490" i="14"/>
  <c r="K4305" i="13" l="1"/>
  <c r="L4305" i="13" s="1"/>
  <c r="I4306" i="13" s="1"/>
  <c r="K4327" i="14"/>
  <c r="L4327" i="14" s="1"/>
  <c r="I4328" i="14" s="1"/>
  <c r="J4490" i="14" a="1"/>
  <c r="J4490" i="14" s="1"/>
  <c r="N4491" i="14"/>
  <c r="M4494" i="13"/>
  <c r="N4492" i="13"/>
  <c r="J4491" i="13" a="1"/>
  <c r="J4491" i="13" s="1"/>
  <c r="M4495" i="14"/>
  <c r="K4328" i="14" l="1"/>
  <c r="L4328" i="14" s="1"/>
  <c r="I4329" i="14" s="1"/>
  <c r="K4306" i="13"/>
  <c r="L4306" i="13" s="1"/>
  <c r="I4307" i="13" s="1"/>
  <c r="M4495" i="13"/>
  <c r="J4492" i="13" a="1"/>
  <c r="J4492" i="13" s="1"/>
  <c r="N4493" i="13"/>
  <c r="M4496" i="14"/>
  <c r="N4492" i="14"/>
  <c r="J4491" i="14" a="1"/>
  <c r="J4491" i="14" s="1"/>
  <c r="K4307" i="13" l="1"/>
  <c r="L4307" i="13" s="1"/>
  <c r="I4308" i="13" s="1"/>
  <c r="K4329" i="14"/>
  <c r="L4329" i="14" s="1"/>
  <c r="I4330" i="14" s="1"/>
  <c r="N4494" i="13"/>
  <c r="J4493" i="13" a="1"/>
  <c r="J4493" i="13" s="1"/>
  <c r="J4492" i="14" a="1"/>
  <c r="J4492" i="14" s="1"/>
  <c r="N4493" i="14"/>
  <c r="M4497" i="14"/>
  <c r="M4496" i="13"/>
  <c r="K4308" i="13" l="1"/>
  <c r="L4308" i="13" s="1"/>
  <c r="I4309" i="13" s="1"/>
  <c r="M4497" i="13"/>
  <c r="J4493" i="14" a="1"/>
  <c r="J4493" i="14" s="1"/>
  <c r="N4494" i="14"/>
  <c r="K4330" i="14"/>
  <c r="L4330" i="14" s="1"/>
  <c r="I4331" i="14" s="1"/>
  <c r="M4498" i="14"/>
  <c r="J4494" i="13" a="1"/>
  <c r="J4494" i="13" s="1"/>
  <c r="N4495" i="13"/>
  <c r="K4331" i="14" l="1"/>
  <c r="L4331" i="14" s="1"/>
  <c r="I4332" i="14" s="1"/>
  <c r="K4309" i="13"/>
  <c r="L4309" i="13" s="1"/>
  <c r="I4310" i="13" s="1"/>
  <c r="N4496" i="13"/>
  <c r="J4495" i="13" a="1"/>
  <c r="J4495" i="13" s="1"/>
  <c r="M4498" i="13"/>
  <c r="M4499" i="14"/>
  <c r="N4495" i="14"/>
  <c r="J4494" i="14" a="1"/>
  <c r="J4494" i="14" s="1"/>
  <c r="K4310" i="13" l="1"/>
  <c r="L4310" i="13" s="1"/>
  <c r="I4311" i="13" s="1"/>
  <c r="K4332" i="14"/>
  <c r="L4332" i="14" s="1"/>
  <c r="I4333" i="14" s="1"/>
  <c r="M4499" i="13"/>
  <c r="N4496" i="14"/>
  <c r="J4495" i="14" a="1"/>
  <c r="J4495" i="14" s="1"/>
  <c r="M4500" i="14"/>
  <c r="J4496" i="13" a="1"/>
  <c r="J4496" i="13" s="1"/>
  <c r="N4497" i="13"/>
  <c r="K4333" i="14" l="1"/>
  <c r="L4333" i="14" s="1"/>
  <c r="I4334" i="14" s="1"/>
  <c r="K4311" i="13"/>
  <c r="L4311" i="13" s="1"/>
  <c r="I4312" i="13" s="1"/>
  <c r="J4496" i="14" a="1"/>
  <c r="J4496" i="14" s="1"/>
  <c r="N4497" i="14"/>
  <c r="N4498" i="13"/>
  <c r="J4497" i="13" a="1"/>
  <c r="J4497" i="13" s="1"/>
  <c r="M4501" i="14"/>
  <c r="M4500" i="13"/>
  <c r="K4312" i="13" l="1"/>
  <c r="L4312" i="13" s="1"/>
  <c r="I4313" i="13" s="1"/>
  <c r="K4334" i="14"/>
  <c r="L4334" i="14" s="1"/>
  <c r="I4335" i="14" s="1"/>
  <c r="J4498" i="13" a="1"/>
  <c r="J4498" i="13" s="1"/>
  <c r="N4499" i="13"/>
  <c r="M4501" i="13"/>
  <c r="J4497" i="14" a="1"/>
  <c r="J4497" i="14" s="1"/>
  <c r="N4498" i="14"/>
  <c r="M4502" i="14"/>
  <c r="K4335" i="14" l="1"/>
  <c r="L4335" i="14" s="1"/>
  <c r="I4336" i="14" s="1"/>
  <c r="K4313" i="13"/>
  <c r="L4313" i="13" s="1"/>
  <c r="I4314" i="13" s="1"/>
  <c r="M4503" i="14"/>
  <c r="N4499" i="14"/>
  <c r="J4498" i="14" a="1"/>
  <c r="J4498" i="14" s="1"/>
  <c r="M4502" i="13"/>
  <c r="N4500" i="13"/>
  <c r="J4499" i="13" a="1"/>
  <c r="J4499" i="13" s="1"/>
  <c r="K4314" i="13" l="1"/>
  <c r="L4314" i="13" s="1"/>
  <c r="I4315" i="13" s="1"/>
  <c r="K4336" i="14"/>
  <c r="L4336" i="14" s="1"/>
  <c r="I4337" i="14" s="1"/>
  <c r="J4500" i="13" a="1"/>
  <c r="J4500" i="13" s="1"/>
  <c r="N4501" i="13"/>
  <c r="N4500" i="14"/>
  <c r="J4499" i="14" a="1"/>
  <c r="J4499" i="14" s="1"/>
  <c r="M4503" i="13"/>
  <c r="M4504" i="14"/>
  <c r="K4337" i="14" l="1"/>
  <c r="L4337" i="14" s="1"/>
  <c r="I4338" i="14" s="1"/>
  <c r="K4315" i="13"/>
  <c r="L4315" i="13" s="1"/>
  <c r="I4316" i="13" s="1"/>
  <c r="J4500" i="14" a="1"/>
  <c r="J4500" i="14" s="1"/>
  <c r="N4501" i="14"/>
  <c r="N4502" i="13"/>
  <c r="J4501" i="13" a="1"/>
  <c r="J4501" i="13" s="1"/>
  <c r="M4505" i="14"/>
  <c r="M4504" i="13"/>
  <c r="K4316" i="13" l="1"/>
  <c r="L4316" i="13" s="1"/>
  <c r="I4317" i="13" s="1"/>
  <c r="K4338" i="14"/>
  <c r="L4338" i="14" s="1"/>
  <c r="I4339" i="14" s="1"/>
  <c r="J4502" i="13" a="1"/>
  <c r="J4502" i="13" s="1"/>
  <c r="N4503" i="13"/>
  <c r="M4505" i="13"/>
  <c r="J4501" i="14" a="1"/>
  <c r="J4501" i="14" s="1"/>
  <c r="N4502" i="14"/>
  <c r="M4506" i="14"/>
  <c r="K4339" i="14" l="1"/>
  <c r="L4339" i="14" s="1"/>
  <c r="I4340" i="14" s="1"/>
  <c r="K4317" i="13"/>
  <c r="L4317" i="13" s="1"/>
  <c r="I4318" i="13" s="1"/>
  <c r="M4507" i="14"/>
  <c r="N4503" i="14"/>
  <c r="J4502" i="14" a="1"/>
  <c r="J4502" i="14" s="1"/>
  <c r="M4506" i="13"/>
  <c r="N4504" i="13"/>
  <c r="J4503" i="13" a="1"/>
  <c r="J4503" i="13" s="1"/>
  <c r="K4318" i="13" l="1"/>
  <c r="L4318" i="13" s="1"/>
  <c r="I4319" i="13" s="1"/>
  <c r="K4340" i="14"/>
  <c r="L4340" i="14" s="1"/>
  <c r="I4341" i="14" s="1"/>
  <c r="J4504" i="13" a="1"/>
  <c r="J4504" i="13" s="1"/>
  <c r="N4505" i="13"/>
  <c r="M4507" i="13"/>
  <c r="N4504" i="14"/>
  <c r="J4503" i="14" a="1"/>
  <c r="J4503" i="14" s="1"/>
  <c r="M4508" i="14"/>
  <c r="K4341" i="14" l="1"/>
  <c r="L4341" i="14" s="1"/>
  <c r="I4342" i="14" s="1"/>
  <c r="K4319" i="13"/>
  <c r="L4319" i="13" s="1"/>
  <c r="I4320" i="13" s="1"/>
  <c r="M4509" i="14"/>
  <c r="M4508" i="13"/>
  <c r="N4506" i="13"/>
  <c r="J4505" i="13" a="1"/>
  <c r="J4505" i="13" s="1"/>
  <c r="J4504" i="14" a="1"/>
  <c r="J4504" i="14" s="1"/>
  <c r="N4505" i="14"/>
  <c r="K4320" i="13" l="1"/>
  <c r="L4320" i="13" s="1"/>
  <c r="I4321" i="13" s="1"/>
  <c r="K4342" i="14"/>
  <c r="L4342" i="14" s="1"/>
  <c r="I4343" i="14" s="1"/>
  <c r="J4505" i="14" a="1"/>
  <c r="J4505" i="14" s="1"/>
  <c r="N4506" i="14"/>
  <c r="M4509" i="13"/>
  <c r="M4510" i="14"/>
  <c r="J4506" i="13" a="1"/>
  <c r="J4506" i="13" s="1"/>
  <c r="N4507" i="13"/>
  <c r="K4343" i="14" l="1"/>
  <c r="L4343" i="14" s="1"/>
  <c r="I4344" i="14" s="1"/>
  <c r="K4321" i="13"/>
  <c r="L4321" i="13" s="1"/>
  <c r="I4322" i="13" s="1"/>
  <c r="N4508" i="13"/>
  <c r="J4507" i="13" a="1"/>
  <c r="J4507" i="13" s="1"/>
  <c r="M4510" i="13"/>
  <c r="N4507" i="14"/>
  <c r="J4506" i="14" a="1"/>
  <c r="J4506" i="14" s="1"/>
  <c r="M4511" i="14"/>
  <c r="K4322" i="13" l="1"/>
  <c r="L4322" i="13" s="1"/>
  <c r="I4323" i="13" s="1"/>
  <c r="K4344" i="14"/>
  <c r="L4344" i="14" s="1"/>
  <c r="I4345" i="14" s="1"/>
  <c r="M4511" i="13"/>
  <c r="N4508" i="14"/>
  <c r="J4507" i="14" a="1"/>
  <c r="J4507" i="14" s="1"/>
  <c r="M4512" i="14"/>
  <c r="J4508" i="13" a="1"/>
  <c r="J4508" i="13" s="1"/>
  <c r="N4509" i="13"/>
  <c r="K4345" i="14" l="1"/>
  <c r="L4345" i="14" s="1"/>
  <c r="I4346" i="14" s="1"/>
  <c r="K4323" i="13"/>
  <c r="L4323" i="13" s="1"/>
  <c r="I4324" i="13" s="1"/>
  <c r="J4508" i="14" a="1"/>
  <c r="J4508" i="14" s="1"/>
  <c r="N4509" i="14"/>
  <c r="N4510" i="13"/>
  <c r="J4509" i="13" a="1"/>
  <c r="J4509" i="13" s="1"/>
  <c r="M4513" i="14"/>
  <c r="M4512" i="13"/>
  <c r="K4324" i="13" l="1"/>
  <c r="L4324" i="13" s="1"/>
  <c r="I4325" i="13" s="1"/>
  <c r="K4346" i="14"/>
  <c r="L4346" i="14" s="1"/>
  <c r="I4347" i="14" s="1"/>
  <c r="J4510" i="13" a="1"/>
  <c r="J4510" i="13" s="1"/>
  <c r="N4511" i="13"/>
  <c r="M4513" i="13"/>
  <c r="J4509" i="14" a="1"/>
  <c r="J4509" i="14" s="1"/>
  <c r="N4510" i="14"/>
  <c r="M4514" i="14"/>
  <c r="K4347" i="14" l="1"/>
  <c r="L4347" i="14" s="1"/>
  <c r="I4348" i="14" s="1"/>
  <c r="K4325" i="13"/>
  <c r="L4325" i="13" s="1"/>
  <c r="I4326" i="13" s="1"/>
  <c r="M4515" i="14"/>
  <c r="N4511" i="14"/>
  <c r="J4510" i="14" a="1"/>
  <c r="J4510" i="14" s="1"/>
  <c r="M4514" i="13"/>
  <c r="N4512" i="13"/>
  <c r="J4511" i="13" a="1"/>
  <c r="J4511" i="13" s="1"/>
  <c r="K4326" i="13" l="1"/>
  <c r="L4326" i="13" s="1"/>
  <c r="I4327" i="13" s="1"/>
  <c r="K4348" i="14"/>
  <c r="L4348" i="14" s="1"/>
  <c r="I4349" i="14" s="1"/>
  <c r="J4512" i="13" a="1"/>
  <c r="J4512" i="13" s="1"/>
  <c r="N4513" i="13"/>
  <c r="M4515" i="13"/>
  <c r="N4512" i="14"/>
  <c r="J4511" i="14" a="1"/>
  <c r="J4511" i="14" s="1"/>
  <c r="M4516" i="14"/>
  <c r="K4349" i="14" l="1"/>
  <c r="L4349" i="14" s="1"/>
  <c r="I4350" i="14" s="1"/>
  <c r="K4327" i="13"/>
  <c r="L4327" i="13" s="1"/>
  <c r="I4328" i="13" s="1"/>
  <c r="J4512" i="14" a="1"/>
  <c r="J4512" i="14" s="1"/>
  <c r="N4513" i="14"/>
  <c r="M4517" i="14"/>
  <c r="M4516" i="13"/>
  <c r="N4514" i="13"/>
  <c r="J4513" i="13" a="1"/>
  <c r="J4513" i="13" s="1"/>
  <c r="K4328" i="13" l="1"/>
  <c r="L4328" i="13" s="1"/>
  <c r="I4329" i="13" s="1"/>
  <c r="K4350" i="14"/>
  <c r="L4350" i="14" s="1"/>
  <c r="I4351" i="14" s="1"/>
  <c r="M4518" i="14"/>
  <c r="J4514" i="13" a="1"/>
  <c r="J4514" i="13" s="1"/>
  <c r="N4515" i="13"/>
  <c r="J4513" i="14" a="1"/>
  <c r="J4513" i="14" s="1"/>
  <c r="N4514" i="14"/>
  <c r="M4517" i="13"/>
  <c r="K4351" i="14" l="1"/>
  <c r="L4351" i="14" s="1"/>
  <c r="I4352" i="14" s="1"/>
  <c r="K4329" i="13"/>
  <c r="L4329" i="13" s="1"/>
  <c r="I4330" i="13" s="1"/>
  <c r="N4516" i="13"/>
  <c r="J4515" i="13" a="1"/>
  <c r="J4515" i="13" s="1"/>
  <c r="N4515" i="14"/>
  <c r="J4514" i="14" a="1"/>
  <c r="J4514" i="14" s="1"/>
  <c r="M4519" i="14"/>
  <c r="M4518" i="13"/>
  <c r="K4330" i="13" l="1"/>
  <c r="L4330" i="13" s="1"/>
  <c r="I4331" i="13" s="1"/>
  <c r="K4352" i="14"/>
  <c r="L4352" i="14" s="1"/>
  <c r="I4353" i="14" s="1"/>
  <c r="N4516" i="14"/>
  <c r="J4515" i="14" a="1"/>
  <c r="J4515" i="14" s="1"/>
  <c r="M4519" i="13"/>
  <c r="M4520" i="14"/>
  <c r="J4516" i="13" a="1"/>
  <c r="J4516" i="13" s="1"/>
  <c r="N4517" i="13"/>
  <c r="K4353" i="14" l="1"/>
  <c r="L4353" i="14" s="1"/>
  <c r="I4354" i="14" s="1"/>
  <c r="K4331" i="13"/>
  <c r="L4331" i="13" s="1"/>
  <c r="I4332" i="13" s="1"/>
  <c r="M4520" i="13"/>
  <c r="N4518" i="13"/>
  <c r="J4517" i="13" a="1"/>
  <c r="J4517" i="13" s="1"/>
  <c r="M4521" i="14"/>
  <c r="J4516" i="14" a="1"/>
  <c r="J4516" i="14" s="1"/>
  <c r="N4517" i="14"/>
  <c r="K4332" i="13" l="1"/>
  <c r="L4332" i="13" s="1"/>
  <c r="I4333" i="13" s="1"/>
  <c r="K4354" i="14"/>
  <c r="L4354" i="14" s="1"/>
  <c r="I4355" i="14" s="1"/>
  <c r="J4518" i="13" a="1"/>
  <c r="J4518" i="13" s="1"/>
  <c r="N4519" i="13"/>
  <c r="J4517" i="14" a="1"/>
  <c r="J4517" i="14" s="1"/>
  <c r="N4518" i="14"/>
  <c r="M4521" i="13"/>
  <c r="M4522" i="14"/>
  <c r="K4355" i="14" l="1"/>
  <c r="L4355" i="14" s="1"/>
  <c r="I4356" i="14" s="1"/>
  <c r="K4333" i="13"/>
  <c r="L4333" i="13" s="1"/>
  <c r="I4334" i="13" s="1"/>
  <c r="N4519" i="14"/>
  <c r="J4518" i="14" a="1"/>
  <c r="J4518" i="14" s="1"/>
  <c r="M4523" i="14"/>
  <c r="N4520" i="13"/>
  <c r="J4519" i="13" a="1"/>
  <c r="J4519" i="13" s="1"/>
  <c r="M4522" i="13"/>
  <c r="K4334" i="13" l="1"/>
  <c r="L4334" i="13" s="1"/>
  <c r="I4335" i="13" s="1"/>
  <c r="K4356" i="14"/>
  <c r="L4356" i="14" s="1"/>
  <c r="I4357" i="14" s="1"/>
  <c r="M4523" i="13"/>
  <c r="M4524" i="14"/>
  <c r="J4520" i="13" a="1"/>
  <c r="J4520" i="13" s="1"/>
  <c r="N4521" i="13"/>
  <c r="N4520" i="14"/>
  <c r="J4519" i="14" a="1"/>
  <c r="J4519" i="14" s="1"/>
  <c r="K4357" i="14" l="1"/>
  <c r="L4357" i="14" s="1"/>
  <c r="I4358" i="14" s="1"/>
  <c r="K4335" i="13"/>
  <c r="L4335" i="13" s="1"/>
  <c r="I4336" i="13" s="1"/>
  <c r="J4520" i="14" a="1"/>
  <c r="J4520" i="14" s="1"/>
  <c r="N4521" i="14"/>
  <c r="M4525" i="14"/>
  <c r="N4522" i="13"/>
  <c r="J4521" i="13" a="1"/>
  <c r="J4521" i="13" s="1"/>
  <c r="M4524" i="13"/>
  <c r="K4336" i="13" l="1"/>
  <c r="L4336" i="13" s="1"/>
  <c r="I4337" i="13" s="1"/>
  <c r="K4358" i="14"/>
  <c r="L4358" i="14" s="1"/>
  <c r="I4359" i="14" s="1"/>
  <c r="M4525" i="13"/>
  <c r="M4526" i="14"/>
  <c r="J4522" i="13" a="1"/>
  <c r="J4522" i="13" s="1"/>
  <c r="N4523" i="13"/>
  <c r="J4521" i="14" a="1"/>
  <c r="J4521" i="14" s="1"/>
  <c r="N4522" i="14"/>
  <c r="K4359" i="14" l="1"/>
  <c r="L4359" i="14" s="1"/>
  <c r="I4360" i="14" s="1"/>
  <c r="K4337" i="13"/>
  <c r="L4337" i="13" s="1"/>
  <c r="I4338" i="13" s="1"/>
  <c r="N4523" i="14"/>
  <c r="J4522" i="14" a="1"/>
  <c r="J4522" i="14" s="1"/>
  <c r="M4527" i="14"/>
  <c r="N4524" i="13"/>
  <c r="J4523" i="13" a="1"/>
  <c r="J4523" i="13" s="1"/>
  <c r="M4526" i="13"/>
  <c r="K4338" i="13" l="1"/>
  <c r="L4338" i="13" s="1"/>
  <c r="I4339" i="13" s="1"/>
  <c r="K4360" i="14"/>
  <c r="L4360" i="14" s="1"/>
  <c r="I4361" i="14" s="1"/>
  <c r="M4527" i="13"/>
  <c r="M4528" i="14"/>
  <c r="J4524" i="13" a="1"/>
  <c r="J4524" i="13" s="1"/>
  <c r="N4525" i="13"/>
  <c r="N4524" i="14"/>
  <c r="J4523" i="14" a="1"/>
  <c r="J4523" i="14" s="1"/>
  <c r="K4361" i="14" l="1"/>
  <c r="L4361" i="14" s="1"/>
  <c r="I4362" i="14" s="1"/>
  <c r="K4339" i="13"/>
  <c r="L4339" i="13" s="1"/>
  <c r="I4340" i="13" s="1"/>
  <c r="J4524" i="14" a="1"/>
  <c r="J4524" i="14" s="1"/>
  <c r="N4525" i="14"/>
  <c r="M4529" i="14"/>
  <c r="N4526" i="13"/>
  <c r="J4525" i="13" a="1"/>
  <c r="J4525" i="13" s="1"/>
  <c r="M4528" i="13"/>
  <c r="K4340" i="13" l="1"/>
  <c r="L4340" i="13" s="1"/>
  <c r="I4341" i="13" s="1"/>
  <c r="K4362" i="14"/>
  <c r="L4362" i="14" s="1"/>
  <c r="I4363" i="14" s="1"/>
  <c r="M4529" i="13"/>
  <c r="M4530" i="14"/>
  <c r="J4525" i="14" a="1"/>
  <c r="J4525" i="14" s="1"/>
  <c r="N4526" i="14"/>
  <c r="J4526" i="13" a="1"/>
  <c r="J4526" i="13" s="1"/>
  <c r="N4527" i="13"/>
  <c r="K4363" i="14" l="1"/>
  <c r="L4363" i="14" s="1"/>
  <c r="I4364" i="14" s="1"/>
  <c r="K4341" i="13"/>
  <c r="L4341" i="13" s="1"/>
  <c r="I4342" i="13" s="1"/>
  <c r="N4528" i="13"/>
  <c r="J4527" i="13" a="1"/>
  <c r="J4527" i="13" s="1"/>
  <c r="M4531" i="14"/>
  <c r="N4527" i="14"/>
  <c r="J4526" i="14" a="1"/>
  <c r="J4526" i="14" s="1"/>
  <c r="M4530" i="13"/>
  <c r="K4342" i="13" l="1"/>
  <c r="L4342" i="13" s="1"/>
  <c r="I4343" i="13" s="1"/>
  <c r="K4364" i="14"/>
  <c r="L4364" i="14" s="1"/>
  <c r="I4365" i="14" s="1"/>
  <c r="M4531" i="13"/>
  <c r="M4532" i="14"/>
  <c r="N4528" i="14"/>
  <c r="J4527" i="14" a="1"/>
  <c r="J4527" i="14" s="1"/>
  <c r="J4528" i="13" a="1"/>
  <c r="J4528" i="13" s="1"/>
  <c r="N4529" i="13"/>
  <c r="K4343" i="13" l="1"/>
  <c r="L4343" i="13" s="1"/>
  <c r="I4344" i="13" s="1"/>
  <c r="N4530" i="13"/>
  <c r="J4529" i="13" a="1"/>
  <c r="J4529" i="13" s="1"/>
  <c r="K4365" i="14"/>
  <c r="L4365" i="14" s="1"/>
  <c r="I4366" i="14" s="1"/>
  <c r="M4533" i="14"/>
  <c r="J4528" i="14" a="1"/>
  <c r="J4528" i="14" s="1"/>
  <c r="N4529" i="14"/>
  <c r="M4532" i="13"/>
  <c r="K4366" i="14" l="1"/>
  <c r="L4366" i="14" s="1"/>
  <c r="I4367" i="14" s="1"/>
  <c r="K4344" i="13"/>
  <c r="L4344" i="13" s="1"/>
  <c r="I4345" i="13" s="1"/>
  <c r="M4533" i="13"/>
  <c r="M4534" i="14"/>
  <c r="J4530" i="13" a="1"/>
  <c r="J4530" i="13" s="1"/>
  <c r="N4531" i="13"/>
  <c r="J4529" i="14" a="1"/>
  <c r="J4529" i="14" s="1"/>
  <c r="N4530" i="14"/>
  <c r="K4367" i="14" l="1"/>
  <c r="L4367" i="14" s="1"/>
  <c r="I4368" i="14" s="1"/>
  <c r="N4531" i="14"/>
  <c r="J4530" i="14" a="1"/>
  <c r="J4530" i="14" s="1"/>
  <c r="M4535" i="14"/>
  <c r="K4345" i="13"/>
  <c r="L4345" i="13" s="1"/>
  <c r="I4346" i="13" s="1"/>
  <c r="N4532" i="13"/>
  <c r="J4531" i="13" a="1"/>
  <c r="J4531" i="13" s="1"/>
  <c r="M4534" i="13"/>
  <c r="K4346" i="13" l="1"/>
  <c r="L4346" i="13" s="1"/>
  <c r="I4347" i="13" s="1"/>
  <c r="K4368" i="14"/>
  <c r="L4368" i="14" s="1"/>
  <c r="I4369" i="14" s="1"/>
  <c r="N4532" i="14"/>
  <c r="J4531" i="14" a="1"/>
  <c r="J4531" i="14" s="1"/>
  <c r="M4535" i="13"/>
  <c r="J4532" i="13" a="1"/>
  <c r="J4532" i="13" s="1"/>
  <c r="N4533" i="13"/>
  <c r="M4536" i="14"/>
  <c r="K4347" i="13" l="1"/>
  <c r="L4347" i="13" s="1"/>
  <c r="I4348" i="13" s="1"/>
  <c r="M4536" i="13"/>
  <c r="K4369" i="14"/>
  <c r="L4369" i="14" s="1"/>
  <c r="I4370" i="14" s="1"/>
  <c r="N4534" i="13"/>
  <c r="J4533" i="13" a="1"/>
  <c r="J4533" i="13" s="1"/>
  <c r="M4537" i="14"/>
  <c r="J4532" i="14" a="1"/>
  <c r="J4532" i="14" s="1"/>
  <c r="N4533" i="14"/>
  <c r="K4370" i="14" l="1"/>
  <c r="L4370" i="14" s="1"/>
  <c r="I4371" i="14" s="1"/>
  <c r="K4348" i="13"/>
  <c r="L4348" i="13" s="1"/>
  <c r="I4349" i="13" s="1"/>
  <c r="M4537" i="13"/>
  <c r="J4533" i="14" a="1"/>
  <c r="J4533" i="14" s="1"/>
  <c r="N4534" i="14"/>
  <c r="J4534" i="13" a="1"/>
  <c r="J4534" i="13" s="1"/>
  <c r="N4535" i="13"/>
  <c r="M4538" i="14"/>
  <c r="K4371" i="14" l="1"/>
  <c r="L4371" i="14" s="1"/>
  <c r="I4372" i="14" s="1"/>
  <c r="M4539" i="14"/>
  <c r="N4535" i="14"/>
  <c r="J4534" i="14" a="1"/>
  <c r="J4534" i="14" s="1"/>
  <c r="K4349" i="13"/>
  <c r="L4349" i="13" s="1"/>
  <c r="I4350" i="13" s="1"/>
  <c r="N4536" i="13"/>
  <c r="J4535" i="13" a="1"/>
  <c r="J4535" i="13" s="1"/>
  <c r="M4538" i="13"/>
  <c r="K4372" i="14" l="1"/>
  <c r="L4372" i="14" s="1"/>
  <c r="I4373" i="14" s="1"/>
  <c r="M4539" i="13"/>
  <c r="K4350" i="13"/>
  <c r="L4350" i="13" s="1"/>
  <c r="I4351" i="13" s="1"/>
  <c r="M4540" i="14"/>
  <c r="J4536" i="13" a="1"/>
  <c r="J4536" i="13" s="1"/>
  <c r="N4537" i="13"/>
  <c r="N4536" i="14"/>
  <c r="J4535" i="14" a="1"/>
  <c r="J4535" i="14" s="1"/>
  <c r="K4351" i="13" l="1"/>
  <c r="L4351" i="13" s="1"/>
  <c r="I4352" i="13" s="1"/>
  <c r="K4373" i="14"/>
  <c r="L4373" i="14" s="1"/>
  <c r="I4374" i="14" s="1"/>
  <c r="J4537" i="13" a="1"/>
  <c r="J4537" i="13" s="1"/>
  <c r="N4538" i="13"/>
  <c r="J4536" i="14" a="1"/>
  <c r="J4536" i="14" s="1"/>
  <c r="N4537" i="14"/>
  <c r="M4541" i="14"/>
  <c r="M4540" i="13"/>
  <c r="K4352" i="13" l="1"/>
  <c r="L4352" i="13" s="1"/>
  <c r="I4353" i="13" s="1"/>
  <c r="J4537" i="14" a="1"/>
  <c r="J4537" i="14" s="1"/>
  <c r="N4538" i="14"/>
  <c r="K4374" i="14"/>
  <c r="L4374" i="14" s="1"/>
  <c r="I4375" i="14" s="1"/>
  <c r="M4542" i="14"/>
  <c r="M4541" i="13"/>
  <c r="J4538" i="13" a="1"/>
  <c r="J4538" i="13" s="1"/>
  <c r="N4539" i="13"/>
  <c r="K4375" i="14" l="1"/>
  <c r="L4375" i="14" s="1"/>
  <c r="I4376" i="14" s="1"/>
  <c r="K4353" i="13"/>
  <c r="L4353" i="13" s="1"/>
  <c r="I4354" i="13" s="1"/>
  <c r="N4540" i="13"/>
  <c r="J4539" i="13" a="1"/>
  <c r="J4539" i="13" s="1"/>
  <c r="M4543" i="14"/>
  <c r="N4539" i="14"/>
  <c r="J4538" i="14" a="1"/>
  <c r="J4538" i="14" s="1"/>
  <c r="M4542" i="13"/>
  <c r="K4376" i="14" l="1"/>
  <c r="L4376" i="14" s="1"/>
  <c r="I4377" i="14" s="1"/>
  <c r="N4540" i="14"/>
  <c r="J4539" i="14" a="1"/>
  <c r="J4539" i="14" s="1"/>
  <c r="M4543" i="13"/>
  <c r="M4544" i="14"/>
  <c r="K4354" i="13"/>
  <c r="L4354" i="13" s="1"/>
  <c r="I4355" i="13" s="1"/>
  <c r="J4540" i="13" a="1"/>
  <c r="J4540" i="13" s="1"/>
  <c r="N4541" i="13"/>
  <c r="K4355" i="13" l="1"/>
  <c r="L4355" i="13" s="1"/>
  <c r="I4356" i="13" s="1"/>
  <c r="K4377" i="14"/>
  <c r="L4377" i="14" s="1"/>
  <c r="I4378" i="14" s="1"/>
  <c r="J4541" i="13" a="1"/>
  <c r="J4541" i="13" s="1"/>
  <c r="N4542" i="13"/>
  <c r="J4540" i="14" a="1"/>
  <c r="J4540" i="14" s="1"/>
  <c r="N4541" i="14"/>
  <c r="M4545" i="14"/>
  <c r="M4544" i="13"/>
  <c r="K4378" i="14" l="1"/>
  <c r="L4378" i="14" s="1"/>
  <c r="I4379" i="14" s="1"/>
  <c r="M4546" i="14"/>
  <c r="J4541" i="14" a="1"/>
  <c r="J4541" i="14" s="1"/>
  <c r="N4542" i="14"/>
  <c r="M4545" i="13"/>
  <c r="J4542" i="13" a="1"/>
  <c r="J4542" i="13" s="1"/>
  <c r="N4543" i="13"/>
  <c r="K4356" i="13"/>
  <c r="L4356" i="13" s="1"/>
  <c r="I4357" i="13" s="1"/>
  <c r="K4379" i="14" l="1"/>
  <c r="L4379" i="14" s="1"/>
  <c r="I4380" i="14" s="1"/>
  <c r="N4544" i="13"/>
  <c r="J4543" i="13" a="1"/>
  <c r="J4543" i="13" s="1"/>
  <c r="M4547" i="14"/>
  <c r="K4357" i="13"/>
  <c r="L4357" i="13" s="1"/>
  <c r="I4358" i="13" s="1"/>
  <c r="M4546" i="13"/>
  <c r="N4543" i="14"/>
  <c r="J4542" i="14" a="1"/>
  <c r="J4542" i="14" s="1"/>
  <c r="K4358" i="13" l="1"/>
  <c r="L4358" i="13" s="1"/>
  <c r="I4359" i="13" s="1"/>
  <c r="K4380" i="14"/>
  <c r="L4380" i="14" s="1"/>
  <c r="I4381" i="14" s="1"/>
  <c r="N4544" i="14"/>
  <c r="J4543" i="14" a="1"/>
  <c r="J4543" i="14" s="1"/>
  <c r="J4544" i="13" a="1"/>
  <c r="J4544" i="13" s="1"/>
  <c r="N4545" i="13"/>
  <c r="M4547" i="13"/>
  <c r="M4548" i="14"/>
  <c r="K4359" i="13" l="1"/>
  <c r="L4359" i="13" s="1"/>
  <c r="I4360" i="13" s="1"/>
  <c r="J4545" i="13" a="1"/>
  <c r="J4545" i="13" s="1"/>
  <c r="N4546" i="13"/>
  <c r="M4549" i="14"/>
  <c r="K4381" i="14"/>
  <c r="L4381" i="14" s="1"/>
  <c r="I4382" i="14" s="1"/>
  <c r="M4548" i="13"/>
  <c r="J4544" i="14" a="1"/>
  <c r="J4544" i="14" s="1"/>
  <c r="N4545" i="14"/>
  <c r="K4382" i="14" l="1"/>
  <c r="L4382" i="14" s="1"/>
  <c r="I4383" i="14" s="1"/>
  <c r="K4360" i="13"/>
  <c r="L4360" i="13" s="1"/>
  <c r="I4361" i="13" s="1"/>
  <c r="J4545" i="14" a="1"/>
  <c r="J4545" i="14" s="1"/>
  <c r="N4546" i="14"/>
  <c r="J4546" i="13" a="1"/>
  <c r="J4546" i="13" s="1"/>
  <c r="N4547" i="13"/>
  <c r="M4550" i="14"/>
  <c r="M4549" i="13"/>
  <c r="K4383" i="14" l="1"/>
  <c r="L4383" i="14" s="1"/>
  <c r="I4384" i="14" s="1"/>
  <c r="N4548" i="13"/>
  <c r="J4547" i="13" a="1"/>
  <c r="J4547" i="13" s="1"/>
  <c r="K4361" i="13"/>
  <c r="L4361" i="13" s="1"/>
  <c r="I4362" i="13" s="1"/>
  <c r="M4550" i="13"/>
  <c r="M4551" i="14"/>
  <c r="N4547" i="14"/>
  <c r="J4546" i="14" a="1"/>
  <c r="J4546" i="14" s="1"/>
  <c r="K4362" i="13" l="1"/>
  <c r="L4362" i="13" s="1"/>
  <c r="I4363" i="13" s="1"/>
  <c r="K4384" i="14"/>
  <c r="L4384" i="14" s="1"/>
  <c r="I4385" i="14" s="1"/>
  <c r="M4551" i="13"/>
  <c r="J4548" i="13" a="1"/>
  <c r="J4548" i="13" s="1"/>
  <c r="N4549" i="13"/>
  <c r="N4548" i="14"/>
  <c r="J4547" i="14" a="1"/>
  <c r="J4547" i="14" s="1"/>
  <c r="M4552" i="14"/>
  <c r="K4363" i="13" l="1"/>
  <c r="L4363" i="13" s="1"/>
  <c r="I4364" i="13" s="1"/>
  <c r="J4549" i="13" a="1"/>
  <c r="J4549" i="13" s="1"/>
  <c r="N4550" i="13"/>
  <c r="M4553" i="14"/>
  <c r="K4385" i="14"/>
  <c r="L4385" i="14" s="1"/>
  <c r="I4386" i="14" s="1"/>
  <c r="J4548" i="14" a="1"/>
  <c r="J4548" i="14" s="1"/>
  <c r="N4549" i="14"/>
  <c r="M4552" i="13"/>
  <c r="K4364" i="13" l="1"/>
  <c r="L4364" i="13" s="1"/>
  <c r="I4365" i="13" s="1"/>
  <c r="M4553" i="13"/>
  <c r="J4550" i="13" a="1"/>
  <c r="J4550" i="13" s="1"/>
  <c r="N4551" i="13"/>
  <c r="J4549" i="14" a="1"/>
  <c r="J4549" i="14" s="1"/>
  <c r="N4550" i="14"/>
  <c r="K4386" i="14"/>
  <c r="L4386" i="14" s="1"/>
  <c r="I4387" i="14" s="1"/>
  <c r="M4554" i="14"/>
  <c r="K4365" i="13" l="1"/>
  <c r="L4365" i="13" s="1"/>
  <c r="I4366" i="13" s="1"/>
  <c r="N4551" i="14"/>
  <c r="J4550" i="14" a="1"/>
  <c r="J4550" i="14" s="1"/>
  <c r="M4554" i="13"/>
  <c r="M4555" i="14"/>
  <c r="N4552" i="13"/>
  <c r="J4551" i="13" a="1"/>
  <c r="J4551" i="13" s="1"/>
  <c r="K4387" i="14"/>
  <c r="L4387" i="14" s="1"/>
  <c r="I4388" i="14" s="1"/>
  <c r="K4388" i="14" l="1"/>
  <c r="L4388" i="14" s="1"/>
  <c r="I4389" i="14" s="1"/>
  <c r="K4366" i="13"/>
  <c r="L4366" i="13" s="1"/>
  <c r="I4367" i="13" s="1"/>
  <c r="N4552" i="14"/>
  <c r="J4551" i="14" a="1"/>
  <c r="J4551" i="14" s="1"/>
  <c r="M4555" i="13"/>
  <c r="M4556" i="14"/>
  <c r="J4552" i="13" a="1"/>
  <c r="J4552" i="13" s="1"/>
  <c r="N4553" i="13"/>
  <c r="K4367" i="13" l="1"/>
  <c r="L4367" i="13" s="1"/>
  <c r="I4368" i="13" s="1"/>
  <c r="K4389" i="14"/>
  <c r="L4389" i="14" s="1"/>
  <c r="I4390" i="14" s="1"/>
  <c r="J4553" i="13" a="1"/>
  <c r="J4553" i="13" s="1"/>
  <c r="N4554" i="13"/>
  <c r="M4556" i="13"/>
  <c r="M4557" i="14"/>
  <c r="J4552" i="14" a="1"/>
  <c r="J4552" i="14" s="1"/>
  <c r="N4553" i="14"/>
  <c r="K4390" i="14" l="1"/>
  <c r="L4390" i="14" s="1"/>
  <c r="I4391" i="14" s="1"/>
  <c r="K4368" i="13"/>
  <c r="L4368" i="13" s="1"/>
  <c r="I4369" i="13" s="1"/>
  <c r="M4558" i="14"/>
  <c r="J4553" i="14" a="1"/>
  <c r="J4553" i="14" s="1"/>
  <c r="N4554" i="14"/>
  <c r="M4557" i="13"/>
  <c r="J4554" i="13" a="1"/>
  <c r="J4554" i="13" s="1"/>
  <c r="N4555" i="13"/>
  <c r="K4369" i="13" l="1"/>
  <c r="L4369" i="13" s="1"/>
  <c r="I4370" i="13" s="1"/>
  <c r="K4391" i="14"/>
  <c r="L4391" i="14" s="1"/>
  <c r="I4392" i="14" s="1"/>
  <c r="N4555" i="14"/>
  <c r="J4554" i="14" a="1"/>
  <c r="J4554" i="14" s="1"/>
  <c r="M4559" i="14"/>
  <c r="N4556" i="13"/>
  <c r="J4555" i="13" a="1"/>
  <c r="J4555" i="13" s="1"/>
  <c r="M4558" i="13"/>
  <c r="K4392" i="14" l="1"/>
  <c r="L4392" i="14" s="1"/>
  <c r="I4393" i="14" s="1"/>
  <c r="K4370" i="13"/>
  <c r="L4370" i="13" s="1"/>
  <c r="I4371" i="13" s="1"/>
  <c r="M4559" i="13"/>
  <c r="M4560" i="14"/>
  <c r="J4556" i="13" a="1"/>
  <c r="J4556" i="13" s="1"/>
  <c r="N4557" i="13"/>
  <c r="N4556" i="14"/>
  <c r="J4555" i="14" a="1"/>
  <c r="J4555" i="14" s="1"/>
  <c r="K4371" i="13" l="1"/>
  <c r="L4371" i="13" s="1"/>
  <c r="I4372" i="13" s="1"/>
  <c r="K4393" i="14"/>
  <c r="L4393" i="14" s="1"/>
  <c r="I4394" i="14" s="1"/>
  <c r="J4556" i="14" a="1"/>
  <c r="J4556" i="14" s="1"/>
  <c r="N4557" i="14"/>
  <c r="M4561" i="14"/>
  <c r="J4557" i="13" a="1"/>
  <c r="J4557" i="13" s="1"/>
  <c r="N4558" i="13"/>
  <c r="M4560" i="13"/>
  <c r="K4394" i="14" l="1"/>
  <c r="L4394" i="14" s="1"/>
  <c r="I4395" i="14" s="1"/>
  <c r="K4372" i="13"/>
  <c r="L4372" i="13" s="1"/>
  <c r="I4373" i="13" s="1"/>
  <c r="J4558" i="13" a="1"/>
  <c r="J4558" i="13" s="1"/>
  <c r="N4559" i="13"/>
  <c r="M4561" i="13"/>
  <c r="M4562" i="14"/>
  <c r="J4557" i="14" a="1"/>
  <c r="J4557" i="14" s="1"/>
  <c r="N4558" i="14"/>
  <c r="K4373" i="13" l="1"/>
  <c r="L4373" i="13" s="1"/>
  <c r="I4374" i="13" s="1"/>
  <c r="K4395" i="14"/>
  <c r="L4395" i="14" s="1"/>
  <c r="I4396" i="14" s="1"/>
  <c r="N4559" i="14"/>
  <c r="J4558" i="14" a="1"/>
  <c r="J4558" i="14" s="1"/>
  <c r="M4562" i="13"/>
  <c r="M4563" i="14"/>
  <c r="N4560" i="13"/>
  <c r="J4559" i="13" a="1"/>
  <c r="J4559" i="13" s="1"/>
  <c r="K4374" i="13" l="1"/>
  <c r="L4374" i="13" s="1"/>
  <c r="I4375" i="13" s="1"/>
  <c r="M4563" i="13"/>
  <c r="K4396" i="14"/>
  <c r="L4396" i="14" s="1"/>
  <c r="I4397" i="14" s="1"/>
  <c r="J4560" i="13" a="1"/>
  <c r="J4560" i="13" s="1"/>
  <c r="N4561" i="13"/>
  <c r="M4564" i="14"/>
  <c r="N4560" i="14"/>
  <c r="J4559" i="14" a="1"/>
  <c r="J4559" i="14" s="1"/>
  <c r="K4397" i="14" l="1"/>
  <c r="L4397" i="14" s="1"/>
  <c r="I4398" i="14" s="1"/>
  <c r="K4375" i="13"/>
  <c r="L4375" i="13" s="1"/>
  <c r="I4376" i="13" s="1"/>
  <c r="J4561" i="13" a="1"/>
  <c r="J4561" i="13" s="1"/>
  <c r="N4562" i="13"/>
  <c r="M4564" i="13"/>
  <c r="J4560" i="14" a="1"/>
  <c r="J4560" i="14" s="1"/>
  <c r="N4561" i="14"/>
  <c r="M4565" i="14"/>
  <c r="K4376" i="13" l="1"/>
  <c r="L4376" i="13" s="1"/>
  <c r="I4377" i="13" s="1"/>
  <c r="K4398" i="14"/>
  <c r="L4398" i="14" s="1"/>
  <c r="I4399" i="14" s="1"/>
  <c r="M4566" i="14"/>
  <c r="M4565" i="13"/>
  <c r="J4562" i="13" a="1"/>
  <c r="J4562" i="13" s="1"/>
  <c r="N4563" i="13"/>
  <c r="J4561" i="14" a="1"/>
  <c r="J4561" i="14" s="1"/>
  <c r="N4562" i="14"/>
  <c r="N4563" i="14" l="1"/>
  <c r="J4562" i="14" a="1"/>
  <c r="J4562" i="14" s="1"/>
  <c r="K4399" i="14"/>
  <c r="L4399" i="14" s="1"/>
  <c r="I4400" i="14" s="1"/>
  <c r="M4566" i="13"/>
  <c r="N4564" i="13"/>
  <c r="J4563" i="13" a="1"/>
  <c r="J4563" i="13" s="1"/>
  <c r="M4567" i="14"/>
  <c r="K4377" i="13"/>
  <c r="L4377" i="13" s="1"/>
  <c r="I4378" i="13" s="1"/>
  <c r="J4564" i="13" l="1" a="1"/>
  <c r="J4564" i="13" s="1"/>
  <c r="N4565" i="13"/>
  <c r="K4400" i="14"/>
  <c r="L4400" i="14" s="1"/>
  <c r="I4401" i="14" s="1"/>
  <c r="K4378" i="13"/>
  <c r="L4378" i="13" s="1"/>
  <c r="I4379" i="13" s="1"/>
  <c r="M4567" i="13"/>
  <c r="M4568" i="14"/>
  <c r="N4564" i="14"/>
  <c r="J4563" i="14" a="1"/>
  <c r="J4563" i="14" s="1"/>
  <c r="K4379" i="13" l="1"/>
  <c r="L4379" i="13" s="1"/>
  <c r="I4380" i="13" s="1"/>
  <c r="J4564" i="14" a="1"/>
  <c r="J4564" i="14" s="1"/>
  <c r="N4565" i="14"/>
  <c r="M4568" i="13"/>
  <c r="K4401" i="14"/>
  <c r="L4401" i="14" s="1"/>
  <c r="I4402" i="14" s="1"/>
  <c r="J4565" i="13" a="1"/>
  <c r="J4565" i="13" s="1"/>
  <c r="N4566" i="13"/>
  <c r="M4569" i="14"/>
  <c r="K4380" i="13" l="1"/>
  <c r="L4380" i="13" s="1"/>
  <c r="I4381" i="13" s="1"/>
  <c r="M4570" i="14"/>
  <c r="K4402" i="14"/>
  <c r="L4402" i="14" s="1"/>
  <c r="I4403" i="14" s="1"/>
  <c r="J4565" i="14" a="1"/>
  <c r="J4565" i="14" s="1"/>
  <c r="N4566" i="14"/>
  <c r="J4566" i="13" a="1"/>
  <c r="J4566" i="13" s="1"/>
  <c r="N4567" i="13"/>
  <c r="M4569" i="13"/>
  <c r="K4403" i="14" l="1"/>
  <c r="L4403" i="14" s="1"/>
  <c r="I4404" i="14" s="1"/>
  <c r="K4381" i="13"/>
  <c r="L4381" i="13" s="1"/>
  <c r="I4382" i="13" s="1"/>
  <c r="M4570" i="13"/>
  <c r="N4567" i="14"/>
  <c r="J4566" i="14" a="1"/>
  <c r="J4566" i="14" s="1"/>
  <c r="M4571" i="14"/>
  <c r="N4568" i="13"/>
  <c r="J4567" i="13" a="1"/>
  <c r="J4567" i="13" s="1"/>
  <c r="K4404" i="14" l="1"/>
  <c r="L4404" i="14" s="1"/>
  <c r="I4405" i="14" s="1"/>
  <c r="K4382" i="13"/>
  <c r="L4382" i="13" s="1"/>
  <c r="I4383" i="13" s="1"/>
  <c r="J4568" i="13" a="1"/>
  <c r="J4568" i="13" s="1"/>
  <c r="N4569" i="13"/>
  <c r="M4571" i="13"/>
  <c r="N4568" i="14"/>
  <c r="J4567" i="14" a="1"/>
  <c r="J4567" i="14" s="1"/>
  <c r="M4572" i="14"/>
  <c r="K4405" i="14" l="1"/>
  <c r="L4405" i="14" s="1"/>
  <c r="I4406" i="14" s="1"/>
  <c r="J4568" i="14" a="1"/>
  <c r="J4568" i="14" s="1"/>
  <c r="N4569" i="14"/>
  <c r="M4573" i="14"/>
  <c r="M4572" i="13"/>
  <c r="K4383" i="13"/>
  <c r="L4383" i="13" s="1"/>
  <c r="I4384" i="13" s="1"/>
  <c r="J4569" i="13" a="1"/>
  <c r="J4569" i="13" s="1"/>
  <c r="N4570" i="13"/>
  <c r="K4384" i="13" l="1"/>
  <c r="L4384" i="13" s="1"/>
  <c r="I4385" i="13" s="1"/>
  <c r="K4406" i="14"/>
  <c r="L4406" i="14" s="1"/>
  <c r="I4407" i="14" s="1"/>
  <c r="M4573" i="13"/>
  <c r="J4570" i="13" a="1"/>
  <c r="J4570" i="13" s="1"/>
  <c r="N4571" i="13"/>
  <c r="J4569" i="14" a="1"/>
  <c r="J4569" i="14" s="1"/>
  <c r="N4570" i="14"/>
  <c r="M4574" i="14"/>
  <c r="K4385" i="13" l="1"/>
  <c r="L4385" i="13" s="1"/>
  <c r="I4386" i="13" s="1"/>
  <c r="K4407" i="14"/>
  <c r="L4407" i="14" s="1"/>
  <c r="I4408" i="14" s="1"/>
  <c r="N4572" i="13"/>
  <c r="J4571" i="13" a="1"/>
  <c r="J4571" i="13" s="1"/>
  <c r="M4575" i="14"/>
  <c r="N4571" i="14"/>
  <c r="J4570" i="14" a="1"/>
  <c r="J4570" i="14" s="1"/>
  <c r="M4574" i="13"/>
  <c r="K4408" i="14" l="1"/>
  <c r="L4408" i="14" s="1"/>
  <c r="I4409" i="14" s="1"/>
  <c r="K4386" i="13"/>
  <c r="L4386" i="13" s="1"/>
  <c r="I4387" i="13" s="1"/>
  <c r="N4572" i="14"/>
  <c r="J4571" i="14" a="1"/>
  <c r="J4571" i="14" s="1"/>
  <c r="M4575" i="13"/>
  <c r="M4576" i="14"/>
  <c r="J4572" i="13" a="1"/>
  <c r="J4572" i="13" s="1"/>
  <c r="N4573" i="13"/>
  <c r="K4387" i="13" l="1"/>
  <c r="L4387" i="13" s="1"/>
  <c r="I4388" i="13" s="1"/>
  <c r="K4409" i="14"/>
  <c r="L4409" i="14" s="1"/>
  <c r="I4410" i="14" s="1"/>
  <c r="J4573" i="13" a="1"/>
  <c r="J4573" i="13" s="1"/>
  <c r="N4574" i="13"/>
  <c r="M4576" i="13"/>
  <c r="M4577" i="14"/>
  <c r="J4572" i="14" a="1"/>
  <c r="J4572" i="14" s="1"/>
  <c r="N4573" i="14"/>
  <c r="K4388" i="13" l="1"/>
  <c r="L4388" i="13" s="1"/>
  <c r="I4389" i="13" s="1"/>
  <c r="J4573" i="14" a="1"/>
  <c r="J4573" i="14" s="1"/>
  <c r="N4574" i="14"/>
  <c r="M4577" i="13"/>
  <c r="K4410" i="14"/>
  <c r="L4410" i="14" s="1"/>
  <c r="I4411" i="14" s="1"/>
  <c r="J4574" i="13" a="1"/>
  <c r="J4574" i="13" s="1"/>
  <c r="N4575" i="13"/>
  <c r="M4578" i="14"/>
  <c r="K4389" i="13" l="1"/>
  <c r="L4389" i="13" s="1"/>
  <c r="I4390" i="13" s="1"/>
  <c r="M4579" i="14"/>
  <c r="N4575" i="14"/>
  <c r="J4574" i="14" a="1"/>
  <c r="J4574" i="14" s="1"/>
  <c r="N4576" i="13"/>
  <c r="J4575" i="13" a="1"/>
  <c r="J4575" i="13" s="1"/>
  <c r="K4411" i="14"/>
  <c r="L4411" i="14" s="1"/>
  <c r="I4412" i="14" s="1"/>
  <c r="M4578" i="13"/>
  <c r="K4412" i="14" l="1"/>
  <c r="L4412" i="14" s="1"/>
  <c r="I4413" i="14" s="1"/>
  <c r="K4390" i="13"/>
  <c r="L4390" i="13" s="1"/>
  <c r="I4391" i="13" s="1"/>
  <c r="J4576" i="13" a="1"/>
  <c r="J4576" i="13" s="1"/>
  <c r="N4577" i="13"/>
  <c r="M4580" i="14"/>
  <c r="M4579" i="13"/>
  <c r="N4576" i="14"/>
  <c r="J4575" i="14" a="1"/>
  <c r="J4575" i="14" s="1"/>
  <c r="K4413" i="14" l="1"/>
  <c r="L4413" i="14" s="1"/>
  <c r="I4414" i="14" s="1"/>
  <c r="M4581" i="14"/>
  <c r="K4391" i="13"/>
  <c r="L4391" i="13" s="1"/>
  <c r="I4392" i="13" s="1"/>
  <c r="J4576" i="14" a="1"/>
  <c r="J4576" i="14" s="1"/>
  <c r="N4577" i="14"/>
  <c r="J4577" i="13" a="1"/>
  <c r="J4577" i="13" s="1"/>
  <c r="N4578" i="13"/>
  <c r="M4580" i="13"/>
  <c r="K4392" i="13" l="1"/>
  <c r="L4392" i="13" s="1"/>
  <c r="I4393" i="13" s="1"/>
  <c r="K4414" i="14"/>
  <c r="L4414" i="14" s="1"/>
  <c r="I4415" i="14" s="1"/>
  <c r="M4581" i="13"/>
  <c r="J4578" i="13" a="1"/>
  <c r="J4578" i="13" s="1"/>
  <c r="N4579" i="13"/>
  <c r="J4577" i="14" a="1"/>
  <c r="J4577" i="14" s="1"/>
  <c r="N4578" i="14"/>
  <c r="M4582" i="14"/>
  <c r="K4415" i="14" l="1"/>
  <c r="L4415" i="14" s="1"/>
  <c r="I4416" i="14" s="1"/>
  <c r="K4393" i="13"/>
  <c r="L4393" i="13" s="1"/>
  <c r="I4394" i="13" s="1"/>
  <c r="N4580" i="13"/>
  <c r="J4579" i="13" a="1"/>
  <c r="J4579" i="13" s="1"/>
  <c r="M4583" i="14"/>
  <c r="N4579" i="14"/>
  <c r="J4578" i="14" a="1"/>
  <c r="J4578" i="14" s="1"/>
  <c r="M4582" i="13"/>
  <c r="K4416" i="14" l="1"/>
  <c r="L4416" i="14" s="1"/>
  <c r="I4417" i="14" s="1"/>
  <c r="N4580" i="14"/>
  <c r="J4579" i="14" a="1"/>
  <c r="J4579" i="14" s="1"/>
  <c r="M4583" i="13"/>
  <c r="M4584" i="14"/>
  <c r="K4394" i="13"/>
  <c r="L4394" i="13" s="1"/>
  <c r="I4395" i="13" s="1"/>
  <c r="J4580" i="13" a="1"/>
  <c r="J4580" i="13" s="1"/>
  <c r="N4581" i="13"/>
  <c r="K4395" i="13" l="1"/>
  <c r="L4395" i="13" s="1"/>
  <c r="I4396" i="13" s="1"/>
  <c r="K4417" i="14"/>
  <c r="L4417" i="14" s="1"/>
  <c r="I4418" i="14" s="1"/>
  <c r="J4581" i="13" a="1"/>
  <c r="J4581" i="13" s="1"/>
  <c r="N4582" i="13"/>
  <c r="M4585" i="14"/>
  <c r="J4580" i="14" a="1"/>
  <c r="J4580" i="14" s="1"/>
  <c r="N4581" i="14"/>
  <c r="M4584" i="13"/>
  <c r="K4396" i="13" l="1"/>
  <c r="L4396" i="13" s="1"/>
  <c r="I4397" i="13" s="1"/>
  <c r="M4586" i="14"/>
  <c r="M4585" i="13"/>
  <c r="K4418" i="14"/>
  <c r="L4418" i="14" s="1"/>
  <c r="I4419" i="14" s="1"/>
  <c r="J4581" i="14" a="1"/>
  <c r="J4581" i="14" s="1"/>
  <c r="N4582" i="14"/>
  <c r="J4582" i="13" a="1"/>
  <c r="J4582" i="13" s="1"/>
  <c r="N4583" i="13"/>
  <c r="K4397" i="13" l="1"/>
  <c r="L4397" i="13" s="1"/>
  <c r="I4398" i="13" s="1"/>
  <c r="N4584" i="13"/>
  <c r="J4583" i="13" a="1"/>
  <c r="J4583" i="13" s="1"/>
  <c r="M4587" i="14"/>
  <c r="K4419" i="14"/>
  <c r="L4419" i="14" s="1"/>
  <c r="I4420" i="14" s="1"/>
  <c r="N4583" i="14"/>
  <c r="J4582" i="14" a="1"/>
  <c r="J4582" i="14" s="1"/>
  <c r="M4586" i="13"/>
  <c r="K4420" i="14" l="1"/>
  <c r="L4420" i="14" s="1"/>
  <c r="I4421" i="14" s="1"/>
  <c r="K4398" i="13"/>
  <c r="L4398" i="13" s="1"/>
  <c r="I4399" i="13" s="1"/>
  <c r="J4584" i="13" a="1"/>
  <c r="J4584" i="13" s="1"/>
  <c r="N4585" i="13"/>
  <c r="M4587" i="13"/>
  <c r="M4588" i="14"/>
  <c r="J4583" i="14" a="1"/>
  <c r="J4583" i="14" s="1"/>
  <c r="N4584" i="14"/>
  <c r="K4399" i="13" l="1"/>
  <c r="L4399" i="13" s="1"/>
  <c r="I4400" i="13" s="1"/>
  <c r="K4421" i="14"/>
  <c r="L4421" i="14" s="1"/>
  <c r="I4422" i="14" s="1"/>
  <c r="N4585" i="14"/>
  <c r="J4584" i="14" a="1"/>
  <c r="J4584" i="14" s="1"/>
  <c r="M4588" i="13"/>
  <c r="M4589" i="14"/>
  <c r="J4585" i="13" a="1"/>
  <c r="J4585" i="13" s="1"/>
  <c r="N4586" i="13"/>
  <c r="K4400" i="13" l="1"/>
  <c r="L4400" i="13" s="1"/>
  <c r="I4401" i="13" s="1"/>
  <c r="J4586" i="13" a="1"/>
  <c r="J4586" i="13" s="1"/>
  <c r="N4587" i="13"/>
  <c r="M4589" i="13"/>
  <c r="K4422" i="14"/>
  <c r="L4422" i="14" s="1"/>
  <c r="I4423" i="14" s="1"/>
  <c r="M4590" i="14"/>
  <c r="N4586" i="14"/>
  <c r="J4585" i="14" a="1"/>
  <c r="J4585" i="14" s="1"/>
  <c r="K4401" i="13" l="1"/>
  <c r="L4401" i="13" s="1"/>
  <c r="I4402" i="13" s="1"/>
  <c r="K4423" i="14"/>
  <c r="L4423" i="14" s="1"/>
  <c r="I4424" i="14" s="1"/>
  <c r="N4588" i="13"/>
  <c r="J4587" i="13" a="1"/>
  <c r="J4587" i="13" s="1"/>
  <c r="N4587" i="14"/>
  <c r="J4586" i="14" a="1"/>
  <c r="J4586" i="14" s="1"/>
  <c r="M4591" i="14"/>
  <c r="M4590" i="13"/>
  <c r="K4402" i="13" l="1"/>
  <c r="L4402" i="13" s="1"/>
  <c r="I4403" i="13" s="1"/>
  <c r="K4424" i="14"/>
  <c r="L4424" i="14" s="1"/>
  <c r="I4425" i="14" s="1"/>
  <c r="M4591" i="13"/>
  <c r="J4587" i="14" a="1"/>
  <c r="J4587" i="14" s="1"/>
  <c r="N4588" i="14"/>
  <c r="M4592" i="14"/>
  <c r="J4588" i="13" a="1"/>
  <c r="J4588" i="13" s="1"/>
  <c r="N4589" i="13"/>
  <c r="K4425" i="14" l="1"/>
  <c r="L4425" i="14" s="1"/>
  <c r="I4426" i="14" s="1"/>
  <c r="K4403" i="13"/>
  <c r="L4403" i="13" s="1"/>
  <c r="I4404" i="13" s="1"/>
  <c r="J4589" i="13" a="1"/>
  <c r="J4589" i="13" s="1"/>
  <c r="N4590" i="13"/>
  <c r="N4589" i="14"/>
  <c r="J4588" i="14" a="1"/>
  <c r="J4588" i="14" s="1"/>
  <c r="M4593" i="14"/>
  <c r="M4592" i="13"/>
  <c r="K4404" i="13" l="1"/>
  <c r="L4404" i="13" s="1"/>
  <c r="I4405" i="13" s="1"/>
  <c r="K4426" i="14"/>
  <c r="L4426" i="14" s="1"/>
  <c r="I4427" i="14" s="1"/>
  <c r="M4593" i="13"/>
  <c r="N4590" i="14"/>
  <c r="J4589" i="14" a="1"/>
  <c r="J4589" i="14" s="1"/>
  <c r="J4590" i="13" a="1"/>
  <c r="J4590" i="13" s="1"/>
  <c r="N4591" i="13"/>
  <c r="M4594" i="14"/>
  <c r="K4427" i="14" l="1"/>
  <c r="L4427" i="14" s="1"/>
  <c r="I4428" i="14" s="1"/>
  <c r="K4405" i="13"/>
  <c r="L4405" i="13" s="1"/>
  <c r="I4406" i="13" s="1"/>
  <c r="M4595" i="14"/>
  <c r="N4591" i="14"/>
  <c r="J4590" i="14" a="1"/>
  <c r="J4590" i="14" s="1"/>
  <c r="N4592" i="13"/>
  <c r="J4591" i="13" a="1"/>
  <c r="J4591" i="13" s="1"/>
  <c r="M4594" i="13"/>
  <c r="K4428" i="14" l="1"/>
  <c r="L4428" i="14" s="1"/>
  <c r="I4429" i="14" s="1"/>
  <c r="K4406" i="13"/>
  <c r="L4406" i="13" s="1"/>
  <c r="I4407" i="13" s="1"/>
  <c r="J4591" i="14" a="1"/>
  <c r="J4591" i="14" s="1"/>
  <c r="N4592" i="14"/>
  <c r="M4596" i="14"/>
  <c r="M4595" i="13"/>
  <c r="J4592" i="13" a="1"/>
  <c r="J4592" i="13" s="1"/>
  <c r="N4593" i="13"/>
  <c r="K4407" i="13" l="1"/>
  <c r="L4407" i="13" s="1"/>
  <c r="I4408" i="13" s="1"/>
  <c r="K4429" i="14"/>
  <c r="L4429" i="14" s="1"/>
  <c r="I4430" i="14" s="1"/>
  <c r="J4593" i="13" a="1"/>
  <c r="J4593" i="13" s="1"/>
  <c r="N4594" i="13"/>
  <c r="M4597" i="14"/>
  <c r="N4593" i="14"/>
  <c r="J4592" i="14" a="1"/>
  <c r="J4592" i="14" s="1"/>
  <c r="M4596" i="13"/>
  <c r="K4430" i="14" l="1"/>
  <c r="L4430" i="14" s="1"/>
  <c r="I4431" i="14" s="1"/>
  <c r="K4408" i="13"/>
  <c r="L4408" i="13" s="1"/>
  <c r="I4409" i="13" s="1"/>
  <c r="M4598" i="14"/>
  <c r="N4594" i="14"/>
  <c r="J4593" i="14" a="1"/>
  <c r="J4593" i="14" s="1"/>
  <c r="M4597" i="13"/>
  <c r="J4594" i="13" a="1"/>
  <c r="J4594" i="13" s="1"/>
  <c r="N4595" i="13"/>
  <c r="K4409" i="13" l="1"/>
  <c r="L4409" i="13" s="1"/>
  <c r="I4410" i="13" s="1"/>
  <c r="K4431" i="14"/>
  <c r="L4431" i="14" s="1"/>
  <c r="I4432" i="14" s="1"/>
  <c r="N4596" i="13"/>
  <c r="J4595" i="13" a="1"/>
  <c r="J4595" i="13" s="1"/>
  <c r="N4595" i="14"/>
  <c r="J4594" i="14" a="1"/>
  <c r="J4594" i="14" s="1"/>
  <c r="M4598" i="13"/>
  <c r="M4599" i="14"/>
  <c r="K4410" i="13" l="1"/>
  <c r="L4410" i="13" s="1"/>
  <c r="I4411" i="13" s="1"/>
  <c r="J4595" i="14" a="1"/>
  <c r="J4595" i="14" s="1"/>
  <c r="N4596" i="14"/>
  <c r="K4432" i="14"/>
  <c r="L4432" i="14" s="1"/>
  <c r="I4433" i="14" s="1"/>
  <c r="M4600" i="14"/>
  <c r="M4599" i="13"/>
  <c r="J4596" i="13" a="1"/>
  <c r="J4596" i="13" s="1"/>
  <c r="N4597" i="13"/>
  <c r="K4433" i="14" l="1"/>
  <c r="L4433" i="14" s="1"/>
  <c r="I4434" i="14" s="1"/>
  <c r="K4411" i="13"/>
  <c r="L4411" i="13" s="1"/>
  <c r="I4412" i="13" s="1"/>
  <c r="J4597" i="13" a="1"/>
  <c r="J4597" i="13" s="1"/>
  <c r="N4598" i="13"/>
  <c r="M4601" i="14"/>
  <c r="N4597" i="14"/>
  <c r="J4596" i="14" a="1"/>
  <c r="J4596" i="14" s="1"/>
  <c r="M4600" i="13"/>
  <c r="K4434" i="14" l="1"/>
  <c r="L4434" i="14" s="1"/>
  <c r="I4435" i="14" s="1"/>
  <c r="M4601" i="13"/>
  <c r="N4598" i="14"/>
  <c r="J4597" i="14" a="1"/>
  <c r="J4597" i="14" s="1"/>
  <c r="M4602" i="14"/>
  <c r="K4412" i="13"/>
  <c r="L4412" i="13" s="1"/>
  <c r="I4413" i="13" s="1"/>
  <c r="J4598" i="13" a="1"/>
  <c r="J4598" i="13" s="1"/>
  <c r="N4599" i="13"/>
  <c r="K4413" i="13" l="1"/>
  <c r="L4413" i="13" s="1"/>
  <c r="I4414" i="13" s="1"/>
  <c r="K4435" i="14"/>
  <c r="L4435" i="14" s="1"/>
  <c r="I4436" i="14" s="1"/>
  <c r="N4600" i="13"/>
  <c r="J4599" i="13" a="1"/>
  <c r="J4599" i="13" s="1"/>
  <c r="M4603" i="14"/>
  <c r="M4602" i="13"/>
  <c r="N4599" i="14"/>
  <c r="J4598" i="14" a="1"/>
  <c r="J4598" i="14" s="1"/>
  <c r="K4414" i="13" l="1"/>
  <c r="L4414" i="13" s="1"/>
  <c r="I4415" i="13" s="1"/>
  <c r="M4604" i="14"/>
  <c r="J4599" i="14" a="1"/>
  <c r="J4599" i="14" s="1"/>
  <c r="N4600" i="14"/>
  <c r="K4436" i="14"/>
  <c r="L4436" i="14" s="1"/>
  <c r="I4437" i="14" s="1"/>
  <c r="M4603" i="13"/>
  <c r="J4600" i="13" a="1"/>
  <c r="J4600" i="13" s="1"/>
  <c r="N4601" i="13"/>
  <c r="K4437" i="14" l="1"/>
  <c r="L4437" i="14" s="1"/>
  <c r="I4438" i="14" s="1"/>
  <c r="K4415" i="13"/>
  <c r="L4415" i="13" s="1"/>
  <c r="I4416" i="13" s="1"/>
  <c r="J4601" i="13" a="1"/>
  <c r="J4601" i="13" s="1"/>
  <c r="N4602" i="13"/>
  <c r="M4605" i="14"/>
  <c r="N4601" i="14"/>
  <c r="J4600" i="14" a="1"/>
  <c r="J4600" i="14" s="1"/>
  <c r="M4604" i="13"/>
  <c r="K4416" i="13" l="1"/>
  <c r="L4416" i="13" s="1"/>
  <c r="I4417" i="13" s="1"/>
  <c r="K4438" i="14"/>
  <c r="L4438" i="14" s="1"/>
  <c r="I4439" i="14" s="1"/>
  <c r="M4606" i="14"/>
  <c r="N4602" i="14"/>
  <c r="J4601" i="14" a="1"/>
  <c r="J4601" i="14" s="1"/>
  <c r="M4605" i="13"/>
  <c r="J4602" i="13" a="1"/>
  <c r="J4602" i="13" s="1"/>
  <c r="N4603" i="13"/>
  <c r="K4417" i="13" l="1"/>
  <c r="L4417" i="13" s="1"/>
  <c r="I4418" i="13" s="1"/>
  <c r="K4439" i="14"/>
  <c r="L4439" i="14" s="1"/>
  <c r="I4440" i="14" s="1"/>
  <c r="N4604" i="13"/>
  <c r="J4603" i="13" a="1"/>
  <c r="J4603" i="13" s="1"/>
  <c r="N4603" i="14"/>
  <c r="J4602" i="14" a="1"/>
  <c r="J4602" i="14" s="1"/>
  <c r="M4606" i="13"/>
  <c r="M4607" i="14"/>
  <c r="K4418" i="13" l="1"/>
  <c r="L4418" i="13" s="1"/>
  <c r="I4419" i="13" s="1"/>
  <c r="J4603" i="14" a="1"/>
  <c r="J4603" i="14" s="1"/>
  <c r="N4604" i="14"/>
  <c r="K4440" i="14"/>
  <c r="L4440" i="14" s="1"/>
  <c r="I4441" i="14" s="1"/>
  <c r="M4608" i="14"/>
  <c r="M4607" i="13"/>
  <c r="J4604" i="13" a="1"/>
  <c r="J4604" i="13" s="1"/>
  <c r="N4605" i="13"/>
  <c r="K4441" i="14" l="1"/>
  <c r="L4441" i="14" s="1"/>
  <c r="I4442" i="14" s="1"/>
  <c r="K4419" i="13"/>
  <c r="L4419" i="13" s="1"/>
  <c r="I4420" i="13" s="1"/>
  <c r="J4605" i="13" a="1"/>
  <c r="J4605" i="13" s="1"/>
  <c r="N4606" i="13"/>
  <c r="J4604" i="14" a="1"/>
  <c r="J4604" i="14" s="1"/>
  <c r="N4605" i="14"/>
  <c r="M4609" i="14"/>
  <c r="M4608" i="13"/>
  <c r="K4442" i="14" l="1"/>
  <c r="L4442" i="14" s="1"/>
  <c r="I4443" i="14" s="1"/>
  <c r="M4609" i="13"/>
  <c r="M4610" i="14"/>
  <c r="N4606" i="14"/>
  <c r="J4605" i="14" a="1"/>
  <c r="J4605" i="14" s="1"/>
  <c r="K4420" i="13"/>
  <c r="L4420" i="13" s="1"/>
  <c r="I4421" i="13" s="1"/>
  <c r="J4606" i="13" a="1"/>
  <c r="J4606" i="13" s="1"/>
  <c r="N4607" i="13"/>
  <c r="K4421" i="13" l="1"/>
  <c r="L4421" i="13" s="1"/>
  <c r="I4422" i="13" s="1"/>
  <c r="K4443" i="14"/>
  <c r="L4443" i="14" s="1"/>
  <c r="I4444" i="14" s="1"/>
  <c r="N4607" i="14"/>
  <c r="J4606" i="14" a="1"/>
  <c r="J4606" i="14" s="1"/>
  <c r="M4610" i="13"/>
  <c r="N4608" i="13"/>
  <c r="J4607" i="13" a="1"/>
  <c r="J4607" i="13" s="1"/>
  <c r="M4611" i="14"/>
  <c r="K4444" i="14" l="1"/>
  <c r="L4444" i="14" s="1"/>
  <c r="I4445" i="14" s="1"/>
  <c r="K4422" i="13"/>
  <c r="L4422" i="13" s="1"/>
  <c r="I4423" i="13" s="1"/>
  <c r="M4611" i="13"/>
  <c r="J4608" i="13" a="1"/>
  <c r="J4608" i="13" s="1"/>
  <c r="N4609" i="13"/>
  <c r="M4612" i="14"/>
  <c r="J4607" i="14" a="1"/>
  <c r="J4607" i="14" s="1"/>
  <c r="N4608" i="14"/>
  <c r="K4423" i="13" l="1"/>
  <c r="L4423" i="13" s="1"/>
  <c r="I4424" i="13" s="1"/>
  <c r="K4445" i="14"/>
  <c r="L4445" i="14" s="1"/>
  <c r="I4446" i="14" s="1"/>
  <c r="J4609" i="13" a="1"/>
  <c r="J4609" i="13" s="1"/>
  <c r="N4610" i="13"/>
  <c r="N4609" i="14"/>
  <c r="J4608" i="14" a="1"/>
  <c r="J4608" i="14" s="1"/>
  <c r="M4613" i="14"/>
  <c r="M4612" i="13"/>
  <c r="K4424" i="13" l="1"/>
  <c r="L4424" i="13" s="1"/>
  <c r="I4425" i="13" s="1"/>
  <c r="N4610" i="14"/>
  <c r="J4609" i="14" a="1"/>
  <c r="J4609" i="14" s="1"/>
  <c r="K4446" i="14"/>
  <c r="L4446" i="14" s="1"/>
  <c r="I4447" i="14" s="1"/>
  <c r="M4613" i="13"/>
  <c r="M4614" i="14"/>
  <c r="J4610" i="13" a="1"/>
  <c r="J4610" i="13" s="1"/>
  <c r="N4611" i="13"/>
  <c r="K4447" i="14" l="1"/>
  <c r="L4447" i="14" s="1"/>
  <c r="I4448" i="14" s="1"/>
  <c r="K4425" i="13"/>
  <c r="L4425" i="13" s="1"/>
  <c r="I4426" i="13" s="1"/>
  <c r="M4614" i="13"/>
  <c r="N4611" i="14"/>
  <c r="J4610" i="14" a="1"/>
  <c r="J4610" i="14" s="1"/>
  <c r="N4612" i="13"/>
  <c r="J4611" i="13" a="1"/>
  <c r="J4611" i="13" s="1"/>
  <c r="M4615" i="14"/>
  <c r="K4426" i="13" l="1"/>
  <c r="L4426" i="13" s="1"/>
  <c r="I4427" i="13" s="1"/>
  <c r="K4448" i="14"/>
  <c r="L4448" i="14" s="1"/>
  <c r="I4449" i="14" s="1"/>
  <c r="J4611" i="14" a="1"/>
  <c r="J4611" i="14" s="1"/>
  <c r="N4612" i="14"/>
  <c r="M4616" i="14"/>
  <c r="M4615" i="13"/>
  <c r="J4612" i="13" a="1"/>
  <c r="J4612" i="13" s="1"/>
  <c r="N4613" i="13"/>
  <c r="K4449" i="14" l="1"/>
  <c r="L4449" i="14" s="1"/>
  <c r="I4450" i="14" s="1"/>
  <c r="K4427" i="13"/>
  <c r="L4427" i="13" s="1"/>
  <c r="I4428" i="13" s="1"/>
  <c r="M4616" i="13"/>
  <c r="J4613" i="13" a="1"/>
  <c r="J4613" i="13" s="1"/>
  <c r="N4614" i="13"/>
  <c r="M4617" i="14"/>
  <c r="N4613" i="14"/>
  <c r="J4612" i="14" a="1"/>
  <c r="J4612" i="14" s="1"/>
  <c r="K4428" i="13" l="1"/>
  <c r="L4428" i="13" s="1"/>
  <c r="I4429" i="13" s="1"/>
  <c r="K4450" i="14"/>
  <c r="L4450" i="14" s="1"/>
  <c r="I4451" i="14" s="1"/>
  <c r="N4614" i="14"/>
  <c r="J4613" i="14" a="1"/>
  <c r="J4613" i="14" s="1"/>
  <c r="J4614" i="13" a="1"/>
  <c r="J4614" i="13" s="1"/>
  <c r="N4615" i="13"/>
  <c r="M4618" i="14"/>
  <c r="M4617" i="13"/>
  <c r="K4451" i="14" l="1"/>
  <c r="L4451" i="14" s="1"/>
  <c r="I4452" i="14" s="1"/>
  <c r="K4429" i="13"/>
  <c r="L4429" i="13" s="1"/>
  <c r="I4430" i="13" s="1"/>
  <c r="M4618" i="13"/>
  <c r="N4616" i="13"/>
  <c r="J4615" i="13" a="1"/>
  <c r="J4615" i="13" s="1"/>
  <c r="M4619" i="14"/>
  <c r="N4615" i="14"/>
  <c r="J4614" i="14" a="1"/>
  <c r="J4614" i="14" s="1"/>
  <c r="K4430" i="13" l="1"/>
  <c r="L4430" i="13" s="1"/>
  <c r="I4431" i="13" s="1"/>
  <c r="K4452" i="14"/>
  <c r="L4452" i="14" s="1"/>
  <c r="I4453" i="14" s="1"/>
  <c r="J4615" i="14" a="1"/>
  <c r="J4615" i="14" s="1"/>
  <c r="N4616" i="14"/>
  <c r="J4616" i="13" a="1"/>
  <c r="J4616" i="13" s="1"/>
  <c r="N4617" i="13"/>
  <c r="M4620" i="14"/>
  <c r="M4619" i="13"/>
  <c r="K4453" i="14" l="1"/>
  <c r="L4453" i="14" s="1"/>
  <c r="I4454" i="14" s="1"/>
  <c r="K4431" i="13"/>
  <c r="L4431" i="13" s="1"/>
  <c r="I4432" i="13" s="1"/>
  <c r="J4617" i="13" a="1"/>
  <c r="J4617" i="13" s="1"/>
  <c r="N4618" i="13"/>
  <c r="M4620" i="13"/>
  <c r="N4617" i="14"/>
  <c r="J4616" i="14" a="1"/>
  <c r="J4616" i="14" s="1"/>
  <c r="M4621" i="14"/>
  <c r="K4432" i="13" l="1"/>
  <c r="L4432" i="13" s="1"/>
  <c r="I4433" i="13" s="1"/>
  <c r="K4454" i="14"/>
  <c r="L4454" i="14" s="1"/>
  <c r="I4455" i="14" s="1"/>
  <c r="N4618" i="14"/>
  <c r="J4617" i="14" a="1"/>
  <c r="J4617" i="14" s="1"/>
  <c r="M4622" i="14"/>
  <c r="M4621" i="13"/>
  <c r="J4618" i="13" a="1"/>
  <c r="J4618" i="13" s="1"/>
  <c r="N4619" i="13"/>
  <c r="K4455" i="14" l="1"/>
  <c r="L4455" i="14" s="1"/>
  <c r="I4456" i="14" s="1"/>
  <c r="K4433" i="13"/>
  <c r="L4433" i="13" s="1"/>
  <c r="I4434" i="13" s="1"/>
  <c r="N4620" i="13"/>
  <c r="J4619" i="13" a="1"/>
  <c r="J4619" i="13" s="1"/>
  <c r="M4623" i="14"/>
  <c r="M4622" i="13"/>
  <c r="N4619" i="14"/>
  <c r="J4618" i="14" a="1"/>
  <c r="J4618" i="14" s="1"/>
  <c r="K4434" i="13" l="1"/>
  <c r="L4434" i="13" s="1"/>
  <c r="I4435" i="13" s="1"/>
  <c r="K4456" i="14"/>
  <c r="L4456" i="14" s="1"/>
  <c r="I4457" i="14" s="1"/>
  <c r="J4619" i="14" a="1"/>
  <c r="J4619" i="14" s="1"/>
  <c r="N4620" i="14"/>
  <c r="M4624" i="14"/>
  <c r="M4623" i="13"/>
  <c r="J4620" i="13" a="1"/>
  <c r="J4620" i="13" s="1"/>
  <c r="N4621" i="13"/>
  <c r="K4457" i="14" l="1"/>
  <c r="L4457" i="14" s="1"/>
  <c r="I4458" i="14" s="1"/>
  <c r="K4435" i="13"/>
  <c r="L4435" i="13" s="1"/>
  <c r="I4436" i="13" s="1"/>
  <c r="M4624" i="13"/>
  <c r="J4621" i="13" a="1"/>
  <c r="J4621" i="13" s="1"/>
  <c r="N4622" i="13"/>
  <c r="M4625" i="14"/>
  <c r="N4621" i="14"/>
  <c r="J4620" i="14" a="1"/>
  <c r="J4620" i="14" s="1"/>
  <c r="K4436" i="13" l="1"/>
  <c r="L4436" i="13" s="1"/>
  <c r="I4437" i="13" s="1"/>
  <c r="K4458" i="14"/>
  <c r="L4458" i="14" s="1"/>
  <c r="I4459" i="14" s="1"/>
  <c r="J4622" i="13" a="1"/>
  <c r="J4622" i="13" s="1"/>
  <c r="N4623" i="13"/>
  <c r="N4622" i="14"/>
  <c r="J4621" i="14" a="1"/>
  <c r="J4621" i="14" s="1"/>
  <c r="M4626" i="14"/>
  <c r="M4625" i="13"/>
  <c r="K4437" i="13" l="1"/>
  <c r="L4437" i="13" s="1"/>
  <c r="I4438" i="13" s="1"/>
  <c r="N4623" i="14"/>
  <c r="J4622" i="14" a="1"/>
  <c r="J4622" i="14" s="1"/>
  <c r="K4459" i="14"/>
  <c r="L4459" i="14" s="1"/>
  <c r="I4460" i="14" s="1"/>
  <c r="N4624" i="13"/>
  <c r="J4623" i="13" a="1"/>
  <c r="J4623" i="13" s="1"/>
  <c r="M4626" i="13"/>
  <c r="M4627" i="14"/>
  <c r="K4460" i="14" l="1"/>
  <c r="L4460" i="14" s="1"/>
  <c r="I4461" i="14" s="1"/>
  <c r="K4438" i="13"/>
  <c r="L4438" i="13" s="1"/>
  <c r="I4439" i="13" s="1"/>
  <c r="J4624" i="13" a="1"/>
  <c r="J4624" i="13" s="1"/>
  <c r="N4625" i="13"/>
  <c r="J4623" i="14" a="1"/>
  <c r="J4623" i="14" s="1"/>
  <c r="N4624" i="14"/>
  <c r="M4628" i="14"/>
  <c r="M4627" i="13"/>
  <c r="K4439" i="13" l="1"/>
  <c r="L4439" i="13" s="1"/>
  <c r="I4440" i="13" s="1"/>
  <c r="K4461" i="14"/>
  <c r="L4461" i="14" s="1"/>
  <c r="I4462" i="14" s="1"/>
  <c r="N4625" i="14"/>
  <c r="J4624" i="14" a="1"/>
  <c r="J4624" i="14" s="1"/>
  <c r="M4628" i="13"/>
  <c r="J4625" i="13" a="1"/>
  <c r="J4625" i="13" s="1"/>
  <c r="N4626" i="13"/>
  <c r="M4629" i="14"/>
  <c r="K4462" i="14" l="1"/>
  <c r="L4462" i="14" s="1"/>
  <c r="I4463" i="14" s="1"/>
  <c r="K4440" i="13"/>
  <c r="L4440" i="13" s="1"/>
  <c r="I4441" i="13" s="1"/>
  <c r="M4630" i="14"/>
  <c r="M4629" i="13"/>
  <c r="J4626" i="13" a="1"/>
  <c r="J4626" i="13" s="1"/>
  <c r="N4627" i="13"/>
  <c r="N4626" i="14"/>
  <c r="J4625" i="14" a="1"/>
  <c r="J4625" i="14" s="1"/>
  <c r="K4463" i="14" l="1"/>
  <c r="L4463" i="14" s="1"/>
  <c r="I4464" i="14" s="1"/>
  <c r="K4441" i="13"/>
  <c r="L4441" i="13" s="1"/>
  <c r="I4442" i="13" s="1"/>
  <c r="N4627" i="14"/>
  <c r="J4626" i="14" a="1"/>
  <c r="J4626" i="14" s="1"/>
  <c r="M4630" i="13"/>
  <c r="N4628" i="13"/>
  <c r="J4627" i="13" a="1"/>
  <c r="J4627" i="13" s="1"/>
  <c r="M4631" i="14"/>
  <c r="K4442" i="13" l="1"/>
  <c r="L4442" i="13" s="1"/>
  <c r="I4443" i="13" s="1"/>
  <c r="K4464" i="14"/>
  <c r="L4464" i="14" s="1"/>
  <c r="I4465" i="14" s="1"/>
  <c r="J4628" i="13" a="1"/>
  <c r="J4628" i="13" s="1"/>
  <c r="N4629" i="13"/>
  <c r="M4632" i="14"/>
  <c r="M4631" i="13"/>
  <c r="J4627" i="14" a="1"/>
  <c r="J4627" i="14" s="1"/>
  <c r="N4628" i="14"/>
  <c r="K4465" i="14" l="1"/>
  <c r="L4465" i="14" s="1"/>
  <c r="I4466" i="14" s="1"/>
  <c r="M4632" i="13"/>
  <c r="N4629" i="14"/>
  <c r="J4628" i="14" a="1"/>
  <c r="J4628" i="14" s="1"/>
  <c r="M4633" i="14"/>
  <c r="J4629" i="13" a="1"/>
  <c r="J4629" i="13" s="1"/>
  <c r="N4630" i="13"/>
  <c r="K4443" i="13"/>
  <c r="L4443" i="13" s="1"/>
  <c r="I4444" i="13" s="1"/>
  <c r="K4466" i="14" l="1"/>
  <c r="L4466" i="14" s="1"/>
  <c r="I4467" i="14" s="1"/>
  <c r="K4444" i="13"/>
  <c r="L4444" i="13" s="1"/>
  <c r="I4445" i="13" s="1"/>
  <c r="M4634" i="14"/>
  <c r="M4633" i="13"/>
  <c r="J4630" i="13" a="1"/>
  <c r="J4630" i="13" s="1"/>
  <c r="N4631" i="13"/>
  <c r="N4630" i="14"/>
  <c r="J4629" i="14" a="1"/>
  <c r="J4629" i="14" s="1"/>
  <c r="K4445" i="13" l="1"/>
  <c r="L4445" i="13" s="1"/>
  <c r="I4446" i="13" s="1"/>
  <c r="K4467" i="14"/>
  <c r="L4467" i="14" s="1"/>
  <c r="I4468" i="14" s="1"/>
  <c r="N4631" i="14"/>
  <c r="J4630" i="14" a="1"/>
  <c r="J4630" i="14" s="1"/>
  <c r="M4634" i="13"/>
  <c r="N4632" i="13"/>
  <c r="J4631" i="13" a="1"/>
  <c r="J4631" i="13" s="1"/>
  <c r="M4635" i="14"/>
  <c r="K4446" i="13" l="1"/>
  <c r="L4446" i="13" s="1"/>
  <c r="I4447" i="13" s="1"/>
  <c r="M4636" i="14"/>
  <c r="M4635" i="13"/>
  <c r="K4468" i="14"/>
  <c r="L4468" i="14" s="1"/>
  <c r="I4469" i="14" s="1"/>
  <c r="J4632" i="13" a="1"/>
  <c r="J4632" i="13" s="1"/>
  <c r="N4633" i="13"/>
  <c r="J4631" i="14" a="1"/>
  <c r="J4631" i="14" s="1"/>
  <c r="N4632" i="14"/>
  <c r="K4447" i="13" l="1"/>
  <c r="L4447" i="13" s="1"/>
  <c r="I4448" i="13" s="1"/>
  <c r="N4633" i="14"/>
  <c r="J4632" i="14" a="1"/>
  <c r="J4632" i="14" s="1"/>
  <c r="K4469" i="14"/>
  <c r="L4469" i="14" s="1"/>
  <c r="I4470" i="14" s="1"/>
  <c r="M4637" i="14"/>
  <c r="J4633" i="13" a="1"/>
  <c r="J4633" i="13" s="1"/>
  <c r="N4634" i="13"/>
  <c r="M4636" i="13"/>
  <c r="K4470" i="14" l="1"/>
  <c r="L4470" i="14" s="1"/>
  <c r="I4471" i="14" s="1"/>
  <c r="K4448" i="13"/>
  <c r="L4448" i="13" s="1"/>
  <c r="I4449" i="13" s="1"/>
  <c r="M4637" i="13"/>
  <c r="N4634" i="14"/>
  <c r="J4633" i="14" a="1"/>
  <c r="J4633" i="14" s="1"/>
  <c r="M4638" i="14"/>
  <c r="J4634" i="13" a="1"/>
  <c r="J4634" i="13" s="1"/>
  <c r="N4635" i="13"/>
  <c r="K4449" i="13" l="1"/>
  <c r="L4449" i="13" s="1"/>
  <c r="I4450" i="13" s="1"/>
  <c r="K4471" i="14"/>
  <c r="L4471" i="14" s="1"/>
  <c r="I4472" i="14" s="1"/>
  <c r="N4636" i="13"/>
  <c r="J4635" i="13" a="1"/>
  <c r="J4635" i="13" s="1"/>
  <c r="N4635" i="14"/>
  <c r="J4634" i="14" a="1"/>
  <c r="J4634" i="14" s="1"/>
  <c r="M4639" i="14"/>
  <c r="M4638" i="13"/>
  <c r="K4450" i="13" l="1"/>
  <c r="L4450" i="13" s="1"/>
  <c r="I4451" i="13" s="1"/>
  <c r="M4639" i="13"/>
  <c r="J4635" i="14" a="1"/>
  <c r="J4635" i="14" s="1"/>
  <c r="N4636" i="14"/>
  <c r="K4472" i="14"/>
  <c r="L4472" i="14" s="1"/>
  <c r="I4473" i="14" s="1"/>
  <c r="M4640" i="14"/>
  <c r="J4636" i="13" a="1"/>
  <c r="J4636" i="13" s="1"/>
  <c r="N4637" i="13"/>
  <c r="K4473" i="14" l="1"/>
  <c r="L4473" i="14" s="1"/>
  <c r="I4474" i="14" s="1"/>
  <c r="K4451" i="13"/>
  <c r="L4451" i="13" s="1"/>
  <c r="I4452" i="13" s="1"/>
  <c r="J4637" i="13" a="1"/>
  <c r="J4637" i="13" s="1"/>
  <c r="N4638" i="13"/>
  <c r="M4640" i="13"/>
  <c r="N4637" i="14"/>
  <c r="J4636" i="14" a="1"/>
  <c r="J4636" i="14" s="1"/>
  <c r="M4641" i="14"/>
  <c r="K4452" i="13" l="1"/>
  <c r="L4452" i="13" s="1"/>
  <c r="I4453" i="13" s="1"/>
  <c r="K4474" i="14"/>
  <c r="L4474" i="14" s="1"/>
  <c r="I4475" i="14" s="1"/>
  <c r="N4638" i="14"/>
  <c r="J4637" i="14" a="1"/>
  <c r="J4637" i="14" s="1"/>
  <c r="M4642" i="14"/>
  <c r="M4641" i="13"/>
  <c r="J4638" i="13" a="1"/>
  <c r="J4638" i="13" s="1"/>
  <c r="N4639" i="13"/>
  <c r="K4475" i="14" l="1"/>
  <c r="L4475" i="14" s="1"/>
  <c r="I4476" i="14" s="1"/>
  <c r="K4453" i="13"/>
  <c r="L4453" i="13" s="1"/>
  <c r="I4454" i="13" s="1"/>
  <c r="M4642" i="13"/>
  <c r="N4640" i="13"/>
  <c r="J4639" i="13" a="1"/>
  <c r="J4639" i="13" s="1"/>
  <c r="M4643" i="14"/>
  <c r="N4639" i="14"/>
  <c r="J4638" i="14" a="1"/>
  <c r="J4638" i="14" s="1"/>
  <c r="K4476" i="14" l="1"/>
  <c r="L4476" i="14" s="1"/>
  <c r="I4477" i="14" s="1"/>
  <c r="J4639" i="14" a="1"/>
  <c r="J4639" i="14" s="1"/>
  <c r="N4640" i="14"/>
  <c r="K4454" i="13"/>
  <c r="L4454" i="13" s="1"/>
  <c r="I4455" i="13" s="1"/>
  <c r="J4640" i="13" a="1"/>
  <c r="J4640" i="13" s="1"/>
  <c r="N4641" i="13"/>
  <c r="M4643" i="13"/>
  <c r="M4644" i="14"/>
  <c r="K4455" i="13" l="1"/>
  <c r="L4455" i="13" s="1"/>
  <c r="I4456" i="13" s="1"/>
  <c r="K4477" i="14"/>
  <c r="L4477" i="14" s="1"/>
  <c r="I4478" i="14" s="1"/>
  <c r="J4641" i="13" a="1"/>
  <c r="J4641" i="13" s="1"/>
  <c r="N4642" i="13"/>
  <c r="N4641" i="14"/>
  <c r="J4640" i="14" a="1"/>
  <c r="J4640" i="14" s="1"/>
  <c r="M4645" i="14"/>
  <c r="M4644" i="13"/>
  <c r="K4478" i="14" l="1"/>
  <c r="L4478" i="14" s="1"/>
  <c r="I4479" i="14" s="1"/>
  <c r="K4456" i="13"/>
  <c r="L4456" i="13" s="1"/>
  <c r="I4457" i="13" s="1"/>
  <c r="M4645" i="13"/>
  <c r="N4642" i="14"/>
  <c r="J4641" i="14" a="1"/>
  <c r="J4641" i="14" s="1"/>
  <c r="J4642" i="13" a="1"/>
  <c r="J4642" i="13" s="1"/>
  <c r="N4643" i="13"/>
  <c r="M4646" i="14"/>
  <c r="K4479" i="14" l="1"/>
  <c r="L4479" i="14" s="1"/>
  <c r="I4480" i="14" s="1"/>
  <c r="K4457" i="13"/>
  <c r="L4457" i="13" s="1"/>
  <c r="I4458" i="13" s="1"/>
  <c r="N4643" i="14"/>
  <c r="J4642" i="14" a="1"/>
  <c r="J4642" i="14" s="1"/>
  <c r="N4644" i="13"/>
  <c r="J4643" i="13" a="1"/>
  <c r="J4643" i="13" s="1"/>
  <c r="M4647" i="14"/>
  <c r="M4646" i="13"/>
  <c r="K4480" i="14" l="1"/>
  <c r="L4480" i="14" s="1"/>
  <c r="I4481" i="14" s="1"/>
  <c r="M4647" i="13"/>
  <c r="J4644" i="13" a="1"/>
  <c r="J4644" i="13" s="1"/>
  <c r="N4645" i="13"/>
  <c r="K4458" i="13"/>
  <c r="L4458" i="13" s="1"/>
  <c r="I4459" i="13" s="1"/>
  <c r="M4648" i="14"/>
  <c r="J4643" i="14" a="1"/>
  <c r="J4643" i="14" s="1"/>
  <c r="N4644" i="14"/>
  <c r="K4459" i="13" l="1"/>
  <c r="L4459" i="13" s="1"/>
  <c r="I4460" i="13" s="1"/>
  <c r="K4481" i="14"/>
  <c r="L4481" i="14" s="1"/>
  <c r="I4482" i="14" s="1"/>
  <c r="N4645" i="14"/>
  <c r="J4644" i="14" a="1"/>
  <c r="J4644" i="14" s="1"/>
  <c r="M4649" i="14"/>
  <c r="M4648" i="13"/>
  <c r="J4645" i="13" a="1"/>
  <c r="J4645" i="13" s="1"/>
  <c r="N4646" i="13"/>
  <c r="K4482" i="14" l="1"/>
  <c r="L4482" i="14" s="1"/>
  <c r="I4483" i="14" s="1"/>
  <c r="K4460" i="13"/>
  <c r="L4460" i="13" s="1"/>
  <c r="I4461" i="13" s="1"/>
  <c r="J4646" i="13" a="1"/>
  <c r="J4646" i="13" s="1"/>
  <c r="N4647" i="13"/>
  <c r="M4650" i="14"/>
  <c r="M4649" i="13"/>
  <c r="N4646" i="14"/>
  <c r="J4645" i="14" a="1"/>
  <c r="J4645" i="14" s="1"/>
  <c r="K4461" i="13" l="1"/>
  <c r="L4461" i="13" s="1"/>
  <c r="I4462" i="13" s="1"/>
  <c r="M4650" i="13"/>
  <c r="N4647" i="14"/>
  <c r="J4646" i="14" a="1"/>
  <c r="J4646" i="14" s="1"/>
  <c r="M4651" i="14"/>
  <c r="N4648" i="13"/>
  <c r="J4647" i="13" a="1"/>
  <c r="J4647" i="13" s="1"/>
  <c r="K4483" i="14"/>
  <c r="L4483" i="14" s="1"/>
  <c r="I4484" i="14" s="1"/>
  <c r="K4484" i="14" l="1"/>
  <c r="L4484" i="14" s="1"/>
  <c r="I4485" i="14" s="1"/>
  <c r="K4462" i="13"/>
  <c r="L4462" i="13" s="1"/>
  <c r="I4463" i="13" s="1"/>
  <c r="M4652" i="14"/>
  <c r="M4651" i="13"/>
  <c r="J4648" i="13" a="1"/>
  <c r="J4648" i="13" s="1"/>
  <c r="N4649" i="13"/>
  <c r="J4647" i="14" a="1"/>
  <c r="J4647" i="14" s="1"/>
  <c r="N4648" i="14"/>
  <c r="K4485" i="14" l="1"/>
  <c r="L4485" i="14" s="1"/>
  <c r="I4486" i="14" s="1"/>
  <c r="K4463" i="13"/>
  <c r="L4463" i="13" s="1"/>
  <c r="I4464" i="13" s="1"/>
  <c r="N4649" i="14"/>
  <c r="J4648" i="14" a="1"/>
  <c r="J4648" i="14" s="1"/>
  <c r="M4652" i="13"/>
  <c r="J4649" i="13" a="1"/>
  <c r="J4649" i="13" s="1"/>
  <c r="N4650" i="13"/>
  <c r="M4653" i="14"/>
  <c r="K4464" i="13" l="1"/>
  <c r="L4464" i="13" s="1"/>
  <c r="I4465" i="13" s="1"/>
  <c r="K4486" i="14"/>
  <c r="L4486" i="14" s="1"/>
  <c r="I4487" i="14" s="1"/>
  <c r="J4650" i="13" a="1"/>
  <c r="J4650" i="13" s="1"/>
  <c r="N4651" i="13"/>
  <c r="M4654" i="14"/>
  <c r="M4653" i="13"/>
  <c r="N4650" i="14"/>
  <c r="J4649" i="14" a="1"/>
  <c r="J4649" i="14" s="1"/>
  <c r="K4465" i="13" l="1"/>
  <c r="L4465" i="13" s="1"/>
  <c r="I4466" i="13" s="1"/>
  <c r="K4487" i="14"/>
  <c r="L4487" i="14" s="1"/>
  <c r="I4488" i="14" s="1"/>
  <c r="N4651" i="14"/>
  <c r="J4650" i="14" a="1"/>
  <c r="J4650" i="14" s="1"/>
  <c r="M4655" i="14"/>
  <c r="M4654" i="13"/>
  <c r="N4652" i="13"/>
  <c r="J4651" i="13" a="1"/>
  <c r="J4651" i="13" s="1"/>
  <c r="K4488" i="14" l="1"/>
  <c r="L4488" i="14" s="1"/>
  <c r="I4489" i="14" s="1"/>
  <c r="K4466" i="13"/>
  <c r="L4466" i="13" s="1"/>
  <c r="I4467" i="13" s="1"/>
  <c r="J4652" i="13" a="1"/>
  <c r="J4652" i="13" s="1"/>
  <c r="N4653" i="13"/>
  <c r="M4656" i="14"/>
  <c r="M4655" i="13"/>
  <c r="J4651" i="14" a="1"/>
  <c r="J4651" i="14" s="1"/>
  <c r="N4652" i="14"/>
  <c r="K4467" i="13" l="1"/>
  <c r="L4467" i="13" s="1"/>
  <c r="I4468" i="13" s="1"/>
  <c r="K4489" i="14"/>
  <c r="L4489" i="14" s="1"/>
  <c r="I4490" i="14" s="1"/>
  <c r="N4653" i="14"/>
  <c r="J4652" i="14" a="1"/>
  <c r="J4652" i="14" s="1"/>
  <c r="M4657" i="14"/>
  <c r="J4653" i="13" a="1"/>
  <c r="J4653" i="13" s="1"/>
  <c r="N4654" i="13"/>
  <c r="M4656" i="13"/>
  <c r="K4490" i="14" l="1"/>
  <c r="L4490" i="14" s="1"/>
  <c r="I4491" i="14" s="1"/>
  <c r="K4468" i="13"/>
  <c r="L4468" i="13" s="1"/>
  <c r="I4469" i="13" s="1"/>
  <c r="M4658" i="14"/>
  <c r="J4654" i="13" a="1"/>
  <c r="J4654" i="13" s="1"/>
  <c r="N4655" i="13"/>
  <c r="M4657" i="13"/>
  <c r="N4654" i="14"/>
  <c r="J4653" i="14" a="1"/>
  <c r="J4653" i="14" s="1"/>
  <c r="K4469" i="13" l="1"/>
  <c r="L4469" i="13" s="1"/>
  <c r="I4470" i="13" s="1"/>
  <c r="K4491" i="14"/>
  <c r="L4491" i="14" s="1"/>
  <c r="I4492" i="14" s="1"/>
  <c r="N4656" i="13"/>
  <c r="J4655" i="13" a="1"/>
  <c r="J4655" i="13" s="1"/>
  <c r="N4655" i="14"/>
  <c r="J4654" i="14" a="1"/>
  <c r="J4654" i="14" s="1"/>
  <c r="M4658" i="13"/>
  <c r="M4659" i="14"/>
  <c r="K4492" i="14" l="1"/>
  <c r="L4492" i="14" s="1"/>
  <c r="I4493" i="14" s="1"/>
  <c r="K4470" i="13"/>
  <c r="L4470" i="13" s="1"/>
  <c r="I4471" i="13" s="1"/>
  <c r="J4655" i="14" a="1"/>
  <c r="J4655" i="14" s="1"/>
  <c r="N4656" i="14"/>
  <c r="M4660" i="14"/>
  <c r="M4659" i="13"/>
  <c r="J4656" i="13" a="1"/>
  <c r="J4656" i="13" s="1"/>
  <c r="N4657" i="13"/>
  <c r="K4471" i="13" l="1"/>
  <c r="L4471" i="13" s="1"/>
  <c r="I4472" i="13" s="1"/>
  <c r="K4493" i="14"/>
  <c r="L4493" i="14" s="1"/>
  <c r="I4494" i="14" s="1"/>
  <c r="J4657" i="13" a="1"/>
  <c r="J4657" i="13" s="1"/>
  <c r="N4658" i="13"/>
  <c r="M4661" i="14"/>
  <c r="N4657" i="14"/>
  <c r="J4656" i="14" a="1"/>
  <c r="J4656" i="14" s="1"/>
  <c r="M4660" i="13"/>
  <c r="K4494" i="14" l="1"/>
  <c r="L4494" i="14" s="1"/>
  <c r="I4495" i="14" s="1"/>
  <c r="K4472" i="13"/>
  <c r="L4472" i="13" s="1"/>
  <c r="I4473" i="13" s="1"/>
  <c r="J4658" i="13" a="1"/>
  <c r="J4658" i="13" s="1"/>
  <c r="N4659" i="13"/>
  <c r="N4658" i="14"/>
  <c r="J4657" i="14" a="1"/>
  <c r="J4657" i="14" s="1"/>
  <c r="M4662" i="14"/>
  <c r="M4661" i="13"/>
  <c r="K4495" i="14" l="1"/>
  <c r="L4495" i="14" s="1"/>
  <c r="I4496" i="14" s="1"/>
  <c r="N4659" i="14"/>
  <c r="J4658" i="14" a="1"/>
  <c r="J4658" i="14" s="1"/>
  <c r="K4473" i="13"/>
  <c r="L4473" i="13" s="1"/>
  <c r="I4474" i="13" s="1"/>
  <c r="N4660" i="13"/>
  <c r="J4659" i="13" a="1"/>
  <c r="J4659" i="13" s="1"/>
  <c r="M4662" i="13"/>
  <c r="M4663" i="14"/>
  <c r="K4474" i="13" l="1"/>
  <c r="L4474" i="13" s="1"/>
  <c r="I4475" i="13" s="1"/>
  <c r="K4496" i="14"/>
  <c r="L4496" i="14" s="1"/>
  <c r="I4497" i="14" s="1"/>
  <c r="M4664" i="14"/>
  <c r="J4660" i="13" a="1"/>
  <c r="J4660" i="13" s="1"/>
  <c r="N4661" i="13"/>
  <c r="J4659" i="14" a="1"/>
  <c r="J4659" i="14" s="1"/>
  <c r="N4660" i="14"/>
  <c r="M4663" i="13"/>
  <c r="K4475" i="13" l="1"/>
  <c r="L4475" i="13" s="1"/>
  <c r="I4476" i="13" s="1"/>
  <c r="J4661" i="13" a="1"/>
  <c r="J4661" i="13" s="1"/>
  <c r="N4662" i="13"/>
  <c r="K4497" i="14"/>
  <c r="L4497" i="14" s="1"/>
  <c r="I4498" i="14" s="1"/>
  <c r="N4661" i="14"/>
  <c r="J4660" i="14" a="1"/>
  <c r="J4660" i="14" s="1"/>
  <c r="M4665" i="14"/>
  <c r="M4664" i="13"/>
  <c r="K4498" i="14" l="1"/>
  <c r="L4498" i="14" s="1"/>
  <c r="I4499" i="14" s="1"/>
  <c r="K4476" i="13"/>
  <c r="L4476" i="13" s="1"/>
  <c r="I4477" i="13" s="1"/>
  <c r="J4662" i="13" a="1"/>
  <c r="J4662" i="13" s="1"/>
  <c r="N4663" i="13"/>
  <c r="M4665" i="13"/>
  <c r="N4662" i="14"/>
  <c r="J4661" i="14" a="1"/>
  <c r="J4661" i="14" s="1"/>
  <c r="M4666" i="14"/>
  <c r="K4477" i="13" l="1"/>
  <c r="L4477" i="13" s="1"/>
  <c r="I4478" i="13" s="1"/>
  <c r="K4499" i="14"/>
  <c r="L4499" i="14" s="1"/>
  <c r="I4500" i="14" s="1"/>
  <c r="N4664" i="13"/>
  <c r="J4663" i="13" a="1"/>
  <c r="J4663" i="13" s="1"/>
  <c r="N4663" i="14"/>
  <c r="J4662" i="14" a="1"/>
  <c r="J4662" i="14" s="1"/>
  <c r="M4667" i="14"/>
  <c r="M4666" i="13"/>
  <c r="K4478" i="13" l="1"/>
  <c r="L4478" i="13" s="1"/>
  <c r="I4479" i="13" s="1"/>
  <c r="J4663" i="14" a="1"/>
  <c r="J4663" i="14" s="1"/>
  <c r="N4664" i="14"/>
  <c r="K4500" i="14"/>
  <c r="L4500" i="14" s="1"/>
  <c r="I4501" i="14" s="1"/>
  <c r="M4667" i="13"/>
  <c r="M4668" i="14"/>
  <c r="J4664" i="13" a="1"/>
  <c r="J4664" i="13" s="1"/>
  <c r="N4665" i="13"/>
  <c r="K4479" i="13" l="1"/>
  <c r="L4479" i="13" s="1"/>
  <c r="I4480" i="13" s="1"/>
  <c r="K4501" i="14"/>
  <c r="L4501" i="14" s="1"/>
  <c r="I4502" i="14" s="1"/>
  <c r="N4665" i="14"/>
  <c r="J4664" i="14" a="1"/>
  <c r="J4664" i="14" s="1"/>
  <c r="J4665" i="13" a="1"/>
  <c r="J4665" i="13" s="1"/>
  <c r="N4666" i="13"/>
  <c r="M4668" i="13"/>
  <c r="M4669" i="14"/>
  <c r="K4480" i="13" l="1"/>
  <c r="L4480" i="13" s="1"/>
  <c r="I4481" i="13" s="1"/>
  <c r="M4670" i="14"/>
  <c r="J4666" i="13" a="1"/>
  <c r="J4666" i="13" s="1"/>
  <c r="N4667" i="13"/>
  <c r="K4502" i="14"/>
  <c r="L4502" i="14" s="1"/>
  <c r="I4503" i="14" s="1"/>
  <c r="M4669" i="13"/>
  <c r="J4665" i="14" a="1"/>
  <c r="J4665" i="14" s="1"/>
  <c r="N4666" i="14"/>
  <c r="K4503" i="14" l="1"/>
  <c r="L4503" i="14" s="1"/>
  <c r="I4504" i="14" s="1"/>
  <c r="K4481" i="13"/>
  <c r="L4481" i="13" s="1"/>
  <c r="I4482" i="13" s="1"/>
  <c r="M4670" i="13"/>
  <c r="N4667" i="14"/>
  <c r="J4666" i="14" a="1"/>
  <c r="J4666" i="14" s="1"/>
  <c r="M4671" i="14"/>
  <c r="N4668" i="13"/>
  <c r="J4667" i="13" a="1"/>
  <c r="J4667" i="13" s="1"/>
  <c r="K4504" i="14" l="1"/>
  <c r="L4504" i="14" s="1"/>
  <c r="I4505" i="14" s="1"/>
  <c r="J4668" i="13" a="1"/>
  <c r="J4668" i="13" s="1"/>
  <c r="N4669" i="13"/>
  <c r="K4482" i="13"/>
  <c r="L4482" i="13" s="1"/>
  <c r="I4483" i="13" s="1"/>
  <c r="J4667" i="14" a="1"/>
  <c r="J4667" i="14" s="1"/>
  <c r="N4668" i="14"/>
  <c r="M4672" i="14"/>
  <c r="M4671" i="13"/>
  <c r="K4505" i="14" l="1"/>
  <c r="L4505" i="14" s="1"/>
  <c r="I4506" i="14" s="1"/>
  <c r="N4669" i="14"/>
  <c r="J4668" i="14" a="1"/>
  <c r="J4668" i="14" s="1"/>
  <c r="J4669" i="13" a="1"/>
  <c r="J4669" i="13" s="1"/>
  <c r="N4670" i="13"/>
  <c r="M4673" i="14"/>
  <c r="M4672" i="13"/>
  <c r="K4483" i="13"/>
  <c r="L4483" i="13" s="1"/>
  <c r="I4484" i="13" s="1"/>
  <c r="K4484" i="13" l="1"/>
  <c r="L4484" i="13" s="1"/>
  <c r="I4485" i="13" s="1"/>
  <c r="K4506" i="14"/>
  <c r="L4506" i="14" s="1"/>
  <c r="I4507" i="14" s="1"/>
  <c r="M4674" i="14"/>
  <c r="N4670" i="14"/>
  <c r="J4669" i="14" a="1"/>
  <c r="J4669" i="14" s="1"/>
  <c r="J4670" i="13" a="1"/>
  <c r="J4670" i="13" s="1"/>
  <c r="N4671" i="13"/>
  <c r="M4673" i="13"/>
  <c r="K4507" i="14" l="1"/>
  <c r="L4507" i="14" s="1"/>
  <c r="I4508" i="14" s="1"/>
  <c r="K4485" i="13"/>
  <c r="L4485" i="13" s="1"/>
  <c r="I4486" i="13" s="1"/>
  <c r="M4674" i="13"/>
  <c r="J4670" i="14" a="1"/>
  <c r="J4670" i="14" s="1"/>
  <c r="N4671" i="14"/>
  <c r="N4672" i="13"/>
  <c r="J4671" i="13" a="1"/>
  <c r="J4671" i="13" s="1"/>
  <c r="M4675" i="14"/>
  <c r="K4508" i="14" l="1"/>
  <c r="L4508" i="14" s="1"/>
  <c r="I4509" i="14" s="1"/>
  <c r="J4671" i="14" a="1"/>
  <c r="J4671" i="14" s="1"/>
  <c r="N4672" i="14"/>
  <c r="K4486" i="13"/>
  <c r="L4486" i="13" s="1"/>
  <c r="I4487" i="13" s="1"/>
  <c r="M4676" i="14"/>
  <c r="M4675" i="13"/>
  <c r="J4672" i="13" a="1"/>
  <c r="J4672" i="13" s="1"/>
  <c r="N4673" i="13"/>
  <c r="K4487" i="13" l="1"/>
  <c r="L4487" i="13" s="1"/>
  <c r="I4488" i="13" s="1"/>
  <c r="K4509" i="14"/>
  <c r="L4509" i="14" s="1"/>
  <c r="I4510" i="14" s="1"/>
  <c r="J4673" i="13" a="1"/>
  <c r="J4673" i="13" s="1"/>
  <c r="N4674" i="13"/>
  <c r="M4677" i="14"/>
  <c r="N4673" i="14"/>
  <c r="J4672" i="14" a="1"/>
  <c r="J4672" i="14" s="1"/>
  <c r="M4676" i="13"/>
  <c r="K4510" i="14" l="1"/>
  <c r="L4510" i="14" s="1"/>
  <c r="I4511" i="14" s="1"/>
  <c r="K4488" i="13"/>
  <c r="L4488" i="13" s="1"/>
  <c r="I4489" i="13" s="1"/>
  <c r="J4674" i="13" a="1"/>
  <c r="J4674" i="13" s="1"/>
  <c r="N4675" i="13"/>
  <c r="M4677" i="13"/>
  <c r="M4678" i="14"/>
  <c r="N4674" i="14"/>
  <c r="J4673" i="14" a="1"/>
  <c r="J4673" i="14" s="1"/>
  <c r="K4511" i="14" l="1"/>
  <c r="L4511" i="14" s="1"/>
  <c r="I4512" i="14" s="1"/>
  <c r="J4674" i="14" a="1"/>
  <c r="J4674" i="14" s="1"/>
  <c r="N4675" i="14"/>
  <c r="M4678" i="13"/>
  <c r="K4489" i="13"/>
  <c r="L4489" i="13" s="1"/>
  <c r="I4490" i="13" s="1"/>
  <c r="N4676" i="13"/>
  <c r="J4675" i="13" a="1"/>
  <c r="J4675" i="13" s="1"/>
  <c r="M4679" i="14"/>
  <c r="K4490" i="13" l="1"/>
  <c r="L4490" i="13" s="1"/>
  <c r="I4491" i="13" s="1"/>
  <c r="K4512" i="14"/>
  <c r="L4512" i="14" s="1"/>
  <c r="I4513" i="14" s="1"/>
  <c r="J4675" i="14" a="1"/>
  <c r="J4675" i="14" s="1"/>
  <c r="N4676" i="14"/>
  <c r="M4680" i="14"/>
  <c r="M4679" i="13"/>
  <c r="J4676" i="13" a="1"/>
  <c r="J4676" i="13" s="1"/>
  <c r="N4677" i="13"/>
  <c r="M4680" i="13" l="1"/>
  <c r="J4677" i="13" a="1"/>
  <c r="J4677" i="13" s="1"/>
  <c r="N4678" i="13"/>
  <c r="M4681" i="14"/>
  <c r="K4513" i="14"/>
  <c r="L4513" i="14" s="1"/>
  <c r="I4514" i="14" s="1"/>
  <c r="J4676" i="14" a="1"/>
  <c r="J4676" i="14" s="1"/>
  <c r="N4677" i="14"/>
  <c r="K4491" i="13"/>
  <c r="L4491" i="13" s="1"/>
  <c r="I4492" i="13" s="1"/>
  <c r="K4514" i="14" l="1"/>
  <c r="L4514" i="14" s="1"/>
  <c r="I4515" i="14" s="1"/>
  <c r="K4492" i="13"/>
  <c r="L4492" i="13" s="1"/>
  <c r="I4493" i="13" s="1"/>
  <c r="J4678" i="13" a="1"/>
  <c r="J4678" i="13" s="1"/>
  <c r="N4679" i="13"/>
  <c r="N4678" i="14"/>
  <c r="J4677" i="14" a="1"/>
  <c r="J4677" i="14" s="1"/>
  <c r="M4682" i="14"/>
  <c r="M4681" i="13"/>
  <c r="K4493" i="13" l="1"/>
  <c r="L4493" i="13" s="1"/>
  <c r="I4494" i="13" s="1"/>
  <c r="K4515" i="14"/>
  <c r="L4515" i="14" s="1"/>
  <c r="I4516" i="14" s="1"/>
  <c r="J4678" i="14" a="1"/>
  <c r="J4678" i="14" s="1"/>
  <c r="N4679" i="14"/>
  <c r="M4682" i="13"/>
  <c r="N4680" i="13"/>
  <c r="J4679" i="13" a="1"/>
  <c r="J4679" i="13" s="1"/>
  <c r="M4683" i="14"/>
  <c r="K4516" i="14" l="1"/>
  <c r="L4516" i="14" s="1"/>
  <c r="I4517" i="14" s="1"/>
  <c r="K4494" i="13"/>
  <c r="L4494" i="13" s="1"/>
  <c r="I4495" i="13" s="1"/>
  <c r="J4679" i="14" a="1"/>
  <c r="J4679" i="14" s="1"/>
  <c r="N4680" i="14"/>
  <c r="M4683" i="13"/>
  <c r="J4680" i="13" a="1"/>
  <c r="J4680" i="13" s="1"/>
  <c r="N4681" i="13"/>
  <c r="M4684" i="14"/>
  <c r="K4495" i="13" l="1"/>
  <c r="L4495" i="13" s="1"/>
  <c r="I4496" i="13" s="1"/>
  <c r="K4517" i="14"/>
  <c r="L4517" i="14" s="1"/>
  <c r="I4518" i="14" s="1"/>
  <c r="M4685" i="14"/>
  <c r="J4681" i="13" a="1"/>
  <c r="J4681" i="13" s="1"/>
  <c r="N4682" i="13"/>
  <c r="M4684" i="13"/>
  <c r="N4681" i="14"/>
  <c r="J4680" i="14" a="1"/>
  <c r="J4680" i="14" s="1"/>
  <c r="K4518" i="14" l="1"/>
  <c r="L4518" i="14" s="1"/>
  <c r="I4519" i="14" s="1"/>
  <c r="K4496" i="13"/>
  <c r="L4496" i="13" s="1"/>
  <c r="I4497" i="13" s="1"/>
  <c r="J4682" i="13" a="1"/>
  <c r="J4682" i="13" s="1"/>
  <c r="N4683" i="13"/>
  <c r="N4682" i="14"/>
  <c r="J4681" i="14" a="1"/>
  <c r="J4681" i="14" s="1"/>
  <c r="M4685" i="13"/>
  <c r="M4686" i="14"/>
  <c r="K4497" i="13" l="1"/>
  <c r="L4497" i="13" s="1"/>
  <c r="I4498" i="13" s="1"/>
  <c r="K4519" i="14"/>
  <c r="L4519" i="14" s="1"/>
  <c r="I4520" i="14" s="1"/>
  <c r="M4686" i="13"/>
  <c r="M4687" i="14"/>
  <c r="J4682" i="14" a="1"/>
  <c r="J4682" i="14" s="1"/>
  <c r="N4683" i="14"/>
  <c r="N4684" i="13"/>
  <c r="J4683" i="13" a="1"/>
  <c r="J4683" i="13" s="1"/>
  <c r="K4520" i="14" l="1"/>
  <c r="L4520" i="14" s="1"/>
  <c r="I4521" i="14" s="1"/>
  <c r="K4498" i="13"/>
  <c r="L4498" i="13" s="1"/>
  <c r="I4499" i="13" s="1"/>
  <c r="M4688" i="14"/>
  <c r="J4684" i="13" a="1"/>
  <c r="J4684" i="13" s="1"/>
  <c r="N4685" i="13"/>
  <c r="J4683" i="14" a="1"/>
  <c r="J4683" i="14" s="1"/>
  <c r="N4684" i="14"/>
  <c r="M4687" i="13"/>
  <c r="K4499" i="13" l="1"/>
  <c r="L4499" i="13" s="1"/>
  <c r="I4500" i="13" s="1"/>
  <c r="J4685" i="13" a="1"/>
  <c r="J4685" i="13" s="1"/>
  <c r="N4686" i="13"/>
  <c r="M4688" i="13"/>
  <c r="J4684" i="14" a="1"/>
  <c r="J4684" i="14" s="1"/>
  <c r="N4685" i="14"/>
  <c r="M4689" i="14"/>
  <c r="K4521" i="14"/>
  <c r="L4521" i="14" s="1"/>
  <c r="I4522" i="14" s="1"/>
  <c r="K4522" i="14" l="1"/>
  <c r="L4522" i="14" s="1"/>
  <c r="I4523" i="14" s="1"/>
  <c r="K4500" i="13"/>
  <c r="L4500" i="13" s="1"/>
  <c r="I4501" i="13" s="1"/>
  <c r="N4686" i="14"/>
  <c r="J4685" i="14" a="1"/>
  <c r="J4685" i="14" s="1"/>
  <c r="J4686" i="13" a="1"/>
  <c r="J4686" i="13" s="1"/>
  <c r="N4687" i="13"/>
  <c r="M4690" i="14"/>
  <c r="M4689" i="13"/>
  <c r="K4501" i="13" l="1"/>
  <c r="L4501" i="13" s="1"/>
  <c r="I4502" i="13" s="1"/>
  <c r="K4523" i="14"/>
  <c r="L4523" i="14" s="1"/>
  <c r="I4524" i="14" s="1"/>
  <c r="N4688" i="13"/>
  <c r="J4687" i="13" a="1"/>
  <c r="J4687" i="13" s="1"/>
  <c r="M4690" i="13"/>
  <c r="M4691" i="14"/>
  <c r="J4686" i="14" a="1"/>
  <c r="J4686" i="14" s="1"/>
  <c r="N4687" i="14"/>
  <c r="K4524" i="14" l="1"/>
  <c r="L4524" i="14" s="1"/>
  <c r="I4525" i="14" s="1"/>
  <c r="K4502" i="13"/>
  <c r="L4502" i="13" s="1"/>
  <c r="I4503" i="13" s="1"/>
  <c r="J4687" i="14" a="1"/>
  <c r="J4687" i="14" s="1"/>
  <c r="N4688" i="14"/>
  <c r="M4691" i="13"/>
  <c r="M4692" i="14"/>
  <c r="J4688" i="13" a="1"/>
  <c r="J4688" i="13" s="1"/>
  <c r="N4689" i="13"/>
  <c r="K4525" i="14" l="1"/>
  <c r="L4525" i="14" s="1"/>
  <c r="I4526" i="14" s="1"/>
  <c r="N4689" i="14"/>
  <c r="J4688" i="14" a="1"/>
  <c r="J4688" i="14" s="1"/>
  <c r="J4689" i="13" a="1"/>
  <c r="J4689" i="13" s="1"/>
  <c r="N4690" i="13"/>
  <c r="M4692" i="13"/>
  <c r="K4503" i="13"/>
  <c r="L4503" i="13" s="1"/>
  <c r="I4504" i="13" s="1"/>
  <c r="M4693" i="14"/>
  <c r="K4504" i="13" l="1"/>
  <c r="L4504" i="13" s="1"/>
  <c r="I4505" i="13" s="1"/>
  <c r="K4526" i="14"/>
  <c r="L4526" i="14" s="1"/>
  <c r="I4527" i="14" s="1"/>
  <c r="M4694" i="14"/>
  <c r="M4693" i="13"/>
  <c r="N4690" i="14"/>
  <c r="J4689" i="14" a="1"/>
  <c r="J4689" i="14" s="1"/>
  <c r="J4690" i="13" a="1"/>
  <c r="J4690" i="13" s="1"/>
  <c r="N4691" i="13"/>
  <c r="K4527" i="14" l="1"/>
  <c r="L4527" i="14" s="1"/>
  <c r="I4528" i="14" s="1"/>
  <c r="K4505" i="13"/>
  <c r="L4505" i="13" s="1"/>
  <c r="I4506" i="13" s="1"/>
  <c r="N4692" i="13"/>
  <c r="J4691" i="13" a="1"/>
  <c r="J4691" i="13" s="1"/>
  <c r="M4694" i="13"/>
  <c r="J4690" i="14" a="1"/>
  <c r="J4690" i="14" s="1"/>
  <c r="N4691" i="14"/>
  <c r="M4695" i="14"/>
  <c r="K4506" i="13" l="1"/>
  <c r="L4506" i="13" s="1"/>
  <c r="I4507" i="13" s="1"/>
  <c r="K4528" i="14"/>
  <c r="L4528" i="14" s="1"/>
  <c r="I4529" i="14" s="1"/>
  <c r="J4691" i="14" a="1"/>
  <c r="J4691" i="14" s="1"/>
  <c r="N4692" i="14"/>
  <c r="M4696" i="14"/>
  <c r="M4695" i="13"/>
  <c r="J4692" i="13" a="1"/>
  <c r="J4692" i="13" s="1"/>
  <c r="N4693" i="13"/>
  <c r="K4507" i="13" l="1"/>
  <c r="L4507" i="13" s="1"/>
  <c r="I4508" i="13" s="1"/>
  <c r="K4529" i="14"/>
  <c r="L4529" i="14" s="1"/>
  <c r="I4530" i="14" s="1"/>
  <c r="J4693" i="13" a="1"/>
  <c r="J4693" i="13" s="1"/>
  <c r="N4694" i="13"/>
  <c r="M4697" i="14"/>
  <c r="J4692" i="14" a="1"/>
  <c r="J4692" i="14" s="1"/>
  <c r="N4693" i="14"/>
  <c r="M4696" i="13"/>
  <c r="K4508" i="13" l="1"/>
  <c r="L4508" i="13" s="1"/>
  <c r="I4509" i="13" s="1"/>
  <c r="M4697" i="13"/>
  <c r="M4698" i="14"/>
  <c r="K4530" i="14"/>
  <c r="L4530" i="14" s="1"/>
  <c r="I4531" i="14" s="1"/>
  <c r="J4694" i="13" a="1"/>
  <c r="J4694" i="13" s="1"/>
  <c r="N4695" i="13"/>
  <c r="N4694" i="14"/>
  <c r="J4693" i="14" a="1"/>
  <c r="J4693" i="14" s="1"/>
  <c r="K4509" i="13" l="1"/>
  <c r="L4509" i="13" s="1"/>
  <c r="I4510" i="13" s="1"/>
  <c r="J4694" i="14" a="1"/>
  <c r="J4694" i="14" s="1"/>
  <c r="N4695" i="14"/>
  <c r="K4531" i="14"/>
  <c r="L4531" i="14" s="1"/>
  <c r="I4532" i="14" s="1"/>
  <c r="M4698" i="13"/>
  <c r="N4696" i="13"/>
  <c r="J4695" i="13" a="1"/>
  <c r="J4695" i="13" s="1"/>
  <c r="M4699" i="14"/>
  <c r="K4532" i="14" l="1"/>
  <c r="L4532" i="14" s="1"/>
  <c r="I4533" i="14" s="1"/>
  <c r="K4510" i="13"/>
  <c r="L4510" i="13" s="1"/>
  <c r="I4511" i="13" s="1"/>
  <c r="M4700" i="14"/>
  <c r="M4699" i="13"/>
  <c r="J4695" i="14" a="1"/>
  <c r="J4695" i="14" s="1"/>
  <c r="N4696" i="14"/>
  <c r="J4696" i="13" a="1"/>
  <c r="J4696" i="13" s="1"/>
  <c r="N4697" i="13"/>
  <c r="K4533" i="14" l="1"/>
  <c r="L4533" i="14" s="1"/>
  <c r="I4534" i="14" s="1"/>
  <c r="K4511" i="13"/>
  <c r="L4511" i="13" s="1"/>
  <c r="I4512" i="13" s="1"/>
  <c r="J4697" i="13" a="1"/>
  <c r="J4697" i="13" s="1"/>
  <c r="N4698" i="13"/>
  <c r="M4700" i="13"/>
  <c r="N4697" i="14"/>
  <c r="J4696" i="14" a="1"/>
  <c r="J4696" i="14" s="1"/>
  <c r="M4701" i="14"/>
  <c r="K4512" i="13" l="1"/>
  <c r="L4512" i="13" s="1"/>
  <c r="I4513" i="13" s="1"/>
  <c r="K4534" i="14"/>
  <c r="L4534" i="14" s="1"/>
  <c r="I4535" i="14" s="1"/>
  <c r="N4698" i="14"/>
  <c r="J4697" i="14" a="1"/>
  <c r="J4697" i="14" s="1"/>
  <c r="M4702" i="14"/>
  <c r="M4701" i="13"/>
  <c r="J4698" i="13" a="1"/>
  <c r="J4698" i="13" s="1"/>
  <c r="N4699" i="13"/>
  <c r="K4535" i="14" l="1"/>
  <c r="L4535" i="14" s="1"/>
  <c r="I4536" i="14" s="1"/>
  <c r="K4513" i="13"/>
  <c r="L4513" i="13" s="1"/>
  <c r="I4514" i="13" s="1"/>
  <c r="N4700" i="13"/>
  <c r="J4699" i="13" a="1"/>
  <c r="J4699" i="13" s="1"/>
  <c r="M4703" i="14"/>
  <c r="M4702" i="13"/>
  <c r="J4698" i="14" a="1"/>
  <c r="J4698" i="14" s="1"/>
  <c r="N4699" i="14"/>
  <c r="K4514" i="13" l="1"/>
  <c r="L4514" i="13" s="1"/>
  <c r="I4515" i="13" s="1"/>
  <c r="K4536" i="14"/>
  <c r="L4536" i="14" s="1"/>
  <c r="I4537" i="14" s="1"/>
  <c r="J4699" i="14" a="1"/>
  <c r="J4699" i="14" s="1"/>
  <c r="N4700" i="14"/>
  <c r="M4704" i="14"/>
  <c r="M4703" i="13"/>
  <c r="J4700" i="13" a="1"/>
  <c r="J4700" i="13" s="1"/>
  <c r="N4701" i="13"/>
  <c r="K4537" i="14" l="1"/>
  <c r="L4537" i="14" s="1"/>
  <c r="I4538" i="14" s="1"/>
  <c r="K4515" i="13"/>
  <c r="L4515" i="13" s="1"/>
  <c r="I4516" i="13" s="1"/>
  <c r="N4702" i="13"/>
  <c r="J4701" i="13" a="1"/>
  <c r="J4701" i="13" s="1"/>
  <c r="M4705" i="14"/>
  <c r="J4700" i="14" a="1"/>
  <c r="J4700" i="14" s="1"/>
  <c r="N4701" i="14"/>
  <c r="M4704" i="13"/>
  <c r="K4516" i="13" l="1"/>
  <c r="L4516" i="13" s="1"/>
  <c r="I4517" i="13" s="1"/>
  <c r="K4538" i="14"/>
  <c r="L4538" i="14" s="1"/>
  <c r="I4539" i="14" s="1"/>
  <c r="M4705" i="13"/>
  <c r="N4702" i="14"/>
  <c r="J4701" i="14" a="1"/>
  <c r="J4701" i="14" s="1"/>
  <c r="M4706" i="14"/>
  <c r="N4703" i="13"/>
  <c r="J4702" i="13" a="1"/>
  <c r="J4702" i="13" s="1"/>
  <c r="K4517" i="13" l="1"/>
  <c r="L4517" i="13" s="1"/>
  <c r="I4518" i="13" s="1"/>
  <c r="N4704" i="13"/>
  <c r="J4703" i="13" a="1"/>
  <c r="J4703" i="13" s="1"/>
  <c r="K4539" i="14"/>
  <c r="L4539" i="14" s="1"/>
  <c r="I4540" i="14" s="1"/>
  <c r="J4702" i="14" a="1"/>
  <c r="J4702" i="14" s="1"/>
  <c r="N4703" i="14"/>
  <c r="M4706" i="13"/>
  <c r="M4707" i="14"/>
  <c r="K4540" i="14" l="1"/>
  <c r="L4540" i="14" s="1"/>
  <c r="I4541" i="14" s="1"/>
  <c r="K4518" i="13"/>
  <c r="L4518" i="13" s="1"/>
  <c r="I4519" i="13" s="1"/>
  <c r="J4704" i="13" a="1"/>
  <c r="J4704" i="13" s="1"/>
  <c r="N4705" i="13"/>
  <c r="J4703" i="14" a="1"/>
  <c r="J4703" i="14" s="1"/>
  <c r="N4704" i="14"/>
  <c r="M4708" i="14"/>
  <c r="M4707" i="13"/>
  <c r="K4541" i="14" l="1"/>
  <c r="L4541" i="14" s="1"/>
  <c r="I4542" i="14" s="1"/>
  <c r="N4705" i="14"/>
  <c r="J4704" i="14" a="1"/>
  <c r="J4704" i="14" s="1"/>
  <c r="M4708" i="13"/>
  <c r="K4519" i="13"/>
  <c r="L4519" i="13" s="1"/>
  <c r="I4520" i="13" s="1"/>
  <c r="M4709" i="14"/>
  <c r="N4706" i="13"/>
  <c r="J4705" i="13" a="1"/>
  <c r="J4705" i="13" s="1"/>
  <c r="K4520" i="13" l="1"/>
  <c r="L4520" i="13" s="1"/>
  <c r="I4521" i="13" s="1"/>
  <c r="K4542" i="14"/>
  <c r="L4542" i="14" s="1"/>
  <c r="I4543" i="14" s="1"/>
  <c r="N4706" i="14"/>
  <c r="J4705" i="14" a="1"/>
  <c r="J4705" i="14" s="1"/>
  <c r="N4707" i="13"/>
  <c r="J4706" i="13" a="1"/>
  <c r="J4706" i="13" s="1"/>
  <c r="M4709" i="13"/>
  <c r="M4710" i="14"/>
  <c r="K4521" i="13" l="1"/>
  <c r="L4521" i="13" s="1"/>
  <c r="I4522" i="13" s="1"/>
  <c r="N4708" i="13"/>
  <c r="J4707" i="13" a="1"/>
  <c r="J4707" i="13" s="1"/>
  <c r="K4543" i="14"/>
  <c r="L4543" i="14" s="1"/>
  <c r="I4544" i="14" s="1"/>
  <c r="M4711" i="14"/>
  <c r="M4710" i="13"/>
  <c r="J4706" i="14" a="1"/>
  <c r="J4706" i="14" s="1"/>
  <c r="N4707" i="14"/>
  <c r="K4544" i="14" l="1"/>
  <c r="L4544" i="14" s="1"/>
  <c r="I4545" i="14" s="1"/>
  <c r="K4522" i="13"/>
  <c r="L4522" i="13" s="1"/>
  <c r="I4523" i="13" s="1"/>
  <c r="M4712" i="14"/>
  <c r="J4708" i="13" a="1"/>
  <c r="J4708" i="13" s="1"/>
  <c r="N4709" i="13"/>
  <c r="J4707" i="14" a="1"/>
  <c r="J4707" i="14" s="1"/>
  <c r="N4708" i="14"/>
  <c r="M4711" i="13"/>
  <c r="K4545" i="14" l="1"/>
  <c r="L4545" i="14" s="1"/>
  <c r="I4546" i="14" s="1"/>
  <c r="M4712" i="13"/>
  <c r="N4710" i="13"/>
  <c r="J4709" i="13" a="1"/>
  <c r="J4709" i="13" s="1"/>
  <c r="K4523" i="13"/>
  <c r="L4523" i="13" s="1"/>
  <c r="I4524" i="13" s="1"/>
  <c r="J4708" i="14" a="1"/>
  <c r="J4708" i="14" s="1"/>
  <c r="N4709" i="14"/>
  <c r="M4713" i="14"/>
  <c r="K4524" i="13" l="1"/>
  <c r="L4524" i="13" s="1"/>
  <c r="I4525" i="13" s="1"/>
  <c r="K4546" i="14"/>
  <c r="L4546" i="14" s="1"/>
  <c r="I4547" i="14" s="1"/>
  <c r="N4710" i="14"/>
  <c r="J4709" i="14" a="1"/>
  <c r="J4709" i="14" s="1"/>
  <c r="M4714" i="14"/>
  <c r="M4713" i="13"/>
  <c r="N4711" i="13"/>
  <c r="J4710" i="13" a="1"/>
  <c r="J4710" i="13" s="1"/>
  <c r="K4547" i="14" l="1"/>
  <c r="L4547" i="14" s="1"/>
  <c r="I4548" i="14" s="1"/>
  <c r="K4525" i="13"/>
  <c r="L4525" i="13" s="1"/>
  <c r="I4526" i="13" s="1"/>
  <c r="N4712" i="13"/>
  <c r="J4711" i="13" a="1"/>
  <c r="J4711" i="13" s="1"/>
  <c r="M4715" i="14"/>
  <c r="M4714" i="13"/>
  <c r="J4710" i="14" a="1"/>
  <c r="J4710" i="14" s="1"/>
  <c r="N4711" i="14"/>
  <c r="K4526" i="13" l="1"/>
  <c r="L4526" i="13" s="1"/>
  <c r="I4527" i="13" s="1"/>
  <c r="K4548" i="14"/>
  <c r="L4548" i="14" s="1"/>
  <c r="I4549" i="14" s="1"/>
  <c r="M4715" i="13"/>
  <c r="J4711" i="14" a="1"/>
  <c r="J4711" i="14" s="1"/>
  <c r="N4712" i="14"/>
  <c r="M4716" i="14"/>
  <c r="J4712" i="13" a="1"/>
  <c r="J4712" i="13" s="1"/>
  <c r="N4713" i="13"/>
  <c r="K4549" i="14" l="1"/>
  <c r="L4549" i="14" s="1"/>
  <c r="I4550" i="14" s="1"/>
  <c r="K4527" i="13"/>
  <c r="L4527" i="13" s="1"/>
  <c r="I4528" i="13" s="1"/>
  <c r="N4713" i="14"/>
  <c r="J4712" i="14" a="1"/>
  <c r="J4712" i="14" s="1"/>
  <c r="N4714" i="13"/>
  <c r="J4713" i="13" a="1"/>
  <c r="J4713" i="13" s="1"/>
  <c r="M4717" i="14"/>
  <c r="M4716" i="13"/>
  <c r="K4528" i="13" l="1"/>
  <c r="L4528" i="13" s="1"/>
  <c r="I4529" i="13" s="1"/>
  <c r="K4550" i="14"/>
  <c r="L4550" i="14" s="1"/>
  <c r="I4551" i="14" s="1"/>
  <c r="N4715" i="13"/>
  <c r="J4714" i="13" a="1"/>
  <c r="J4714" i="13" s="1"/>
  <c r="M4717" i="13"/>
  <c r="M4718" i="14"/>
  <c r="N4714" i="14"/>
  <c r="J4713" i="14" a="1"/>
  <c r="J4713" i="14" s="1"/>
  <c r="K4551" i="14" l="1"/>
  <c r="L4551" i="14" s="1"/>
  <c r="I4552" i="14" s="1"/>
  <c r="K4529" i="13"/>
  <c r="L4529" i="13" s="1"/>
  <c r="I4530" i="13" s="1"/>
  <c r="M4718" i="13"/>
  <c r="J4714" i="14" a="1"/>
  <c r="J4714" i="14" s="1"/>
  <c r="N4715" i="14"/>
  <c r="M4719" i="14"/>
  <c r="N4716" i="13"/>
  <c r="J4715" i="13" a="1"/>
  <c r="J4715" i="13" s="1"/>
  <c r="K4552" i="14" l="1"/>
  <c r="L4552" i="14" s="1"/>
  <c r="I4553" i="14" s="1"/>
  <c r="J4715" i="14" a="1"/>
  <c r="J4715" i="14" s="1"/>
  <c r="N4716" i="14"/>
  <c r="K4530" i="13"/>
  <c r="L4530" i="13" s="1"/>
  <c r="I4531" i="13" s="1"/>
  <c r="J4716" i="13" a="1"/>
  <c r="J4716" i="13" s="1"/>
  <c r="N4717" i="13"/>
  <c r="M4720" i="14"/>
  <c r="M4719" i="13"/>
  <c r="K4531" i="13" l="1"/>
  <c r="L4531" i="13" s="1"/>
  <c r="I4532" i="13" s="1"/>
  <c r="K4553" i="14"/>
  <c r="L4553" i="14" s="1"/>
  <c r="I4554" i="14" s="1"/>
  <c r="N4718" i="13"/>
  <c r="J4717" i="13" a="1"/>
  <c r="J4717" i="13" s="1"/>
  <c r="J4716" i="14" a="1"/>
  <c r="J4716" i="14" s="1"/>
  <c r="N4717" i="14"/>
  <c r="M4720" i="13"/>
  <c r="M4721" i="14"/>
  <c r="M4722" i="14" l="1"/>
  <c r="M4721" i="13"/>
  <c r="N4718" i="14"/>
  <c r="J4717" i="14" a="1"/>
  <c r="J4717" i="14" s="1"/>
  <c r="K4554" i="14"/>
  <c r="L4554" i="14" s="1"/>
  <c r="I4555" i="14" s="1"/>
  <c r="N4719" i="13"/>
  <c r="J4718" i="13" a="1"/>
  <c r="J4718" i="13" s="1"/>
  <c r="K4532" i="13"/>
  <c r="L4532" i="13" s="1"/>
  <c r="I4533" i="13" s="1"/>
  <c r="K4533" i="13" l="1"/>
  <c r="L4533" i="13" s="1"/>
  <c r="I4534" i="13" s="1"/>
  <c r="K4555" i="14"/>
  <c r="L4555" i="14" s="1"/>
  <c r="I4556" i="14" s="1"/>
  <c r="M4722" i="13"/>
  <c r="N4720" i="13"/>
  <c r="J4719" i="13" a="1"/>
  <c r="J4719" i="13" s="1"/>
  <c r="J4718" i="14" a="1"/>
  <c r="J4718" i="14" s="1"/>
  <c r="N4719" i="14"/>
  <c r="M4723" i="14"/>
  <c r="K4534" i="13" l="1"/>
  <c r="L4534" i="13" s="1"/>
  <c r="I4535" i="13" s="1"/>
  <c r="J4720" i="13" a="1"/>
  <c r="J4720" i="13" s="1"/>
  <c r="N4721" i="13"/>
  <c r="K4556" i="14"/>
  <c r="L4556" i="14" s="1"/>
  <c r="I4557" i="14" s="1"/>
  <c r="M4724" i="14"/>
  <c r="M4723" i="13"/>
  <c r="J4719" i="14" a="1"/>
  <c r="J4719" i="14" s="1"/>
  <c r="N4720" i="14"/>
  <c r="K4557" i="14" l="1"/>
  <c r="L4557" i="14" s="1"/>
  <c r="I4558" i="14" s="1"/>
  <c r="K4535" i="13"/>
  <c r="L4535" i="13" s="1"/>
  <c r="I4536" i="13" s="1"/>
  <c r="N4721" i="14"/>
  <c r="J4720" i="14" a="1"/>
  <c r="J4720" i="14" s="1"/>
  <c r="M4725" i="14"/>
  <c r="N4722" i="13"/>
  <c r="J4721" i="13" a="1"/>
  <c r="J4721" i="13" s="1"/>
  <c r="M4724" i="13"/>
  <c r="K4536" i="13" l="1"/>
  <c r="L4536" i="13" s="1"/>
  <c r="I4537" i="13" s="1"/>
  <c r="K4558" i="14"/>
  <c r="L4558" i="14" s="1"/>
  <c r="I4559" i="14" s="1"/>
  <c r="N4723" i="13"/>
  <c r="J4722" i="13" a="1"/>
  <c r="J4722" i="13" s="1"/>
  <c r="M4725" i="13"/>
  <c r="M4726" i="14"/>
  <c r="N4722" i="14"/>
  <c r="J4721" i="14" a="1"/>
  <c r="J4721" i="14" s="1"/>
  <c r="K4559" i="14" l="1"/>
  <c r="L4559" i="14" s="1"/>
  <c r="I4560" i="14" s="1"/>
  <c r="K4537" i="13"/>
  <c r="L4537" i="13" s="1"/>
  <c r="I4538" i="13" s="1"/>
  <c r="J4722" i="14" a="1"/>
  <c r="J4722" i="14" s="1"/>
  <c r="N4723" i="14"/>
  <c r="M4726" i="13"/>
  <c r="M4727" i="14"/>
  <c r="N4724" i="13"/>
  <c r="J4723" i="13" a="1"/>
  <c r="J4723" i="13" s="1"/>
  <c r="K4538" i="13" l="1"/>
  <c r="L4538" i="13" s="1"/>
  <c r="I4539" i="13" s="1"/>
  <c r="K4560" i="14"/>
  <c r="L4560" i="14" s="1"/>
  <c r="I4561" i="14" s="1"/>
  <c r="M4728" i="14"/>
  <c r="M4727" i="13"/>
  <c r="J4724" i="13" a="1"/>
  <c r="J4724" i="13" s="1"/>
  <c r="N4725" i="13"/>
  <c r="J4723" i="14" a="1"/>
  <c r="J4723" i="14" s="1"/>
  <c r="N4724" i="14"/>
  <c r="K4561" i="14" l="1"/>
  <c r="L4561" i="14" s="1"/>
  <c r="I4562" i="14" s="1"/>
  <c r="K4539" i="13"/>
  <c r="L4539" i="13" s="1"/>
  <c r="I4540" i="13" s="1"/>
  <c r="J4724" i="14" a="1"/>
  <c r="J4724" i="14" s="1"/>
  <c r="N4725" i="14"/>
  <c r="M4728" i="13"/>
  <c r="N4726" i="13"/>
  <c r="J4725" i="13" a="1"/>
  <c r="J4725" i="13" s="1"/>
  <c r="M4729" i="14"/>
  <c r="K4540" i="13" l="1"/>
  <c r="L4540" i="13" s="1"/>
  <c r="I4541" i="13" s="1"/>
  <c r="K4562" i="14"/>
  <c r="L4562" i="14" s="1"/>
  <c r="I4563" i="14" s="1"/>
  <c r="N4726" i="14"/>
  <c r="J4725" i="14" a="1"/>
  <c r="J4725" i="14" s="1"/>
  <c r="M4730" i="14"/>
  <c r="M4729" i="13"/>
  <c r="N4727" i="13"/>
  <c r="J4726" i="13" a="1"/>
  <c r="J4726" i="13" s="1"/>
  <c r="K4563" i="14" l="1"/>
  <c r="L4563" i="14" s="1"/>
  <c r="I4564" i="14" s="1"/>
  <c r="K4541" i="13"/>
  <c r="L4541" i="13" s="1"/>
  <c r="I4542" i="13" s="1"/>
  <c r="N4728" i="13"/>
  <c r="J4727" i="13" a="1"/>
  <c r="J4727" i="13" s="1"/>
  <c r="M4731" i="14"/>
  <c r="M4730" i="13"/>
  <c r="J4726" i="14" a="1"/>
  <c r="J4726" i="14" s="1"/>
  <c r="N4727" i="14"/>
  <c r="K4542" i="13" l="1"/>
  <c r="L4542" i="13" s="1"/>
  <c r="I4543" i="13" s="1"/>
  <c r="K4564" i="14"/>
  <c r="L4564" i="14" s="1"/>
  <c r="I4565" i="14" s="1"/>
  <c r="J4727" i="14" a="1"/>
  <c r="J4727" i="14" s="1"/>
  <c r="N4728" i="14"/>
  <c r="M4732" i="14"/>
  <c r="M4731" i="13"/>
  <c r="J4728" i="13" a="1"/>
  <c r="J4728" i="13" s="1"/>
  <c r="N4729" i="13"/>
  <c r="K4543" i="13" l="1"/>
  <c r="L4543" i="13" s="1"/>
  <c r="I4544" i="13" s="1"/>
  <c r="K4565" i="14"/>
  <c r="L4565" i="14" s="1"/>
  <c r="I4566" i="14" s="1"/>
  <c r="M4732" i="13"/>
  <c r="N4730" i="13"/>
  <c r="J4729" i="13" a="1"/>
  <c r="J4729" i="13" s="1"/>
  <c r="M4733" i="14"/>
  <c r="N4729" i="14"/>
  <c r="J4728" i="14" a="1"/>
  <c r="J4728" i="14" s="1"/>
  <c r="K4566" i="14" l="1"/>
  <c r="L4566" i="14" s="1"/>
  <c r="I4567" i="14" s="1"/>
  <c r="K4544" i="13"/>
  <c r="L4544" i="13" s="1"/>
  <c r="I4545" i="13" s="1"/>
  <c r="N4730" i="14"/>
  <c r="J4729" i="14" a="1"/>
  <c r="J4729" i="14" s="1"/>
  <c r="N4731" i="13"/>
  <c r="J4730" i="13" a="1"/>
  <c r="J4730" i="13" s="1"/>
  <c r="M4733" i="13"/>
  <c r="M4734" i="14"/>
  <c r="K4545" i="13" l="1"/>
  <c r="L4545" i="13" s="1"/>
  <c r="I4546" i="13" s="1"/>
  <c r="K4567" i="14"/>
  <c r="L4567" i="14" s="1"/>
  <c r="I4568" i="14" s="1"/>
  <c r="N4732" i="13"/>
  <c r="J4731" i="13" a="1"/>
  <c r="J4731" i="13" s="1"/>
  <c r="M4735" i="14"/>
  <c r="M4734" i="13"/>
  <c r="J4730" i="14" a="1"/>
  <c r="J4730" i="14" s="1"/>
  <c r="N4731" i="14"/>
  <c r="K4568" i="14" l="1"/>
  <c r="L4568" i="14" s="1"/>
  <c r="I4569" i="14" s="1"/>
  <c r="K4546" i="13"/>
  <c r="L4546" i="13" s="1"/>
  <c r="I4547" i="13" s="1"/>
  <c r="J4731" i="14" a="1"/>
  <c r="J4731" i="14" s="1"/>
  <c r="N4732" i="14"/>
  <c r="M4736" i="14"/>
  <c r="M4735" i="13"/>
  <c r="J4732" i="13" a="1"/>
  <c r="J4732" i="13" s="1"/>
  <c r="N4733" i="13"/>
  <c r="K4547" i="13" l="1"/>
  <c r="L4547" i="13" s="1"/>
  <c r="I4548" i="13" s="1"/>
  <c r="K4569" i="14"/>
  <c r="L4569" i="14" s="1"/>
  <c r="I4570" i="14" s="1"/>
  <c r="N4734" i="13"/>
  <c r="J4733" i="13" a="1"/>
  <c r="J4733" i="13" s="1"/>
  <c r="M4737" i="14"/>
  <c r="J4732" i="14" a="1"/>
  <c r="J4732" i="14" s="1"/>
  <c r="N4733" i="14"/>
  <c r="M4736" i="13"/>
  <c r="K4570" i="14" l="1"/>
  <c r="L4570" i="14" s="1"/>
  <c r="I4571" i="14" s="1"/>
  <c r="K4548" i="13"/>
  <c r="L4548" i="13" s="1"/>
  <c r="I4549" i="13" s="1"/>
  <c r="M4737" i="13"/>
  <c r="N4734" i="14"/>
  <c r="J4733" i="14" a="1"/>
  <c r="J4733" i="14" s="1"/>
  <c r="M4738" i="14"/>
  <c r="N4735" i="13"/>
  <c r="J4734" i="13" a="1"/>
  <c r="J4734" i="13" s="1"/>
  <c r="K4549" i="13" l="1"/>
  <c r="L4549" i="13" s="1"/>
  <c r="I4550" i="13" s="1"/>
  <c r="K4571" i="14"/>
  <c r="L4571" i="14" s="1"/>
  <c r="I4572" i="14" s="1"/>
  <c r="N4736" i="13"/>
  <c r="J4735" i="13" a="1"/>
  <c r="J4735" i="13" s="1"/>
  <c r="J4734" i="14" a="1"/>
  <c r="J4734" i="14" s="1"/>
  <c r="N4735" i="14"/>
  <c r="M4738" i="13"/>
  <c r="M4739" i="14"/>
  <c r="K4572" i="14" l="1"/>
  <c r="L4572" i="14" s="1"/>
  <c r="I4573" i="14" s="1"/>
  <c r="K4550" i="13"/>
  <c r="L4550" i="13" s="1"/>
  <c r="I4551" i="13" s="1"/>
  <c r="J4735" i="14" a="1"/>
  <c r="J4735" i="14" s="1"/>
  <c r="N4736" i="14"/>
  <c r="M4740" i="14"/>
  <c r="M4739" i="13"/>
  <c r="J4736" i="13" a="1"/>
  <c r="J4736" i="13" s="1"/>
  <c r="N4737" i="13"/>
  <c r="K4551" i="13" l="1"/>
  <c r="L4551" i="13" s="1"/>
  <c r="I4552" i="13" s="1"/>
  <c r="K4573" i="14"/>
  <c r="L4573" i="14" s="1"/>
  <c r="I4574" i="14" s="1"/>
  <c r="N4738" i="13"/>
  <c r="J4737" i="13" a="1"/>
  <c r="J4737" i="13" s="1"/>
  <c r="M4741" i="14"/>
  <c r="N4737" i="14"/>
  <c r="J4736" i="14" a="1"/>
  <c r="J4736" i="14" s="1"/>
  <c r="M4740" i="13"/>
  <c r="K4574" i="14" l="1"/>
  <c r="L4574" i="14" s="1"/>
  <c r="I4575" i="14" s="1"/>
  <c r="K4552" i="13"/>
  <c r="L4552" i="13" s="1"/>
  <c r="I4553" i="13" s="1"/>
  <c r="N4738" i="14"/>
  <c r="J4737" i="14" a="1"/>
  <c r="J4737" i="14" s="1"/>
  <c r="M4741" i="13"/>
  <c r="M4742" i="14"/>
  <c r="N4739" i="13"/>
  <c r="J4738" i="13" a="1"/>
  <c r="J4738" i="13" s="1"/>
  <c r="K4553" i="13" l="1"/>
  <c r="L4553" i="13" s="1"/>
  <c r="I4554" i="13" s="1"/>
  <c r="K4575" i="14"/>
  <c r="L4575" i="14" s="1"/>
  <c r="I4576" i="14" s="1"/>
  <c r="N4740" i="13"/>
  <c r="J4739" i="13" a="1"/>
  <c r="J4739" i="13" s="1"/>
  <c r="M4742" i="13"/>
  <c r="M4743" i="14"/>
  <c r="J4738" i="14" a="1"/>
  <c r="J4738" i="14" s="1"/>
  <c r="N4739" i="14"/>
  <c r="K4554" i="13" l="1"/>
  <c r="L4554" i="13" s="1"/>
  <c r="I4555" i="13" s="1"/>
  <c r="J4739" i="14" a="1"/>
  <c r="J4739" i="14" s="1"/>
  <c r="N4740" i="14"/>
  <c r="M4743" i="13"/>
  <c r="K4576" i="14"/>
  <c r="L4576" i="14" s="1"/>
  <c r="I4577" i="14" s="1"/>
  <c r="M4744" i="14"/>
  <c r="J4740" i="13" a="1"/>
  <c r="J4740" i="13" s="1"/>
  <c r="N4741" i="13"/>
  <c r="K4555" i="13" l="1"/>
  <c r="L4555" i="13" s="1"/>
  <c r="I4556" i="13" s="1"/>
  <c r="K4577" i="14"/>
  <c r="L4577" i="14" s="1"/>
  <c r="I4578" i="14" s="1"/>
  <c r="J4740" i="14" a="1"/>
  <c r="J4740" i="14" s="1"/>
  <c r="N4741" i="14"/>
  <c r="N4742" i="13"/>
  <c r="J4741" i="13" a="1"/>
  <c r="J4741" i="13" s="1"/>
  <c r="M4745" i="14"/>
  <c r="M4744" i="13"/>
  <c r="K4578" i="14" l="1"/>
  <c r="L4578" i="14" s="1"/>
  <c r="I4579" i="14" s="1"/>
  <c r="K4556" i="13"/>
  <c r="L4556" i="13" s="1"/>
  <c r="I4557" i="13" s="1"/>
  <c r="N4743" i="13"/>
  <c r="J4742" i="13" a="1"/>
  <c r="J4742" i="13" s="1"/>
  <c r="N4742" i="14"/>
  <c r="J4741" i="14" a="1"/>
  <c r="J4741" i="14" s="1"/>
  <c r="M4745" i="13"/>
  <c r="M4746" i="14"/>
  <c r="K4579" i="14" l="1"/>
  <c r="L4579" i="14" s="1"/>
  <c r="I4580" i="14" s="1"/>
  <c r="M4747" i="14"/>
  <c r="J4742" i="14" a="1"/>
  <c r="J4742" i="14" s="1"/>
  <c r="N4743" i="14"/>
  <c r="K4557" i="13"/>
  <c r="L4557" i="13" s="1"/>
  <c r="I4558" i="13" s="1"/>
  <c r="M4746" i="13"/>
  <c r="N4744" i="13"/>
  <c r="J4743" i="13" a="1"/>
  <c r="J4743" i="13" s="1"/>
  <c r="K4580" i="14" l="1"/>
  <c r="L4580" i="14" s="1"/>
  <c r="I4581" i="14" s="1"/>
  <c r="J4744" i="13" a="1"/>
  <c r="J4744" i="13" s="1"/>
  <c r="N4745" i="13"/>
  <c r="K4558" i="13"/>
  <c r="L4558" i="13" s="1"/>
  <c r="I4559" i="13" s="1"/>
  <c r="M4748" i="14"/>
  <c r="M4747" i="13"/>
  <c r="J4743" i="14" a="1"/>
  <c r="J4743" i="14" s="1"/>
  <c r="N4744" i="14"/>
  <c r="K4559" i="13" l="1"/>
  <c r="L4559" i="13" s="1"/>
  <c r="I4560" i="13" s="1"/>
  <c r="K4581" i="14"/>
  <c r="L4581" i="14" s="1"/>
  <c r="I4582" i="14" s="1"/>
  <c r="N4745" i="14"/>
  <c r="J4744" i="14" a="1"/>
  <c r="J4744" i="14" s="1"/>
  <c r="M4749" i="14"/>
  <c r="N4746" i="13"/>
  <c r="J4745" i="13" a="1"/>
  <c r="J4745" i="13" s="1"/>
  <c r="M4748" i="13"/>
  <c r="K4582" i="14" l="1"/>
  <c r="L4582" i="14" s="1"/>
  <c r="I4583" i="14" s="1"/>
  <c r="K4560" i="13"/>
  <c r="L4560" i="13" s="1"/>
  <c r="I4561" i="13" s="1"/>
  <c r="N4747" i="13"/>
  <c r="J4746" i="13" a="1"/>
  <c r="J4746" i="13" s="1"/>
  <c r="M4749" i="13"/>
  <c r="M4750" i="14"/>
  <c r="N4746" i="14"/>
  <c r="J4745" i="14" a="1"/>
  <c r="J4745" i="14" s="1"/>
  <c r="K4583" i="14" l="1"/>
  <c r="L4583" i="14" s="1"/>
  <c r="I4584" i="14" s="1"/>
  <c r="K4561" i="13"/>
  <c r="L4561" i="13" s="1"/>
  <c r="I4562" i="13" s="1"/>
  <c r="M4751" i="14"/>
  <c r="J4746" i="14" a="1"/>
  <c r="J4746" i="14" s="1"/>
  <c r="N4747" i="14"/>
  <c r="M4750" i="13"/>
  <c r="N4748" i="13"/>
  <c r="J4747" i="13" a="1"/>
  <c r="J4747" i="13" s="1"/>
  <c r="K4562" i="13" l="1"/>
  <c r="L4562" i="13" s="1"/>
  <c r="I4563" i="13" s="1"/>
  <c r="J4747" i="14" a="1"/>
  <c r="J4747" i="14" s="1"/>
  <c r="N4748" i="14"/>
  <c r="J4748" i="13" a="1"/>
  <c r="J4748" i="13" s="1"/>
  <c r="N4749" i="13"/>
  <c r="M4751" i="13"/>
  <c r="M4752" i="14"/>
  <c r="K4584" i="14"/>
  <c r="L4584" i="14" s="1"/>
  <c r="I4585" i="14" s="1"/>
  <c r="K4563" i="13" l="1"/>
  <c r="L4563" i="13" s="1"/>
  <c r="I4564" i="13" s="1"/>
  <c r="K4585" i="14"/>
  <c r="L4585" i="14" s="1"/>
  <c r="I4586" i="14" s="1"/>
  <c r="J4748" i="14" a="1"/>
  <c r="J4748" i="14" s="1"/>
  <c r="N4749" i="14"/>
  <c r="M4752" i="13"/>
  <c r="N4750" i="13"/>
  <c r="J4749" i="13" a="1"/>
  <c r="J4749" i="13" s="1"/>
  <c r="M4753" i="14"/>
  <c r="K4586" i="14" l="1"/>
  <c r="L4586" i="14" s="1"/>
  <c r="I4587" i="14" s="1"/>
  <c r="K4564" i="13"/>
  <c r="L4564" i="13" s="1"/>
  <c r="I4565" i="13" s="1"/>
  <c r="J4750" i="13" a="1"/>
  <c r="J4750" i="13" s="1"/>
  <c r="N4751" i="13"/>
  <c r="M4753" i="13"/>
  <c r="M4754" i="14"/>
  <c r="N4750" i="14"/>
  <c r="J4749" i="14" a="1"/>
  <c r="J4749" i="14" s="1"/>
  <c r="K4565" i="13" l="1"/>
  <c r="L4565" i="13" s="1"/>
  <c r="I4566" i="13" s="1"/>
  <c r="K4587" i="14"/>
  <c r="L4587" i="14" s="1"/>
  <c r="I4588" i="14" s="1"/>
  <c r="J4750" i="14" a="1"/>
  <c r="J4750" i="14" s="1"/>
  <c r="N4751" i="14"/>
  <c r="M4754" i="13"/>
  <c r="N4752" i="13"/>
  <c r="J4751" i="13" a="1"/>
  <c r="J4751" i="13" s="1"/>
  <c r="M4755" i="14"/>
  <c r="K4588" i="14" l="1"/>
  <c r="L4588" i="14" s="1"/>
  <c r="I4589" i="14" s="1"/>
  <c r="K4566" i="13"/>
  <c r="L4566" i="13" s="1"/>
  <c r="I4567" i="13" s="1"/>
  <c r="J4752" i="13" a="1"/>
  <c r="J4752" i="13" s="1"/>
  <c r="N4753" i="13"/>
  <c r="M4755" i="13"/>
  <c r="M4756" i="14"/>
  <c r="J4751" i="14" a="1"/>
  <c r="J4751" i="14" s="1"/>
  <c r="N4752" i="14"/>
  <c r="K4567" i="13" l="1"/>
  <c r="L4567" i="13" s="1"/>
  <c r="I4568" i="13" s="1"/>
  <c r="K4589" i="14"/>
  <c r="L4589" i="14" s="1"/>
  <c r="I4590" i="14" s="1"/>
  <c r="N4753" i="14"/>
  <c r="J4752" i="14" a="1"/>
  <c r="J4752" i="14" s="1"/>
  <c r="M4757" i="14"/>
  <c r="M4756" i="13"/>
  <c r="N4754" i="13"/>
  <c r="J4753" i="13" a="1"/>
  <c r="J4753" i="13" s="1"/>
  <c r="K4590" i="14" l="1"/>
  <c r="L4590" i="14" s="1"/>
  <c r="I4591" i="14" s="1"/>
  <c r="J4754" i="13" a="1"/>
  <c r="J4754" i="13" s="1"/>
  <c r="N4755" i="13"/>
  <c r="M4758" i="14"/>
  <c r="M4757" i="13"/>
  <c r="N4754" i="14"/>
  <c r="J4753" i="14" a="1"/>
  <c r="J4753" i="14" s="1"/>
  <c r="K4568" i="13"/>
  <c r="L4568" i="13" s="1"/>
  <c r="I4569" i="13" s="1"/>
  <c r="K4591" i="14" l="1"/>
  <c r="L4591" i="14" s="1"/>
  <c r="I4592" i="14" s="1"/>
  <c r="K4569" i="13"/>
  <c r="L4569" i="13" s="1"/>
  <c r="I4570" i="13" s="1"/>
  <c r="N4756" i="13"/>
  <c r="J4755" i="13" a="1"/>
  <c r="J4755" i="13" s="1"/>
  <c r="M4758" i="13"/>
  <c r="J4754" i="14" a="1"/>
  <c r="J4754" i="14" s="1"/>
  <c r="N4755" i="14"/>
  <c r="M4759" i="14"/>
  <c r="K4592" i="14" l="1"/>
  <c r="L4592" i="14" s="1"/>
  <c r="I4593" i="14" s="1"/>
  <c r="K4570" i="13"/>
  <c r="L4570" i="13" s="1"/>
  <c r="I4571" i="13" s="1"/>
  <c r="M4759" i="13"/>
  <c r="M4760" i="14"/>
  <c r="J4755" i="14" a="1"/>
  <c r="J4755" i="14" s="1"/>
  <c r="N4756" i="14"/>
  <c r="J4756" i="13" a="1"/>
  <c r="J4756" i="13" s="1"/>
  <c r="N4757" i="13"/>
  <c r="K4593" i="14" l="1"/>
  <c r="L4593" i="14" s="1"/>
  <c r="I4594" i="14" s="1"/>
  <c r="N4758" i="13"/>
  <c r="J4757" i="13" a="1"/>
  <c r="J4757" i="13" s="1"/>
  <c r="M4761" i="14"/>
  <c r="K4571" i="13"/>
  <c r="L4571" i="13" s="1"/>
  <c r="I4572" i="13" s="1"/>
  <c r="J4756" i="14" a="1"/>
  <c r="J4756" i="14" s="1"/>
  <c r="N4757" i="14"/>
  <c r="M4760" i="13"/>
  <c r="K4594" i="14" l="1"/>
  <c r="L4594" i="14" s="1"/>
  <c r="I4595" i="14" s="1"/>
  <c r="K4572" i="13"/>
  <c r="L4572" i="13" s="1"/>
  <c r="I4573" i="13" s="1"/>
  <c r="M4761" i="13"/>
  <c r="J4758" i="13" a="1"/>
  <c r="J4758" i="13" s="1"/>
  <c r="N4759" i="13"/>
  <c r="N4758" i="14"/>
  <c r="J4757" i="14" a="1"/>
  <c r="J4757" i="14" s="1"/>
  <c r="M4762" i="14"/>
  <c r="K4573" i="13" l="1"/>
  <c r="L4573" i="13" s="1"/>
  <c r="I4574" i="13" s="1"/>
  <c r="N4760" i="13"/>
  <c r="J4759" i="13" a="1"/>
  <c r="J4759" i="13" s="1"/>
  <c r="M4763" i="14"/>
  <c r="J4758" i="14" a="1"/>
  <c r="J4758" i="14" s="1"/>
  <c r="N4759" i="14"/>
  <c r="M4762" i="13"/>
  <c r="K4595" i="14"/>
  <c r="L4595" i="14" s="1"/>
  <c r="I4596" i="14" s="1"/>
  <c r="K4596" i="14" l="1"/>
  <c r="L4596" i="14" s="1"/>
  <c r="I4597" i="14" s="1"/>
  <c r="K4574" i="13"/>
  <c r="L4574" i="13" s="1"/>
  <c r="I4575" i="13" s="1"/>
  <c r="J4759" i="14" a="1"/>
  <c r="J4759" i="14" s="1"/>
  <c r="N4760" i="14"/>
  <c r="J4760" i="13" a="1"/>
  <c r="J4760" i="13" s="1"/>
  <c r="N4761" i="13"/>
  <c r="M4763" i="13"/>
  <c r="M4764" i="14"/>
  <c r="K4575" i="13" l="1"/>
  <c r="L4575" i="13" s="1"/>
  <c r="I4576" i="13" s="1"/>
  <c r="K4597" i="14"/>
  <c r="L4597" i="14" s="1"/>
  <c r="I4598" i="14" s="1"/>
  <c r="N4762" i="13"/>
  <c r="J4761" i="13" a="1"/>
  <c r="J4761" i="13" s="1"/>
  <c r="M4764" i="13"/>
  <c r="M4765" i="14"/>
  <c r="N4761" i="14"/>
  <c r="J4760" i="14" a="1"/>
  <c r="J4760" i="14" s="1"/>
  <c r="K4598" i="14" l="1"/>
  <c r="L4598" i="14" s="1"/>
  <c r="I4599" i="14" s="1"/>
  <c r="K4576" i="13"/>
  <c r="L4576" i="13" s="1"/>
  <c r="I4577" i="13" s="1"/>
  <c r="M4765" i="13"/>
  <c r="N4762" i="14"/>
  <c r="J4761" i="14" a="1"/>
  <c r="J4761" i="14" s="1"/>
  <c r="M4766" i="14"/>
  <c r="J4762" i="13" a="1"/>
  <c r="J4762" i="13" s="1"/>
  <c r="N4763" i="13"/>
  <c r="K4577" i="13" l="1"/>
  <c r="L4577" i="13" s="1"/>
  <c r="I4578" i="13" s="1"/>
  <c r="K4599" i="14"/>
  <c r="L4599" i="14" s="1"/>
  <c r="I4600" i="14" s="1"/>
  <c r="N4764" i="13"/>
  <c r="J4763" i="13" a="1"/>
  <c r="J4763" i="13" s="1"/>
  <c r="J4762" i="14" a="1"/>
  <c r="J4762" i="14" s="1"/>
  <c r="N4763" i="14"/>
  <c r="M4767" i="14"/>
  <c r="M4766" i="13"/>
  <c r="K4578" i="13" l="1"/>
  <c r="L4578" i="13" s="1"/>
  <c r="I4579" i="13" s="1"/>
  <c r="K4600" i="14"/>
  <c r="L4600" i="14" s="1"/>
  <c r="I4601" i="14" s="1"/>
  <c r="J4763" i="14" a="1"/>
  <c r="J4763" i="14" s="1"/>
  <c r="N4764" i="14"/>
  <c r="M4767" i="13"/>
  <c r="M4768" i="14"/>
  <c r="J4764" i="13" a="1"/>
  <c r="J4764" i="13" s="1"/>
  <c r="N4765" i="13"/>
  <c r="K4579" i="13" l="1"/>
  <c r="L4579" i="13" s="1"/>
  <c r="I4580" i="13" s="1"/>
  <c r="K4601" i="14"/>
  <c r="L4601" i="14" s="1"/>
  <c r="I4602" i="14" s="1"/>
  <c r="M4769" i="14"/>
  <c r="N4766" i="13"/>
  <c r="J4765" i="13" a="1"/>
  <c r="J4765" i="13" s="1"/>
  <c r="M4768" i="13"/>
  <c r="J4764" i="14" a="1"/>
  <c r="J4764" i="14" s="1"/>
  <c r="N4765" i="14"/>
  <c r="K4580" i="13" l="1"/>
  <c r="L4580" i="13" s="1"/>
  <c r="I4581" i="13" s="1"/>
  <c r="M4769" i="13"/>
  <c r="N4766" i="14"/>
  <c r="J4765" i="14" a="1"/>
  <c r="J4765" i="14" s="1"/>
  <c r="J4766" i="13" a="1"/>
  <c r="J4766" i="13" s="1"/>
  <c r="N4767" i="13"/>
  <c r="K4602" i="14"/>
  <c r="L4602" i="14" s="1"/>
  <c r="I4603" i="14" s="1"/>
  <c r="M4770" i="14"/>
  <c r="K4603" i="14" l="1"/>
  <c r="L4603" i="14" s="1"/>
  <c r="I4604" i="14" s="1"/>
  <c r="K4581" i="13"/>
  <c r="L4581" i="13" s="1"/>
  <c r="I4582" i="13" s="1"/>
  <c r="N4768" i="13"/>
  <c r="J4767" i="13" a="1"/>
  <c r="J4767" i="13" s="1"/>
  <c r="M4771" i="14"/>
  <c r="M4770" i="13"/>
  <c r="J4766" i="14" a="1"/>
  <c r="J4766" i="14" s="1"/>
  <c r="N4767" i="14"/>
  <c r="K4582" i="13" l="1"/>
  <c r="L4582" i="13" s="1"/>
  <c r="I4583" i="13" s="1"/>
  <c r="J4767" i="14" a="1"/>
  <c r="J4767" i="14" s="1"/>
  <c r="N4768" i="14"/>
  <c r="M4772" i="14"/>
  <c r="M4771" i="13"/>
  <c r="J4768" i="13" a="1"/>
  <c r="J4768" i="13" s="1"/>
  <c r="N4769" i="13"/>
  <c r="K4604" i="14"/>
  <c r="L4604" i="14" s="1"/>
  <c r="I4605" i="14" s="1"/>
  <c r="K4605" i="14" l="1"/>
  <c r="L4605" i="14" s="1"/>
  <c r="I4606" i="14" s="1"/>
  <c r="K4583" i="13"/>
  <c r="L4583" i="13" s="1"/>
  <c r="I4584" i="13" s="1"/>
  <c r="N4770" i="13"/>
  <c r="J4769" i="13" a="1"/>
  <c r="J4769" i="13" s="1"/>
  <c r="N4769" i="14"/>
  <c r="J4768" i="14" a="1"/>
  <c r="J4768" i="14" s="1"/>
  <c r="M4772" i="13"/>
  <c r="M4773" i="14"/>
  <c r="K4584" i="13" l="1"/>
  <c r="L4584" i="13" s="1"/>
  <c r="I4585" i="13" s="1"/>
  <c r="N4770" i="14"/>
  <c r="J4769" i="14" a="1"/>
  <c r="J4769" i="14" s="1"/>
  <c r="M4774" i="14"/>
  <c r="M4773" i="13"/>
  <c r="J4770" i="13" a="1"/>
  <c r="J4770" i="13" s="1"/>
  <c r="N4771" i="13"/>
  <c r="K4606" i="14"/>
  <c r="L4606" i="14" s="1"/>
  <c r="I4607" i="14" s="1"/>
  <c r="K4607" i="14" l="1"/>
  <c r="L4607" i="14" s="1"/>
  <c r="I4608" i="14" s="1"/>
  <c r="K4585" i="13"/>
  <c r="L4585" i="13" s="1"/>
  <c r="I4586" i="13" s="1"/>
  <c r="M4774" i="13"/>
  <c r="J4770" i="14" a="1"/>
  <c r="J4770" i="14" s="1"/>
  <c r="N4771" i="14"/>
  <c r="N4772" i="13"/>
  <c r="J4771" i="13" a="1"/>
  <c r="J4771" i="13" s="1"/>
  <c r="M4775" i="14"/>
  <c r="K4608" i="14" l="1"/>
  <c r="L4608" i="14" s="1"/>
  <c r="I4609" i="14" s="1"/>
  <c r="K4586" i="13"/>
  <c r="L4586" i="13" s="1"/>
  <c r="I4587" i="13" s="1"/>
  <c r="J4771" i="14" a="1"/>
  <c r="J4771" i="14" s="1"/>
  <c r="N4772" i="14"/>
  <c r="M4776" i="14"/>
  <c r="M4775" i="13"/>
  <c r="J4772" i="13" a="1"/>
  <c r="J4772" i="13" s="1"/>
  <c r="N4773" i="13"/>
  <c r="K4587" i="13" l="1"/>
  <c r="L4587" i="13" s="1"/>
  <c r="I4588" i="13" s="1"/>
  <c r="K4609" i="14"/>
  <c r="L4609" i="14" s="1"/>
  <c r="I4610" i="14" s="1"/>
  <c r="N4774" i="13"/>
  <c r="J4773" i="13" a="1"/>
  <c r="J4773" i="13" s="1"/>
  <c r="M4777" i="14"/>
  <c r="J4772" i="14" a="1"/>
  <c r="J4772" i="14" s="1"/>
  <c r="N4773" i="14"/>
  <c r="M4776" i="13"/>
  <c r="K4588" i="13" l="1"/>
  <c r="L4588" i="13" s="1"/>
  <c r="I4589" i="13" s="1"/>
  <c r="K4610" i="14"/>
  <c r="L4610" i="14" s="1"/>
  <c r="I4611" i="14" s="1"/>
  <c r="M4777" i="13"/>
  <c r="M4778" i="14"/>
  <c r="N4774" i="14"/>
  <c r="J4773" i="14" a="1"/>
  <c r="J4773" i="14" s="1"/>
  <c r="J4774" i="13" a="1"/>
  <c r="J4774" i="13" s="1"/>
  <c r="N4775" i="13"/>
  <c r="K4611" i="14" l="1"/>
  <c r="L4611" i="14" s="1"/>
  <c r="I4612" i="14" s="1"/>
  <c r="K4589" i="13"/>
  <c r="L4589" i="13" s="1"/>
  <c r="I4590" i="13" s="1"/>
  <c r="N4776" i="13"/>
  <c r="J4775" i="13" a="1"/>
  <c r="J4775" i="13" s="1"/>
  <c r="M4779" i="14"/>
  <c r="J4774" i="14" a="1"/>
  <c r="J4774" i="14" s="1"/>
  <c r="N4775" i="14"/>
  <c r="M4778" i="13"/>
  <c r="K4590" i="13" l="1"/>
  <c r="L4590" i="13" s="1"/>
  <c r="I4591" i="13" s="1"/>
  <c r="K4612" i="14"/>
  <c r="L4612" i="14" s="1"/>
  <c r="I4613" i="14" s="1"/>
  <c r="M4779" i="13"/>
  <c r="J4776" i="13" a="1"/>
  <c r="J4776" i="13" s="1"/>
  <c r="N4777" i="13"/>
  <c r="M4780" i="14"/>
  <c r="J4775" i="14" a="1"/>
  <c r="J4775" i="14" s="1"/>
  <c r="N4776" i="14"/>
  <c r="K4613" i="14" l="1"/>
  <c r="L4613" i="14" s="1"/>
  <c r="I4614" i="14" s="1"/>
  <c r="K4591" i="13"/>
  <c r="L4591" i="13" s="1"/>
  <c r="I4592" i="13" s="1"/>
  <c r="N4777" i="14"/>
  <c r="J4776" i="14" a="1"/>
  <c r="J4776" i="14" s="1"/>
  <c r="N4778" i="13"/>
  <c r="J4777" i="13" a="1"/>
  <c r="J4777" i="13" s="1"/>
  <c r="M4781" i="14"/>
  <c r="M4780" i="13"/>
  <c r="K4592" i="13" l="1"/>
  <c r="L4592" i="13" s="1"/>
  <c r="I4593" i="13" s="1"/>
  <c r="M4782" i="14"/>
  <c r="M4781" i="13"/>
  <c r="J4778" i="13" a="1"/>
  <c r="J4778" i="13" s="1"/>
  <c r="N4779" i="13"/>
  <c r="N4778" i="14"/>
  <c r="J4777" i="14" a="1"/>
  <c r="J4777" i="14" s="1"/>
  <c r="K4614" i="14"/>
  <c r="L4614" i="14" s="1"/>
  <c r="I4615" i="14" s="1"/>
  <c r="K4593" i="13" l="1"/>
  <c r="L4593" i="13" s="1"/>
  <c r="I4594" i="13" s="1"/>
  <c r="K4615" i="14"/>
  <c r="L4615" i="14" s="1"/>
  <c r="I4616" i="14" s="1"/>
  <c r="N4780" i="13"/>
  <c r="J4779" i="13" a="1"/>
  <c r="J4779" i="13" s="1"/>
  <c r="M4783" i="14"/>
  <c r="J4778" i="14" a="1"/>
  <c r="J4778" i="14" s="1"/>
  <c r="N4779" i="14"/>
  <c r="M4782" i="13"/>
  <c r="K4616" i="14" l="1"/>
  <c r="L4616" i="14" s="1"/>
  <c r="I4617" i="14" s="1"/>
  <c r="K4594" i="13"/>
  <c r="L4594" i="13" s="1"/>
  <c r="I4595" i="13" s="1"/>
  <c r="J4779" i="14" a="1"/>
  <c r="J4779" i="14" s="1"/>
  <c r="N4780" i="14"/>
  <c r="M4783" i="13"/>
  <c r="M4784" i="14"/>
  <c r="J4780" i="13" a="1"/>
  <c r="J4780" i="13" s="1"/>
  <c r="N4781" i="13"/>
  <c r="K4595" i="13" l="1"/>
  <c r="L4595" i="13" s="1"/>
  <c r="I4596" i="13" s="1"/>
  <c r="K4617" i="14"/>
  <c r="L4617" i="14" s="1"/>
  <c r="I4618" i="14" s="1"/>
  <c r="N4782" i="13"/>
  <c r="J4781" i="13" a="1"/>
  <c r="J4781" i="13" s="1"/>
  <c r="M4784" i="13"/>
  <c r="J4780" i="14" a="1"/>
  <c r="J4780" i="14" s="1"/>
  <c r="N4781" i="14"/>
  <c r="M4785" i="14"/>
  <c r="K4618" i="14" l="1"/>
  <c r="L4618" i="14" s="1"/>
  <c r="I4619" i="14" s="1"/>
  <c r="K4596" i="13"/>
  <c r="L4596" i="13" s="1"/>
  <c r="I4597" i="13" s="1"/>
  <c r="N4782" i="14"/>
  <c r="J4781" i="14" a="1"/>
  <c r="J4781" i="14" s="1"/>
  <c r="M4785" i="13"/>
  <c r="M4786" i="14"/>
  <c r="J4782" i="13" a="1"/>
  <c r="J4782" i="13" s="1"/>
  <c r="N4783" i="13"/>
  <c r="K4597" i="13" l="1"/>
  <c r="L4597" i="13" s="1"/>
  <c r="I4598" i="13" s="1"/>
  <c r="N4784" i="13"/>
  <c r="J4783" i="13" a="1"/>
  <c r="J4783" i="13" s="1"/>
  <c r="M4786" i="13"/>
  <c r="M4787" i="14"/>
  <c r="J4782" i="14" a="1"/>
  <c r="J4782" i="14" s="1"/>
  <c r="N4783" i="14"/>
  <c r="K4619" i="14"/>
  <c r="L4619" i="14" s="1"/>
  <c r="I4620" i="14" s="1"/>
  <c r="K4620" i="14" l="1"/>
  <c r="L4620" i="14" s="1"/>
  <c r="I4621" i="14" s="1"/>
  <c r="K4598" i="13"/>
  <c r="L4598" i="13" s="1"/>
  <c r="I4599" i="13" s="1"/>
  <c r="M4788" i="14"/>
  <c r="J4784" i="13" a="1"/>
  <c r="J4784" i="13" s="1"/>
  <c r="N4785" i="13"/>
  <c r="J4783" i="14" a="1"/>
  <c r="J4783" i="14" s="1"/>
  <c r="N4784" i="14"/>
  <c r="M4787" i="13"/>
  <c r="K4621" i="14" l="1"/>
  <c r="L4621" i="14" s="1"/>
  <c r="I4622" i="14" s="1"/>
  <c r="K4599" i="13"/>
  <c r="L4599" i="13" s="1"/>
  <c r="I4600" i="13" s="1"/>
  <c r="M4788" i="13"/>
  <c r="N4786" i="13"/>
  <c r="J4785" i="13" a="1"/>
  <c r="J4785" i="13" s="1"/>
  <c r="N4785" i="14"/>
  <c r="J4784" i="14" a="1"/>
  <c r="J4784" i="14" s="1"/>
  <c r="M4789" i="14"/>
  <c r="K4622" i="14" l="1"/>
  <c r="L4622" i="14" s="1"/>
  <c r="I4623" i="14" s="1"/>
  <c r="K4600" i="13"/>
  <c r="L4600" i="13" s="1"/>
  <c r="I4601" i="13" s="1"/>
  <c r="M4790" i="14"/>
  <c r="J4786" i="13" a="1"/>
  <c r="J4786" i="13" s="1"/>
  <c r="N4787" i="13"/>
  <c r="M4789" i="13"/>
  <c r="N4786" i="14"/>
  <c r="J4785" i="14" a="1"/>
  <c r="J4785" i="14" s="1"/>
  <c r="K4601" i="13" l="1"/>
  <c r="L4601" i="13" s="1"/>
  <c r="I4602" i="13" s="1"/>
  <c r="K4623" i="14"/>
  <c r="L4623" i="14" s="1"/>
  <c r="I4624" i="14" s="1"/>
  <c r="N4788" i="13"/>
  <c r="J4787" i="13" a="1"/>
  <c r="J4787" i="13" s="1"/>
  <c r="J4786" i="14" a="1"/>
  <c r="J4786" i="14" s="1"/>
  <c r="N4787" i="14"/>
  <c r="M4790" i="13"/>
  <c r="M4791" i="14"/>
  <c r="K4624" i="14" l="1"/>
  <c r="L4624" i="14" s="1"/>
  <c r="I4625" i="14" s="1"/>
  <c r="K4602" i="13"/>
  <c r="L4602" i="13" s="1"/>
  <c r="I4603" i="13" s="1"/>
  <c r="J4787" i="14" a="1"/>
  <c r="J4787" i="14" s="1"/>
  <c r="N4788" i="14"/>
  <c r="M4791" i="13"/>
  <c r="M4792" i="14"/>
  <c r="J4788" i="13" a="1"/>
  <c r="J4788" i="13" s="1"/>
  <c r="N4789" i="13"/>
  <c r="K4603" i="13" l="1"/>
  <c r="L4603" i="13" s="1"/>
  <c r="I4604" i="13" s="1"/>
  <c r="K4625" i="14"/>
  <c r="L4625" i="14" s="1"/>
  <c r="I4626" i="14" s="1"/>
  <c r="N4790" i="13"/>
  <c r="J4789" i="13" a="1"/>
  <c r="J4789" i="13" s="1"/>
  <c r="J4788" i="14" a="1"/>
  <c r="J4788" i="14" s="1"/>
  <c r="N4789" i="14"/>
  <c r="M4792" i="13"/>
  <c r="M4793" i="14"/>
  <c r="K4626" i="14" l="1"/>
  <c r="L4626" i="14" s="1"/>
  <c r="I4627" i="14" s="1"/>
  <c r="K4604" i="13"/>
  <c r="L4604" i="13" s="1"/>
  <c r="I4605" i="13" s="1"/>
  <c r="N4790" i="14"/>
  <c r="J4789" i="14" a="1"/>
  <c r="J4789" i="14" s="1"/>
  <c r="M4794" i="14"/>
  <c r="M4793" i="13"/>
  <c r="J4790" i="13" a="1"/>
  <c r="J4790" i="13" s="1"/>
  <c r="N4791" i="13"/>
  <c r="K4605" i="13" l="1"/>
  <c r="L4605" i="13" s="1"/>
  <c r="I4606" i="13" s="1"/>
  <c r="K4627" i="14"/>
  <c r="L4627" i="14" s="1"/>
  <c r="I4628" i="14" s="1"/>
  <c r="N4792" i="13"/>
  <c r="J4791" i="13" a="1"/>
  <c r="J4791" i="13" s="1"/>
  <c r="M4795" i="14"/>
  <c r="M4794" i="13"/>
  <c r="J4790" i="14" a="1"/>
  <c r="J4790" i="14" s="1"/>
  <c r="N4791" i="14"/>
  <c r="K4606" i="13" l="1"/>
  <c r="L4606" i="13" s="1"/>
  <c r="I4607" i="13" s="1"/>
  <c r="K4628" i="14"/>
  <c r="L4628" i="14" s="1"/>
  <c r="I4629" i="14" s="1"/>
  <c r="M4795" i="13"/>
  <c r="J4792" i="13" a="1"/>
  <c r="J4792" i="13" s="1"/>
  <c r="N4793" i="13"/>
  <c r="J4791" i="14" a="1"/>
  <c r="J4791" i="14" s="1"/>
  <c r="N4792" i="14"/>
  <c r="M4796" i="14"/>
  <c r="K4607" i="13" l="1"/>
  <c r="L4607" i="13" s="1"/>
  <c r="I4608" i="13" s="1"/>
  <c r="K4629" i="14"/>
  <c r="L4629" i="14" s="1"/>
  <c r="I4630" i="14" s="1"/>
  <c r="M4797" i="14"/>
  <c r="N4794" i="13"/>
  <c r="J4793" i="13" a="1"/>
  <c r="J4793" i="13" s="1"/>
  <c r="N4793" i="14"/>
  <c r="J4792" i="14" a="1"/>
  <c r="J4792" i="14" s="1"/>
  <c r="M4796" i="13"/>
  <c r="K4630" i="14" l="1"/>
  <c r="L4630" i="14" s="1"/>
  <c r="I4631" i="14" s="1"/>
  <c r="K4608" i="13"/>
  <c r="L4608" i="13" s="1"/>
  <c r="I4609" i="13" s="1"/>
  <c r="J4794" i="13" a="1"/>
  <c r="J4794" i="13" s="1"/>
  <c r="N4795" i="13"/>
  <c r="M4797" i="13"/>
  <c r="N4794" i="14"/>
  <c r="J4793" i="14" a="1"/>
  <c r="J4793" i="14" s="1"/>
  <c r="M4798" i="14"/>
  <c r="K4609" i="13" l="1"/>
  <c r="L4609" i="13" s="1"/>
  <c r="I4610" i="13" s="1"/>
  <c r="K4631" i="14"/>
  <c r="L4631" i="14" s="1"/>
  <c r="I4632" i="14" s="1"/>
  <c r="M4799" i="14"/>
  <c r="M4798" i="13"/>
  <c r="N4796" i="13"/>
  <c r="J4795" i="13" a="1"/>
  <c r="J4795" i="13" s="1"/>
  <c r="J4794" i="14" a="1"/>
  <c r="J4794" i="14" s="1"/>
  <c r="N4795" i="14"/>
  <c r="K4632" i="14" l="1"/>
  <c r="L4632" i="14" s="1"/>
  <c r="I4633" i="14" s="1"/>
  <c r="K4610" i="13"/>
  <c r="L4610" i="13" s="1"/>
  <c r="I4611" i="13" s="1"/>
  <c r="J4795" i="14" a="1"/>
  <c r="J4795" i="14" s="1"/>
  <c r="N4796" i="14"/>
  <c r="M4799" i="13"/>
  <c r="M4800" i="14"/>
  <c r="J4796" i="13" a="1"/>
  <c r="J4796" i="13" s="1"/>
  <c r="N4797" i="13"/>
  <c r="K4611" i="13" l="1"/>
  <c r="L4611" i="13" s="1"/>
  <c r="I4612" i="13" s="1"/>
  <c r="K4633" i="14"/>
  <c r="L4633" i="14" s="1"/>
  <c r="I4634" i="14" s="1"/>
  <c r="M4800" i="13"/>
  <c r="N4798" i="13"/>
  <c r="J4797" i="13" a="1"/>
  <c r="J4797" i="13" s="1"/>
  <c r="M4801" i="14"/>
  <c r="J4796" i="14" a="1"/>
  <c r="J4796" i="14" s="1"/>
  <c r="N4797" i="14"/>
  <c r="K4634" i="14" l="1"/>
  <c r="L4634" i="14" s="1"/>
  <c r="I4635" i="14" s="1"/>
  <c r="K4612" i="13"/>
  <c r="L4612" i="13" s="1"/>
  <c r="I4613" i="13" s="1"/>
  <c r="N4798" i="14"/>
  <c r="J4797" i="14" a="1"/>
  <c r="J4797" i="14" s="1"/>
  <c r="J4798" i="13" a="1"/>
  <c r="J4798" i="13" s="1"/>
  <c r="N4799" i="13"/>
  <c r="M4801" i="13"/>
  <c r="M4802" i="14"/>
  <c r="K4613" i="13" l="1"/>
  <c r="L4613" i="13" s="1"/>
  <c r="I4614" i="13" s="1"/>
  <c r="M4802" i="13"/>
  <c r="N4800" i="13"/>
  <c r="J4799" i="13" a="1"/>
  <c r="J4799" i="13" s="1"/>
  <c r="M4803" i="14"/>
  <c r="J4798" i="14" a="1"/>
  <c r="J4798" i="14" s="1"/>
  <c r="N4799" i="14"/>
  <c r="K4635" i="14"/>
  <c r="L4635" i="14" s="1"/>
  <c r="I4636" i="14" s="1"/>
  <c r="K4614" i="13" l="1"/>
  <c r="L4614" i="13" s="1"/>
  <c r="I4615" i="13" s="1"/>
  <c r="K4636" i="14"/>
  <c r="L4636" i="14" s="1"/>
  <c r="I4637" i="14" s="1"/>
  <c r="M4803" i="13"/>
  <c r="M4804" i="14"/>
  <c r="J4799" i="14" a="1"/>
  <c r="J4799" i="14" s="1"/>
  <c r="N4800" i="14"/>
  <c r="J4800" i="13" a="1"/>
  <c r="J4800" i="13" s="1"/>
  <c r="N4801" i="13"/>
  <c r="K4637" i="14" l="1"/>
  <c r="L4637" i="14" s="1"/>
  <c r="I4638" i="14" s="1"/>
  <c r="N4802" i="13"/>
  <c r="J4801" i="13" a="1"/>
  <c r="J4801" i="13" s="1"/>
  <c r="M4805" i="14"/>
  <c r="N4801" i="14"/>
  <c r="J4800" i="14" a="1"/>
  <c r="J4800" i="14" s="1"/>
  <c r="M4804" i="13"/>
  <c r="K4615" i="13"/>
  <c r="L4615" i="13" s="1"/>
  <c r="I4616" i="13" s="1"/>
  <c r="K4616" i="13" l="1"/>
  <c r="L4616" i="13" s="1"/>
  <c r="I4617" i="13" s="1"/>
  <c r="K4638" i="14"/>
  <c r="L4638" i="14" s="1"/>
  <c r="I4639" i="14" s="1"/>
  <c r="J4802" i="13" a="1"/>
  <c r="J4802" i="13" s="1"/>
  <c r="N4803" i="13"/>
  <c r="N4802" i="14"/>
  <c r="J4801" i="14" a="1"/>
  <c r="J4801" i="14" s="1"/>
  <c r="M4805" i="13"/>
  <c r="M4806" i="14"/>
  <c r="K4617" i="13" l="1"/>
  <c r="L4617" i="13" s="1"/>
  <c r="I4618" i="13" s="1"/>
  <c r="K4639" i="14"/>
  <c r="L4639" i="14" s="1"/>
  <c r="I4640" i="14" s="1"/>
  <c r="M4807" i="14"/>
  <c r="J4802" i="14" a="1"/>
  <c r="J4802" i="14" s="1"/>
  <c r="N4803" i="14"/>
  <c r="N4804" i="13"/>
  <c r="J4803" i="13" a="1"/>
  <c r="J4803" i="13" s="1"/>
  <c r="M4806" i="13"/>
  <c r="K4640" i="14" l="1"/>
  <c r="L4640" i="14" s="1"/>
  <c r="I4641" i="14" s="1"/>
  <c r="K4618" i="13"/>
  <c r="L4618" i="13" s="1"/>
  <c r="I4619" i="13" s="1"/>
  <c r="M4807" i="13"/>
  <c r="J4803" i="14" a="1"/>
  <c r="J4803" i="14" s="1"/>
  <c r="N4804" i="14"/>
  <c r="M4808" i="14"/>
  <c r="J4804" i="13" a="1"/>
  <c r="J4804" i="13" s="1"/>
  <c r="N4805" i="13"/>
  <c r="K4619" i="13" l="1"/>
  <c r="L4619" i="13" s="1"/>
  <c r="I4620" i="13" s="1"/>
  <c r="K4641" i="14"/>
  <c r="L4641" i="14" s="1"/>
  <c r="I4642" i="14" s="1"/>
  <c r="N4806" i="13"/>
  <c r="J4805" i="13" a="1"/>
  <c r="J4805" i="13" s="1"/>
  <c r="J4804" i="14" a="1"/>
  <c r="J4804" i="14" s="1"/>
  <c r="N4805" i="14"/>
  <c r="M4809" i="14"/>
  <c r="M4808" i="13"/>
  <c r="K4642" i="14" l="1"/>
  <c r="L4642" i="14" s="1"/>
  <c r="I4643" i="14" s="1"/>
  <c r="K4620" i="13"/>
  <c r="L4620" i="13" s="1"/>
  <c r="I4621" i="13" s="1"/>
  <c r="M4809" i="13"/>
  <c r="M4810" i="14"/>
  <c r="N4806" i="14"/>
  <c r="J4805" i="14" a="1"/>
  <c r="J4805" i="14" s="1"/>
  <c r="J4806" i="13" a="1"/>
  <c r="J4806" i="13" s="1"/>
  <c r="N4807" i="13"/>
  <c r="K4621" i="13" l="1"/>
  <c r="L4621" i="13" s="1"/>
  <c r="I4622" i="13" s="1"/>
  <c r="K4643" i="14"/>
  <c r="L4643" i="14" s="1"/>
  <c r="I4644" i="14" s="1"/>
  <c r="N4808" i="13"/>
  <c r="J4807" i="13" a="1"/>
  <c r="J4807" i="13" s="1"/>
  <c r="M4811" i="14"/>
  <c r="J4806" i="14" a="1"/>
  <c r="J4806" i="14" s="1"/>
  <c r="N4807" i="14"/>
  <c r="M4810" i="13"/>
  <c r="K4644" i="14" l="1"/>
  <c r="L4644" i="14" s="1"/>
  <c r="I4645" i="14" s="1"/>
  <c r="K4622" i="13"/>
  <c r="L4622" i="13" s="1"/>
  <c r="I4623" i="13" s="1"/>
  <c r="J4807" i="14" a="1"/>
  <c r="J4807" i="14" s="1"/>
  <c r="N4808" i="14"/>
  <c r="M4811" i="13"/>
  <c r="M4812" i="14"/>
  <c r="J4808" i="13" a="1"/>
  <c r="J4808" i="13" s="1"/>
  <c r="N4809" i="13"/>
  <c r="K4645" i="14" l="1"/>
  <c r="L4645" i="14" s="1"/>
  <c r="I4646" i="14" s="1"/>
  <c r="N4810" i="13"/>
  <c r="J4809" i="13" a="1"/>
  <c r="J4809" i="13" s="1"/>
  <c r="M4812" i="13"/>
  <c r="K4623" i="13"/>
  <c r="L4623" i="13" s="1"/>
  <c r="I4624" i="13" s="1"/>
  <c r="N4809" i="14"/>
  <c r="J4808" i="14" a="1"/>
  <c r="J4808" i="14" s="1"/>
  <c r="M4813" i="14"/>
  <c r="K4624" i="13" l="1"/>
  <c r="L4624" i="13" s="1"/>
  <c r="I4625" i="13" s="1"/>
  <c r="K4646" i="14"/>
  <c r="L4646" i="14" s="1"/>
  <c r="I4647" i="14" s="1"/>
  <c r="J4810" i="13" a="1"/>
  <c r="J4810" i="13" s="1"/>
  <c r="N4811" i="13"/>
  <c r="M4814" i="14"/>
  <c r="M4813" i="13"/>
  <c r="N4810" i="14"/>
  <c r="J4809" i="14" a="1"/>
  <c r="J4809" i="14" s="1"/>
  <c r="K4625" i="13" l="1"/>
  <c r="L4625" i="13" s="1"/>
  <c r="I4626" i="13" s="1"/>
  <c r="K4647" i="14"/>
  <c r="L4647" i="14" s="1"/>
  <c r="I4648" i="14" s="1"/>
  <c r="J4810" i="14" a="1"/>
  <c r="J4810" i="14" s="1"/>
  <c r="N4811" i="14"/>
  <c r="M4815" i="14"/>
  <c r="N4812" i="13"/>
  <c r="J4811" i="13" a="1"/>
  <c r="J4811" i="13" s="1"/>
  <c r="M4814" i="13"/>
  <c r="K4648" i="14" l="1"/>
  <c r="L4648" i="14" s="1"/>
  <c r="I4649" i="14" s="1"/>
  <c r="K4626" i="13"/>
  <c r="L4626" i="13" s="1"/>
  <c r="I4627" i="13" s="1"/>
  <c r="J4812" i="13" a="1"/>
  <c r="J4812" i="13" s="1"/>
  <c r="N4813" i="13"/>
  <c r="M4816" i="14"/>
  <c r="J4811" i="14" a="1"/>
  <c r="J4811" i="14" s="1"/>
  <c r="N4812" i="14"/>
  <c r="M4815" i="13"/>
  <c r="K4627" i="13" l="1"/>
  <c r="L4627" i="13" s="1"/>
  <c r="I4628" i="13" s="1"/>
  <c r="K4649" i="14"/>
  <c r="L4649" i="14" s="1"/>
  <c r="I4650" i="14" s="1"/>
  <c r="J4812" i="14" a="1"/>
  <c r="J4812" i="14" s="1"/>
  <c r="N4813" i="14"/>
  <c r="M4817" i="14"/>
  <c r="M4816" i="13"/>
  <c r="N4814" i="13"/>
  <c r="J4813" i="13" a="1"/>
  <c r="J4813" i="13" s="1"/>
  <c r="K4628" i="13" l="1"/>
  <c r="L4628" i="13" s="1"/>
  <c r="I4629" i="13" s="1"/>
  <c r="J4814" i="13" a="1"/>
  <c r="J4814" i="13" s="1"/>
  <c r="N4815" i="13"/>
  <c r="M4818" i="14"/>
  <c r="K4650" i="14"/>
  <c r="L4650" i="14" s="1"/>
  <c r="I4651" i="14" s="1"/>
  <c r="N4814" i="14"/>
  <c r="J4813" i="14" a="1"/>
  <c r="J4813" i="14" s="1"/>
  <c r="M4817" i="13"/>
  <c r="K4651" i="14" l="1"/>
  <c r="L4651" i="14" s="1"/>
  <c r="I4652" i="14" s="1"/>
  <c r="K4629" i="13"/>
  <c r="L4629" i="13" s="1"/>
  <c r="I4630" i="13" s="1"/>
  <c r="N4816" i="13"/>
  <c r="J4815" i="13" a="1"/>
  <c r="J4815" i="13" s="1"/>
  <c r="M4818" i="13"/>
  <c r="J4814" i="14" a="1"/>
  <c r="J4814" i="14" s="1"/>
  <c r="N4815" i="14"/>
  <c r="M4819" i="14"/>
  <c r="K4630" i="13" l="1"/>
  <c r="L4630" i="13" s="1"/>
  <c r="I4631" i="13" s="1"/>
  <c r="K4652" i="14"/>
  <c r="L4652" i="14" s="1"/>
  <c r="I4653" i="14" s="1"/>
  <c r="M4819" i="13"/>
  <c r="M4820" i="14"/>
  <c r="J4815" i="14" a="1"/>
  <c r="J4815" i="14" s="1"/>
  <c r="N4816" i="14"/>
  <c r="J4816" i="13" a="1"/>
  <c r="J4816" i="13" s="1"/>
  <c r="N4817" i="13"/>
  <c r="K4653" i="14" l="1"/>
  <c r="L4653" i="14" s="1"/>
  <c r="I4654" i="14" s="1"/>
  <c r="K4631" i="13"/>
  <c r="L4631" i="13" s="1"/>
  <c r="I4632" i="13" s="1"/>
  <c r="N4818" i="13"/>
  <c r="J4817" i="13" a="1"/>
  <c r="J4817" i="13" s="1"/>
  <c r="M4821" i="14"/>
  <c r="N4817" i="14"/>
  <c r="J4816" i="14" a="1"/>
  <c r="J4816" i="14" s="1"/>
  <c r="M4820" i="13"/>
  <c r="K4632" i="13" l="1"/>
  <c r="L4632" i="13" s="1"/>
  <c r="I4633" i="13" s="1"/>
  <c r="K4654" i="14"/>
  <c r="L4654" i="14" s="1"/>
  <c r="I4655" i="14" s="1"/>
  <c r="N4818" i="14"/>
  <c r="J4817" i="14" a="1"/>
  <c r="J4817" i="14" s="1"/>
  <c r="M4821" i="13"/>
  <c r="M4822" i="14"/>
  <c r="J4818" i="13" a="1"/>
  <c r="J4818" i="13" s="1"/>
  <c r="N4819" i="13"/>
  <c r="K4655" i="14" l="1"/>
  <c r="L4655" i="14" s="1"/>
  <c r="I4656" i="14" s="1"/>
  <c r="K4633" i="13"/>
  <c r="L4633" i="13" s="1"/>
  <c r="I4634" i="13" s="1"/>
  <c r="M4823" i="14"/>
  <c r="N4820" i="13"/>
  <c r="J4819" i="13" a="1"/>
  <c r="J4819" i="13" s="1"/>
  <c r="M4822" i="13"/>
  <c r="J4818" i="14" a="1"/>
  <c r="J4818" i="14" s="1"/>
  <c r="N4819" i="14"/>
  <c r="K4634" i="13" l="1"/>
  <c r="L4634" i="13" s="1"/>
  <c r="I4635" i="13" s="1"/>
  <c r="K4656" i="14"/>
  <c r="L4656" i="14" s="1"/>
  <c r="I4657" i="14" s="1"/>
  <c r="J4819" i="14" a="1"/>
  <c r="J4819" i="14" s="1"/>
  <c r="N4820" i="14"/>
  <c r="J4820" i="13" a="1"/>
  <c r="J4820" i="13" s="1"/>
  <c r="N4821" i="13"/>
  <c r="M4823" i="13"/>
  <c r="M4824" i="14"/>
  <c r="K4635" i="13" l="1"/>
  <c r="L4635" i="13" s="1"/>
  <c r="I4636" i="13" s="1"/>
  <c r="M4824" i="13"/>
  <c r="M4825" i="14"/>
  <c r="N4822" i="13"/>
  <c r="J4821" i="13" a="1"/>
  <c r="J4821" i="13" s="1"/>
  <c r="K4657" i="14"/>
  <c r="L4657" i="14" s="1"/>
  <c r="I4658" i="14" s="1"/>
  <c r="J4820" i="14" a="1"/>
  <c r="J4820" i="14" s="1"/>
  <c r="N4821" i="14"/>
  <c r="K4658" i="14" l="1"/>
  <c r="L4658" i="14" s="1"/>
  <c r="I4659" i="14" s="1"/>
  <c r="K4636" i="13"/>
  <c r="L4636" i="13" s="1"/>
  <c r="I4637" i="13" s="1"/>
  <c r="M4825" i="13"/>
  <c r="N4822" i="14"/>
  <c r="J4821" i="14" a="1"/>
  <c r="J4821" i="14" s="1"/>
  <c r="J4822" i="13" a="1"/>
  <c r="J4822" i="13" s="1"/>
  <c r="N4823" i="13"/>
  <c r="M4826" i="14"/>
  <c r="K4637" i="13" l="1"/>
  <c r="L4637" i="13" s="1"/>
  <c r="I4638" i="13" s="1"/>
  <c r="K4659" i="14"/>
  <c r="L4659" i="14" s="1"/>
  <c r="I4660" i="14" s="1"/>
  <c r="J4822" i="14" a="1"/>
  <c r="J4822" i="14" s="1"/>
  <c r="N4823" i="14"/>
  <c r="M4827" i="14"/>
  <c r="N4824" i="13"/>
  <c r="J4823" i="13" a="1"/>
  <c r="J4823" i="13" s="1"/>
  <c r="M4826" i="13"/>
  <c r="K4660" i="14" l="1"/>
  <c r="L4660" i="14" s="1"/>
  <c r="I4661" i="14" s="1"/>
  <c r="K4638" i="13"/>
  <c r="L4638" i="13" s="1"/>
  <c r="I4639" i="13" s="1"/>
  <c r="M4827" i="13"/>
  <c r="J4824" i="13" a="1"/>
  <c r="J4824" i="13" s="1"/>
  <c r="N4825" i="13"/>
  <c r="M4828" i="14"/>
  <c r="J4823" i="14" a="1"/>
  <c r="J4823" i="14" s="1"/>
  <c r="N4824" i="14"/>
  <c r="K4639" i="13" l="1"/>
  <c r="L4639" i="13" s="1"/>
  <c r="I4640" i="13" s="1"/>
  <c r="K4661" i="14"/>
  <c r="L4661" i="14" s="1"/>
  <c r="I4662" i="14" s="1"/>
  <c r="N4826" i="13"/>
  <c r="J4825" i="13" a="1"/>
  <c r="J4825" i="13" s="1"/>
  <c r="N4825" i="14"/>
  <c r="J4824" i="14" a="1"/>
  <c r="J4824" i="14" s="1"/>
  <c r="M4829" i="14"/>
  <c r="M4828" i="13"/>
  <c r="K4640" i="13" l="1"/>
  <c r="L4640" i="13" s="1"/>
  <c r="I4641" i="13" s="1"/>
  <c r="M4830" i="14"/>
  <c r="M4829" i="13"/>
  <c r="K4662" i="14"/>
  <c r="L4662" i="14" s="1"/>
  <c r="I4663" i="14" s="1"/>
  <c r="N4826" i="14"/>
  <c r="J4825" i="14" a="1"/>
  <c r="J4825" i="14" s="1"/>
  <c r="J4826" i="13" a="1"/>
  <c r="J4826" i="13" s="1"/>
  <c r="N4827" i="13"/>
  <c r="K4641" i="13" l="1"/>
  <c r="L4641" i="13" s="1"/>
  <c r="I4642" i="13" s="1"/>
  <c r="K4663" i="14"/>
  <c r="L4663" i="14" s="1"/>
  <c r="I4664" i="14" s="1"/>
  <c r="N4828" i="13"/>
  <c r="J4827" i="13" a="1"/>
  <c r="J4827" i="13" s="1"/>
  <c r="M4831" i="14"/>
  <c r="J4826" i="14" a="1"/>
  <c r="J4826" i="14" s="1"/>
  <c r="N4827" i="14"/>
  <c r="M4830" i="13"/>
  <c r="K4642" i="13" l="1"/>
  <c r="L4642" i="13" s="1"/>
  <c r="I4643" i="13" s="1"/>
  <c r="M4831" i="13"/>
  <c r="M4832" i="14"/>
  <c r="K4664" i="14"/>
  <c r="L4664" i="14" s="1"/>
  <c r="I4665" i="14" s="1"/>
  <c r="J4827" i="14" a="1"/>
  <c r="J4827" i="14" s="1"/>
  <c r="N4828" i="14"/>
  <c r="J4828" i="13" a="1"/>
  <c r="J4828" i="13" s="1"/>
  <c r="N4829" i="13"/>
  <c r="K4643" i="13" l="1"/>
  <c r="L4643" i="13" s="1"/>
  <c r="I4644" i="13" s="1"/>
  <c r="N4830" i="13"/>
  <c r="J4829" i="13" a="1"/>
  <c r="J4829" i="13" s="1"/>
  <c r="K4665" i="14"/>
  <c r="L4665" i="14" s="1"/>
  <c r="I4666" i="14" s="1"/>
  <c r="M4832" i="13"/>
  <c r="J4828" i="14" a="1"/>
  <c r="J4828" i="14" s="1"/>
  <c r="N4829" i="14"/>
  <c r="M4833" i="14"/>
  <c r="K4666" i="14" l="1"/>
  <c r="L4666" i="14" s="1"/>
  <c r="I4667" i="14" s="1"/>
  <c r="K4644" i="13"/>
  <c r="L4644" i="13" s="1"/>
  <c r="I4645" i="13" s="1"/>
  <c r="M4834" i="14"/>
  <c r="M4833" i="13"/>
  <c r="J4830" i="13" a="1"/>
  <c r="J4830" i="13" s="1"/>
  <c r="N4831" i="13"/>
  <c r="N4830" i="14"/>
  <c r="J4829" i="14" a="1"/>
  <c r="J4829" i="14" s="1"/>
  <c r="K4645" i="13" l="1"/>
  <c r="L4645" i="13" s="1"/>
  <c r="I4646" i="13" s="1"/>
  <c r="K4667" i="14"/>
  <c r="L4667" i="14" s="1"/>
  <c r="I4668" i="14" s="1"/>
  <c r="J4830" i="14" a="1"/>
  <c r="J4830" i="14" s="1"/>
  <c r="N4831" i="14"/>
  <c r="M4834" i="13"/>
  <c r="N4832" i="13"/>
  <c r="J4831" i="13" a="1"/>
  <c r="J4831" i="13" s="1"/>
  <c r="M4835" i="14"/>
  <c r="K4646" i="13" l="1"/>
  <c r="L4646" i="13" s="1"/>
  <c r="I4647" i="13" s="1"/>
  <c r="K4668" i="14"/>
  <c r="L4668" i="14" s="1"/>
  <c r="I4669" i="14" s="1"/>
  <c r="J4832" i="13" a="1"/>
  <c r="J4832" i="13" s="1"/>
  <c r="N4833" i="13"/>
  <c r="M4835" i="13"/>
  <c r="M4836" i="14"/>
  <c r="J4831" i="14" a="1"/>
  <c r="J4831" i="14" s="1"/>
  <c r="N4832" i="14"/>
  <c r="K4669" i="14" l="1"/>
  <c r="L4669" i="14" s="1"/>
  <c r="I4670" i="14" s="1"/>
  <c r="K4647" i="13"/>
  <c r="L4647" i="13" s="1"/>
  <c r="I4648" i="13" s="1"/>
  <c r="N4833" i="14"/>
  <c r="J4832" i="14" a="1"/>
  <c r="J4832" i="14" s="1"/>
  <c r="M4836" i="13"/>
  <c r="M4837" i="14"/>
  <c r="N4834" i="13"/>
  <c r="J4833" i="13" a="1"/>
  <c r="J4833" i="13" s="1"/>
  <c r="K4670" i="14" l="1"/>
  <c r="L4670" i="14" s="1"/>
  <c r="I4671" i="14" s="1"/>
  <c r="M4837" i="13"/>
  <c r="K4648" i="13"/>
  <c r="L4648" i="13" s="1"/>
  <c r="I4649" i="13" s="1"/>
  <c r="J4834" i="13" a="1"/>
  <c r="J4834" i="13" s="1"/>
  <c r="N4835" i="13"/>
  <c r="M4838" i="14"/>
  <c r="N4834" i="14"/>
  <c r="J4833" i="14" a="1"/>
  <c r="J4833" i="14" s="1"/>
  <c r="K4649" i="13" l="1"/>
  <c r="L4649" i="13" s="1"/>
  <c r="I4650" i="13" s="1"/>
  <c r="K4671" i="14"/>
  <c r="L4671" i="14" s="1"/>
  <c r="I4672" i="14" s="1"/>
  <c r="N4836" i="13"/>
  <c r="J4835" i="13" a="1"/>
  <c r="J4835" i="13" s="1"/>
  <c r="J4834" i="14" a="1"/>
  <c r="J4834" i="14" s="1"/>
  <c r="N4835" i="14"/>
  <c r="M4838" i="13"/>
  <c r="M4839" i="14"/>
  <c r="K4650" i="13" l="1"/>
  <c r="L4650" i="13" s="1"/>
  <c r="I4651" i="13" s="1"/>
  <c r="J4835" i="14" a="1"/>
  <c r="J4835" i="14" s="1"/>
  <c r="N4836" i="14"/>
  <c r="K4672" i="14"/>
  <c r="L4672" i="14" s="1"/>
  <c r="I4673" i="14" s="1"/>
  <c r="M4839" i="13"/>
  <c r="M4840" i="14"/>
  <c r="J4836" i="13" a="1"/>
  <c r="J4836" i="13" s="1"/>
  <c r="N4837" i="13"/>
  <c r="K4673" i="14" l="1"/>
  <c r="L4673" i="14" s="1"/>
  <c r="I4674" i="14" s="1"/>
  <c r="K4651" i="13"/>
  <c r="L4651" i="13" s="1"/>
  <c r="I4652" i="13" s="1"/>
  <c r="J4836" i="14" a="1"/>
  <c r="J4836" i="14" s="1"/>
  <c r="N4837" i="14"/>
  <c r="N4838" i="13"/>
  <c r="J4837" i="13" a="1"/>
  <c r="J4837" i="13" s="1"/>
  <c r="M4840" i="13"/>
  <c r="M4841" i="14"/>
  <c r="K4674" i="14" l="1"/>
  <c r="L4674" i="14" s="1"/>
  <c r="I4675" i="14" s="1"/>
  <c r="M4842" i="14"/>
  <c r="M4841" i="13"/>
  <c r="K4652" i="13"/>
  <c r="L4652" i="13" s="1"/>
  <c r="I4653" i="13" s="1"/>
  <c r="N4838" i="14"/>
  <c r="J4837" i="14" a="1"/>
  <c r="J4837" i="14" s="1"/>
  <c r="J4838" i="13" a="1"/>
  <c r="J4838" i="13" s="1"/>
  <c r="N4839" i="13"/>
  <c r="K4675" i="14" l="1"/>
  <c r="L4675" i="14" s="1"/>
  <c r="I4676" i="14" s="1"/>
  <c r="N4840" i="13"/>
  <c r="J4839" i="13" a="1"/>
  <c r="J4839" i="13" s="1"/>
  <c r="K4653" i="13"/>
  <c r="L4653" i="13" s="1"/>
  <c r="I4654" i="13" s="1"/>
  <c r="M4843" i="14"/>
  <c r="J4838" i="14" a="1"/>
  <c r="J4838" i="14" s="1"/>
  <c r="N4839" i="14"/>
  <c r="M4842" i="13"/>
  <c r="K4654" i="13" l="1"/>
  <c r="L4654" i="13" s="1"/>
  <c r="I4655" i="13" s="1"/>
  <c r="K4676" i="14"/>
  <c r="L4676" i="14" s="1"/>
  <c r="I4677" i="14" s="1"/>
  <c r="M4843" i="13"/>
  <c r="M4844" i="14"/>
  <c r="J4840" i="13" a="1"/>
  <c r="J4840" i="13" s="1"/>
  <c r="N4841" i="13"/>
  <c r="J4839" i="14" a="1"/>
  <c r="J4839" i="14" s="1"/>
  <c r="N4840" i="14"/>
  <c r="K4677" i="14" l="1"/>
  <c r="L4677" i="14" s="1"/>
  <c r="I4678" i="14" s="1"/>
  <c r="K4655" i="13"/>
  <c r="L4655" i="13" s="1"/>
  <c r="I4656" i="13" s="1"/>
  <c r="N4841" i="14"/>
  <c r="J4840" i="14" a="1"/>
  <c r="J4840" i="14" s="1"/>
  <c r="M4845" i="14"/>
  <c r="N4842" i="13"/>
  <c r="J4841" i="13" a="1"/>
  <c r="J4841" i="13" s="1"/>
  <c r="M4844" i="13"/>
  <c r="K4678" i="14" l="1"/>
  <c r="L4678" i="14" s="1"/>
  <c r="I4679" i="14" s="1"/>
  <c r="M4845" i="13"/>
  <c r="K4656" i="13"/>
  <c r="L4656" i="13" s="1"/>
  <c r="I4657" i="13" s="1"/>
  <c r="M4846" i="14"/>
  <c r="J4842" i="13" a="1"/>
  <c r="J4842" i="13" s="1"/>
  <c r="N4843" i="13"/>
  <c r="N4842" i="14"/>
  <c r="J4841" i="14" a="1"/>
  <c r="J4841" i="14" s="1"/>
  <c r="K4657" i="13" l="1"/>
  <c r="L4657" i="13" s="1"/>
  <c r="I4658" i="13" s="1"/>
  <c r="K4679" i="14"/>
  <c r="L4679" i="14" s="1"/>
  <c r="I4680" i="14" s="1"/>
  <c r="J4842" i="14" a="1"/>
  <c r="J4842" i="14" s="1"/>
  <c r="N4843" i="14"/>
  <c r="M4847" i="14"/>
  <c r="M4846" i="13"/>
  <c r="N4844" i="13"/>
  <c r="J4843" i="13" a="1"/>
  <c r="J4843" i="13" s="1"/>
  <c r="K4658" i="13" l="1"/>
  <c r="L4658" i="13" s="1"/>
  <c r="I4659" i="13" s="1"/>
  <c r="M4848" i="14"/>
  <c r="J4844" i="13" a="1"/>
  <c r="J4844" i="13" s="1"/>
  <c r="N4845" i="13"/>
  <c r="K4680" i="14"/>
  <c r="L4680" i="14" s="1"/>
  <c r="I4681" i="14" s="1"/>
  <c r="M4847" i="13"/>
  <c r="J4843" i="14" a="1"/>
  <c r="J4843" i="14" s="1"/>
  <c r="N4844" i="14"/>
  <c r="K4659" i="13" l="1"/>
  <c r="L4659" i="13" s="1"/>
  <c r="I4660" i="13" s="1"/>
  <c r="J4844" i="14" a="1"/>
  <c r="J4844" i="14" s="1"/>
  <c r="N4845" i="14"/>
  <c r="M4849" i="14"/>
  <c r="K4681" i="14"/>
  <c r="L4681" i="14" s="1"/>
  <c r="I4682" i="14" s="1"/>
  <c r="N4846" i="13"/>
  <c r="J4845" i="13" a="1"/>
  <c r="J4845" i="13" s="1"/>
  <c r="M4848" i="13"/>
  <c r="K4682" i="14" l="1"/>
  <c r="L4682" i="14" s="1"/>
  <c r="I4683" i="14" s="1"/>
  <c r="K4660" i="13"/>
  <c r="L4660" i="13" s="1"/>
  <c r="I4661" i="13" s="1"/>
  <c r="N4846" i="14"/>
  <c r="J4845" i="14" a="1"/>
  <c r="J4845" i="14" s="1"/>
  <c r="M4849" i="13"/>
  <c r="J4846" i="13" a="1"/>
  <c r="J4846" i="13" s="1"/>
  <c r="N4847" i="13"/>
  <c r="M4850" i="14"/>
  <c r="K4683" i="14" l="1"/>
  <c r="L4683" i="14" s="1"/>
  <c r="I4684" i="14" s="1"/>
  <c r="M4850" i="13"/>
  <c r="K4661" i="13"/>
  <c r="L4661" i="13" s="1"/>
  <c r="I4662" i="13" s="1"/>
  <c r="N4848" i="13"/>
  <c r="J4847" i="13" a="1"/>
  <c r="J4847" i="13" s="1"/>
  <c r="M4851" i="14"/>
  <c r="J4846" i="14" a="1"/>
  <c r="J4846" i="14" s="1"/>
  <c r="N4847" i="14"/>
  <c r="K4662" i="13" l="1"/>
  <c r="L4662" i="13" s="1"/>
  <c r="I4663" i="13" s="1"/>
  <c r="K4684" i="14"/>
  <c r="L4684" i="14" s="1"/>
  <c r="I4685" i="14" s="1"/>
  <c r="J4847" i="14" a="1"/>
  <c r="J4847" i="14" s="1"/>
  <c r="N4848" i="14"/>
  <c r="M4851" i="13"/>
  <c r="J4848" i="13" a="1"/>
  <c r="J4848" i="13" s="1"/>
  <c r="N4849" i="13"/>
  <c r="M4852" i="14"/>
  <c r="K4663" i="13" l="1"/>
  <c r="L4663" i="13" s="1"/>
  <c r="I4664" i="13" s="1"/>
  <c r="M4853" i="14"/>
  <c r="M4852" i="13"/>
  <c r="K4685" i="14"/>
  <c r="L4685" i="14" s="1"/>
  <c r="I4686" i="14" s="1"/>
  <c r="N4849" i="14"/>
  <c r="J4848" i="14" a="1"/>
  <c r="J4848" i="14" s="1"/>
  <c r="N4850" i="13"/>
  <c r="J4849" i="13" a="1"/>
  <c r="J4849" i="13" s="1"/>
  <c r="K4664" i="13" l="1"/>
  <c r="L4664" i="13" s="1"/>
  <c r="I4665" i="13" s="1"/>
  <c r="J4850" i="13" a="1"/>
  <c r="J4850" i="13" s="1"/>
  <c r="N4851" i="13"/>
  <c r="K4686" i="14"/>
  <c r="L4686" i="14" s="1"/>
  <c r="I4687" i="14" s="1"/>
  <c r="M4854" i="14"/>
  <c r="M4853" i="13"/>
  <c r="N4850" i="14"/>
  <c r="J4849" i="14" a="1"/>
  <c r="J4849" i="14" s="1"/>
  <c r="K4687" i="14" l="1"/>
  <c r="L4687" i="14" s="1"/>
  <c r="I4688" i="14" s="1"/>
  <c r="K4665" i="13"/>
  <c r="L4665" i="13" s="1"/>
  <c r="I4666" i="13" s="1"/>
  <c r="N4852" i="13"/>
  <c r="J4851" i="13" a="1"/>
  <c r="J4851" i="13" s="1"/>
  <c r="J4850" i="14" a="1"/>
  <c r="J4850" i="14" s="1"/>
  <c r="N4851" i="14"/>
  <c r="M4855" i="14"/>
  <c r="M4854" i="13"/>
  <c r="K4666" i="13" l="1"/>
  <c r="L4666" i="13" s="1"/>
  <c r="I4667" i="13" s="1"/>
  <c r="K4688" i="14"/>
  <c r="L4688" i="14" s="1"/>
  <c r="I4689" i="14" s="1"/>
  <c r="J4851" i="14" a="1"/>
  <c r="J4851" i="14" s="1"/>
  <c r="N4852" i="14"/>
  <c r="M4855" i="13"/>
  <c r="M4856" i="14"/>
  <c r="J4852" i="13" a="1"/>
  <c r="J4852" i="13" s="1"/>
  <c r="N4853" i="13"/>
  <c r="K4689" i="14" l="1"/>
  <c r="L4689" i="14" s="1"/>
  <c r="I4690" i="14" s="1"/>
  <c r="K4667" i="13"/>
  <c r="L4667" i="13" s="1"/>
  <c r="I4668" i="13" s="1"/>
  <c r="N4854" i="13"/>
  <c r="J4853" i="13" a="1"/>
  <c r="J4853" i="13" s="1"/>
  <c r="M4856" i="13"/>
  <c r="M4857" i="14"/>
  <c r="J4852" i="14" a="1"/>
  <c r="J4852" i="14" s="1"/>
  <c r="N4853" i="14"/>
  <c r="K4690" i="14" l="1"/>
  <c r="L4690" i="14" s="1"/>
  <c r="I4691" i="14" s="1"/>
  <c r="N4854" i="14"/>
  <c r="J4853" i="14" a="1"/>
  <c r="J4853" i="14" s="1"/>
  <c r="M4857" i="13"/>
  <c r="K4668" i="13"/>
  <c r="L4668" i="13" s="1"/>
  <c r="I4669" i="13" s="1"/>
  <c r="M4858" i="14"/>
  <c r="J4854" i="13" a="1"/>
  <c r="J4854" i="13" s="1"/>
  <c r="N4855" i="13"/>
  <c r="K4669" i="13" l="1"/>
  <c r="L4669" i="13" s="1"/>
  <c r="I4670" i="13" s="1"/>
  <c r="K4691" i="14"/>
  <c r="L4691" i="14" s="1"/>
  <c r="I4692" i="14" s="1"/>
  <c r="N4856" i="13"/>
  <c r="J4855" i="13" a="1"/>
  <c r="J4855" i="13" s="1"/>
  <c r="J4854" i="14" a="1"/>
  <c r="J4854" i="14" s="1"/>
  <c r="N4855" i="14"/>
  <c r="M4859" i="14"/>
  <c r="M4858" i="13"/>
  <c r="K4670" i="13" l="1"/>
  <c r="L4670" i="13" s="1"/>
  <c r="I4671" i="13" s="1"/>
  <c r="M4859" i="13"/>
  <c r="J4855" i="14" a="1"/>
  <c r="J4855" i="14" s="1"/>
  <c r="N4856" i="14"/>
  <c r="K4692" i="14"/>
  <c r="L4692" i="14" s="1"/>
  <c r="I4693" i="14" s="1"/>
  <c r="M4860" i="14"/>
  <c r="J4856" i="13" a="1"/>
  <c r="J4856" i="13" s="1"/>
  <c r="N4857" i="13"/>
  <c r="K4671" i="13" l="1"/>
  <c r="L4671" i="13" s="1"/>
  <c r="I4672" i="13" s="1"/>
  <c r="N4858" i="13"/>
  <c r="J4857" i="13" a="1"/>
  <c r="J4857" i="13" s="1"/>
  <c r="K4693" i="14"/>
  <c r="L4693" i="14" s="1"/>
  <c r="I4694" i="14" s="1"/>
  <c r="M4860" i="13"/>
  <c r="M4861" i="14"/>
  <c r="N4857" i="14"/>
  <c r="J4856" i="14" a="1"/>
  <c r="J4856" i="14" s="1"/>
  <c r="K4694" i="14" l="1"/>
  <c r="L4694" i="14" s="1"/>
  <c r="I4695" i="14" s="1"/>
  <c r="K4672" i="13"/>
  <c r="L4672" i="13" s="1"/>
  <c r="I4673" i="13" s="1"/>
  <c r="M4861" i="13"/>
  <c r="J4858" i="13" a="1"/>
  <c r="J4858" i="13" s="1"/>
  <c r="N4859" i="13"/>
  <c r="N4858" i="14"/>
  <c r="J4857" i="14" a="1"/>
  <c r="J4857" i="14" s="1"/>
  <c r="M4862" i="14"/>
  <c r="K4695" i="14" l="1"/>
  <c r="L4695" i="14" s="1"/>
  <c r="I4696" i="14" s="1"/>
  <c r="N4860" i="13"/>
  <c r="J4859" i="13" a="1"/>
  <c r="J4859" i="13" s="1"/>
  <c r="M4863" i="14"/>
  <c r="K4673" i="13"/>
  <c r="L4673" i="13" s="1"/>
  <c r="I4674" i="13" s="1"/>
  <c r="J4858" i="14" a="1"/>
  <c r="J4858" i="14" s="1"/>
  <c r="N4859" i="14"/>
  <c r="M4862" i="13"/>
  <c r="K4696" i="14" l="1"/>
  <c r="L4696" i="14" s="1"/>
  <c r="I4697" i="14" s="1"/>
  <c r="M4863" i="13"/>
  <c r="J4860" i="13" a="1"/>
  <c r="J4860" i="13" s="1"/>
  <c r="N4861" i="13"/>
  <c r="J4859" i="14" a="1"/>
  <c r="J4859" i="14" s="1"/>
  <c r="N4860" i="14"/>
  <c r="M4864" i="14"/>
  <c r="K4674" i="13"/>
  <c r="L4674" i="13" s="1"/>
  <c r="I4675" i="13" s="1"/>
  <c r="K4697" i="14" l="1"/>
  <c r="L4697" i="14" s="1"/>
  <c r="I4698" i="14" s="1"/>
  <c r="J4860" i="14" a="1"/>
  <c r="J4860" i="14" s="1"/>
  <c r="N4861" i="14"/>
  <c r="M4864" i="13"/>
  <c r="N4862" i="13"/>
  <c r="J4861" i="13" a="1"/>
  <c r="J4861" i="13" s="1"/>
  <c r="K4675" i="13"/>
  <c r="L4675" i="13" s="1"/>
  <c r="I4676" i="13" s="1"/>
  <c r="M4865" i="14"/>
  <c r="K4676" i="13" l="1"/>
  <c r="L4676" i="13" s="1"/>
  <c r="I4677" i="13" s="1"/>
  <c r="K4698" i="14"/>
  <c r="L4698" i="14" s="1"/>
  <c r="I4699" i="14" s="1"/>
  <c r="N4862" i="14"/>
  <c r="J4861" i="14" a="1"/>
  <c r="J4861" i="14" s="1"/>
  <c r="M4866" i="14"/>
  <c r="J4862" i="13" a="1"/>
  <c r="J4862" i="13" s="1"/>
  <c r="N4863" i="13"/>
  <c r="M4865" i="13"/>
  <c r="K4699" i="14" l="1"/>
  <c r="L4699" i="14" s="1"/>
  <c r="I4700" i="14" s="1"/>
  <c r="K4677" i="13"/>
  <c r="L4677" i="13" s="1"/>
  <c r="I4678" i="13" s="1"/>
  <c r="N4864" i="13"/>
  <c r="J4863" i="13" a="1"/>
  <c r="J4863" i="13" s="1"/>
  <c r="M4866" i="13"/>
  <c r="M4867" i="14"/>
  <c r="J4862" i="14" a="1"/>
  <c r="J4862" i="14" s="1"/>
  <c r="N4863" i="14"/>
  <c r="K4700" i="14" l="1"/>
  <c r="L4700" i="14" s="1"/>
  <c r="I4701" i="14" s="1"/>
  <c r="M4868" i="14"/>
  <c r="J4863" i="14" a="1"/>
  <c r="J4863" i="14" s="1"/>
  <c r="N4864" i="14"/>
  <c r="M4867" i="13"/>
  <c r="K4678" i="13"/>
  <c r="L4678" i="13" s="1"/>
  <c r="I4679" i="13" s="1"/>
  <c r="J4864" i="13" a="1"/>
  <c r="J4864" i="13" s="1"/>
  <c r="N4865" i="13"/>
  <c r="K4679" i="13" l="1"/>
  <c r="L4679" i="13" s="1"/>
  <c r="I4680" i="13" s="1"/>
  <c r="K4701" i="14"/>
  <c r="L4701" i="14" s="1"/>
  <c r="I4702" i="14" s="1"/>
  <c r="M4869" i="14"/>
  <c r="N4866" i="13"/>
  <c r="J4865" i="13" a="1"/>
  <c r="J4865" i="13" s="1"/>
  <c r="M4868" i="13"/>
  <c r="N4865" i="14"/>
  <c r="J4864" i="14" a="1"/>
  <c r="J4864" i="14" s="1"/>
  <c r="K4680" i="13" l="1"/>
  <c r="L4680" i="13" s="1"/>
  <c r="I4681" i="13" s="1"/>
  <c r="K4702" i="14"/>
  <c r="L4702" i="14" s="1"/>
  <c r="I4703" i="14" s="1"/>
  <c r="N4866" i="14"/>
  <c r="J4865" i="14" a="1"/>
  <c r="J4865" i="14" s="1"/>
  <c r="M4869" i="13"/>
  <c r="J4866" i="13" a="1"/>
  <c r="J4866" i="13" s="1"/>
  <c r="N4867" i="13"/>
  <c r="M4870" i="14"/>
  <c r="K4681" i="13" l="1"/>
  <c r="L4681" i="13" s="1"/>
  <c r="I4682" i="13" s="1"/>
  <c r="M4871" i="14"/>
  <c r="M4870" i="13"/>
  <c r="K4703" i="14"/>
  <c r="L4703" i="14" s="1"/>
  <c r="I4704" i="14" s="1"/>
  <c r="N4868" i="13"/>
  <c r="J4867" i="13" a="1"/>
  <c r="J4867" i="13" s="1"/>
  <c r="J4866" i="14" a="1"/>
  <c r="J4866" i="14" s="1"/>
  <c r="N4867" i="14"/>
  <c r="K4682" i="13" l="1"/>
  <c r="L4682" i="13" s="1"/>
  <c r="I4683" i="13" s="1"/>
  <c r="K4704" i="14"/>
  <c r="L4704" i="14" s="1"/>
  <c r="I4705" i="14" s="1"/>
  <c r="J4867" i="14" a="1"/>
  <c r="J4867" i="14" s="1"/>
  <c r="N4868" i="14"/>
  <c r="M4872" i="14"/>
  <c r="M4871" i="13"/>
  <c r="J4868" i="13" a="1"/>
  <c r="J4868" i="13" s="1"/>
  <c r="N4869" i="13"/>
  <c r="K4683" i="13" l="1"/>
  <c r="L4683" i="13" s="1"/>
  <c r="I4684" i="13" s="1"/>
  <c r="N4870" i="13"/>
  <c r="J4869" i="13" a="1"/>
  <c r="J4869" i="13" s="1"/>
  <c r="M4873" i="14"/>
  <c r="K4705" i="14"/>
  <c r="L4705" i="14" s="1"/>
  <c r="I4706" i="14" s="1"/>
  <c r="J4868" i="14" a="1"/>
  <c r="J4868" i="14" s="1"/>
  <c r="N4869" i="14"/>
  <c r="M4872" i="13"/>
  <c r="K4706" i="14" l="1"/>
  <c r="L4706" i="14" s="1"/>
  <c r="I4707" i="14" s="1"/>
  <c r="K4684" i="13"/>
  <c r="L4684" i="13" s="1"/>
  <c r="I4685" i="13" s="1"/>
  <c r="J4870" i="13" a="1"/>
  <c r="J4870" i="13" s="1"/>
  <c r="N4871" i="13"/>
  <c r="M4873" i="13"/>
  <c r="N4870" i="14"/>
  <c r="J4869" i="14" a="1"/>
  <c r="J4869" i="14" s="1"/>
  <c r="M4874" i="14"/>
  <c r="K4685" i="13" l="1"/>
  <c r="L4685" i="13" s="1"/>
  <c r="I4686" i="13" s="1"/>
  <c r="K4707" i="14"/>
  <c r="L4707" i="14" s="1"/>
  <c r="I4708" i="14" s="1"/>
  <c r="J4870" i="14" a="1"/>
  <c r="J4870" i="14" s="1"/>
  <c r="N4871" i="14"/>
  <c r="M4875" i="14"/>
  <c r="M4874" i="13"/>
  <c r="N4872" i="13"/>
  <c r="J4871" i="13" a="1"/>
  <c r="J4871" i="13" s="1"/>
  <c r="K4708" i="14" l="1"/>
  <c r="L4708" i="14" s="1"/>
  <c r="I4709" i="14" s="1"/>
  <c r="K4686" i="13"/>
  <c r="L4686" i="13" s="1"/>
  <c r="I4687" i="13" s="1"/>
  <c r="J4872" i="13" a="1"/>
  <c r="J4872" i="13" s="1"/>
  <c r="N4873" i="13"/>
  <c r="M4876" i="14"/>
  <c r="M4875" i="13"/>
  <c r="J4871" i="14" a="1"/>
  <c r="J4871" i="14" s="1"/>
  <c r="N4872" i="14"/>
  <c r="K4687" i="13" l="1"/>
  <c r="L4687" i="13" s="1"/>
  <c r="I4688" i="13" s="1"/>
  <c r="K4709" i="14"/>
  <c r="L4709" i="14" s="1"/>
  <c r="I4710" i="14" s="1"/>
  <c r="N4873" i="14"/>
  <c r="J4872" i="14" a="1"/>
  <c r="J4872" i="14" s="1"/>
  <c r="M4877" i="14"/>
  <c r="N4874" i="13"/>
  <c r="J4873" i="13" a="1"/>
  <c r="J4873" i="13" s="1"/>
  <c r="M4876" i="13"/>
  <c r="K4688" i="13" l="1"/>
  <c r="L4688" i="13" s="1"/>
  <c r="I4689" i="13" s="1"/>
  <c r="K4710" i="14"/>
  <c r="L4710" i="14" s="1"/>
  <c r="I4711" i="14" s="1"/>
  <c r="J4874" i="13" a="1"/>
  <c r="J4874" i="13" s="1"/>
  <c r="N4875" i="13"/>
  <c r="M4877" i="13"/>
  <c r="M4878" i="14"/>
  <c r="N4874" i="14"/>
  <c r="J4873" i="14" a="1"/>
  <c r="J4873" i="14" s="1"/>
  <c r="K4689" i="13" l="1"/>
  <c r="L4689" i="13" s="1"/>
  <c r="I4690" i="13" s="1"/>
  <c r="J4874" i="14" a="1"/>
  <c r="J4874" i="14" s="1"/>
  <c r="N4875" i="14"/>
  <c r="K4711" i="14"/>
  <c r="L4711" i="14" s="1"/>
  <c r="I4712" i="14" s="1"/>
  <c r="M4878" i="13"/>
  <c r="N4876" i="13"/>
  <c r="J4875" i="13" a="1"/>
  <c r="J4875" i="13" s="1"/>
  <c r="M4879" i="14"/>
  <c r="K4712" i="14" l="1"/>
  <c r="L4712" i="14" s="1"/>
  <c r="I4713" i="14" s="1"/>
  <c r="K4690" i="13"/>
  <c r="L4690" i="13" s="1"/>
  <c r="I4691" i="13" s="1"/>
  <c r="M4880" i="14"/>
  <c r="M4879" i="13"/>
  <c r="J4875" i="14" a="1"/>
  <c r="J4875" i="14" s="1"/>
  <c r="N4876" i="14"/>
  <c r="J4876" i="13" a="1"/>
  <c r="J4876" i="13" s="1"/>
  <c r="N4877" i="13"/>
  <c r="K4691" i="13" l="1"/>
  <c r="L4691" i="13" s="1"/>
  <c r="I4692" i="13" s="1"/>
  <c r="K4713" i="14"/>
  <c r="L4713" i="14" s="1"/>
  <c r="I4714" i="14" s="1"/>
  <c r="N4878" i="13"/>
  <c r="J4877" i="13" a="1"/>
  <c r="J4877" i="13" s="1"/>
  <c r="M4880" i="13"/>
  <c r="J4876" i="14" a="1"/>
  <c r="J4876" i="14" s="1"/>
  <c r="N4877" i="14"/>
  <c r="M4881" i="14"/>
  <c r="K4714" i="14" l="1"/>
  <c r="L4714" i="14" s="1"/>
  <c r="I4715" i="14" s="1"/>
  <c r="K4692" i="13"/>
  <c r="L4692" i="13" s="1"/>
  <c r="I4693" i="13" s="1"/>
  <c r="M4881" i="13"/>
  <c r="N4878" i="14"/>
  <c r="J4877" i="14" a="1"/>
  <c r="J4877" i="14" s="1"/>
  <c r="M4882" i="14"/>
  <c r="J4878" i="13" a="1"/>
  <c r="J4878" i="13" s="1"/>
  <c r="N4879" i="13"/>
  <c r="K4693" i="13" l="1"/>
  <c r="L4693" i="13" s="1"/>
  <c r="I4694" i="13" s="1"/>
  <c r="K4715" i="14"/>
  <c r="L4715" i="14" s="1"/>
  <c r="I4716" i="14" s="1"/>
  <c r="N4880" i="13"/>
  <c r="J4879" i="13" a="1"/>
  <c r="J4879" i="13" s="1"/>
  <c r="J4878" i="14" a="1"/>
  <c r="J4878" i="14" s="1"/>
  <c r="N4879" i="14"/>
  <c r="M4883" i="14"/>
  <c r="M4882" i="13"/>
  <c r="K4716" i="14" l="1"/>
  <c r="L4716" i="14" s="1"/>
  <c r="I4717" i="14" s="1"/>
  <c r="K4694" i="13"/>
  <c r="L4694" i="13" s="1"/>
  <c r="I4695" i="13" s="1"/>
  <c r="M4883" i="13"/>
  <c r="J4879" i="14" a="1"/>
  <c r="J4879" i="14" s="1"/>
  <c r="N4880" i="14"/>
  <c r="M4884" i="14"/>
  <c r="J4880" i="13" a="1"/>
  <c r="J4880" i="13" s="1"/>
  <c r="N4881" i="13"/>
  <c r="K4695" i="13" l="1"/>
  <c r="L4695" i="13" s="1"/>
  <c r="I4696" i="13" s="1"/>
  <c r="K4717" i="14"/>
  <c r="L4717" i="14" s="1"/>
  <c r="I4718" i="14" s="1"/>
  <c r="N4882" i="13"/>
  <c r="J4881" i="13" a="1"/>
  <c r="J4881" i="13" s="1"/>
  <c r="N4881" i="14"/>
  <c r="J4880" i="14" a="1"/>
  <c r="J4880" i="14" s="1"/>
  <c r="M4885" i="14"/>
  <c r="M4884" i="13"/>
  <c r="K4718" i="14" l="1"/>
  <c r="L4718" i="14" s="1"/>
  <c r="I4719" i="14" s="1"/>
  <c r="K4696" i="13"/>
  <c r="L4696" i="13" s="1"/>
  <c r="I4697" i="13" s="1"/>
  <c r="N4882" i="14"/>
  <c r="J4881" i="14" a="1"/>
  <c r="J4881" i="14" s="1"/>
  <c r="M4885" i="13"/>
  <c r="M4886" i="14"/>
  <c r="J4882" i="13" a="1"/>
  <c r="J4882" i="13" s="1"/>
  <c r="N4883" i="13"/>
  <c r="K4697" i="13" l="1"/>
  <c r="L4697" i="13" s="1"/>
  <c r="I4698" i="13" s="1"/>
  <c r="K4719" i="14"/>
  <c r="L4719" i="14" s="1"/>
  <c r="I4720" i="14" s="1"/>
  <c r="M4886" i="13"/>
  <c r="N4884" i="13"/>
  <c r="J4883" i="13" a="1"/>
  <c r="J4883" i="13" s="1"/>
  <c r="M4887" i="14"/>
  <c r="J4882" i="14" a="1"/>
  <c r="J4882" i="14" s="1"/>
  <c r="N4883" i="14"/>
  <c r="K4698" i="13" l="1"/>
  <c r="L4698" i="13" s="1"/>
  <c r="I4699" i="13" s="1"/>
  <c r="J4884" i="13" a="1"/>
  <c r="J4884" i="13" s="1"/>
  <c r="N4885" i="13"/>
  <c r="M4888" i="14"/>
  <c r="J4883" i="14" a="1"/>
  <c r="J4883" i="14" s="1"/>
  <c r="N4884" i="14"/>
  <c r="K4720" i="14"/>
  <c r="L4720" i="14" s="1"/>
  <c r="I4721" i="14" s="1"/>
  <c r="M4887" i="13"/>
  <c r="K4721" i="14" l="1"/>
  <c r="L4721" i="14" s="1"/>
  <c r="I4722" i="14" s="1"/>
  <c r="K4699" i="13"/>
  <c r="L4699" i="13" s="1"/>
  <c r="I4700" i="13" s="1"/>
  <c r="J4884" i="14" a="1"/>
  <c r="J4884" i="14" s="1"/>
  <c r="N4885" i="14"/>
  <c r="N4886" i="13"/>
  <c r="J4885" i="13" a="1"/>
  <c r="J4885" i="13" s="1"/>
  <c r="M4888" i="13"/>
  <c r="M4889" i="14"/>
  <c r="K4700" i="13" l="1"/>
  <c r="L4700" i="13" s="1"/>
  <c r="I4701" i="13" s="1"/>
  <c r="K4722" i="14"/>
  <c r="L4722" i="14" s="1"/>
  <c r="I4723" i="14" s="1"/>
  <c r="M4889" i="13"/>
  <c r="M4890" i="14"/>
  <c r="J4886" i="13" a="1"/>
  <c r="J4886" i="13" s="1"/>
  <c r="N4887" i="13"/>
  <c r="N4886" i="14"/>
  <c r="J4885" i="14" a="1"/>
  <c r="J4885" i="14" s="1"/>
  <c r="K4701" i="13" l="1"/>
  <c r="L4701" i="13" s="1"/>
  <c r="I4702" i="13" s="1"/>
  <c r="K4723" i="14"/>
  <c r="L4723" i="14" s="1"/>
  <c r="I4724" i="14" s="1"/>
  <c r="J4886" i="14" a="1"/>
  <c r="J4886" i="14" s="1"/>
  <c r="N4887" i="14"/>
  <c r="M4891" i="14"/>
  <c r="N4888" i="13"/>
  <c r="J4887" i="13" a="1"/>
  <c r="J4887" i="13" s="1"/>
  <c r="M4890" i="13"/>
  <c r="K4702" i="13" l="1"/>
  <c r="L4702" i="13" s="1"/>
  <c r="I4703" i="13" s="1"/>
  <c r="J4888" i="13" a="1"/>
  <c r="J4888" i="13" s="1"/>
  <c r="N4889" i="13"/>
  <c r="M4891" i="13"/>
  <c r="M4892" i="14"/>
  <c r="K4724" i="14"/>
  <c r="L4724" i="14" s="1"/>
  <c r="I4725" i="14" s="1"/>
  <c r="J4887" i="14" a="1"/>
  <c r="J4887" i="14" s="1"/>
  <c r="N4888" i="14"/>
  <c r="K4725" i="14" l="1"/>
  <c r="L4725" i="14" s="1"/>
  <c r="I4726" i="14" s="1"/>
  <c r="K4703" i="13"/>
  <c r="L4703" i="13" s="1"/>
  <c r="I4704" i="13" s="1"/>
  <c r="N4889" i="14"/>
  <c r="J4888" i="14" a="1"/>
  <c r="J4888" i="14" s="1"/>
  <c r="M4893" i="14"/>
  <c r="N4890" i="13"/>
  <c r="J4889" i="13" a="1"/>
  <c r="J4889" i="13" s="1"/>
  <c r="M4892" i="13"/>
  <c r="K4704" i="13" l="1"/>
  <c r="L4704" i="13" s="1"/>
  <c r="I4705" i="13" s="1"/>
  <c r="K4726" i="14"/>
  <c r="L4726" i="14" s="1"/>
  <c r="I4727" i="14" s="1"/>
  <c r="M4893" i="13"/>
  <c r="M4894" i="14"/>
  <c r="J4890" i="13" a="1"/>
  <c r="J4890" i="13" s="1"/>
  <c r="N4891" i="13"/>
  <c r="N4890" i="14"/>
  <c r="J4889" i="14" a="1"/>
  <c r="J4889" i="14" s="1"/>
  <c r="K4705" i="13" l="1"/>
  <c r="L4705" i="13" s="1"/>
  <c r="I4706" i="13" s="1"/>
  <c r="K4727" i="14"/>
  <c r="L4727" i="14" s="1"/>
  <c r="I4728" i="14" s="1"/>
  <c r="M4895" i="14"/>
  <c r="J4890" i="14" a="1"/>
  <c r="J4890" i="14" s="1"/>
  <c r="N4891" i="14"/>
  <c r="N4892" i="13"/>
  <c r="J4891" i="13" a="1"/>
  <c r="J4891" i="13" s="1"/>
  <c r="M4894" i="13"/>
  <c r="K4706" i="13" l="1"/>
  <c r="L4706" i="13" s="1"/>
  <c r="I4707" i="13" s="1"/>
  <c r="M4895" i="13"/>
  <c r="J4891" i="14" a="1"/>
  <c r="J4891" i="14" s="1"/>
  <c r="N4892" i="14"/>
  <c r="K4728" i="14"/>
  <c r="L4728" i="14" s="1"/>
  <c r="I4729" i="14" s="1"/>
  <c r="M4896" i="14"/>
  <c r="J4892" i="13" a="1"/>
  <c r="J4892" i="13" s="1"/>
  <c r="N4893" i="13"/>
  <c r="K4707" i="13" l="1"/>
  <c r="L4707" i="13" s="1"/>
  <c r="I4708" i="13" s="1"/>
  <c r="N4894" i="13"/>
  <c r="J4893" i="13" a="1"/>
  <c r="J4893" i="13" s="1"/>
  <c r="K4729" i="14"/>
  <c r="L4729" i="14" s="1"/>
  <c r="I4730" i="14" s="1"/>
  <c r="M4896" i="13"/>
  <c r="M4897" i="14"/>
  <c r="J4892" i="14" a="1"/>
  <c r="J4892" i="14" s="1"/>
  <c r="N4893" i="14"/>
  <c r="K4730" i="14" l="1"/>
  <c r="L4730" i="14" s="1"/>
  <c r="I4731" i="14" s="1"/>
  <c r="K4708" i="13"/>
  <c r="L4708" i="13" s="1"/>
  <c r="I4709" i="13" s="1"/>
  <c r="M4897" i="13"/>
  <c r="N4894" i="14"/>
  <c r="J4893" i="14" a="1"/>
  <c r="J4893" i="14" s="1"/>
  <c r="J4894" i="13" a="1"/>
  <c r="J4894" i="13" s="1"/>
  <c r="N4895" i="13"/>
  <c r="M4898" i="14"/>
  <c r="K4731" i="14" l="1"/>
  <c r="L4731" i="14" s="1"/>
  <c r="I4732" i="14" s="1"/>
  <c r="M4899" i="14"/>
  <c r="K4709" i="13"/>
  <c r="L4709" i="13" s="1"/>
  <c r="I4710" i="13" s="1"/>
  <c r="J4894" i="14" a="1"/>
  <c r="J4894" i="14" s="1"/>
  <c r="N4895" i="14"/>
  <c r="N4896" i="13"/>
  <c r="J4895" i="13" a="1"/>
  <c r="J4895" i="13" s="1"/>
  <c r="M4898" i="13"/>
  <c r="K4710" i="13" l="1"/>
  <c r="L4710" i="13" s="1"/>
  <c r="I4711" i="13" s="1"/>
  <c r="K4732" i="14"/>
  <c r="L4732" i="14" s="1"/>
  <c r="I4733" i="14" s="1"/>
  <c r="M4899" i="13"/>
  <c r="J4895" i="14" a="1"/>
  <c r="J4895" i="14" s="1"/>
  <c r="N4896" i="14"/>
  <c r="M4900" i="14"/>
  <c r="J4896" i="13" a="1"/>
  <c r="J4896" i="13" s="1"/>
  <c r="N4897" i="13"/>
  <c r="K4711" i="13" l="1"/>
  <c r="L4711" i="13" s="1"/>
  <c r="I4712" i="13" s="1"/>
  <c r="N4898" i="13"/>
  <c r="J4897" i="13" a="1"/>
  <c r="J4897" i="13" s="1"/>
  <c r="N4897" i="14"/>
  <c r="J4896" i="14" a="1"/>
  <c r="J4896" i="14" s="1"/>
  <c r="K4733" i="14"/>
  <c r="L4733" i="14" s="1"/>
  <c r="I4734" i="14" s="1"/>
  <c r="M4901" i="14"/>
  <c r="M4900" i="13"/>
  <c r="K4712" i="13" l="1"/>
  <c r="L4712" i="13" s="1"/>
  <c r="I4713" i="13" s="1"/>
  <c r="M4902" i="14"/>
  <c r="M4901" i="13"/>
  <c r="J4898" i="13" a="1"/>
  <c r="J4898" i="13" s="1"/>
  <c r="N4899" i="13"/>
  <c r="K4734" i="14"/>
  <c r="L4734" i="14" s="1"/>
  <c r="I4735" i="14" s="1"/>
  <c r="N4898" i="14"/>
  <c r="J4897" i="14" a="1"/>
  <c r="J4897" i="14" s="1"/>
  <c r="K4735" i="14" l="1"/>
  <c r="L4735" i="14" s="1"/>
  <c r="I4736" i="14" s="1"/>
  <c r="K4713" i="13"/>
  <c r="L4713" i="13" s="1"/>
  <c r="I4714" i="13" s="1"/>
  <c r="N4900" i="13"/>
  <c r="J4899" i="13" a="1"/>
  <c r="J4899" i="13" s="1"/>
  <c r="M4903" i="14"/>
  <c r="J4898" i="14" a="1"/>
  <c r="J4898" i="14" s="1"/>
  <c r="N4899" i="14"/>
  <c r="M4902" i="13"/>
  <c r="K4736" i="14" l="1"/>
  <c r="L4736" i="14" s="1"/>
  <c r="I4737" i="14" s="1"/>
  <c r="M4903" i="13"/>
  <c r="M4904" i="14"/>
  <c r="K4714" i="13"/>
  <c r="L4714" i="13" s="1"/>
  <c r="I4715" i="13" s="1"/>
  <c r="J4899" i="14" a="1"/>
  <c r="J4899" i="14" s="1"/>
  <c r="N4900" i="14"/>
  <c r="J4900" i="13" a="1"/>
  <c r="J4900" i="13" s="1"/>
  <c r="N4901" i="13"/>
  <c r="K4737" i="14" l="1"/>
  <c r="L4737" i="14" s="1"/>
  <c r="I4738" i="14" s="1"/>
  <c r="N4902" i="13"/>
  <c r="J4901" i="13" a="1"/>
  <c r="J4901" i="13" s="1"/>
  <c r="M4904" i="13"/>
  <c r="K4715" i="13"/>
  <c r="L4715" i="13" s="1"/>
  <c r="I4716" i="13" s="1"/>
  <c r="J4900" i="14" a="1"/>
  <c r="J4900" i="14" s="1"/>
  <c r="N4901" i="14"/>
  <c r="M4905" i="14"/>
  <c r="K4716" i="13" l="1"/>
  <c r="L4716" i="13" s="1"/>
  <c r="I4717" i="13" s="1"/>
  <c r="K4738" i="14"/>
  <c r="L4738" i="14" s="1"/>
  <c r="I4739" i="14" s="1"/>
  <c r="J4902" i="13" a="1"/>
  <c r="J4902" i="13" s="1"/>
  <c r="N4903" i="13"/>
  <c r="M4906" i="14"/>
  <c r="N4902" i="14"/>
  <c r="J4901" i="14" a="1"/>
  <c r="J4901" i="14" s="1"/>
  <c r="M4905" i="13"/>
  <c r="K4717" i="13" l="1"/>
  <c r="L4717" i="13" s="1"/>
  <c r="I4718" i="13" s="1"/>
  <c r="M4907" i="14"/>
  <c r="M4906" i="13"/>
  <c r="K4739" i="14"/>
  <c r="L4739" i="14" s="1"/>
  <c r="I4740" i="14" s="1"/>
  <c r="N4904" i="13"/>
  <c r="J4903" i="13" a="1"/>
  <c r="J4903" i="13" s="1"/>
  <c r="J4902" i="14" a="1"/>
  <c r="J4902" i="14" s="1"/>
  <c r="N4903" i="14"/>
  <c r="K4718" i="13" l="1"/>
  <c r="L4718" i="13" s="1"/>
  <c r="I4719" i="13" s="1"/>
  <c r="J4903" i="14" a="1"/>
  <c r="J4903" i="14" s="1"/>
  <c r="N4904" i="14"/>
  <c r="M4908" i="14"/>
  <c r="K4740" i="14"/>
  <c r="L4740" i="14" s="1"/>
  <c r="I4741" i="14" s="1"/>
  <c r="M4907" i="13"/>
  <c r="J4904" i="13" a="1"/>
  <c r="J4904" i="13" s="1"/>
  <c r="N4905" i="13"/>
  <c r="K4741" i="14" l="1"/>
  <c r="L4741" i="14" s="1"/>
  <c r="I4742" i="14" s="1"/>
  <c r="K4719" i="13"/>
  <c r="L4719" i="13" s="1"/>
  <c r="I4720" i="13" s="1"/>
  <c r="N4905" i="14"/>
  <c r="J4904" i="14" a="1"/>
  <c r="J4904" i="14" s="1"/>
  <c r="N4906" i="13"/>
  <c r="J4905" i="13" a="1"/>
  <c r="J4905" i="13" s="1"/>
  <c r="M4909" i="14"/>
  <c r="M4908" i="13"/>
  <c r="K4720" i="13" l="1"/>
  <c r="L4720" i="13" s="1"/>
  <c r="I4721" i="13" s="1"/>
  <c r="K4742" i="14"/>
  <c r="L4742" i="14" s="1"/>
  <c r="I4743" i="14" s="1"/>
  <c r="M4909" i="13"/>
  <c r="J4906" i="13" a="1"/>
  <c r="J4906" i="13" s="1"/>
  <c r="N4907" i="13"/>
  <c r="M4910" i="14"/>
  <c r="N4906" i="14"/>
  <c r="J4905" i="14" a="1"/>
  <c r="J4905" i="14" s="1"/>
  <c r="K4743" i="14" l="1"/>
  <c r="L4743" i="14" s="1"/>
  <c r="I4744" i="14" s="1"/>
  <c r="K4721" i="13"/>
  <c r="L4721" i="13" s="1"/>
  <c r="I4722" i="13" s="1"/>
  <c r="N4908" i="13"/>
  <c r="J4907" i="13" a="1"/>
  <c r="J4907" i="13" s="1"/>
  <c r="J4906" i="14" a="1"/>
  <c r="J4906" i="14" s="1"/>
  <c r="N4907" i="14"/>
  <c r="M4911" i="14"/>
  <c r="M4910" i="13"/>
  <c r="K4744" i="14" l="1"/>
  <c r="L4744" i="14" s="1"/>
  <c r="I4745" i="14" s="1"/>
  <c r="M4911" i="13"/>
  <c r="J4907" i="14" a="1"/>
  <c r="J4907" i="14" s="1"/>
  <c r="N4908" i="14"/>
  <c r="K4722" i="13"/>
  <c r="L4722" i="13" s="1"/>
  <c r="I4723" i="13" s="1"/>
  <c r="M4912" i="14"/>
  <c r="J4908" i="13" a="1"/>
  <c r="J4908" i="13" s="1"/>
  <c r="N4909" i="13"/>
  <c r="K4745" i="14" l="1"/>
  <c r="L4745" i="14" s="1"/>
  <c r="I4746" i="14" s="1"/>
  <c r="M4913" i="14"/>
  <c r="N4910" i="13"/>
  <c r="J4909" i="13" a="1"/>
  <c r="J4909" i="13" s="1"/>
  <c r="K4723" i="13"/>
  <c r="L4723" i="13" s="1"/>
  <c r="I4724" i="13" s="1"/>
  <c r="M4912" i="13"/>
  <c r="J4908" i="14" a="1"/>
  <c r="J4908" i="14" s="1"/>
  <c r="N4909" i="14"/>
  <c r="K4746" i="14" l="1"/>
  <c r="L4746" i="14" s="1"/>
  <c r="I4747" i="14" s="1"/>
  <c r="K4724" i="13"/>
  <c r="L4724" i="13" s="1"/>
  <c r="I4725" i="13" s="1"/>
  <c r="N4910" i="14"/>
  <c r="J4909" i="14" a="1"/>
  <c r="J4909" i="14" s="1"/>
  <c r="M4914" i="14"/>
  <c r="M4913" i="13"/>
  <c r="J4910" i="13" a="1"/>
  <c r="J4910" i="13" s="1"/>
  <c r="N4911" i="13"/>
  <c r="K4747" i="14" l="1"/>
  <c r="L4747" i="14" s="1"/>
  <c r="I4748" i="14" s="1"/>
  <c r="N4912" i="13"/>
  <c r="J4911" i="13" a="1"/>
  <c r="J4911" i="13" s="1"/>
  <c r="M4915" i="14"/>
  <c r="K4725" i="13"/>
  <c r="L4725" i="13" s="1"/>
  <c r="I4726" i="13" s="1"/>
  <c r="M4914" i="13"/>
  <c r="J4910" i="14" a="1"/>
  <c r="J4910" i="14" s="1"/>
  <c r="N4911" i="14"/>
  <c r="K4726" i="13" l="1"/>
  <c r="L4726" i="13" s="1"/>
  <c r="I4727" i="13" s="1"/>
  <c r="K4748" i="14"/>
  <c r="L4748" i="14" s="1"/>
  <c r="I4749" i="14" s="1"/>
  <c r="J4912" i="13" a="1"/>
  <c r="J4912" i="13" s="1"/>
  <c r="N4913" i="13"/>
  <c r="N4912" i="14"/>
  <c r="J4911" i="14" a="1"/>
  <c r="J4911" i="14" s="1"/>
  <c r="M4915" i="13"/>
  <c r="M4916" i="14"/>
  <c r="K4727" i="13" l="1"/>
  <c r="L4727" i="13" s="1"/>
  <c r="I4728" i="13" s="1"/>
  <c r="K4749" i="14"/>
  <c r="L4749" i="14" s="1"/>
  <c r="I4750" i="14" s="1"/>
  <c r="M4917" i="14"/>
  <c r="J4912" i="14" a="1"/>
  <c r="J4912" i="14" s="1"/>
  <c r="N4913" i="14"/>
  <c r="N4914" i="13"/>
  <c r="J4913" i="13" a="1"/>
  <c r="J4913" i="13" s="1"/>
  <c r="M4916" i="13"/>
  <c r="K4728" i="13" l="1"/>
  <c r="L4728" i="13" s="1"/>
  <c r="I4729" i="13" s="1"/>
  <c r="M4917" i="13"/>
  <c r="N4914" i="14"/>
  <c r="J4913" i="14" a="1"/>
  <c r="J4913" i="14" s="1"/>
  <c r="K4750" i="14"/>
  <c r="L4750" i="14" s="1"/>
  <c r="I4751" i="14" s="1"/>
  <c r="J4914" i="13" a="1"/>
  <c r="J4914" i="13" s="1"/>
  <c r="N4915" i="13"/>
  <c r="M4918" i="14"/>
  <c r="K4729" i="13" l="1"/>
  <c r="L4729" i="13" s="1"/>
  <c r="I4730" i="13" s="1"/>
  <c r="M4919" i="14"/>
  <c r="K4751" i="14"/>
  <c r="L4751" i="14" s="1"/>
  <c r="I4752" i="14" s="1"/>
  <c r="M4918" i="13"/>
  <c r="N4916" i="13"/>
  <c r="J4915" i="13" a="1"/>
  <c r="J4915" i="13" s="1"/>
  <c r="N4915" i="14"/>
  <c r="J4914" i="14" a="1"/>
  <c r="J4914" i="14" s="1"/>
  <c r="K4752" i="14" l="1"/>
  <c r="L4752" i="14" s="1"/>
  <c r="I4753" i="14" s="1"/>
  <c r="K4730" i="13"/>
  <c r="L4730" i="13" s="1"/>
  <c r="I4731" i="13" s="1"/>
  <c r="M4919" i="13"/>
  <c r="M4920" i="14"/>
  <c r="N4916" i="14"/>
  <c r="J4915" i="14" a="1"/>
  <c r="J4915" i="14" s="1"/>
  <c r="J4916" i="13" a="1"/>
  <c r="J4916" i="13" s="1"/>
  <c r="N4917" i="13"/>
  <c r="K4753" i="14" l="1"/>
  <c r="L4753" i="14" s="1"/>
  <c r="I4754" i="14" s="1"/>
  <c r="N4918" i="13"/>
  <c r="J4917" i="13" a="1"/>
  <c r="J4917" i="13" s="1"/>
  <c r="M4921" i="14"/>
  <c r="K4731" i="13"/>
  <c r="L4731" i="13" s="1"/>
  <c r="I4732" i="13" s="1"/>
  <c r="J4916" i="14" a="1"/>
  <c r="J4916" i="14" s="1"/>
  <c r="N4917" i="14"/>
  <c r="M4920" i="13"/>
  <c r="K4732" i="13" l="1"/>
  <c r="L4732" i="13" s="1"/>
  <c r="I4733" i="13" s="1"/>
  <c r="K4754" i="14"/>
  <c r="L4754" i="14" s="1"/>
  <c r="I4755" i="14" s="1"/>
  <c r="M4921" i="13"/>
  <c r="J4918" i="13" a="1"/>
  <c r="J4918" i="13" s="1"/>
  <c r="N4919" i="13"/>
  <c r="N4918" i="14"/>
  <c r="J4917" i="14" a="1"/>
  <c r="J4917" i="14" s="1"/>
  <c r="M4922" i="14"/>
  <c r="K4733" i="13" l="1"/>
  <c r="L4733" i="13" s="1"/>
  <c r="I4734" i="13" s="1"/>
  <c r="M4923" i="14"/>
  <c r="N4920" i="13"/>
  <c r="J4919" i="13" a="1"/>
  <c r="J4919" i="13" s="1"/>
  <c r="K4755" i="14"/>
  <c r="L4755" i="14" s="1"/>
  <c r="I4756" i="14" s="1"/>
  <c r="N4919" i="14"/>
  <c r="J4918" i="14" a="1"/>
  <c r="J4918" i="14" s="1"/>
  <c r="M4922" i="13"/>
  <c r="K4734" i="13" l="1"/>
  <c r="L4734" i="13" s="1"/>
  <c r="I4735" i="13" s="1"/>
  <c r="N4920" i="14"/>
  <c r="J4919" i="14" a="1"/>
  <c r="J4919" i="14" s="1"/>
  <c r="M4923" i="13"/>
  <c r="K4756" i="14"/>
  <c r="L4756" i="14" s="1"/>
  <c r="I4757" i="14" s="1"/>
  <c r="M4924" i="14"/>
  <c r="J4920" i="13" a="1"/>
  <c r="J4920" i="13" s="1"/>
  <c r="N4921" i="13"/>
  <c r="K4757" i="14" l="1"/>
  <c r="L4757" i="14" s="1"/>
  <c r="I4758" i="14" s="1"/>
  <c r="K4735" i="13"/>
  <c r="L4735" i="13" s="1"/>
  <c r="I4736" i="13" s="1"/>
  <c r="J4920" i="14" a="1"/>
  <c r="J4920" i="14" s="1"/>
  <c r="N4921" i="14"/>
  <c r="N4922" i="13"/>
  <c r="J4921" i="13" a="1"/>
  <c r="J4921" i="13" s="1"/>
  <c r="M4925" i="14"/>
  <c r="M4924" i="13"/>
  <c r="K4758" i="14" l="1"/>
  <c r="L4758" i="14" s="1"/>
  <c r="I4759" i="14" s="1"/>
  <c r="K4736" i="13"/>
  <c r="L4736" i="13" s="1"/>
  <c r="I4737" i="13" s="1"/>
  <c r="M4925" i="13"/>
  <c r="J4922" i="13" a="1"/>
  <c r="J4922" i="13" s="1"/>
  <c r="N4923" i="13"/>
  <c r="M4926" i="14"/>
  <c r="N4922" i="14"/>
  <c r="J4921" i="14" a="1"/>
  <c r="J4921" i="14" s="1"/>
  <c r="K4737" i="13" l="1"/>
  <c r="L4737" i="13" s="1"/>
  <c r="I4738" i="13" s="1"/>
  <c r="K4759" i="14"/>
  <c r="L4759" i="14" s="1"/>
  <c r="I4760" i="14" s="1"/>
  <c r="N4924" i="13"/>
  <c r="J4923" i="13" a="1"/>
  <c r="J4923" i="13" s="1"/>
  <c r="N4923" i="14"/>
  <c r="J4922" i="14" a="1"/>
  <c r="J4922" i="14" s="1"/>
  <c r="M4927" i="14"/>
  <c r="M4926" i="13"/>
  <c r="K4760" i="14" l="1"/>
  <c r="L4760" i="14" s="1"/>
  <c r="I4761" i="14" s="1"/>
  <c r="K4738" i="13"/>
  <c r="L4738" i="13" s="1"/>
  <c r="I4739" i="13" s="1"/>
  <c r="M4927" i="13"/>
  <c r="N4924" i="14"/>
  <c r="J4923" i="14" a="1"/>
  <c r="J4923" i="14" s="1"/>
  <c r="M4928" i="14"/>
  <c r="J4924" i="13" a="1"/>
  <c r="J4924" i="13" s="1"/>
  <c r="N4925" i="13"/>
  <c r="K4761" i="14" l="1"/>
  <c r="L4761" i="14" s="1"/>
  <c r="I4762" i="14" s="1"/>
  <c r="N4926" i="13"/>
  <c r="J4925" i="13" a="1"/>
  <c r="J4925" i="13" s="1"/>
  <c r="K4739" i="13"/>
  <c r="L4739" i="13" s="1"/>
  <c r="I4740" i="13" s="1"/>
  <c r="J4924" i="14" a="1"/>
  <c r="J4924" i="14" s="1"/>
  <c r="N4925" i="14"/>
  <c r="M4929" i="14"/>
  <c r="M4928" i="13"/>
  <c r="K4740" i="13" l="1"/>
  <c r="L4740" i="13" s="1"/>
  <c r="I4741" i="13" s="1"/>
  <c r="K4762" i="14"/>
  <c r="L4762" i="14" s="1"/>
  <c r="I4763" i="14" s="1"/>
  <c r="M4929" i="13"/>
  <c r="J4926" i="13" a="1"/>
  <c r="J4926" i="13" s="1"/>
  <c r="N4927" i="13"/>
  <c r="N4926" i="14"/>
  <c r="J4925" i="14" a="1"/>
  <c r="J4925" i="14" s="1"/>
  <c r="M4930" i="14"/>
  <c r="K4741" i="13" l="1"/>
  <c r="L4741" i="13" s="1"/>
  <c r="I4742" i="13" s="1"/>
  <c r="M4931" i="14"/>
  <c r="N4928" i="13"/>
  <c r="J4927" i="13" a="1"/>
  <c r="J4927" i="13" s="1"/>
  <c r="K4763" i="14"/>
  <c r="L4763" i="14" s="1"/>
  <c r="I4764" i="14" s="1"/>
  <c r="J4926" i="14" a="1"/>
  <c r="J4926" i="14" s="1"/>
  <c r="N4927" i="14"/>
  <c r="M4930" i="13"/>
  <c r="K4742" i="13" l="1"/>
  <c r="L4742" i="13" s="1"/>
  <c r="I4743" i="13" s="1"/>
  <c r="M4931" i="13"/>
  <c r="M4932" i="14"/>
  <c r="N4928" i="14"/>
  <c r="J4927" i="14" a="1"/>
  <c r="J4927" i="14" s="1"/>
  <c r="K4764" i="14"/>
  <c r="L4764" i="14" s="1"/>
  <c r="I4765" i="14" s="1"/>
  <c r="J4928" i="13" a="1"/>
  <c r="J4928" i="13" s="1"/>
  <c r="N4929" i="13"/>
  <c r="K4765" i="14" l="1"/>
  <c r="L4765" i="14" s="1"/>
  <c r="I4766" i="14" s="1"/>
  <c r="K4743" i="13"/>
  <c r="L4743" i="13" s="1"/>
  <c r="I4744" i="13" s="1"/>
  <c r="N4930" i="13"/>
  <c r="J4929" i="13" a="1"/>
  <c r="J4929" i="13" s="1"/>
  <c r="M4932" i="13"/>
  <c r="J4928" i="14" a="1"/>
  <c r="J4928" i="14" s="1"/>
  <c r="N4929" i="14"/>
  <c r="M4933" i="14"/>
  <c r="K4766" i="14" l="1"/>
  <c r="L4766" i="14" s="1"/>
  <c r="I4767" i="14" s="1"/>
  <c r="M4933" i="13"/>
  <c r="M4934" i="14"/>
  <c r="K4744" i="13"/>
  <c r="L4744" i="13" s="1"/>
  <c r="I4745" i="13" s="1"/>
  <c r="J4929" i="14" a="1"/>
  <c r="J4929" i="14" s="1"/>
  <c r="N4930" i="14"/>
  <c r="J4930" i="13" a="1"/>
  <c r="J4930" i="13" s="1"/>
  <c r="N4931" i="13"/>
  <c r="K4767" i="14" l="1"/>
  <c r="L4767" i="14" s="1"/>
  <c r="I4768" i="14" s="1"/>
  <c r="N4932" i="13"/>
  <c r="J4931" i="13" a="1"/>
  <c r="J4931" i="13" s="1"/>
  <c r="K4745" i="13"/>
  <c r="L4745" i="13" s="1"/>
  <c r="I4746" i="13" s="1"/>
  <c r="M4934" i="13"/>
  <c r="J4930" i="14" a="1"/>
  <c r="J4930" i="14" s="1"/>
  <c r="N4931" i="14"/>
  <c r="M4935" i="14"/>
  <c r="K4746" i="13" l="1"/>
  <c r="L4746" i="13" s="1"/>
  <c r="I4747" i="13" s="1"/>
  <c r="K4768" i="14"/>
  <c r="L4768" i="14" s="1"/>
  <c r="I4769" i="14" s="1"/>
  <c r="J4932" i="13" a="1"/>
  <c r="J4932" i="13" s="1"/>
  <c r="N4933" i="13"/>
  <c r="N4932" i="14"/>
  <c r="J4931" i="14" a="1"/>
  <c r="J4931" i="14" s="1"/>
  <c r="M4935" i="13"/>
  <c r="M4936" i="14"/>
  <c r="M4937" i="14" l="1"/>
  <c r="M4936" i="13"/>
  <c r="K4769" i="14"/>
  <c r="L4769" i="14" s="1"/>
  <c r="I4770" i="14" s="1"/>
  <c r="J4932" i="14" a="1"/>
  <c r="J4932" i="14" s="1"/>
  <c r="N4933" i="14"/>
  <c r="N4934" i="13"/>
  <c r="J4933" i="13" a="1"/>
  <c r="J4933" i="13" s="1"/>
  <c r="K4747" i="13"/>
  <c r="L4747" i="13" s="1"/>
  <c r="I4748" i="13" s="1"/>
  <c r="K4748" i="13" l="1"/>
  <c r="L4748" i="13" s="1"/>
  <c r="I4749" i="13" s="1"/>
  <c r="K4770" i="14"/>
  <c r="L4770" i="14" s="1"/>
  <c r="I4771" i="14" s="1"/>
  <c r="J4933" i="14" a="1"/>
  <c r="J4933" i="14" s="1"/>
  <c r="N4934" i="14"/>
  <c r="M4937" i="13"/>
  <c r="J4934" i="13" a="1"/>
  <c r="J4934" i="13" s="1"/>
  <c r="N4935" i="13"/>
  <c r="M4938" i="14"/>
  <c r="K4749" i="13" l="1"/>
  <c r="L4749" i="13" s="1"/>
  <c r="I4750" i="13" s="1"/>
  <c r="M4939" i="14"/>
  <c r="M4938" i="13"/>
  <c r="K4771" i="14"/>
  <c r="L4771" i="14" s="1"/>
  <c r="I4772" i="14" s="1"/>
  <c r="N4935" i="14"/>
  <c r="J4934" i="14" a="1"/>
  <c r="J4934" i="14" s="1"/>
  <c r="N4936" i="13"/>
  <c r="J4935" i="13" a="1"/>
  <c r="J4935" i="13" s="1"/>
  <c r="K4750" i="13" l="1"/>
  <c r="L4750" i="13" s="1"/>
  <c r="I4751" i="13" s="1"/>
  <c r="J4936" i="13" a="1"/>
  <c r="J4936" i="13" s="1"/>
  <c r="N4937" i="13"/>
  <c r="K4772" i="14"/>
  <c r="L4772" i="14" s="1"/>
  <c r="I4773" i="14" s="1"/>
  <c r="M4940" i="14"/>
  <c r="M4939" i="13"/>
  <c r="N4936" i="14"/>
  <c r="J4935" i="14" a="1"/>
  <c r="J4935" i="14" s="1"/>
  <c r="K4773" i="14" l="1"/>
  <c r="L4773" i="14" s="1"/>
  <c r="I4774" i="14" s="1"/>
  <c r="K4751" i="13"/>
  <c r="L4751" i="13" s="1"/>
  <c r="I4752" i="13" s="1"/>
  <c r="N4938" i="13"/>
  <c r="J4937" i="13" a="1"/>
  <c r="J4937" i="13" s="1"/>
  <c r="J4936" i="14" a="1"/>
  <c r="J4936" i="14" s="1"/>
  <c r="N4937" i="14"/>
  <c r="M4941" i="14"/>
  <c r="M4940" i="13"/>
  <c r="K4752" i="13" l="1"/>
  <c r="L4752" i="13" s="1"/>
  <c r="I4753" i="13" s="1"/>
  <c r="K4774" i="14"/>
  <c r="L4774" i="14" s="1"/>
  <c r="I4775" i="14" s="1"/>
  <c r="N4938" i="14"/>
  <c r="J4937" i="14" a="1"/>
  <c r="J4937" i="14" s="1"/>
  <c r="M4942" i="14"/>
  <c r="M4941" i="13"/>
  <c r="J4938" i="13" a="1"/>
  <c r="J4938" i="13" s="1"/>
  <c r="N4939" i="13"/>
  <c r="K4775" i="14" l="1"/>
  <c r="L4775" i="14" s="1"/>
  <c r="I4776" i="14" s="1"/>
  <c r="K4753" i="13"/>
  <c r="L4753" i="13" s="1"/>
  <c r="I4754" i="13" s="1"/>
  <c r="N4940" i="13"/>
  <c r="J4939" i="13" a="1"/>
  <c r="J4939" i="13" s="1"/>
  <c r="M4943" i="14"/>
  <c r="M4942" i="13"/>
  <c r="N4939" i="14"/>
  <c r="J4938" i="14" a="1"/>
  <c r="J4938" i="14" s="1"/>
  <c r="K4776" i="14" l="1"/>
  <c r="L4776" i="14" s="1"/>
  <c r="I4777" i="14" s="1"/>
  <c r="N4940" i="14"/>
  <c r="J4939" i="14" a="1"/>
  <c r="J4939" i="14" s="1"/>
  <c r="K4754" i="13"/>
  <c r="L4754" i="13" s="1"/>
  <c r="I4755" i="13" s="1"/>
  <c r="M4944" i="14"/>
  <c r="M4943" i="13"/>
  <c r="J4940" i="13" a="1"/>
  <c r="J4940" i="13" s="1"/>
  <c r="N4941" i="13"/>
  <c r="K4755" i="13" l="1"/>
  <c r="L4755" i="13" s="1"/>
  <c r="I4756" i="13" s="1"/>
  <c r="K4777" i="14"/>
  <c r="L4777" i="14" s="1"/>
  <c r="I4778" i="14" s="1"/>
  <c r="N4942" i="13"/>
  <c r="J4941" i="13" a="1"/>
  <c r="J4941" i="13" s="1"/>
  <c r="M4945" i="14"/>
  <c r="J4940" i="14" a="1"/>
  <c r="J4940" i="14" s="1"/>
  <c r="N4941" i="14"/>
  <c r="M4944" i="13"/>
  <c r="K4778" i="14" l="1"/>
  <c r="L4778" i="14" s="1"/>
  <c r="I4779" i="14" s="1"/>
  <c r="K4756" i="13"/>
  <c r="L4756" i="13" s="1"/>
  <c r="I4757" i="13" s="1"/>
  <c r="M4945" i="13"/>
  <c r="M4946" i="14"/>
  <c r="N4942" i="14"/>
  <c r="J4941" i="14" a="1"/>
  <c r="J4941" i="14" s="1"/>
  <c r="J4942" i="13" a="1"/>
  <c r="J4942" i="13" s="1"/>
  <c r="N4943" i="13"/>
  <c r="K4757" i="13" l="1"/>
  <c r="L4757" i="13" s="1"/>
  <c r="I4758" i="13" s="1"/>
  <c r="N4944" i="13"/>
  <c r="J4943" i="13" a="1"/>
  <c r="J4943" i="13" s="1"/>
  <c r="M4947" i="14"/>
  <c r="N4943" i="14"/>
  <c r="J4942" i="14" a="1"/>
  <c r="J4942" i="14" s="1"/>
  <c r="M4946" i="13"/>
  <c r="K4779" i="14"/>
  <c r="L4779" i="14" s="1"/>
  <c r="I4780" i="14" s="1"/>
  <c r="K4780" i="14" l="1"/>
  <c r="L4780" i="14" s="1"/>
  <c r="I4781" i="14" s="1"/>
  <c r="K4758" i="13"/>
  <c r="L4758" i="13" s="1"/>
  <c r="I4759" i="13" s="1"/>
  <c r="N4944" i="14"/>
  <c r="J4943" i="14" a="1"/>
  <c r="J4943" i="14" s="1"/>
  <c r="J4944" i="13" a="1"/>
  <c r="J4944" i="13" s="1"/>
  <c r="N4945" i="13"/>
  <c r="M4947" i="13"/>
  <c r="M4948" i="14"/>
  <c r="K4781" i="14" l="1"/>
  <c r="L4781" i="14" s="1"/>
  <c r="I4782" i="14" s="1"/>
  <c r="M4949" i="14"/>
  <c r="N4946" i="13"/>
  <c r="J4945" i="13" a="1"/>
  <c r="J4945" i="13" s="1"/>
  <c r="K4759" i="13"/>
  <c r="L4759" i="13" s="1"/>
  <c r="I4760" i="13" s="1"/>
  <c r="M4948" i="13"/>
  <c r="J4944" i="14" a="1"/>
  <c r="J4944" i="14" s="1"/>
  <c r="N4945" i="14"/>
  <c r="K4782" i="14" l="1"/>
  <c r="L4782" i="14" s="1"/>
  <c r="I4783" i="14" s="1"/>
  <c r="N4946" i="14"/>
  <c r="J4945" i="14" a="1"/>
  <c r="J4945" i="14" s="1"/>
  <c r="K4760" i="13"/>
  <c r="L4760" i="13" s="1"/>
  <c r="I4761" i="13" s="1"/>
  <c r="M4950" i="14"/>
  <c r="M4949" i="13"/>
  <c r="J4946" i="13" a="1"/>
  <c r="J4946" i="13" s="1"/>
  <c r="N4947" i="13"/>
  <c r="K4761" i="13" l="1"/>
  <c r="L4761" i="13" s="1"/>
  <c r="I4762" i="13" s="1"/>
  <c r="K4783" i="14"/>
  <c r="L4783" i="14" s="1"/>
  <c r="I4784" i="14" s="1"/>
  <c r="N4948" i="13"/>
  <c r="J4947" i="13" a="1"/>
  <c r="J4947" i="13" s="1"/>
  <c r="M4951" i="14"/>
  <c r="N4947" i="14"/>
  <c r="J4946" i="14" a="1"/>
  <c r="J4946" i="14" s="1"/>
  <c r="M4950" i="13"/>
  <c r="K4762" i="13" l="1"/>
  <c r="L4762" i="13" s="1"/>
  <c r="I4763" i="13" s="1"/>
  <c r="M4951" i="13"/>
  <c r="M4952" i="14"/>
  <c r="K4784" i="14"/>
  <c r="L4784" i="14" s="1"/>
  <c r="I4785" i="14" s="1"/>
  <c r="N4948" i="14"/>
  <c r="J4947" i="14" a="1"/>
  <c r="J4947" i="14" s="1"/>
  <c r="J4948" i="13" a="1"/>
  <c r="J4948" i="13" s="1"/>
  <c r="N4949" i="13"/>
  <c r="K4763" i="13" l="1"/>
  <c r="L4763" i="13" s="1"/>
  <c r="I4764" i="13" s="1"/>
  <c r="N4950" i="13"/>
  <c r="J4949" i="13" a="1"/>
  <c r="J4949" i="13" s="1"/>
  <c r="K4785" i="14"/>
  <c r="L4785" i="14" s="1"/>
  <c r="I4786" i="14" s="1"/>
  <c r="M4952" i="13"/>
  <c r="J4948" i="14" a="1"/>
  <c r="J4948" i="14" s="1"/>
  <c r="N4949" i="14"/>
  <c r="M4953" i="14"/>
  <c r="K4786" i="14" l="1"/>
  <c r="L4786" i="14" s="1"/>
  <c r="I4787" i="14" s="1"/>
  <c r="K4764" i="13"/>
  <c r="L4764" i="13" s="1"/>
  <c r="I4765" i="13" s="1"/>
  <c r="M4954" i="14"/>
  <c r="M4953" i="13"/>
  <c r="J4950" i="13" a="1"/>
  <c r="J4950" i="13" s="1"/>
  <c r="N4951" i="13"/>
  <c r="N4950" i="14"/>
  <c r="J4949" i="14" a="1"/>
  <c r="J4949" i="14" s="1"/>
  <c r="K4765" i="13" l="1"/>
  <c r="L4765" i="13" s="1"/>
  <c r="I4766" i="13" s="1"/>
  <c r="K4787" i="14"/>
  <c r="L4787" i="14" s="1"/>
  <c r="I4788" i="14" s="1"/>
  <c r="N4951" i="14"/>
  <c r="J4950" i="14" a="1"/>
  <c r="J4950" i="14" s="1"/>
  <c r="M4954" i="13"/>
  <c r="N4952" i="13"/>
  <c r="J4951" i="13" a="1"/>
  <c r="J4951" i="13" s="1"/>
  <c r="M4955" i="14"/>
  <c r="K4766" i="13" l="1"/>
  <c r="L4766" i="13" s="1"/>
  <c r="I4767" i="13" s="1"/>
  <c r="M4955" i="13"/>
  <c r="M4956" i="14"/>
  <c r="K4788" i="14"/>
  <c r="L4788" i="14" s="1"/>
  <c r="I4789" i="14" s="1"/>
  <c r="J4952" i="13" a="1"/>
  <c r="J4952" i="13" s="1"/>
  <c r="N4953" i="13"/>
  <c r="N4952" i="14"/>
  <c r="J4951" i="14" a="1"/>
  <c r="J4951" i="14" s="1"/>
  <c r="K4767" i="13" l="1"/>
  <c r="L4767" i="13" s="1"/>
  <c r="I4768" i="13" s="1"/>
  <c r="N4954" i="13"/>
  <c r="J4953" i="13" a="1"/>
  <c r="J4953" i="13" s="1"/>
  <c r="K4789" i="14"/>
  <c r="L4789" i="14" s="1"/>
  <c r="I4790" i="14" s="1"/>
  <c r="M4956" i="13"/>
  <c r="J4952" i="14" a="1"/>
  <c r="J4952" i="14" s="1"/>
  <c r="N4953" i="14"/>
  <c r="M4957" i="14"/>
  <c r="K4790" i="14" l="1"/>
  <c r="L4790" i="14" s="1"/>
  <c r="I4791" i="14" s="1"/>
  <c r="K4768" i="13"/>
  <c r="L4768" i="13" s="1"/>
  <c r="I4769" i="13" s="1"/>
  <c r="M4958" i="14"/>
  <c r="J4954" i="13" a="1"/>
  <c r="J4954" i="13" s="1"/>
  <c r="N4955" i="13"/>
  <c r="M4957" i="13"/>
  <c r="N4954" i="14"/>
  <c r="J4953" i="14" a="1"/>
  <c r="J4953" i="14" s="1"/>
  <c r="K4769" i="13" l="1"/>
  <c r="L4769" i="13" s="1"/>
  <c r="I4770" i="13" s="1"/>
  <c r="K4791" i="14"/>
  <c r="L4791" i="14" s="1"/>
  <c r="I4792" i="14" s="1"/>
  <c r="N4956" i="13"/>
  <c r="J4955" i="13" a="1"/>
  <c r="J4955" i="13" s="1"/>
  <c r="N4955" i="14"/>
  <c r="J4954" i="14" a="1"/>
  <c r="J4954" i="14" s="1"/>
  <c r="M4959" i="14"/>
  <c r="M4958" i="13"/>
  <c r="K4792" i="14" l="1"/>
  <c r="L4792" i="14" s="1"/>
  <c r="I4793" i="14" s="1"/>
  <c r="K4770" i="13"/>
  <c r="L4770" i="13" s="1"/>
  <c r="I4771" i="13" s="1"/>
  <c r="N4956" i="14"/>
  <c r="J4955" i="14" a="1"/>
  <c r="J4955" i="14" s="1"/>
  <c r="M4960" i="14"/>
  <c r="M4959" i="13"/>
  <c r="J4956" i="13" a="1"/>
  <c r="J4956" i="13" s="1"/>
  <c r="N4957" i="13"/>
  <c r="K4793" i="14" l="1"/>
  <c r="L4793" i="14" s="1"/>
  <c r="I4794" i="14" s="1"/>
  <c r="N4958" i="13"/>
  <c r="J4957" i="13" a="1"/>
  <c r="J4957" i="13" s="1"/>
  <c r="M4961" i="14"/>
  <c r="K4771" i="13"/>
  <c r="L4771" i="13" s="1"/>
  <c r="I4772" i="13" s="1"/>
  <c r="M4960" i="13"/>
  <c r="J4956" i="14" a="1"/>
  <c r="J4956" i="14" s="1"/>
  <c r="N4957" i="14"/>
  <c r="K4772" i="13" l="1"/>
  <c r="L4772" i="13" s="1"/>
  <c r="I4773" i="13" s="1"/>
  <c r="K4794" i="14"/>
  <c r="L4794" i="14" s="1"/>
  <c r="I4795" i="14" s="1"/>
  <c r="N4958" i="14"/>
  <c r="J4957" i="14" a="1"/>
  <c r="J4957" i="14" s="1"/>
  <c r="J4958" i="13" a="1"/>
  <c r="J4958" i="13" s="1"/>
  <c r="N4959" i="13"/>
  <c r="M4961" i="13"/>
  <c r="M4962" i="14"/>
  <c r="K4773" i="13" l="1"/>
  <c r="L4773" i="13" s="1"/>
  <c r="I4774" i="13" s="1"/>
  <c r="N4960" i="13"/>
  <c r="J4959" i="13" a="1"/>
  <c r="J4959" i="13" s="1"/>
  <c r="M4963" i="14"/>
  <c r="K4795" i="14"/>
  <c r="L4795" i="14" s="1"/>
  <c r="I4796" i="14" s="1"/>
  <c r="M4962" i="13"/>
  <c r="N4959" i="14"/>
  <c r="J4958" i="14" a="1"/>
  <c r="J4958" i="14" s="1"/>
  <c r="K4796" i="14" l="1"/>
  <c r="L4796" i="14" s="1"/>
  <c r="I4797" i="14" s="1"/>
  <c r="K4774" i="13"/>
  <c r="L4774" i="13" s="1"/>
  <c r="I4775" i="13" s="1"/>
  <c r="N4960" i="14"/>
  <c r="J4959" i="14" a="1"/>
  <c r="J4959" i="14" s="1"/>
  <c r="J4960" i="13" a="1"/>
  <c r="J4960" i="13" s="1"/>
  <c r="N4961" i="13"/>
  <c r="M4963" i="13"/>
  <c r="M4964" i="14"/>
  <c r="K4797" i="14" l="1"/>
  <c r="L4797" i="14" s="1"/>
  <c r="I4798" i="14" s="1"/>
  <c r="M4965" i="14"/>
  <c r="N4962" i="13"/>
  <c r="J4961" i="13" a="1"/>
  <c r="J4961" i="13" s="1"/>
  <c r="K4775" i="13"/>
  <c r="L4775" i="13" s="1"/>
  <c r="I4776" i="13" s="1"/>
  <c r="M4964" i="13"/>
  <c r="J4960" i="14" a="1"/>
  <c r="J4960" i="14" s="1"/>
  <c r="N4961" i="14"/>
  <c r="K4798" i="14" l="1"/>
  <c r="L4798" i="14" s="1"/>
  <c r="I4799" i="14" s="1"/>
  <c r="N4962" i="14"/>
  <c r="J4961" i="14" a="1"/>
  <c r="J4961" i="14" s="1"/>
  <c r="K4776" i="13"/>
  <c r="L4776" i="13" s="1"/>
  <c r="I4777" i="13" s="1"/>
  <c r="M4966" i="14"/>
  <c r="M4965" i="13"/>
  <c r="J4962" i="13" a="1"/>
  <c r="J4962" i="13" s="1"/>
  <c r="N4963" i="13"/>
  <c r="K4777" i="13" l="1"/>
  <c r="L4777" i="13" s="1"/>
  <c r="I4778" i="13" s="1"/>
  <c r="K4799" i="14"/>
  <c r="L4799" i="14" s="1"/>
  <c r="I4800" i="14" s="1"/>
  <c r="N4963" i="14"/>
  <c r="J4962" i="14" a="1"/>
  <c r="J4962" i="14" s="1"/>
  <c r="N4964" i="13"/>
  <c r="J4963" i="13" a="1"/>
  <c r="J4963" i="13" s="1"/>
  <c r="M4967" i="14"/>
  <c r="M4966" i="13"/>
  <c r="K4778" i="13" l="1"/>
  <c r="L4778" i="13" s="1"/>
  <c r="I4779" i="13" s="1"/>
  <c r="J4964" i="13" a="1"/>
  <c r="J4964" i="13" s="1"/>
  <c r="N4965" i="13"/>
  <c r="K4800" i="14"/>
  <c r="L4800" i="14" s="1"/>
  <c r="I4801" i="14" s="1"/>
  <c r="M4967" i="13"/>
  <c r="M4968" i="14"/>
  <c r="N4964" i="14"/>
  <c r="J4963" i="14" a="1"/>
  <c r="J4963" i="14" s="1"/>
  <c r="K4801" i="14" l="1"/>
  <c r="L4801" i="14" s="1"/>
  <c r="I4802" i="14" s="1"/>
  <c r="K4779" i="13"/>
  <c r="L4779" i="13" s="1"/>
  <c r="I4780" i="13" s="1"/>
  <c r="J4964" i="14" a="1"/>
  <c r="J4964" i="14" s="1"/>
  <c r="N4965" i="14"/>
  <c r="M4968" i="13"/>
  <c r="N4966" i="13"/>
  <c r="J4965" i="13" a="1"/>
  <c r="J4965" i="13" s="1"/>
  <c r="M4969" i="14"/>
  <c r="K4780" i="13" l="1"/>
  <c r="L4780" i="13" s="1"/>
  <c r="I4781" i="13" s="1"/>
  <c r="K4802" i="14"/>
  <c r="L4802" i="14" s="1"/>
  <c r="I4803" i="14" s="1"/>
  <c r="J4966" i="13" a="1"/>
  <c r="J4966" i="13" s="1"/>
  <c r="N4967" i="13"/>
  <c r="M4969" i="13"/>
  <c r="M4970" i="14"/>
  <c r="N4966" i="14"/>
  <c r="J4965" i="14" a="1"/>
  <c r="J4965" i="14" s="1"/>
  <c r="K4781" i="13" l="1"/>
  <c r="L4781" i="13" s="1"/>
  <c r="I4782" i="13" s="1"/>
  <c r="K4803" i="14"/>
  <c r="L4803" i="14" s="1"/>
  <c r="I4804" i="14" s="1"/>
  <c r="N4967" i="14"/>
  <c r="J4966" i="14" a="1"/>
  <c r="J4966" i="14" s="1"/>
  <c r="M4970" i="13"/>
  <c r="M4971" i="14"/>
  <c r="N4968" i="13"/>
  <c r="J4967" i="13" a="1"/>
  <c r="J4967" i="13" s="1"/>
  <c r="K4782" i="13" l="1"/>
  <c r="L4782" i="13" s="1"/>
  <c r="I4783" i="13" s="1"/>
  <c r="M4971" i="13"/>
  <c r="K4804" i="14"/>
  <c r="L4804" i="14" s="1"/>
  <c r="I4805" i="14" s="1"/>
  <c r="J4968" i="13" a="1"/>
  <c r="J4968" i="13" s="1"/>
  <c r="N4969" i="13"/>
  <c r="M4972" i="14"/>
  <c r="N4968" i="14"/>
  <c r="J4967" i="14" a="1"/>
  <c r="J4967" i="14" s="1"/>
  <c r="K4805" i="14" l="1"/>
  <c r="L4805" i="14" s="1"/>
  <c r="I4806" i="14" s="1"/>
  <c r="K4783" i="13"/>
  <c r="L4783" i="13" s="1"/>
  <c r="I4784" i="13" s="1"/>
  <c r="N4970" i="13"/>
  <c r="J4969" i="13" a="1"/>
  <c r="J4969" i="13" s="1"/>
  <c r="M4972" i="13"/>
  <c r="J4968" i="14" a="1"/>
  <c r="J4968" i="14" s="1"/>
  <c r="N4969" i="14"/>
  <c r="M4973" i="14"/>
  <c r="K4806" i="14" l="1"/>
  <c r="L4806" i="14" s="1"/>
  <c r="I4807" i="14" s="1"/>
  <c r="N4970" i="14"/>
  <c r="J4969" i="14" a="1"/>
  <c r="J4969" i="14" s="1"/>
  <c r="M4974" i="14"/>
  <c r="M4973" i="13"/>
  <c r="K4784" i="13"/>
  <c r="L4784" i="13" s="1"/>
  <c r="I4785" i="13" s="1"/>
  <c r="J4970" i="13" a="1"/>
  <c r="J4970" i="13" s="1"/>
  <c r="N4971" i="13"/>
  <c r="K4785" i="13" l="1"/>
  <c r="L4785" i="13" s="1"/>
  <c r="I4786" i="13" s="1"/>
  <c r="K4807" i="14"/>
  <c r="L4807" i="14" s="1"/>
  <c r="I4808" i="14" s="1"/>
  <c r="N4972" i="13"/>
  <c r="J4971" i="13" a="1"/>
  <c r="J4971" i="13" s="1"/>
  <c r="N4971" i="14"/>
  <c r="J4970" i="14" a="1"/>
  <c r="J4970" i="14" s="1"/>
  <c r="M4974" i="13"/>
  <c r="M4975" i="14"/>
  <c r="K4808" i="14" l="1"/>
  <c r="L4808" i="14" s="1"/>
  <c r="I4809" i="14" s="1"/>
  <c r="K4786" i="13"/>
  <c r="L4786" i="13" s="1"/>
  <c r="I4787" i="13" s="1"/>
  <c r="M4976" i="14"/>
  <c r="N4972" i="14"/>
  <c r="J4971" i="14" a="1"/>
  <c r="J4971" i="14" s="1"/>
  <c r="M4975" i="13"/>
  <c r="J4972" i="13" a="1"/>
  <c r="J4972" i="13" s="1"/>
  <c r="N4973" i="13"/>
  <c r="K4809" i="14" l="1"/>
  <c r="L4809" i="14" s="1"/>
  <c r="I4810" i="14" s="1"/>
  <c r="K4787" i="13"/>
  <c r="L4787" i="13" s="1"/>
  <c r="I4788" i="13" s="1"/>
  <c r="N4974" i="13"/>
  <c r="J4973" i="13" a="1"/>
  <c r="J4973" i="13" s="1"/>
  <c r="J4972" i="14" a="1"/>
  <c r="J4972" i="14" s="1"/>
  <c r="N4973" i="14"/>
  <c r="M4977" i="14"/>
  <c r="M4976" i="13"/>
  <c r="K4788" i="13" l="1"/>
  <c r="L4788" i="13" s="1"/>
  <c r="I4789" i="13" s="1"/>
  <c r="N4974" i="14"/>
  <c r="J4973" i="14" a="1"/>
  <c r="J4973" i="14" s="1"/>
  <c r="M4978" i="14"/>
  <c r="M4977" i="13"/>
  <c r="J4974" i="13" a="1"/>
  <c r="J4974" i="13" s="1"/>
  <c r="N4975" i="13"/>
  <c r="K4810" i="14"/>
  <c r="L4810" i="14" s="1"/>
  <c r="I4811" i="14" s="1"/>
  <c r="K4811" i="14" l="1"/>
  <c r="L4811" i="14" s="1"/>
  <c r="I4812" i="14" s="1"/>
  <c r="K4789" i="13"/>
  <c r="L4789" i="13" s="1"/>
  <c r="I4790" i="13" s="1"/>
  <c r="M4978" i="13"/>
  <c r="N4975" i="14"/>
  <c r="J4974" i="14" a="1"/>
  <c r="J4974" i="14" s="1"/>
  <c r="N4976" i="13"/>
  <c r="J4975" i="13" a="1"/>
  <c r="J4975" i="13" s="1"/>
  <c r="M4979" i="14"/>
  <c r="K4790" i="13" l="1"/>
  <c r="L4790" i="13" s="1"/>
  <c r="I4791" i="13" s="1"/>
  <c r="K4812" i="14"/>
  <c r="L4812" i="14" s="1"/>
  <c r="I4813" i="14" s="1"/>
  <c r="N4976" i="14"/>
  <c r="J4975" i="14" a="1"/>
  <c r="J4975" i="14" s="1"/>
  <c r="M4980" i="14"/>
  <c r="M4979" i="13"/>
  <c r="J4976" i="13" a="1"/>
  <c r="J4976" i="13" s="1"/>
  <c r="N4977" i="13"/>
  <c r="K4813" i="14" l="1"/>
  <c r="L4813" i="14" s="1"/>
  <c r="I4814" i="14" s="1"/>
  <c r="K4791" i="13"/>
  <c r="L4791" i="13" s="1"/>
  <c r="I4792" i="13" s="1"/>
  <c r="N4978" i="13"/>
  <c r="J4977" i="13" a="1"/>
  <c r="J4977" i="13" s="1"/>
  <c r="M4981" i="14"/>
  <c r="M4980" i="13"/>
  <c r="J4976" i="14" a="1"/>
  <c r="J4976" i="14" s="1"/>
  <c r="N4977" i="14"/>
  <c r="K4814" i="14" l="1"/>
  <c r="L4814" i="14" s="1"/>
  <c r="I4815" i="14" s="1"/>
  <c r="N4978" i="14"/>
  <c r="J4977" i="14" a="1"/>
  <c r="J4977" i="14" s="1"/>
  <c r="M4982" i="14"/>
  <c r="K4792" i="13"/>
  <c r="L4792" i="13" s="1"/>
  <c r="I4793" i="13" s="1"/>
  <c r="M4981" i="13"/>
  <c r="J4978" i="13" a="1"/>
  <c r="J4978" i="13" s="1"/>
  <c r="N4979" i="13"/>
  <c r="K4793" i="13" l="1"/>
  <c r="L4793" i="13" s="1"/>
  <c r="I4794" i="13" s="1"/>
  <c r="K4815" i="14"/>
  <c r="L4815" i="14" s="1"/>
  <c r="I4816" i="14" s="1"/>
  <c r="N4980" i="13"/>
  <c r="J4979" i="13" a="1"/>
  <c r="J4979" i="13" s="1"/>
  <c r="N4979" i="14"/>
  <c r="J4978" i="14" a="1"/>
  <c r="J4978" i="14" s="1"/>
  <c r="M4983" i="14"/>
  <c r="M4982" i="13"/>
  <c r="K4794" i="13" l="1"/>
  <c r="L4794" i="13" s="1"/>
  <c r="I4795" i="13" s="1"/>
  <c r="M4983" i="13"/>
  <c r="N4980" i="14"/>
  <c r="J4979" i="14" a="1"/>
  <c r="J4979" i="14" s="1"/>
  <c r="K4816" i="14"/>
  <c r="L4816" i="14" s="1"/>
  <c r="I4817" i="14" s="1"/>
  <c r="M4984" i="14"/>
  <c r="J4980" i="13" a="1"/>
  <c r="J4980" i="13" s="1"/>
  <c r="N4981" i="13"/>
  <c r="K4795" i="13" l="1"/>
  <c r="L4795" i="13" s="1"/>
  <c r="I4796" i="13" s="1"/>
  <c r="N4982" i="13"/>
  <c r="J4981" i="13" a="1"/>
  <c r="J4981" i="13" s="1"/>
  <c r="K4817" i="14"/>
  <c r="L4817" i="14" s="1"/>
  <c r="I4818" i="14" s="1"/>
  <c r="M4984" i="13"/>
  <c r="M4985" i="14"/>
  <c r="J4980" i="14" a="1"/>
  <c r="J4980" i="14" s="1"/>
  <c r="N4981" i="14"/>
  <c r="K4818" i="14" l="1"/>
  <c r="L4818" i="14" s="1"/>
  <c r="I4819" i="14" s="1"/>
  <c r="K4796" i="13"/>
  <c r="L4796" i="13" s="1"/>
  <c r="I4797" i="13" s="1"/>
  <c r="N4982" i="14"/>
  <c r="J4981" i="14" a="1"/>
  <c r="J4981" i="14" s="1"/>
  <c r="M4985" i="13"/>
  <c r="J4982" i="13" a="1"/>
  <c r="J4982" i="13" s="1"/>
  <c r="N4983" i="13"/>
  <c r="M4986" i="14"/>
  <c r="K4797" i="13" l="1"/>
  <c r="L4797" i="13" s="1"/>
  <c r="I4798" i="13" s="1"/>
  <c r="M4987" i="14"/>
  <c r="M4986" i="13"/>
  <c r="N4984" i="13"/>
  <c r="J4983" i="13" a="1"/>
  <c r="J4983" i="13" s="1"/>
  <c r="N4983" i="14"/>
  <c r="J4982" i="14" a="1"/>
  <c r="J4982" i="14" s="1"/>
  <c r="K4819" i="14"/>
  <c r="L4819" i="14" s="1"/>
  <c r="I4820" i="14" s="1"/>
  <c r="K4820" i="14" l="1"/>
  <c r="L4820" i="14" s="1"/>
  <c r="I4821" i="14" s="1"/>
  <c r="K4798" i="13"/>
  <c r="L4798" i="13" s="1"/>
  <c r="I4799" i="13" s="1"/>
  <c r="J4984" i="13" a="1"/>
  <c r="J4984" i="13" s="1"/>
  <c r="N4985" i="13"/>
  <c r="M4988" i="14"/>
  <c r="M4987" i="13"/>
  <c r="N4984" i="14"/>
  <c r="J4983" i="14" a="1"/>
  <c r="J4983" i="14" s="1"/>
  <c r="K4799" i="13" l="1"/>
  <c r="L4799" i="13" s="1"/>
  <c r="I4800" i="13" s="1"/>
  <c r="K4821" i="14"/>
  <c r="L4821" i="14" s="1"/>
  <c r="I4822" i="14" s="1"/>
  <c r="M4989" i="14"/>
  <c r="N4986" i="13"/>
  <c r="J4985" i="13" a="1"/>
  <c r="J4985" i="13" s="1"/>
  <c r="J4984" i="14" a="1"/>
  <c r="J4984" i="14" s="1"/>
  <c r="N4985" i="14"/>
  <c r="M4988" i="13"/>
  <c r="M4989" i="13" l="1"/>
  <c r="K4822" i="14"/>
  <c r="L4822" i="14" s="1"/>
  <c r="I4823" i="14" s="1"/>
  <c r="J4986" i="13" a="1"/>
  <c r="J4986" i="13" s="1"/>
  <c r="N4987" i="13"/>
  <c r="N4986" i="14"/>
  <c r="J4985" i="14" a="1"/>
  <c r="J4985" i="14" s="1"/>
  <c r="M4990" i="14"/>
  <c r="K4800" i="13"/>
  <c r="L4800" i="13" s="1"/>
  <c r="I4801" i="13" s="1"/>
  <c r="K4801" i="13" l="1"/>
  <c r="L4801" i="13" s="1"/>
  <c r="I4802" i="13" s="1"/>
  <c r="K4823" i="14"/>
  <c r="L4823" i="14" s="1"/>
  <c r="I4824" i="14" s="1"/>
  <c r="N4987" i="14"/>
  <c r="J4986" i="14" a="1"/>
  <c r="J4986" i="14" s="1"/>
  <c r="M4991" i="14"/>
  <c r="N4988" i="13"/>
  <c r="J4987" i="13" a="1"/>
  <c r="J4987" i="13" s="1"/>
  <c r="M4990" i="13"/>
  <c r="K4802" i="13" l="1"/>
  <c r="L4802" i="13" s="1"/>
  <c r="I4803" i="13" s="1"/>
  <c r="M4991" i="13"/>
  <c r="M4992" i="14"/>
  <c r="K4824" i="14"/>
  <c r="L4824" i="14" s="1"/>
  <c r="I4825" i="14" s="1"/>
  <c r="J4988" i="13" a="1"/>
  <c r="J4988" i="13" s="1"/>
  <c r="N4989" i="13"/>
  <c r="N4988" i="14"/>
  <c r="J4987" i="14" a="1"/>
  <c r="J4987" i="14" s="1"/>
  <c r="K4825" i="14" l="1"/>
  <c r="L4825" i="14" s="1"/>
  <c r="I4826" i="14" s="1"/>
  <c r="K4803" i="13"/>
  <c r="L4803" i="13" s="1"/>
  <c r="I4804" i="13" s="1"/>
  <c r="J4988" i="14" a="1"/>
  <c r="J4988" i="14" s="1"/>
  <c r="N4989" i="14"/>
  <c r="M4992" i="13"/>
  <c r="N4990" i="13"/>
  <c r="J4989" i="13" a="1"/>
  <c r="J4989" i="13" s="1"/>
  <c r="M4993" i="14"/>
  <c r="K4804" i="13" l="1"/>
  <c r="L4804" i="13" s="1"/>
  <c r="I4805" i="13" s="1"/>
  <c r="K4826" i="14"/>
  <c r="L4826" i="14" s="1"/>
  <c r="I4827" i="14" s="1"/>
  <c r="J4990" i="13" a="1"/>
  <c r="J4990" i="13" s="1"/>
  <c r="N4991" i="13"/>
  <c r="M4994" i="14"/>
  <c r="M4993" i="13"/>
  <c r="N4990" i="14"/>
  <c r="J4989" i="14" a="1"/>
  <c r="J4989" i="14" s="1"/>
  <c r="K4827" i="14" l="1"/>
  <c r="L4827" i="14" s="1"/>
  <c r="I4828" i="14" s="1"/>
  <c r="K4805" i="13"/>
  <c r="L4805" i="13" s="1"/>
  <c r="I4806" i="13" s="1"/>
  <c r="M4995" i="14"/>
  <c r="M4994" i="13"/>
  <c r="J4990" i="14" a="1"/>
  <c r="J4990" i="14" s="1"/>
  <c r="N4991" i="14"/>
  <c r="N4992" i="13"/>
  <c r="J4991" i="13" a="1"/>
  <c r="J4991" i="13" s="1"/>
  <c r="K4806" i="13" l="1"/>
  <c r="L4806" i="13" s="1"/>
  <c r="I4807" i="13" s="1"/>
  <c r="K4828" i="14"/>
  <c r="L4828" i="14" s="1"/>
  <c r="I4829" i="14" s="1"/>
  <c r="N4992" i="14"/>
  <c r="J4991" i="14" a="1"/>
  <c r="J4991" i="14" s="1"/>
  <c r="M4995" i="13"/>
  <c r="J4992" i="13" a="1"/>
  <c r="J4992" i="13" s="1"/>
  <c r="N4993" i="13"/>
  <c r="M4996" i="14"/>
  <c r="K4829" i="14" l="1"/>
  <c r="L4829" i="14" s="1"/>
  <c r="I4830" i="14" s="1"/>
  <c r="K4807" i="13"/>
  <c r="L4807" i="13" s="1"/>
  <c r="I4808" i="13" s="1"/>
  <c r="M4997" i="14"/>
  <c r="M4996" i="13"/>
  <c r="N4994" i="13"/>
  <c r="J4993" i="13" a="1"/>
  <c r="J4993" i="13" s="1"/>
  <c r="J4992" i="14" a="1"/>
  <c r="J4992" i="14" s="1"/>
  <c r="N4993" i="14"/>
  <c r="K4808" i="13" l="1"/>
  <c r="L4808" i="13" s="1"/>
  <c r="I4809" i="13" s="1"/>
  <c r="K4830" i="14"/>
  <c r="L4830" i="14" s="1"/>
  <c r="I4831" i="14" s="1"/>
  <c r="J4993" i="14" a="1"/>
  <c r="J4993" i="14" s="1"/>
  <c r="N4994" i="14"/>
  <c r="M4997" i="13"/>
  <c r="J4994" i="13" a="1"/>
  <c r="J4994" i="13" s="1"/>
  <c r="N4995" i="13"/>
  <c r="M4998" i="14"/>
  <c r="K4831" i="14" l="1"/>
  <c r="L4831" i="14" s="1"/>
  <c r="I4832" i="14" s="1"/>
  <c r="K4809" i="13"/>
  <c r="L4809" i="13" s="1"/>
  <c r="I4810" i="13" s="1"/>
  <c r="N4996" i="13"/>
  <c r="J4995" i="13" a="1"/>
  <c r="J4995" i="13" s="1"/>
  <c r="M4999" i="14"/>
  <c r="M4998" i="13"/>
  <c r="J4994" i="14" a="1"/>
  <c r="J4994" i="14" s="1"/>
  <c r="N4995" i="14"/>
  <c r="K4810" i="13" l="1"/>
  <c r="L4810" i="13" s="1"/>
  <c r="I4811" i="13" s="1"/>
  <c r="K4832" i="14"/>
  <c r="L4832" i="14" s="1"/>
  <c r="I4833" i="14" s="1"/>
  <c r="N4996" i="14"/>
  <c r="J4995" i="14" a="1"/>
  <c r="J4995" i="14" s="1"/>
  <c r="M5000" i="14"/>
  <c r="M4999" i="13"/>
  <c r="J4996" i="13" a="1"/>
  <c r="J4996" i="13" s="1"/>
  <c r="N4997" i="13"/>
  <c r="K4811" i="13" l="1"/>
  <c r="L4811" i="13" s="1"/>
  <c r="I4812" i="13" s="1"/>
  <c r="N4998" i="13"/>
  <c r="J4997" i="13" a="1"/>
  <c r="J4997" i="13" s="1"/>
  <c r="M5001" i="14"/>
  <c r="K4833" i="14"/>
  <c r="L4833" i="14" s="1"/>
  <c r="I4834" i="14" s="1"/>
  <c r="M5000" i="13"/>
  <c r="J4996" i="14" a="1"/>
  <c r="J4996" i="14" s="1"/>
  <c r="N4997" i="14"/>
  <c r="K4834" i="14" l="1"/>
  <c r="L4834" i="14" s="1"/>
  <c r="I4835" i="14" s="1"/>
  <c r="K4812" i="13"/>
  <c r="L4812" i="13" s="1"/>
  <c r="I4813" i="13" s="1"/>
  <c r="J4997" i="14" a="1"/>
  <c r="J4997" i="14" s="1"/>
  <c r="N4998" i="14"/>
  <c r="J4998" i="13" a="1"/>
  <c r="J4998" i="13" s="1"/>
  <c r="N4999" i="13"/>
  <c r="M5001" i="13"/>
  <c r="M5002" i="14"/>
  <c r="K4835" i="14" l="1"/>
  <c r="L4835" i="14" s="1"/>
  <c r="I4836" i="14" s="1"/>
  <c r="M5002" i="13"/>
  <c r="M5003" i="14"/>
  <c r="N5000" i="13"/>
  <c r="J4999" i="13" a="1"/>
  <c r="J4999" i="13" s="1"/>
  <c r="K4813" i="13"/>
  <c r="L4813" i="13" s="1"/>
  <c r="I4814" i="13" s="1"/>
  <c r="N4999" i="14"/>
  <c r="J4998" i="14" a="1"/>
  <c r="J4998" i="14" s="1"/>
  <c r="K4814" i="13" l="1"/>
  <c r="L4814" i="13" s="1"/>
  <c r="I4815" i="13" s="1"/>
  <c r="K4836" i="14"/>
  <c r="L4836" i="14" s="1"/>
  <c r="I4837" i="14" s="1"/>
  <c r="M5003" i="13"/>
  <c r="J5000" i="13" a="1"/>
  <c r="J5000" i="13" s="1"/>
  <c r="N5001" i="13"/>
  <c r="N5000" i="14"/>
  <c r="J4999" i="14" a="1"/>
  <c r="J4999" i="14" s="1"/>
  <c r="M5004" i="14"/>
  <c r="K4837" i="14" l="1"/>
  <c r="L4837" i="14" s="1"/>
  <c r="I4838" i="14" s="1"/>
  <c r="K4815" i="13"/>
  <c r="L4815" i="13" s="1"/>
  <c r="I4816" i="13" s="1"/>
  <c r="N5002" i="13"/>
  <c r="J5001" i="13" a="1"/>
  <c r="J5001" i="13" s="1"/>
  <c r="M5005" i="14"/>
  <c r="J5000" i="14" a="1"/>
  <c r="J5000" i="14" s="1"/>
  <c r="N5001" i="14"/>
  <c r="M5004" i="13"/>
  <c r="K4816" i="13" l="1"/>
  <c r="L4816" i="13" s="1"/>
  <c r="I4817" i="13" s="1"/>
  <c r="K4838" i="14"/>
  <c r="L4838" i="14" s="1"/>
  <c r="I4839" i="14" s="1"/>
  <c r="M5005" i="13"/>
  <c r="M5006" i="14"/>
  <c r="N5002" i="14"/>
  <c r="J5001" i="14" a="1"/>
  <c r="J5001" i="14" s="1"/>
  <c r="J5002" i="13" a="1"/>
  <c r="J5002" i="13" s="1"/>
  <c r="N5003" i="13"/>
  <c r="K4839" i="14" l="1"/>
  <c r="L4839" i="14" s="1"/>
  <c r="I4840" i="14" s="1"/>
  <c r="K4817" i="13"/>
  <c r="L4817" i="13" s="1"/>
  <c r="I4818" i="13" s="1"/>
  <c r="N5004" i="13"/>
  <c r="J5003" i="13" a="1"/>
  <c r="J5003" i="13" s="1"/>
  <c r="M5007" i="14"/>
  <c r="N5003" i="14"/>
  <c r="J5002" i="14" a="1"/>
  <c r="J5002" i="14" s="1"/>
  <c r="M5006" i="13"/>
  <c r="K4818" i="13" l="1"/>
  <c r="L4818" i="13" s="1"/>
  <c r="I4819" i="13" s="1"/>
  <c r="K4840" i="14"/>
  <c r="L4840" i="14" s="1"/>
  <c r="I4841" i="14" s="1"/>
  <c r="M5007" i="13"/>
  <c r="N5004" i="14"/>
  <c r="J5003" i="14" a="1"/>
  <c r="J5003" i="14" s="1"/>
  <c r="M5008" i="14"/>
  <c r="J5004" i="13" a="1"/>
  <c r="J5004" i="13" s="1"/>
  <c r="N5005" i="13"/>
  <c r="K4841" i="14" l="1"/>
  <c r="L4841" i="14" s="1"/>
  <c r="I4842" i="14" s="1"/>
  <c r="K4819" i="13"/>
  <c r="L4819" i="13" s="1"/>
  <c r="I4820" i="13" s="1"/>
  <c r="N5006" i="13"/>
  <c r="J5005" i="13" a="1"/>
  <c r="J5005" i="13" s="1"/>
  <c r="J5004" i="14" a="1"/>
  <c r="J5004" i="14" s="1"/>
  <c r="N5005" i="14"/>
  <c r="M5009" i="14"/>
  <c r="M5008" i="13"/>
  <c r="K4820" i="13" l="1"/>
  <c r="L4820" i="13" s="1"/>
  <c r="I4821" i="13" s="1"/>
  <c r="K4842" i="14"/>
  <c r="L4842" i="14" s="1"/>
  <c r="I4843" i="14" s="1"/>
  <c r="N5006" i="14"/>
  <c r="J5005" i="14" a="1"/>
  <c r="J5005" i="14" s="1"/>
  <c r="M5009" i="13"/>
  <c r="M5010" i="14"/>
  <c r="J5006" i="13" a="1"/>
  <c r="J5006" i="13" s="1"/>
  <c r="N5007" i="13"/>
  <c r="K4821" i="13" l="1"/>
  <c r="L4821" i="13" s="1"/>
  <c r="I4822" i="13" s="1"/>
  <c r="N5008" i="13"/>
  <c r="J5007" i="13" a="1"/>
  <c r="J5007" i="13" s="1"/>
  <c r="M5010" i="13"/>
  <c r="K4843" i="14"/>
  <c r="L4843" i="14" s="1"/>
  <c r="I4844" i="14" s="1"/>
  <c r="M5011" i="14"/>
  <c r="N5007" i="14"/>
  <c r="J5006" i="14" a="1"/>
  <c r="J5006" i="14" s="1"/>
  <c r="K4844" i="14" l="1"/>
  <c r="L4844" i="14" s="1"/>
  <c r="I4845" i="14" s="1"/>
  <c r="K4822" i="13"/>
  <c r="L4822" i="13" s="1"/>
  <c r="I4823" i="13" s="1"/>
  <c r="J5008" i="13" a="1"/>
  <c r="J5008" i="13" s="1"/>
  <c r="N5009" i="13"/>
  <c r="N5008" i="14"/>
  <c r="J5007" i="14" a="1"/>
  <c r="J5007" i="14" s="1"/>
  <c r="M5011" i="13"/>
  <c r="M5012" i="14"/>
  <c r="K4823" i="13" l="1"/>
  <c r="L4823" i="13" s="1"/>
  <c r="I4824" i="13" s="1"/>
  <c r="K4845" i="14"/>
  <c r="L4845" i="14" s="1"/>
  <c r="I4846" i="14" s="1"/>
  <c r="J5008" i="14" a="1"/>
  <c r="J5008" i="14" s="1"/>
  <c r="N5009" i="14"/>
  <c r="M5013" i="14"/>
  <c r="N5010" i="13"/>
  <c r="J5009" i="13" a="1"/>
  <c r="J5009" i="13" s="1"/>
  <c r="M5012" i="13"/>
  <c r="K4846" i="14" l="1"/>
  <c r="L4846" i="14" s="1"/>
  <c r="I4847" i="14" s="1"/>
  <c r="K4824" i="13"/>
  <c r="L4824" i="13" s="1"/>
  <c r="I4825" i="13" s="1"/>
  <c r="J5010" i="13" a="1"/>
  <c r="J5010" i="13" s="1"/>
  <c r="N5011" i="13"/>
  <c r="M5013" i="13"/>
  <c r="M5014" i="14"/>
  <c r="N5010" i="14"/>
  <c r="J5009" i="14" a="1"/>
  <c r="J5009" i="14" s="1"/>
  <c r="K4847" i="14" l="1"/>
  <c r="L4847" i="14" s="1"/>
  <c r="I4848" i="14" s="1"/>
  <c r="K4825" i="13"/>
  <c r="L4825" i="13" s="1"/>
  <c r="I4826" i="13" s="1"/>
  <c r="N5011" i="14"/>
  <c r="J5010" i="14" a="1"/>
  <c r="J5010" i="14" s="1"/>
  <c r="M5014" i="13"/>
  <c r="M5015" i="14"/>
  <c r="N5012" i="13"/>
  <c r="J5011" i="13" a="1"/>
  <c r="J5011" i="13" s="1"/>
  <c r="K4826" i="13" l="1"/>
  <c r="L4826" i="13" s="1"/>
  <c r="I4827" i="13" s="1"/>
  <c r="M5016" i="14"/>
  <c r="M5015" i="13"/>
  <c r="J5012" i="13" a="1"/>
  <c r="J5012" i="13" s="1"/>
  <c r="N5013" i="13"/>
  <c r="N5012" i="14"/>
  <c r="J5011" i="14" a="1"/>
  <c r="J5011" i="14" s="1"/>
  <c r="K4848" i="14"/>
  <c r="L4848" i="14" s="1"/>
  <c r="I4849" i="14" s="1"/>
  <c r="K4849" i="14" l="1"/>
  <c r="L4849" i="14" s="1"/>
  <c r="I4850" i="14" s="1"/>
  <c r="K4827" i="13"/>
  <c r="L4827" i="13" s="1"/>
  <c r="I4828" i="13" s="1"/>
  <c r="N5014" i="13"/>
  <c r="J5013" i="13" a="1"/>
  <c r="J5013" i="13" s="1"/>
  <c r="M5017" i="14"/>
  <c r="J5012" i="14" a="1"/>
  <c r="J5012" i="14" s="1"/>
  <c r="N5013" i="14"/>
  <c r="M5016" i="13"/>
  <c r="K4850" i="14" l="1"/>
  <c r="L4850" i="14" s="1"/>
  <c r="I4851" i="14" s="1"/>
  <c r="M5017" i="13"/>
  <c r="M5018" i="14"/>
  <c r="K4828" i="13"/>
  <c r="L4828" i="13" s="1"/>
  <c r="I4829" i="13" s="1"/>
  <c r="N5014" i="14"/>
  <c r="J5013" i="14" a="1"/>
  <c r="J5013" i="14" s="1"/>
  <c r="J5014" i="13" a="1"/>
  <c r="J5014" i="13" s="1"/>
  <c r="N5015" i="13"/>
  <c r="K4851" i="14" l="1"/>
  <c r="L4851" i="14" s="1"/>
  <c r="I4852" i="14" s="1"/>
  <c r="N5016" i="13"/>
  <c r="J5015" i="13" a="1"/>
  <c r="J5015" i="13" s="1"/>
  <c r="M5018" i="13"/>
  <c r="K4829" i="13"/>
  <c r="L4829" i="13" s="1"/>
  <c r="I4830" i="13" s="1"/>
  <c r="M5019" i="14"/>
  <c r="N5015" i="14"/>
  <c r="J5014" i="14" a="1"/>
  <c r="J5014" i="14" s="1"/>
  <c r="K4830" i="13" l="1"/>
  <c r="L4830" i="13" s="1"/>
  <c r="I4831" i="13" s="1"/>
  <c r="K4852" i="14"/>
  <c r="L4852" i="14" s="1"/>
  <c r="I4853" i="14" s="1"/>
  <c r="J5016" i="13" a="1"/>
  <c r="J5016" i="13" s="1"/>
  <c r="N5017" i="13"/>
  <c r="M5019" i="13"/>
  <c r="N5016" i="14"/>
  <c r="J5015" i="14" a="1"/>
  <c r="J5015" i="14" s="1"/>
  <c r="M5020" i="14"/>
  <c r="J5016" i="14" l="1" a="1"/>
  <c r="J5016" i="14" s="1"/>
  <c r="N5017" i="14"/>
  <c r="M5021" i="14"/>
  <c r="M5020" i="13"/>
  <c r="K4853" i="14"/>
  <c r="L4853" i="14" s="1"/>
  <c r="I4854" i="14" s="1"/>
  <c r="N5018" i="13"/>
  <c r="J5017" i="13" a="1"/>
  <c r="J5017" i="13" s="1"/>
  <c r="K4831" i="13"/>
  <c r="L4831" i="13" s="1"/>
  <c r="I4832" i="13" s="1"/>
  <c r="K4854" i="14" l="1"/>
  <c r="L4854" i="14" s="1"/>
  <c r="I4855" i="14" s="1"/>
  <c r="M5021" i="13"/>
  <c r="M5022" i="14"/>
  <c r="K4832" i="13"/>
  <c r="L4832" i="13" s="1"/>
  <c r="I4833" i="13" s="1"/>
  <c r="N5018" i="14"/>
  <c r="J5017" i="14" a="1"/>
  <c r="J5017" i="14" s="1"/>
  <c r="J5018" i="13" a="1"/>
  <c r="J5018" i="13" s="1"/>
  <c r="N5019" i="13"/>
  <c r="K4833" i="13" l="1"/>
  <c r="L4833" i="13" s="1"/>
  <c r="I4834" i="13" s="1"/>
  <c r="K4855" i="14"/>
  <c r="L4855" i="14" s="1"/>
  <c r="I4856" i="14" s="1"/>
  <c r="N5020" i="13"/>
  <c r="J5019" i="13" a="1"/>
  <c r="J5019" i="13" s="1"/>
  <c r="M5022" i="13"/>
  <c r="M5023" i="14"/>
  <c r="N5019" i="14"/>
  <c r="J5018" i="14" a="1"/>
  <c r="J5018" i="14" s="1"/>
  <c r="K4834" i="13" l="1"/>
  <c r="L4834" i="13" s="1"/>
  <c r="I4835" i="13" s="1"/>
  <c r="M5023" i="13"/>
  <c r="K4856" i="14"/>
  <c r="L4856" i="14" s="1"/>
  <c r="I4857" i="14" s="1"/>
  <c r="N5020" i="14"/>
  <c r="J5019" i="14" a="1"/>
  <c r="J5019" i="14" s="1"/>
  <c r="M5024" i="14"/>
  <c r="J5020" i="13" a="1"/>
  <c r="J5020" i="13" s="1"/>
  <c r="N5021" i="13"/>
  <c r="K4835" i="13" l="1"/>
  <c r="L4835" i="13" s="1"/>
  <c r="I4836" i="13" s="1"/>
  <c r="N5022" i="13"/>
  <c r="J5021" i="13" a="1"/>
  <c r="J5021" i="13" s="1"/>
  <c r="J5020" i="14" a="1"/>
  <c r="J5020" i="14" s="1"/>
  <c r="N5021" i="14"/>
  <c r="M5024" i="13"/>
  <c r="M5025" i="14"/>
  <c r="K4857" i="14"/>
  <c r="L4857" i="14" s="1"/>
  <c r="I4858" i="14" s="1"/>
  <c r="K4858" i="14" l="1"/>
  <c r="L4858" i="14" s="1"/>
  <c r="I4859" i="14" s="1"/>
  <c r="K4836" i="13"/>
  <c r="L4836" i="13" s="1"/>
  <c r="I4837" i="13" s="1"/>
  <c r="M5025" i="13"/>
  <c r="J5022" i="13" a="1"/>
  <c r="J5022" i="13" s="1"/>
  <c r="N5023" i="13"/>
  <c r="M5026" i="14"/>
  <c r="N5022" i="14"/>
  <c r="J5021" i="14" a="1"/>
  <c r="J5021" i="14" s="1"/>
  <c r="K4837" i="13" l="1"/>
  <c r="L4837" i="13" s="1"/>
  <c r="I4838" i="13" s="1"/>
  <c r="K4859" i="14"/>
  <c r="L4859" i="14" s="1"/>
  <c r="I4860" i="14" s="1"/>
  <c r="N5023" i="14"/>
  <c r="J5022" i="14" a="1"/>
  <c r="J5022" i="14" s="1"/>
  <c r="N5024" i="13"/>
  <c r="J5023" i="13" a="1"/>
  <c r="J5023" i="13" s="1"/>
  <c r="M5027" i="14"/>
  <c r="M5026" i="13"/>
  <c r="K4838" i="13" l="1"/>
  <c r="L4838" i="13" s="1"/>
  <c r="I4839" i="13" s="1"/>
  <c r="M5027" i="13"/>
  <c r="J5024" i="13" a="1"/>
  <c r="J5024" i="13" s="1"/>
  <c r="N5025" i="13"/>
  <c r="K4860" i="14"/>
  <c r="L4860" i="14" s="1"/>
  <c r="I4861" i="14" s="1"/>
  <c r="M5028" i="14"/>
  <c r="N5024" i="14"/>
  <c r="J5023" i="14" a="1"/>
  <c r="J5023" i="14" s="1"/>
  <c r="K4839" i="13" l="1"/>
  <c r="L4839" i="13" s="1"/>
  <c r="I4840" i="13" s="1"/>
  <c r="K4861" i="14"/>
  <c r="L4861" i="14" s="1"/>
  <c r="I4862" i="14" s="1"/>
  <c r="M5028" i="13"/>
  <c r="M5029" i="14"/>
  <c r="J5024" i="14" a="1"/>
  <c r="J5024" i="14" s="1"/>
  <c r="N5025" i="14"/>
  <c r="N5026" i="13"/>
  <c r="J5025" i="13" a="1"/>
  <c r="J5025" i="13" s="1"/>
  <c r="K4840" i="13" l="1"/>
  <c r="L4840" i="13" s="1"/>
  <c r="I4841" i="13" s="1"/>
  <c r="J5026" i="13" a="1"/>
  <c r="J5026" i="13" s="1"/>
  <c r="N5027" i="13"/>
  <c r="M5030" i="14"/>
  <c r="K4862" i="14"/>
  <c r="L4862" i="14" s="1"/>
  <c r="I4863" i="14" s="1"/>
  <c r="N5026" i="14"/>
  <c r="J5025" i="14" a="1"/>
  <c r="J5025" i="14" s="1"/>
  <c r="M5029" i="13"/>
  <c r="K4841" i="13" l="1"/>
  <c r="L4841" i="13" s="1"/>
  <c r="I4842" i="13" s="1"/>
  <c r="K4863" i="14"/>
  <c r="L4863" i="14" s="1"/>
  <c r="I4864" i="14" s="1"/>
  <c r="N5028" i="13"/>
  <c r="J5027" i="13" a="1"/>
  <c r="J5027" i="13" s="1"/>
  <c r="M5030" i="13"/>
  <c r="M5031" i="14"/>
  <c r="N5027" i="14"/>
  <c r="J5026" i="14" a="1"/>
  <c r="J5026" i="14" s="1"/>
  <c r="K4842" i="13" l="1"/>
  <c r="L4842" i="13" s="1"/>
  <c r="I4843" i="13" s="1"/>
  <c r="M5031" i="13"/>
  <c r="N5028" i="14"/>
  <c r="J5027" i="14" a="1"/>
  <c r="J5027" i="14" s="1"/>
  <c r="K4864" i="14"/>
  <c r="L4864" i="14" s="1"/>
  <c r="I4865" i="14" s="1"/>
  <c r="M5032" i="14"/>
  <c r="J5028" i="13" a="1"/>
  <c r="J5028" i="13" s="1"/>
  <c r="N5029" i="13"/>
  <c r="K4843" i="13" l="1"/>
  <c r="L4843" i="13" s="1"/>
  <c r="I4844" i="13" s="1"/>
  <c r="N5030" i="13"/>
  <c r="J5029" i="13" a="1"/>
  <c r="J5029" i="13" s="1"/>
  <c r="K4865" i="14"/>
  <c r="L4865" i="14" s="1"/>
  <c r="I4866" i="14" s="1"/>
  <c r="M5032" i="13"/>
  <c r="M5033" i="14"/>
  <c r="J5028" i="14" a="1"/>
  <c r="J5028" i="14" s="1"/>
  <c r="N5029" i="14"/>
  <c r="K4866" i="14" l="1"/>
  <c r="L4866" i="14" s="1"/>
  <c r="I4867" i="14" s="1"/>
  <c r="K4844" i="13"/>
  <c r="L4844" i="13" s="1"/>
  <c r="I4845" i="13" s="1"/>
  <c r="N5030" i="14"/>
  <c r="J5029" i="14" a="1"/>
  <c r="J5029" i="14" s="1"/>
  <c r="M5033" i="13"/>
  <c r="J5030" i="13" a="1"/>
  <c r="J5030" i="13" s="1"/>
  <c r="N5031" i="13"/>
  <c r="M5034" i="14"/>
  <c r="K4845" i="13" l="1"/>
  <c r="L4845" i="13" s="1"/>
  <c r="I4846" i="13" s="1"/>
  <c r="K4867" i="14"/>
  <c r="L4867" i="14" s="1"/>
  <c r="I4868" i="14" s="1"/>
  <c r="M5035" i="14"/>
  <c r="M5034" i="13"/>
  <c r="N5032" i="13"/>
  <c r="J5031" i="13" a="1"/>
  <c r="J5031" i="13" s="1"/>
  <c r="N5031" i="14"/>
  <c r="J5030" i="14" a="1"/>
  <c r="J5030" i="14" s="1"/>
  <c r="K4868" i="14" l="1"/>
  <c r="L4868" i="14" s="1"/>
  <c r="I4869" i="14" s="1"/>
  <c r="K4846" i="13"/>
  <c r="L4846" i="13" s="1"/>
  <c r="I4847" i="13" s="1"/>
  <c r="M5035" i="13"/>
  <c r="N5032" i="14"/>
  <c r="J5031" i="14" a="1"/>
  <c r="J5031" i="14" s="1"/>
  <c r="J5032" i="13" a="1"/>
  <c r="J5032" i="13" s="1"/>
  <c r="N5033" i="13"/>
  <c r="M5036" i="14"/>
  <c r="K4847" i="13" l="1"/>
  <c r="L4847" i="13" s="1"/>
  <c r="I4848" i="13" s="1"/>
  <c r="K4869" i="14"/>
  <c r="L4869" i="14" s="1"/>
  <c r="I4870" i="14" s="1"/>
  <c r="N5034" i="13"/>
  <c r="J5033" i="13" a="1"/>
  <c r="J5033" i="13" s="1"/>
  <c r="M5037" i="14"/>
  <c r="J5032" i="14" a="1"/>
  <c r="J5032" i="14" s="1"/>
  <c r="N5033" i="14"/>
  <c r="M5036" i="13"/>
  <c r="K4870" i="14" l="1"/>
  <c r="L4870" i="14" s="1"/>
  <c r="I4871" i="14" s="1"/>
  <c r="K4848" i="13"/>
  <c r="L4848" i="13" s="1"/>
  <c r="I4849" i="13" s="1"/>
  <c r="M5037" i="13"/>
  <c r="N5034" i="14"/>
  <c r="J5033" i="14" a="1"/>
  <c r="J5033" i="14" s="1"/>
  <c r="M5038" i="14"/>
  <c r="J5034" i="13" a="1"/>
  <c r="J5034" i="13" s="1"/>
  <c r="N5035" i="13"/>
  <c r="K4849" i="13" l="1"/>
  <c r="L4849" i="13" s="1"/>
  <c r="I4850" i="13" s="1"/>
  <c r="K4871" i="14"/>
  <c r="L4871" i="14" s="1"/>
  <c r="I4872" i="14" s="1"/>
  <c r="N5035" i="14"/>
  <c r="J5034" i="14" a="1"/>
  <c r="J5034" i="14" s="1"/>
  <c r="N5036" i="13"/>
  <c r="J5035" i="13" a="1"/>
  <c r="J5035" i="13" s="1"/>
  <c r="M5039" i="14"/>
  <c r="M5038" i="13"/>
  <c r="K4872" i="14" l="1"/>
  <c r="L4872" i="14" s="1"/>
  <c r="I4873" i="14" s="1"/>
  <c r="K4850" i="13"/>
  <c r="L4850" i="13" s="1"/>
  <c r="I4851" i="13" s="1"/>
  <c r="M5040" i="14"/>
  <c r="M5039" i="13"/>
  <c r="J5036" i="13" a="1"/>
  <c r="J5036" i="13" s="1"/>
  <c r="N5037" i="13"/>
  <c r="N5036" i="14"/>
  <c r="J5035" i="14" a="1"/>
  <c r="J5035" i="14" s="1"/>
  <c r="K4851" i="13" l="1"/>
  <c r="L4851" i="13" s="1"/>
  <c r="I4852" i="13" s="1"/>
  <c r="K4873" i="14"/>
  <c r="L4873" i="14" s="1"/>
  <c r="I4874" i="14" s="1"/>
  <c r="N5038" i="13"/>
  <c r="J5037" i="13" a="1"/>
  <c r="J5037" i="13" s="1"/>
  <c r="M5041" i="14"/>
  <c r="J5036" i="14" a="1"/>
  <c r="J5036" i="14" s="1"/>
  <c r="N5037" i="14"/>
  <c r="M5040" i="13"/>
  <c r="K4874" i="14" l="1"/>
  <c r="L4874" i="14" s="1"/>
  <c r="I4875" i="14" s="1"/>
  <c r="K4852" i="13"/>
  <c r="L4852" i="13" s="1"/>
  <c r="I4853" i="13" s="1"/>
  <c r="M5041" i="13"/>
  <c r="M5042" i="14"/>
  <c r="N5038" i="14"/>
  <c r="J5037" i="14" a="1"/>
  <c r="J5037" i="14" s="1"/>
  <c r="J5038" i="13" a="1"/>
  <c r="J5038" i="13" s="1"/>
  <c r="N5039" i="13"/>
  <c r="K4875" i="14" l="1"/>
  <c r="L4875" i="14" s="1"/>
  <c r="I4876" i="14" s="1"/>
  <c r="N5040" i="13"/>
  <c r="J5039" i="13" a="1"/>
  <c r="J5039" i="13" s="1"/>
  <c r="M5043" i="14"/>
  <c r="K4853" i="13"/>
  <c r="L4853" i="13" s="1"/>
  <c r="I4854" i="13" s="1"/>
  <c r="N5039" i="14"/>
  <c r="J5038" i="14" a="1"/>
  <c r="J5038" i="14" s="1"/>
  <c r="M5042" i="13"/>
  <c r="K4854" i="13" l="1"/>
  <c r="L4854" i="13" s="1"/>
  <c r="I4855" i="13" s="1"/>
  <c r="K4876" i="14"/>
  <c r="L4876" i="14" s="1"/>
  <c r="I4877" i="14" s="1"/>
  <c r="M5043" i="13"/>
  <c r="J5040" i="13" a="1"/>
  <c r="J5040" i="13" s="1"/>
  <c r="N5041" i="13"/>
  <c r="N5040" i="14"/>
  <c r="J5039" i="14" a="1"/>
  <c r="J5039" i="14" s="1"/>
  <c r="M5044" i="14"/>
  <c r="K4855" i="13" l="1"/>
  <c r="L4855" i="13" s="1"/>
  <c r="I4856" i="13" s="1"/>
  <c r="M5045" i="14"/>
  <c r="N5042" i="13"/>
  <c r="J5041" i="13" a="1"/>
  <c r="J5041" i="13" s="1"/>
  <c r="K4877" i="14"/>
  <c r="L4877" i="14" s="1"/>
  <c r="I4878" i="14" s="1"/>
  <c r="J5040" i="14" a="1"/>
  <c r="J5040" i="14" s="1"/>
  <c r="N5041" i="14"/>
  <c r="M5044" i="13"/>
  <c r="K4856" i="13" l="1"/>
  <c r="L4856" i="13" s="1"/>
  <c r="I4857" i="13" s="1"/>
  <c r="M5045" i="13"/>
  <c r="K4878" i="14"/>
  <c r="L4878" i="14" s="1"/>
  <c r="I4879" i="14" s="1"/>
  <c r="M5046" i="14"/>
  <c r="N5042" i="14"/>
  <c r="J5041" i="14" a="1"/>
  <c r="J5041" i="14" s="1"/>
  <c r="J5042" i="13" a="1"/>
  <c r="J5042" i="13" s="1"/>
  <c r="N5043" i="13"/>
  <c r="K4879" i="14" l="1"/>
  <c r="L4879" i="14" s="1"/>
  <c r="I4880" i="14" s="1"/>
  <c r="K4857" i="13"/>
  <c r="L4857" i="13" s="1"/>
  <c r="I4858" i="13" s="1"/>
  <c r="N5044" i="13"/>
  <c r="J5043" i="13" a="1"/>
  <c r="J5043" i="13" s="1"/>
  <c r="M5047" i="14"/>
  <c r="M5046" i="13"/>
  <c r="N5043" i="14"/>
  <c r="J5042" i="14" a="1"/>
  <c r="J5042" i="14" s="1"/>
  <c r="K4858" i="13" l="1"/>
  <c r="L4858" i="13" s="1"/>
  <c r="I4859" i="13" s="1"/>
  <c r="K4880" i="14"/>
  <c r="L4880" i="14" s="1"/>
  <c r="I4881" i="14" s="1"/>
  <c r="M5048" i="14"/>
  <c r="N5044" i="14"/>
  <c r="J5043" i="14" a="1"/>
  <c r="J5043" i="14" s="1"/>
  <c r="M5047" i="13"/>
  <c r="J5044" i="13" a="1"/>
  <c r="J5044" i="13" s="1"/>
  <c r="N5045" i="13"/>
  <c r="K4881" i="14" l="1"/>
  <c r="L4881" i="14" s="1"/>
  <c r="I4882" i="14" s="1"/>
  <c r="K4859" i="13"/>
  <c r="L4859" i="13" s="1"/>
  <c r="I4860" i="13" s="1"/>
  <c r="N5046" i="13"/>
  <c r="J5045" i="13" a="1"/>
  <c r="J5045" i="13" s="1"/>
  <c r="J5044" i="14" a="1"/>
  <c r="J5044" i="14" s="1"/>
  <c r="N5045" i="14"/>
  <c r="M5048" i="13"/>
  <c r="M5049" i="14"/>
  <c r="K4882" i="14" l="1"/>
  <c r="L4882" i="14" s="1"/>
  <c r="I4883" i="14" s="1"/>
  <c r="M5050" i="14"/>
  <c r="N5046" i="14"/>
  <c r="J5045" i="14" a="1"/>
  <c r="J5045" i="14" s="1"/>
  <c r="K4860" i="13"/>
  <c r="L4860" i="13" s="1"/>
  <c r="I4861" i="13" s="1"/>
  <c r="M5049" i="13"/>
  <c r="J5046" i="13" a="1"/>
  <c r="J5046" i="13" s="1"/>
  <c r="N5047" i="13"/>
  <c r="K4883" i="14" l="1"/>
  <c r="L4883" i="14" s="1"/>
  <c r="I4884" i="14" s="1"/>
  <c r="N5048" i="13"/>
  <c r="J5047" i="13" a="1"/>
  <c r="J5047" i="13" s="1"/>
  <c r="M5051" i="14"/>
  <c r="K4861" i="13"/>
  <c r="L4861" i="13" s="1"/>
  <c r="I4862" i="13" s="1"/>
  <c r="M5050" i="13"/>
  <c r="N5047" i="14"/>
  <c r="J5046" i="14" a="1"/>
  <c r="J5046" i="14" s="1"/>
  <c r="K4862" i="13" l="1"/>
  <c r="L4862" i="13" s="1"/>
  <c r="I4863" i="13" s="1"/>
  <c r="K4884" i="14"/>
  <c r="L4884" i="14" s="1"/>
  <c r="I4885" i="14" s="1"/>
  <c r="N5048" i="14"/>
  <c r="J5047" i="14" a="1"/>
  <c r="J5047" i="14" s="1"/>
  <c r="M5051" i="13"/>
  <c r="J5048" i="13" a="1"/>
  <c r="J5048" i="13" s="1"/>
  <c r="N5049" i="13"/>
  <c r="M5052" i="14"/>
  <c r="K4863" i="13" l="1"/>
  <c r="L4863" i="13" s="1"/>
  <c r="I4864" i="13" s="1"/>
  <c r="N5050" i="13"/>
  <c r="J5049" i="13" a="1"/>
  <c r="J5049" i="13" s="1"/>
  <c r="M5053" i="14"/>
  <c r="M5052" i="13"/>
  <c r="K4885" i="14"/>
  <c r="L4885" i="14" s="1"/>
  <c r="I4886" i="14" s="1"/>
  <c r="J5048" i="14" a="1"/>
  <c r="J5048" i="14" s="1"/>
  <c r="N5049" i="14"/>
  <c r="K4886" i="14" l="1"/>
  <c r="L4886" i="14" s="1"/>
  <c r="I4887" i="14" s="1"/>
  <c r="K4864" i="13"/>
  <c r="L4864" i="13" s="1"/>
  <c r="I4865" i="13" s="1"/>
  <c r="J5050" i="13" a="1"/>
  <c r="J5050" i="13" s="1"/>
  <c r="N5051" i="13"/>
  <c r="N5050" i="14"/>
  <c r="J5049" i="14" a="1"/>
  <c r="J5049" i="14" s="1"/>
  <c r="M5053" i="13"/>
  <c r="M5054" i="14"/>
  <c r="K4887" i="14" l="1"/>
  <c r="L4887" i="14" s="1"/>
  <c r="I4888" i="14" s="1"/>
  <c r="N5051" i="14"/>
  <c r="J5050" i="14" a="1"/>
  <c r="J5050" i="14" s="1"/>
  <c r="K4865" i="13"/>
  <c r="L4865" i="13" s="1"/>
  <c r="I4866" i="13" s="1"/>
  <c r="N5052" i="13"/>
  <c r="J5051" i="13" a="1"/>
  <c r="J5051" i="13" s="1"/>
  <c r="M5055" i="14"/>
  <c r="M5054" i="13"/>
  <c r="K4866" i="13" l="1"/>
  <c r="L4866" i="13" s="1"/>
  <c r="I4867" i="13" s="1"/>
  <c r="K4888" i="14"/>
  <c r="L4888" i="14" s="1"/>
  <c r="I4889" i="14" s="1"/>
  <c r="N5052" i="14"/>
  <c r="J5051" i="14" a="1"/>
  <c r="J5051" i="14" s="1"/>
  <c r="M5055" i="13"/>
  <c r="J5052" i="13" a="1"/>
  <c r="J5052" i="13" s="1"/>
  <c r="N5053" i="13"/>
  <c r="M5056" i="14"/>
  <c r="K4889" i="14" l="1"/>
  <c r="L4889" i="14" s="1"/>
  <c r="I4890" i="14" s="1"/>
  <c r="K4867" i="13"/>
  <c r="L4867" i="13" s="1"/>
  <c r="I4868" i="13" s="1"/>
  <c r="N5054" i="13"/>
  <c r="J5053" i="13" a="1"/>
  <c r="J5053" i="13" s="1"/>
  <c r="M5057" i="14"/>
  <c r="M5056" i="13"/>
  <c r="J5052" i="14" a="1"/>
  <c r="J5052" i="14" s="1"/>
  <c r="N5053" i="14"/>
  <c r="N5054" i="14" l="1"/>
  <c r="J5053" i="14" a="1"/>
  <c r="J5053" i="14" s="1"/>
  <c r="M5058" i="14"/>
  <c r="K4868" i="13"/>
  <c r="L4868" i="13" s="1"/>
  <c r="I4869" i="13" s="1"/>
  <c r="M5057" i="13"/>
  <c r="J5054" i="13" a="1"/>
  <c r="J5054" i="13" s="1"/>
  <c r="N5055" i="13"/>
  <c r="K4890" i="14"/>
  <c r="L4890" i="14" s="1"/>
  <c r="I4891" i="14" s="1"/>
  <c r="K4869" i="13" l="1"/>
  <c r="L4869" i="13" s="1"/>
  <c r="I4870" i="13" s="1"/>
  <c r="M5059" i="14"/>
  <c r="M5058" i="13"/>
  <c r="N5056" i="13"/>
  <c r="J5055" i="13" a="1"/>
  <c r="J5055" i="13" s="1"/>
  <c r="K4891" i="14"/>
  <c r="L4891" i="14" s="1"/>
  <c r="I4892" i="14" s="1"/>
  <c r="J5054" i="14" a="1"/>
  <c r="J5054" i="14" s="1"/>
  <c r="N5055" i="14"/>
  <c r="K4892" i="14" l="1"/>
  <c r="L4892" i="14" s="1"/>
  <c r="I4893" i="14" s="1"/>
  <c r="K4870" i="13"/>
  <c r="L4870" i="13" s="1"/>
  <c r="I4871" i="13" s="1"/>
  <c r="N5056" i="14"/>
  <c r="J5055" i="14" a="1"/>
  <c r="J5055" i="14" s="1"/>
  <c r="J5056" i="13" a="1"/>
  <c r="J5056" i="13" s="1"/>
  <c r="N5057" i="13"/>
  <c r="M5060" i="14"/>
  <c r="M5059" i="13"/>
  <c r="K4893" i="14" l="1"/>
  <c r="L4893" i="14" s="1"/>
  <c r="I4894" i="14" s="1"/>
  <c r="N5058" i="13"/>
  <c r="J5057" i="13" a="1"/>
  <c r="J5057" i="13" s="1"/>
  <c r="M5060" i="13"/>
  <c r="K4871" i="13"/>
  <c r="L4871" i="13" s="1"/>
  <c r="I4872" i="13" s="1"/>
  <c r="M5061" i="14"/>
  <c r="J5056" i="14" a="1"/>
  <c r="J5056" i="14" s="1"/>
  <c r="N5057" i="14"/>
  <c r="K4872" i="13" l="1"/>
  <c r="L4872" i="13" s="1"/>
  <c r="I4873" i="13" s="1"/>
  <c r="K4894" i="14"/>
  <c r="L4894" i="14" s="1"/>
  <c r="I4895" i="14" s="1"/>
  <c r="J5057" i="14" a="1"/>
  <c r="J5057" i="14" s="1"/>
  <c r="N5058" i="14"/>
  <c r="J5058" i="13" a="1"/>
  <c r="J5058" i="13" s="1"/>
  <c r="N5059" i="13"/>
  <c r="M5061" i="13"/>
  <c r="M5062" i="14"/>
  <c r="K4873" i="13" l="1"/>
  <c r="L4873" i="13" s="1"/>
  <c r="I4874" i="13" s="1"/>
  <c r="M5062" i="13"/>
  <c r="M5063" i="14"/>
  <c r="N5060" i="13"/>
  <c r="J5059" i="13" a="1"/>
  <c r="J5059" i="13" s="1"/>
  <c r="K4895" i="14"/>
  <c r="L4895" i="14" s="1"/>
  <c r="I4896" i="14" s="1"/>
  <c r="J5058" i="14" a="1"/>
  <c r="J5058" i="14" s="1"/>
  <c r="N5059" i="14"/>
  <c r="K4896" i="14" l="1"/>
  <c r="L4896" i="14" s="1"/>
  <c r="I4897" i="14" s="1"/>
  <c r="K4874" i="13"/>
  <c r="L4874" i="13" s="1"/>
  <c r="I4875" i="13" s="1"/>
  <c r="M5063" i="13"/>
  <c r="N5060" i="14"/>
  <c r="J5059" i="14" a="1"/>
  <c r="J5059" i="14" s="1"/>
  <c r="J5060" i="13" a="1"/>
  <c r="J5060" i="13" s="1"/>
  <c r="N5061" i="13"/>
  <c r="M5064" i="14"/>
  <c r="K4897" i="14" l="1"/>
  <c r="L4897" i="14" s="1"/>
  <c r="I4898" i="14" s="1"/>
  <c r="M5065" i="14"/>
  <c r="J5060" i="14" a="1"/>
  <c r="J5060" i="14" s="1"/>
  <c r="N5061" i="14"/>
  <c r="K4875" i="13"/>
  <c r="L4875" i="13" s="1"/>
  <c r="I4876" i="13" s="1"/>
  <c r="N5062" i="13"/>
  <c r="J5061" i="13" a="1"/>
  <c r="J5061" i="13" s="1"/>
  <c r="M5064" i="13"/>
  <c r="K4898" i="14" l="1"/>
  <c r="L4898" i="14" s="1"/>
  <c r="I4899" i="14" s="1"/>
  <c r="J5062" i="13" a="1"/>
  <c r="J5062" i="13" s="1"/>
  <c r="N5063" i="13"/>
  <c r="M5065" i="13"/>
  <c r="K4876" i="13"/>
  <c r="L4876" i="13" s="1"/>
  <c r="I4877" i="13" s="1"/>
  <c r="M5066" i="14"/>
  <c r="J5061" i="14" a="1"/>
  <c r="J5061" i="14" s="1"/>
  <c r="N5062" i="14"/>
  <c r="K4877" i="13" l="1"/>
  <c r="L4877" i="13" s="1"/>
  <c r="I4878" i="13" s="1"/>
  <c r="K4899" i="14"/>
  <c r="L4899" i="14" s="1"/>
  <c r="I4900" i="14" s="1"/>
  <c r="N5064" i="13"/>
  <c r="J5063" i="13" a="1"/>
  <c r="J5063" i="13" s="1"/>
  <c r="N5063" i="14"/>
  <c r="J5062" i="14" a="1"/>
  <c r="J5062" i="14" s="1"/>
  <c r="M5067" i="14"/>
  <c r="M5066" i="13"/>
  <c r="K4878" i="13" l="1"/>
  <c r="L4878" i="13" s="1"/>
  <c r="I4879" i="13" s="1"/>
  <c r="N5064" i="14"/>
  <c r="J5063" i="14" a="1"/>
  <c r="J5063" i="14" s="1"/>
  <c r="K4900" i="14"/>
  <c r="L4900" i="14" s="1"/>
  <c r="I4901" i="14" s="1"/>
  <c r="M5067" i="13"/>
  <c r="M5068" i="14"/>
  <c r="J5064" i="13" a="1"/>
  <c r="J5064" i="13" s="1"/>
  <c r="N5065" i="13"/>
  <c r="K4901" i="14" l="1"/>
  <c r="L4901" i="14" s="1"/>
  <c r="I4902" i="14" s="1"/>
  <c r="K4879" i="13"/>
  <c r="L4879" i="13" s="1"/>
  <c r="I4880" i="13" s="1"/>
  <c r="M5068" i="13"/>
  <c r="N5066" i="13"/>
  <c r="J5065" i="13" a="1"/>
  <c r="J5065" i="13" s="1"/>
  <c r="J5064" i="14" a="1"/>
  <c r="J5064" i="14" s="1"/>
  <c r="N5065" i="14"/>
  <c r="M5069" i="14"/>
  <c r="K4880" i="13" l="1"/>
  <c r="L4880" i="13" s="1"/>
  <c r="I4881" i="13" s="1"/>
  <c r="K4902" i="14"/>
  <c r="L4902" i="14" s="1"/>
  <c r="I4903" i="14" s="1"/>
  <c r="M5070" i="14"/>
  <c r="J5066" i="13" a="1"/>
  <c r="J5066" i="13" s="1"/>
  <c r="N5067" i="13"/>
  <c r="N5066" i="14"/>
  <c r="J5065" i="14" a="1"/>
  <c r="J5065" i="14" s="1"/>
  <c r="M5069" i="13"/>
  <c r="K4881" i="13" l="1"/>
  <c r="L4881" i="13" s="1"/>
  <c r="I4882" i="13" s="1"/>
  <c r="N5068" i="13"/>
  <c r="J5067" i="13" a="1"/>
  <c r="J5067" i="13" s="1"/>
  <c r="M5070" i="13"/>
  <c r="K4903" i="14"/>
  <c r="L4903" i="14" s="1"/>
  <c r="I4904" i="14" s="1"/>
  <c r="M5071" i="14"/>
  <c r="N5067" i="14"/>
  <c r="J5066" i="14" a="1"/>
  <c r="J5066" i="14" s="1"/>
  <c r="K4904" i="14" l="1"/>
  <c r="L4904" i="14" s="1"/>
  <c r="I4905" i="14" s="1"/>
  <c r="K4882" i="13"/>
  <c r="L4882" i="13" s="1"/>
  <c r="I4883" i="13" s="1"/>
  <c r="N5068" i="14"/>
  <c r="J5067" i="14" a="1"/>
  <c r="J5067" i="14" s="1"/>
  <c r="J5068" i="13" a="1"/>
  <c r="J5068" i="13" s="1"/>
  <c r="N5069" i="13"/>
  <c r="M5071" i="13"/>
  <c r="M5072" i="14"/>
  <c r="K4905" i="14" l="1"/>
  <c r="L4905" i="14" s="1"/>
  <c r="I4906" i="14" s="1"/>
  <c r="M5073" i="14"/>
  <c r="N5070" i="13"/>
  <c r="J5069" i="13" a="1"/>
  <c r="J5069" i="13" s="1"/>
  <c r="K4883" i="13"/>
  <c r="L4883" i="13" s="1"/>
  <c r="I4884" i="13" s="1"/>
  <c r="M5072" i="13"/>
  <c r="J5068" i="14" a="1"/>
  <c r="J5068" i="14" s="1"/>
  <c r="N5069" i="14"/>
  <c r="K4906" i="14" l="1"/>
  <c r="L4906" i="14" s="1"/>
  <c r="I4907" i="14" s="1"/>
  <c r="N5070" i="14"/>
  <c r="J5069" i="14" a="1"/>
  <c r="J5069" i="14" s="1"/>
  <c r="M5074" i="14"/>
  <c r="K4884" i="13"/>
  <c r="L4884" i="13" s="1"/>
  <c r="I4885" i="13" s="1"/>
  <c r="M5073" i="13"/>
  <c r="J5070" i="13" a="1"/>
  <c r="J5070" i="13" s="1"/>
  <c r="N5071" i="13"/>
  <c r="K4885" i="13" l="1"/>
  <c r="L4885" i="13" s="1"/>
  <c r="I4886" i="13" s="1"/>
  <c r="K4907" i="14"/>
  <c r="L4907" i="14" s="1"/>
  <c r="I4908" i="14" s="1"/>
  <c r="N5071" i="14"/>
  <c r="J5070" i="14" a="1"/>
  <c r="J5070" i="14" s="1"/>
  <c r="N5072" i="13"/>
  <c r="J5071" i="13" a="1"/>
  <c r="J5071" i="13" s="1"/>
  <c r="M5075" i="14"/>
  <c r="M5074" i="13"/>
  <c r="K4908" i="14" l="1"/>
  <c r="L4908" i="14" s="1"/>
  <c r="I4909" i="14" s="1"/>
  <c r="K4886" i="13"/>
  <c r="L4886" i="13" s="1"/>
  <c r="I4887" i="13" s="1"/>
  <c r="J5072" i="13" a="1"/>
  <c r="J5072" i="13" s="1"/>
  <c r="N5073" i="13"/>
  <c r="M5075" i="13"/>
  <c r="M5076" i="14"/>
  <c r="N5072" i="14"/>
  <c r="J5071" i="14" a="1"/>
  <c r="J5071" i="14" s="1"/>
  <c r="K4909" i="14" l="1"/>
  <c r="L4909" i="14" s="1"/>
  <c r="I4910" i="14" s="1"/>
  <c r="M5077" i="14"/>
  <c r="J5072" i="14" a="1"/>
  <c r="J5072" i="14" s="1"/>
  <c r="N5073" i="14"/>
  <c r="M5076" i="13"/>
  <c r="K4887" i="13"/>
  <c r="L4887" i="13" s="1"/>
  <c r="I4888" i="13" s="1"/>
  <c r="N5074" i="13"/>
  <c r="J5073" i="13" a="1"/>
  <c r="J5073" i="13" s="1"/>
  <c r="K4910" i="14" l="1"/>
  <c r="L4910" i="14" s="1"/>
  <c r="I4911" i="14" s="1"/>
  <c r="M5077" i="13"/>
  <c r="M5078" i="14"/>
  <c r="J5074" i="13" a="1"/>
  <c r="J5074" i="13" s="1"/>
  <c r="N5075" i="13"/>
  <c r="N5074" i="14"/>
  <c r="J5073" i="14" a="1"/>
  <c r="J5073" i="14" s="1"/>
  <c r="K4888" i="13"/>
  <c r="L4888" i="13" s="1"/>
  <c r="I4889" i="13" s="1"/>
  <c r="K4889" i="13" l="1"/>
  <c r="L4889" i="13" s="1"/>
  <c r="I4890" i="13" s="1"/>
  <c r="K4911" i="14"/>
  <c r="L4911" i="14" s="1"/>
  <c r="I4912" i="14" s="1"/>
  <c r="N5076" i="13"/>
  <c r="J5075" i="13" a="1"/>
  <c r="J5075" i="13" s="1"/>
  <c r="M5078" i="13"/>
  <c r="M5079" i="14"/>
  <c r="N5075" i="14"/>
  <c r="J5074" i="14" a="1"/>
  <c r="J5074" i="14" s="1"/>
  <c r="K4890" i="13" l="1"/>
  <c r="L4890" i="13" s="1"/>
  <c r="I4891" i="13" s="1"/>
  <c r="M5079" i="13"/>
  <c r="N5076" i="14"/>
  <c r="J5075" i="14" a="1"/>
  <c r="J5075" i="14" s="1"/>
  <c r="K4912" i="14"/>
  <c r="L4912" i="14" s="1"/>
  <c r="I4913" i="14" s="1"/>
  <c r="M5080" i="14"/>
  <c r="J5076" i="13" a="1"/>
  <c r="J5076" i="13" s="1"/>
  <c r="N5077" i="13"/>
  <c r="K4891" i="13" l="1"/>
  <c r="L4891" i="13" s="1"/>
  <c r="I4892" i="13" s="1"/>
  <c r="N5078" i="13"/>
  <c r="J5077" i="13" a="1"/>
  <c r="J5077" i="13" s="1"/>
  <c r="K4913" i="14"/>
  <c r="L4913" i="14" s="1"/>
  <c r="I4914" i="14" s="1"/>
  <c r="M5080" i="13"/>
  <c r="M5081" i="14"/>
  <c r="J5076" i="14" a="1"/>
  <c r="J5076" i="14" s="1"/>
  <c r="N5077" i="14"/>
  <c r="K4914" i="14" l="1"/>
  <c r="L4914" i="14" s="1"/>
  <c r="I4915" i="14" s="1"/>
  <c r="K4892" i="13"/>
  <c r="L4892" i="13" s="1"/>
  <c r="I4893" i="13" s="1"/>
  <c r="N5078" i="14"/>
  <c r="J5077" i="14" a="1"/>
  <c r="J5077" i="14" s="1"/>
  <c r="M5081" i="13"/>
  <c r="J5078" i="13" a="1"/>
  <c r="J5078" i="13" s="1"/>
  <c r="N5079" i="13"/>
  <c r="M5082" i="14"/>
  <c r="K4893" i="13" l="1"/>
  <c r="L4893" i="13" s="1"/>
  <c r="I4894" i="13" s="1"/>
  <c r="K4915" i="14"/>
  <c r="L4915" i="14" s="1"/>
  <c r="I4916" i="14" s="1"/>
  <c r="N5080" i="13"/>
  <c r="J5079" i="13" a="1"/>
  <c r="J5079" i="13" s="1"/>
  <c r="M5083" i="14"/>
  <c r="M5082" i="13"/>
  <c r="N5079" i="14"/>
  <c r="J5078" i="14" a="1"/>
  <c r="J5078" i="14" s="1"/>
  <c r="K4916" i="14" l="1"/>
  <c r="L4916" i="14" s="1"/>
  <c r="I4917" i="14" s="1"/>
  <c r="K4894" i="13"/>
  <c r="L4894" i="13" s="1"/>
  <c r="I4895" i="13" s="1"/>
  <c r="N5080" i="14"/>
  <c r="J5079" i="14" a="1"/>
  <c r="J5079" i="14" s="1"/>
  <c r="M5084" i="14"/>
  <c r="M5083" i="13"/>
  <c r="J5080" i="13" a="1"/>
  <c r="J5080" i="13" s="1"/>
  <c r="N5081" i="13"/>
  <c r="K4917" i="14" l="1"/>
  <c r="L4917" i="14" s="1"/>
  <c r="I4918" i="14" s="1"/>
  <c r="N5082" i="13"/>
  <c r="J5081" i="13" a="1"/>
  <c r="J5081" i="13" s="1"/>
  <c r="M5085" i="14"/>
  <c r="K4895" i="13"/>
  <c r="L4895" i="13" s="1"/>
  <c r="I4896" i="13" s="1"/>
  <c r="M5084" i="13"/>
  <c r="J5080" i="14" a="1"/>
  <c r="J5080" i="14" s="1"/>
  <c r="N5081" i="14"/>
  <c r="K4918" i="14" l="1"/>
  <c r="L4918" i="14" s="1"/>
  <c r="I4919" i="14" s="1"/>
  <c r="N5082" i="14"/>
  <c r="J5081" i="14" a="1"/>
  <c r="J5081" i="14" s="1"/>
  <c r="K4896" i="13"/>
  <c r="L4896" i="13" s="1"/>
  <c r="I4897" i="13" s="1"/>
  <c r="J5082" i="13" a="1"/>
  <c r="J5082" i="13" s="1"/>
  <c r="N5083" i="13"/>
  <c r="M5085" i="13"/>
  <c r="M5086" i="14"/>
  <c r="K4897" i="13" l="1"/>
  <c r="L4897" i="13" s="1"/>
  <c r="I4898" i="13" s="1"/>
  <c r="K4919" i="14"/>
  <c r="L4919" i="14" s="1"/>
  <c r="I4920" i="14" s="1"/>
  <c r="M5087" i="14"/>
  <c r="N5084" i="13"/>
  <c r="J5083" i="13" a="1"/>
  <c r="J5083" i="13" s="1"/>
  <c r="N5083" i="14"/>
  <c r="J5082" i="14" a="1"/>
  <c r="J5082" i="14" s="1"/>
  <c r="M5086" i="13"/>
  <c r="K4898" i="13" l="1"/>
  <c r="L4898" i="13" s="1"/>
  <c r="I4899" i="13" s="1"/>
  <c r="K4920" i="14"/>
  <c r="L4920" i="14" s="1"/>
  <c r="I4921" i="14" s="1"/>
  <c r="J5084" i="13" a="1"/>
  <c r="J5084" i="13" s="1"/>
  <c r="N5085" i="13"/>
  <c r="M5087" i="13"/>
  <c r="N5084" i="14"/>
  <c r="J5083" i="14" a="1"/>
  <c r="J5083" i="14" s="1"/>
  <c r="M5088" i="14"/>
  <c r="K4899" i="13" l="1"/>
  <c r="L4899" i="13" s="1"/>
  <c r="I4900" i="13" s="1"/>
  <c r="J5084" i="14" a="1"/>
  <c r="J5084" i="14" s="1"/>
  <c r="N5085" i="14"/>
  <c r="M5089" i="14"/>
  <c r="M5088" i="13"/>
  <c r="K4921" i="14"/>
  <c r="L4921" i="14" s="1"/>
  <c r="I4922" i="14" s="1"/>
  <c r="N5086" i="13"/>
  <c r="J5085" i="13" a="1"/>
  <c r="J5085" i="13" s="1"/>
  <c r="K4922" i="14" l="1"/>
  <c r="L4922" i="14" s="1"/>
  <c r="I4923" i="14" s="1"/>
  <c r="K4900" i="13"/>
  <c r="L4900" i="13" s="1"/>
  <c r="I4901" i="13" s="1"/>
  <c r="M5089" i="13"/>
  <c r="N5086" i="14"/>
  <c r="J5085" i="14" a="1"/>
  <c r="J5085" i="14" s="1"/>
  <c r="J5086" i="13" a="1"/>
  <c r="J5086" i="13" s="1"/>
  <c r="N5087" i="13"/>
  <c r="M5090" i="14"/>
  <c r="K4901" i="13" l="1"/>
  <c r="L4901" i="13" s="1"/>
  <c r="I4902" i="13" s="1"/>
  <c r="M5091" i="14"/>
  <c r="N5087" i="14"/>
  <c r="J5086" i="14" a="1"/>
  <c r="J5086" i="14" s="1"/>
  <c r="N5088" i="13"/>
  <c r="J5087" i="13" a="1"/>
  <c r="J5087" i="13" s="1"/>
  <c r="M5090" i="13"/>
  <c r="K4923" i="14"/>
  <c r="L4923" i="14" s="1"/>
  <c r="I4924" i="14" s="1"/>
  <c r="K4924" i="14" l="1"/>
  <c r="L4924" i="14" s="1"/>
  <c r="I4925" i="14" s="1"/>
  <c r="K4902" i="13"/>
  <c r="L4902" i="13" s="1"/>
  <c r="I4903" i="13" s="1"/>
  <c r="M5092" i="14"/>
  <c r="J5088" i="13" a="1"/>
  <c r="J5088" i="13" s="1"/>
  <c r="N5089" i="13"/>
  <c r="M5091" i="13"/>
  <c r="N5088" i="14"/>
  <c r="J5087" i="14" a="1"/>
  <c r="J5087" i="14" s="1"/>
  <c r="K4903" i="13" l="1"/>
  <c r="L4903" i="13" s="1"/>
  <c r="I4904" i="13" s="1"/>
  <c r="K4925" i="14"/>
  <c r="L4925" i="14" s="1"/>
  <c r="I4926" i="14" s="1"/>
  <c r="N5090" i="13"/>
  <c r="J5089" i="13" a="1"/>
  <c r="J5089" i="13" s="1"/>
  <c r="J5088" i="14" a="1"/>
  <c r="J5088" i="14" s="1"/>
  <c r="N5089" i="14"/>
  <c r="M5093" i="14"/>
  <c r="M5092" i="13"/>
  <c r="K4926" i="14" l="1"/>
  <c r="L4926" i="14" s="1"/>
  <c r="I4927" i="14" s="1"/>
  <c r="N5090" i="14"/>
  <c r="J5089" i="14" a="1"/>
  <c r="J5089" i="14" s="1"/>
  <c r="M5094" i="14"/>
  <c r="M5093" i="13"/>
  <c r="J5090" i="13" a="1"/>
  <c r="J5090" i="13" s="1"/>
  <c r="N5091" i="13"/>
  <c r="K4904" i="13"/>
  <c r="L4904" i="13" s="1"/>
  <c r="I4905" i="13" s="1"/>
  <c r="K4905" i="13" l="1"/>
  <c r="L4905" i="13" s="1"/>
  <c r="I4906" i="13" s="1"/>
  <c r="K4927" i="14"/>
  <c r="L4927" i="14" s="1"/>
  <c r="I4928" i="14" s="1"/>
  <c r="M5094" i="13"/>
  <c r="N5091" i="14"/>
  <c r="J5090" i="14" a="1"/>
  <c r="J5090" i="14" s="1"/>
  <c r="N5092" i="13"/>
  <c r="J5091" i="13" a="1"/>
  <c r="J5091" i="13" s="1"/>
  <c r="M5095" i="14"/>
  <c r="K4906" i="13" l="1"/>
  <c r="L4906" i="13" s="1"/>
  <c r="I4907" i="13" s="1"/>
  <c r="K4928" i="14"/>
  <c r="L4928" i="14" s="1"/>
  <c r="I4929" i="14" s="1"/>
  <c r="N5092" i="14"/>
  <c r="J5091" i="14" a="1"/>
  <c r="J5091" i="14" s="1"/>
  <c r="M5096" i="14"/>
  <c r="M5095" i="13"/>
  <c r="J5092" i="13" a="1"/>
  <c r="J5092" i="13" s="1"/>
  <c r="N5093" i="13"/>
  <c r="K4907" i="13" l="1"/>
  <c r="L4907" i="13" s="1"/>
  <c r="I4908" i="13" s="1"/>
  <c r="N5094" i="13"/>
  <c r="J5093" i="13" a="1"/>
  <c r="J5093" i="13" s="1"/>
  <c r="M5097" i="14"/>
  <c r="K4929" i="14"/>
  <c r="L4929" i="14" s="1"/>
  <c r="I4930" i="14" s="1"/>
  <c r="M5096" i="13"/>
  <c r="J5092" i="14" a="1"/>
  <c r="J5092" i="14" s="1"/>
  <c r="N5093" i="14"/>
  <c r="K4930" i="14" l="1"/>
  <c r="L4930" i="14" s="1"/>
  <c r="I4931" i="14" s="1"/>
  <c r="K4908" i="13"/>
  <c r="L4908" i="13" s="1"/>
  <c r="I4909" i="13" s="1"/>
  <c r="N5094" i="14"/>
  <c r="J5093" i="14" a="1"/>
  <c r="J5093" i="14" s="1"/>
  <c r="J5094" i="13" a="1"/>
  <c r="J5094" i="13" s="1"/>
  <c r="N5095" i="13"/>
  <c r="M5097" i="13"/>
  <c r="M5098" i="14"/>
  <c r="K4931" i="14" l="1"/>
  <c r="L4931" i="14" s="1"/>
  <c r="I4932" i="14" s="1"/>
  <c r="M5099" i="14"/>
  <c r="N5096" i="13"/>
  <c r="J5095" i="13" a="1"/>
  <c r="J5095" i="13" s="1"/>
  <c r="K4909" i="13"/>
  <c r="L4909" i="13" s="1"/>
  <c r="I4910" i="13" s="1"/>
  <c r="M5098" i="13"/>
  <c r="N5095" i="14"/>
  <c r="J5094" i="14" a="1"/>
  <c r="J5094" i="14" s="1"/>
  <c r="K4932" i="14" l="1"/>
  <c r="L4932" i="14" s="1"/>
  <c r="I4933" i="14" s="1"/>
  <c r="N5096" i="14"/>
  <c r="J5095" i="14" a="1"/>
  <c r="J5095" i="14" s="1"/>
  <c r="M5100" i="14"/>
  <c r="K4910" i="13"/>
  <c r="L4910" i="13" s="1"/>
  <c r="I4911" i="13" s="1"/>
  <c r="M5099" i="13"/>
  <c r="J5096" i="13" a="1"/>
  <c r="J5096" i="13" s="1"/>
  <c r="N5097" i="13"/>
  <c r="K4911" i="13" l="1"/>
  <c r="L4911" i="13" s="1"/>
  <c r="I4912" i="13" s="1"/>
  <c r="K4933" i="14"/>
  <c r="L4933" i="14" s="1"/>
  <c r="I4934" i="14" s="1"/>
  <c r="J5096" i="14" a="1"/>
  <c r="J5096" i="14" s="1"/>
  <c r="N5097" i="14"/>
  <c r="N5098" i="13"/>
  <c r="J5097" i="13" a="1"/>
  <c r="J5097" i="13" s="1"/>
  <c r="M5100" i="13"/>
  <c r="M5101" i="14"/>
  <c r="K4934" i="14" l="1"/>
  <c r="L4934" i="14" s="1"/>
  <c r="I4935" i="14" s="1"/>
  <c r="K4912" i="13"/>
  <c r="L4912" i="13" s="1"/>
  <c r="I4913" i="13" s="1"/>
  <c r="J5098" i="13" a="1"/>
  <c r="J5098" i="13" s="1"/>
  <c r="N5099" i="13"/>
  <c r="N5098" i="14"/>
  <c r="J5097" i="14" a="1"/>
  <c r="J5097" i="14" s="1"/>
  <c r="M5102" i="14"/>
  <c r="M5101" i="13"/>
  <c r="K4935" i="14" l="1"/>
  <c r="L4935" i="14" s="1"/>
  <c r="I4936" i="14" s="1"/>
  <c r="N5099" i="14"/>
  <c r="J5098" i="14" a="1"/>
  <c r="J5098" i="14" s="1"/>
  <c r="K4913" i="13"/>
  <c r="L4913" i="13" s="1"/>
  <c r="I4914" i="13" s="1"/>
  <c r="N5100" i="13"/>
  <c r="J5099" i="13" a="1"/>
  <c r="J5099" i="13" s="1"/>
  <c r="M5102" i="13"/>
  <c r="M5103" i="14"/>
  <c r="K4936" i="14" l="1"/>
  <c r="L4936" i="14" s="1"/>
  <c r="I4937" i="14" s="1"/>
  <c r="N5100" i="14"/>
  <c r="J5099" i="14" a="1"/>
  <c r="J5099" i="14" s="1"/>
  <c r="M5104" i="14"/>
  <c r="J5100" i="13" a="1"/>
  <c r="J5100" i="13" s="1"/>
  <c r="N5101" i="13"/>
  <c r="M5103" i="13"/>
  <c r="K4914" i="13"/>
  <c r="L4914" i="13" s="1"/>
  <c r="I4915" i="13" s="1"/>
  <c r="K4915" i="13" l="1"/>
  <c r="L4915" i="13" s="1"/>
  <c r="I4916" i="13" s="1"/>
  <c r="K4937" i="14"/>
  <c r="L4937" i="14" s="1"/>
  <c r="I4938" i="14" s="1"/>
  <c r="N5102" i="13"/>
  <c r="J5101" i="13" a="1"/>
  <c r="J5101" i="13" s="1"/>
  <c r="J5100" i="14" a="1"/>
  <c r="J5100" i="14" s="1"/>
  <c r="N5101" i="14"/>
  <c r="M5105" i="14"/>
  <c r="M5104" i="13"/>
  <c r="K4916" i="13" l="1"/>
  <c r="L4916" i="13" s="1"/>
  <c r="I4917" i="13" s="1"/>
  <c r="M5105" i="13"/>
  <c r="N5102" i="14"/>
  <c r="J5101" i="14" a="1"/>
  <c r="J5101" i="14" s="1"/>
  <c r="K4938" i="14"/>
  <c r="L4938" i="14" s="1"/>
  <c r="I4939" i="14" s="1"/>
  <c r="M5106" i="14"/>
  <c r="J5102" i="13" a="1"/>
  <c r="J5102" i="13" s="1"/>
  <c r="N5103" i="13"/>
  <c r="K4917" i="13" l="1"/>
  <c r="L4917" i="13" s="1"/>
  <c r="I4918" i="13" s="1"/>
  <c r="N5104" i="13"/>
  <c r="J5103" i="13" a="1"/>
  <c r="J5103" i="13" s="1"/>
  <c r="K4939" i="14"/>
  <c r="L4939" i="14" s="1"/>
  <c r="I4940" i="14" s="1"/>
  <c r="M5106" i="13"/>
  <c r="M5107" i="14"/>
  <c r="N5103" i="14"/>
  <c r="J5102" i="14" a="1"/>
  <c r="J5102" i="14" s="1"/>
  <c r="K4940" i="14" l="1"/>
  <c r="L4940" i="14" s="1"/>
  <c r="I4941" i="14" s="1"/>
  <c r="K4918" i="13"/>
  <c r="L4918" i="13" s="1"/>
  <c r="I4919" i="13" s="1"/>
  <c r="M5107" i="13"/>
  <c r="J5104" i="13" a="1"/>
  <c r="J5104" i="13" s="1"/>
  <c r="N5105" i="13"/>
  <c r="N5104" i="14"/>
  <c r="J5103" i="14" a="1"/>
  <c r="J5103" i="14" s="1"/>
  <c r="M5108" i="14"/>
  <c r="K4941" i="14" l="1"/>
  <c r="L4941" i="14" s="1"/>
  <c r="I4942" i="14" s="1"/>
  <c r="M5109" i="14"/>
  <c r="N5106" i="13"/>
  <c r="J5105" i="13" a="1"/>
  <c r="J5105" i="13" s="1"/>
  <c r="K4919" i="13"/>
  <c r="L4919" i="13" s="1"/>
  <c r="I4920" i="13" s="1"/>
  <c r="J5104" i="14" a="1"/>
  <c r="J5104" i="14" s="1"/>
  <c r="N5105" i="14"/>
  <c r="M5108" i="13"/>
  <c r="K4920" i="13" l="1"/>
  <c r="L4920" i="13" s="1"/>
  <c r="I4921" i="13" s="1"/>
  <c r="K4942" i="14"/>
  <c r="L4942" i="14" s="1"/>
  <c r="I4943" i="14" s="1"/>
  <c r="M5109" i="13"/>
  <c r="N5106" i="14"/>
  <c r="J5105" i="14" a="1"/>
  <c r="J5105" i="14" s="1"/>
  <c r="M5110" i="14"/>
  <c r="J5106" i="13" a="1"/>
  <c r="J5106" i="13" s="1"/>
  <c r="N5107" i="13"/>
  <c r="K4921" i="13" l="1"/>
  <c r="L4921" i="13" s="1"/>
  <c r="I4922" i="13" s="1"/>
  <c r="K4943" i="14"/>
  <c r="L4943" i="14" s="1"/>
  <c r="I4944" i="14" s="1"/>
  <c r="N5107" i="14"/>
  <c r="J5106" i="14" a="1"/>
  <c r="J5106" i="14" s="1"/>
  <c r="N5108" i="13"/>
  <c r="J5107" i="13" a="1"/>
  <c r="J5107" i="13" s="1"/>
  <c r="M5111" i="14"/>
  <c r="M5110" i="13"/>
  <c r="K4944" i="14" l="1"/>
  <c r="L4944" i="14" s="1"/>
  <c r="I4945" i="14" s="1"/>
  <c r="K4922" i="13"/>
  <c r="L4922" i="13" s="1"/>
  <c r="I4923" i="13" s="1"/>
  <c r="M5111" i="13"/>
  <c r="J5108" i="13" a="1"/>
  <c r="J5108" i="13" s="1"/>
  <c r="N5109" i="13"/>
  <c r="M5112" i="14"/>
  <c r="N5108" i="14"/>
  <c r="J5107" i="14" a="1"/>
  <c r="J5107" i="14" s="1"/>
  <c r="K4923" i="13" l="1"/>
  <c r="L4923" i="13" s="1"/>
  <c r="I4924" i="13" s="1"/>
  <c r="K4945" i="14"/>
  <c r="L4945" i="14" s="1"/>
  <c r="I4946" i="14" s="1"/>
  <c r="N5110" i="13"/>
  <c r="J5109" i="13" a="1"/>
  <c r="J5109" i="13" s="1"/>
  <c r="J5108" i="14" a="1"/>
  <c r="J5108" i="14" s="1"/>
  <c r="N5109" i="14"/>
  <c r="M5113" i="14"/>
  <c r="M5112" i="13"/>
  <c r="K4946" i="14" l="1"/>
  <c r="L4946" i="14" s="1"/>
  <c r="I4947" i="14" s="1"/>
  <c r="K4924" i="13"/>
  <c r="L4924" i="13" s="1"/>
  <c r="I4925" i="13" s="1"/>
  <c r="M5114" i="14"/>
  <c r="M5113" i="13"/>
  <c r="N5110" i="14"/>
  <c r="J5109" i="14" a="1"/>
  <c r="J5109" i="14" s="1"/>
  <c r="J5110" i="13" a="1"/>
  <c r="J5110" i="13" s="1"/>
  <c r="N5111" i="13"/>
  <c r="K4925" i="13" l="1"/>
  <c r="L4925" i="13" s="1"/>
  <c r="I4926" i="13" s="1"/>
  <c r="K4947" i="14"/>
  <c r="L4947" i="14" s="1"/>
  <c r="I4948" i="14" s="1"/>
  <c r="N5112" i="13"/>
  <c r="J5111" i="13" a="1"/>
  <c r="J5111" i="13" s="1"/>
  <c r="M5115" i="14"/>
  <c r="M5114" i="13"/>
  <c r="N5111" i="14"/>
  <c r="J5110" i="14" a="1"/>
  <c r="J5110" i="14" s="1"/>
  <c r="K4926" i="13" l="1"/>
  <c r="L4926" i="13" s="1"/>
  <c r="I4927" i="13" s="1"/>
  <c r="M5115" i="13"/>
  <c r="N5112" i="14"/>
  <c r="J5111" i="14" a="1"/>
  <c r="J5111" i="14" s="1"/>
  <c r="M5116" i="14"/>
  <c r="K4948" i="14"/>
  <c r="L4948" i="14" s="1"/>
  <c r="I4949" i="14" s="1"/>
  <c r="J5112" i="13" a="1"/>
  <c r="J5112" i="13" s="1"/>
  <c r="N5113" i="13"/>
  <c r="K4949" i="14" l="1"/>
  <c r="L4949" i="14" s="1"/>
  <c r="I4950" i="14" s="1"/>
  <c r="K4927" i="13"/>
  <c r="L4927" i="13" s="1"/>
  <c r="I4928" i="13" s="1"/>
  <c r="N5114" i="13"/>
  <c r="J5113" i="13" a="1"/>
  <c r="J5113" i="13" s="1"/>
  <c r="M5117" i="14"/>
  <c r="M5116" i="13"/>
  <c r="J5112" i="14" a="1"/>
  <c r="J5112" i="14" s="1"/>
  <c r="N5113" i="14"/>
  <c r="K4928" i="13" l="1"/>
  <c r="L4928" i="13" s="1"/>
  <c r="I4929" i="13" s="1"/>
  <c r="K4950" i="14"/>
  <c r="L4950" i="14" s="1"/>
  <c r="I4951" i="14" s="1"/>
  <c r="N5114" i="14"/>
  <c r="J5113" i="14" a="1"/>
  <c r="J5113" i="14" s="1"/>
  <c r="M5118" i="14"/>
  <c r="M5117" i="13"/>
  <c r="J5114" i="13" a="1"/>
  <c r="J5114" i="13" s="1"/>
  <c r="N5115" i="13"/>
  <c r="K4929" i="13" l="1"/>
  <c r="L4929" i="13" s="1"/>
  <c r="I4930" i="13" s="1"/>
  <c r="N5116" i="13"/>
  <c r="J5115" i="13" a="1"/>
  <c r="J5115" i="13" s="1"/>
  <c r="M5119" i="14"/>
  <c r="K4951" i="14"/>
  <c r="L4951" i="14" s="1"/>
  <c r="I4952" i="14" s="1"/>
  <c r="M5118" i="13"/>
  <c r="N5115" i="14"/>
  <c r="J5114" i="14" a="1"/>
  <c r="J5114" i="14" s="1"/>
  <c r="K4952" i="14" l="1"/>
  <c r="L4952" i="14" s="1"/>
  <c r="I4953" i="14" s="1"/>
  <c r="K4930" i="13"/>
  <c r="L4930" i="13" s="1"/>
  <c r="I4931" i="13" s="1"/>
  <c r="N5116" i="14"/>
  <c r="J5115" i="14" a="1"/>
  <c r="J5115" i="14" s="1"/>
  <c r="J5116" i="13" a="1"/>
  <c r="J5116" i="13" s="1"/>
  <c r="N5117" i="13"/>
  <c r="M5119" i="13"/>
  <c r="M5120" i="14"/>
  <c r="K4953" i="14" l="1"/>
  <c r="L4953" i="14" s="1"/>
  <c r="I4954" i="14" s="1"/>
  <c r="M5121" i="14"/>
  <c r="N5118" i="13"/>
  <c r="J5117" i="13" a="1"/>
  <c r="J5117" i="13" s="1"/>
  <c r="K4931" i="13"/>
  <c r="L4931" i="13" s="1"/>
  <c r="I4932" i="13" s="1"/>
  <c r="M5120" i="13"/>
  <c r="J5116" i="14" a="1"/>
  <c r="J5116" i="14" s="1"/>
  <c r="N5117" i="14"/>
  <c r="K4954" i="14" l="1"/>
  <c r="L4954" i="14" s="1"/>
  <c r="I4955" i="14" s="1"/>
  <c r="M5121" i="13"/>
  <c r="N5118" i="14"/>
  <c r="J5117" i="14" a="1"/>
  <c r="J5117" i="14" s="1"/>
  <c r="M5122" i="14"/>
  <c r="K4932" i="13"/>
  <c r="L4932" i="13" s="1"/>
  <c r="I4933" i="13" s="1"/>
  <c r="J5118" i="13" a="1"/>
  <c r="J5118" i="13" s="1"/>
  <c r="N5119" i="13"/>
  <c r="K4933" i="13" l="1"/>
  <c r="L4933" i="13" s="1"/>
  <c r="I4934" i="13" s="1"/>
  <c r="K4955" i="14"/>
  <c r="L4955" i="14" s="1"/>
  <c r="I4956" i="14" s="1"/>
  <c r="N5120" i="13"/>
  <c r="J5119" i="13" a="1"/>
  <c r="J5119" i="13" s="1"/>
  <c r="M5123" i="14"/>
  <c r="M5122" i="13"/>
  <c r="N5119" i="14"/>
  <c r="J5118" i="14" a="1"/>
  <c r="J5118" i="14" s="1"/>
  <c r="K4934" i="13" l="1"/>
  <c r="L4934" i="13" s="1"/>
  <c r="I4935" i="13" s="1"/>
  <c r="K4956" i="14"/>
  <c r="L4956" i="14" s="1"/>
  <c r="I4957" i="14" s="1"/>
  <c r="N5120" i="14"/>
  <c r="J5119" i="14" a="1"/>
  <c r="J5119" i="14" s="1"/>
  <c r="M5124" i="14"/>
  <c r="M5123" i="13"/>
  <c r="J5120" i="13" a="1"/>
  <c r="J5120" i="13" s="1"/>
  <c r="N5121" i="13"/>
  <c r="K4935" i="13" l="1"/>
  <c r="L4935" i="13" s="1"/>
  <c r="I4936" i="13" s="1"/>
  <c r="K4957" i="14"/>
  <c r="L4957" i="14" s="1"/>
  <c r="I4958" i="14" s="1"/>
  <c r="M5124" i="13"/>
  <c r="N5122" i="13"/>
  <c r="J5121" i="13" a="1"/>
  <c r="J5121" i="13" s="1"/>
  <c r="M5125" i="14"/>
  <c r="J5120" i="14" a="1"/>
  <c r="J5120" i="14" s="1"/>
  <c r="N5121" i="14"/>
  <c r="K4958" i="14" l="1"/>
  <c r="L4958" i="14" s="1"/>
  <c r="I4959" i="14" s="1"/>
  <c r="K4936" i="13"/>
  <c r="L4936" i="13" s="1"/>
  <c r="I4937" i="13" s="1"/>
  <c r="N5122" i="14"/>
  <c r="J5121" i="14" a="1"/>
  <c r="J5121" i="14" s="1"/>
  <c r="J5122" i="13" a="1"/>
  <c r="J5122" i="13" s="1"/>
  <c r="N5123" i="13"/>
  <c r="M5125" i="13"/>
  <c r="M5126" i="14"/>
  <c r="K4959" i="14" l="1"/>
  <c r="L4959" i="14" s="1"/>
  <c r="I4960" i="14" s="1"/>
  <c r="M5127" i="14"/>
  <c r="N5124" i="13"/>
  <c r="J5123" i="13" a="1"/>
  <c r="J5123" i="13" s="1"/>
  <c r="K4937" i="13"/>
  <c r="L4937" i="13" s="1"/>
  <c r="I4938" i="13" s="1"/>
  <c r="M5126" i="13"/>
  <c r="N5123" i="14"/>
  <c r="J5122" i="14" a="1"/>
  <c r="J5122" i="14" s="1"/>
  <c r="K4938" i="13" l="1"/>
  <c r="L4938" i="13" s="1"/>
  <c r="I4939" i="13" s="1"/>
  <c r="K4960" i="14"/>
  <c r="L4960" i="14" s="1"/>
  <c r="I4961" i="14" s="1"/>
  <c r="M5127" i="13"/>
  <c r="N5124" i="14"/>
  <c r="J5123" i="14" a="1"/>
  <c r="J5123" i="14" s="1"/>
  <c r="M5128" i="14"/>
  <c r="J5124" i="13" a="1"/>
  <c r="J5124" i="13" s="1"/>
  <c r="N5125" i="13"/>
  <c r="K4939" i="13" l="1"/>
  <c r="L4939" i="13" s="1"/>
  <c r="I4940" i="13" s="1"/>
  <c r="N5126" i="13"/>
  <c r="J5125" i="13" a="1"/>
  <c r="J5125" i="13" s="1"/>
  <c r="K4961" i="14"/>
  <c r="L4961" i="14" s="1"/>
  <c r="I4962" i="14" s="1"/>
  <c r="J5124" i="14" a="1"/>
  <c r="J5124" i="14" s="1"/>
  <c r="N5125" i="14"/>
  <c r="M5129" i="14"/>
  <c r="M5128" i="13"/>
  <c r="K4940" i="13" l="1"/>
  <c r="L4940" i="13" s="1"/>
  <c r="I4941" i="13" s="1"/>
  <c r="J5126" i="13" a="1"/>
  <c r="J5126" i="13" s="1"/>
  <c r="N5127" i="13"/>
  <c r="M5129" i="13"/>
  <c r="N5126" i="14"/>
  <c r="J5125" i="14" a="1"/>
  <c r="J5125" i="14" s="1"/>
  <c r="M5130" i="14"/>
  <c r="K4962" i="14"/>
  <c r="L4962" i="14" s="1"/>
  <c r="I4963" i="14" s="1"/>
  <c r="K4963" i="14" l="1"/>
  <c r="L4963" i="14" s="1"/>
  <c r="I4964" i="14" s="1"/>
  <c r="K4941" i="13"/>
  <c r="L4941" i="13" s="1"/>
  <c r="I4942" i="13" s="1"/>
  <c r="N5128" i="13"/>
  <c r="J5127" i="13" a="1"/>
  <c r="J5127" i="13" s="1"/>
  <c r="N5127" i="14"/>
  <c r="J5126" i="14" a="1"/>
  <c r="J5126" i="14" s="1"/>
  <c r="M5131" i="14"/>
  <c r="M5130" i="13"/>
  <c r="K4964" i="14" l="1"/>
  <c r="L4964" i="14" s="1"/>
  <c r="I4965" i="14" s="1"/>
  <c r="M5131" i="13"/>
  <c r="K4942" i="13"/>
  <c r="L4942" i="13" s="1"/>
  <c r="I4943" i="13" s="1"/>
  <c r="N5128" i="14"/>
  <c r="J5127" i="14" a="1"/>
  <c r="J5127" i="14" s="1"/>
  <c r="M5132" i="14"/>
  <c r="J5128" i="13" a="1"/>
  <c r="J5128" i="13" s="1"/>
  <c r="N5129" i="13"/>
  <c r="K4943" i="13" l="1"/>
  <c r="L4943" i="13" s="1"/>
  <c r="I4944" i="13" s="1"/>
  <c r="K4965" i="14"/>
  <c r="L4965" i="14" s="1"/>
  <c r="I4966" i="14" s="1"/>
  <c r="N5130" i="13"/>
  <c r="J5129" i="13" a="1"/>
  <c r="J5129" i="13" s="1"/>
  <c r="J5128" i="14" a="1"/>
  <c r="J5128" i="14" s="1"/>
  <c r="N5129" i="14"/>
  <c r="M5132" i="13"/>
  <c r="M5133" i="14"/>
  <c r="K4944" i="13" l="1"/>
  <c r="L4944" i="13" s="1"/>
  <c r="I4945" i="13" s="1"/>
  <c r="M5134" i="14"/>
  <c r="N5130" i="14"/>
  <c r="J5129" i="14" a="1"/>
  <c r="J5129" i="14" s="1"/>
  <c r="K4966" i="14"/>
  <c r="L4966" i="14" s="1"/>
  <c r="I4967" i="14" s="1"/>
  <c r="M5133" i="13"/>
  <c r="J5130" i="13" a="1"/>
  <c r="J5130" i="13" s="1"/>
  <c r="N5131" i="13"/>
  <c r="K4945" i="13" l="1"/>
  <c r="L4945" i="13" s="1"/>
  <c r="I4946" i="13" s="1"/>
  <c r="N5132" i="13"/>
  <c r="J5131" i="13" a="1"/>
  <c r="J5131" i="13" s="1"/>
  <c r="M5135" i="14"/>
  <c r="K4967" i="14"/>
  <c r="L4967" i="14" s="1"/>
  <c r="I4968" i="14" s="1"/>
  <c r="M5134" i="13"/>
  <c r="N5131" i="14"/>
  <c r="J5130" i="14" a="1"/>
  <c r="J5130" i="14" s="1"/>
  <c r="K4968" i="14" l="1"/>
  <c r="L4968" i="14" s="1"/>
  <c r="I4969" i="14" s="1"/>
  <c r="K4946" i="13"/>
  <c r="L4946" i="13" s="1"/>
  <c r="I4947" i="13" s="1"/>
  <c r="J5132" i="13" a="1"/>
  <c r="J5132" i="13" s="1"/>
  <c r="N5133" i="13"/>
  <c r="M5135" i="13"/>
  <c r="N5132" i="14"/>
  <c r="J5131" i="14" a="1"/>
  <c r="J5131" i="14" s="1"/>
  <c r="M5136" i="14"/>
  <c r="K4947" i="13" l="1"/>
  <c r="L4947" i="13" s="1"/>
  <c r="I4948" i="13" s="1"/>
  <c r="K4969" i="14"/>
  <c r="L4969" i="14" s="1"/>
  <c r="I4970" i="14" s="1"/>
  <c r="J5132" i="14" a="1"/>
  <c r="J5132" i="14" s="1"/>
  <c r="N5133" i="14"/>
  <c r="M5137" i="14"/>
  <c r="M5136" i="13"/>
  <c r="N5134" i="13"/>
  <c r="J5133" i="13" a="1"/>
  <c r="J5133" i="13" s="1"/>
  <c r="K4970" i="14" l="1"/>
  <c r="L4970" i="14" s="1"/>
  <c r="I4971" i="14" s="1"/>
  <c r="K4948" i="13"/>
  <c r="L4948" i="13" s="1"/>
  <c r="I4949" i="13" s="1"/>
  <c r="M5138" i="14"/>
  <c r="J5134" i="13" a="1"/>
  <c r="J5134" i="13" s="1"/>
  <c r="N5135" i="13"/>
  <c r="M5137" i="13"/>
  <c r="N5134" i="14"/>
  <c r="J5133" i="14" a="1"/>
  <c r="J5133" i="14" s="1"/>
  <c r="K4949" i="13" l="1"/>
  <c r="L4949" i="13" s="1"/>
  <c r="I4950" i="13" s="1"/>
  <c r="K4971" i="14"/>
  <c r="L4971" i="14" s="1"/>
  <c r="I4972" i="14" s="1"/>
  <c r="N5135" i="14"/>
  <c r="J5134" i="14" a="1"/>
  <c r="J5134" i="14" s="1"/>
  <c r="N5136" i="13"/>
  <c r="J5135" i="13" a="1"/>
  <c r="J5135" i="13" s="1"/>
  <c r="M5139" i="14"/>
  <c r="M5138" i="13"/>
  <c r="K4950" i="13" l="1"/>
  <c r="L4950" i="13" s="1"/>
  <c r="I4951" i="13" s="1"/>
  <c r="M5139" i="13"/>
  <c r="J5136" i="13" a="1"/>
  <c r="J5136" i="13" s="1"/>
  <c r="N5137" i="13"/>
  <c r="K4972" i="14"/>
  <c r="L4972" i="14" s="1"/>
  <c r="I4973" i="14" s="1"/>
  <c r="M5140" i="14"/>
  <c r="N5136" i="14"/>
  <c r="J5135" i="14" a="1"/>
  <c r="J5135" i="14" s="1"/>
  <c r="K4951" i="13" l="1"/>
  <c r="L4951" i="13" s="1"/>
  <c r="I4952" i="13" s="1"/>
  <c r="K4973" i="14"/>
  <c r="L4973" i="14" s="1"/>
  <c r="I4974" i="14" s="1"/>
  <c r="M5140" i="13"/>
  <c r="J5136" i="14" a="1"/>
  <c r="J5136" i="14" s="1"/>
  <c r="N5137" i="14"/>
  <c r="M5141" i="14"/>
  <c r="N5138" i="13"/>
  <c r="J5137" i="13" a="1"/>
  <c r="J5137" i="13" s="1"/>
  <c r="K4952" i="13" l="1"/>
  <c r="L4952" i="13" s="1"/>
  <c r="I4953" i="13" s="1"/>
  <c r="N5138" i="14"/>
  <c r="J5137" i="14" a="1"/>
  <c r="J5137" i="14" s="1"/>
  <c r="J5138" i="13" a="1"/>
  <c r="J5138" i="13" s="1"/>
  <c r="N5139" i="13"/>
  <c r="K4974" i="14"/>
  <c r="L4974" i="14" s="1"/>
  <c r="I4975" i="14" s="1"/>
  <c r="M5141" i="13"/>
  <c r="M5142" i="14"/>
  <c r="K4975" i="14" l="1"/>
  <c r="L4975" i="14" s="1"/>
  <c r="I4976" i="14" s="1"/>
  <c r="K4953" i="13"/>
  <c r="L4953" i="13" s="1"/>
  <c r="I4954" i="13" s="1"/>
  <c r="N5139" i="14"/>
  <c r="J5138" i="14" a="1"/>
  <c r="J5138" i="14" s="1"/>
  <c r="M5142" i="13"/>
  <c r="M5143" i="14"/>
  <c r="N5140" i="13"/>
  <c r="J5139" i="13" a="1"/>
  <c r="J5139" i="13" s="1"/>
  <c r="K4976" i="14" l="1"/>
  <c r="L4976" i="14" s="1"/>
  <c r="I4977" i="14" s="1"/>
  <c r="M5143" i="13"/>
  <c r="J5140" i="13" a="1"/>
  <c r="J5140" i="13" s="1"/>
  <c r="N5141" i="13"/>
  <c r="K4954" i="13"/>
  <c r="L4954" i="13" s="1"/>
  <c r="I4955" i="13" s="1"/>
  <c r="M5144" i="14"/>
  <c r="N5140" i="14"/>
  <c r="J5139" i="14" a="1"/>
  <c r="J5139" i="14" s="1"/>
  <c r="K4955" i="13" l="1"/>
  <c r="L4955" i="13" s="1"/>
  <c r="I4956" i="13" s="1"/>
  <c r="K4977" i="14"/>
  <c r="L4977" i="14" s="1"/>
  <c r="I4978" i="14" s="1"/>
  <c r="J5140" i="14" a="1"/>
  <c r="J5140" i="14" s="1"/>
  <c r="N5141" i="14"/>
  <c r="M5144" i="13"/>
  <c r="N5142" i="13"/>
  <c r="J5141" i="13" a="1"/>
  <c r="J5141" i="13" s="1"/>
  <c r="M5145" i="14"/>
  <c r="K4978" i="14" l="1"/>
  <c r="L4978" i="14" s="1"/>
  <c r="I4979" i="14" s="1"/>
  <c r="K4956" i="13"/>
  <c r="L4956" i="13" s="1"/>
  <c r="I4957" i="13" s="1"/>
  <c r="N5142" i="14"/>
  <c r="J5141" i="14" a="1"/>
  <c r="J5141" i="14" s="1"/>
  <c r="J5142" i="13" a="1"/>
  <c r="J5142" i="13" s="1"/>
  <c r="N5143" i="13"/>
  <c r="M5146" i="14"/>
  <c r="M5145" i="13"/>
  <c r="K4957" i="13" l="1"/>
  <c r="L4957" i="13" s="1"/>
  <c r="I4958" i="13" s="1"/>
  <c r="K4979" i="14"/>
  <c r="L4979" i="14" s="1"/>
  <c r="I4980" i="14" s="1"/>
  <c r="M5147" i="14"/>
  <c r="N5144" i="13"/>
  <c r="J5143" i="13" a="1"/>
  <c r="J5143" i="13" s="1"/>
  <c r="M5146" i="13"/>
  <c r="N5143" i="14"/>
  <c r="J5142" i="14" a="1"/>
  <c r="J5142" i="14" s="1"/>
  <c r="K4958" i="13" l="1"/>
  <c r="L4958" i="13" s="1"/>
  <c r="I4959" i="13" s="1"/>
  <c r="K4980" i="14"/>
  <c r="L4980" i="14" s="1"/>
  <c r="I4981" i="14" s="1"/>
  <c r="N5144" i="14"/>
  <c r="J5143" i="14" a="1"/>
  <c r="J5143" i="14" s="1"/>
  <c r="J5144" i="13" a="1"/>
  <c r="J5144" i="13" s="1"/>
  <c r="N5145" i="13"/>
  <c r="M5147" i="13"/>
  <c r="M5148" i="14"/>
  <c r="K4959" i="13" l="1"/>
  <c r="L4959" i="13" s="1"/>
  <c r="I4960" i="13" s="1"/>
  <c r="M5149" i="14"/>
  <c r="N5146" i="13"/>
  <c r="J5145" i="13" a="1"/>
  <c r="J5145" i="13" s="1"/>
  <c r="K4981" i="14"/>
  <c r="L4981" i="14" s="1"/>
  <c r="I4982" i="14" s="1"/>
  <c r="M5148" i="13"/>
  <c r="J5144" i="14" a="1"/>
  <c r="J5144" i="14" s="1"/>
  <c r="N5145" i="14"/>
  <c r="K4960" i="13" l="1"/>
  <c r="L4960" i="13" s="1"/>
  <c r="I4961" i="13" s="1"/>
  <c r="M5149" i="13"/>
  <c r="N5146" i="14"/>
  <c r="J5145" i="14" a="1"/>
  <c r="J5145" i="14" s="1"/>
  <c r="M5150" i="14"/>
  <c r="K4982" i="14"/>
  <c r="L4982" i="14" s="1"/>
  <c r="I4983" i="14" s="1"/>
  <c r="J5146" i="13" a="1"/>
  <c r="J5146" i="13" s="1"/>
  <c r="N5147" i="13"/>
  <c r="K4983" i="14" l="1"/>
  <c r="L4983" i="14" s="1"/>
  <c r="I4984" i="14" s="1"/>
  <c r="K4961" i="13"/>
  <c r="L4961" i="13" s="1"/>
  <c r="I4962" i="13" s="1"/>
  <c r="N5148" i="13"/>
  <c r="J5147" i="13" a="1"/>
  <c r="J5147" i="13" s="1"/>
  <c r="M5151" i="14"/>
  <c r="M5150" i="13"/>
  <c r="N5147" i="14"/>
  <c r="J5146" i="14" a="1"/>
  <c r="J5146" i="14" s="1"/>
  <c r="K4984" i="14" l="1"/>
  <c r="L4984" i="14" s="1"/>
  <c r="I4985" i="14" s="1"/>
  <c r="M5152" i="14"/>
  <c r="N5148" i="14"/>
  <c r="J5147" i="14" a="1"/>
  <c r="J5147" i="14" s="1"/>
  <c r="K4962" i="13"/>
  <c r="L4962" i="13" s="1"/>
  <c r="I4963" i="13" s="1"/>
  <c r="M5151" i="13"/>
  <c r="J5148" i="13" a="1"/>
  <c r="J5148" i="13" s="1"/>
  <c r="N5149" i="13"/>
  <c r="K4985" i="14" l="1"/>
  <c r="L4985" i="14" s="1"/>
  <c r="I4986" i="14" s="1"/>
  <c r="N5150" i="13"/>
  <c r="J5149" i="13" a="1"/>
  <c r="J5149" i="13" s="1"/>
  <c r="M5153" i="14"/>
  <c r="K4963" i="13"/>
  <c r="L4963" i="13" s="1"/>
  <c r="I4964" i="13" s="1"/>
  <c r="M5152" i="13"/>
  <c r="J5148" i="14" a="1"/>
  <c r="J5148" i="14" s="1"/>
  <c r="N5149" i="14"/>
  <c r="K4964" i="13" l="1"/>
  <c r="L4964" i="13" s="1"/>
  <c r="I4965" i="13" s="1"/>
  <c r="K4986" i="14"/>
  <c r="L4986" i="14" s="1"/>
  <c r="I4987" i="14" s="1"/>
  <c r="J5150" i="13" a="1"/>
  <c r="J5150" i="13" s="1"/>
  <c r="N5151" i="13"/>
  <c r="N5150" i="14"/>
  <c r="J5149" i="14" a="1"/>
  <c r="J5149" i="14" s="1"/>
  <c r="M5153" i="13"/>
  <c r="M5154" i="14"/>
  <c r="K4965" i="13" l="1"/>
  <c r="L4965" i="13" s="1"/>
  <c r="I4966" i="13" s="1"/>
  <c r="M5155" i="14"/>
  <c r="K4987" i="14"/>
  <c r="L4987" i="14" s="1"/>
  <c r="I4988" i="14" s="1"/>
  <c r="N5151" i="14"/>
  <c r="J5150" i="14" a="1"/>
  <c r="J5150" i="14" s="1"/>
  <c r="N5152" i="13"/>
  <c r="J5151" i="13" a="1"/>
  <c r="J5151" i="13" s="1"/>
  <c r="M5154" i="13"/>
  <c r="K4988" i="14" l="1"/>
  <c r="L4988" i="14" s="1"/>
  <c r="I4989" i="14" s="1"/>
  <c r="K4966" i="13"/>
  <c r="L4966" i="13" s="1"/>
  <c r="I4967" i="13" s="1"/>
  <c r="N5152" i="14"/>
  <c r="J5151" i="14" a="1"/>
  <c r="J5151" i="14" s="1"/>
  <c r="M5156" i="14"/>
  <c r="M5155" i="13"/>
  <c r="J5152" i="13" a="1"/>
  <c r="J5152" i="13" s="1"/>
  <c r="N5153" i="13"/>
  <c r="K4989" i="14" l="1"/>
  <c r="L4989" i="14" s="1"/>
  <c r="I4990" i="14" s="1"/>
  <c r="N5154" i="13"/>
  <c r="J5153" i="13" a="1"/>
  <c r="J5153" i="13" s="1"/>
  <c r="M5157" i="14"/>
  <c r="K4967" i="13"/>
  <c r="L4967" i="13" s="1"/>
  <c r="I4968" i="13" s="1"/>
  <c r="M5156" i="13"/>
  <c r="J5152" i="14" a="1"/>
  <c r="J5152" i="14" s="1"/>
  <c r="N5153" i="14"/>
  <c r="K4968" i="13" l="1"/>
  <c r="L4968" i="13" s="1"/>
  <c r="I4969" i="13" s="1"/>
  <c r="K4990" i="14"/>
  <c r="L4990" i="14" s="1"/>
  <c r="I4991" i="14" s="1"/>
  <c r="N5154" i="14"/>
  <c r="J5153" i="14" a="1"/>
  <c r="J5153" i="14" s="1"/>
  <c r="J5154" i="13" a="1"/>
  <c r="J5154" i="13" s="1"/>
  <c r="N5155" i="13"/>
  <c r="M5158" i="14"/>
  <c r="M5157" i="13"/>
  <c r="K4991" i="14" l="1"/>
  <c r="L4991" i="14" s="1"/>
  <c r="I4992" i="14" s="1"/>
  <c r="K4969" i="13"/>
  <c r="L4969" i="13" s="1"/>
  <c r="I4970" i="13" s="1"/>
  <c r="N5156" i="13"/>
  <c r="J5155" i="13" a="1"/>
  <c r="J5155" i="13" s="1"/>
  <c r="M5158" i="13"/>
  <c r="M5159" i="14"/>
  <c r="J5154" i="14" a="1"/>
  <c r="J5154" i="14" s="1"/>
  <c r="N5155" i="14"/>
  <c r="K4970" i="13" l="1"/>
  <c r="L4970" i="13" s="1"/>
  <c r="I4971" i="13" s="1"/>
  <c r="K4992" i="14"/>
  <c r="L4992" i="14" s="1"/>
  <c r="I4993" i="14" s="1"/>
  <c r="M5159" i="13"/>
  <c r="N5156" i="14"/>
  <c r="J5155" i="14" a="1"/>
  <c r="J5155" i="14" s="1"/>
  <c r="M5160" i="14"/>
  <c r="J5156" i="13" a="1"/>
  <c r="J5156" i="13" s="1"/>
  <c r="N5157" i="13"/>
  <c r="K4993" i="14" l="1"/>
  <c r="L4993" i="14" s="1"/>
  <c r="I4994" i="14" s="1"/>
  <c r="K4971" i="13"/>
  <c r="L4971" i="13" s="1"/>
  <c r="I4972" i="13" s="1"/>
  <c r="N5158" i="13"/>
  <c r="J5157" i="13" a="1"/>
  <c r="J5157" i="13" s="1"/>
  <c r="J5156" i="14" a="1"/>
  <c r="J5156" i="14" s="1"/>
  <c r="N5157" i="14"/>
  <c r="M5161" i="14"/>
  <c r="M5160" i="13"/>
  <c r="K4994" i="14" l="1"/>
  <c r="L4994" i="14" s="1"/>
  <c r="I4995" i="14" s="1"/>
  <c r="J5157" i="14" a="1"/>
  <c r="J5157" i="14" s="1"/>
  <c r="N5158" i="14"/>
  <c r="K4972" i="13"/>
  <c r="L4972" i="13" s="1"/>
  <c r="I4973" i="13" s="1"/>
  <c r="M5161" i="13"/>
  <c r="M5162" i="14"/>
  <c r="J5158" i="13" a="1"/>
  <c r="J5158" i="13" s="1"/>
  <c r="N5159" i="13"/>
  <c r="K4973" i="13" l="1"/>
  <c r="L4973" i="13" s="1"/>
  <c r="I4974" i="13" s="1"/>
  <c r="K4995" i="14"/>
  <c r="L4995" i="14" s="1"/>
  <c r="I4996" i="14" s="1"/>
  <c r="N5160" i="13"/>
  <c r="J5159" i="13" a="1"/>
  <c r="J5159" i="13" s="1"/>
  <c r="N5159" i="14"/>
  <c r="J5158" i="14" a="1"/>
  <c r="J5158" i="14" s="1"/>
  <c r="M5162" i="13"/>
  <c r="M5163" i="14"/>
  <c r="K4996" i="14" l="1"/>
  <c r="L4996" i="14" s="1"/>
  <c r="I4997" i="14" s="1"/>
  <c r="K4974" i="13"/>
  <c r="L4974" i="13" s="1"/>
  <c r="I4975" i="13" s="1"/>
  <c r="N5160" i="14"/>
  <c r="J5159" i="14" a="1"/>
  <c r="J5159" i="14" s="1"/>
  <c r="M5164" i="14"/>
  <c r="M5163" i="13"/>
  <c r="J5160" i="13" a="1"/>
  <c r="J5160" i="13" s="1"/>
  <c r="N5161" i="13"/>
  <c r="K4997" i="14" l="1"/>
  <c r="L4997" i="14" s="1"/>
  <c r="I4998" i="14" s="1"/>
  <c r="N5162" i="13"/>
  <c r="J5161" i="13" a="1"/>
  <c r="J5161" i="13" s="1"/>
  <c r="M5165" i="14"/>
  <c r="K4975" i="13"/>
  <c r="L4975" i="13" s="1"/>
  <c r="I4976" i="13" s="1"/>
  <c r="M5164" i="13"/>
  <c r="J5160" i="14" a="1"/>
  <c r="J5160" i="14" s="1"/>
  <c r="N5161" i="14"/>
  <c r="K4976" i="13" l="1"/>
  <c r="L4976" i="13" s="1"/>
  <c r="I4977" i="13" s="1"/>
  <c r="K4998" i="14"/>
  <c r="L4998" i="14" s="1"/>
  <c r="I4999" i="14" s="1"/>
  <c r="J5161" i="14" a="1"/>
  <c r="J5161" i="14" s="1"/>
  <c r="N5162" i="14"/>
  <c r="J5162" i="13" a="1"/>
  <c r="J5162" i="13" s="1"/>
  <c r="N5163" i="13"/>
  <c r="M5165" i="13"/>
  <c r="M5166" i="14"/>
  <c r="K4977" i="13" l="1"/>
  <c r="L4977" i="13" s="1"/>
  <c r="I4978" i="13" s="1"/>
  <c r="M5167" i="14"/>
  <c r="N5164" i="13"/>
  <c r="J5163" i="13" a="1"/>
  <c r="J5163" i="13" s="1"/>
  <c r="K4999" i="14"/>
  <c r="L4999" i="14" s="1"/>
  <c r="I5000" i="14" s="1"/>
  <c r="J5162" i="14" a="1"/>
  <c r="J5162" i="14" s="1"/>
  <c r="N5163" i="14"/>
  <c r="M5166" i="13"/>
  <c r="K4978" i="13" l="1"/>
  <c r="L4978" i="13" s="1"/>
  <c r="I4979" i="13" s="1"/>
  <c r="M5167" i="13"/>
  <c r="M5168" i="14"/>
  <c r="K5000" i="14"/>
  <c r="L5000" i="14" s="1"/>
  <c r="I5001" i="14" s="1"/>
  <c r="N5164" i="14"/>
  <c r="J5163" i="14" a="1"/>
  <c r="J5163" i="14" s="1"/>
  <c r="J5164" i="13" a="1"/>
  <c r="J5164" i="13" s="1"/>
  <c r="N5165" i="13"/>
  <c r="K4979" i="13" l="1"/>
  <c r="L4979" i="13" s="1"/>
  <c r="I4980" i="13" s="1"/>
  <c r="N5166" i="13"/>
  <c r="J5165" i="13" a="1"/>
  <c r="J5165" i="13" s="1"/>
  <c r="K5001" i="14"/>
  <c r="L5001" i="14" s="1"/>
  <c r="I5002" i="14" s="1"/>
  <c r="M5168" i="13"/>
  <c r="J5164" i="14" a="1"/>
  <c r="J5164" i="14" s="1"/>
  <c r="N5165" i="14"/>
  <c r="M5169" i="14"/>
  <c r="K5002" i="14" l="1"/>
  <c r="L5002" i="14" s="1"/>
  <c r="I5003" i="14" s="1"/>
  <c r="K4980" i="13"/>
  <c r="L4980" i="13" s="1"/>
  <c r="I4981" i="13" s="1"/>
  <c r="M5170" i="14"/>
  <c r="M5169" i="13"/>
  <c r="J5166" i="13" a="1"/>
  <c r="J5166" i="13" s="1"/>
  <c r="N5167" i="13"/>
  <c r="J5165" i="14" a="1"/>
  <c r="J5165" i="14" s="1"/>
  <c r="N5166" i="14"/>
  <c r="K5003" i="14" l="1"/>
  <c r="L5003" i="14" s="1"/>
  <c r="I5004" i="14" s="1"/>
  <c r="N5167" i="14"/>
  <c r="J5166" i="14" a="1"/>
  <c r="J5166" i="14" s="1"/>
  <c r="K4981" i="13"/>
  <c r="L4981" i="13" s="1"/>
  <c r="I4982" i="13" s="1"/>
  <c r="M5170" i="13"/>
  <c r="N5168" i="13"/>
  <c r="J5167" i="13" a="1"/>
  <c r="J5167" i="13" s="1"/>
  <c r="M5171" i="14"/>
  <c r="K4982" i="13" l="1"/>
  <c r="L4982" i="13" s="1"/>
  <c r="I4983" i="13" s="1"/>
  <c r="K5004" i="14"/>
  <c r="L5004" i="14" s="1"/>
  <c r="I5005" i="14" s="1"/>
  <c r="M5171" i="13"/>
  <c r="M5172" i="14"/>
  <c r="N5168" i="14"/>
  <c r="J5167" i="14" a="1"/>
  <c r="J5167" i="14" s="1"/>
  <c r="J5168" i="13" a="1"/>
  <c r="J5168" i="13" s="1"/>
  <c r="N5169" i="13"/>
  <c r="K5005" i="14" l="1"/>
  <c r="L5005" i="14" s="1"/>
  <c r="I5006" i="14" s="1"/>
  <c r="K4983" i="13"/>
  <c r="L4983" i="13" s="1"/>
  <c r="I4984" i="13" s="1"/>
  <c r="M5173" i="14"/>
  <c r="N5170" i="13"/>
  <c r="J5169" i="13" a="1"/>
  <c r="J5169" i="13" s="1"/>
  <c r="J5168" i="14" a="1"/>
  <c r="J5168" i="14" s="1"/>
  <c r="N5169" i="14"/>
  <c r="M5172" i="13"/>
  <c r="K5006" i="14" l="1"/>
  <c r="L5006" i="14" s="1"/>
  <c r="I5007" i="14" s="1"/>
  <c r="J5170" i="13" a="1"/>
  <c r="J5170" i="13" s="1"/>
  <c r="N5171" i="13"/>
  <c r="M5173" i="13"/>
  <c r="K4984" i="13"/>
  <c r="L4984" i="13" s="1"/>
  <c r="I4985" i="13" s="1"/>
  <c r="J5169" i="14" a="1"/>
  <c r="J5169" i="14" s="1"/>
  <c r="N5170" i="14"/>
  <c r="M5174" i="14"/>
  <c r="K5007" i="14" l="1"/>
  <c r="L5007" i="14" s="1"/>
  <c r="I5008" i="14" s="1"/>
  <c r="K4985" i="13"/>
  <c r="L4985" i="13" s="1"/>
  <c r="I4986" i="13" s="1"/>
  <c r="M5175" i="14"/>
  <c r="N5172" i="13"/>
  <c r="J5171" i="13" a="1"/>
  <c r="J5171" i="13" s="1"/>
  <c r="J5170" i="14" a="1"/>
  <c r="J5170" i="14" s="1"/>
  <c r="N5171" i="14"/>
  <c r="M5174" i="13"/>
  <c r="K5008" i="14" l="1"/>
  <c r="L5008" i="14" s="1"/>
  <c r="I5009" i="14" s="1"/>
  <c r="M5175" i="13"/>
  <c r="J5172" i="13" a="1"/>
  <c r="J5172" i="13" s="1"/>
  <c r="N5173" i="13"/>
  <c r="K4986" i="13"/>
  <c r="L4986" i="13" s="1"/>
  <c r="I4987" i="13" s="1"/>
  <c r="N5172" i="14"/>
  <c r="J5171" i="14" a="1"/>
  <c r="J5171" i="14" s="1"/>
  <c r="M5176" i="14"/>
  <c r="K5009" i="14" l="1"/>
  <c r="L5009" i="14" s="1"/>
  <c r="I5010" i="14" s="1"/>
  <c r="J5172" i="14" a="1"/>
  <c r="J5172" i="14" s="1"/>
  <c r="N5173" i="14"/>
  <c r="M5177" i="14"/>
  <c r="K4987" i="13"/>
  <c r="L4987" i="13" s="1"/>
  <c r="I4988" i="13" s="1"/>
  <c r="M5176" i="13"/>
  <c r="N5174" i="13"/>
  <c r="J5173" i="13" a="1"/>
  <c r="J5173" i="13" s="1"/>
  <c r="K4988" i="13" l="1"/>
  <c r="L4988" i="13" s="1"/>
  <c r="I4989" i="13" s="1"/>
  <c r="K5010" i="14"/>
  <c r="L5010" i="14" s="1"/>
  <c r="I5011" i="14" s="1"/>
  <c r="J5173" i="14" a="1"/>
  <c r="J5173" i="14" s="1"/>
  <c r="N5174" i="14"/>
  <c r="J5174" i="13" a="1"/>
  <c r="J5174" i="13" s="1"/>
  <c r="N5175" i="13"/>
  <c r="M5177" i="13"/>
  <c r="M5178" i="14"/>
  <c r="K4989" i="13" l="1"/>
  <c r="L4989" i="13" s="1"/>
  <c r="I4990" i="13" s="1"/>
  <c r="N5176" i="13"/>
  <c r="J5175" i="13" a="1"/>
  <c r="J5175" i="13" s="1"/>
  <c r="K5011" i="14"/>
  <c r="L5011" i="14" s="1"/>
  <c r="I5012" i="14" s="1"/>
  <c r="M5179" i="14"/>
  <c r="N5175" i="14"/>
  <c r="J5174" i="14" a="1"/>
  <c r="J5174" i="14" s="1"/>
  <c r="M5178" i="13"/>
  <c r="K5012" i="14" l="1"/>
  <c r="L5012" i="14" s="1"/>
  <c r="I5013" i="14" s="1"/>
  <c r="K4990" i="13"/>
  <c r="L4990" i="13" s="1"/>
  <c r="I4991" i="13" s="1"/>
  <c r="J5176" i="13" a="1"/>
  <c r="J5176" i="13" s="1"/>
  <c r="N5177" i="13"/>
  <c r="M5179" i="13"/>
  <c r="M5180" i="14"/>
  <c r="N5176" i="14"/>
  <c r="J5175" i="14" a="1"/>
  <c r="J5175" i="14" s="1"/>
  <c r="K4991" i="13" l="1"/>
  <c r="L4991" i="13" s="1"/>
  <c r="I4992" i="13" s="1"/>
  <c r="K5013" i="14"/>
  <c r="L5013" i="14" s="1"/>
  <c r="I5014" i="14" s="1"/>
  <c r="J5176" i="14" a="1"/>
  <c r="J5176" i="14" s="1"/>
  <c r="N5177" i="14"/>
  <c r="M5180" i="13"/>
  <c r="N5178" i="13"/>
  <c r="J5177" i="13" a="1"/>
  <c r="J5177" i="13" s="1"/>
  <c r="M5181" i="14"/>
  <c r="K4992" i="13" l="1"/>
  <c r="L4992" i="13" s="1"/>
  <c r="I4993" i="13" s="1"/>
  <c r="J5178" i="13" a="1"/>
  <c r="J5178" i="13" s="1"/>
  <c r="N5179" i="13"/>
  <c r="M5182" i="14"/>
  <c r="M5181" i="13"/>
  <c r="K5014" i="14"/>
  <c r="L5014" i="14" s="1"/>
  <c r="I5015" i="14" s="1"/>
  <c r="J5177" i="14" a="1"/>
  <c r="J5177" i="14" s="1"/>
  <c r="N5178" i="14"/>
  <c r="K5015" i="14" l="1"/>
  <c r="L5015" i="14" s="1"/>
  <c r="I5016" i="14" s="1"/>
  <c r="K4993" i="13"/>
  <c r="L4993" i="13" s="1"/>
  <c r="I4994" i="13" s="1"/>
  <c r="N5180" i="13"/>
  <c r="J5179" i="13" a="1"/>
  <c r="J5179" i="13" s="1"/>
  <c r="M5182" i="13"/>
  <c r="J5178" i="14" a="1"/>
  <c r="J5178" i="14" s="1"/>
  <c r="N5179" i="14"/>
  <c r="M5183" i="14"/>
  <c r="K5016" i="14" l="1"/>
  <c r="L5016" i="14" s="1"/>
  <c r="I5017" i="14" s="1"/>
  <c r="M5183" i="13"/>
  <c r="M5184" i="14"/>
  <c r="K4994" i="13"/>
  <c r="L4994" i="13" s="1"/>
  <c r="I4995" i="13" s="1"/>
  <c r="N5180" i="14"/>
  <c r="J5179" i="14" a="1"/>
  <c r="J5179" i="14" s="1"/>
  <c r="J5180" i="13" a="1"/>
  <c r="J5180" i="13" s="1"/>
  <c r="N5181" i="13"/>
  <c r="K5017" i="14" l="1"/>
  <c r="L5017" i="14" s="1"/>
  <c r="I5018" i="14" s="1"/>
  <c r="N5182" i="13"/>
  <c r="J5181" i="13" a="1"/>
  <c r="J5181" i="13" s="1"/>
  <c r="M5184" i="13"/>
  <c r="K4995" i="13"/>
  <c r="L4995" i="13" s="1"/>
  <c r="I4996" i="13" s="1"/>
  <c r="J5180" i="14" a="1"/>
  <c r="J5180" i="14" s="1"/>
  <c r="N5181" i="14"/>
  <c r="M5185" i="14"/>
  <c r="K5018" i="14" l="1"/>
  <c r="L5018" i="14" s="1"/>
  <c r="I5019" i="14" s="1"/>
  <c r="J5181" i="14" a="1"/>
  <c r="J5181" i="14" s="1"/>
  <c r="N5182" i="14"/>
  <c r="J5182" i="13" a="1"/>
  <c r="J5182" i="13" s="1"/>
  <c r="N5183" i="13"/>
  <c r="M5186" i="14"/>
  <c r="M5185" i="13"/>
  <c r="K4996" i="13"/>
  <c r="L4996" i="13" s="1"/>
  <c r="I4997" i="13" s="1"/>
  <c r="K4997" i="13" l="1"/>
  <c r="L4997" i="13" s="1"/>
  <c r="I4998" i="13" s="1"/>
  <c r="K5019" i="14"/>
  <c r="L5019" i="14" s="1"/>
  <c r="I5020" i="14" s="1"/>
  <c r="M5187" i="14"/>
  <c r="N5183" i="14"/>
  <c r="J5182" i="14" a="1"/>
  <c r="J5182" i="14" s="1"/>
  <c r="M5186" i="13"/>
  <c r="N5184" i="13"/>
  <c r="J5183" i="13" a="1"/>
  <c r="J5183" i="13" s="1"/>
  <c r="K5020" i="14" l="1"/>
  <c r="L5020" i="14" s="1"/>
  <c r="I5021" i="14" s="1"/>
  <c r="K4998" i="13"/>
  <c r="L4998" i="13" s="1"/>
  <c r="I4999" i="13" s="1"/>
  <c r="N5184" i="14"/>
  <c r="J5183" i="14" a="1"/>
  <c r="J5183" i="14" s="1"/>
  <c r="M5187" i="13"/>
  <c r="J5184" i="13" a="1"/>
  <c r="J5184" i="13" s="1"/>
  <c r="N5185" i="13"/>
  <c r="M5188" i="14"/>
  <c r="K4999" i="13" l="1"/>
  <c r="L4999" i="13" s="1"/>
  <c r="I5000" i="13" s="1"/>
  <c r="K5021" i="14"/>
  <c r="L5021" i="14" s="1"/>
  <c r="I5022" i="14" s="1"/>
  <c r="N5186" i="13"/>
  <c r="J5185" i="13" a="1"/>
  <c r="J5185" i="13" s="1"/>
  <c r="M5189" i="14"/>
  <c r="M5188" i="13"/>
  <c r="J5184" i="14" a="1"/>
  <c r="J5184" i="14" s="1"/>
  <c r="N5185" i="14"/>
  <c r="K5022" i="14" l="1"/>
  <c r="L5022" i="14" s="1"/>
  <c r="I5023" i="14" s="1"/>
  <c r="J5185" i="14" a="1"/>
  <c r="J5185" i="14" s="1"/>
  <c r="N5186" i="14"/>
  <c r="M5190" i="14"/>
  <c r="M5189" i="13"/>
  <c r="J5186" i="13" a="1"/>
  <c r="J5186" i="13" s="1"/>
  <c r="N5187" i="13"/>
  <c r="K5000" i="13"/>
  <c r="L5000" i="13" s="1"/>
  <c r="I5001" i="13" s="1"/>
  <c r="K5001" i="13" l="1"/>
  <c r="L5001" i="13" s="1"/>
  <c r="I5002" i="13" s="1"/>
  <c r="K5023" i="14"/>
  <c r="L5023" i="14" s="1"/>
  <c r="I5024" i="14" s="1"/>
  <c r="J5186" i="14" a="1"/>
  <c r="J5186" i="14" s="1"/>
  <c r="N5187" i="14"/>
  <c r="M5190" i="13"/>
  <c r="N5188" i="13"/>
  <c r="J5187" i="13" a="1"/>
  <c r="J5187" i="13" s="1"/>
  <c r="M5191" i="14"/>
  <c r="K5002" i="13" l="1"/>
  <c r="L5002" i="13" s="1"/>
  <c r="I5003" i="13" s="1"/>
  <c r="M5192" i="14"/>
  <c r="M5191" i="13"/>
  <c r="K5024" i="14"/>
  <c r="L5024" i="14" s="1"/>
  <c r="I5025" i="14" s="1"/>
  <c r="N5188" i="14"/>
  <c r="J5187" i="14" a="1"/>
  <c r="J5187" i="14" s="1"/>
  <c r="J5188" i="13" a="1"/>
  <c r="J5188" i="13" s="1"/>
  <c r="N5189" i="13"/>
  <c r="K5003" i="13" l="1"/>
  <c r="L5003" i="13" s="1"/>
  <c r="I5004" i="13" s="1"/>
  <c r="N5190" i="13"/>
  <c r="J5189" i="13" a="1"/>
  <c r="J5189" i="13" s="1"/>
  <c r="K5025" i="14"/>
  <c r="L5025" i="14" s="1"/>
  <c r="I5026" i="14" s="1"/>
  <c r="M5193" i="14"/>
  <c r="J5188" i="14" a="1"/>
  <c r="J5188" i="14" s="1"/>
  <c r="N5189" i="14"/>
  <c r="M5192" i="13"/>
  <c r="K5026" i="14" l="1"/>
  <c r="L5026" i="14" s="1"/>
  <c r="I5027" i="14" s="1"/>
  <c r="K5004" i="13"/>
  <c r="L5004" i="13" s="1"/>
  <c r="I5005" i="13" s="1"/>
  <c r="M5194" i="14"/>
  <c r="M5193" i="13"/>
  <c r="J5190" i="13" a="1"/>
  <c r="J5190" i="13" s="1"/>
  <c r="N5191" i="13"/>
  <c r="J5189" i="14" a="1"/>
  <c r="J5189" i="14" s="1"/>
  <c r="N5190" i="14"/>
  <c r="K5005" i="13" l="1"/>
  <c r="L5005" i="13" s="1"/>
  <c r="I5006" i="13" s="1"/>
  <c r="K5027" i="14"/>
  <c r="L5027" i="14" s="1"/>
  <c r="I5028" i="14" s="1"/>
  <c r="N5191" i="14"/>
  <c r="J5190" i="14" a="1"/>
  <c r="J5190" i="14" s="1"/>
  <c r="M5194" i="13"/>
  <c r="N5192" i="13"/>
  <c r="J5191" i="13" a="1"/>
  <c r="J5191" i="13" s="1"/>
  <c r="M5195" i="14"/>
  <c r="K5006" i="13" l="1"/>
  <c r="L5006" i="13" s="1"/>
  <c r="I5007" i="13" s="1"/>
  <c r="J5192" i="13" a="1"/>
  <c r="J5192" i="13" s="1"/>
  <c r="N5193" i="13"/>
  <c r="M5195" i="13"/>
  <c r="K5028" i="14"/>
  <c r="L5028" i="14" s="1"/>
  <c r="I5029" i="14" s="1"/>
  <c r="M5196" i="14"/>
  <c r="N5192" i="14"/>
  <c r="J5191" i="14" a="1"/>
  <c r="J5191" i="14" s="1"/>
  <c r="K5007" i="13" l="1"/>
  <c r="L5007" i="13" s="1"/>
  <c r="I5008" i="13" s="1"/>
  <c r="N5194" i="13"/>
  <c r="J5193" i="13" a="1"/>
  <c r="J5193" i="13" s="1"/>
  <c r="K5029" i="14"/>
  <c r="L5029" i="14" s="1"/>
  <c r="I5030" i="14" s="1"/>
  <c r="J5192" i="14" a="1"/>
  <c r="J5192" i="14" s="1"/>
  <c r="N5193" i="14"/>
  <c r="M5197" i="14"/>
  <c r="M5196" i="13"/>
  <c r="K5030" i="14" l="1"/>
  <c r="L5030" i="14" s="1"/>
  <c r="I5031" i="14" s="1"/>
  <c r="K5008" i="13"/>
  <c r="L5008" i="13" s="1"/>
  <c r="I5009" i="13" s="1"/>
  <c r="J5193" i="14" a="1"/>
  <c r="J5193" i="14" s="1"/>
  <c r="N5194" i="14"/>
  <c r="M5197" i="13"/>
  <c r="J5194" i="13" a="1"/>
  <c r="J5194" i="13" s="1"/>
  <c r="N5195" i="13"/>
  <c r="M5198" i="14"/>
  <c r="K5009" i="13" l="1"/>
  <c r="L5009" i="13" s="1"/>
  <c r="I5010" i="13" s="1"/>
  <c r="K5031" i="14"/>
  <c r="L5031" i="14" s="1"/>
  <c r="I5032" i="14" s="1"/>
  <c r="N5196" i="13"/>
  <c r="J5195" i="13" a="1"/>
  <c r="J5195" i="13" s="1"/>
  <c r="M5199" i="14"/>
  <c r="M5198" i="13"/>
  <c r="J5194" i="14" a="1"/>
  <c r="J5194" i="14" s="1"/>
  <c r="N5195" i="14"/>
  <c r="K5010" i="13" l="1"/>
  <c r="L5010" i="13" s="1"/>
  <c r="I5011" i="13" s="1"/>
  <c r="M5199" i="13"/>
  <c r="N5196" i="14"/>
  <c r="J5195" i="14" a="1"/>
  <c r="J5195" i="14" s="1"/>
  <c r="M5200" i="14"/>
  <c r="K5032" i="14"/>
  <c r="L5032" i="14" s="1"/>
  <c r="I5033" i="14" s="1"/>
  <c r="J5196" i="13" a="1"/>
  <c r="J5196" i="13" s="1"/>
  <c r="N5197" i="13"/>
  <c r="K5033" i="14" l="1"/>
  <c r="L5033" i="14" s="1"/>
  <c r="I5034" i="14" s="1"/>
  <c r="K5011" i="13"/>
  <c r="L5011" i="13" s="1"/>
  <c r="I5012" i="13" s="1"/>
  <c r="N5198" i="13"/>
  <c r="J5197" i="13" a="1"/>
  <c r="J5197" i="13" s="1"/>
  <c r="M5201" i="14"/>
  <c r="M5200" i="13"/>
  <c r="J5196" i="14" a="1"/>
  <c r="J5196" i="14" s="1"/>
  <c r="N5197" i="14"/>
  <c r="K5034" i="14" l="1"/>
  <c r="L5034" i="14" s="1"/>
  <c r="I5035" i="14" s="1"/>
  <c r="J5197" i="14" a="1"/>
  <c r="J5197" i="14" s="1"/>
  <c r="N5198" i="14"/>
  <c r="K5012" i="13"/>
  <c r="L5012" i="13" s="1"/>
  <c r="I5013" i="13" s="1"/>
  <c r="M5202" i="14"/>
  <c r="M5201" i="13"/>
  <c r="J5198" i="13" a="1"/>
  <c r="J5198" i="13" s="1"/>
  <c r="N5199" i="13"/>
  <c r="K5013" i="13" l="1"/>
  <c r="L5013" i="13" s="1"/>
  <c r="I5014" i="13" s="1"/>
  <c r="K5035" i="14"/>
  <c r="L5035" i="14" s="1"/>
  <c r="I5036" i="14" s="1"/>
  <c r="N5200" i="13"/>
  <c r="J5199" i="13" a="1"/>
  <c r="J5199" i="13" s="1"/>
  <c r="M5203" i="14"/>
  <c r="N5199" i="14"/>
  <c r="J5198" i="14" a="1"/>
  <c r="J5198" i="14" s="1"/>
  <c r="M5202" i="13"/>
  <c r="K5036" i="14" l="1"/>
  <c r="L5036" i="14" s="1"/>
  <c r="I5037" i="14" s="1"/>
  <c r="K5014" i="13"/>
  <c r="L5014" i="13" s="1"/>
  <c r="I5015" i="13" s="1"/>
  <c r="M5203" i="13"/>
  <c r="M5204" i="14"/>
  <c r="N5200" i="14"/>
  <c r="J5199" i="14" a="1"/>
  <c r="J5199" i="14" s="1"/>
  <c r="J5200" i="13" a="1"/>
  <c r="J5200" i="13" s="1"/>
  <c r="N5201" i="13"/>
  <c r="K5015" i="13" l="1"/>
  <c r="L5015" i="13" s="1"/>
  <c r="I5016" i="13" s="1"/>
  <c r="K5037" i="14"/>
  <c r="L5037" i="14" s="1"/>
  <c r="I5038" i="14" s="1"/>
  <c r="N5202" i="13"/>
  <c r="J5201" i="13" a="1"/>
  <c r="J5201" i="13" s="1"/>
  <c r="M5205" i="14"/>
  <c r="J5200" i="14" a="1"/>
  <c r="J5200" i="14" s="1"/>
  <c r="N5201" i="14"/>
  <c r="M5204" i="13"/>
  <c r="K5016" i="13" l="1"/>
  <c r="L5016" i="13" s="1"/>
  <c r="I5017" i="13" s="1"/>
  <c r="M5205" i="13"/>
  <c r="M5206" i="14"/>
  <c r="K5038" i="14"/>
  <c r="L5038" i="14" s="1"/>
  <c r="I5039" i="14" s="1"/>
  <c r="J5201" i="14" a="1"/>
  <c r="J5201" i="14" s="1"/>
  <c r="N5202" i="14"/>
  <c r="J5202" i="13" a="1"/>
  <c r="J5202" i="13" s="1"/>
  <c r="N5203" i="13"/>
  <c r="K5017" i="13" l="1"/>
  <c r="L5017" i="13" s="1"/>
  <c r="I5018" i="13" s="1"/>
  <c r="N5204" i="13"/>
  <c r="J5203" i="13" a="1"/>
  <c r="J5203" i="13" s="1"/>
  <c r="K5039" i="14"/>
  <c r="L5039" i="14" s="1"/>
  <c r="I5040" i="14" s="1"/>
  <c r="M5206" i="13"/>
  <c r="M5207" i="14"/>
  <c r="J5202" i="14" a="1"/>
  <c r="J5202" i="14" s="1"/>
  <c r="N5203" i="14"/>
  <c r="K5040" i="14" l="1"/>
  <c r="L5040" i="14" s="1"/>
  <c r="I5041" i="14" s="1"/>
  <c r="K5018" i="13"/>
  <c r="L5018" i="13" s="1"/>
  <c r="I5019" i="13" s="1"/>
  <c r="N5204" i="14"/>
  <c r="J5203" i="14" a="1"/>
  <c r="J5203" i="14" s="1"/>
  <c r="M5207" i="13"/>
  <c r="J5204" i="13" a="1"/>
  <c r="J5204" i="13" s="1"/>
  <c r="N5205" i="13"/>
  <c r="M5208" i="14"/>
  <c r="K5041" i="14" l="1"/>
  <c r="L5041" i="14" s="1"/>
  <c r="I5042" i="14" s="1"/>
  <c r="N5206" i="13"/>
  <c r="J5205" i="13" a="1"/>
  <c r="J5205" i="13" s="1"/>
  <c r="M5209" i="14"/>
  <c r="M5208" i="13"/>
  <c r="K5019" i="13"/>
  <c r="L5019" i="13" s="1"/>
  <c r="I5020" i="13" s="1"/>
  <c r="J5204" i="14" a="1"/>
  <c r="J5204" i="14" s="1"/>
  <c r="N5205" i="14"/>
  <c r="K5020" i="13" l="1"/>
  <c r="L5020" i="13" s="1"/>
  <c r="I5021" i="13" s="1"/>
  <c r="K5042" i="14"/>
  <c r="L5042" i="14" s="1"/>
  <c r="I5043" i="14" s="1"/>
  <c r="J5205" i="14" a="1"/>
  <c r="J5205" i="14" s="1"/>
  <c r="N5206" i="14"/>
  <c r="M5209" i="13"/>
  <c r="J5206" i="13" a="1"/>
  <c r="J5206" i="13" s="1"/>
  <c r="N5207" i="13"/>
  <c r="M5210" i="14"/>
  <c r="K5021" i="13" l="1"/>
  <c r="L5021" i="13" s="1"/>
  <c r="I5022" i="13" s="1"/>
  <c r="N5208" i="13"/>
  <c r="J5207" i="13" a="1"/>
  <c r="J5207" i="13" s="1"/>
  <c r="M5211" i="14"/>
  <c r="M5210" i="13"/>
  <c r="K5043" i="14"/>
  <c r="L5043" i="14" s="1"/>
  <c r="I5044" i="14" s="1"/>
  <c r="N5207" i="14"/>
  <c r="J5206" i="14" a="1"/>
  <c r="J5206" i="14" s="1"/>
  <c r="K5044" i="14" l="1"/>
  <c r="L5044" i="14" s="1"/>
  <c r="I5045" i="14" s="1"/>
  <c r="K5022" i="13"/>
  <c r="L5022" i="13" s="1"/>
  <c r="I5023" i="13" s="1"/>
  <c r="J5208" i="13" a="1"/>
  <c r="J5208" i="13" s="1"/>
  <c r="N5209" i="13"/>
  <c r="M5211" i="13"/>
  <c r="N5208" i="14"/>
  <c r="J5207" i="14" a="1"/>
  <c r="J5207" i="14" s="1"/>
  <c r="M5212" i="14"/>
  <c r="K5023" i="13" l="1"/>
  <c r="L5023" i="13" s="1"/>
  <c r="I5024" i="13" s="1"/>
  <c r="K5045" i="14"/>
  <c r="L5045" i="14" s="1"/>
  <c r="I5046" i="14" s="1"/>
  <c r="M5213" i="14"/>
  <c r="M5212" i="13"/>
  <c r="N5210" i="13"/>
  <c r="J5209" i="13" a="1"/>
  <c r="J5209" i="13" s="1"/>
  <c r="J5208" i="14" a="1"/>
  <c r="J5208" i="14" s="1"/>
  <c r="N5209" i="14"/>
  <c r="K5046" i="14" l="1"/>
  <c r="L5046" i="14" s="1"/>
  <c r="I5047" i="14" s="1"/>
  <c r="J5209" i="14" a="1"/>
  <c r="J5209" i="14" s="1"/>
  <c r="N5210" i="14"/>
  <c r="M5213" i="13"/>
  <c r="M5214" i="14"/>
  <c r="J5210" i="13" a="1"/>
  <c r="J5210" i="13" s="1"/>
  <c r="N5211" i="13"/>
  <c r="K5024" i="13"/>
  <c r="L5024" i="13" s="1"/>
  <c r="I5025" i="13" s="1"/>
  <c r="K5047" i="14" l="1"/>
  <c r="L5047" i="14" s="1"/>
  <c r="I5048" i="14" s="1"/>
  <c r="N5212" i="13"/>
  <c r="J5211" i="13" a="1"/>
  <c r="J5211" i="13" s="1"/>
  <c r="M5215" i="14"/>
  <c r="J5210" i="14" a="1"/>
  <c r="J5210" i="14" s="1"/>
  <c r="N5211" i="14"/>
  <c r="K5025" i="13"/>
  <c r="L5025" i="13" s="1"/>
  <c r="I5026" i="13" s="1"/>
  <c r="M5214" i="13"/>
  <c r="K5026" i="13" l="1"/>
  <c r="L5026" i="13" s="1"/>
  <c r="I5027" i="13" s="1"/>
  <c r="K5048" i="14"/>
  <c r="L5048" i="14" s="1"/>
  <c r="I5049" i="14" s="1"/>
  <c r="N5212" i="14"/>
  <c r="J5211" i="14" a="1"/>
  <c r="J5211" i="14" s="1"/>
  <c r="J5212" i="13" a="1"/>
  <c r="J5212" i="13" s="1"/>
  <c r="N5213" i="13"/>
  <c r="M5215" i="13"/>
  <c r="M5216" i="14"/>
  <c r="K5027" i="13" l="1"/>
  <c r="L5027" i="13" s="1"/>
  <c r="I5028" i="13" s="1"/>
  <c r="M5217" i="14"/>
  <c r="N5214" i="13"/>
  <c r="J5213" i="13" a="1"/>
  <c r="J5213" i="13" s="1"/>
  <c r="K5049" i="14"/>
  <c r="L5049" i="14" s="1"/>
  <c r="I5050" i="14" s="1"/>
  <c r="M5216" i="13"/>
  <c r="J5212" i="14" a="1"/>
  <c r="J5212" i="14" s="1"/>
  <c r="N5213" i="14"/>
  <c r="K5028" i="13" l="1"/>
  <c r="L5028" i="13" s="1"/>
  <c r="I5029" i="13" s="1"/>
  <c r="J5213" i="14" a="1"/>
  <c r="J5213" i="14" s="1"/>
  <c r="N5214" i="14"/>
  <c r="K5050" i="14"/>
  <c r="L5050" i="14" s="1"/>
  <c r="I5051" i="14" s="1"/>
  <c r="M5218" i="14"/>
  <c r="M5217" i="13"/>
  <c r="J5214" i="13" a="1"/>
  <c r="J5214" i="13" s="1"/>
  <c r="N5215" i="13"/>
  <c r="K5051" i="14" l="1"/>
  <c r="L5051" i="14" s="1"/>
  <c r="I5052" i="14" s="1"/>
  <c r="K5029" i="13"/>
  <c r="L5029" i="13" s="1"/>
  <c r="I5030" i="13" s="1"/>
  <c r="N5216" i="13"/>
  <c r="J5215" i="13" a="1"/>
  <c r="J5215" i="13" s="1"/>
  <c r="M5219" i="14"/>
  <c r="N5215" i="14"/>
  <c r="J5214" i="14" a="1"/>
  <c r="J5214" i="14" s="1"/>
  <c r="M5218" i="13"/>
  <c r="K5052" i="14" l="1"/>
  <c r="L5052" i="14" s="1"/>
  <c r="I5053" i="14" s="1"/>
  <c r="M5220" i="14"/>
  <c r="N5216" i="14"/>
  <c r="J5215" i="14" a="1"/>
  <c r="J5215" i="14" s="1"/>
  <c r="M5219" i="13"/>
  <c r="K5030" i="13"/>
  <c r="L5030" i="13" s="1"/>
  <c r="I5031" i="13" s="1"/>
  <c r="J5216" i="13" a="1"/>
  <c r="J5216" i="13" s="1"/>
  <c r="N5217" i="13"/>
  <c r="K5053" i="14" l="1"/>
  <c r="L5053" i="14" s="1"/>
  <c r="I5054" i="14" s="1"/>
  <c r="K5031" i="13"/>
  <c r="L5031" i="13" s="1"/>
  <c r="I5032" i="13" s="1"/>
  <c r="N5218" i="13"/>
  <c r="J5217" i="13" a="1"/>
  <c r="J5217" i="13" s="1"/>
  <c r="M5220" i="13"/>
  <c r="M5221" i="14"/>
  <c r="J5216" i="14" a="1"/>
  <c r="J5216" i="14" s="1"/>
  <c r="N5217" i="14"/>
  <c r="K5054" i="14" l="1"/>
  <c r="L5054" i="14" s="1"/>
  <c r="I5055" i="14" s="1"/>
  <c r="J5217" i="14" a="1"/>
  <c r="J5217" i="14" s="1"/>
  <c r="N5218" i="14"/>
  <c r="M5221" i="13"/>
  <c r="K5032" i="13"/>
  <c r="L5032" i="13" s="1"/>
  <c r="I5033" i="13" s="1"/>
  <c r="M5222" i="14"/>
  <c r="J5218" i="13" a="1"/>
  <c r="J5218" i="13" s="1"/>
  <c r="N5219" i="13"/>
  <c r="K5033" i="13" l="1"/>
  <c r="L5033" i="13" s="1"/>
  <c r="I5034" i="13" s="1"/>
  <c r="K5055" i="14"/>
  <c r="L5055" i="14" s="1"/>
  <c r="I5056" i="14" s="1"/>
  <c r="N5220" i="13"/>
  <c r="J5219" i="13" a="1"/>
  <c r="J5219" i="13" s="1"/>
  <c r="J5218" i="14" a="1"/>
  <c r="J5218" i="14" s="1"/>
  <c r="N5219" i="14"/>
  <c r="M5223" i="14"/>
  <c r="M5222" i="13"/>
  <c r="K5034" i="13" l="1"/>
  <c r="L5034" i="13" s="1"/>
  <c r="I5035" i="13" s="1"/>
  <c r="N5220" i="14"/>
  <c r="J5219" i="14" a="1"/>
  <c r="J5219" i="14" s="1"/>
  <c r="K5056" i="14"/>
  <c r="L5056" i="14" s="1"/>
  <c r="I5057" i="14" s="1"/>
  <c r="M5223" i="13"/>
  <c r="M5224" i="14"/>
  <c r="J5220" i="13" a="1"/>
  <c r="J5220" i="13" s="1"/>
  <c r="N5221" i="13"/>
  <c r="K5057" i="14" l="1"/>
  <c r="L5057" i="14" s="1"/>
  <c r="I5058" i="14" s="1"/>
  <c r="K5035" i="13"/>
  <c r="L5035" i="13" s="1"/>
  <c r="I5036" i="13" s="1"/>
  <c r="J5220" i="14" a="1"/>
  <c r="J5220" i="14" s="1"/>
  <c r="N5221" i="14"/>
  <c r="N5222" i="13"/>
  <c r="J5221" i="13" a="1"/>
  <c r="J5221" i="13" s="1"/>
  <c r="M5224" i="13"/>
  <c r="M5225" i="14"/>
  <c r="K5058" i="14" l="1"/>
  <c r="L5058" i="14" s="1"/>
  <c r="I5059" i="14" s="1"/>
  <c r="J5221" i="14" a="1"/>
  <c r="J5221" i="14" s="1"/>
  <c r="N5222" i="14"/>
  <c r="J5222" i="13" a="1"/>
  <c r="J5222" i="13" s="1"/>
  <c r="N5223" i="13"/>
  <c r="K5036" i="13"/>
  <c r="L5036" i="13" s="1"/>
  <c r="I5037" i="13" s="1"/>
  <c r="M5226" i="14"/>
  <c r="M5225" i="13"/>
  <c r="K5059" i="14" l="1"/>
  <c r="L5059" i="14" s="1"/>
  <c r="I5060" i="14" s="1"/>
  <c r="M5226" i="13"/>
  <c r="M5227" i="14"/>
  <c r="N5223" i="14"/>
  <c r="J5222" i="14" a="1"/>
  <c r="J5222" i="14" s="1"/>
  <c r="N5224" i="13"/>
  <c r="J5223" i="13" a="1"/>
  <c r="J5223" i="13" s="1"/>
  <c r="K5037" i="13"/>
  <c r="L5037" i="13" s="1"/>
  <c r="I5038" i="13" s="1"/>
  <c r="K5038" i="13" l="1"/>
  <c r="L5038" i="13" s="1"/>
  <c r="I5039" i="13" s="1"/>
  <c r="K5060" i="14"/>
  <c r="L5060" i="14" s="1"/>
  <c r="I5061" i="14" s="1"/>
  <c r="M5227" i="13"/>
  <c r="N5224" i="14"/>
  <c r="J5223" i="14" a="1"/>
  <c r="J5223" i="14" s="1"/>
  <c r="J5224" i="13" a="1"/>
  <c r="J5224" i="13" s="1"/>
  <c r="N5225" i="13"/>
  <c r="M5228" i="14"/>
  <c r="K5039" i="13" l="1"/>
  <c r="L5039" i="13" s="1"/>
  <c r="I5040" i="13" s="1"/>
  <c r="N5226" i="13"/>
  <c r="J5225" i="13" a="1"/>
  <c r="J5225" i="13" s="1"/>
  <c r="J5224" i="14" a="1"/>
  <c r="J5224" i="14" s="1"/>
  <c r="N5225" i="14"/>
  <c r="K5061" i="14"/>
  <c r="L5061" i="14" s="1"/>
  <c r="I5062" i="14" s="1"/>
  <c r="M5229" i="14"/>
  <c r="M5228" i="13"/>
  <c r="K5062" i="14" l="1"/>
  <c r="L5062" i="14" s="1"/>
  <c r="I5063" i="14" s="1"/>
  <c r="K5040" i="13"/>
  <c r="L5040" i="13" s="1"/>
  <c r="I5041" i="13" s="1"/>
  <c r="J5226" i="13" a="1"/>
  <c r="J5226" i="13" s="1"/>
  <c r="N5227" i="13"/>
  <c r="M5229" i="13"/>
  <c r="M5230" i="14"/>
  <c r="J5225" i="14" a="1"/>
  <c r="J5225" i="14" s="1"/>
  <c r="N5226" i="14"/>
  <c r="K5063" i="14" l="1"/>
  <c r="L5063" i="14" s="1"/>
  <c r="I5064" i="14" s="1"/>
  <c r="J5226" i="14" a="1"/>
  <c r="J5226" i="14" s="1"/>
  <c r="N5227" i="14"/>
  <c r="M5230" i="13"/>
  <c r="K5041" i="13"/>
  <c r="L5041" i="13" s="1"/>
  <c r="I5042" i="13" s="1"/>
  <c r="M5231" i="14"/>
  <c r="N5228" i="13"/>
  <c r="J5227" i="13" a="1"/>
  <c r="J5227" i="13" s="1"/>
  <c r="K5042" i="13" l="1"/>
  <c r="L5042" i="13" s="1"/>
  <c r="I5043" i="13" s="1"/>
  <c r="K5064" i="14"/>
  <c r="L5064" i="14" s="1"/>
  <c r="I5065" i="14" s="1"/>
  <c r="N5228" i="14"/>
  <c r="J5227" i="14" a="1"/>
  <c r="J5227" i="14" s="1"/>
  <c r="J5228" i="13" a="1"/>
  <c r="J5228" i="13" s="1"/>
  <c r="N5229" i="13"/>
  <c r="M5231" i="13"/>
  <c r="M5232" i="14"/>
  <c r="K5065" i="14" l="1"/>
  <c r="L5065" i="14" s="1"/>
  <c r="I5066" i="14" s="1"/>
  <c r="K5043" i="13"/>
  <c r="L5043" i="13" s="1"/>
  <c r="I5044" i="13" s="1"/>
  <c r="M5232" i="13"/>
  <c r="N5230" i="13"/>
  <c r="J5229" i="13" a="1"/>
  <c r="J5229" i="13" s="1"/>
  <c r="M5233" i="14"/>
  <c r="J5228" i="14" a="1"/>
  <c r="J5228" i="14" s="1"/>
  <c r="N5229" i="14"/>
  <c r="K5044" i="13" l="1"/>
  <c r="L5044" i="13" s="1"/>
  <c r="I5045" i="13" s="1"/>
  <c r="K5066" i="14"/>
  <c r="L5066" i="14" s="1"/>
  <c r="I5067" i="14" s="1"/>
  <c r="J5230" i="13" a="1"/>
  <c r="J5230" i="13" s="1"/>
  <c r="N5231" i="13"/>
  <c r="J5229" i="14" a="1"/>
  <c r="J5229" i="14" s="1"/>
  <c r="N5230" i="14"/>
  <c r="M5233" i="13"/>
  <c r="M5234" i="14"/>
  <c r="K5067" i="14" l="1"/>
  <c r="L5067" i="14" s="1"/>
  <c r="I5068" i="14" s="1"/>
  <c r="K5045" i="13"/>
  <c r="L5045" i="13" s="1"/>
  <c r="I5046" i="13" s="1"/>
  <c r="M5234" i="13"/>
  <c r="M5235" i="14"/>
  <c r="N5231" i="14"/>
  <c r="J5230" i="14" a="1"/>
  <c r="J5230" i="14" s="1"/>
  <c r="N5232" i="13"/>
  <c r="J5231" i="13" a="1"/>
  <c r="J5231" i="13" s="1"/>
  <c r="K5068" i="14" l="1"/>
  <c r="L5068" i="14" s="1"/>
  <c r="I5069" i="14" s="1"/>
  <c r="J5232" i="13" a="1"/>
  <c r="J5232" i="13" s="1"/>
  <c r="N5233" i="13"/>
  <c r="M5236" i="14"/>
  <c r="K5046" i="13"/>
  <c r="L5046" i="13" s="1"/>
  <c r="I5047" i="13" s="1"/>
  <c r="M5235" i="13"/>
  <c r="N5232" i="14"/>
  <c r="J5231" i="14" a="1"/>
  <c r="J5231" i="14" s="1"/>
  <c r="K5047" i="13" l="1"/>
  <c r="L5047" i="13" s="1"/>
  <c r="I5048" i="13" s="1"/>
  <c r="K5069" i="14"/>
  <c r="L5069" i="14" s="1"/>
  <c r="I5070" i="14" s="1"/>
  <c r="N5234" i="13"/>
  <c r="J5233" i="13" a="1"/>
  <c r="J5233" i="13" s="1"/>
  <c r="J5232" i="14" a="1"/>
  <c r="J5232" i="14" s="1"/>
  <c r="N5233" i="14"/>
  <c r="M5236" i="13"/>
  <c r="M5237" i="14"/>
  <c r="K5048" i="13" l="1"/>
  <c r="L5048" i="13" s="1"/>
  <c r="I5049" i="13" s="1"/>
  <c r="M5238" i="14"/>
  <c r="J5233" i="14" a="1"/>
  <c r="J5233" i="14" s="1"/>
  <c r="N5234" i="14"/>
  <c r="K5070" i="14"/>
  <c r="L5070" i="14" s="1"/>
  <c r="I5071" i="14" s="1"/>
  <c r="M5237" i="13"/>
  <c r="J5234" i="13" a="1"/>
  <c r="J5234" i="13" s="1"/>
  <c r="N5235" i="13"/>
  <c r="K5049" i="13" l="1"/>
  <c r="L5049" i="13" s="1"/>
  <c r="I5050" i="13" s="1"/>
  <c r="N5236" i="13"/>
  <c r="J5235" i="13" a="1"/>
  <c r="J5235" i="13" s="1"/>
  <c r="M5239" i="14"/>
  <c r="K5071" i="14"/>
  <c r="L5071" i="14" s="1"/>
  <c r="I5072" i="14" s="1"/>
  <c r="J5234" i="14" a="1"/>
  <c r="J5234" i="14" s="1"/>
  <c r="N5235" i="14"/>
  <c r="M5238" i="13"/>
  <c r="K5050" i="13" l="1"/>
  <c r="L5050" i="13" s="1"/>
  <c r="I5051" i="13" s="1"/>
  <c r="M5239" i="13"/>
  <c r="K5072" i="14"/>
  <c r="L5072" i="14" s="1"/>
  <c r="I5073" i="14" s="1"/>
  <c r="J5236" i="13" a="1"/>
  <c r="J5236" i="13" s="1"/>
  <c r="N5237" i="13"/>
  <c r="N5236" i="14"/>
  <c r="J5235" i="14" a="1"/>
  <c r="J5235" i="14" s="1"/>
  <c r="M5240" i="14"/>
  <c r="K5073" i="14" l="1"/>
  <c r="L5073" i="14" s="1"/>
  <c r="I5074" i="14" s="1"/>
  <c r="K5051" i="13"/>
  <c r="L5051" i="13" s="1"/>
  <c r="I5052" i="13" s="1"/>
  <c r="M5241" i="14"/>
  <c r="N5238" i="13"/>
  <c r="J5237" i="13" a="1"/>
  <c r="J5237" i="13" s="1"/>
  <c r="M5240" i="13"/>
  <c r="J5236" i="14" a="1"/>
  <c r="J5236" i="14" s="1"/>
  <c r="N5237" i="14"/>
  <c r="K5052" i="13" l="1"/>
  <c r="L5052" i="13" s="1"/>
  <c r="I5053" i="13" s="1"/>
  <c r="J5237" i="14" a="1"/>
  <c r="J5237" i="14" s="1"/>
  <c r="N5238" i="14"/>
  <c r="J5238" i="13" a="1"/>
  <c r="J5238" i="13" s="1"/>
  <c r="N5239" i="13"/>
  <c r="M5241" i="13"/>
  <c r="M5242" i="14"/>
  <c r="K5074" i="14"/>
  <c r="L5074" i="14" s="1"/>
  <c r="I5075" i="14" s="1"/>
  <c r="K5053" i="13" l="1"/>
  <c r="L5053" i="13" s="1"/>
  <c r="I5054" i="13" s="1"/>
  <c r="K5075" i="14"/>
  <c r="L5075" i="14" s="1"/>
  <c r="I5076" i="14" s="1"/>
  <c r="M5242" i="13"/>
  <c r="N5239" i="14"/>
  <c r="J5238" i="14" a="1"/>
  <c r="J5238" i="14" s="1"/>
  <c r="M5243" i="14"/>
  <c r="N5240" i="13"/>
  <c r="J5239" i="13" a="1"/>
  <c r="J5239" i="13" s="1"/>
  <c r="K5054" i="13" l="1"/>
  <c r="L5054" i="13" s="1"/>
  <c r="I5055" i="13" s="1"/>
  <c r="N5240" i="14"/>
  <c r="J5239" i="14" a="1"/>
  <c r="J5239" i="14" s="1"/>
  <c r="J5240" i="13" a="1"/>
  <c r="J5240" i="13" s="1"/>
  <c r="N5241" i="13"/>
  <c r="K5076" i="14"/>
  <c r="L5076" i="14" s="1"/>
  <c r="I5077" i="14" s="1"/>
  <c r="M5243" i="13"/>
  <c r="M5244" i="14"/>
  <c r="K5077" i="14" l="1"/>
  <c r="L5077" i="14" s="1"/>
  <c r="I5078" i="14" s="1"/>
  <c r="K5055" i="13"/>
  <c r="L5055" i="13" s="1"/>
  <c r="I5056" i="13" s="1"/>
  <c r="M5245" i="14"/>
  <c r="J5240" i="14" a="1"/>
  <c r="J5240" i="14" s="1"/>
  <c r="N5241" i="14"/>
  <c r="N5242" i="13"/>
  <c r="J5241" i="13" a="1"/>
  <c r="J5241" i="13" s="1"/>
  <c r="M5244" i="13"/>
  <c r="K5056" i="13" l="1"/>
  <c r="L5056" i="13" s="1"/>
  <c r="I5057" i="13" s="1"/>
  <c r="K5078" i="14"/>
  <c r="L5078" i="14" s="1"/>
  <c r="I5079" i="14" s="1"/>
  <c r="J5241" i="14" a="1"/>
  <c r="J5241" i="14" s="1"/>
  <c r="N5242" i="14"/>
  <c r="M5245" i="13"/>
  <c r="M5246" i="14"/>
  <c r="J5242" i="13" a="1"/>
  <c r="J5242" i="13" s="1"/>
  <c r="N5243" i="13"/>
  <c r="K5079" i="14" l="1"/>
  <c r="L5079" i="14" s="1"/>
  <c r="I5080" i="14" s="1"/>
  <c r="K5057" i="13"/>
  <c r="L5057" i="13" s="1"/>
  <c r="I5058" i="13" s="1"/>
  <c r="N5244" i="13"/>
  <c r="J5243" i="13" a="1"/>
  <c r="J5243" i="13" s="1"/>
  <c r="M5247" i="14"/>
  <c r="M5246" i="13"/>
  <c r="J5242" i="14" a="1"/>
  <c r="J5242" i="14" s="1"/>
  <c r="N5243" i="14"/>
  <c r="K5080" i="14" l="1"/>
  <c r="L5080" i="14" s="1"/>
  <c r="I5081" i="14" s="1"/>
  <c r="N5244" i="14"/>
  <c r="J5243" i="14" a="1"/>
  <c r="J5243" i="14" s="1"/>
  <c r="M5248" i="14"/>
  <c r="K5058" i="13"/>
  <c r="L5058" i="13" s="1"/>
  <c r="I5059" i="13" s="1"/>
  <c r="M5247" i="13"/>
  <c r="J5244" i="13" a="1"/>
  <c r="J5244" i="13" s="1"/>
  <c r="N5245" i="13"/>
  <c r="K5059" i="13" l="1"/>
  <c r="L5059" i="13" s="1"/>
  <c r="I5060" i="13" s="1"/>
  <c r="K5081" i="14"/>
  <c r="L5081" i="14" s="1"/>
  <c r="I5082" i="14" s="1"/>
  <c r="N5246" i="13"/>
  <c r="J5245" i="13" a="1"/>
  <c r="J5245" i="13" s="1"/>
  <c r="J5244" i="14" a="1"/>
  <c r="J5244" i="14" s="1"/>
  <c r="N5245" i="14"/>
  <c r="M5248" i="13"/>
  <c r="M5249" i="14"/>
  <c r="K5082" i="14" l="1"/>
  <c r="L5082" i="14" s="1"/>
  <c r="I5083" i="14" s="1"/>
  <c r="K5060" i="13"/>
  <c r="L5060" i="13" s="1"/>
  <c r="I5061" i="13" s="1"/>
  <c r="J5245" i="14" a="1"/>
  <c r="J5245" i="14" s="1"/>
  <c r="N5246" i="14"/>
  <c r="M5250" i="14"/>
  <c r="M5249" i="13"/>
  <c r="J5246" i="13" a="1"/>
  <c r="J5246" i="13" s="1"/>
  <c r="N5247" i="13"/>
  <c r="N5248" i="13" l="1"/>
  <c r="J5247" i="13" a="1"/>
  <c r="J5247" i="13" s="1"/>
  <c r="M5251" i="14"/>
  <c r="M5250" i="13"/>
  <c r="K5061" i="13"/>
  <c r="L5061" i="13" s="1"/>
  <c r="I5062" i="13" s="1"/>
  <c r="N5247" i="14"/>
  <c r="J5246" i="14" a="1"/>
  <c r="J5246" i="14" s="1"/>
  <c r="K5083" i="14"/>
  <c r="L5083" i="14" s="1"/>
  <c r="I5084" i="14" s="1"/>
  <c r="M5251" i="13" l="1"/>
  <c r="K5062" i="13"/>
  <c r="L5062" i="13" s="1"/>
  <c r="I5063" i="13" s="1"/>
  <c r="M5252" i="14"/>
  <c r="K5084" i="14"/>
  <c r="L5084" i="14" s="1"/>
  <c r="I5085" i="14" s="1"/>
  <c r="N5248" i="14"/>
  <c r="J5247" i="14" a="1"/>
  <c r="J5247" i="14" s="1"/>
  <c r="J5248" i="13" a="1"/>
  <c r="J5248" i="13" s="1"/>
  <c r="N5249" i="13"/>
  <c r="K5085" i="14" l="1"/>
  <c r="L5085" i="14" s="1"/>
  <c r="I5086" i="14" s="1"/>
  <c r="N5250" i="13"/>
  <c r="J5249" i="13" a="1"/>
  <c r="J5249" i="13" s="1"/>
  <c r="K5063" i="13"/>
  <c r="L5063" i="13" s="1"/>
  <c r="I5064" i="13" s="1"/>
  <c r="J5248" i="14" a="1"/>
  <c r="J5248" i="14" s="1"/>
  <c r="N5249" i="14"/>
  <c r="M5253" i="14"/>
  <c r="M5252" i="13"/>
  <c r="K5064" i="13" l="1"/>
  <c r="L5064" i="13" s="1"/>
  <c r="I5065" i="13" s="1"/>
  <c r="K5086" i="14"/>
  <c r="L5086" i="14" s="1"/>
  <c r="I5087" i="14" s="1"/>
  <c r="J5249" i="14" a="1"/>
  <c r="J5249" i="14" s="1"/>
  <c r="N5250" i="14"/>
  <c r="M5253" i="13"/>
  <c r="J5250" i="13" a="1"/>
  <c r="J5250" i="13" s="1"/>
  <c r="N5251" i="13"/>
  <c r="M5254" i="14"/>
  <c r="K5087" i="14" l="1"/>
  <c r="L5087" i="14" s="1"/>
  <c r="I5088" i="14" s="1"/>
  <c r="K5065" i="13"/>
  <c r="L5065" i="13" s="1"/>
  <c r="I5066" i="13" s="1"/>
  <c r="J5250" i="14" a="1"/>
  <c r="J5250" i="14" s="1"/>
  <c r="N5251" i="14"/>
  <c r="M5255" i="14"/>
  <c r="M5254" i="13"/>
  <c r="N5252" i="13"/>
  <c r="J5251" i="13" a="1"/>
  <c r="J5251" i="13" s="1"/>
  <c r="K5066" i="13" l="1"/>
  <c r="L5066" i="13" s="1"/>
  <c r="I5067" i="13" s="1"/>
  <c r="K5088" i="14"/>
  <c r="L5088" i="14" s="1"/>
  <c r="I5089" i="14" s="1"/>
  <c r="M5255" i="13"/>
  <c r="J5252" i="13" a="1"/>
  <c r="J5252" i="13" s="1"/>
  <c r="N5253" i="13"/>
  <c r="M5256" i="14"/>
  <c r="N5252" i="14"/>
  <c r="J5251" i="14" a="1"/>
  <c r="J5251" i="14" s="1"/>
  <c r="K5089" i="14" l="1"/>
  <c r="L5089" i="14" s="1"/>
  <c r="I5090" i="14" s="1"/>
  <c r="K5067" i="13"/>
  <c r="L5067" i="13" s="1"/>
  <c r="I5068" i="13" s="1"/>
  <c r="N5254" i="13"/>
  <c r="J5253" i="13" a="1"/>
  <c r="J5253" i="13" s="1"/>
  <c r="J5252" i="14" a="1"/>
  <c r="J5252" i="14" s="1"/>
  <c r="N5253" i="14"/>
  <c r="M5257" i="14"/>
  <c r="M5256" i="13"/>
  <c r="K5068" i="13" l="1"/>
  <c r="L5068" i="13" s="1"/>
  <c r="I5069" i="13" s="1"/>
  <c r="K5090" i="14"/>
  <c r="L5090" i="14" s="1"/>
  <c r="I5091" i="14" s="1"/>
  <c r="J5253" i="14" a="1"/>
  <c r="J5253" i="14" s="1"/>
  <c r="N5254" i="14"/>
  <c r="M5257" i="13"/>
  <c r="M5258" i="14"/>
  <c r="J5254" i="13" a="1"/>
  <c r="J5254" i="13" s="1"/>
  <c r="N5255" i="13"/>
  <c r="K5091" i="14" l="1"/>
  <c r="L5091" i="14" s="1"/>
  <c r="I5092" i="14" s="1"/>
  <c r="K5069" i="13"/>
  <c r="L5069" i="13" s="1"/>
  <c r="I5070" i="13" s="1"/>
  <c r="M5259" i="14"/>
  <c r="N5256" i="13"/>
  <c r="J5255" i="13" a="1"/>
  <c r="J5255" i="13" s="1"/>
  <c r="M5258" i="13"/>
  <c r="N5255" i="14"/>
  <c r="J5254" i="14" a="1"/>
  <c r="J5254" i="14" s="1"/>
  <c r="K5070" i="13" l="1"/>
  <c r="L5070" i="13" s="1"/>
  <c r="I5071" i="13" s="1"/>
  <c r="J5256" i="13" a="1"/>
  <c r="J5256" i="13" s="1"/>
  <c r="N5257" i="13"/>
  <c r="N5256" i="14"/>
  <c r="J5255" i="14" a="1"/>
  <c r="J5255" i="14" s="1"/>
  <c r="M5259" i="13"/>
  <c r="M5260" i="14"/>
  <c r="K5092" i="14"/>
  <c r="L5092" i="14" s="1"/>
  <c r="I5093" i="14" s="1"/>
  <c r="K5071" i="13" l="1"/>
  <c r="L5071" i="13" s="1"/>
  <c r="I5072" i="13" s="1"/>
  <c r="N5258" i="13"/>
  <c r="J5257" i="13" a="1"/>
  <c r="J5257" i="13" s="1"/>
  <c r="K5093" i="14"/>
  <c r="L5093" i="14" s="1"/>
  <c r="I5094" i="14" s="1"/>
  <c r="M5260" i="13"/>
  <c r="M5261" i="14"/>
  <c r="J5256" i="14" a="1"/>
  <c r="J5256" i="14" s="1"/>
  <c r="N5257" i="14"/>
  <c r="K5072" i="13" l="1"/>
  <c r="L5072" i="13" s="1"/>
  <c r="I5073" i="13" s="1"/>
  <c r="K5094" i="14"/>
  <c r="L5094" i="14" s="1"/>
  <c r="I5095" i="14" s="1"/>
  <c r="J5257" i="14" a="1"/>
  <c r="J5257" i="14" s="1"/>
  <c r="N5258" i="14"/>
  <c r="M5261" i="13"/>
  <c r="J5258" i="13" a="1"/>
  <c r="J5258" i="13" s="1"/>
  <c r="N5259" i="13"/>
  <c r="M5262" i="14"/>
  <c r="K5095" i="14" l="1"/>
  <c r="L5095" i="14" s="1"/>
  <c r="I5096" i="14" s="1"/>
  <c r="K5073" i="13"/>
  <c r="L5073" i="13" s="1"/>
  <c r="I5074" i="13" s="1"/>
  <c r="J5258" i="14" a="1"/>
  <c r="J5258" i="14" s="1"/>
  <c r="N5259" i="14"/>
  <c r="N5260" i="13"/>
  <c r="J5259" i="13" a="1"/>
  <c r="J5259" i="13" s="1"/>
  <c r="M5263" i="14"/>
  <c r="M5262" i="13"/>
  <c r="K5074" i="13" l="1"/>
  <c r="L5074" i="13" s="1"/>
  <c r="I5075" i="13" s="1"/>
  <c r="K5096" i="14"/>
  <c r="L5096" i="14" s="1"/>
  <c r="I5097" i="14" s="1"/>
  <c r="N5260" i="14"/>
  <c r="J5259" i="14" a="1"/>
  <c r="J5259" i="14" s="1"/>
  <c r="M5264" i="14"/>
  <c r="M5263" i="13"/>
  <c r="J5260" i="13" a="1"/>
  <c r="J5260" i="13" s="1"/>
  <c r="N5261" i="13"/>
  <c r="K5097" i="14" l="1"/>
  <c r="L5097" i="14" s="1"/>
  <c r="I5098" i="14" s="1"/>
  <c r="K5075" i="13"/>
  <c r="L5075" i="13" s="1"/>
  <c r="I5076" i="13" s="1"/>
  <c r="M5265" i="14"/>
  <c r="N5262" i="13"/>
  <c r="J5261" i="13" a="1"/>
  <c r="J5261" i="13" s="1"/>
  <c r="M5264" i="13"/>
  <c r="J5260" i="14" a="1"/>
  <c r="J5260" i="14" s="1"/>
  <c r="N5261" i="14"/>
  <c r="K5076" i="13" l="1"/>
  <c r="L5076" i="13" s="1"/>
  <c r="I5077" i="13" s="1"/>
  <c r="K5098" i="14"/>
  <c r="L5098" i="14" s="1"/>
  <c r="I5099" i="14" s="1"/>
  <c r="J5261" i="14" a="1"/>
  <c r="J5261" i="14" s="1"/>
  <c r="N5262" i="14"/>
  <c r="J5262" i="13" a="1"/>
  <c r="J5262" i="13" s="1"/>
  <c r="N5263" i="13"/>
  <c r="M5265" i="13"/>
  <c r="M5266" i="14"/>
  <c r="K5077" i="13" l="1"/>
  <c r="L5077" i="13" s="1"/>
  <c r="I5078" i="13" s="1"/>
  <c r="N5264" i="13"/>
  <c r="J5263" i="13" a="1"/>
  <c r="J5263" i="13" s="1"/>
  <c r="M5267" i="14"/>
  <c r="K5099" i="14"/>
  <c r="L5099" i="14" s="1"/>
  <c r="I5100" i="14" s="1"/>
  <c r="N5263" i="14"/>
  <c r="J5262" i="14" a="1"/>
  <c r="J5262" i="14" s="1"/>
  <c r="M5266" i="13"/>
  <c r="K5100" i="14" l="1"/>
  <c r="L5100" i="14" s="1"/>
  <c r="I5101" i="14" s="1"/>
  <c r="K5078" i="13"/>
  <c r="L5078" i="13" s="1"/>
  <c r="I5079" i="13" s="1"/>
  <c r="J5264" i="13" a="1"/>
  <c r="J5264" i="13" s="1"/>
  <c r="N5265" i="13"/>
  <c r="M5267" i="13"/>
  <c r="N5264" i="14"/>
  <c r="J5263" i="14" a="1"/>
  <c r="J5263" i="14" s="1"/>
  <c r="M5268" i="14"/>
  <c r="K5079" i="13" l="1"/>
  <c r="L5079" i="13" s="1"/>
  <c r="I5080" i="13" s="1"/>
  <c r="K5101" i="14"/>
  <c r="L5101" i="14" s="1"/>
  <c r="I5102" i="14" s="1"/>
  <c r="M5269" i="14"/>
  <c r="M5268" i="13"/>
  <c r="N5266" i="13"/>
  <c r="J5265" i="13" a="1"/>
  <c r="J5265" i="13" s="1"/>
  <c r="J5264" i="14" a="1"/>
  <c r="J5264" i="14" s="1"/>
  <c r="N5265" i="14"/>
  <c r="K5102" i="14" l="1"/>
  <c r="L5102" i="14" s="1"/>
  <c r="I5103" i="14" s="1"/>
  <c r="K5080" i="13"/>
  <c r="L5080" i="13" s="1"/>
  <c r="I5081" i="13" s="1"/>
  <c r="J5265" i="14" a="1"/>
  <c r="J5265" i="14" s="1"/>
  <c r="N5266" i="14"/>
  <c r="M5269" i="13"/>
  <c r="M5270" i="14"/>
  <c r="J5266" i="13" a="1"/>
  <c r="J5266" i="13" s="1"/>
  <c r="N5267" i="13"/>
  <c r="K5103" i="14" l="1"/>
  <c r="L5103" i="14" s="1"/>
  <c r="I5104" i="14" s="1"/>
  <c r="N5268" i="13"/>
  <c r="J5267" i="13" a="1"/>
  <c r="J5267" i="13" s="1"/>
  <c r="K5081" i="13"/>
  <c r="L5081" i="13" s="1"/>
  <c r="I5082" i="13" s="1"/>
  <c r="M5270" i="13"/>
  <c r="M5271" i="14"/>
  <c r="J5266" i="14" a="1"/>
  <c r="J5266" i="14" s="1"/>
  <c r="N5267" i="14"/>
  <c r="K5082" i="13" l="1"/>
  <c r="L5082" i="13" s="1"/>
  <c r="I5083" i="13" s="1"/>
  <c r="K5104" i="14"/>
  <c r="L5104" i="14" s="1"/>
  <c r="I5105" i="14" s="1"/>
  <c r="N5268" i="14"/>
  <c r="J5267" i="14" a="1"/>
  <c r="J5267" i="14" s="1"/>
  <c r="M5271" i="13"/>
  <c r="J5268" i="13" a="1"/>
  <c r="J5268" i="13" s="1"/>
  <c r="N5269" i="13"/>
  <c r="M5272" i="14"/>
  <c r="K5105" i="14" l="1"/>
  <c r="L5105" i="14" s="1"/>
  <c r="I5106" i="14" s="1"/>
  <c r="K5083" i="13"/>
  <c r="L5083" i="13" s="1"/>
  <c r="I5084" i="13" s="1"/>
  <c r="M5273" i="14"/>
  <c r="M5272" i="13"/>
  <c r="N5270" i="13"/>
  <c r="J5269" i="13" a="1"/>
  <c r="J5269" i="13" s="1"/>
  <c r="J5268" i="14" a="1"/>
  <c r="J5268" i="14" s="1"/>
  <c r="N5269" i="14"/>
  <c r="K5106" i="14" l="1"/>
  <c r="L5106" i="14" s="1"/>
  <c r="I5107" i="14" s="1"/>
  <c r="J5269" i="14" a="1"/>
  <c r="J5269" i="14" s="1"/>
  <c r="N5270" i="14"/>
  <c r="M5273" i="13"/>
  <c r="K5084" i="13"/>
  <c r="L5084" i="13" s="1"/>
  <c r="I5085" i="13" s="1"/>
  <c r="J5270" i="13" a="1"/>
  <c r="J5270" i="13" s="1"/>
  <c r="N5271" i="13"/>
  <c r="M5274" i="14"/>
  <c r="K5107" i="14" l="1"/>
  <c r="L5107" i="14" s="1"/>
  <c r="I5108" i="14" s="1"/>
  <c r="K5085" i="13"/>
  <c r="L5085" i="13" s="1"/>
  <c r="I5086" i="13" s="1"/>
  <c r="M5275" i="14"/>
  <c r="N5271" i="14"/>
  <c r="J5270" i="14" a="1"/>
  <c r="J5270" i="14" s="1"/>
  <c r="N5272" i="13"/>
  <c r="J5271" i="13" a="1"/>
  <c r="J5271" i="13" s="1"/>
  <c r="M5274" i="13"/>
  <c r="K5108" i="14" l="1"/>
  <c r="L5108" i="14" s="1"/>
  <c r="I5109" i="14" s="1"/>
  <c r="N5272" i="14"/>
  <c r="J5271" i="14" a="1"/>
  <c r="J5271" i="14" s="1"/>
  <c r="K5086" i="13"/>
  <c r="L5086" i="13" s="1"/>
  <c r="I5087" i="13" s="1"/>
  <c r="M5275" i="13"/>
  <c r="J5272" i="13" a="1"/>
  <c r="J5272" i="13" s="1"/>
  <c r="N5273" i="13"/>
  <c r="M5276" i="14"/>
  <c r="K5087" i="13" l="1"/>
  <c r="L5087" i="13" s="1"/>
  <c r="I5088" i="13" s="1"/>
  <c r="K5109" i="14"/>
  <c r="L5109" i="14" s="1"/>
  <c r="I5110" i="14" s="1"/>
  <c r="M5276" i="13"/>
  <c r="J5272" i="14" a="1"/>
  <c r="J5272" i="14" s="1"/>
  <c r="N5273" i="14"/>
  <c r="M5277" i="14"/>
  <c r="N5274" i="13"/>
  <c r="J5273" i="13" a="1"/>
  <c r="J5273" i="13" s="1"/>
  <c r="K5110" i="14" l="1"/>
  <c r="L5110" i="14" s="1"/>
  <c r="I5111" i="14" s="1"/>
  <c r="K5088" i="13"/>
  <c r="L5088" i="13" s="1"/>
  <c r="I5089" i="13" s="1"/>
  <c r="J5274" i="13" a="1"/>
  <c r="J5274" i="13" s="1"/>
  <c r="N5275" i="13"/>
  <c r="M5278" i="14"/>
  <c r="J5273" i="14" a="1"/>
  <c r="J5273" i="14" s="1"/>
  <c r="N5274" i="14"/>
  <c r="M5277" i="13"/>
  <c r="K5089" i="13" l="1"/>
  <c r="L5089" i="13" s="1"/>
  <c r="I5090" i="13" s="1"/>
  <c r="K5111" i="14"/>
  <c r="L5111" i="14" s="1"/>
  <c r="I5112" i="14" s="1"/>
  <c r="M5279" i="14"/>
  <c r="M5278" i="13"/>
  <c r="N5276" i="13"/>
  <c r="J5275" i="13" a="1"/>
  <c r="J5275" i="13" s="1"/>
  <c r="J5274" i="14" a="1"/>
  <c r="J5274" i="14" s="1"/>
  <c r="N5275" i="14"/>
  <c r="K5112" i="14" l="1"/>
  <c r="L5112" i="14" s="1"/>
  <c r="I5113" i="14" s="1"/>
  <c r="K5090" i="13"/>
  <c r="L5090" i="13" s="1"/>
  <c r="I5091" i="13" s="1"/>
  <c r="N5276" i="14"/>
  <c r="J5275" i="14" a="1"/>
  <c r="J5275" i="14" s="1"/>
  <c r="M5279" i="13"/>
  <c r="J5276" i="13" a="1"/>
  <c r="J5276" i="13" s="1"/>
  <c r="N5277" i="13"/>
  <c r="M5280" i="14"/>
  <c r="K5113" i="14" l="1"/>
  <c r="L5113" i="14" s="1"/>
  <c r="I5114" i="14" s="1"/>
  <c r="M5281" i="14"/>
  <c r="M5280" i="13"/>
  <c r="K5091" i="13"/>
  <c r="L5091" i="13" s="1"/>
  <c r="I5092" i="13" s="1"/>
  <c r="N5278" i="13"/>
  <c r="J5277" i="13" a="1"/>
  <c r="J5277" i="13" s="1"/>
  <c r="J5276" i="14" a="1"/>
  <c r="J5276" i="14" s="1"/>
  <c r="N5277" i="14"/>
  <c r="K5114" i="14" l="1"/>
  <c r="L5114" i="14" s="1"/>
  <c r="I5115" i="14" s="1"/>
  <c r="J5277" i="14" a="1"/>
  <c r="J5277" i="14" s="1"/>
  <c r="N5278" i="14"/>
  <c r="K5092" i="13"/>
  <c r="L5092" i="13" s="1"/>
  <c r="I5093" i="13" s="1"/>
  <c r="M5282" i="14"/>
  <c r="M5281" i="13"/>
  <c r="J5278" i="13" a="1"/>
  <c r="J5278" i="13" s="1"/>
  <c r="N5279" i="13"/>
  <c r="K5093" i="13" l="1"/>
  <c r="L5093" i="13" s="1"/>
  <c r="I5094" i="13" s="1"/>
  <c r="K5115" i="14"/>
  <c r="L5115" i="14" s="1"/>
  <c r="I5116" i="14" s="1"/>
  <c r="N5280" i="13"/>
  <c r="J5279" i="13" a="1"/>
  <c r="J5279" i="13" s="1"/>
  <c r="M5283" i="14"/>
  <c r="N5279" i="14"/>
  <c r="J5278" i="14" a="1"/>
  <c r="J5278" i="14" s="1"/>
  <c r="M5282" i="13"/>
  <c r="K5116" i="14" l="1"/>
  <c r="L5116" i="14" s="1"/>
  <c r="I5117" i="14" s="1"/>
  <c r="K5094" i="13"/>
  <c r="L5094" i="13" s="1"/>
  <c r="I5095" i="13" s="1"/>
  <c r="M5283" i="13"/>
  <c r="M5284" i="14"/>
  <c r="N5280" i="14"/>
  <c r="J5279" i="14" a="1"/>
  <c r="J5279" i="14" s="1"/>
  <c r="J5280" i="13" a="1"/>
  <c r="J5280" i="13" s="1"/>
  <c r="N5281" i="13"/>
  <c r="K5095" i="13" l="1"/>
  <c r="L5095" i="13" s="1"/>
  <c r="I5096" i="13" s="1"/>
  <c r="K5117" i="14"/>
  <c r="L5117" i="14" s="1"/>
  <c r="I5118" i="14" s="1"/>
  <c r="N5282" i="13"/>
  <c r="J5281" i="13" a="1"/>
  <c r="J5281" i="13" s="1"/>
  <c r="M5285" i="14"/>
  <c r="J5280" i="14" a="1"/>
  <c r="J5280" i="14" s="1"/>
  <c r="N5281" i="14"/>
  <c r="M5284" i="13"/>
  <c r="K5118" i="14" l="1"/>
  <c r="L5118" i="14" s="1"/>
  <c r="I5119" i="14" s="1"/>
  <c r="K5096" i="13"/>
  <c r="L5096" i="13" s="1"/>
  <c r="I5097" i="13" s="1"/>
  <c r="M5286" i="14"/>
  <c r="M5285" i="13"/>
  <c r="J5281" i="14" a="1"/>
  <c r="J5281" i="14" s="1"/>
  <c r="N5282" i="14"/>
  <c r="J5282" i="13" a="1"/>
  <c r="J5282" i="13" s="1"/>
  <c r="N5283" i="13"/>
  <c r="K5097" i="13" l="1"/>
  <c r="L5097" i="13" s="1"/>
  <c r="I5098" i="13" s="1"/>
  <c r="K5119" i="14"/>
  <c r="L5119" i="14" s="1"/>
  <c r="I5120" i="14" s="1"/>
  <c r="N5284" i="13"/>
  <c r="J5283" i="13" a="1"/>
  <c r="J5283" i="13" s="1"/>
  <c r="M5286" i="13"/>
  <c r="J5282" i="14" a="1"/>
  <c r="J5282" i="14" s="1"/>
  <c r="N5283" i="14"/>
  <c r="M5287" i="14"/>
  <c r="K5120" i="14" l="1"/>
  <c r="L5120" i="14" s="1"/>
  <c r="I5121" i="14" s="1"/>
  <c r="K5098" i="13"/>
  <c r="L5098" i="13" s="1"/>
  <c r="I5099" i="13" s="1"/>
  <c r="M5287" i="13"/>
  <c r="M5288" i="14"/>
  <c r="N5284" i="14"/>
  <c r="J5283" i="14" a="1"/>
  <c r="J5283" i="14" s="1"/>
  <c r="J5284" i="13" a="1"/>
  <c r="J5284" i="13" s="1"/>
  <c r="N5285" i="13"/>
  <c r="K5099" i="13" l="1"/>
  <c r="L5099" i="13" s="1"/>
  <c r="I5100" i="13" s="1"/>
  <c r="K5121" i="14"/>
  <c r="L5121" i="14" s="1"/>
  <c r="I5122" i="14" s="1"/>
  <c r="N5286" i="13"/>
  <c r="J5285" i="13" a="1"/>
  <c r="J5285" i="13" s="1"/>
  <c r="M5289" i="14"/>
  <c r="J5284" i="14" a="1"/>
  <c r="J5284" i="14" s="1"/>
  <c r="N5285" i="14"/>
  <c r="M5288" i="13"/>
  <c r="K5122" i="14" l="1"/>
  <c r="L5122" i="14" s="1"/>
  <c r="I5123" i="14" s="1"/>
  <c r="K5100" i="13"/>
  <c r="L5100" i="13" s="1"/>
  <c r="I5101" i="13" s="1"/>
  <c r="M5289" i="13"/>
  <c r="M5290" i="14"/>
  <c r="J5285" i="14" a="1"/>
  <c r="J5285" i="14" s="1"/>
  <c r="N5286" i="14"/>
  <c r="J5286" i="13" a="1"/>
  <c r="J5286" i="13" s="1"/>
  <c r="N5287" i="13"/>
  <c r="K5101" i="13" l="1"/>
  <c r="L5101" i="13" s="1"/>
  <c r="I5102" i="13" s="1"/>
  <c r="K5123" i="14"/>
  <c r="L5123" i="14" s="1"/>
  <c r="I5124" i="14" s="1"/>
  <c r="N5288" i="13"/>
  <c r="J5287" i="13" a="1"/>
  <c r="J5287" i="13" s="1"/>
  <c r="M5291" i="14"/>
  <c r="N5287" i="14"/>
  <c r="J5286" i="14" a="1"/>
  <c r="J5286" i="14" s="1"/>
  <c r="M5290" i="13"/>
  <c r="K5102" i="13" l="1"/>
  <c r="L5102" i="13" s="1"/>
  <c r="I5103" i="13" s="1"/>
  <c r="M5292" i="14"/>
  <c r="M5291" i="13"/>
  <c r="K5124" i="14"/>
  <c r="L5124" i="14" s="1"/>
  <c r="I5125" i="14" s="1"/>
  <c r="N5288" i="14"/>
  <c r="J5287" i="14" a="1"/>
  <c r="J5287" i="14" s="1"/>
  <c r="J5288" i="13" a="1"/>
  <c r="J5288" i="13" s="1"/>
  <c r="N5289" i="13"/>
  <c r="K5125" i="14" l="1"/>
  <c r="L5125" i="14" s="1"/>
  <c r="I5126" i="14" s="1"/>
  <c r="K5103" i="13"/>
  <c r="L5103" i="13" s="1"/>
  <c r="I5104" i="13" s="1"/>
  <c r="N5290" i="13"/>
  <c r="J5289" i="13" a="1"/>
  <c r="J5289" i="13" s="1"/>
  <c r="M5293" i="14"/>
  <c r="J5288" i="14" a="1"/>
  <c r="J5288" i="14" s="1"/>
  <c r="N5289" i="14"/>
  <c r="M5292" i="13"/>
  <c r="K5126" i="14" l="1"/>
  <c r="L5126" i="14" s="1"/>
  <c r="I5127" i="14" s="1"/>
  <c r="J5289" i="14" a="1"/>
  <c r="J5289" i="14" s="1"/>
  <c r="N5290" i="14"/>
  <c r="M5293" i="13"/>
  <c r="M5294" i="14"/>
  <c r="K5104" i="13"/>
  <c r="L5104" i="13" s="1"/>
  <c r="I5105" i="13" s="1"/>
  <c r="J5290" i="13" a="1"/>
  <c r="J5290" i="13" s="1"/>
  <c r="N5291" i="13"/>
  <c r="K5105" i="13" l="1"/>
  <c r="L5105" i="13" s="1"/>
  <c r="I5106" i="13" s="1"/>
  <c r="K5127" i="14"/>
  <c r="L5127" i="14" s="1"/>
  <c r="I5128" i="14" s="1"/>
  <c r="N5292" i="13"/>
  <c r="J5291" i="13" a="1"/>
  <c r="J5291" i="13" s="1"/>
  <c r="M5295" i="14"/>
  <c r="J5290" i="14" a="1"/>
  <c r="J5290" i="14" s="1"/>
  <c r="N5291" i="14"/>
  <c r="M5294" i="13"/>
  <c r="K5128" i="14" l="1"/>
  <c r="L5128" i="14" s="1"/>
  <c r="I5129" i="14" s="1"/>
  <c r="K5106" i="13"/>
  <c r="L5106" i="13" s="1"/>
  <c r="I5107" i="13" s="1"/>
  <c r="M5295" i="13"/>
  <c r="N5292" i="14"/>
  <c r="J5291" i="14" a="1"/>
  <c r="J5291" i="14" s="1"/>
  <c r="M5296" i="14"/>
  <c r="J5292" i="13" a="1"/>
  <c r="J5292" i="13" s="1"/>
  <c r="N5293" i="13"/>
  <c r="K5107" i="13" l="1"/>
  <c r="L5107" i="13" s="1"/>
  <c r="I5108" i="13" s="1"/>
  <c r="K5129" i="14"/>
  <c r="L5129" i="14" s="1"/>
  <c r="I5130" i="14" s="1"/>
  <c r="N5294" i="13"/>
  <c r="J5293" i="13" a="1"/>
  <c r="J5293" i="13" s="1"/>
  <c r="J5292" i="14" a="1"/>
  <c r="J5292" i="14" s="1"/>
  <c r="N5293" i="14"/>
  <c r="M5297" i="14"/>
  <c r="M5296" i="13"/>
  <c r="K5108" i="13" l="1"/>
  <c r="L5108" i="13" s="1"/>
  <c r="I5109" i="13" s="1"/>
  <c r="J5293" i="14" a="1"/>
  <c r="J5293" i="14" s="1"/>
  <c r="N5294" i="14"/>
  <c r="K5130" i="14"/>
  <c r="L5130" i="14" s="1"/>
  <c r="I5131" i="14" s="1"/>
  <c r="M5297" i="13"/>
  <c r="M5298" i="14"/>
  <c r="J5294" i="13" a="1"/>
  <c r="J5294" i="13" s="1"/>
  <c r="N5295" i="13"/>
  <c r="K5131" i="14" l="1"/>
  <c r="L5131" i="14" s="1"/>
  <c r="I5132" i="14" s="1"/>
  <c r="K5109" i="13"/>
  <c r="L5109" i="13" s="1"/>
  <c r="I5110" i="13" s="1"/>
  <c r="N5296" i="13"/>
  <c r="J5295" i="13" a="1"/>
  <c r="J5295" i="13" s="1"/>
  <c r="N5295" i="14"/>
  <c r="J5294" i="14" a="1"/>
  <c r="J5294" i="14" s="1"/>
  <c r="M5298" i="13"/>
  <c r="M5299" i="14"/>
  <c r="K5132" i="14" l="1"/>
  <c r="L5132" i="14" s="1"/>
  <c r="I5133" i="14" s="1"/>
  <c r="K5110" i="13"/>
  <c r="L5110" i="13" s="1"/>
  <c r="I5111" i="13" s="1"/>
  <c r="N5296" i="14"/>
  <c r="J5295" i="14" a="1"/>
  <c r="J5295" i="14" s="1"/>
  <c r="M5299" i="13"/>
  <c r="M5300" i="14"/>
  <c r="J5296" i="13" a="1"/>
  <c r="J5296" i="13" s="1"/>
  <c r="N5297" i="13"/>
  <c r="K5133" i="14" l="1"/>
  <c r="L5133" i="14" s="1"/>
  <c r="I5134" i="14" s="1"/>
  <c r="N5298" i="13"/>
  <c r="J5297" i="13" a="1"/>
  <c r="J5297" i="13" s="1"/>
  <c r="K5111" i="13"/>
  <c r="L5111" i="13" s="1"/>
  <c r="I5112" i="13" s="1"/>
  <c r="M5300" i="13"/>
  <c r="M5301" i="14"/>
  <c r="J5296" i="14" a="1"/>
  <c r="J5296" i="14" s="1"/>
  <c r="N5297" i="14"/>
  <c r="K5112" i="13" l="1"/>
  <c r="L5112" i="13" s="1"/>
  <c r="I5113" i="13" s="1"/>
  <c r="K5134" i="14"/>
  <c r="L5134" i="14" s="1"/>
  <c r="I5135" i="14" s="1"/>
  <c r="J5297" i="14" a="1"/>
  <c r="J5297" i="14" s="1"/>
  <c r="N5298" i="14"/>
  <c r="M5301" i="13"/>
  <c r="J5298" i="13" a="1"/>
  <c r="J5298" i="13" s="1"/>
  <c r="N5299" i="13"/>
  <c r="M5302" i="14"/>
  <c r="K5113" i="13" l="1"/>
  <c r="L5113" i="13" s="1"/>
  <c r="I5114" i="13" s="1"/>
  <c r="M5302" i="13"/>
  <c r="M5303" i="14"/>
  <c r="K5135" i="14"/>
  <c r="L5135" i="14" s="1"/>
  <c r="I5136" i="14" s="1"/>
  <c r="N5300" i="13"/>
  <c r="J5299" i="13" a="1"/>
  <c r="J5299" i="13" s="1"/>
  <c r="J5298" i="14" a="1"/>
  <c r="J5298" i="14" s="1"/>
  <c r="N5299" i="14"/>
  <c r="K5114" i="13" l="1"/>
  <c r="L5114" i="13" s="1"/>
  <c r="I5115" i="13" s="1"/>
  <c r="K5136" i="14"/>
  <c r="L5136" i="14" s="1"/>
  <c r="I5137" i="14" s="1"/>
  <c r="N5300" i="14"/>
  <c r="J5299" i="14" a="1"/>
  <c r="J5299" i="14" s="1"/>
  <c r="M5303" i="13"/>
  <c r="J5300" i="13" a="1"/>
  <c r="J5300" i="13" s="1"/>
  <c r="N5301" i="13"/>
  <c r="M5304" i="14"/>
  <c r="K5115" i="13" l="1"/>
  <c r="L5115" i="13" s="1"/>
  <c r="I5116" i="13" s="1"/>
  <c r="M5304" i="13"/>
  <c r="K5137" i="14"/>
  <c r="L5137" i="14" s="1"/>
  <c r="I5138" i="14" s="1"/>
  <c r="N5302" i="13"/>
  <c r="J5301" i="13" a="1"/>
  <c r="J5301" i="13" s="1"/>
  <c r="M5305" i="14"/>
  <c r="J5300" i="14" a="1"/>
  <c r="J5300" i="14" s="1"/>
  <c r="N5301" i="14"/>
  <c r="K5138" i="14" l="1"/>
  <c r="L5138" i="14" s="1"/>
  <c r="I5139" i="14" s="1"/>
  <c r="K5116" i="13"/>
  <c r="L5116" i="13" s="1"/>
  <c r="I5117" i="13" s="1"/>
  <c r="M5305" i="13"/>
  <c r="J5301" i="14" a="1"/>
  <c r="J5301" i="14" s="1"/>
  <c r="N5302" i="14"/>
  <c r="J5302" i="13" a="1"/>
  <c r="J5302" i="13" s="1"/>
  <c r="N5303" i="13"/>
  <c r="M5306" i="14"/>
  <c r="K5139" i="14" l="1"/>
  <c r="L5139" i="14" s="1"/>
  <c r="I5140" i="14" s="1"/>
  <c r="N5303" i="14"/>
  <c r="J5302" i="14" a="1"/>
  <c r="J5302" i="14" s="1"/>
  <c r="K5117" i="13"/>
  <c r="L5117" i="13" s="1"/>
  <c r="I5118" i="13" s="1"/>
  <c r="M5307" i="14"/>
  <c r="N5304" i="13"/>
  <c r="J5303" i="13" a="1"/>
  <c r="J5303" i="13" s="1"/>
  <c r="M5306" i="13"/>
  <c r="K5118" i="13" l="1"/>
  <c r="L5118" i="13" s="1"/>
  <c r="I5119" i="13" s="1"/>
  <c r="K5140" i="14"/>
  <c r="L5140" i="14" s="1"/>
  <c r="I5141" i="14" s="1"/>
  <c r="M5308" i="14"/>
  <c r="M5307" i="13"/>
  <c r="N5304" i="14"/>
  <c r="J5303" i="14" a="1"/>
  <c r="J5303" i="14" s="1"/>
  <c r="J5304" i="13" a="1"/>
  <c r="J5304" i="13" s="1"/>
  <c r="N5305" i="13"/>
  <c r="K5119" i="13" l="1"/>
  <c r="L5119" i="13" s="1"/>
  <c r="I5120" i="13" s="1"/>
  <c r="N5306" i="13"/>
  <c r="J5305" i="13" a="1"/>
  <c r="J5305" i="13" s="1"/>
  <c r="M5308" i="13"/>
  <c r="K5141" i="14"/>
  <c r="L5141" i="14" s="1"/>
  <c r="I5142" i="14" s="1"/>
  <c r="J5304" i="14" a="1"/>
  <c r="J5304" i="14" s="1"/>
  <c r="N5305" i="14"/>
  <c r="M5309" i="14"/>
  <c r="K5142" i="14" l="1"/>
  <c r="L5142" i="14" s="1"/>
  <c r="I5143" i="14" s="1"/>
  <c r="K5120" i="13"/>
  <c r="L5120" i="13" s="1"/>
  <c r="I5121" i="13" s="1"/>
  <c r="J5306" i="13" a="1"/>
  <c r="J5306" i="13" s="1"/>
  <c r="N5307" i="13"/>
  <c r="J5305" i="14" a="1"/>
  <c r="J5305" i="14" s="1"/>
  <c r="N5306" i="14"/>
  <c r="M5309" i="13"/>
  <c r="M5310" i="14"/>
  <c r="K5121" i="13" l="1"/>
  <c r="L5121" i="13" s="1"/>
  <c r="I5122" i="13" s="1"/>
  <c r="K5143" i="14"/>
  <c r="L5143" i="14" s="1"/>
  <c r="I5144" i="14" s="1"/>
  <c r="J5306" i="14" a="1"/>
  <c r="J5306" i="14" s="1"/>
  <c r="N5307" i="14"/>
  <c r="M5311" i="14"/>
  <c r="N5308" i="13"/>
  <c r="J5307" i="13" a="1"/>
  <c r="J5307" i="13" s="1"/>
  <c r="M5310" i="13"/>
  <c r="K5122" i="13" l="1"/>
  <c r="L5122" i="13" s="1"/>
  <c r="I5123" i="13" s="1"/>
  <c r="K5144" i="14"/>
  <c r="L5144" i="14" s="1"/>
  <c r="I5145" i="14" s="1"/>
  <c r="J5308" i="13" a="1"/>
  <c r="J5308" i="13" s="1"/>
  <c r="N5309" i="13"/>
  <c r="M5311" i="13"/>
  <c r="M5312" i="14"/>
  <c r="N5308" i="14"/>
  <c r="J5307" i="14" a="1"/>
  <c r="J5307" i="14" s="1"/>
  <c r="K5145" i="14" l="1"/>
  <c r="L5145" i="14" s="1"/>
  <c r="I5146" i="14" s="1"/>
  <c r="K5123" i="13"/>
  <c r="L5123" i="13" s="1"/>
  <c r="I5124" i="13" s="1"/>
  <c r="J5308" i="14" a="1"/>
  <c r="J5308" i="14" s="1"/>
  <c r="N5309" i="14"/>
  <c r="M5312" i="13"/>
  <c r="N5310" i="13"/>
  <c r="J5309" i="13" a="1"/>
  <c r="J5309" i="13" s="1"/>
  <c r="M5313" i="14"/>
  <c r="K5124" i="13" l="1"/>
  <c r="L5124" i="13" s="1"/>
  <c r="I5125" i="13" s="1"/>
  <c r="K5146" i="14"/>
  <c r="L5146" i="14" s="1"/>
  <c r="I5147" i="14" s="1"/>
  <c r="M5313" i="13"/>
  <c r="J5310" i="13" a="1"/>
  <c r="J5310" i="13" s="1"/>
  <c r="N5311" i="13"/>
  <c r="M5314" i="14"/>
  <c r="J5309" i="14" a="1"/>
  <c r="J5309" i="14" s="1"/>
  <c r="N5310" i="14"/>
  <c r="K5147" i="14" l="1"/>
  <c r="L5147" i="14" s="1"/>
  <c r="I5148" i="14" s="1"/>
  <c r="K5125" i="13"/>
  <c r="L5125" i="13" s="1"/>
  <c r="I5126" i="13" s="1"/>
  <c r="N5312" i="13"/>
  <c r="J5311" i="13" a="1"/>
  <c r="J5311" i="13" s="1"/>
  <c r="N5311" i="14"/>
  <c r="J5310" i="14" a="1"/>
  <c r="J5310" i="14" s="1"/>
  <c r="M5315" i="14"/>
  <c r="M5314" i="13"/>
  <c r="K5148" i="14" l="1"/>
  <c r="L5148" i="14" s="1"/>
  <c r="I5149" i="14" s="1"/>
  <c r="N5312" i="14"/>
  <c r="J5311" i="14" a="1"/>
  <c r="J5311" i="14" s="1"/>
  <c r="K5126" i="13"/>
  <c r="L5126" i="13" s="1"/>
  <c r="I5127" i="13" s="1"/>
  <c r="M5315" i="13"/>
  <c r="M5316" i="14"/>
  <c r="J5312" i="13" a="1"/>
  <c r="J5312" i="13" s="1"/>
  <c r="N5313" i="13"/>
  <c r="K5127" i="13" l="1"/>
  <c r="L5127" i="13" s="1"/>
  <c r="I5128" i="13" s="1"/>
  <c r="K5149" i="14"/>
  <c r="L5149" i="14" s="1"/>
  <c r="I5150" i="14" s="1"/>
  <c r="J5312" i="14" a="1"/>
  <c r="J5312" i="14" s="1"/>
  <c r="N5313" i="14"/>
  <c r="N5314" i="13"/>
  <c r="J5313" i="13" a="1"/>
  <c r="J5313" i="13" s="1"/>
  <c r="M5316" i="13"/>
  <c r="M5317" i="14"/>
  <c r="K5150" i="14" l="1"/>
  <c r="L5150" i="14" s="1"/>
  <c r="I5151" i="14" s="1"/>
  <c r="K5128" i="13"/>
  <c r="L5128" i="13" s="1"/>
  <c r="I5129" i="13" s="1"/>
  <c r="J5314" i="13" a="1"/>
  <c r="J5314" i="13" s="1"/>
  <c r="N5315" i="13"/>
  <c r="J5313" i="14" a="1"/>
  <c r="J5313" i="14" s="1"/>
  <c r="N5314" i="14"/>
  <c r="M5318" i="14"/>
  <c r="M5317" i="13"/>
  <c r="K5151" i="14" l="1"/>
  <c r="L5151" i="14" s="1"/>
  <c r="I5152" i="14" s="1"/>
  <c r="J5314" i="14" a="1"/>
  <c r="J5314" i="14" s="1"/>
  <c r="N5315" i="14"/>
  <c r="K5129" i="13"/>
  <c r="L5129" i="13" s="1"/>
  <c r="I5130" i="13" s="1"/>
  <c r="N5316" i="13"/>
  <c r="J5315" i="13" a="1"/>
  <c r="J5315" i="13" s="1"/>
  <c r="M5318" i="13"/>
  <c r="M5319" i="14"/>
  <c r="K5152" i="14" l="1"/>
  <c r="L5152" i="14" s="1"/>
  <c r="I5153" i="14" s="1"/>
  <c r="N5316" i="14"/>
  <c r="J5315" i="14" a="1"/>
  <c r="J5315" i="14" s="1"/>
  <c r="J5316" i="13" a="1"/>
  <c r="J5316" i="13" s="1"/>
  <c r="N5317" i="13"/>
  <c r="M5319" i="13"/>
  <c r="M5320" i="14"/>
  <c r="K5130" i="13"/>
  <c r="L5130" i="13" s="1"/>
  <c r="I5131" i="13" s="1"/>
  <c r="K5153" i="14" l="1"/>
  <c r="L5153" i="14" s="1"/>
  <c r="I5154" i="14" s="1"/>
  <c r="M5320" i="13"/>
  <c r="M5321" i="14"/>
  <c r="J5316" i="14" a="1"/>
  <c r="J5316" i="14" s="1"/>
  <c r="N5317" i="14"/>
  <c r="K5131" i="13"/>
  <c r="L5131" i="13" s="1"/>
  <c r="I5132" i="13" s="1"/>
  <c r="N5318" i="13"/>
  <c r="J5317" i="13" a="1"/>
  <c r="J5317" i="13" s="1"/>
  <c r="K5132" i="13" l="1"/>
  <c r="L5132" i="13" s="1"/>
  <c r="I5133" i="13" s="1"/>
  <c r="K5154" i="14"/>
  <c r="L5154" i="14" s="1"/>
  <c r="I5155" i="14" s="1"/>
  <c r="J5317" i="14" a="1"/>
  <c r="J5317" i="14" s="1"/>
  <c r="N5318" i="14"/>
  <c r="M5321" i="13"/>
  <c r="J5318" i="13" a="1"/>
  <c r="J5318" i="13" s="1"/>
  <c r="N5319" i="13"/>
  <c r="M5322" i="14"/>
  <c r="K5133" i="13" l="1"/>
  <c r="L5133" i="13" s="1"/>
  <c r="I5134" i="13" s="1"/>
  <c r="N5320" i="13"/>
  <c r="J5319" i="13" a="1"/>
  <c r="J5319" i="13" s="1"/>
  <c r="M5323" i="14"/>
  <c r="M5322" i="13"/>
  <c r="K5155" i="14"/>
  <c r="L5155" i="14" s="1"/>
  <c r="I5156" i="14" s="1"/>
  <c r="N5319" i="14"/>
  <c r="J5318" i="14" a="1"/>
  <c r="J5318" i="14" s="1"/>
  <c r="K5156" i="14" l="1"/>
  <c r="L5156" i="14" s="1"/>
  <c r="I5157" i="14" s="1"/>
  <c r="K5134" i="13"/>
  <c r="L5134" i="13" s="1"/>
  <c r="I5135" i="13" s="1"/>
  <c r="M5323" i="13"/>
  <c r="J5320" i="13" a="1"/>
  <c r="J5320" i="13" s="1"/>
  <c r="N5321" i="13"/>
  <c r="N5320" i="14"/>
  <c r="J5319" i="14" a="1"/>
  <c r="J5319" i="14" s="1"/>
  <c r="M5324" i="14"/>
  <c r="K5135" i="13" l="1"/>
  <c r="L5135" i="13" s="1"/>
  <c r="I5136" i="13" s="1"/>
  <c r="K5157" i="14"/>
  <c r="L5157" i="14" s="1"/>
  <c r="I5158" i="14" s="1"/>
  <c r="N5322" i="13"/>
  <c r="J5321" i="13" a="1"/>
  <c r="J5321" i="13" s="1"/>
  <c r="M5325" i="14"/>
  <c r="J5320" i="14" a="1"/>
  <c r="J5320" i="14" s="1"/>
  <c r="N5321" i="14"/>
  <c r="M5324" i="13"/>
  <c r="K5136" i="13" l="1"/>
  <c r="L5136" i="13" s="1"/>
  <c r="I5137" i="13" s="1"/>
  <c r="M5325" i="13"/>
  <c r="M5326" i="14"/>
  <c r="K5158" i="14"/>
  <c r="L5158" i="14" s="1"/>
  <c r="I5159" i="14" s="1"/>
  <c r="J5321" i="14" a="1"/>
  <c r="J5321" i="14" s="1"/>
  <c r="N5322" i="14"/>
  <c r="J5322" i="13" a="1"/>
  <c r="J5322" i="13" s="1"/>
  <c r="N5323" i="13"/>
  <c r="K5137" i="13" l="1"/>
  <c r="L5137" i="13" s="1"/>
  <c r="I5138" i="13" s="1"/>
  <c r="N5324" i="13"/>
  <c r="J5323" i="13" a="1"/>
  <c r="J5323" i="13" s="1"/>
  <c r="K5159" i="14"/>
  <c r="L5159" i="14" s="1"/>
  <c r="I5160" i="14" s="1"/>
  <c r="M5326" i="13"/>
  <c r="J5322" i="14" a="1"/>
  <c r="J5322" i="14" s="1"/>
  <c r="N5323" i="14"/>
  <c r="M5327" i="14"/>
  <c r="K5160" i="14" l="1"/>
  <c r="L5160" i="14" s="1"/>
  <c r="I5161" i="14" s="1"/>
  <c r="K5138" i="13"/>
  <c r="L5138" i="13" s="1"/>
  <c r="I5139" i="13" s="1"/>
  <c r="M5328" i="14"/>
  <c r="M5327" i="13"/>
  <c r="J5324" i="13" a="1"/>
  <c r="J5324" i="13" s="1"/>
  <c r="N5325" i="13"/>
  <c r="N5324" i="14"/>
  <c r="J5323" i="14" a="1"/>
  <c r="J5323" i="14" s="1"/>
  <c r="K5161" i="14" l="1"/>
  <c r="L5161" i="14" s="1"/>
  <c r="I5162" i="14" s="1"/>
  <c r="J5324" i="14" a="1"/>
  <c r="J5324" i="14" s="1"/>
  <c r="N5325" i="14"/>
  <c r="M5328" i="13"/>
  <c r="K5139" i="13"/>
  <c r="L5139" i="13" s="1"/>
  <c r="I5140" i="13" s="1"/>
  <c r="N5326" i="13"/>
  <c r="J5325" i="13" a="1"/>
  <c r="J5325" i="13" s="1"/>
  <c r="M5329" i="14"/>
  <c r="K5162" i="14" l="1"/>
  <c r="L5162" i="14" s="1"/>
  <c r="I5163" i="14" s="1"/>
  <c r="J5325" i="14" a="1"/>
  <c r="J5325" i="14" s="1"/>
  <c r="N5326" i="14"/>
  <c r="K5140" i="13"/>
  <c r="L5140" i="13" s="1"/>
  <c r="I5141" i="13" s="1"/>
  <c r="M5330" i="14"/>
  <c r="M5329" i="13"/>
  <c r="J5326" i="13" a="1"/>
  <c r="J5326" i="13" s="1"/>
  <c r="N5327" i="13"/>
  <c r="K5141" i="13" l="1"/>
  <c r="L5141" i="13" s="1"/>
  <c r="I5142" i="13" s="1"/>
  <c r="K5163" i="14"/>
  <c r="L5163" i="14" s="1"/>
  <c r="I5164" i="14" s="1"/>
  <c r="N5328" i="13"/>
  <c r="J5327" i="13" a="1"/>
  <c r="J5327" i="13" s="1"/>
  <c r="M5331" i="14"/>
  <c r="N5327" i="14"/>
  <c r="J5326" i="14" a="1"/>
  <c r="J5326" i="14" s="1"/>
  <c r="M5330" i="13"/>
  <c r="K5142" i="13" l="1"/>
  <c r="L5142" i="13" s="1"/>
  <c r="I5143" i="13" s="1"/>
  <c r="M5331" i="13"/>
  <c r="K5164" i="14"/>
  <c r="L5164" i="14" s="1"/>
  <c r="I5165" i="14" s="1"/>
  <c r="M5332" i="14"/>
  <c r="N5328" i="14"/>
  <c r="J5327" i="14" a="1"/>
  <c r="J5327" i="14" s="1"/>
  <c r="J5328" i="13" a="1"/>
  <c r="J5328" i="13" s="1"/>
  <c r="N5329" i="13"/>
  <c r="K5165" i="14" l="1"/>
  <c r="L5165" i="14" s="1"/>
  <c r="I5166" i="14" s="1"/>
  <c r="K5143" i="13"/>
  <c r="L5143" i="13" s="1"/>
  <c r="I5144" i="13" s="1"/>
  <c r="N5330" i="13"/>
  <c r="J5329" i="13" a="1"/>
  <c r="J5329" i="13" s="1"/>
  <c r="M5333" i="14"/>
  <c r="M5332" i="13"/>
  <c r="J5328" i="14" a="1"/>
  <c r="J5328" i="14" s="1"/>
  <c r="N5329" i="14"/>
  <c r="K5144" i="13" l="1"/>
  <c r="L5144" i="13" s="1"/>
  <c r="I5145" i="13" s="1"/>
  <c r="K5166" i="14"/>
  <c r="L5166" i="14" s="1"/>
  <c r="I5167" i="14" s="1"/>
  <c r="J5329" i="14" a="1"/>
  <c r="J5329" i="14" s="1"/>
  <c r="N5330" i="14"/>
  <c r="M5334" i="14"/>
  <c r="M5333" i="13"/>
  <c r="J5330" i="13" a="1"/>
  <c r="J5330" i="13" s="1"/>
  <c r="N5331" i="13"/>
  <c r="K5167" i="14" l="1"/>
  <c r="L5167" i="14" s="1"/>
  <c r="I5168" i="14" s="1"/>
  <c r="K5145" i="13"/>
  <c r="L5145" i="13" s="1"/>
  <c r="I5146" i="13" s="1"/>
  <c r="N5332" i="13"/>
  <c r="J5331" i="13" a="1"/>
  <c r="J5331" i="13" s="1"/>
  <c r="M5335" i="14"/>
  <c r="J5330" i="14" a="1"/>
  <c r="J5330" i="14" s="1"/>
  <c r="N5331" i="14"/>
  <c r="M5334" i="13"/>
  <c r="K5146" i="13" l="1"/>
  <c r="L5146" i="13" s="1"/>
  <c r="I5147" i="13" s="1"/>
  <c r="K5168" i="14"/>
  <c r="L5168" i="14" s="1"/>
  <c r="I5169" i="14" s="1"/>
  <c r="M5335" i="13"/>
  <c r="N5332" i="14"/>
  <c r="J5331" i="14" a="1"/>
  <c r="J5331" i="14" s="1"/>
  <c r="M5336" i="14"/>
  <c r="J5332" i="13" a="1"/>
  <c r="J5332" i="13" s="1"/>
  <c r="N5333" i="13"/>
  <c r="K5169" i="14" l="1"/>
  <c r="L5169" i="14" s="1"/>
  <c r="I5170" i="14" s="1"/>
  <c r="K5147" i="13"/>
  <c r="L5147" i="13" s="1"/>
  <c r="I5148" i="13" s="1"/>
  <c r="N5334" i="13"/>
  <c r="J5333" i="13" a="1"/>
  <c r="J5333" i="13" s="1"/>
  <c r="J5332" i="14" a="1"/>
  <c r="J5332" i="14" s="1"/>
  <c r="N5333" i="14"/>
  <c r="M5337" i="14"/>
  <c r="M5336" i="13"/>
  <c r="K5170" i="14" l="1"/>
  <c r="L5170" i="14" s="1"/>
  <c r="I5171" i="14" s="1"/>
  <c r="M5337" i="13"/>
  <c r="J5333" i="14" a="1"/>
  <c r="J5333" i="14" s="1"/>
  <c r="N5334" i="14"/>
  <c r="K5148" i="13"/>
  <c r="L5148" i="13" s="1"/>
  <c r="I5149" i="13" s="1"/>
  <c r="M5338" i="14"/>
  <c r="J5334" i="13" a="1"/>
  <c r="J5334" i="13" s="1"/>
  <c r="N5335" i="13"/>
  <c r="K5171" i="14" l="1"/>
  <c r="L5171" i="14" s="1"/>
  <c r="I5172" i="14" s="1"/>
  <c r="N5336" i="13"/>
  <c r="J5335" i="13" a="1"/>
  <c r="J5335" i="13" s="1"/>
  <c r="M5338" i="13"/>
  <c r="K5149" i="13"/>
  <c r="L5149" i="13" s="1"/>
  <c r="I5150" i="13" s="1"/>
  <c r="M5339" i="14"/>
  <c r="N5335" i="14"/>
  <c r="J5334" i="14" a="1"/>
  <c r="J5334" i="14" s="1"/>
  <c r="K5150" i="13" l="1"/>
  <c r="L5150" i="13" s="1"/>
  <c r="I5151" i="13" s="1"/>
  <c r="K5172" i="14"/>
  <c r="L5172" i="14" s="1"/>
  <c r="I5173" i="14" s="1"/>
  <c r="J5336" i="13" a="1"/>
  <c r="J5336" i="13" s="1"/>
  <c r="N5337" i="13"/>
  <c r="N5336" i="14"/>
  <c r="J5335" i="14" a="1"/>
  <c r="J5335" i="14" s="1"/>
  <c r="M5339" i="13"/>
  <c r="M5340" i="14"/>
  <c r="K5151" i="13" l="1"/>
  <c r="L5151" i="13" s="1"/>
  <c r="I5152" i="13" s="1"/>
  <c r="K5173" i="14"/>
  <c r="L5173" i="14" s="1"/>
  <c r="I5174" i="14" s="1"/>
  <c r="J5336" i="14" a="1"/>
  <c r="J5336" i="14" s="1"/>
  <c r="N5337" i="14"/>
  <c r="M5341" i="14"/>
  <c r="N5338" i="13"/>
  <c r="J5337" i="13" a="1"/>
  <c r="J5337" i="13" s="1"/>
  <c r="M5340" i="13"/>
  <c r="K5152" i="13" l="1"/>
  <c r="L5152" i="13" s="1"/>
  <c r="I5153" i="13" s="1"/>
  <c r="J5338" i="13" a="1"/>
  <c r="J5338" i="13" s="1"/>
  <c r="N5339" i="13"/>
  <c r="M5341" i="13"/>
  <c r="M5342" i="14"/>
  <c r="K5174" i="14"/>
  <c r="L5174" i="14" s="1"/>
  <c r="I5175" i="14" s="1"/>
  <c r="J5337" i="14" a="1"/>
  <c r="J5337" i="14" s="1"/>
  <c r="N5338" i="14"/>
  <c r="K5175" i="14" l="1"/>
  <c r="L5175" i="14" s="1"/>
  <c r="I5176" i="14" s="1"/>
  <c r="K5153" i="13"/>
  <c r="L5153" i="13" s="1"/>
  <c r="I5154" i="13" s="1"/>
  <c r="J5338" i="14" a="1"/>
  <c r="J5338" i="14" s="1"/>
  <c r="N5339" i="14"/>
  <c r="M5343" i="14"/>
  <c r="N5340" i="13"/>
  <c r="J5339" i="13" a="1"/>
  <c r="J5339" i="13" s="1"/>
  <c r="M5342" i="13"/>
  <c r="K5154" i="13" l="1"/>
  <c r="L5154" i="13" s="1"/>
  <c r="I5155" i="13" s="1"/>
  <c r="K5176" i="14"/>
  <c r="L5176" i="14" s="1"/>
  <c r="I5177" i="14" s="1"/>
  <c r="M5343" i="13"/>
  <c r="M5344" i="14"/>
  <c r="N5340" i="14"/>
  <c r="J5339" i="14" a="1"/>
  <c r="J5339" i="14" s="1"/>
  <c r="J5340" i="13" a="1"/>
  <c r="J5340" i="13" s="1"/>
  <c r="N5341" i="13"/>
  <c r="K5155" i="13" l="1"/>
  <c r="L5155" i="13" s="1"/>
  <c r="I5156" i="13" s="1"/>
  <c r="N5342" i="13"/>
  <c r="J5341" i="13" a="1"/>
  <c r="J5341" i="13" s="1"/>
  <c r="K5177" i="14"/>
  <c r="L5177" i="14" s="1"/>
  <c r="I5178" i="14" s="1"/>
  <c r="M5345" i="14"/>
  <c r="J5340" i="14" a="1"/>
  <c r="J5340" i="14" s="1"/>
  <c r="N5341" i="14"/>
  <c r="M5344" i="13"/>
  <c r="K5178" i="14" l="1"/>
  <c r="L5178" i="14" s="1"/>
  <c r="I5179" i="14" s="1"/>
  <c r="K5156" i="13"/>
  <c r="L5156" i="13" s="1"/>
  <c r="I5157" i="13" s="1"/>
  <c r="M5346" i="14"/>
  <c r="M5345" i="13"/>
  <c r="J5342" i="13" a="1"/>
  <c r="J5342" i="13" s="1"/>
  <c r="N5343" i="13"/>
  <c r="J5341" i="14" a="1"/>
  <c r="J5341" i="14" s="1"/>
  <c r="N5342" i="14"/>
  <c r="K5179" i="14" l="1"/>
  <c r="L5179" i="14" s="1"/>
  <c r="I5180" i="14" s="1"/>
  <c r="N5343" i="14"/>
  <c r="J5342" i="14" a="1"/>
  <c r="J5342" i="14" s="1"/>
  <c r="K5157" i="13"/>
  <c r="L5157" i="13" s="1"/>
  <c r="I5158" i="13" s="1"/>
  <c r="M5346" i="13"/>
  <c r="M5347" i="14"/>
  <c r="N5344" i="13"/>
  <c r="J5343" i="13" a="1"/>
  <c r="J5343" i="13" s="1"/>
  <c r="K5158" i="13" l="1"/>
  <c r="L5158" i="13" s="1"/>
  <c r="I5159" i="13" s="1"/>
  <c r="K5180" i="14"/>
  <c r="L5180" i="14" s="1"/>
  <c r="I5181" i="14" s="1"/>
  <c r="M5347" i="13"/>
  <c r="N5344" i="14"/>
  <c r="J5343" i="14" a="1"/>
  <c r="J5343" i="14" s="1"/>
  <c r="J5344" i="13" a="1"/>
  <c r="J5344" i="13" s="1"/>
  <c r="N5345" i="13"/>
  <c r="M5348" i="14"/>
  <c r="K5181" i="14" l="1"/>
  <c r="L5181" i="14" s="1"/>
  <c r="I5182" i="14" s="1"/>
  <c r="K5159" i="13"/>
  <c r="L5159" i="13" s="1"/>
  <c r="I5160" i="13" s="1"/>
  <c r="J5344" i="14" a="1"/>
  <c r="J5344" i="14" s="1"/>
  <c r="N5345" i="14"/>
  <c r="M5349" i="14"/>
  <c r="N5346" i="13"/>
  <c r="J5345" i="13" a="1"/>
  <c r="J5345" i="13" s="1"/>
  <c r="M5348" i="13"/>
  <c r="K5182" i="14" l="1"/>
  <c r="L5182" i="14" s="1"/>
  <c r="I5183" i="14" s="1"/>
  <c r="M5349" i="13"/>
  <c r="M5350" i="14"/>
  <c r="K5160" i="13"/>
  <c r="L5160" i="13" s="1"/>
  <c r="I5161" i="13" s="1"/>
  <c r="J5345" i="14" a="1"/>
  <c r="J5345" i="14" s="1"/>
  <c r="N5346" i="14"/>
  <c r="J5346" i="13" a="1"/>
  <c r="J5346" i="13" s="1"/>
  <c r="N5347" i="13"/>
  <c r="K5183" i="14" l="1"/>
  <c r="L5183" i="14" s="1"/>
  <c r="I5184" i="14" s="1"/>
  <c r="N5348" i="13"/>
  <c r="J5347" i="13" a="1"/>
  <c r="J5347" i="13" s="1"/>
  <c r="K5161" i="13"/>
  <c r="L5161" i="13" s="1"/>
  <c r="I5162" i="13" s="1"/>
  <c r="M5350" i="13"/>
  <c r="N5347" i="14"/>
  <c r="J5346" i="14" a="1"/>
  <c r="J5346" i="14" s="1"/>
  <c r="M5351" i="14"/>
  <c r="K5184" i="14" l="1"/>
  <c r="L5184" i="14" s="1"/>
  <c r="I5185" i="14" s="1"/>
  <c r="M5351" i="13"/>
  <c r="M5352" i="14"/>
  <c r="J5348" i="13" a="1"/>
  <c r="J5348" i="13" s="1"/>
  <c r="N5349" i="13"/>
  <c r="N5348" i="14"/>
  <c r="J5347" i="14" a="1"/>
  <c r="J5347" i="14" s="1"/>
  <c r="K5162" i="13"/>
  <c r="L5162" i="13" s="1"/>
  <c r="I5163" i="13" s="1"/>
  <c r="K5185" i="14" l="1"/>
  <c r="L5185" i="14" s="1"/>
  <c r="I5186" i="14" s="1"/>
  <c r="K5163" i="13"/>
  <c r="L5163" i="13" s="1"/>
  <c r="I5164" i="13" s="1"/>
  <c r="N5350" i="13"/>
  <c r="J5349" i="13" a="1"/>
  <c r="J5349" i="13" s="1"/>
  <c r="M5352" i="13"/>
  <c r="J5348" i="14" a="1"/>
  <c r="J5348" i="14" s="1"/>
  <c r="N5349" i="14"/>
  <c r="M5353" i="14"/>
  <c r="K5186" i="14" l="1"/>
  <c r="L5186" i="14" s="1"/>
  <c r="I5187" i="14" s="1"/>
  <c r="M5353" i="13"/>
  <c r="M5354" i="14"/>
  <c r="K5164" i="13"/>
  <c r="L5164" i="13" s="1"/>
  <c r="I5165" i="13" s="1"/>
  <c r="J5349" i="14" a="1"/>
  <c r="J5349" i="14" s="1"/>
  <c r="N5350" i="14"/>
  <c r="J5350" i="13" a="1"/>
  <c r="J5350" i="13" s="1"/>
  <c r="N5351" i="13"/>
  <c r="K5187" i="14" l="1"/>
  <c r="L5187" i="14" s="1"/>
  <c r="I5188" i="14" s="1"/>
  <c r="N5352" i="13"/>
  <c r="J5351" i="13" a="1"/>
  <c r="J5351" i="13" s="1"/>
  <c r="M5354" i="13"/>
  <c r="K5165" i="13"/>
  <c r="L5165" i="13" s="1"/>
  <c r="I5166" i="13" s="1"/>
  <c r="N5351" i="14"/>
  <c r="J5350" i="14" a="1"/>
  <c r="J5350" i="14" s="1"/>
  <c r="M5355" i="14"/>
  <c r="K5166" i="13" l="1"/>
  <c r="L5166" i="13" s="1"/>
  <c r="I5167" i="13" s="1"/>
  <c r="K5188" i="14"/>
  <c r="L5188" i="14" s="1"/>
  <c r="I5189" i="14" s="1"/>
  <c r="M5356" i="14"/>
  <c r="J5352" i="13" a="1"/>
  <c r="J5352" i="13" s="1"/>
  <c r="N5353" i="13"/>
  <c r="M5355" i="13"/>
  <c r="N5352" i="14"/>
  <c r="J5351" i="14" a="1"/>
  <c r="J5351" i="14" s="1"/>
  <c r="K5189" i="14" l="1"/>
  <c r="L5189" i="14" s="1"/>
  <c r="I5190" i="14" s="1"/>
  <c r="K5167" i="13"/>
  <c r="L5167" i="13" s="1"/>
  <c r="I5168" i="13" s="1"/>
  <c r="N5354" i="13"/>
  <c r="J5353" i="13" a="1"/>
  <c r="J5353" i="13" s="1"/>
  <c r="J5352" i="14" a="1"/>
  <c r="J5352" i="14" s="1"/>
  <c r="N5353" i="14"/>
  <c r="M5356" i="13"/>
  <c r="M5357" i="14"/>
  <c r="K5168" i="13" l="1"/>
  <c r="L5168" i="13" s="1"/>
  <c r="I5169" i="13" s="1"/>
  <c r="K5190" i="14"/>
  <c r="L5190" i="14" s="1"/>
  <c r="I5191" i="14" s="1"/>
  <c r="J5353" i="14" a="1"/>
  <c r="J5353" i="14" s="1"/>
  <c r="N5354" i="14"/>
  <c r="M5358" i="14"/>
  <c r="M5357" i="13"/>
  <c r="J5354" i="13" a="1"/>
  <c r="J5354" i="13" s="1"/>
  <c r="N5355" i="13"/>
  <c r="K5191" i="14" l="1"/>
  <c r="L5191" i="14" s="1"/>
  <c r="I5192" i="14" s="1"/>
  <c r="K5169" i="13"/>
  <c r="L5169" i="13" s="1"/>
  <c r="I5170" i="13" s="1"/>
  <c r="J5354" i="14" a="1"/>
  <c r="J5354" i="14" s="1"/>
  <c r="N5355" i="14"/>
  <c r="N5356" i="13"/>
  <c r="J5355" i="13" a="1"/>
  <c r="J5355" i="13" s="1"/>
  <c r="M5359" i="14"/>
  <c r="M5358" i="13"/>
  <c r="K5170" i="13" l="1"/>
  <c r="L5170" i="13" s="1"/>
  <c r="I5171" i="13" s="1"/>
  <c r="K5192" i="14"/>
  <c r="L5192" i="14" s="1"/>
  <c r="I5193" i="14" s="1"/>
  <c r="J5356" i="13" a="1"/>
  <c r="J5356" i="13" s="1"/>
  <c r="N5357" i="13"/>
  <c r="M5359" i="13"/>
  <c r="N5356" i="14"/>
  <c r="J5355" i="14" a="1"/>
  <c r="J5355" i="14" s="1"/>
  <c r="M5360" i="14"/>
  <c r="K5193" i="14" l="1"/>
  <c r="L5193" i="14" s="1"/>
  <c r="I5194" i="14" s="1"/>
  <c r="K5171" i="13"/>
  <c r="L5171" i="13" s="1"/>
  <c r="I5172" i="13" s="1"/>
  <c r="M5361" i="14"/>
  <c r="M5360" i="13"/>
  <c r="N5358" i="13"/>
  <c r="J5357" i="13" a="1"/>
  <c r="J5357" i="13" s="1"/>
  <c r="J5356" i="14" a="1"/>
  <c r="J5356" i="14" s="1"/>
  <c r="N5357" i="14"/>
  <c r="K5194" i="14" l="1"/>
  <c r="L5194" i="14" s="1"/>
  <c r="I5195" i="14" s="1"/>
  <c r="J5357" i="14" a="1"/>
  <c r="J5357" i="14" s="1"/>
  <c r="N5358" i="14"/>
  <c r="M5361" i="13"/>
  <c r="K5172" i="13"/>
  <c r="L5172" i="13" s="1"/>
  <c r="I5173" i="13" s="1"/>
  <c r="J5358" i="13" a="1"/>
  <c r="J5358" i="13" s="1"/>
  <c r="N5359" i="13"/>
  <c r="M5362" i="14"/>
  <c r="K5173" i="13" l="1"/>
  <c r="L5173" i="13" s="1"/>
  <c r="I5174" i="13" s="1"/>
  <c r="K5195" i="14"/>
  <c r="L5195" i="14" s="1"/>
  <c r="I5196" i="14" s="1"/>
  <c r="M5363" i="14"/>
  <c r="N5359" i="14"/>
  <c r="J5358" i="14" a="1"/>
  <c r="J5358" i="14" s="1"/>
  <c r="N5360" i="13"/>
  <c r="J5359" i="13" a="1"/>
  <c r="J5359" i="13" s="1"/>
  <c r="M5362" i="13"/>
  <c r="K5174" i="13" l="1"/>
  <c r="L5174" i="13" s="1"/>
  <c r="I5175" i="13" s="1"/>
  <c r="N5360" i="14"/>
  <c r="J5359" i="14" a="1"/>
  <c r="J5359" i="14" s="1"/>
  <c r="K5196" i="14"/>
  <c r="L5196" i="14" s="1"/>
  <c r="I5197" i="14" s="1"/>
  <c r="M5363" i="13"/>
  <c r="J5360" i="13" a="1"/>
  <c r="J5360" i="13" s="1"/>
  <c r="N5361" i="13"/>
  <c r="M5364" i="14"/>
  <c r="K5197" i="14" l="1"/>
  <c r="L5197" i="14" s="1"/>
  <c r="I5198" i="14" s="1"/>
  <c r="K5175" i="13"/>
  <c r="L5175" i="13" s="1"/>
  <c r="I5176" i="13" s="1"/>
  <c r="M5365" i="14"/>
  <c r="J5360" i="14" a="1"/>
  <c r="J5360" i="14" s="1"/>
  <c r="N5361" i="14"/>
  <c r="N5362" i="13"/>
  <c r="J5361" i="13" a="1"/>
  <c r="J5361" i="13" s="1"/>
  <c r="M5364" i="13"/>
  <c r="K5176" i="13" l="1"/>
  <c r="L5176" i="13" s="1"/>
  <c r="I5177" i="13" s="1"/>
  <c r="K5198" i="14"/>
  <c r="L5198" i="14" s="1"/>
  <c r="I5199" i="14" s="1"/>
  <c r="J5361" i="14" a="1"/>
  <c r="J5361" i="14" s="1"/>
  <c r="N5362" i="14"/>
  <c r="M5366" i="14"/>
  <c r="M5365" i="13"/>
  <c r="J5362" i="13" a="1"/>
  <c r="J5362" i="13" s="1"/>
  <c r="N5363" i="13"/>
  <c r="K5177" i="13" l="1"/>
  <c r="L5177" i="13" s="1"/>
  <c r="I5178" i="13" s="1"/>
  <c r="N5364" i="13"/>
  <c r="J5363" i="13" a="1"/>
  <c r="J5363" i="13" s="1"/>
  <c r="M5367" i="14"/>
  <c r="K5199" i="14"/>
  <c r="L5199" i="14" s="1"/>
  <c r="I5200" i="14" s="1"/>
  <c r="J5362" i="14" a="1"/>
  <c r="J5362" i="14" s="1"/>
  <c r="N5363" i="14"/>
  <c r="M5366" i="13"/>
  <c r="K5200" i="14" l="1"/>
  <c r="L5200" i="14" s="1"/>
  <c r="I5201" i="14" s="1"/>
  <c r="K5178" i="13"/>
  <c r="L5178" i="13" s="1"/>
  <c r="I5179" i="13" s="1"/>
  <c r="J5364" i="13" a="1"/>
  <c r="J5364" i="13" s="1"/>
  <c r="N5365" i="13"/>
  <c r="M5367" i="13"/>
  <c r="N5364" i="14"/>
  <c r="J5363" i="14" a="1"/>
  <c r="J5363" i="14" s="1"/>
  <c r="M5368" i="14"/>
  <c r="K5179" i="13" l="1"/>
  <c r="L5179" i="13" s="1"/>
  <c r="I5180" i="13" s="1"/>
  <c r="K5201" i="14"/>
  <c r="L5201" i="14" s="1"/>
  <c r="I5202" i="14" s="1"/>
  <c r="M5369" i="14"/>
  <c r="M5368" i="13"/>
  <c r="N5366" i="13"/>
  <c r="J5365" i="13" a="1"/>
  <c r="J5365" i="13" s="1"/>
  <c r="J5364" i="14" a="1"/>
  <c r="J5364" i="14" s="1"/>
  <c r="N5365" i="14"/>
  <c r="K5180" i="13" l="1"/>
  <c r="L5180" i="13" s="1"/>
  <c r="I5181" i="13" s="1"/>
  <c r="J5365" i="14" a="1"/>
  <c r="J5365" i="14" s="1"/>
  <c r="N5366" i="14"/>
  <c r="M5369" i="13"/>
  <c r="K5202" i="14"/>
  <c r="L5202" i="14" s="1"/>
  <c r="I5203" i="14" s="1"/>
  <c r="J5366" i="13" a="1"/>
  <c r="J5366" i="13" s="1"/>
  <c r="N5367" i="13"/>
  <c r="M5370" i="14"/>
  <c r="K5181" i="13" l="1"/>
  <c r="L5181" i="13" s="1"/>
  <c r="I5182" i="13" s="1"/>
  <c r="M5371" i="14"/>
  <c r="N5367" i="14"/>
  <c r="J5366" i="14" a="1"/>
  <c r="J5366" i="14" s="1"/>
  <c r="K5203" i="14"/>
  <c r="L5203" i="14" s="1"/>
  <c r="I5204" i="14" s="1"/>
  <c r="N5368" i="13"/>
  <c r="J5367" i="13" a="1"/>
  <c r="J5367" i="13" s="1"/>
  <c r="M5370" i="13"/>
  <c r="K5182" i="13" l="1"/>
  <c r="L5182" i="13" s="1"/>
  <c r="I5183" i="13" s="1"/>
  <c r="M5371" i="13"/>
  <c r="K5204" i="14"/>
  <c r="L5204" i="14" s="1"/>
  <c r="I5205" i="14" s="1"/>
  <c r="M5372" i="14"/>
  <c r="J5368" i="13" a="1"/>
  <c r="J5368" i="13" s="1"/>
  <c r="N5369" i="13"/>
  <c r="N5368" i="14"/>
  <c r="J5367" i="14" a="1"/>
  <c r="J5367" i="14" s="1"/>
  <c r="K5205" i="14" l="1"/>
  <c r="L5205" i="14" s="1"/>
  <c r="I5206" i="14" s="1"/>
  <c r="K5183" i="13"/>
  <c r="L5183" i="13" s="1"/>
  <c r="I5184" i="13" s="1"/>
  <c r="J5368" i="14" a="1"/>
  <c r="J5368" i="14" s="1"/>
  <c r="N5369" i="14"/>
  <c r="M5373" i="14"/>
  <c r="M5372" i="13"/>
  <c r="N5370" i="13"/>
  <c r="J5369" i="13" a="1"/>
  <c r="J5369" i="13" s="1"/>
  <c r="K5206" i="14" l="1"/>
  <c r="L5206" i="14" s="1"/>
  <c r="I5207" i="14" s="1"/>
  <c r="J5370" i="13" a="1"/>
  <c r="J5370" i="13" s="1"/>
  <c r="N5371" i="13"/>
  <c r="M5374" i="14"/>
  <c r="K5184" i="13"/>
  <c r="L5184" i="13" s="1"/>
  <c r="I5185" i="13" s="1"/>
  <c r="M5373" i="13"/>
  <c r="J5369" i="14" a="1"/>
  <c r="J5369" i="14" s="1"/>
  <c r="N5370" i="14"/>
  <c r="K5185" i="13" l="1"/>
  <c r="L5185" i="13" s="1"/>
  <c r="I5186" i="13" s="1"/>
  <c r="K5207" i="14"/>
  <c r="L5207" i="14" s="1"/>
  <c r="I5208" i="14" s="1"/>
  <c r="J5370" i="14" a="1"/>
  <c r="J5370" i="14" s="1"/>
  <c r="N5371" i="14"/>
  <c r="N5372" i="13"/>
  <c r="J5371" i="13" a="1"/>
  <c r="J5371" i="13" s="1"/>
  <c r="M5375" i="14"/>
  <c r="M5374" i="13"/>
  <c r="K5186" i="13" l="1"/>
  <c r="L5186" i="13" s="1"/>
  <c r="I5187" i="13" s="1"/>
  <c r="M5375" i="13"/>
  <c r="K5208" i="14"/>
  <c r="L5208" i="14" s="1"/>
  <c r="I5209" i="14" s="1"/>
  <c r="J5372" i="13" a="1"/>
  <c r="J5372" i="13" s="1"/>
  <c r="N5373" i="13"/>
  <c r="N5372" i="14"/>
  <c r="J5371" i="14" a="1"/>
  <c r="J5371" i="14" s="1"/>
  <c r="M5376" i="14"/>
  <c r="K5209" i="14" l="1"/>
  <c r="L5209" i="14" s="1"/>
  <c r="I5210" i="14" s="1"/>
  <c r="K5187" i="13"/>
  <c r="L5187" i="13" s="1"/>
  <c r="I5188" i="13" s="1"/>
  <c r="M5377" i="14"/>
  <c r="N5374" i="13"/>
  <c r="J5373" i="13" a="1"/>
  <c r="J5373" i="13" s="1"/>
  <c r="M5376" i="13"/>
  <c r="J5372" i="14" a="1"/>
  <c r="J5372" i="14" s="1"/>
  <c r="N5373" i="14"/>
  <c r="K5188" i="13" l="1"/>
  <c r="L5188" i="13" s="1"/>
  <c r="I5189" i="13" s="1"/>
  <c r="K5210" i="14"/>
  <c r="L5210" i="14" s="1"/>
  <c r="I5211" i="14" s="1"/>
  <c r="J5373" i="14" a="1"/>
  <c r="J5373" i="14" s="1"/>
  <c r="N5374" i="14"/>
  <c r="J5374" i="13" a="1"/>
  <c r="J5374" i="13" s="1"/>
  <c r="N5375" i="13"/>
  <c r="M5377" i="13"/>
  <c r="M5378" i="14"/>
  <c r="K5211" i="14" l="1"/>
  <c r="L5211" i="14" s="1"/>
  <c r="I5212" i="14" s="1"/>
  <c r="K5189" i="13"/>
  <c r="L5189" i="13" s="1"/>
  <c r="I5190" i="13" s="1"/>
  <c r="N5376" i="13"/>
  <c r="J5375" i="13" a="1"/>
  <c r="J5375" i="13" s="1"/>
  <c r="M5379" i="14"/>
  <c r="N5375" i="14"/>
  <c r="J5374" i="14" a="1"/>
  <c r="J5374" i="14" s="1"/>
  <c r="M5378" i="13"/>
  <c r="N5376" i="14" l="1"/>
  <c r="J5375" i="14" a="1"/>
  <c r="J5375" i="14" s="1"/>
  <c r="M5379" i="13"/>
  <c r="M5380" i="14"/>
  <c r="K5190" i="13"/>
  <c r="L5190" i="13" s="1"/>
  <c r="I5191" i="13" s="1"/>
  <c r="J5376" i="13" a="1"/>
  <c r="J5376" i="13" s="1"/>
  <c r="N5377" i="13"/>
  <c r="K5212" i="14"/>
  <c r="L5212" i="14" s="1"/>
  <c r="I5213" i="14" s="1"/>
  <c r="N5378" i="13" l="1"/>
  <c r="J5377" i="13" a="1"/>
  <c r="J5377" i="13" s="1"/>
  <c r="K5191" i="13"/>
  <c r="L5191" i="13" s="1"/>
  <c r="I5192" i="13" s="1"/>
  <c r="M5380" i="13"/>
  <c r="K5213" i="14"/>
  <c r="L5213" i="14" s="1"/>
  <c r="I5214" i="14" s="1"/>
  <c r="M5381" i="14"/>
  <c r="J5376" i="14" a="1"/>
  <c r="J5376" i="14" s="1"/>
  <c r="N5377" i="14"/>
  <c r="J5377" i="14" l="1" a="1"/>
  <c r="J5377" i="14" s="1"/>
  <c r="N5378" i="14"/>
  <c r="K5214" i="14"/>
  <c r="L5214" i="14" s="1"/>
  <c r="I5215" i="14" s="1"/>
  <c r="K5192" i="13"/>
  <c r="L5192" i="13" s="1"/>
  <c r="I5193" i="13" s="1"/>
  <c r="M5382" i="14"/>
  <c r="M5381" i="13"/>
  <c r="J5378" i="13" a="1"/>
  <c r="J5378" i="13" s="1"/>
  <c r="N5379" i="13"/>
  <c r="K5215" i="14" l="1"/>
  <c r="L5215" i="14" s="1"/>
  <c r="I5216" i="14" s="1"/>
  <c r="N5380" i="13"/>
  <c r="J5379" i="13" a="1"/>
  <c r="J5379" i="13" s="1"/>
  <c r="M5383" i="14"/>
  <c r="M5382" i="13"/>
  <c r="K5193" i="13"/>
  <c r="L5193" i="13" s="1"/>
  <c r="I5194" i="13" s="1"/>
  <c r="J5378" i="14" a="1"/>
  <c r="J5378" i="14" s="1"/>
  <c r="N5379" i="14"/>
  <c r="K5194" i="13" l="1"/>
  <c r="L5194" i="13" s="1"/>
  <c r="I5195" i="13" s="1"/>
  <c r="K5216" i="14"/>
  <c r="L5216" i="14" s="1"/>
  <c r="I5217" i="14" s="1"/>
  <c r="J5380" i="13" a="1"/>
  <c r="J5380" i="13" s="1"/>
  <c r="N5381" i="13"/>
  <c r="N5380" i="14"/>
  <c r="J5379" i="14" a="1"/>
  <c r="J5379" i="14" s="1"/>
  <c r="M5383" i="13"/>
  <c r="M5384" i="14"/>
  <c r="K5217" i="14" l="1"/>
  <c r="L5217" i="14" s="1"/>
  <c r="I5218" i="14" s="1"/>
  <c r="K5195" i="13"/>
  <c r="L5195" i="13" s="1"/>
  <c r="I5196" i="13" s="1"/>
  <c r="M5385" i="14"/>
  <c r="J5380" i="14" a="1"/>
  <c r="J5380" i="14" s="1"/>
  <c r="N5381" i="14"/>
  <c r="N5382" i="13"/>
  <c r="J5381" i="13" a="1"/>
  <c r="J5381" i="13" s="1"/>
  <c r="M5384" i="13"/>
  <c r="K5218" i="14" l="1"/>
  <c r="L5218" i="14" s="1"/>
  <c r="I5219" i="14" s="1"/>
  <c r="K5196" i="13"/>
  <c r="L5196" i="13" s="1"/>
  <c r="I5197" i="13" s="1"/>
  <c r="J5381" i="14" a="1"/>
  <c r="J5381" i="14" s="1"/>
  <c r="N5382" i="14"/>
  <c r="M5385" i="13"/>
  <c r="J5382" i="13" a="1"/>
  <c r="J5382" i="13" s="1"/>
  <c r="N5383" i="13"/>
  <c r="M5386" i="14"/>
  <c r="K5219" i="14" l="1"/>
  <c r="L5219" i="14" s="1"/>
  <c r="I5220" i="14" s="1"/>
  <c r="M5387" i="14"/>
  <c r="N5384" i="13"/>
  <c r="J5383" i="13" a="1"/>
  <c r="J5383" i="13" s="1"/>
  <c r="M5386" i="13"/>
  <c r="K5197" i="13"/>
  <c r="L5197" i="13" s="1"/>
  <c r="I5198" i="13" s="1"/>
  <c r="N5383" i="14"/>
  <c r="J5382" i="14" a="1"/>
  <c r="J5382" i="14" s="1"/>
  <c r="K5198" i="13" l="1"/>
  <c r="L5198" i="13" s="1"/>
  <c r="I5199" i="13" s="1"/>
  <c r="K5220" i="14"/>
  <c r="L5220" i="14" s="1"/>
  <c r="I5221" i="14" s="1"/>
  <c r="M5387" i="13"/>
  <c r="N5384" i="14"/>
  <c r="J5383" i="14" a="1"/>
  <c r="J5383" i="14" s="1"/>
  <c r="M5388" i="14"/>
  <c r="J5384" i="13" a="1"/>
  <c r="J5384" i="13" s="1"/>
  <c r="N5385" i="13"/>
  <c r="K5221" i="14" l="1"/>
  <c r="L5221" i="14" s="1"/>
  <c r="I5222" i="14" s="1"/>
  <c r="K5199" i="13"/>
  <c r="L5199" i="13" s="1"/>
  <c r="I5200" i="13" s="1"/>
  <c r="N5386" i="13"/>
  <c r="J5385" i="13" a="1"/>
  <c r="J5385" i="13" s="1"/>
  <c r="J5384" i="14" a="1"/>
  <c r="J5384" i="14" s="1"/>
  <c r="N5385" i="14"/>
  <c r="M5389" i="14"/>
  <c r="M5388" i="13"/>
  <c r="K5200" i="13" l="1"/>
  <c r="L5200" i="13" s="1"/>
  <c r="I5201" i="13" s="1"/>
  <c r="K5222" i="14"/>
  <c r="L5222" i="14" s="1"/>
  <c r="I5223" i="14" s="1"/>
  <c r="J5385" i="14" a="1"/>
  <c r="J5385" i="14" s="1"/>
  <c r="N5386" i="14"/>
  <c r="M5389" i="13"/>
  <c r="M5390" i="14"/>
  <c r="J5386" i="13" a="1"/>
  <c r="J5386" i="13" s="1"/>
  <c r="N5387" i="13"/>
  <c r="K5223" i="14" l="1"/>
  <c r="L5223" i="14" s="1"/>
  <c r="I5224" i="14" s="1"/>
  <c r="K5201" i="13"/>
  <c r="L5201" i="13" s="1"/>
  <c r="I5202" i="13" s="1"/>
  <c r="N5388" i="13"/>
  <c r="J5387" i="13" a="1"/>
  <c r="J5387" i="13" s="1"/>
  <c r="M5390" i="13"/>
  <c r="N5387" i="14"/>
  <c r="J5386" i="14" a="1"/>
  <c r="J5386" i="14" s="1"/>
  <c r="M5391" i="14"/>
  <c r="K5202" i="13" l="1"/>
  <c r="L5202" i="13" s="1"/>
  <c r="I5203" i="13" s="1"/>
  <c r="K5224" i="14"/>
  <c r="L5224" i="14" s="1"/>
  <c r="I5225" i="14" s="1"/>
  <c r="M5391" i="13"/>
  <c r="M5392" i="14"/>
  <c r="N5388" i="14"/>
  <c r="J5387" i="14" a="1"/>
  <c r="J5387" i="14" s="1"/>
  <c r="J5388" i="13" a="1"/>
  <c r="J5388" i="13" s="1"/>
  <c r="N5389" i="13"/>
  <c r="K5225" i="14" l="1"/>
  <c r="L5225" i="14" s="1"/>
  <c r="I5226" i="14" s="1"/>
  <c r="K5203" i="13"/>
  <c r="L5203" i="13" s="1"/>
  <c r="I5204" i="13" s="1"/>
  <c r="N5390" i="13"/>
  <c r="J5389" i="13" a="1"/>
  <c r="J5389" i="13" s="1"/>
  <c r="M5393" i="14"/>
  <c r="J5388" i="14" a="1"/>
  <c r="J5388" i="14" s="1"/>
  <c r="N5389" i="14"/>
  <c r="M5392" i="13"/>
  <c r="K5204" i="13" l="1"/>
  <c r="L5204" i="13" s="1"/>
  <c r="I5205" i="13" s="1"/>
  <c r="K5226" i="14"/>
  <c r="L5226" i="14" s="1"/>
  <c r="I5227" i="14" s="1"/>
  <c r="J5389" i="14" a="1"/>
  <c r="J5389" i="14" s="1"/>
  <c r="N5390" i="14"/>
  <c r="M5393" i="13"/>
  <c r="M5394" i="14"/>
  <c r="J5390" i="13" a="1"/>
  <c r="J5390" i="13" s="1"/>
  <c r="N5391" i="13"/>
  <c r="K5205" i="13" l="1"/>
  <c r="L5205" i="13" s="1"/>
  <c r="I5206" i="13" s="1"/>
  <c r="N5392" i="13"/>
  <c r="J5391" i="13" a="1"/>
  <c r="J5391" i="13" s="1"/>
  <c r="M5394" i="13"/>
  <c r="K5227" i="14"/>
  <c r="L5227" i="14" s="1"/>
  <c r="I5228" i="14" s="1"/>
  <c r="N5391" i="14"/>
  <c r="J5390" i="14" a="1"/>
  <c r="J5390" i="14" s="1"/>
  <c r="M5395" i="14"/>
  <c r="K5228" i="14" l="1"/>
  <c r="L5228" i="14" s="1"/>
  <c r="I5229" i="14" s="1"/>
  <c r="K5206" i="13"/>
  <c r="L5206" i="13" s="1"/>
  <c r="I5207" i="13" s="1"/>
  <c r="J5392" i="13" a="1"/>
  <c r="J5392" i="13" s="1"/>
  <c r="N5393" i="13"/>
  <c r="M5396" i="14"/>
  <c r="M5395" i="13"/>
  <c r="N5392" i="14"/>
  <c r="J5391" i="14" a="1"/>
  <c r="J5391" i="14" s="1"/>
  <c r="K5207" i="13" l="1"/>
  <c r="L5207" i="13" s="1"/>
  <c r="I5208" i="13" s="1"/>
  <c r="K5229" i="14"/>
  <c r="L5229" i="14" s="1"/>
  <c r="I5230" i="14" s="1"/>
  <c r="M5396" i="13"/>
  <c r="J5392" i="14" a="1"/>
  <c r="J5392" i="14" s="1"/>
  <c r="N5393" i="14"/>
  <c r="M5397" i="14"/>
  <c r="N5394" i="13"/>
  <c r="J5393" i="13" a="1"/>
  <c r="J5393" i="13" s="1"/>
  <c r="K5208" i="13" l="1"/>
  <c r="L5208" i="13" s="1"/>
  <c r="I5209" i="13" s="1"/>
  <c r="J5393" i="14" a="1"/>
  <c r="J5393" i="14" s="1"/>
  <c r="N5394" i="14"/>
  <c r="K5230" i="14"/>
  <c r="L5230" i="14" s="1"/>
  <c r="I5231" i="14" s="1"/>
  <c r="M5398" i="14"/>
  <c r="M5397" i="13"/>
  <c r="J5394" i="13" a="1"/>
  <c r="J5394" i="13" s="1"/>
  <c r="N5395" i="13"/>
  <c r="K5231" i="14" l="1"/>
  <c r="L5231" i="14" s="1"/>
  <c r="I5232" i="14" s="1"/>
  <c r="K5209" i="13"/>
  <c r="L5209" i="13" s="1"/>
  <c r="I5210" i="13" s="1"/>
  <c r="N5396" i="13"/>
  <c r="J5395" i="13" a="1"/>
  <c r="J5395" i="13" s="1"/>
  <c r="M5399" i="14"/>
  <c r="J5394" i="14" a="1"/>
  <c r="J5394" i="14" s="1"/>
  <c r="N5395" i="14"/>
  <c r="M5398" i="13"/>
  <c r="K5210" i="13" l="1"/>
  <c r="L5210" i="13" s="1"/>
  <c r="I5211" i="13" s="1"/>
  <c r="K5232" i="14"/>
  <c r="L5232" i="14" s="1"/>
  <c r="I5233" i="14" s="1"/>
  <c r="M5399" i="13"/>
  <c r="M5400" i="14"/>
  <c r="N5396" i="14"/>
  <c r="J5395" i="14" a="1"/>
  <c r="J5395" i="14" s="1"/>
  <c r="J5396" i="13" a="1"/>
  <c r="J5396" i="13" s="1"/>
  <c r="N5397" i="13"/>
  <c r="K5233" i="14" l="1"/>
  <c r="L5233" i="14" s="1"/>
  <c r="I5234" i="14" s="1"/>
  <c r="K5211" i="13"/>
  <c r="L5211" i="13" s="1"/>
  <c r="I5212" i="13" s="1"/>
  <c r="N5398" i="13"/>
  <c r="J5397" i="13" a="1"/>
  <c r="J5397" i="13" s="1"/>
  <c r="M5401" i="14"/>
  <c r="J5396" i="14" a="1"/>
  <c r="J5396" i="14" s="1"/>
  <c r="N5397" i="14"/>
  <c r="M5400" i="13"/>
  <c r="K5212" i="13" l="1"/>
  <c r="L5212" i="13" s="1"/>
  <c r="I5213" i="13" s="1"/>
  <c r="K5234" i="14"/>
  <c r="L5234" i="14" s="1"/>
  <c r="I5235" i="14" s="1"/>
  <c r="J5397" i="14" a="1"/>
  <c r="J5397" i="14" s="1"/>
  <c r="N5398" i="14"/>
  <c r="M5401" i="13"/>
  <c r="M5402" i="14"/>
  <c r="J5398" i="13" a="1"/>
  <c r="J5398" i="13" s="1"/>
  <c r="N5399" i="13"/>
  <c r="K5235" i="14" l="1"/>
  <c r="L5235" i="14" s="1"/>
  <c r="I5236" i="14" s="1"/>
  <c r="K5213" i="13"/>
  <c r="L5213" i="13" s="1"/>
  <c r="I5214" i="13" s="1"/>
  <c r="N5400" i="13"/>
  <c r="J5399" i="13" a="1"/>
  <c r="J5399" i="13" s="1"/>
  <c r="M5402" i="13"/>
  <c r="N5399" i="14"/>
  <c r="J5398" i="14" a="1"/>
  <c r="J5398" i="14" s="1"/>
  <c r="M5403" i="14"/>
  <c r="K5214" i="13" l="1"/>
  <c r="L5214" i="13" s="1"/>
  <c r="I5215" i="13" s="1"/>
  <c r="K5236" i="14"/>
  <c r="L5236" i="14" s="1"/>
  <c r="I5237" i="14" s="1"/>
  <c r="M5403" i="13"/>
  <c r="M5404" i="14"/>
  <c r="N5400" i="14"/>
  <c r="J5399" i="14" a="1"/>
  <c r="J5399" i="14" s="1"/>
  <c r="J5400" i="13" a="1"/>
  <c r="J5400" i="13" s="1"/>
  <c r="N5401" i="13"/>
  <c r="K5215" i="13" l="1"/>
  <c r="L5215" i="13" s="1"/>
  <c r="I5216" i="13" s="1"/>
  <c r="K5237" i="14"/>
  <c r="L5237" i="14" s="1"/>
  <c r="I5238" i="14" s="1"/>
  <c r="N5402" i="13"/>
  <c r="J5401" i="13" a="1"/>
  <c r="J5401" i="13" s="1"/>
  <c r="M5405" i="14"/>
  <c r="J5400" i="14" a="1"/>
  <c r="J5400" i="14" s="1"/>
  <c r="N5401" i="14"/>
  <c r="M5404" i="13"/>
  <c r="K5238" i="14" l="1"/>
  <c r="L5238" i="14" s="1"/>
  <c r="I5239" i="14" s="1"/>
  <c r="K5216" i="13"/>
  <c r="L5216" i="13" s="1"/>
  <c r="I5217" i="13" s="1"/>
  <c r="J5401" i="14" a="1"/>
  <c r="J5401" i="14" s="1"/>
  <c r="N5402" i="14"/>
  <c r="M5405" i="13"/>
  <c r="M5406" i="14"/>
  <c r="J5402" i="13" a="1"/>
  <c r="J5402" i="13" s="1"/>
  <c r="N5403" i="13"/>
  <c r="K5239" i="14" l="1"/>
  <c r="L5239" i="14" s="1"/>
  <c r="I5240" i="14" s="1"/>
  <c r="N5404" i="13"/>
  <c r="J5403" i="13" a="1"/>
  <c r="J5403" i="13" s="1"/>
  <c r="M5406" i="13"/>
  <c r="K5217" i="13"/>
  <c r="L5217" i="13" s="1"/>
  <c r="I5218" i="13" s="1"/>
  <c r="M5407" i="14"/>
  <c r="J5402" i="14" a="1"/>
  <c r="J5402" i="14" s="1"/>
  <c r="N5403" i="14"/>
  <c r="K5218" i="13" l="1"/>
  <c r="L5218" i="13" s="1"/>
  <c r="I5219" i="13" s="1"/>
  <c r="K5240" i="14"/>
  <c r="L5240" i="14" s="1"/>
  <c r="I5241" i="14" s="1"/>
  <c r="J5404" i="13" a="1"/>
  <c r="J5404" i="13" s="1"/>
  <c r="N5405" i="13"/>
  <c r="N5404" i="14"/>
  <c r="J5403" i="14" a="1"/>
  <c r="J5403" i="14" s="1"/>
  <c r="M5407" i="13"/>
  <c r="M5408" i="14"/>
  <c r="K5241" i="14" l="1"/>
  <c r="L5241" i="14" s="1"/>
  <c r="I5242" i="14" s="1"/>
  <c r="K5219" i="13"/>
  <c r="L5219" i="13" s="1"/>
  <c r="I5220" i="13" s="1"/>
  <c r="M5408" i="13"/>
  <c r="M5409" i="14"/>
  <c r="J5404" i="14" a="1"/>
  <c r="J5404" i="14" s="1"/>
  <c r="N5405" i="14"/>
  <c r="N5406" i="13"/>
  <c r="J5405" i="13" a="1"/>
  <c r="J5405" i="13" s="1"/>
  <c r="K5242" i="14" l="1"/>
  <c r="L5242" i="14" s="1"/>
  <c r="I5243" i="14" s="1"/>
  <c r="K5220" i="13"/>
  <c r="L5220" i="13" s="1"/>
  <c r="I5221" i="13" s="1"/>
  <c r="J5406" i="13" a="1"/>
  <c r="J5406" i="13" s="1"/>
  <c r="N5407" i="13"/>
  <c r="M5410" i="14"/>
  <c r="J5405" i="14" a="1"/>
  <c r="J5405" i="14" s="1"/>
  <c r="N5406" i="14"/>
  <c r="M5409" i="13"/>
  <c r="K5221" i="13" l="1"/>
  <c r="L5221" i="13" s="1"/>
  <c r="I5222" i="13" s="1"/>
  <c r="K5243" i="14"/>
  <c r="L5243" i="14" s="1"/>
  <c r="I5244" i="14" s="1"/>
  <c r="N5407" i="14"/>
  <c r="J5406" i="14" a="1"/>
  <c r="J5406" i="14" s="1"/>
  <c r="M5411" i="14"/>
  <c r="M5410" i="13"/>
  <c r="N5408" i="13"/>
  <c r="J5407" i="13" a="1"/>
  <c r="J5407" i="13" s="1"/>
  <c r="K5222" i="13" l="1"/>
  <c r="L5222" i="13" s="1"/>
  <c r="I5223" i="13" s="1"/>
  <c r="J5408" i="13" a="1"/>
  <c r="J5408" i="13" s="1"/>
  <c r="N5409" i="13"/>
  <c r="K5244" i="14"/>
  <c r="L5244" i="14" s="1"/>
  <c r="I5245" i="14" s="1"/>
  <c r="M5412" i="14"/>
  <c r="M5411" i="13"/>
  <c r="N5408" i="14"/>
  <c r="J5407" i="14" a="1"/>
  <c r="J5407" i="14" s="1"/>
  <c r="K5245" i="14" l="1"/>
  <c r="L5245" i="14" s="1"/>
  <c r="I5246" i="14" s="1"/>
  <c r="K5223" i="13"/>
  <c r="L5223" i="13" s="1"/>
  <c r="I5224" i="13" s="1"/>
  <c r="N5410" i="13"/>
  <c r="J5409" i="13" a="1"/>
  <c r="J5409" i="13" s="1"/>
  <c r="J5408" i="14" a="1"/>
  <c r="J5408" i="14" s="1"/>
  <c r="N5409" i="14"/>
  <c r="M5413" i="14"/>
  <c r="M5412" i="13"/>
  <c r="K5246" i="14" l="1"/>
  <c r="L5246" i="14" s="1"/>
  <c r="I5247" i="14" s="1"/>
  <c r="M5413" i="13"/>
  <c r="J5409" i="14" a="1"/>
  <c r="J5409" i="14" s="1"/>
  <c r="N5410" i="14"/>
  <c r="K5224" i="13"/>
  <c r="L5224" i="13" s="1"/>
  <c r="I5225" i="13" s="1"/>
  <c r="M5414" i="14"/>
  <c r="J5410" i="13" a="1"/>
  <c r="J5410" i="13" s="1"/>
  <c r="N5411" i="13"/>
  <c r="K5247" i="14" l="1"/>
  <c r="L5247" i="14" s="1"/>
  <c r="I5248" i="14" s="1"/>
  <c r="N5412" i="13"/>
  <c r="J5411" i="13" a="1"/>
  <c r="J5411" i="13" s="1"/>
  <c r="M5414" i="13"/>
  <c r="K5225" i="13"/>
  <c r="L5225" i="13" s="1"/>
  <c r="I5226" i="13" s="1"/>
  <c r="M5415" i="14"/>
  <c r="J5410" i="14" a="1"/>
  <c r="J5410" i="14" s="1"/>
  <c r="N5411" i="14"/>
  <c r="K5226" i="13" l="1"/>
  <c r="L5226" i="13" s="1"/>
  <c r="I5227" i="13" s="1"/>
  <c r="K5248" i="14"/>
  <c r="L5248" i="14" s="1"/>
  <c r="I5249" i="14" s="1"/>
  <c r="N5412" i="14"/>
  <c r="J5411" i="14" a="1"/>
  <c r="J5411" i="14" s="1"/>
  <c r="J5412" i="13" a="1"/>
  <c r="J5412" i="13" s="1"/>
  <c r="N5413" i="13"/>
  <c r="M5415" i="13"/>
  <c r="M5416" i="14"/>
  <c r="K5249" i="14" l="1"/>
  <c r="L5249" i="14" s="1"/>
  <c r="I5250" i="14" s="1"/>
  <c r="K5227" i="13"/>
  <c r="L5227" i="13" s="1"/>
  <c r="I5228" i="13" s="1"/>
  <c r="N5414" i="13"/>
  <c r="J5413" i="13" a="1"/>
  <c r="J5413" i="13" s="1"/>
  <c r="M5417" i="14"/>
  <c r="M5416" i="13"/>
  <c r="J5412" i="14" a="1"/>
  <c r="J5412" i="14" s="1"/>
  <c r="N5413" i="14"/>
  <c r="K5250" i="14" l="1"/>
  <c r="L5250" i="14" s="1"/>
  <c r="I5251" i="14" s="1"/>
  <c r="J5413" i="14" a="1"/>
  <c r="J5413" i="14" s="1"/>
  <c r="N5414" i="14"/>
  <c r="K5228" i="13"/>
  <c r="L5228" i="13" s="1"/>
  <c r="I5229" i="13" s="1"/>
  <c r="M5418" i="14"/>
  <c r="M5417" i="13"/>
  <c r="J5414" i="13" a="1"/>
  <c r="J5414" i="13" s="1"/>
  <c r="N5415" i="13"/>
  <c r="K5229" i="13" l="1"/>
  <c r="L5229" i="13" s="1"/>
  <c r="I5230" i="13" s="1"/>
  <c r="K5251" i="14"/>
  <c r="L5251" i="14" s="1"/>
  <c r="I5252" i="14" s="1"/>
  <c r="N5416" i="13"/>
  <c r="J5415" i="13" a="1"/>
  <c r="J5415" i="13" s="1"/>
  <c r="M5419" i="14"/>
  <c r="N5415" i="14"/>
  <c r="J5414" i="14" a="1"/>
  <c r="J5414" i="14" s="1"/>
  <c r="M5418" i="13"/>
  <c r="K5252" i="14" l="1"/>
  <c r="L5252" i="14" s="1"/>
  <c r="I5253" i="14" s="1"/>
  <c r="K5230" i="13"/>
  <c r="L5230" i="13" s="1"/>
  <c r="I5231" i="13" s="1"/>
  <c r="M5419" i="13"/>
  <c r="M5420" i="14"/>
  <c r="N5416" i="14"/>
  <c r="J5415" i="14" a="1"/>
  <c r="J5415" i="14" s="1"/>
  <c r="J5416" i="13" a="1"/>
  <c r="J5416" i="13" s="1"/>
  <c r="N5417" i="13"/>
  <c r="K5231" i="13" l="1"/>
  <c r="L5231" i="13" s="1"/>
  <c r="I5232" i="13" s="1"/>
  <c r="K5253" i="14"/>
  <c r="L5253" i="14" s="1"/>
  <c r="I5254" i="14" s="1"/>
  <c r="J5416" i="14" a="1"/>
  <c r="J5416" i="14" s="1"/>
  <c r="N5417" i="14"/>
  <c r="M5421" i="14"/>
  <c r="N5418" i="13"/>
  <c r="J5417" i="13" a="1"/>
  <c r="J5417" i="13" s="1"/>
  <c r="M5420" i="13"/>
  <c r="K5232" i="13" l="1"/>
  <c r="L5232" i="13" s="1"/>
  <c r="I5233" i="13" s="1"/>
  <c r="J5418" i="13" a="1"/>
  <c r="J5418" i="13" s="1"/>
  <c r="N5419" i="13"/>
  <c r="M5421" i="13"/>
  <c r="M5422" i="14"/>
  <c r="K5254" i="14"/>
  <c r="L5254" i="14" s="1"/>
  <c r="I5255" i="14" s="1"/>
  <c r="J5417" i="14" a="1"/>
  <c r="J5417" i="14" s="1"/>
  <c r="N5418" i="14"/>
  <c r="K5255" i="14" l="1"/>
  <c r="L5255" i="14" s="1"/>
  <c r="I5256" i="14" s="1"/>
  <c r="K5233" i="13"/>
  <c r="L5233" i="13" s="1"/>
  <c r="I5234" i="13" s="1"/>
  <c r="N5419" i="14"/>
  <c r="J5418" i="14" a="1"/>
  <c r="J5418" i="14" s="1"/>
  <c r="M5423" i="14"/>
  <c r="N5420" i="13"/>
  <c r="J5419" i="13" a="1"/>
  <c r="J5419" i="13" s="1"/>
  <c r="M5422" i="13"/>
  <c r="K5234" i="13" l="1"/>
  <c r="L5234" i="13" s="1"/>
  <c r="I5235" i="13" s="1"/>
  <c r="K5256" i="14"/>
  <c r="L5256" i="14" s="1"/>
  <c r="I5257" i="14" s="1"/>
  <c r="M5423" i="13"/>
  <c r="M5424" i="14"/>
  <c r="J5420" i="13" a="1"/>
  <c r="J5420" i="13" s="1"/>
  <c r="N5421" i="13"/>
  <c r="N5420" i="14"/>
  <c r="J5419" i="14" a="1"/>
  <c r="J5419" i="14" s="1"/>
  <c r="K5235" i="13" l="1"/>
  <c r="L5235" i="13" s="1"/>
  <c r="I5236" i="13" s="1"/>
  <c r="M5425" i="14"/>
  <c r="J5420" i="14" a="1"/>
  <c r="J5420" i="14" s="1"/>
  <c r="N5421" i="14"/>
  <c r="K5257" i="14"/>
  <c r="L5257" i="14" s="1"/>
  <c r="I5258" i="14" s="1"/>
  <c r="N5422" i="13"/>
  <c r="J5421" i="13" a="1"/>
  <c r="J5421" i="13" s="1"/>
  <c r="M5424" i="13"/>
  <c r="K5258" i="14" l="1"/>
  <c r="L5258" i="14" s="1"/>
  <c r="I5259" i="14" s="1"/>
  <c r="K5236" i="13"/>
  <c r="L5236" i="13" s="1"/>
  <c r="I5237" i="13" s="1"/>
  <c r="M5426" i="14"/>
  <c r="M5425" i="13"/>
  <c r="N5422" i="14"/>
  <c r="J5421" i="14" a="1"/>
  <c r="J5421" i="14" s="1"/>
  <c r="J5422" i="13" a="1"/>
  <c r="J5422" i="13" s="1"/>
  <c r="N5423" i="13"/>
  <c r="K5237" i="13" l="1"/>
  <c r="L5237" i="13" s="1"/>
  <c r="I5238" i="13" s="1"/>
  <c r="K5259" i="14"/>
  <c r="L5259" i="14" s="1"/>
  <c r="I5260" i="14" s="1"/>
  <c r="N5424" i="13"/>
  <c r="J5423" i="13" a="1"/>
  <c r="J5423" i="13" s="1"/>
  <c r="M5426" i="13"/>
  <c r="M5427" i="14"/>
  <c r="N5423" i="14"/>
  <c r="J5422" i="14" a="1"/>
  <c r="J5422" i="14" s="1"/>
  <c r="K5238" i="13" l="1"/>
  <c r="L5238" i="13" s="1"/>
  <c r="I5239" i="13" s="1"/>
  <c r="M5427" i="13"/>
  <c r="N5424" i="14"/>
  <c r="J5423" i="14" a="1"/>
  <c r="J5423" i="14" s="1"/>
  <c r="K5260" i="14"/>
  <c r="L5260" i="14" s="1"/>
  <c r="I5261" i="14" s="1"/>
  <c r="M5428" i="14"/>
  <c r="J5424" i="13" a="1"/>
  <c r="J5424" i="13" s="1"/>
  <c r="N5425" i="13"/>
  <c r="K5239" i="13" l="1"/>
  <c r="L5239" i="13" s="1"/>
  <c r="I5240" i="13" s="1"/>
  <c r="N5426" i="13"/>
  <c r="J5425" i="13" a="1"/>
  <c r="J5425" i="13" s="1"/>
  <c r="K5261" i="14"/>
  <c r="L5261" i="14" s="1"/>
  <c r="I5262" i="14" s="1"/>
  <c r="M5428" i="13"/>
  <c r="M5429" i="14"/>
  <c r="J5424" i="14" a="1"/>
  <c r="J5424" i="14" s="1"/>
  <c r="N5425" i="14"/>
  <c r="K5262" i="14" l="1"/>
  <c r="L5262" i="14" s="1"/>
  <c r="I5263" i="14" s="1"/>
  <c r="K5240" i="13"/>
  <c r="L5240" i="13" s="1"/>
  <c r="I5241" i="13" s="1"/>
  <c r="N5426" i="14"/>
  <c r="J5425" i="14" a="1"/>
  <c r="J5425" i="14" s="1"/>
  <c r="M5429" i="13"/>
  <c r="J5426" i="13" a="1"/>
  <c r="J5426" i="13" s="1"/>
  <c r="N5427" i="13"/>
  <c r="M5430" i="14"/>
  <c r="K5263" i="14" l="1"/>
  <c r="L5263" i="14" s="1"/>
  <c r="I5264" i="14" s="1"/>
  <c r="K5241" i="13"/>
  <c r="L5241" i="13" s="1"/>
  <c r="I5242" i="13" s="1"/>
  <c r="M5431" i="14"/>
  <c r="N5428" i="13"/>
  <c r="J5427" i="13" a="1"/>
  <c r="J5427" i="13" s="1"/>
  <c r="M5430" i="13"/>
  <c r="N5427" i="14"/>
  <c r="J5426" i="14" a="1"/>
  <c r="J5426" i="14" s="1"/>
  <c r="K5242" i="13" l="1"/>
  <c r="L5242" i="13" s="1"/>
  <c r="I5243" i="13" s="1"/>
  <c r="K5264" i="14"/>
  <c r="L5264" i="14" s="1"/>
  <c r="I5265" i="14" s="1"/>
  <c r="J5428" i="13" a="1"/>
  <c r="J5428" i="13" s="1"/>
  <c r="N5429" i="13"/>
  <c r="N5428" i="14"/>
  <c r="J5427" i="14" a="1"/>
  <c r="J5427" i="14" s="1"/>
  <c r="M5431" i="13"/>
  <c r="M5432" i="14"/>
  <c r="K5243" i="13" l="1"/>
  <c r="L5243" i="13" s="1"/>
  <c r="I5244" i="13" s="1"/>
  <c r="J5428" i="14" a="1"/>
  <c r="J5428" i="14" s="1"/>
  <c r="N5429" i="14"/>
  <c r="M5432" i="13"/>
  <c r="M5433" i="14"/>
  <c r="K5265" i="14"/>
  <c r="L5265" i="14" s="1"/>
  <c r="I5266" i="14" s="1"/>
  <c r="N5430" i="13"/>
  <c r="J5429" i="13" a="1"/>
  <c r="J5429" i="13" s="1"/>
  <c r="K5266" i="14" l="1"/>
  <c r="L5266" i="14" s="1"/>
  <c r="I5267" i="14" s="1"/>
  <c r="K5244" i="13"/>
  <c r="L5244" i="13" s="1"/>
  <c r="I5245" i="13" s="1"/>
  <c r="N5430" i="14"/>
  <c r="J5429" i="14" a="1"/>
  <c r="J5429" i="14" s="1"/>
  <c r="M5434" i="14"/>
  <c r="J5430" i="13" a="1"/>
  <c r="J5430" i="13" s="1"/>
  <c r="N5431" i="13"/>
  <c r="M5433" i="13"/>
  <c r="K5267" i="14" l="1"/>
  <c r="L5267" i="14" s="1"/>
  <c r="I5268" i="14" s="1"/>
  <c r="M5434" i="13"/>
  <c r="M5435" i="14"/>
  <c r="K5245" i="13"/>
  <c r="L5245" i="13" s="1"/>
  <c r="I5246" i="13" s="1"/>
  <c r="N5432" i="13"/>
  <c r="J5431" i="13" a="1"/>
  <c r="J5431" i="13" s="1"/>
  <c r="N5431" i="14"/>
  <c r="J5430" i="14" a="1"/>
  <c r="J5430" i="14" s="1"/>
  <c r="K5268" i="14" l="1"/>
  <c r="L5268" i="14" s="1"/>
  <c r="I5269" i="14" s="1"/>
  <c r="M5435" i="13"/>
  <c r="N5432" i="14"/>
  <c r="J5431" i="14" a="1"/>
  <c r="J5431" i="14" s="1"/>
  <c r="K5246" i="13"/>
  <c r="L5246" i="13" s="1"/>
  <c r="I5247" i="13" s="1"/>
  <c r="J5432" i="13" a="1"/>
  <c r="J5432" i="13" s="1"/>
  <c r="N5433" i="13"/>
  <c r="M5436" i="14"/>
  <c r="K5269" i="14" l="1"/>
  <c r="L5269" i="14" s="1"/>
  <c r="I5270" i="14" s="1"/>
  <c r="N5434" i="13"/>
  <c r="J5433" i="13" a="1"/>
  <c r="J5433" i="13" s="1"/>
  <c r="M5437" i="14"/>
  <c r="K5247" i="13"/>
  <c r="L5247" i="13" s="1"/>
  <c r="I5248" i="13" s="1"/>
  <c r="M5436" i="13"/>
  <c r="J5432" i="14" a="1"/>
  <c r="J5432" i="14" s="1"/>
  <c r="N5433" i="14"/>
  <c r="K5248" i="13" l="1"/>
  <c r="L5248" i="13" s="1"/>
  <c r="I5249" i="13" s="1"/>
  <c r="K5270" i="14"/>
  <c r="L5270" i="14" s="1"/>
  <c r="I5271" i="14" s="1"/>
  <c r="N5434" i="14"/>
  <c r="J5433" i="14" a="1"/>
  <c r="J5433" i="14" s="1"/>
  <c r="J5434" i="13" a="1"/>
  <c r="J5434" i="13" s="1"/>
  <c r="N5435" i="13"/>
  <c r="M5437" i="13"/>
  <c r="M5438" i="14"/>
  <c r="K5249" i="13" l="1"/>
  <c r="L5249" i="13" s="1"/>
  <c r="I5250" i="13" s="1"/>
  <c r="K5271" i="14"/>
  <c r="L5271" i="14" s="1"/>
  <c r="I5272" i="14" s="1"/>
  <c r="M5438" i="13"/>
  <c r="M5439" i="14"/>
  <c r="N5436" i="13"/>
  <c r="J5435" i="13" a="1"/>
  <c r="J5435" i="13" s="1"/>
  <c r="N5435" i="14"/>
  <c r="J5434" i="14" a="1"/>
  <c r="J5434" i="14" s="1"/>
  <c r="K5250" i="13" l="1"/>
  <c r="L5250" i="13" s="1"/>
  <c r="I5251" i="13" s="1"/>
  <c r="N5436" i="14"/>
  <c r="J5435" i="14" a="1"/>
  <c r="J5435" i="14" s="1"/>
  <c r="M5440" i="14"/>
  <c r="K5272" i="14"/>
  <c r="L5272" i="14" s="1"/>
  <c r="I5273" i="14" s="1"/>
  <c r="M5439" i="13"/>
  <c r="J5436" i="13" a="1"/>
  <c r="J5436" i="13" s="1"/>
  <c r="N5437" i="13"/>
  <c r="K5273" i="14" l="1"/>
  <c r="L5273" i="14" s="1"/>
  <c r="I5274" i="14" s="1"/>
  <c r="K5251" i="13"/>
  <c r="L5251" i="13" s="1"/>
  <c r="I5252" i="13" s="1"/>
  <c r="N5438" i="13"/>
  <c r="J5437" i="13" a="1"/>
  <c r="J5437" i="13" s="1"/>
  <c r="J5436" i="14" a="1"/>
  <c r="J5436" i="14" s="1"/>
  <c r="N5437" i="14"/>
  <c r="M5441" i="14"/>
  <c r="M5440" i="13"/>
  <c r="K5274" i="14" l="1"/>
  <c r="L5274" i="14" s="1"/>
  <c r="I5275" i="14" s="1"/>
  <c r="M5441" i="13"/>
  <c r="N5438" i="14"/>
  <c r="J5437" i="14" a="1"/>
  <c r="J5437" i="14" s="1"/>
  <c r="K5252" i="13"/>
  <c r="L5252" i="13" s="1"/>
  <c r="I5253" i="13" s="1"/>
  <c r="M5442" i="14"/>
  <c r="J5438" i="13" a="1"/>
  <c r="J5438" i="13" s="1"/>
  <c r="N5439" i="13"/>
  <c r="K5275" i="14" l="1"/>
  <c r="L5275" i="14" s="1"/>
  <c r="I5276" i="14" s="1"/>
  <c r="N5440" i="13"/>
  <c r="J5439" i="13" a="1"/>
  <c r="J5439" i="13" s="1"/>
  <c r="K5253" i="13"/>
  <c r="L5253" i="13" s="1"/>
  <c r="I5254" i="13" s="1"/>
  <c r="M5442" i="13"/>
  <c r="M5443" i="14"/>
  <c r="N5439" i="14"/>
  <c r="J5438" i="14" a="1"/>
  <c r="J5438" i="14" s="1"/>
  <c r="K5254" i="13" l="1"/>
  <c r="L5254" i="13" s="1"/>
  <c r="I5255" i="13" s="1"/>
  <c r="K5276" i="14"/>
  <c r="L5276" i="14" s="1"/>
  <c r="I5277" i="14" s="1"/>
  <c r="J5440" i="13" a="1"/>
  <c r="J5440" i="13" s="1"/>
  <c r="N5441" i="13"/>
  <c r="N5440" i="14"/>
  <c r="J5439" i="14" a="1"/>
  <c r="J5439" i="14" s="1"/>
  <c r="M5443" i="13"/>
  <c r="M5444" i="14"/>
  <c r="K5277" i="14" l="1"/>
  <c r="L5277" i="14" s="1"/>
  <c r="I5278" i="14" s="1"/>
  <c r="K5255" i="13"/>
  <c r="L5255" i="13" s="1"/>
  <c r="I5256" i="13" s="1"/>
  <c r="J5440" i="14" a="1"/>
  <c r="J5440" i="14" s="1"/>
  <c r="N5441" i="14"/>
  <c r="N5442" i="13"/>
  <c r="J5441" i="13" a="1"/>
  <c r="J5441" i="13" s="1"/>
  <c r="M5445" i="14"/>
  <c r="M5444" i="13"/>
  <c r="K5278" i="14" l="1"/>
  <c r="L5278" i="14" s="1"/>
  <c r="I5279" i="14" s="1"/>
  <c r="K5256" i="13"/>
  <c r="L5256" i="13" s="1"/>
  <c r="I5257" i="13" s="1"/>
  <c r="M5446" i="14"/>
  <c r="M5445" i="13"/>
  <c r="J5442" i="13" a="1"/>
  <c r="J5442" i="13" s="1"/>
  <c r="N5443" i="13"/>
  <c r="N5442" i="14"/>
  <c r="J5441" i="14" a="1"/>
  <c r="J5441" i="14" s="1"/>
  <c r="K5257" i="13" l="1"/>
  <c r="L5257" i="13" s="1"/>
  <c r="I5258" i="13" s="1"/>
  <c r="K5279" i="14"/>
  <c r="L5279" i="14" s="1"/>
  <c r="I5280" i="14" s="1"/>
  <c r="N5443" i="14"/>
  <c r="J5442" i="14" a="1"/>
  <c r="J5442" i="14" s="1"/>
  <c r="M5446" i="13"/>
  <c r="N5444" i="13"/>
  <c r="J5443" i="13" a="1"/>
  <c r="J5443" i="13" s="1"/>
  <c r="M5447" i="14"/>
  <c r="K5258" i="13" l="1"/>
  <c r="L5258" i="13" s="1"/>
  <c r="I5259" i="13" s="1"/>
  <c r="K5280" i="14"/>
  <c r="L5280" i="14" s="1"/>
  <c r="I5281" i="14" s="1"/>
  <c r="M5447" i="13"/>
  <c r="M5448" i="14"/>
  <c r="J5444" i="13" a="1"/>
  <c r="J5444" i="13" s="1"/>
  <c r="N5445" i="13"/>
  <c r="N5444" i="14"/>
  <c r="J5443" i="14" a="1"/>
  <c r="J5443" i="14" s="1"/>
  <c r="K5281" i="14" l="1"/>
  <c r="L5281" i="14" s="1"/>
  <c r="I5282" i="14" s="1"/>
  <c r="K5259" i="13"/>
  <c r="L5259" i="13" s="1"/>
  <c r="I5260" i="13" s="1"/>
  <c r="J5444" i="14" a="1"/>
  <c r="J5444" i="14" s="1"/>
  <c r="N5445" i="14"/>
  <c r="M5449" i="14"/>
  <c r="N5446" i="13"/>
  <c r="J5445" i="13" a="1"/>
  <c r="J5445" i="13" s="1"/>
  <c r="M5448" i="13"/>
  <c r="K5282" i="14" l="1"/>
  <c r="L5282" i="14" s="1"/>
  <c r="I5283" i="14" s="1"/>
  <c r="J5446" i="13" a="1"/>
  <c r="J5446" i="13" s="1"/>
  <c r="N5447" i="13"/>
  <c r="M5449" i="13"/>
  <c r="M5450" i="14"/>
  <c r="K5260" i="13"/>
  <c r="L5260" i="13" s="1"/>
  <c r="I5261" i="13" s="1"/>
  <c r="N5446" i="14"/>
  <c r="J5445" i="14" a="1"/>
  <c r="J5445" i="14" s="1"/>
  <c r="K5261" i="13" l="1"/>
  <c r="L5261" i="13" s="1"/>
  <c r="I5262" i="13" s="1"/>
  <c r="K5283" i="14"/>
  <c r="L5283" i="14" s="1"/>
  <c r="I5284" i="14" s="1"/>
  <c r="M5451" i="14"/>
  <c r="N5448" i="13"/>
  <c r="J5447" i="13" a="1"/>
  <c r="J5447" i="13" s="1"/>
  <c r="N5447" i="14"/>
  <c r="J5446" i="14" a="1"/>
  <c r="J5446" i="14" s="1"/>
  <c r="M5450" i="13"/>
  <c r="K5262" i="13" l="1"/>
  <c r="L5262" i="13" s="1"/>
  <c r="I5263" i="13" s="1"/>
  <c r="J5448" i="13" a="1"/>
  <c r="J5448" i="13" s="1"/>
  <c r="N5449" i="13"/>
  <c r="M5451" i="13"/>
  <c r="K5284" i="14"/>
  <c r="L5284" i="14" s="1"/>
  <c r="I5285" i="14" s="1"/>
  <c r="N5448" i="14"/>
  <c r="J5447" i="14" a="1"/>
  <c r="J5447" i="14" s="1"/>
  <c r="M5452" i="14"/>
  <c r="K5285" i="14" l="1"/>
  <c r="L5285" i="14" s="1"/>
  <c r="I5286" i="14" s="1"/>
  <c r="K5263" i="13"/>
  <c r="L5263" i="13" s="1"/>
  <c r="I5264" i="13" s="1"/>
  <c r="N5450" i="13"/>
  <c r="J5449" i="13" a="1"/>
  <c r="J5449" i="13" s="1"/>
  <c r="M5453" i="14"/>
  <c r="J5448" i="14" a="1"/>
  <c r="J5448" i="14" s="1"/>
  <c r="N5449" i="14"/>
  <c r="M5452" i="13"/>
  <c r="K5264" i="13" l="1"/>
  <c r="L5264" i="13" s="1"/>
  <c r="I5265" i="13" s="1"/>
  <c r="K5286" i="14"/>
  <c r="L5286" i="14" s="1"/>
  <c r="I5287" i="14" s="1"/>
  <c r="N5450" i="14"/>
  <c r="J5449" i="14" a="1"/>
  <c r="J5449" i="14" s="1"/>
  <c r="M5454" i="14"/>
  <c r="M5453" i="13"/>
  <c r="J5450" i="13" a="1"/>
  <c r="J5450" i="13" s="1"/>
  <c r="N5451" i="13"/>
  <c r="K5287" i="14" l="1"/>
  <c r="L5287" i="14" s="1"/>
  <c r="I5288" i="14" s="1"/>
  <c r="N5452" i="13"/>
  <c r="J5451" i="13" a="1"/>
  <c r="J5451" i="13" s="1"/>
  <c r="M5455" i="14"/>
  <c r="M5454" i="13"/>
  <c r="N5451" i="14"/>
  <c r="J5450" i="14" a="1"/>
  <c r="J5450" i="14" s="1"/>
  <c r="K5265" i="13"/>
  <c r="L5265" i="13" s="1"/>
  <c r="I5266" i="13" s="1"/>
  <c r="K5266" i="13" l="1"/>
  <c r="L5266" i="13" s="1"/>
  <c r="I5267" i="13" s="1"/>
  <c r="K5288" i="14"/>
  <c r="L5288" i="14" s="1"/>
  <c r="I5289" i="14" s="1"/>
  <c r="M5455" i="13"/>
  <c r="J5452" i="13" a="1"/>
  <c r="J5452" i="13" s="1"/>
  <c r="N5453" i="13"/>
  <c r="N5452" i="14"/>
  <c r="J5451" i="14" a="1"/>
  <c r="J5451" i="14" s="1"/>
  <c r="M5456" i="14"/>
  <c r="K5267" i="13" l="1"/>
  <c r="L5267" i="13" s="1"/>
  <c r="I5268" i="13" s="1"/>
  <c r="M5457" i="14"/>
  <c r="N5454" i="13"/>
  <c r="J5453" i="13" a="1"/>
  <c r="J5453" i="13" s="1"/>
  <c r="K5289" i="14"/>
  <c r="L5289" i="14" s="1"/>
  <c r="I5290" i="14" s="1"/>
  <c r="J5452" i="14" a="1"/>
  <c r="J5452" i="14" s="1"/>
  <c r="N5453" i="14"/>
  <c r="M5456" i="13"/>
  <c r="K5268" i="13" l="1"/>
  <c r="L5268" i="13" s="1"/>
  <c r="I5269" i="13" s="1"/>
  <c r="M5457" i="13"/>
  <c r="M5458" i="14"/>
  <c r="N5454" i="14"/>
  <c r="J5453" i="14" a="1"/>
  <c r="J5453" i="14" s="1"/>
  <c r="K5290" i="14"/>
  <c r="L5290" i="14" s="1"/>
  <c r="I5291" i="14" s="1"/>
  <c r="J5454" i="13" a="1"/>
  <c r="J5454" i="13" s="1"/>
  <c r="N5455" i="13"/>
  <c r="K5291" i="14" l="1"/>
  <c r="L5291" i="14" s="1"/>
  <c r="I5292" i="14" s="1"/>
  <c r="K5269" i="13"/>
  <c r="L5269" i="13" s="1"/>
  <c r="I5270" i="13" s="1"/>
  <c r="J5454" i="14" a="1"/>
  <c r="J5454" i="14" s="1"/>
  <c r="N5455" i="14"/>
  <c r="M5458" i="13"/>
  <c r="N5456" i="13"/>
  <c r="J5455" i="13" a="1"/>
  <c r="J5455" i="13" s="1"/>
  <c r="M5459" i="14"/>
  <c r="K5292" i="14" l="1"/>
  <c r="L5292" i="14" s="1"/>
  <c r="I5293" i="14" s="1"/>
  <c r="N5456" i="14"/>
  <c r="J5455" i="14" a="1"/>
  <c r="J5455" i="14" s="1"/>
  <c r="M5459" i="13"/>
  <c r="M5460" i="14"/>
  <c r="K5270" i="13"/>
  <c r="L5270" i="13" s="1"/>
  <c r="I5271" i="13" s="1"/>
  <c r="J5456" i="13" a="1"/>
  <c r="J5456" i="13" s="1"/>
  <c r="N5457" i="13"/>
  <c r="K5271" i="13" l="1"/>
  <c r="L5271" i="13" s="1"/>
  <c r="I5272" i="13" s="1"/>
  <c r="K5293" i="14"/>
  <c r="L5293" i="14" s="1"/>
  <c r="I5294" i="14" s="1"/>
  <c r="J5456" i="14" a="1"/>
  <c r="J5456" i="14" s="1"/>
  <c r="N5457" i="14"/>
  <c r="M5461" i="14"/>
  <c r="N5458" i="13"/>
  <c r="J5457" i="13" a="1"/>
  <c r="J5457" i="13" s="1"/>
  <c r="M5460" i="13"/>
  <c r="K5294" i="14" l="1"/>
  <c r="L5294" i="14" s="1"/>
  <c r="I5295" i="14" s="1"/>
  <c r="K5272" i="13"/>
  <c r="L5272" i="13" s="1"/>
  <c r="I5273" i="13" s="1"/>
  <c r="J5458" i="13" a="1"/>
  <c r="J5458" i="13" s="1"/>
  <c r="N5459" i="13"/>
  <c r="M5461" i="13"/>
  <c r="M5462" i="14"/>
  <c r="J5457" i="14" a="1"/>
  <c r="J5457" i="14" s="1"/>
  <c r="N5458" i="14"/>
  <c r="K5295" i="14" l="1"/>
  <c r="L5295" i="14" s="1"/>
  <c r="I5296" i="14" s="1"/>
  <c r="M5463" i="14"/>
  <c r="J5458" i="14" a="1"/>
  <c r="J5458" i="14" s="1"/>
  <c r="N5459" i="14"/>
  <c r="M5462" i="13"/>
  <c r="K5273" i="13"/>
  <c r="L5273" i="13" s="1"/>
  <c r="I5274" i="13" s="1"/>
  <c r="N5460" i="13"/>
  <c r="J5459" i="13" a="1"/>
  <c r="J5459" i="13" s="1"/>
  <c r="K5274" i="13" l="1"/>
  <c r="L5274" i="13" s="1"/>
  <c r="I5275" i="13" s="1"/>
  <c r="K5296" i="14"/>
  <c r="L5296" i="14" s="1"/>
  <c r="I5297" i="14" s="1"/>
  <c r="N5460" i="14"/>
  <c r="J5459" i="14" a="1"/>
  <c r="J5459" i="14" s="1"/>
  <c r="M5463" i="13"/>
  <c r="J5460" i="13" a="1"/>
  <c r="J5460" i="13" s="1"/>
  <c r="N5461" i="13"/>
  <c r="M5464" i="14"/>
  <c r="K5275" i="13" l="1"/>
  <c r="L5275" i="13" s="1"/>
  <c r="I5276" i="13" s="1"/>
  <c r="K5297" i="14"/>
  <c r="L5297" i="14" s="1"/>
  <c r="I5298" i="14" s="1"/>
  <c r="N5462" i="13"/>
  <c r="J5461" i="13" a="1"/>
  <c r="J5461" i="13" s="1"/>
  <c r="M5465" i="14"/>
  <c r="M5464" i="13"/>
  <c r="J5460" i="14" a="1"/>
  <c r="J5460" i="14" s="1"/>
  <c r="N5461" i="14"/>
  <c r="K5298" i="14" l="1"/>
  <c r="L5298" i="14" s="1"/>
  <c r="I5299" i="14" s="1"/>
  <c r="K5276" i="13"/>
  <c r="L5276" i="13" s="1"/>
  <c r="I5277" i="13" s="1"/>
  <c r="J5461" i="14" a="1"/>
  <c r="J5461" i="14" s="1"/>
  <c r="N5462" i="14"/>
  <c r="M5466" i="14"/>
  <c r="M5465" i="13"/>
  <c r="J5462" i="13" a="1"/>
  <c r="J5462" i="13" s="1"/>
  <c r="N5463" i="13"/>
  <c r="K5299" i="14" l="1"/>
  <c r="L5299" i="14" s="1"/>
  <c r="I5300" i="14" s="1"/>
  <c r="N5464" i="13"/>
  <c r="J5463" i="13" a="1"/>
  <c r="J5463" i="13" s="1"/>
  <c r="M5467" i="14"/>
  <c r="K5277" i="13"/>
  <c r="L5277" i="13" s="1"/>
  <c r="I5278" i="13" s="1"/>
  <c r="N5463" i="14"/>
  <c r="J5462" i="14" a="1"/>
  <c r="J5462" i="14" s="1"/>
  <c r="M5466" i="13"/>
  <c r="K5278" i="13" l="1"/>
  <c r="L5278" i="13" s="1"/>
  <c r="I5279" i="13" s="1"/>
  <c r="K5300" i="14"/>
  <c r="L5300" i="14" s="1"/>
  <c r="I5301" i="14" s="1"/>
  <c r="M5467" i="13"/>
  <c r="J5464" i="13" a="1"/>
  <c r="J5464" i="13" s="1"/>
  <c r="N5465" i="13"/>
  <c r="N5464" i="14"/>
  <c r="J5463" i="14" a="1"/>
  <c r="J5463" i="14" s="1"/>
  <c r="M5468" i="14"/>
  <c r="K5279" i="13" l="1"/>
  <c r="L5279" i="13" s="1"/>
  <c r="I5280" i="13" s="1"/>
  <c r="N5466" i="13"/>
  <c r="J5465" i="13" a="1"/>
  <c r="J5465" i="13" s="1"/>
  <c r="K5301" i="14"/>
  <c r="L5301" i="14" s="1"/>
  <c r="I5302" i="14" s="1"/>
  <c r="M5469" i="14"/>
  <c r="J5464" i="14" a="1"/>
  <c r="J5464" i="14" s="1"/>
  <c r="N5465" i="14"/>
  <c r="M5468" i="13"/>
  <c r="K5302" i="14" l="1"/>
  <c r="L5302" i="14" s="1"/>
  <c r="I5303" i="14" s="1"/>
  <c r="K5280" i="13"/>
  <c r="L5280" i="13" s="1"/>
  <c r="I5281" i="13" s="1"/>
  <c r="N5466" i="14"/>
  <c r="J5465" i="14" a="1"/>
  <c r="J5465" i="14" s="1"/>
  <c r="M5469" i="13"/>
  <c r="M5470" i="14"/>
  <c r="J5466" i="13" a="1"/>
  <c r="J5466" i="13" s="1"/>
  <c r="N5467" i="13"/>
  <c r="K5281" i="13" l="1"/>
  <c r="L5281" i="13" s="1"/>
  <c r="I5282" i="13" s="1"/>
  <c r="K5303" i="14"/>
  <c r="L5303" i="14" s="1"/>
  <c r="I5304" i="14" s="1"/>
  <c r="N5468" i="13"/>
  <c r="J5467" i="13" a="1"/>
  <c r="J5467" i="13" s="1"/>
  <c r="M5470" i="13"/>
  <c r="M5471" i="14"/>
  <c r="N5467" i="14"/>
  <c r="J5466" i="14" a="1"/>
  <c r="J5466" i="14" s="1"/>
  <c r="K5282" i="13" l="1"/>
  <c r="L5282" i="13" s="1"/>
  <c r="I5283" i="13" s="1"/>
  <c r="M5471" i="13"/>
  <c r="K5304" i="14"/>
  <c r="L5304" i="14" s="1"/>
  <c r="I5305" i="14" s="1"/>
  <c r="N5468" i="14"/>
  <c r="J5467" i="14" a="1"/>
  <c r="J5467" i="14" s="1"/>
  <c r="M5472" i="14"/>
  <c r="J5468" i="13" a="1"/>
  <c r="J5468" i="13" s="1"/>
  <c r="N5469" i="13"/>
  <c r="K5305" i="14" l="1"/>
  <c r="L5305" i="14" s="1"/>
  <c r="I5306" i="14" s="1"/>
  <c r="K5283" i="13"/>
  <c r="L5283" i="13" s="1"/>
  <c r="I5284" i="13" s="1"/>
  <c r="J5468" i="14" a="1"/>
  <c r="J5468" i="14" s="1"/>
  <c r="N5469" i="14"/>
  <c r="M5472" i="13"/>
  <c r="N5470" i="13"/>
  <c r="J5469" i="13" a="1"/>
  <c r="J5469" i="13" s="1"/>
  <c r="M5473" i="14"/>
  <c r="K5284" i="13" l="1"/>
  <c r="L5284" i="13" s="1"/>
  <c r="I5285" i="13" s="1"/>
  <c r="K5306" i="14"/>
  <c r="L5306" i="14" s="1"/>
  <c r="I5307" i="14" s="1"/>
  <c r="N5470" i="14"/>
  <c r="J5469" i="14" a="1"/>
  <c r="J5469" i="14" s="1"/>
  <c r="M5474" i="14"/>
  <c r="M5473" i="13"/>
  <c r="J5470" i="13" a="1"/>
  <c r="J5470" i="13" s="1"/>
  <c r="N5471" i="13"/>
  <c r="K5285" i="13" l="1"/>
  <c r="L5285" i="13" s="1"/>
  <c r="I5286" i="13" s="1"/>
  <c r="M5474" i="13"/>
  <c r="N5472" i="13"/>
  <c r="J5471" i="13" a="1"/>
  <c r="J5471" i="13" s="1"/>
  <c r="M5475" i="14"/>
  <c r="K5307" i="14"/>
  <c r="L5307" i="14" s="1"/>
  <c r="I5308" i="14" s="1"/>
  <c r="N5471" i="14"/>
  <c r="J5470" i="14" a="1"/>
  <c r="J5470" i="14" s="1"/>
  <c r="K5286" i="13" l="1"/>
  <c r="L5286" i="13" s="1"/>
  <c r="I5287" i="13" s="1"/>
  <c r="K5308" i="14"/>
  <c r="L5308" i="14" s="1"/>
  <c r="I5309" i="14" s="1"/>
  <c r="N5472" i="14"/>
  <c r="J5471" i="14" a="1"/>
  <c r="J5471" i="14" s="1"/>
  <c r="M5476" i="14"/>
  <c r="M5475" i="13"/>
  <c r="J5472" i="13" a="1"/>
  <c r="J5472" i="13" s="1"/>
  <c r="N5473" i="13"/>
  <c r="K5309" i="14" l="1"/>
  <c r="L5309" i="14" s="1"/>
  <c r="I5310" i="14" s="1"/>
  <c r="K5287" i="13"/>
  <c r="L5287" i="13" s="1"/>
  <c r="I5288" i="13" s="1"/>
  <c r="M5476" i="13"/>
  <c r="N5474" i="13"/>
  <c r="J5473" i="13" a="1"/>
  <c r="J5473" i="13" s="1"/>
  <c r="M5477" i="14"/>
  <c r="J5472" i="14" a="1"/>
  <c r="J5472" i="14" s="1"/>
  <c r="N5473" i="14"/>
  <c r="K5288" i="13" l="1"/>
  <c r="L5288" i="13" s="1"/>
  <c r="I5289" i="13" s="1"/>
  <c r="K5310" i="14"/>
  <c r="L5310" i="14" s="1"/>
  <c r="I5311" i="14" s="1"/>
  <c r="N5474" i="14"/>
  <c r="J5473" i="14" a="1"/>
  <c r="J5473" i="14" s="1"/>
  <c r="J5474" i="13" a="1"/>
  <c r="J5474" i="13" s="1"/>
  <c r="N5475" i="13"/>
  <c r="M5477" i="13"/>
  <c r="M5478" i="14"/>
  <c r="K5311" i="14" l="1"/>
  <c r="L5311" i="14" s="1"/>
  <c r="I5312" i="14" s="1"/>
  <c r="K5289" i="13"/>
  <c r="L5289" i="13" s="1"/>
  <c r="I5290" i="13" s="1"/>
  <c r="J5475" i="13" a="1"/>
  <c r="J5475" i="13" s="1"/>
  <c r="N5476" i="13"/>
  <c r="M5479" i="14"/>
  <c r="M5478" i="13"/>
  <c r="N5475" i="14"/>
  <c r="J5474" i="14" a="1"/>
  <c r="J5474" i="14" s="1"/>
  <c r="K5312" i="14" l="1"/>
  <c r="L5312" i="14" s="1"/>
  <c r="I5313" i="14" s="1"/>
  <c r="M5480" i="14"/>
  <c r="K5290" i="13"/>
  <c r="L5290" i="13" s="1"/>
  <c r="I5291" i="13" s="1"/>
  <c r="N5476" i="14"/>
  <c r="J5475" i="14" a="1"/>
  <c r="J5475" i="14" s="1"/>
  <c r="J5476" i="13" a="1"/>
  <c r="J5476" i="13" s="1"/>
  <c r="N5477" i="13"/>
  <c r="M5479" i="13"/>
  <c r="K5313" i="14" l="1"/>
  <c r="L5313" i="14" s="1"/>
  <c r="I5314" i="14" s="1"/>
  <c r="K5291" i="13"/>
  <c r="L5291" i="13" s="1"/>
  <c r="I5292" i="13" s="1"/>
  <c r="N5478" i="13"/>
  <c r="J5477" i="13" a="1"/>
  <c r="J5477" i="13" s="1"/>
  <c r="M5480" i="13"/>
  <c r="J5476" i="14" a="1"/>
  <c r="J5476" i="14" s="1"/>
  <c r="N5477" i="14"/>
  <c r="M5481" i="14"/>
  <c r="K5314" i="14" l="1"/>
  <c r="L5314" i="14" s="1"/>
  <c r="I5315" i="14" s="1"/>
  <c r="M5482" i="14"/>
  <c r="M5481" i="13"/>
  <c r="K5292" i="13"/>
  <c r="L5292" i="13" s="1"/>
  <c r="I5293" i="13" s="1"/>
  <c r="N5478" i="14"/>
  <c r="J5477" i="14" a="1"/>
  <c r="J5477" i="14" s="1"/>
  <c r="J5478" i="13" a="1"/>
  <c r="J5478" i="13" s="1"/>
  <c r="N5479" i="13"/>
  <c r="K5315" i="14" l="1"/>
  <c r="L5315" i="14" s="1"/>
  <c r="I5316" i="14" s="1"/>
  <c r="J5479" i="13" a="1"/>
  <c r="J5479" i="13" s="1"/>
  <c r="N5480" i="13"/>
  <c r="M5483" i="14"/>
  <c r="K5293" i="13"/>
  <c r="L5293" i="13" s="1"/>
  <c r="I5294" i="13" s="1"/>
  <c r="N5479" i="14"/>
  <c r="J5478" i="14" a="1"/>
  <c r="J5478" i="14" s="1"/>
  <c r="M5482" i="13"/>
  <c r="K5294" i="13" l="1"/>
  <c r="L5294" i="13" s="1"/>
  <c r="I5295" i="13" s="1"/>
  <c r="K5316" i="14"/>
  <c r="L5316" i="14" s="1"/>
  <c r="I5317" i="14" s="1"/>
  <c r="J5480" i="13" a="1"/>
  <c r="J5480" i="13" s="1"/>
  <c r="N5481" i="13"/>
  <c r="M5483" i="13"/>
  <c r="N5480" i="14"/>
  <c r="J5479" i="14" a="1"/>
  <c r="J5479" i="14" s="1"/>
  <c r="M5484" i="14"/>
  <c r="K5317" i="14" l="1"/>
  <c r="L5317" i="14" s="1"/>
  <c r="I5318" i="14" s="1"/>
  <c r="K5295" i="13"/>
  <c r="L5295" i="13" s="1"/>
  <c r="I5296" i="13" s="1"/>
  <c r="M5485" i="14"/>
  <c r="M5484" i="13"/>
  <c r="N5482" i="13"/>
  <c r="J5481" i="13" a="1"/>
  <c r="J5481" i="13" s="1"/>
  <c r="J5480" i="14" a="1"/>
  <c r="J5480" i="14" s="1"/>
  <c r="N5481" i="14"/>
  <c r="K5318" i="14" l="1"/>
  <c r="L5318" i="14" s="1"/>
  <c r="I5319" i="14" s="1"/>
  <c r="N5482" i="14"/>
  <c r="J5481" i="14" a="1"/>
  <c r="J5481" i="14" s="1"/>
  <c r="M5485" i="13"/>
  <c r="K5296" i="13"/>
  <c r="L5296" i="13" s="1"/>
  <c r="I5297" i="13" s="1"/>
  <c r="M5486" i="14"/>
  <c r="J5482" i="13" a="1"/>
  <c r="J5482" i="13" s="1"/>
  <c r="N5483" i="13"/>
  <c r="K5297" i="13" l="1"/>
  <c r="L5297" i="13" s="1"/>
  <c r="I5298" i="13" s="1"/>
  <c r="K5319" i="14"/>
  <c r="L5319" i="14" s="1"/>
  <c r="I5320" i="14" s="1"/>
  <c r="N5483" i="14"/>
  <c r="J5482" i="14" a="1"/>
  <c r="J5482" i="14" s="1"/>
  <c r="J5483" i="13" a="1"/>
  <c r="J5483" i="13" s="1"/>
  <c r="N5484" i="13"/>
  <c r="M5487" i="14"/>
  <c r="M5486" i="13"/>
  <c r="K5320" i="14" l="1"/>
  <c r="L5320" i="14" s="1"/>
  <c r="I5321" i="14" s="1"/>
  <c r="K5298" i="13"/>
  <c r="L5298" i="13" s="1"/>
  <c r="I5299" i="13" s="1"/>
  <c r="J5484" i="13" a="1"/>
  <c r="J5484" i="13" s="1"/>
  <c r="N5485" i="13"/>
  <c r="M5487" i="13"/>
  <c r="M5488" i="14"/>
  <c r="N5484" i="14"/>
  <c r="J5483" i="14" a="1"/>
  <c r="J5483" i="14" s="1"/>
  <c r="K5299" i="13" l="1"/>
  <c r="L5299" i="13" s="1"/>
  <c r="I5300" i="13" s="1"/>
  <c r="J5484" i="14" a="1"/>
  <c r="J5484" i="14" s="1"/>
  <c r="N5485" i="14"/>
  <c r="M5488" i="13"/>
  <c r="M5489" i="14"/>
  <c r="N5486" i="13"/>
  <c r="J5485" i="13" a="1"/>
  <c r="J5485" i="13" s="1"/>
  <c r="K5321" i="14"/>
  <c r="L5321" i="14" s="1"/>
  <c r="I5322" i="14" s="1"/>
  <c r="K5322" i="14" l="1"/>
  <c r="L5322" i="14" s="1"/>
  <c r="I5323" i="14" s="1"/>
  <c r="K5300" i="13"/>
  <c r="L5300" i="13" s="1"/>
  <c r="I5301" i="13" s="1"/>
  <c r="M5490" i="14"/>
  <c r="N5486" i="14"/>
  <c r="J5485" i="14" a="1"/>
  <c r="J5485" i="14" s="1"/>
  <c r="M5489" i="13"/>
  <c r="J5486" i="13" a="1"/>
  <c r="J5486" i="13" s="1"/>
  <c r="N5487" i="13"/>
  <c r="K5301" i="13" l="1"/>
  <c r="L5301" i="13" s="1"/>
  <c r="I5302" i="13" s="1"/>
  <c r="K5323" i="14"/>
  <c r="L5323" i="14" s="1"/>
  <c r="I5324" i="14" s="1"/>
  <c r="J5487" i="13" a="1"/>
  <c r="J5487" i="13" s="1"/>
  <c r="N5488" i="13"/>
  <c r="N5487" i="14"/>
  <c r="J5486" i="14" a="1"/>
  <c r="J5486" i="14" s="1"/>
  <c r="M5491" i="14"/>
  <c r="M5490" i="13"/>
  <c r="K5324" i="14" l="1"/>
  <c r="L5324" i="14" s="1"/>
  <c r="I5325" i="14" s="1"/>
  <c r="K5302" i="13"/>
  <c r="L5302" i="13" s="1"/>
  <c r="I5303" i="13" s="1"/>
  <c r="M5491" i="13"/>
  <c r="N5488" i="14"/>
  <c r="J5487" i="14" a="1"/>
  <c r="J5487" i="14" s="1"/>
  <c r="J5488" i="13" a="1"/>
  <c r="J5488" i="13" s="1"/>
  <c r="N5489" i="13"/>
  <c r="M5492" i="14"/>
  <c r="K5325" i="14" l="1"/>
  <c r="L5325" i="14" s="1"/>
  <c r="I5326" i="14" s="1"/>
  <c r="M5493" i="14"/>
  <c r="J5488" i="14" a="1"/>
  <c r="J5488" i="14" s="1"/>
  <c r="N5489" i="14"/>
  <c r="K5303" i="13"/>
  <c r="L5303" i="13" s="1"/>
  <c r="I5304" i="13" s="1"/>
  <c r="N5490" i="13"/>
  <c r="J5489" i="13" a="1"/>
  <c r="J5489" i="13" s="1"/>
  <c r="M5492" i="13"/>
  <c r="K5326" i="14" l="1"/>
  <c r="L5326" i="14" s="1"/>
  <c r="I5327" i="14" s="1"/>
  <c r="J5490" i="13" a="1"/>
  <c r="J5490" i="13" s="1"/>
  <c r="N5491" i="13"/>
  <c r="M5493" i="13"/>
  <c r="K5304" i="13"/>
  <c r="L5304" i="13" s="1"/>
  <c r="I5305" i="13" s="1"/>
  <c r="M5494" i="14"/>
  <c r="N5490" i="14"/>
  <c r="J5489" i="14" a="1"/>
  <c r="J5489" i="14" s="1"/>
  <c r="K5305" i="13" l="1"/>
  <c r="L5305" i="13" s="1"/>
  <c r="I5306" i="13" s="1"/>
  <c r="K5327" i="14"/>
  <c r="L5327" i="14" s="1"/>
  <c r="I5328" i="14" s="1"/>
  <c r="J5491" i="13" a="1"/>
  <c r="J5491" i="13" s="1"/>
  <c r="N5492" i="13"/>
  <c r="N5491" i="14"/>
  <c r="J5490" i="14" a="1"/>
  <c r="J5490" i="14" s="1"/>
  <c r="M5495" i="14"/>
  <c r="M5494" i="13"/>
  <c r="K5328" i="14" l="1"/>
  <c r="L5328" i="14" s="1"/>
  <c r="I5329" i="14" s="1"/>
  <c r="K5306" i="13"/>
  <c r="L5306" i="13" s="1"/>
  <c r="I5307" i="13" s="1"/>
  <c r="M5495" i="13"/>
  <c r="N5492" i="14"/>
  <c r="J5491" i="14" a="1"/>
  <c r="J5491" i="14" s="1"/>
  <c r="J5492" i="13" a="1"/>
  <c r="J5492" i="13" s="1"/>
  <c r="N5493" i="13"/>
  <c r="M5496" i="14"/>
  <c r="K5307" i="13" l="1"/>
  <c r="L5307" i="13" s="1"/>
  <c r="I5308" i="13" s="1"/>
  <c r="K5329" i="14"/>
  <c r="L5329" i="14" s="1"/>
  <c r="I5330" i="14" s="1"/>
  <c r="J5492" i="14" a="1"/>
  <c r="J5492" i="14" s="1"/>
  <c r="N5493" i="14"/>
  <c r="M5497" i="14"/>
  <c r="N5494" i="13"/>
  <c r="J5493" i="13" a="1"/>
  <c r="J5493" i="13" s="1"/>
  <c r="M5496" i="13"/>
  <c r="K5330" i="14" l="1"/>
  <c r="L5330" i="14" s="1"/>
  <c r="I5331" i="14" s="1"/>
  <c r="K5308" i="13"/>
  <c r="L5308" i="13" s="1"/>
  <c r="I5309" i="13" s="1"/>
  <c r="N5494" i="14"/>
  <c r="J5493" i="14" a="1"/>
  <c r="J5493" i="14" s="1"/>
  <c r="M5497" i="13"/>
  <c r="J5494" i="13" a="1"/>
  <c r="J5494" i="13" s="1"/>
  <c r="N5495" i="13"/>
  <c r="M5498" i="14"/>
  <c r="K5331" i="14" l="1"/>
  <c r="L5331" i="14" s="1"/>
  <c r="I5332" i="14" s="1"/>
  <c r="K5309" i="13"/>
  <c r="L5309" i="13" s="1"/>
  <c r="I5310" i="13" s="1"/>
  <c r="M5499" i="14"/>
  <c r="M5498" i="13"/>
  <c r="J5495" i="13" a="1"/>
  <c r="J5495" i="13" s="1"/>
  <c r="N5496" i="13"/>
  <c r="N5495" i="14"/>
  <c r="J5494" i="14" a="1"/>
  <c r="J5494" i="14" s="1"/>
  <c r="K5310" i="13" l="1"/>
  <c r="L5310" i="13" s="1"/>
  <c r="I5311" i="13" s="1"/>
  <c r="K5332" i="14"/>
  <c r="L5332" i="14" s="1"/>
  <c r="I5333" i="14" s="1"/>
  <c r="N5496" i="14"/>
  <c r="J5495" i="14" a="1"/>
  <c r="J5495" i="14" s="1"/>
  <c r="M5499" i="13"/>
  <c r="J5496" i="13" a="1"/>
  <c r="J5496" i="13" s="1"/>
  <c r="N5497" i="13"/>
  <c r="M5500" i="14"/>
  <c r="K5311" i="13" l="1"/>
  <c r="L5311" i="13" s="1"/>
  <c r="I5312" i="13" s="1"/>
  <c r="K5333" i="14"/>
  <c r="L5333" i="14" s="1"/>
  <c r="I5334" i="14" s="1"/>
  <c r="N5498" i="13"/>
  <c r="J5497" i="13" a="1"/>
  <c r="J5497" i="13" s="1"/>
  <c r="M5501" i="14"/>
  <c r="M5500" i="13"/>
  <c r="J5496" i="14" a="1"/>
  <c r="J5496" i="14" s="1"/>
  <c r="N5497" i="14"/>
  <c r="K5334" i="14" l="1"/>
  <c r="L5334" i="14" s="1"/>
  <c r="I5335" i="14" s="1"/>
  <c r="K5312" i="13"/>
  <c r="L5312" i="13" s="1"/>
  <c r="I5313" i="13" s="1"/>
  <c r="N5498" i="14"/>
  <c r="J5497" i="14" a="1"/>
  <c r="J5497" i="14" s="1"/>
  <c r="M5502" i="14"/>
  <c r="M5501" i="13"/>
  <c r="J5498" i="13" a="1"/>
  <c r="J5498" i="13" s="1"/>
  <c r="N5499" i="13"/>
  <c r="K5313" i="13" l="1"/>
  <c r="L5313" i="13" s="1"/>
  <c r="I5314" i="13" s="1"/>
  <c r="K5335" i="14"/>
  <c r="L5335" i="14" s="1"/>
  <c r="I5336" i="14" s="1"/>
  <c r="J5499" i="13" a="1"/>
  <c r="J5499" i="13" s="1"/>
  <c r="N5500" i="13"/>
  <c r="M5503" i="14"/>
  <c r="M5502" i="13"/>
  <c r="N5499" i="14"/>
  <c r="J5498" i="14" a="1"/>
  <c r="J5498" i="14" s="1"/>
  <c r="K5336" i="14" l="1"/>
  <c r="L5336" i="14" s="1"/>
  <c r="I5337" i="14" s="1"/>
  <c r="K5314" i="13"/>
  <c r="L5314" i="13" s="1"/>
  <c r="I5315" i="13" s="1"/>
  <c r="N5500" i="14"/>
  <c r="J5499" i="14" a="1"/>
  <c r="J5499" i="14" s="1"/>
  <c r="M5504" i="14"/>
  <c r="J5500" i="13" a="1"/>
  <c r="J5500" i="13" s="1"/>
  <c r="N5501" i="13"/>
  <c r="M5503" i="13"/>
  <c r="K5315" i="13" l="1"/>
  <c r="L5315" i="13" s="1"/>
  <c r="I5316" i="13" s="1"/>
  <c r="K5337" i="14"/>
  <c r="L5337" i="14" s="1"/>
  <c r="I5338" i="14" s="1"/>
  <c r="N5502" i="13"/>
  <c r="J5501" i="13" a="1"/>
  <c r="J5501" i="13" s="1"/>
  <c r="M5505" i="14"/>
  <c r="M5504" i="13"/>
  <c r="J5500" i="14" a="1"/>
  <c r="J5500" i="14" s="1"/>
  <c r="N5501" i="14"/>
  <c r="K5316" i="13" l="1"/>
  <c r="L5316" i="13" s="1"/>
  <c r="I5317" i="13" s="1"/>
  <c r="M5505" i="13"/>
  <c r="N5502" i="14"/>
  <c r="J5501" i="14" a="1"/>
  <c r="J5501" i="14" s="1"/>
  <c r="M5506" i="14"/>
  <c r="K5338" i="14"/>
  <c r="L5338" i="14" s="1"/>
  <c r="I5339" i="14" s="1"/>
  <c r="J5502" i="13" a="1"/>
  <c r="J5502" i="13" s="1"/>
  <c r="N5503" i="13"/>
  <c r="K5339" i="14" l="1"/>
  <c r="L5339" i="14" s="1"/>
  <c r="I5340" i="14" s="1"/>
  <c r="K5317" i="13"/>
  <c r="L5317" i="13" s="1"/>
  <c r="I5318" i="13" s="1"/>
  <c r="J5503" i="13" a="1"/>
  <c r="J5503" i="13" s="1"/>
  <c r="N5504" i="13"/>
  <c r="M5507" i="14"/>
  <c r="M5506" i="13"/>
  <c r="N5503" i="14"/>
  <c r="J5502" i="14" a="1"/>
  <c r="J5502" i="14" s="1"/>
  <c r="K5340" i="14" l="1"/>
  <c r="L5340" i="14" s="1"/>
  <c r="I5341" i="14" s="1"/>
  <c r="K5318" i="13"/>
  <c r="L5318" i="13" s="1"/>
  <c r="I5319" i="13" s="1"/>
  <c r="M5508" i="14"/>
  <c r="J5504" i="13" a="1"/>
  <c r="J5504" i="13" s="1"/>
  <c r="N5505" i="13"/>
  <c r="N5504" i="14"/>
  <c r="J5503" i="14" a="1"/>
  <c r="J5503" i="14" s="1"/>
  <c r="M5507" i="13"/>
  <c r="K5341" i="14" l="1"/>
  <c r="L5341" i="14" s="1"/>
  <c r="I5342" i="14" s="1"/>
  <c r="N5506" i="13"/>
  <c r="J5505" i="13" a="1"/>
  <c r="J5505" i="13" s="1"/>
  <c r="K5319" i="13"/>
  <c r="L5319" i="13" s="1"/>
  <c r="I5320" i="13" s="1"/>
  <c r="M5508" i="13"/>
  <c r="M5509" i="14"/>
  <c r="J5504" i="14" a="1"/>
  <c r="J5504" i="14" s="1"/>
  <c r="N5505" i="14"/>
  <c r="K5320" i="13" l="1"/>
  <c r="L5320" i="13" s="1"/>
  <c r="I5321" i="13" s="1"/>
  <c r="K5342" i="14"/>
  <c r="L5342" i="14" s="1"/>
  <c r="I5343" i="14" s="1"/>
  <c r="J5506" i="13" a="1"/>
  <c r="J5506" i="13" s="1"/>
  <c r="N5507" i="13"/>
  <c r="N5506" i="14"/>
  <c r="J5505" i="14" a="1"/>
  <c r="J5505" i="14" s="1"/>
  <c r="M5509" i="13"/>
  <c r="M5510" i="14"/>
  <c r="K5343" i="14" l="1"/>
  <c r="L5343" i="14" s="1"/>
  <c r="I5344" i="14" s="1"/>
  <c r="K5321" i="13"/>
  <c r="L5321" i="13" s="1"/>
  <c r="I5322" i="13" s="1"/>
  <c r="M5510" i="13"/>
  <c r="M5511" i="14"/>
  <c r="N5507" i="14"/>
  <c r="J5506" i="14" a="1"/>
  <c r="J5506" i="14" s="1"/>
  <c r="J5507" i="13" a="1"/>
  <c r="J5507" i="13" s="1"/>
  <c r="N5508" i="13"/>
  <c r="K5322" i="13" l="1"/>
  <c r="L5322" i="13" s="1"/>
  <c r="I5323" i="13" s="1"/>
  <c r="K5344" i="14"/>
  <c r="L5344" i="14" s="1"/>
  <c r="I5345" i="14" s="1"/>
  <c r="J5508" i="13" a="1"/>
  <c r="J5508" i="13" s="1"/>
  <c r="N5509" i="13"/>
  <c r="M5512" i="14"/>
  <c r="N5508" i="14"/>
  <c r="J5507" i="14" a="1"/>
  <c r="J5507" i="14" s="1"/>
  <c r="M5511" i="13"/>
  <c r="K5345" i="14" l="1"/>
  <c r="L5345" i="14" s="1"/>
  <c r="I5346" i="14" s="1"/>
  <c r="K5323" i="13"/>
  <c r="L5323" i="13" s="1"/>
  <c r="I5324" i="13" s="1"/>
  <c r="J5508" i="14" a="1"/>
  <c r="J5508" i="14" s="1"/>
  <c r="N5509" i="14"/>
  <c r="M5512" i="13"/>
  <c r="M5513" i="14"/>
  <c r="N5510" i="13"/>
  <c r="J5509" i="13" a="1"/>
  <c r="J5509" i="13" s="1"/>
  <c r="M5513" i="13" l="1"/>
  <c r="K5324" i="13"/>
  <c r="L5324" i="13" s="1"/>
  <c r="I5325" i="13" s="1"/>
  <c r="J5510" i="13" a="1"/>
  <c r="J5510" i="13" s="1"/>
  <c r="N5511" i="13"/>
  <c r="M5514" i="14"/>
  <c r="N5510" i="14"/>
  <c r="J5509" i="14" a="1"/>
  <c r="J5509" i="14" s="1"/>
  <c r="K5346" i="14"/>
  <c r="L5346" i="14" s="1"/>
  <c r="I5347" i="14" s="1"/>
  <c r="N5511" i="14" l="1"/>
  <c r="J5510" i="14" a="1"/>
  <c r="J5510" i="14" s="1"/>
  <c r="M5515" i="14"/>
  <c r="K5347" i="14"/>
  <c r="L5347" i="14" s="1"/>
  <c r="I5348" i="14" s="1"/>
  <c r="K5325" i="13"/>
  <c r="L5325" i="13" s="1"/>
  <c r="I5326" i="13" s="1"/>
  <c r="J5511" i="13" a="1"/>
  <c r="J5511" i="13" s="1"/>
  <c r="N5512" i="13"/>
  <c r="M5514" i="13"/>
  <c r="K5348" i="14" l="1"/>
  <c r="L5348" i="14" s="1"/>
  <c r="I5349" i="14" s="1"/>
  <c r="J5512" i="13" a="1"/>
  <c r="J5512" i="13" s="1"/>
  <c r="N5513" i="13"/>
  <c r="M5515" i="13"/>
  <c r="K5326" i="13"/>
  <c r="L5326" i="13" s="1"/>
  <c r="I5327" i="13" s="1"/>
  <c r="M5516" i="14"/>
  <c r="N5512" i="14"/>
  <c r="J5511" i="14" a="1"/>
  <c r="J5511" i="14" s="1"/>
  <c r="K5327" i="13" l="1"/>
  <c r="L5327" i="13" s="1"/>
  <c r="I5328" i="13" s="1"/>
  <c r="K5349" i="14"/>
  <c r="L5349" i="14" s="1"/>
  <c r="I5350" i="14" s="1"/>
  <c r="N5514" i="13"/>
  <c r="J5513" i="13" a="1"/>
  <c r="J5513" i="13" s="1"/>
  <c r="J5512" i="14" a="1"/>
  <c r="J5512" i="14" s="1"/>
  <c r="N5513" i="14"/>
  <c r="M5517" i="14"/>
  <c r="M5516" i="13"/>
  <c r="K5328" i="13" l="1"/>
  <c r="L5328" i="13" s="1"/>
  <c r="I5329" i="13" s="1"/>
  <c r="M5517" i="13"/>
  <c r="N5514" i="14"/>
  <c r="J5513" i="14" a="1"/>
  <c r="J5513" i="14" s="1"/>
  <c r="K5350" i="14"/>
  <c r="L5350" i="14" s="1"/>
  <c r="I5351" i="14" s="1"/>
  <c r="M5518" i="14"/>
  <c r="J5514" i="13" a="1"/>
  <c r="J5514" i="13" s="1"/>
  <c r="N5515" i="13"/>
  <c r="K5329" i="13" l="1"/>
  <c r="L5329" i="13" s="1"/>
  <c r="I5330" i="13" s="1"/>
  <c r="J5515" i="13" a="1"/>
  <c r="J5515" i="13" s="1"/>
  <c r="N5516" i="13"/>
  <c r="K5351" i="14"/>
  <c r="L5351" i="14" s="1"/>
  <c r="I5352" i="14" s="1"/>
  <c r="M5518" i="13"/>
  <c r="M5519" i="14"/>
  <c r="N5515" i="14"/>
  <c r="J5514" i="14" a="1"/>
  <c r="J5514" i="14" s="1"/>
  <c r="K5330" i="13" l="1"/>
  <c r="L5330" i="13" s="1"/>
  <c r="I5331" i="13" s="1"/>
  <c r="K5352" i="14"/>
  <c r="L5352" i="14" s="1"/>
  <c r="I5353" i="14" s="1"/>
  <c r="J5516" i="13" a="1"/>
  <c r="J5516" i="13" s="1"/>
  <c r="N5517" i="13"/>
  <c r="N5516" i="14"/>
  <c r="J5515" i="14" a="1"/>
  <c r="J5515" i="14" s="1"/>
  <c r="M5519" i="13"/>
  <c r="M5520" i="14"/>
  <c r="K5331" i="13" l="1"/>
  <c r="L5331" i="13" s="1"/>
  <c r="I5332" i="13" s="1"/>
  <c r="J5516" i="14" a="1"/>
  <c r="J5516" i="14" s="1"/>
  <c r="N5517" i="14"/>
  <c r="K5353" i="14"/>
  <c r="L5353" i="14" s="1"/>
  <c r="I5354" i="14" s="1"/>
  <c r="N5518" i="13"/>
  <c r="J5517" i="13" a="1"/>
  <c r="J5517" i="13" s="1"/>
  <c r="M5521" i="14"/>
  <c r="M5520" i="13"/>
  <c r="K5354" i="14" l="1"/>
  <c r="L5354" i="14" s="1"/>
  <c r="I5355" i="14" s="1"/>
  <c r="K5332" i="13"/>
  <c r="L5332" i="13" s="1"/>
  <c r="I5333" i="13" s="1"/>
  <c r="N5518" i="14"/>
  <c r="J5517" i="14" a="1"/>
  <c r="J5517" i="14" s="1"/>
  <c r="M5521" i="13"/>
  <c r="M5522" i="14"/>
  <c r="J5518" i="13" a="1"/>
  <c r="J5518" i="13" s="1"/>
  <c r="N5519" i="13"/>
  <c r="K5355" i="14" l="1"/>
  <c r="L5355" i="14" s="1"/>
  <c r="I5356" i="14" s="1"/>
  <c r="J5519" i="13" a="1"/>
  <c r="J5519" i="13" s="1"/>
  <c r="N5520" i="13"/>
  <c r="K5333" i="13"/>
  <c r="L5333" i="13" s="1"/>
  <c r="I5334" i="13" s="1"/>
  <c r="M5522" i="13"/>
  <c r="M5523" i="14"/>
  <c r="J5518" i="14" a="1"/>
  <c r="J5518" i="14" s="1"/>
  <c r="N5519" i="14"/>
  <c r="K5334" i="13" l="1"/>
  <c r="L5334" i="13" s="1"/>
  <c r="I5335" i="13" s="1"/>
  <c r="K5356" i="14"/>
  <c r="L5356" i="14" s="1"/>
  <c r="I5357" i="14" s="1"/>
  <c r="M5523" i="13"/>
  <c r="N5520" i="14"/>
  <c r="J5519" i="14" a="1"/>
  <c r="J5519" i="14" s="1"/>
  <c r="J5520" i="13" a="1"/>
  <c r="J5520" i="13" s="1"/>
  <c r="N5521" i="13"/>
  <c r="M5524" i="14"/>
  <c r="K5335" i="13" l="1"/>
  <c r="L5335" i="13" s="1"/>
  <c r="I5336" i="13" s="1"/>
  <c r="M5525" i="14"/>
  <c r="K5357" i="14"/>
  <c r="L5357" i="14" s="1"/>
  <c r="I5358" i="14" s="1"/>
  <c r="J5520" i="14" a="1"/>
  <c r="J5520" i="14" s="1"/>
  <c r="N5521" i="14"/>
  <c r="N5522" i="13"/>
  <c r="J5521" i="13" a="1"/>
  <c r="J5521" i="13" s="1"/>
  <c r="M5524" i="13"/>
  <c r="K5358" i="14" l="1"/>
  <c r="L5358" i="14" s="1"/>
  <c r="I5359" i="14" s="1"/>
  <c r="K5336" i="13"/>
  <c r="L5336" i="13" s="1"/>
  <c r="I5337" i="13" s="1"/>
  <c r="M5525" i="13"/>
  <c r="J5521" i="14" a="1"/>
  <c r="J5521" i="14" s="1"/>
  <c r="N5522" i="14"/>
  <c r="M5526" i="14"/>
  <c r="J5522" i="13" a="1"/>
  <c r="J5522" i="13" s="1"/>
  <c r="N5523" i="13"/>
  <c r="K5359" i="14" l="1"/>
  <c r="L5359" i="14" s="1"/>
  <c r="I5360" i="14" s="1"/>
  <c r="J5522" i="14" a="1"/>
  <c r="J5522" i="14" s="1"/>
  <c r="N5523" i="14"/>
  <c r="J5523" i="13" a="1"/>
  <c r="J5523" i="13" s="1"/>
  <c r="N5524" i="13"/>
  <c r="K5337" i="13"/>
  <c r="L5337" i="13" s="1"/>
  <c r="I5338" i="13" s="1"/>
  <c r="M5527" i="14"/>
  <c r="M5526" i="13"/>
  <c r="K5360" i="14" l="1"/>
  <c r="L5360" i="14" s="1"/>
  <c r="I5361" i="14" s="1"/>
  <c r="J5524" i="13" a="1"/>
  <c r="J5524" i="13" s="1"/>
  <c r="N5525" i="13"/>
  <c r="M5528" i="14"/>
  <c r="N5524" i="14"/>
  <c r="J5523" i="14" a="1"/>
  <c r="J5523" i="14" s="1"/>
  <c r="K5338" i="13"/>
  <c r="L5338" i="13" s="1"/>
  <c r="I5339" i="13" s="1"/>
  <c r="M5527" i="13"/>
  <c r="K5339" i="13" l="1"/>
  <c r="L5339" i="13" s="1"/>
  <c r="I5340" i="13" s="1"/>
  <c r="K5361" i="14"/>
  <c r="L5361" i="14" s="1"/>
  <c r="I5362" i="14" s="1"/>
  <c r="N5526" i="13"/>
  <c r="J5525" i="13" a="1"/>
  <c r="J5525" i="13" s="1"/>
  <c r="M5528" i="13"/>
  <c r="J5524" i="14" a="1"/>
  <c r="J5524" i="14" s="1"/>
  <c r="N5525" i="14"/>
  <c r="M5529" i="14"/>
  <c r="K5340" i="13" l="1"/>
  <c r="L5340" i="13" s="1"/>
  <c r="I5341" i="13" s="1"/>
  <c r="K5362" i="14"/>
  <c r="L5362" i="14" s="1"/>
  <c r="I5363" i="14" s="1"/>
  <c r="J5526" i="13" a="1"/>
  <c r="J5526" i="13" s="1"/>
  <c r="N5527" i="13"/>
  <c r="M5529" i="13"/>
  <c r="M5530" i="14"/>
  <c r="J5525" i="14" a="1"/>
  <c r="J5525" i="14" s="1"/>
  <c r="N5526" i="14"/>
  <c r="K5363" i="14" l="1"/>
  <c r="L5363" i="14" s="1"/>
  <c r="I5364" i="14" s="1"/>
  <c r="K5341" i="13"/>
  <c r="L5341" i="13" s="1"/>
  <c r="I5342" i="13" s="1"/>
  <c r="N5527" i="14"/>
  <c r="J5526" i="14" a="1"/>
  <c r="J5526" i="14" s="1"/>
  <c r="M5530" i="13"/>
  <c r="M5531" i="14"/>
  <c r="J5527" i="13" a="1"/>
  <c r="J5527" i="13" s="1"/>
  <c r="N5528" i="13"/>
  <c r="K5364" i="14" l="1"/>
  <c r="L5364" i="14" s="1"/>
  <c r="I5365" i="14" s="1"/>
  <c r="J5528" i="13" a="1"/>
  <c r="J5528" i="13" s="1"/>
  <c r="N5529" i="13"/>
  <c r="K5342" i="13"/>
  <c r="L5342" i="13" s="1"/>
  <c r="I5343" i="13" s="1"/>
  <c r="M5531" i="13"/>
  <c r="M5532" i="14"/>
  <c r="N5528" i="14"/>
  <c r="J5527" i="14" a="1"/>
  <c r="J5527" i="14" s="1"/>
  <c r="K5343" i="13" l="1"/>
  <c r="L5343" i="13" s="1"/>
  <c r="I5344" i="13" s="1"/>
  <c r="K5365" i="14"/>
  <c r="L5365" i="14" s="1"/>
  <c r="I5366" i="14" s="1"/>
  <c r="N5530" i="13"/>
  <c r="J5529" i="13" a="1"/>
  <c r="J5529" i="13" s="1"/>
  <c r="M5532" i="13"/>
  <c r="J5528" i="14" a="1"/>
  <c r="J5528" i="14" s="1"/>
  <c r="N5529" i="14"/>
  <c r="M5533" i="14"/>
  <c r="K5344" i="13" l="1"/>
  <c r="L5344" i="13" s="1"/>
  <c r="I5345" i="13" s="1"/>
  <c r="N5530" i="14"/>
  <c r="J5529" i="14" a="1"/>
  <c r="J5529" i="14" s="1"/>
  <c r="M5534" i="14"/>
  <c r="M5533" i="13"/>
  <c r="K5366" i="14"/>
  <c r="L5366" i="14" s="1"/>
  <c r="I5367" i="14" s="1"/>
  <c r="J5530" i="13" a="1"/>
  <c r="J5530" i="13" s="1"/>
  <c r="N5531" i="13"/>
  <c r="K5367" i="14" l="1"/>
  <c r="L5367" i="14" s="1"/>
  <c r="I5368" i="14" s="1"/>
  <c r="K5345" i="13"/>
  <c r="L5345" i="13" s="1"/>
  <c r="I5346" i="13" s="1"/>
  <c r="J5531" i="13" a="1"/>
  <c r="J5531" i="13" s="1"/>
  <c r="N5532" i="13"/>
  <c r="N5531" i="14"/>
  <c r="J5530" i="14" a="1"/>
  <c r="J5530" i="14" s="1"/>
  <c r="M5534" i="13"/>
  <c r="M5535" i="14"/>
  <c r="K5346" i="13" l="1"/>
  <c r="L5346" i="13" s="1"/>
  <c r="I5347" i="13" s="1"/>
  <c r="K5368" i="14"/>
  <c r="L5368" i="14" s="1"/>
  <c r="I5369" i="14" s="1"/>
  <c r="M5535" i="13"/>
  <c r="M5536" i="14"/>
  <c r="N5532" i="14"/>
  <c r="J5531" i="14" a="1"/>
  <c r="J5531" i="14" s="1"/>
  <c r="J5532" i="13" a="1"/>
  <c r="J5532" i="13" s="1"/>
  <c r="N5533" i="13"/>
  <c r="K5347" i="13" l="1"/>
  <c r="L5347" i="13" s="1"/>
  <c r="I5348" i="13" s="1"/>
  <c r="N5534" i="13"/>
  <c r="J5533" i="13" a="1"/>
  <c r="J5533" i="13" s="1"/>
  <c r="M5537" i="14"/>
  <c r="K5369" i="14"/>
  <c r="L5369" i="14" s="1"/>
  <c r="I5370" i="14" s="1"/>
  <c r="J5532" i="14" a="1"/>
  <c r="J5532" i="14" s="1"/>
  <c r="N5533" i="14"/>
  <c r="M5536" i="13"/>
  <c r="K5370" i="14" l="1"/>
  <c r="L5370" i="14" s="1"/>
  <c r="I5371" i="14" s="1"/>
  <c r="K5348" i="13"/>
  <c r="L5348" i="13" s="1"/>
  <c r="I5349" i="13" s="1"/>
  <c r="J5534" i="13" a="1"/>
  <c r="J5534" i="13" s="1"/>
  <c r="N5535" i="13"/>
  <c r="M5537" i="13"/>
  <c r="N5534" i="14"/>
  <c r="J5533" i="14" a="1"/>
  <c r="J5533" i="14" s="1"/>
  <c r="M5538" i="14"/>
  <c r="K5349" i="13" l="1"/>
  <c r="L5349" i="13" s="1"/>
  <c r="I5350" i="13" s="1"/>
  <c r="K5371" i="14"/>
  <c r="L5371" i="14" s="1"/>
  <c r="I5372" i="14" s="1"/>
  <c r="M5539" i="14"/>
  <c r="M5538" i="13"/>
  <c r="J5535" i="13" a="1"/>
  <c r="J5535" i="13" s="1"/>
  <c r="N5536" i="13"/>
  <c r="N5535" i="14"/>
  <c r="J5534" i="14" a="1"/>
  <c r="J5534" i="14" s="1"/>
  <c r="K5372" i="14" l="1"/>
  <c r="L5372" i="14" s="1"/>
  <c r="I5373" i="14" s="1"/>
  <c r="K5350" i="13"/>
  <c r="L5350" i="13" s="1"/>
  <c r="I5351" i="13" s="1"/>
  <c r="J5536" i="13" a="1"/>
  <c r="J5536" i="13" s="1"/>
  <c r="N5537" i="13"/>
  <c r="N5536" i="14"/>
  <c r="J5535" i="14" a="1"/>
  <c r="J5535" i="14" s="1"/>
  <c r="M5539" i="13"/>
  <c r="M5540" i="14"/>
  <c r="K5351" i="13" l="1"/>
  <c r="L5351" i="13" s="1"/>
  <c r="I5352" i="13" s="1"/>
  <c r="K5373" i="14"/>
  <c r="L5373" i="14" s="1"/>
  <c r="I5374" i="14" s="1"/>
  <c r="N5538" i="13"/>
  <c r="J5537" i="13" a="1"/>
  <c r="J5537" i="13" s="1"/>
  <c r="M5540" i="13"/>
  <c r="M5541" i="14"/>
  <c r="J5536" i="14" a="1"/>
  <c r="J5536" i="14" s="1"/>
  <c r="N5537" i="14"/>
  <c r="K5374" i="14" l="1"/>
  <c r="L5374" i="14" s="1"/>
  <c r="I5375" i="14" s="1"/>
  <c r="K5352" i="13"/>
  <c r="L5352" i="13" s="1"/>
  <c r="I5353" i="13" s="1"/>
  <c r="N5538" i="14"/>
  <c r="J5537" i="14" a="1"/>
  <c r="J5537" i="14" s="1"/>
  <c r="M5541" i="13"/>
  <c r="M5542" i="14"/>
  <c r="J5538" i="13" a="1"/>
  <c r="J5538" i="13" s="1"/>
  <c r="N5539" i="13"/>
  <c r="K5375" i="14" l="1"/>
  <c r="L5375" i="14" s="1"/>
  <c r="I5376" i="14" s="1"/>
  <c r="J5539" i="13" a="1"/>
  <c r="J5539" i="13" s="1"/>
  <c r="N5540" i="13"/>
  <c r="M5542" i="13"/>
  <c r="K5353" i="13"/>
  <c r="L5353" i="13" s="1"/>
  <c r="I5354" i="13" s="1"/>
  <c r="M5543" i="14"/>
  <c r="N5539" i="14"/>
  <c r="J5538" i="14" a="1"/>
  <c r="J5538" i="14" s="1"/>
  <c r="K5376" i="14" l="1"/>
  <c r="L5376" i="14" s="1"/>
  <c r="I5377" i="14" s="1"/>
  <c r="J5540" i="13" a="1"/>
  <c r="J5540" i="13" s="1"/>
  <c r="N5541" i="13"/>
  <c r="N5540" i="14"/>
  <c r="J5539" i="14" a="1"/>
  <c r="J5539" i="14" s="1"/>
  <c r="K5354" i="13"/>
  <c r="L5354" i="13" s="1"/>
  <c r="I5355" i="13" s="1"/>
  <c r="M5544" i="14"/>
  <c r="M5543" i="13"/>
  <c r="K5355" i="13" l="1"/>
  <c r="L5355" i="13" s="1"/>
  <c r="I5356" i="13" s="1"/>
  <c r="K5377" i="14"/>
  <c r="L5377" i="14" s="1"/>
  <c r="I5378" i="14" s="1"/>
  <c r="N5542" i="13"/>
  <c r="J5541" i="13" a="1"/>
  <c r="J5541" i="13" s="1"/>
  <c r="M5544" i="13"/>
  <c r="M5545" i="14"/>
  <c r="J5540" i="14" a="1"/>
  <c r="J5540" i="14" s="1"/>
  <c r="N5541" i="14"/>
  <c r="K5378" i="14" l="1"/>
  <c r="L5378" i="14" s="1"/>
  <c r="I5379" i="14" s="1"/>
  <c r="K5356" i="13"/>
  <c r="L5356" i="13" s="1"/>
  <c r="I5357" i="13" s="1"/>
  <c r="N5542" i="14"/>
  <c r="J5541" i="14" a="1"/>
  <c r="J5541" i="14" s="1"/>
  <c r="M5545" i="13"/>
  <c r="M5546" i="14"/>
  <c r="J5542" i="13" a="1"/>
  <c r="J5542" i="13" s="1"/>
  <c r="N5543" i="13"/>
  <c r="K5379" i="14" l="1"/>
  <c r="L5379" i="14" s="1"/>
  <c r="I5380" i="14" s="1"/>
  <c r="J5543" i="13" a="1"/>
  <c r="J5543" i="13" s="1"/>
  <c r="N5544" i="13"/>
  <c r="M5546" i="13"/>
  <c r="K5357" i="13"/>
  <c r="L5357" i="13" s="1"/>
  <c r="I5358" i="13" s="1"/>
  <c r="M5547" i="14"/>
  <c r="N5543" i="14"/>
  <c r="J5542" i="14" a="1"/>
  <c r="J5542" i="14" s="1"/>
  <c r="K5380" i="14" l="1"/>
  <c r="L5380" i="14" s="1"/>
  <c r="I5381" i="14" s="1"/>
  <c r="K5358" i="13"/>
  <c r="L5358" i="13" s="1"/>
  <c r="I5359" i="13" s="1"/>
  <c r="J5544" i="13" a="1"/>
  <c r="J5544" i="13" s="1"/>
  <c r="N5545" i="13"/>
  <c r="N5544" i="14"/>
  <c r="J5543" i="14" a="1"/>
  <c r="J5543" i="14" s="1"/>
  <c r="M5548" i="14"/>
  <c r="M5547" i="13"/>
  <c r="K5359" i="13" l="1"/>
  <c r="L5359" i="13" s="1"/>
  <c r="I5360" i="13" s="1"/>
  <c r="K5381" i="14"/>
  <c r="L5381" i="14" s="1"/>
  <c r="I5382" i="14" s="1"/>
  <c r="M5548" i="13"/>
  <c r="J5544" i="14" a="1"/>
  <c r="J5544" i="14" s="1"/>
  <c r="N5545" i="14"/>
  <c r="M5549" i="14"/>
  <c r="N5546" i="13"/>
  <c r="J5545" i="13" a="1"/>
  <c r="J5545" i="13" s="1"/>
  <c r="K5382" i="14" l="1"/>
  <c r="L5382" i="14" s="1"/>
  <c r="I5383" i="14" s="1"/>
  <c r="K5360" i="13"/>
  <c r="L5360" i="13" s="1"/>
  <c r="I5361" i="13" s="1"/>
  <c r="N5546" i="14"/>
  <c r="J5545" i="14" a="1"/>
  <c r="J5545" i="14" s="1"/>
  <c r="M5549" i="13"/>
  <c r="J5546" i="13" a="1"/>
  <c r="J5546" i="13" s="1"/>
  <c r="N5547" i="13"/>
  <c r="M5550" i="14"/>
  <c r="K5361" i="13" l="1"/>
  <c r="L5361" i="13" s="1"/>
  <c r="I5362" i="13" s="1"/>
  <c r="K5383" i="14"/>
  <c r="L5383" i="14" s="1"/>
  <c r="I5384" i="14" s="1"/>
  <c r="M5550" i="13"/>
  <c r="J5547" i="13" a="1"/>
  <c r="J5547" i="13" s="1"/>
  <c r="N5548" i="13"/>
  <c r="M5551" i="14"/>
  <c r="N5547" i="14"/>
  <c r="J5546" i="14" a="1"/>
  <c r="J5546" i="14" s="1"/>
  <c r="J5548" i="13" l="1" a="1"/>
  <c r="J5548" i="13" s="1"/>
  <c r="N5549" i="13"/>
  <c r="N5548" i="14"/>
  <c r="J5547" i="14" a="1"/>
  <c r="J5547" i="14" s="1"/>
  <c r="K5384" i="14"/>
  <c r="L5384" i="14" s="1"/>
  <c r="I5385" i="14" s="1"/>
  <c r="M5552" i="14"/>
  <c r="M5551" i="13"/>
  <c r="K5362" i="13"/>
  <c r="L5362" i="13" s="1"/>
  <c r="I5363" i="13" s="1"/>
  <c r="K5363" i="13" l="1"/>
  <c r="L5363" i="13" s="1"/>
  <c r="I5364" i="13" s="1"/>
  <c r="M5553" i="14"/>
  <c r="J5548" i="14" a="1"/>
  <c r="J5548" i="14" s="1"/>
  <c r="N5549" i="14"/>
  <c r="M5552" i="13"/>
  <c r="N5550" i="13"/>
  <c r="J5549" i="13" a="1"/>
  <c r="J5549" i="13" s="1"/>
  <c r="K5385" i="14"/>
  <c r="L5385" i="14" s="1"/>
  <c r="I5386" i="14" s="1"/>
  <c r="K5364" i="13" l="1"/>
  <c r="L5364" i="13" s="1"/>
  <c r="I5365" i="13" s="1"/>
  <c r="J5550" i="13" a="1"/>
  <c r="J5550" i="13" s="1"/>
  <c r="N5551" i="13"/>
  <c r="M5553" i="13"/>
  <c r="M5554" i="14"/>
  <c r="K5386" i="14"/>
  <c r="L5386" i="14" s="1"/>
  <c r="I5387" i="14" s="1"/>
  <c r="N5550" i="14"/>
  <c r="J5549" i="14" a="1"/>
  <c r="J5549" i="14" s="1"/>
  <c r="K5387" i="14" l="1"/>
  <c r="L5387" i="14" s="1"/>
  <c r="I5388" i="14" s="1"/>
  <c r="K5365" i="13"/>
  <c r="L5365" i="13" s="1"/>
  <c r="I5366" i="13" s="1"/>
  <c r="M5555" i="14"/>
  <c r="J5551" i="13" a="1"/>
  <c r="J5551" i="13" s="1"/>
  <c r="N5552" i="13"/>
  <c r="N5551" i="14"/>
  <c r="J5550" i="14" a="1"/>
  <c r="J5550" i="14" s="1"/>
  <c r="M5554" i="13"/>
  <c r="K5366" i="13" l="1"/>
  <c r="L5366" i="13" s="1"/>
  <c r="I5367" i="13" s="1"/>
  <c r="K5388" i="14"/>
  <c r="L5388" i="14" s="1"/>
  <c r="I5389" i="14" s="1"/>
  <c r="J5552" i="13" a="1"/>
  <c r="J5552" i="13" s="1"/>
  <c r="N5553" i="13"/>
  <c r="M5555" i="13"/>
  <c r="N5552" i="14"/>
  <c r="J5551" i="14" a="1"/>
  <c r="J5551" i="14" s="1"/>
  <c r="M5556" i="14"/>
  <c r="K5389" i="14" l="1"/>
  <c r="L5389" i="14" s="1"/>
  <c r="I5390" i="14" s="1"/>
  <c r="K5367" i="13"/>
  <c r="L5367" i="13" s="1"/>
  <c r="I5368" i="13" s="1"/>
  <c r="N5554" i="13"/>
  <c r="J5553" i="13" a="1"/>
  <c r="J5553" i="13" s="1"/>
  <c r="M5557" i="14"/>
  <c r="M5556" i="13"/>
  <c r="J5552" i="14" a="1"/>
  <c r="J5552" i="14" s="1"/>
  <c r="N5553" i="14"/>
  <c r="K5368" i="13" l="1"/>
  <c r="L5368" i="13" s="1"/>
  <c r="I5369" i="13" s="1"/>
  <c r="K5390" i="14"/>
  <c r="L5390" i="14" s="1"/>
  <c r="I5391" i="14" s="1"/>
  <c r="N5554" i="14"/>
  <c r="J5553" i="14" a="1"/>
  <c r="J5553" i="14" s="1"/>
  <c r="M5558" i="14"/>
  <c r="M5557" i="13"/>
  <c r="J5554" i="13" a="1"/>
  <c r="J5554" i="13" s="1"/>
  <c r="N5555" i="13"/>
  <c r="K5391" i="14" l="1"/>
  <c r="L5391" i="14" s="1"/>
  <c r="I5392" i="14" s="1"/>
  <c r="K5369" i="13"/>
  <c r="L5369" i="13" s="1"/>
  <c r="I5370" i="13" s="1"/>
  <c r="J5555" i="13" a="1"/>
  <c r="J5555" i="13" s="1"/>
  <c r="N5556" i="13"/>
  <c r="M5559" i="14"/>
  <c r="M5558" i="13"/>
  <c r="N5555" i="14"/>
  <c r="J5554" i="14" a="1"/>
  <c r="J5554" i="14" s="1"/>
  <c r="K5370" i="13" l="1"/>
  <c r="L5370" i="13" s="1"/>
  <c r="I5371" i="13" s="1"/>
  <c r="K5392" i="14"/>
  <c r="L5392" i="14" s="1"/>
  <c r="I5393" i="14" s="1"/>
  <c r="M5560" i="14"/>
  <c r="J5556" i="13" a="1"/>
  <c r="J5556" i="13" s="1"/>
  <c r="N5557" i="13"/>
  <c r="N5556" i="14"/>
  <c r="J5555" i="14" a="1"/>
  <c r="J5555" i="14" s="1"/>
  <c r="M5559" i="13"/>
  <c r="K5371" i="13" l="1"/>
  <c r="L5371" i="13" s="1"/>
  <c r="I5372" i="13" s="1"/>
  <c r="N5558" i="13"/>
  <c r="J5557" i="13" a="1"/>
  <c r="J5557" i="13" s="1"/>
  <c r="M5560" i="13"/>
  <c r="K5393" i="14"/>
  <c r="L5393" i="14" s="1"/>
  <c r="I5394" i="14" s="1"/>
  <c r="J5556" i="14" a="1"/>
  <c r="J5556" i="14" s="1"/>
  <c r="N5557" i="14"/>
  <c r="M5561" i="14"/>
  <c r="K5394" i="14" l="1"/>
  <c r="L5394" i="14" s="1"/>
  <c r="I5395" i="14" s="1"/>
  <c r="K5372" i="13"/>
  <c r="L5372" i="13" s="1"/>
  <c r="I5373" i="13" s="1"/>
  <c r="J5558" i="13" a="1"/>
  <c r="J5558" i="13" s="1"/>
  <c r="N5559" i="13"/>
  <c r="N5558" i="14"/>
  <c r="J5557" i="14" a="1"/>
  <c r="J5557" i="14" s="1"/>
  <c r="M5561" i="13"/>
  <c r="M5562" i="14"/>
  <c r="K5373" i="13" l="1"/>
  <c r="L5373" i="13" s="1"/>
  <c r="I5374" i="13" s="1"/>
  <c r="K5395" i="14"/>
  <c r="L5395" i="14" s="1"/>
  <c r="I5396" i="14" s="1"/>
  <c r="N5559" i="14"/>
  <c r="J5558" i="14" a="1"/>
  <c r="J5558" i="14" s="1"/>
  <c r="J5559" i="13" a="1"/>
  <c r="J5559" i="13" s="1"/>
  <c r="N5560" i="13"/>
  <c r="M5563" i="14"/>
  <c r="M5562" i="13"/>
  <c r="K5396" i="14" l="1"/>
  <c r="L5396" i="14" s="1"/>
  <c r="I5397" i="14" s="1"/>
  <c r="K5374" i="13"/>
  <c r="L5374" i="13" s="1"/>
  <c r="I5375" i="13" s="1"/>
  <c r="J5560" i="13" a="1"/>
  <c r="J5560" i="13" s="1"/>
  <c r="N5561" i="13"/>
  <c r="M5563" i="13"/>
  <c r="M5564" i="14"/>
  <c r="N5560" i="14"/>
  <c r="J5559" i="14" a="1"/>
  <c r="J5559" i="14" s="1"/>
  <c r="K5397" i="14" l="1"/>
  <c r="L5397" i="14" s="1"/>
  <c r="I5398" i="14" s="1"/>
  <c r="K5375" i="13"/>
  <c r="L5375" i="13" s="1"/>
  <c r="I5376" i="13" s="1"/>
  <c r="M5564" i="13"/>
  <c r="N5562" i="13"/>
  <c r="J5561" i="13" a="1"/>
  <c r="J5561" i="13" s="1"/>
  <c r="J5560" i="14" a="1"/>
  <c r="J5560" i="14" s="1"/>
  <c r="N5561" i="14"/>
  <c r="M5565" i="14"/>
  <c r="K5376" i="13" l="1"/>
  <c r="L5376" i="13" s="1"/>
  <c r="I5377" i="13" s="1"/>
  <c r="K5398" i="14"/>
  <c r="L5398" i="14" s="1"/>
  <c r="I5399" i="14" s="1"/>
  <c r="N5562" i="14"/>
  <c r="J5561" i="14" a="1"/>
  <c r="J5561" i="14" s="1"/>
  <c r="M5565" i="13"/>
  <c r="M5566" i="14"/>
  <c r="J5562" i="13" a="1"/>
  <c r="J5562" i="13" s="1"/>
  <c r="N5563" i="13"/>
  <c r="K5399" i="14" l="1"/>
  <c r="L5399" i="14" s="1"/>
  <c r="I5400" i="14" s="1"/>
  <c r="K5377" i="13"/>
  <c r="L5377" i="13" s="1"/>
  <c r="I5378" i="13" s="1"/>
  <c r="J5563" i="13" a="1"/>
  <c r="J5563" i="13" s="1"/>
  <c r="N5564" i="13"/>
  <c r="M5566" i="13"/>
  <c r="M5567" i="14"/>
  <c r="N5563" i="14"/>
  <c r="J5562" i="14" a="1"/>
  <c r="J5562" i="14" s="1"/>
  <c r="K5378" i="13" l="1"/>
  <c r="L5378" i="13" s="1"/>
  <c r="I5379" i="13" s="1"/>
  <c r="K5400" i="14"/>
  <c r="L5400" i="14" s="1"/>
  <c r="I5401" i="14" s="1"/>
  <c r="N5564" i="14"/>
  <c r="J5563" i="14" a="1"/>
  <c r="J5563" i="14" s="1"/>
  <c r="M5567" i="13"/>
  <c r="J5564" i="13" a="1"/>
  <c r="J5564" i="13" s="1"/>
  <c r="N5565" i="13"/>
  <c r="M5568" i="14"/>
  <c r="K5379" i="13" l="1"/>
  <c r="L5379" i="13" s="1"/>
  <c r="I5380" i="13" s="1"/>
  <c r="M5569" i="14"/>
  <c r="M5568" i="13"/>
  <c r="K5401" i="14"/>
  <c r="L5401" i="14" s="1"/>
  <c r="I5402" i="14" s="1"/>
  <c r="N5566" i="13"/>
  <c r="J5565" i="13" a="1"/>
  <c r="J5565" i="13" s="1"/>
  <c r="J5564" i="14" a="1"/>
  <c r="J5564" i="14" s="1"/>
  <c r="N5565" i="14"/>
  <c r="K5380" i="13" l="1"/>
  <c r="L5380" i="13" s="1"/>
  <c r="I5381" i="13" s="1"/>
  <c r="N5566" i="14"/>
  <c r="J5565" i="14" a="1"/>
  <c r="J5565" i="14" s="1"/>
  <c r="M5570" i="14"/>
  <c r="K5402" i="14"/>
  <c r="L5402" i="14" s="1"/>
  <c r="I5403" i="14" s="1"/>
  <c r="M5569" i="13"/>
  <c r="J5566" i="13" a="1"/>
  <c r="J5566" i="13" s="1"/>
  <c r="N5567" i="13"/>
  <c r="K5403" i="14" l="1"/>
  <c r="L5403" i="14" s="1"/>
  <c r="I5404" i="14" s="1"/>
  <c r="K5381" i="13"/>
  <c r="L5381" i="13" s="1"/>
  <c r="I5382" i="13" s="1"/>
  <c r="J5567" i="13" a="1"/>
  <c r="J5567" i="13" s="1"/>
  <c r="N5568" i="13"/>
  <c r="N5567" i="14"/>
  <c r="J5566" i="14" a="1"/>
  <c r="J5566" i="14" s="1"/>
  <c r="M5571" i="14"/>
  <c r="M5570" i="13"/>
  <c r="K5404" i="14" l="1"/>
  <c r="L5404" i="14" s="1"/>
  <c r="I5405" i="14" s="1"/>
  <c r="N5568" i="14"/>
  <c r="J5567" i="14" a="1"/>
  <c r="J5567" i="14" s="1"/>
  <c r="K5382" i="13"/>
  <c r="L5382" i="13" s="1"/>
  <c r="I5383" i="13" s="1"/>
  <c r="J5568" i="13" a="1"/>
  <c r="J5568" i="13" s="1"/>
  <c r="N5569" i="13"/>
  <c r="M5571" i="13"/>
  <c r="M5572" i="14"/>
  <c r="K5383" i="13" l="1"/>
  <c r="L5383" i="13" s="1"/>
  <c r="I5384" i="13" s="1"/>
  <c r="K5405" i="14"/>
  <c r="L5405" i="14" s="1"/>
  <c r="I5406" i="14" s="1"/>
  <c r="N5570" i="13"/>
  <c r="J5569" i="13" a="1"/>
  <c r="J5569" i="13" s="1"/>
  <c r="J5568" i="14" a="1"/>
  <c r="J5568" i="14" s="1"/>
  <c r="N5569" i="14"/>
  <c r="M5573" i="14"/>
  <c r="M5572" i="13"/>
  <c r="K5406" i="14" l="1"/>
  <c r="L5406" i="14" s="1"/>
  <c r="I5407" i="14" s="1"/>
  <c r="K5384" i="13"/>
  <c r="L5384" i="13" s="1"/>
  <c r="I5385" i="13" s="1"/>
  <c r="N5570" i="14"/>
  <c r="J5569" i="14" a="1"/>
  <c r="J5569" i="14" s="1"/>
  <c r="M5573" i="13"/>
  <c r="M5574" i="14"/>
  <c r="J5570" i="13" a="1"/>
  <c r="J5570" i="13" s="1"/>
  <c r="N5571" i="13"/>
  <c r="K5385" i="13" l="1"/>
  <c r="L5385" i="13" s="1"/>
  <c r="I5386" i="13" s="1"/>
  <c r="K5407" i="14"/>
  <c r="L5407" i="14" s="1"/>
  <c r="I5408" i="14" s="1"/>
  <c r="M5574" i="13"/>
  <c r="J5571" i="13" a="1"/>
  <c r="J5571" i="13" s="1"/>
  <c r="N5572" i="13"/>
  <c r="M5575" i="14"/>
  <c r="N5571" i="14"/>
  <c r="J5570" i="14" a="1"/>
  <c r="J5570" i="14" s="1"/>
  <c r="K5408" i="14" l="1"/>
  <c r="L5408" i="14" s="1"/>
  <c r="I5409" i="14" s="1"/>
  <c r="K5386" i="13"/>
  <c r="L5386" i="13" s="1"/>
  <c r="I5387" i="13" s="1"/>
  <c r="J5572" i="13" a="1"/>
  <c r="J5572" i="13" s="1"/>
  <c r="N5573" i="13"/>
  <c r="N5572" i="14"/>
  <c r="J5571" i="14" a="1"/>
  <c r="J5571" i="14" s="1"/>
  <c r="M5576" i="14"/>
  <c r="M5575" i="13"/>
  <c r="K5387" i="13" l="1"/>
  <c r="L5387" i="13" s="1"/>
  <c r="I5388" i="13" s="1"/>
  <c r="K5409" i="14"/>
  <c r="L5409" i="14" s="1"/>
  <c r="I5410" i="14" s="1"/>
  <c r="J5572" i="14" a="1"/>
  <c r="J5572" i="14" s="1"/>
  <c r="N5573" i="14"/>
  <c r="N5574" i="13"/>
  <c r="J5573" i="13" a="1"/>
  <c r="J5573" i="13" s="1"/>
  <c r="M5576" i="13"/>
  <c r="M5577" i="14"/>
  <c r="K5410" i="14" l="1"/>
  <c r="L5410" i="14" s="1"/>
  <c r="I5411" i="14" s="1"/>
  <c r="K5388" i="13"/>
  <c r="L5388" i="13" s="1"/>
  <c r="I5389" i="13" s="1"/>
  <c r="J5574" i="13" a="1"/>
  <c r="J5574" i="13" s="1"/>
  <c r="N5575" i="13"/>
  <c r="M5577" i="13"/>
  <c r="N5574" i="14"/>
  <c r="J5573" i="14" a="1"/>
  <c r="J5573" i="14" s="1"/>
  <c r="M5578" i="14"/>
  <c r="K5389" i="13" l="1"/>
  <c r="L5389" i="13" s="1"/>
  <c r="I5390" i="13" s="1"/>
  <c r="K5411" i="14"/>
  <c r="L5411" i="14" s="1"/>
  <c r="I5412" i="14" s="1"/>
  <c r="M5579" i="14"/>
  <c r="N5575" i="14"/>
  <c r="J5574" i="14" a="1"/>
  <c r="J5574" i="14" s="1"/>
  <c r="M5578" i="13"/>
  <c r="J5575" i="13" a="1"/>
  <c r="J5575" i="13" s="1"/>
  <c r="N5576" i="13"/>
  <c r="K5412" i="14" l="1"/>
  <c r="L5412" i="14" s="1"/>
  <c r="I5413" i="14" s="1"/>
  <c r="K5390" i="13"/>
  <c r="L5390" i="13" s="1"/>
  <c r="I5391" i="13" s="1"/>
  <c r="N5576" i="14"/>
  <c r="J5575" i="14" a="1"/>
  <c r="J5575" i="14" s="1"/>
  <c r="J5576" i="13" a="1"/>
  <c r="J5576" i="13" s="1"/>
  <c r="N5577" i="13"/>
  <c r="M5579" i="13"/>
  <c r="M5580" i="14"/>
  <c r="K5391" i="13" l="1"/>
  <c r="L5391" i="13" s="1"/>
  <c r="I5392" i="13" s="1"/>
  <c r="K5413" i="14"/>
  <c r="L5413" i="14" s="1"/>
  <c r="I5414" i="14" s="1"/>
  <c r="N5578" i="13"/>
  <c r="J5577" i="13" a="1"/>
  <c r="J5577" i="13" s="1"/>
  <c r="M5581" i="14"/>
  <c r="M5580" i="13"/>
  <c r="J5576" i="14" a="1"/>
  <c r="J5576" i="14" s="1"/>
  <c r="N5577" i="14"/>
  <c r="K5414" i="14" l="1"/>
  <c r="L5414" i="14" s="1"/>
  <c r="I5415" i="14" s="1"/>
  <c r="K5392" i="13"/>
  <c r="L5392" i="13" s="1"/>
  <c r="I5393" i="13" s="1"/>
  <c r="N5578" i="14"/>
  <c r="J5577" i="14" a="1"/>
  <c r="J5577" i="14" s="1"/>
  <c r="M5582" i="14"/>
  <c r="M5581" i="13"/>
  <c r="J5578" i="13" a="1"/>
  <c r="J5578" i="13" s="1"/>
  <c r="N5579" i="13"/>
  <c r="K5393" i="13" l="1"/>
  <c r="L5393" i="13" s="1"/>
  <c r="I5394" i="13" s="1"/>
  <c r="N5579" i="14"/>
  <c r="J5578" i="14" a="1"/>
  <c r="J5578" i="14" s="1"/>
  <c r="J5579" i="13" a="1"/>
  <c r="J5579" i="13" s="1"/>
  <c r="N5580" i="13"/>
  <c r="M5583" i="14"/>
  <c r="M5582" i="13"/>
  <c r="K5415" i="14"/>
  <c r="L5415" i="14" s="1"/>
  <c r="I5416" i="14" s="1"/>
  <c r="K5416" i="14" l="1"/>
  <c r="L5416" i="14" s="1"/>
  <c r="I5417" i="14" s="1"/>
  <c r="K5394" i="13"/>
  <c r="L5394" i="13" s="1"/>
  <c r="I5395" i="13" s="1"/>
  <c r="N5580" i="14"/>
  <c r="J5579" i="14" a="1"/>
  <c r="J5579" i="14" s="1"/>
  <c r="M5584" i="14"/>
  <c r="J5580" i="13" a="1"/>
  <c r="J5580" i="13" s="1"/>
  <c r="N5581" i="13"/>
  <c r="M5583" i="13"/>
  <c r="K5395" i="13" l="1"/>
  <c r="L5395" i="13" s="1"/>
  <c r="I5396" i="13" s="1"/>
  <c r="K5417" i="14"/>
  <c r="L5417" i="14" s="1"/>
  <c r="I5418" i="14" s="1"/>
  <c r="N5582" i="13"/>
  <c r="J5581" i="13" a="1"/>
  <c r="J5581" i="13" s="1"/>
  <c r="M5585" i="14"/>
  <c r="M5584" i="13"/>
  <c r="J5580" i="14" a="1"/>
  <c r="J5580" i="14" s="1"/>
  <c r="N5581" i="14"/>
  <c r="K5418" i="14" l="1"/>
  <c r="L5418" i="14" s="1"/>
  <c r="I5419" i="14" s="1"/>
  <c r="K5396" i="13"/>
  <c r="L5396" i="13" s="1"/>
  <c r="I5397" i="13" s="1"/>
  <c r="N5582" i="14"/>
  <c r="J5581" i="14" a="1"/>
  <c r="J5581" i="14" s="1"/>
  <c r="M5586" i="14"/>
  <c r="M5585" i="13"/>
  <c r="J5582" i="13" a="1"/>
  <c r="J5582" i="13" s="1"/>
  <c r="N5583" i="13"/>
  <c r="K5419" i="14" l="1"/>
  <c r="L5419" i="14" s="1"/>
  <c r="I5420" i="14" s="1"/>
  <c r="J5583" i="13" a="1"/>
  <c r="J5583" i="13" s="1"/>
  <c r="N5584" i="13"/>
  <c r="M5587" i="14"/>
  <c r="M5586" i="13"/>
  <c r="K5397" i="13"/>
  <c r="L5397" i="13" s="1"/>
  <c r="I5398" i="13" s="1"/>
  <c r="J5582" i="14" a="1"/>
  <c r="J5582" i="14" s="1"/>
  <c r="N5583" i="14"/>
  <c r="K5398" i="13" l="1"/>
  <c r="L5398" i="13" s="1"/>
  <c r="I5399" i="13" s="1"/>
  <c r="K5420" i="14"/>
  <c r="L5420" i="14" s="1"/>
  <c r="I5421" i="14" s="1"/>
  <c r="N5584" i="14"/>
  <c r="J5583" i="14" a="1"/>
  <c r="J5583" i="14" s="1"/>
  <c r="J5584" i="13" a="1"/>
  <c r="J5584" i="13" s="1"/>
  <c r="N5585" i="13"/>
  <c r="M5587" i="13"/>
  <c r="M5588" i="14"/>
  <c r="K5421" i="14" l="1"/>
  <c r="L5421" i="14" s="1"/>
  <c r="I5422" i="14" s="1"/>
  <c r="K5399" i="13"/>
  <c r="L5399" i="13" s="1"/>
  <c r="I5400" i="13" s="1"/>
  <c r="N5586" i="13"/>
  <c r="J5585" i="13" a="1"/>
  <c r="J5585" i="13" s="1"/>
  <c r="M5589" i="14"/>
  <c r="M5588" i="13"/>
  <c r="J5584" i="14" a="1"/>
  <c r="J5584" i="14" s="1"/>
  <c r="N5585" i="14"/>
  <c r="K5400" i="13" l="1"/>
  <c r="L5400" i="13" s="1"/>
  <c r="I5401" i="13" s="1"/>
  <c r="K5422" i="14"/>
  <c r="L5422" i="14" s="1"/>
  <c r="I5423" i="14" s="1"/>
  <c r="M5590" i="14"/>
  <c r="J5585" i="14" a="1"/>
  <c r="J5585" i="14" s="1"/>
  <c r="N5586" i="14"/>
  <c r="M5589" i="13"/>
  <c r="J5586" i="13" a="1"/>
  <c r="J5586" i="13" s="1"/>
  <c r="N5587" i="13"/>
  <c r="K5423" i="14" l="1"/>
  <c r="L5423" i="14" s="1"/>
  <c r="I5424" i="14" s="1"/>
  <c r="K5401" i="13"/>
  <c r="L5401" i="13" s="1"/>
  <c r="I5402" i="13" s="1"/>
  <c r="J5587" i="13" a="1"/>
  <c r="J5587" i="13" s="1"/>
  <c r="N5588" i="13"/>
  <c r="J5586" i="14" a="1"/>
  <c r="J5586" i="14" s="1"/>
  <c r="N5587" i="14"/>
  <c r="M5591" i="14"/>
  <c r="M5590" i="13"/>
  <c r="K5402" i="13" l="1"/>
  <c r="L5402" i="13" s="1"/>
  <c r="I5403" i="13" s="1"/>
  <c r="K5424" i="14"/>
  <c r="L5424" i="14" s="1"/>
  <c r="I5425" i="14" s="1"/>
  <c r="N5588" i="14"/>
  <c r="J5587" i="14" a="1"/>
  <c r="J5587" i="14" s="1"/>
  <c r="M5591" i="13"/>
  <c r="J5588" i="13" a="1"/>
  <c r="J5588" i="13" s="1"/>
  <c r="N5589" i="13"/>
  <c r="M5592" i="14"/>
  <c r="K5425" i="14" l="1"/>
  <c r="L5425" i="14" s="1"/>
  <c r="I5426" i="14" s="1"/>
  <c r="K5403" i="13"/>
  <c r="L5403" i="13" s="1"/>
  <c r="I5404" i="13" s="1"/>
  <c r="N5590" i="13"/>
  <c r="J5589" i="13" a="1"/>
  <c r="J5589" i="13" s="1"/>
  <c r="M5593" i="14"/>
  <c r="M5592" i="13"/>
  <c r="J5588" i="14" a="1"/>
  <c r="J5588" i="14" s="1"/>
  <c r="N5589" i="14"/>
  <c r="K5404" i="13" l="1"/>
  <c r="L5404" i="13" s="1"/>
  <c r="I5405" i="13" s="1"/>
  <c r="K5426" i="14"/>
  <c r="L5426" i="14" s="1"/>
  <c r="I5427" i="14" s="1"/>
  <c r="J5589" i="14" a="1"/>
  <c r="J5589" i="14" s="1"/>
  <c r="N5590" i="14"/>
  <c r="M5593" i="13"/>
  <c r="M5594" i="14"/>
  <c r="J5590" i="13" a="1"/>
  <c r="J5590" i="13" s="1"/>
  <c r="N5591" i="13"/>
  <c r="K5427" i="14" l="1"/>
  <c r="L5427" i="14" s="1"/>
  <c r="I5428" i="14" s="1"/>
  <c r="K5405" i="13"/>
  <c r="L5405" i="13" s="1"/>
  <c r="I5406" i="13" s="1"/>
  <c r="J5591" i="13" a="1"/>
  <c r="J5591" i="13" s="1"/>
  <c r="N5592" i="13"/>
  <c r="M5595" i="14"/>
  <c r="M5594" i="13"/>
  <c r="N5591" i="14"/>
  <c r="J5590" i="14" a="1"/>
  <c r="J5590" i="14" s="1"/>
  <c r="K5406" i="13" l="1"/>
  <c r="L5406" i="13" s="1"/>
  <c r="I5407" i="13" s="1"/>
  <c r="K5428" i="14"/>
  <c r="L5428" i="14" s="1"/>
  <c r="I5429" i="14" s="1"/>
  <c r="N5592" i="14"/>
  <c r="J5591" i="14" a="1"/>
  <c r="J5591" i="14" s="1"/>
  <c r="M5596" i="14"/>
  <c r="J5592" i="13" a="1"/>
  <c r="J5592" i="13" s="1"/>
  <c r="N5593" i="13"/>
  <c r="M5595" i="13"/>
  <c r="K5429" i="14" l="1"/>
  <c r="L5429" i="14" s="1"/>
  <c r="I5430" i="14" s="1"/>
  <c r="K5407" i="13"/>
  <c r="L5407" i="13" s="1"/>
  <c r="I5408" i="13" s="1"/>
  <c r="N5594" i="13"/>
  <c r="J5593" i="13" a="1"/>
  <c r="J5593" i="13" s="1"/>
  <c r="M5596" i="13"/>
  <c r="M5597" i="14"/>
  <c r="J5592" i="14" a="1"/>
  <c r="J5592" i="14" s="1"/>
  <c r="N5593" i="14"/>
  <c r="K5408" i="13" l="1"/>
  <c r="L5408" i="13" s="1"/>
  <c r="I5409" i="13" s="1"/>
  <c r="K5430" i="14"/>
  <c r="L5430" i="14" s="1"/>
  <c r="I5431" i="14" s="1"/>
  <c r="N5594" i="14"/>
  <c r="J5593" i="14" a="1"/>
  <c r="J5593" i="14" s="1"/>
  <c r="M5597" i="13"/>
  <c r="M5598" i="14"/>
  <c r="J5594" i="13" a="1"/>
  <c r="J5594" i="13" s="1"/>
  <c r="N5595" i="13"/>
  <c r="K5431" i="14" l="1"/>
  <c r="L5431" i="14" s="1"/>
  <c r="I5432" i="14" s="1"/>
  <c r="K5409" i="13"/>
  <c r="L5409" i="13" s="1"/>
  <c r="I5410" i="13" s="1"/>
  <c r="J5595" i="13" a="1"/>
  <c r="J5595" i="13" s="1"/>
  <c r="N5596" i="13"/>
  <c r="M5598" i="13"/>
  <c r="M5599" i="14"/>
  <c r="N5595" i="14"/>
  <c r="J5594" i="14" a="1"/>
  <c r="J5594" i="14" s="1"/>
  <c r="K5410" i="13" l="1"/>
  <c r="L5410" i="13" s="1"/>
  <c r="I5411" i="13" s="1"/>
  <c r="K5432" i="14"/>
  <c r="L5432" i="14" s="1"/>
  <c r="I5433" i="14" s="1"/>
  <c r="N5596" i="14"/>
  <c r="J5595" i="14" a="1"/>
  <c r="J5595" i="14" s="1"/>
  <c r="M5599" i="13"/>
  <c r="M5600" i="14"/>
  <c r="J5596" i="13" a="1"/>
  <c r="J5596" i="13" s="1"/>
  <c r="N5597" i="13"/>
  <c r="K5433" i="14" l="1"/>
  <c r="L5433" i="14" s="1"/>
  <c r="I5434" i="14" s="1"/>
  <c r="K5411" i="13"/>
  <c r="L5411" i="13" s="1"/>
  <c r="I5412" i="13" s="1"/>
  <c r="M5600" i="13"/>
  <c r="N5598" i="13"/>
  <c r="J5597" i="13" a="1"/>
  <c r="J5597" i="13" s="1"/>
  <c r="M5601" i="14"/>
  <c r="J5596" i="14" a="1"/>
  <c r="J5596" i="14" s="1"/>
  <c r="N5597" i="14"/>
  <c r="K5412" i="13" l="1"/>
  <c r="L5412" i="13" s="1"/>
  <c r="I5413" i="13" s="1"/>
  <c r="K5434" i="14"/>
  <c r="L5434" i="14" s="1"/>
  <c r="I5435" i="14" s="1"/>
  <c r="J5598" i="13" a="1"/>
  <c r="J5598" i="13" s="1"/>
  <c r="N5599" i="13"/>
  <c r="J5597" i="14" a="1"/>
  <c r="J5597" i="14" s="1"/>
  <c r="N5598" i="14"/>
  <c r="M5602" i="14"/>
  <c r="M5601" i="13"/>
  <c r="K5435" i="14" l="1"/>
  <c r="L5435" i="14" s="1"/>
  <c r="I5436" i="14" s="1"/>
  <c r="K5413" i="13"/>
  <c r="L5413" i="13" s="1"/>
  <c r="I5414" i="13" s="1"/>
  <c r="N5599" i="14"/>
  <c r="J5598" i="14" a="1"/>
  <c r="J5598" i="14" s="1"/>
  <c r="J5599" i="13" a="1"/>
  <c r="J5599" i="13" s="1"/>
  <c r="N5600" i="13"/>
  <c r="M5602" i="13"/>
  <c r="M5603" i="14"/>
  <c r="K5414" i="13" l="1"/>
  <c r="L5414" i="13" s="1"/>
  <c r="I5415" i="13" s="1"/>
  <c r="K5436" i="14"/>
  <c r="L5436" i="14" s="1"/>
  <c r="I5437" i="14" s="1"/>
  <c r="J5600" i="13" a="1"/>
  <c r="J5600" i="13" s="1"/>
  <c r="N5601" i="13"/>
  <c r="M5604" i="14"/>
  <c r="M5603" i="13"/>
  <c r="J5599" i="14" a="1"/>
  <c r="J5599" i="14" s="1"/>
  <c r="N5600" i="14"/>
  <c r="K5437" i="14" l="1"/>
  <c r="L5437" i="14" s="1"/>
  <c r="I5438" i="14" s="1"/>
  <c r="K5415" i="13"/>
  <c r="L5415" i="13" s="1"/>
  <c r="I5416" i="13" s="1"/>
  <c r="J5600" i="14" a="1"/>
  <c r="J5600" i="14" s="1"/>
  <c r="N5601" i="14"/>
  <c r="M5605" i="14"/>
  <c r="N5602" i="13"/>
  <c r="J5601" i="13" a="1"/>
  <c r="J5601" i="13" s="1"/>
  <c r="M5604" i="13"/>
  <c r="K5416" i="13" l="1"/>
  <c r="L5416" i="13" s="1"/>
  <c r="I5417" i="13" s="1"/>
  <c r="K5438" i="14"/>
  <c r="L5438" i="14" s="1"/>
  <c r="I5439" i="14" s="1"/>
  <c r="M5606" i="14"/>
  <c r="J5602" i="13" a="1"/>
  <c r="J5602" i="13" s="1"/>
  <c r="N5603" i="13"/>
  <c r="M5605" i="13"/>
  <c r="J5601" i="14" a="1"/>
  <c r="J5601" i="14" s="1"/>
  <c r="N5602" i="14"/>
  <c r="K5439" i="14" l="1"/>
  <c r="L5439" i="14" s="1"/>
  <c r="I5440" i="14" s="1"/>
  <c r="K5417" i="13"/>
  <c r="L5417" i="13" s="1"/>
  <c r="I5418" i="13" s="1"/>
  <c r="J5603" i="13" a="1"/>
  <c r="J5603" i="13" s="1"/>
  <c r="N5604" i="13"/>
  <c r="N5603" i="14"/>
  <c r="J5602" i="14" a="1"/>
  <c r="J5602" i="14" s="1"/>
  <c r="M5606" i="13"/>
  <c r="M5607" i="14"/>
  <c r="K5418" i="13" l="1"/>
  <c r="L5418" i="13" s="1"/>
  <c r="I5419" i="13" s="1"/>
  <c r="K5440" i="14"/>
  <c r="L5440" i="14" s="1"/>
  <c r="I5441" i="14" s="1"/>
  <c r="J5603" i="14" a="1"/>
  <c r="J5603" i="14" s="1"/>
  <c r="N5604" i="14"/>
  <c r="J5604" i="13" a="1"/>
  <c r="J5604" i="13" s="1"/>
  <c r="N5605" i="13"/>
  <c r="M5608" i="14"/>
  <c r="M5607" i="13"/>
  <c r="K5441" i="14" l="1"/>
  <c r="L5441" i="14" s="1"/>
  <c r="I5442" i="14" s="1"/>
  <c r="K5419" i="13"/>
  <c r="L5419" i="13" s="1"/>
  <c r="I5420" i="13" s="1"/>
  <c r="N5606" i="13"/>
  <c r="J5605" i="13" a="1"/>
  <c r="J5605" i="13" s="1"/>
  <c r="J5604" i="14" a="1"/>
  <c r="J5604" i="14" s="1"/>
  <c r="N5605" i="14"/>
  <c r="M5608" i="13"/>
  <c r="M5609" i="14"/>
  <c r="K5420" i="13" l="1"/>
  <c r="L5420" i="13" s="1"/>
  <c r="I5421" i="13" s="1"/>
  <c r="K5442" i="14"/>
  <c r="L5442" i="14" s="1"/>
  <c r="I5443" i="14" s="1"/>
  <c r="N5606" i="14"/>
  <c r="J5605" i="14" a="1"/>
  <c r="J5605" i="14" s="1"/>
  <c r="M5610" i="14"/>
  <c r="M5609" i="13"/>
  <c r="J5606" i="13" a="1"/>
  <c r="J5606" i="13" s="1"/>
  <c r="N5607" i="13"/>
  <c r="K5443" i="14" l="1"/>
  <c r="L5443" i="14" s="1"/>
  <c r="I5444" i="14" s="1"/>
  <c r="M5610" i="13"/>
  <c r="J5607" i="13" a="1"/>
  <c r="J5607" i="13" s="1"/>
  <c r="N5608" i="13"/>
  <c r="N5607" i="14"/>
  <c r="J5606" i="14" a="1"/>
  <c r="J5606" i="14" s="1"/>
  <c r="K5421" i="13"/>
  <c r="L5421" i="13" s="1"/>
  <c r="I5422" i="13" s="1"/>
  <c r="M5611" i="14"/>
  <c r="K5422" i="13" l="1"/>
  <c r="L5422" i="13" s="1"/>
  <c r="I5423" i="13" s="1"/>
  <c r="K5444" i="14"/>
  <c r="L5444" i="14" s="1"/>
  <c r="I5445" i="14" s="1"/>
  <c r="M5612" i="14"/>
  <c r="J5607" i="14" a="1"/>
  <c r="J5607" i="14" s="1"/>
  <c r="N5608" i="14"/>
  <c r="M5611" i="13"/>
  <c r="J5608" i="13" a="1"/>
  <c r="J5608" i="13" s="1"/>
  <c r="N5609" i="13"/>
  <c r="K5445" i="14" l="1"/>
  <c r="L5445" i="14" s="1"/>
  <c r="I5446" i="14" s="1"/>
  <c r="K5423" i="13"/>
  <c r="L5423" i="13" s="1"/>
  <c r="I5424" i="13" s="1"/>
  <c r="N5609" i="14"/>
  <c r="J5608" i="14" a="1"/>
  <c r="J5608" i="14" s="1"/>
  <c r="N5610" i="13"/>
  <c r="J5609" i="13" a="1"/>
  <c r="J5609" i="13" s="1"/>
  <c r="M5613" i="14"/>
  <c r="M5612" i="13"/>
  <c r="K5424" i="13" l="1"/>
  <c r="L5424" i="13" s="1"/>
  <c r="I5425" i="13" s="1"/>
  <c r="K5446" i="14"/>
  <c r="L5446" i="14" s="1"/>
  <c r="I5447" i="14" s="1"/>
  <c r="J5610" i="13" a="1"/>
  <c r="J5610" i="13" s="1"/>
  <c r="N5611" i="13"/>
  <c r="M5613" i="13"/>
  <c r="M5614" i="14"/>
  <c r="N5610" i="14"/>
  <c r="J5609" i="14" a="1"/>
  <c r="J5609" i="14" s="1"/>
  <c r="K5447" i="14" l="1"/>
  <c r="L5447" i="14" s="1"/>
  <c r="I5448" i="14" s="1"/>
  <c r="K5425" i="13"/>
  <c r="L5425" i="13" s="1"/>
  <c r="I5426" i="13" s="1"/>
  <c r="N5611" i="14"/>
  <c r="J5610" i="14" a="1"/>
  <c r="J5610" i="14" s="1"/>
  <c r="M5614" i="13"/>
  <c r="J5611" i="13" a="1"/>
  <c r="J5611" i="13" s="1"/>
  <c r="N5612" i="13"/>
  <c r="M5615" i="14"/>
  <c r="K5448" i="14" l="1"/>
  <c r="L5448" i="14" s="1"/>
  <c r="I5449" i="14" s="1"/>
  <c r="J5612" i="13" a="1"/>
  <c r="J5612" i="13" s="1"/>
  <c r="N5613" i="13"/>
  <c r="M5616" i="14"/>
  <c r="K5426" i="13"/>
  <c r="L5426" i="13" s="1"/>
  <c r="I5427" i="13" s="1"/>
  <c r="M5615" i="13"/>
  <c r="J5611" i="14" a="1"/>
  <c r="J5611" i="14" s="1"/>
  <c r="N5612" i="14"/>
  <c r="K5427" i="13" l="1"/>
  <c r="L5427" i="13" s="1"/>
  <c r="I5428" i="13" s="1"/>
  <c r="K5449" i="14"/>
  <c r="L5449" i="14" s="1"/>
  <c r="I5450" i="14" s="1"/>
  <c r="N5614" i="13"/>
  <c r="J5613" i="13" a="1"/>
  <c r="J5613" i="13" s="1"/>
  <c r="N5613" i="14"/>
  <c r="J5612" i="14" a="1"/>
  <c r="J5612" i="14" s="1"/>
  <c r="M5616" i="13"/>
  <c r="M5617" i="14"/>
  <c r="K5450" i="14" l="1"/>
  <c r="L5450" i="14" s="1"/>
  <c r="I5451" i="14" s="1"/>
  <c r="K5428" i="13"/>
  <c r="L5428" i="13" s="1"/>
  <c r="I5429" i="13" s="1"/>
  <c r="N5614" i="14"/>
  <c r="J5613" i="14" a="1"/>
  <c r="J5613" i="14" s="1"/>
  <c r="M5618" i="14"/>
  <c r="M5617" i="13"/>
  <c r="J5614" i="13" a="1"/>
  <c r="J5614" i="13" s="1"/>
  <c r="N5615" i="13"/>
  <c r="K5429" i="13" l="1"/>
  <c r="L5429" i="13" s="1"/>
  <c r="I5430" i="13" s="1"/>
  <c r="K5451" i="14"/>
  <c r="L5451" i="14" s="1"/>
  <c r="I5452" i="14" s="1"/>
  <c r="J5615" i="13" a="1"/>
  <c r="J5615" i="13" s="1"/>
  <c r="N5616" i="13"/>
  <c r="M5619" i="14"/>
  <c r="M5618" i="13"/>
  <c r="N5615" i="14"/>
  <c r="J5614" i="14" a="1"/>
  <c r="J5614" i="14" s="1"/>
  <c r="K5430" i="13" l="1"/>
  <c r="L5430" i="13" s="1"/>
  <c r="I5431" i="13" s="1"/>
  <c r="K5452" i="14"/>
  <c r="L5452" i="14" s="1"/>
  <c r="I5453" i="14" s="1"/>
  <c r="J5615" i="14" a="1"/>
  <c r="J5615" i="14" s="1"/>
  <c r="N5616" i="14"/>
  <c r="M5620" i="14"/>
  <c r="J5616" i="13" a="1"/>
  <c r="J5616" i="13" s="1"/>
  <c r="N5617" i="13"/>
  <c r="M5619" i="13"/>
  <c r="K5453" i="14" l="1"/>
  <c r="L5453" i="14" s="1"/>
  <c r="I5454" i="14" s="1"/>
  <c r="K5431" i="13"/>
  <c r="L5431" i="13" s="1"/>
  <c r="I5432" i="13" s="1"/>
  <c r="N5618" i="13"/>
  <c r="J5617" i="13" a="1"/>
  <c r="J5617" i="13" s="1"/>
  <c r="M5620" i="13"/>
  <c r="M5621" i="14"/>
  <c r="N5617" i="14"/>
  <c r="J5616" i="14" a="1"/>
  <c r="J5616" i="14" s="1"/>
  <c r="K5432" i="13" l="1"/>
  <c r="L5432" i="13" s="1"/>
  <c r="I5433" i="13" s="1"/>
  <c r="K5454" i="14"/>
  <c r="L5454" i="14" s="1"/>
  <c r="I5455" i="14" s="1"/>
  <c r="N5618" i="14"/>
  <c r="J5617" i="14" a="1"/>
  <c r="J5617" i="14" s="1"/>
  <c r="M5621" i="13"/>
  <c r="M5622" i="14"/>
  <c r="J5618" i="13" a="1"/>
  <c r="J5618" i="13" s="1"/>
  <c r="N5619" i="13"/>
  <c r="K5455" i="14" l="1"/>
  <c r="L5455" i="14" s="1"/>
  <c r="I5456" i="14" s="1"/>
  <c r="K5433" i="13"/>
  <c r="L5433" i="13" s="1"/>
  <c r="I5434" i="13" s="1"/>
  <c r="J5619" i="13" a="1"/>
  <c r="J5619" i="13" s="1"/>
  <c r="N5620" i="13"/>
  <c r="M5622" i="13"/>
  <c r="M5623" i="14"/>
  <c r="N5619" i="14"/>
  <c r="J5618" i="14" a="1"/>
  <c r="J5618" i="14" s="1"/>
  <c r="K5434" i="13" l="1"/>
  <c r="L5434" i="13" s="1"/>
  <c r="I5435" i="13" s="1"/>
  <c r="J5619" i="14" a="1"/>
  <c r="J5619" i="14" s="1"/>
  <c r="N5620" i="14"/>
  <c r="M5623" i="13"/>
  <c r="J5620" i="13" a="1"/>
  <c r="J5620" i="13" s="1"/>
  <c r="N5621" i="13"/>
  <c r="M5624" i="14"/>
  <c r="K5456" i="14"/>
  <c r="L5456" i="14" s="1"/>
  <c r="I5457" i="14" s="1"/>
  <c r="K5457" i="14" l="1"/>
  <c r="L5457" i="14" s="1"/>
  <c r="I5458" i="14" s="1"/>
  <c r="K5435" i="13"/>
  <c r="L5435" i="13" s="1"/>
  <c r="I5436" i="13" s="1"/>
  <c r="N5622" i="13"/>
  <c r="J5621" i="13" a="1"/>
  <c r="J5621" i="13" s="1"/>
  <c r="N5621" i="14"/>
  <c r="J5620" i="14" a="1"/>
  <c r="J5620" i="14" s="1"/>
  <c r="M5625" i="14"/>
  <c r="M5624" i="13"/>
  <c r="K5458" i="14" l="1"/>
  <c r="L5458" i="14" s="1"/>
  <c r="I5459" i="14" s="1"/>
  <c r="N5622" i="14"/>
  <c r="J5621" i="14" a="1"/>
  <c r="J5621" i="14" s="1"/>
  <c r="K5436" i="13"/>
  <c r="L5436" i="13" s="1"/>
  <c r="I5437" i="13" s="1"/>
  <c r="M5625" i="13"/>
  <c r="M5626" i="14"/>
  <c r="J5622" i="13" a="1"/>
  <c r="J5622" i="13" s="1"/>
  <c r="N5623" i="13"/>
  <c r="K5437" i="13" l="1"/>
  <c r="L5437" i="13" s="1"/>
  <c r="I5438" i="13" s="1"/>
  <c r="K5459" i="14"/>
  <c r="L5459" i="14" s="1"/>
  <c r="I5460" i="14" s="1"/>
  <c r="N5623" i="14"/>
  <c r="J5622" i="14" a="1"/>
  <c r="J5622" i="14" s="1"/>
  <c r="J5623" i="13" a="1"/>
  <c r="J5623" i="13" s="1"/>
  <c r="N5624" i="13"/>
  <c r="M5626" i="13"/>
  <c r="M5627" i="14"/>
  <c r="K5460" i="14" l="1"/>
  <c r="L5460" i="14" s="1"/>
  <c r="I5461" i="14" s="1"/>
  <c r="K5438" i="13"/>
  <c r="L5438" i="13" s="1"/>
  <c r="I5439" i="13" s="1"/>
  <c r="J5624" i="13" a="1"/>
  <c r="J5624" i="13" s="1"/>
  <c r="N5625" i="13"/>
  <c r="M5628" i="14"/>
  <c r="M5627" i="13"/>
  <c r="J5623" i="14" a="1"/>
  <c r="J5623" i="14" s="1"/>
  <c r="N5624" i="14"/>
  <c r="K5439" i="13" l="1"/>
  <c r="L5439" i="13" s="1"/>
  <c r="I5440" i="13" s="1"/>
  <c r="K5461" i="14"/>
  <c r="L5461" i="14" s="1"/>
  <c r="I5462" i="14" s="1"/>
  <c r="M5628" i="13"/>
  <c r="N5625" i="14"/>
  <c r="J5624" i="14" a="1"/>
  <c r="J5624" i="14" s="1"/>
  <c r="M5629" i="14"/>
  <c r="N5626" i="13"/>
  <c r="J5625" i="13" a="1"/>
  <c r="J5625" i="13" s="1"/>
  <c r="K5462" i="14" l="1"/>
  <c r="L5462" i="14" s="1"/>
  <c r="I5463" i="14" s="1"/>
  <c r="K5440" i="13"/>
  <c r="L5440" i="13" s="1"/>
  <c r="I5441" i="13" s="1"/>
  <c r="N5626" i="14"/>
  <c r="J5625" i="14" a="1"/>
  <c r="J5625" i="14" s="1"/>
  <c r="J5626" i="13" a="1"/>
  <c r="J5626" i="13" s="1"/>
  <c r="N5627" i="13"/>
  <c r="M5630" i="14"/>
  <c r="M5629" i="13"/>
  <c r="K5441" i="13" l="1"/>
  <c r="L5441" i="13" s="1"/>
  <c r="I5442" i="13" s="1"/>
  <c r="K5463" i="14"/>
  <c r="L5463" i="14" s="1"/>
  <c r="I5464" i="14" s="1"/>
  <c r="J5627" i="13" a="1"/>
  <c r="J5627" i="13" s="1"/>
  <c r="N5628" i="13"/>
  <c r="M5630" i="13"/>
  <c r="M5631" i="14"/>
  <c r="N5627" i="14"/>
  <c r="J5626" i="14" a="1"/>
  <c r="J5626" i="14" s="1"/>
  <c r="K5464" i="14" l="1"/>
  <c r="L5464" i="14" s="1"/>
  <c r="I5465" i="14" s="1"/>
  <c r="K5442" i="13"/>
  <c r="L5442" i="13" s="1"/>
  <c r="I5443" i="13" s="1"/>
  <c r="J5627" i="14" a="1"/>
  <c r="J5627" i="14" s="1"/>
  <c r="N5628" i="14"/>
  <c r="M5631" i="13"/>
  <c r="M5632" i="14"/>
  <c r="J5628" i="13" a="1"/>
  <c r="J5628" i="13" s="1"/>
  <c r="N5629" i="13"/>
  <c r="K5443" i="13" l="1"/>
  <c r="L5443" i="13" s="1"/>
  <c r="I5444" i="13" s="1"/>
  <c r="K5465" i="14"/>
  <c r="L5465" i="14" s="1"/>
  <c r="I5466" i="14" s="1"/>
  <c r="N5630" i="13"/>
  <c r="J5629" i="13" a="1"/>
  <c r="J5629" i="13" s="1"/>
  <c r="M5632" i="13"/>
  <c r="N5629" i="14"/>
  <c r="J5628" i="14" a="1"/>
  <c r="J5628" i="14" s="1"/>
  <c r="M5633" i="14"/>
  <c r="K5466" i="14" l="1"/>
  <c r="L5466" i="14" s="1"/>
  <c r="I5467" i="14" s="1"/>
  <c r="K5444" i="13"/>
  <c r="L5444" i="13" s="1"/>
  <c r="I5445" i="13" s="1"/>
  <c r="M5634" i="14"/>
  <c r="M5633" i="13"/>
  <c r="N5630" i="14"/>
  <c r="J5629" i="14" a="1"/>
  <c r="J5629" i="14" s="1"/>
  <c r="J5630" i="13" a="1"/>
  <c r="J5630" i="13" s="1"/>
  <c r="N5631" i="13"/>
  <c r="K5445" i="13" l="1"/>
  <c r="L5445" i="13" s="1"/>
  <c r="I5446" i="13" s="1"/>
  <c r="K5467" i="14"/>
  <c r="L5467" i="14" s="1"/>
  <c r="I5468" i="14" s="1"/>
  <c r="J5631" i="13" a="1"/>
  <c r="J5631" i="13" s="1"/>
  <c r="N5632" i="13"/>
  <c r="M5634" i="13"/>
  <c r="N5631" i="14"/>
  <c r="J5630" i="14" a="1"/>
  <c r="J5630" i="14" s="1"/>
  <c r="M5635" i="14"/>
  <c r="K5446" i="13" l="1"/>
  <c r="L5446" i="13" s="1"/>
  <c r="I5447" i="13" s="1"/>
  <c r="K5468" i="14"/>
  <c r="L5468" i="14" s="1"/>
  <c r="I5469" i="14" s="1"/>
  <c r="J5632" i="13" a="1"/>
  <c r="J5632" i="13" s="1"/>
  <c r="N5633" i="13"/>
  <c r="M5636" i="14"/>
  <c r="M5635" i="13"/>
  <c r="J5631" i="14" a="1"/>
  <c r="J5631" i="14" s="1"/>
  <c r="N5632" i="14"/>
  <c r="K5469" i="14" l="1"/>
  <c r="L5469" i="14" s="1"/>
  <c r="I5470" i="14" s="1"/>
  <c r="K5447" i="13"/>
  <c r="L5447" i="13" s="1"/>
  <c r="I5448" i="13" s="1"/>
  <c r="N5633" i="14"/>
  <c r="J5632" i="14" a="1"/>
  <c r="J5632" i="14" s="1"/>
  <c r="M5637" i="14"/>
  <c r="N5634" i="13"/>
  <c r="J5633" i="13" a="1"/>
  <c r="J5633" i="13" s="1"/>
  <c r="M5636" i="13"/>
  <c r="K5448" i="13" l="1"/>
  <c r="L5448" i="13" s="1"/>
  <c r="I5449" i="13" s="1"/>
  <c r="K5470" i="14"/>
  <c r="L5470" i="14" s="1"/>
  <c r="I5471" i="14" s="1"/>
  <c r="M5638" i="14"/>
  <c r="M5637" i="13"/>
  <c r="J5634" i="13" a="1"/>
  <c r="J5634" i="13" s="1"/>
  <c r="N5635" i="13"/>
  <c r="N5634" i="14"/>
  <c r="J5633" i="14" a="1"/>
  <c r="J5633" i="14" s="1"/>
  <c r="K5471" i="14" l="1"/>
  <c r="L5471" i="14" s="1"/>
  <c r="I5472" i="14" s="1"/>
  <c r="K5449" i="13"/>
  <c r="L5449" i="13" s="1"/>
  <c r="I5450" i="13" s="1"/>
  <c r="N5635" i="14"/>
  <c r="J5634" i="14" a="1"/>
  <c r="J5634" i="14" s="1"/>
  <c r="M5638" i="13"/>
  <c r="J5635" i="13" a="1"/>
  <c r="J5635" i="13" s="1"/>
  <c r="N5636" i="13"/>
  <c r="M5639" i="14"/>
  <c r="K5450" i="13" l="1"/>
  <c r="L5450" i="13" s="1"/>
  <c r="I5451" i="13" s="1"/>
  <c r="K5472" i="14"/>
  <c r="L5472" i="14" s="1"/>
  <c r="I5473" i="14" s="1"/>
  <c r="J5636" i="13" a="1"/>
  <c r="J5636" i="13" s="1"/>
  <c r="N5637" i="13"/>
  <c r="M5640" i="14"/>
  <c r="M5639" i="13"/>
  <c r="J5635" i="14" a="1"/>
  <c r="J5635" i="14" s="1"/>
  <c r="N5636" i="14"/>
  <c r="K5473" i="14" l="1"/>
  <c r="L5473" i="14" s="1"/>
  <c r="I5474" i="14" s="1"/>
  <c r="K5451" i="13"/>
  <c r="L5451" i="13" s="1"/>
  <c r="I5452" i="13" s="1"/>
  <c r="N5637" i="14"/>
  <c r="J5636" i="14" a="1"/>
  <c r="J5636" i="14" s="1"/>
  <c r="M5641" i="14"/>
  <c r="N5638" i="13"/>
  <c r="J5637" i="13" a="1"/>
  <c r="J5637" i="13" s="1"/>
  <c r="M5640" i="13"/>
  <c r="K5452" i="13" l="1"/>
  <c r="L5452" i="13" s="1"/>
  <c r="I5453" i="13" s="1"/>
  <c r="K5474" i="14"/>
  <c r="L5474" i="14" s="1"/>
  <c r="I5475" i="14" s="1"/>
  <c r="M5642" i="14"/>
  <c r="M5641" i="13"/>
  <c r="J5638" i="13" a="1"/>
  <c r="J5638" i="13" s="1"/>
  <c r="N5639" i="13"/>
  <c r="N5638" i="14"/>
  <c r="J5637" i="14" a="1"/>
  <c r="J5637" i="14" s="1"/>
  <c r="K5475" i="14" l="1"/>
  <c r="L5475" i="14" s="1"/>
  <c r="I5476" i="14" s="1"/>
  <c r="K5453" i="13"/>
  <c r="L5453" i="13" s="1"/>
  <c r="I5454" i="13" s="1"/>
  <c r="N5639" i="14"/>
  <c r="J5638" i="14" a="1"/>
  <c r="J5638" i="14" s="1"/>
  <c r="M5642" i="13"/>
  <c r="J5639" i="13" a="1"/>
  <c r="J5639" i="13" s="1"/>
  <c r="N5640" i="13"/>
  <c r="M5643" i="14"/>
  <c r="K5476" i="14" l="1"/>
  <c r="L5476" i="14" s="1"/>
  <c r="I5477" i="14" s="1"/>
  <c r="M5644" i="14"/>
  <c r="M5643" i="13"/>
  <c r="K5454" i="13"/>
  <c r="L5454" i="13" s="1"/>
  <c r="I5455" i="13" s="1"/>
  <c r="J5640" i="13" a="1"/>
  <c r="J5640" i="13" s="1"/>
  <c r="N5641" i="13"/>
  <c r="J5639" i="14" a="1"/>
  <c r="J5639" i="14" s="1"/>
  <c r="N5640" i="14"/>
  <c r="K5455" i="13" l="1"/>
  <c r="L5455" i="13" s="1"/>
  <c r="I5456" i="13" s="1"/>
  <c r="K5477" i="14"/>
  <c r="L5477" i="14" s="1"/>
  <c r="I5478" i="14" s="1"/>
  <c r="N5641" i="14"/>
  <c r="J5640" i="14" a="1"/>
  <c r="J5640" i="14" s="1"/>
  <c r="M5645" i="14"/>
  <c r="N5642" i="13"/>
  <c r="J5641" i="13" a="1"/>
  <c r="J5641" i="13" s="1"/>
  <c r="M5644" i="13"/>
  <c r="K5478" i="14" l="1"/>
  <c r="L5478" i="14" s="1"/>
  <c r="I5479" i="14" s="1"/>
  <c r="K5456" i="13"/>
  <c r="L5456" i="13" s="1"/>
  <c r="I5457" i="13" s="1"/>
  <c r="J5642" i="13" a="1"/>
  <c r="J5642" i="13" s="1"/>
  <c r="N5643" i="13"/>
  <c r="M5645" i="13"/>
  <c r="M5646" i="14"/>
  <c r="J5641" i="14" a="1"/>
  <c r="J5641" i="14" s="1"/>
  <c r="N5642" i="14"/>
  <c r="K5457" i="13" l="1"/>
  <c r="L5457" i="13" s="1"/>
  <c r="I5458" i="13" s="1"/>
  <c r="K5479" i="14"/>
  <c r="L5479" i="14" s="1"/>
  <c r="I5480" i="14" s="1"/>
  <c r="N5643" i="14"/>
  <c r="J5642" i="14" a="1"/>
  <c r="J5642" i="14" s="1"/>
  <c r="M5646" i="13"/>
  <c r="J5643" i="13" a="1"/>
  <c r="J5643" i="13" s="1"/>
  <c r="N5644" i="13"/>
  <c r="M5647" i="14"/>
  <c r="K5458" i="13" l="1"/>
  <c r="L5458" i="13" s="1"/>
  <c r="I5459" i="13" s="1"/>
  <c r="J5644" i="13" a="1"/>
  <c r="J5644" i="13" s="1"/>
  <c r="N5645" i="13"/>
  <c r="M5648" i="14"/>
  <c r="M5647" i="13"/>
  <c r="K5480" i="14"/>
  <c r="L5480" i="14" s="1"/>
  <c r="I5481" i="14" s="1"/>
  <c r="J5643" i="14" a="1"/>
  <c r="J5643" i="14" s="1"/>
  <c r="N5644" i="14"/>
  <c r="K5481" i="14" l="1"/>
  <c r="L5481" i="14" s="1"/>
  <c r="I5482" i="14" s="1"/>
  <c r="K5459" i="13"/>
  <c r="L5459" i="13" s="1"/>
  <c r="I5460" i="13" s="1"/>
  <c r="N5646" i="13"/>
  <c r="J5645" i="13" a="1"/>
  <c r="J5645" i="13" s="1"/>
  <c r="M5648" i="13"/>
  <c r="J5644" i="14" a="1"/>
  <c r="J5644" i="14" s="1"/>
  <c r="N5645" i="14"/>
  <c r="M5649" i="14"/>
  <c r="K5460" i="13" l="1"/>
  <c r="L5460" i="13" s="1"/>
  <c r="I5461" i="13" s="1"/>
  <c r="K5482" i="14"/>
  <c r="L5482" i="14" s="1"/>
  <c r="I5483" i="14" s="1"/>
  <c r="J5645" i="14" a="1"/>
  <c r="J5645" i="14" s="1"/>
  <c r="N5646" i="14"/>
  <c r="M5650" i="14"/>
  <c r="M5649" i="13"/>
  <c r="J5646" i="13" a="1"/>
  <c r="J5646" i="13" s="1"/>
  <c r="N5647" i="13"/>
  <c r="K5483" i="14" l="1"/>
  <c r="L5483" i="14" s="1"/>
  <c r="I5484" i="14" s="1"/>
  <c r="K5461" i="13"/>
  <c r="L5461" i="13" s="1"/>
  <c r="I5462" i="13" s="1"/>
  <c r="J5647" i="13" a="1"/>
  <c r="J5647" i="13" s="1"/>
  <c r="N5648" i="13"/>
  <c r="M5651" i="14"/>
  <c r="N5647" i="14"/>
  <c r="J5646" i="14" a="1"/>
  <c r="J5646" i="14" s="1"/>
  <c r="M5650" i="13"/>
  <c r="K5462" i="13" l="1"/>
  <c r="L5462" i="13" s="1"/>
  <c r="I5463" i="13" s="1"/>
  <c r="K5484" i="14"/>
  <c r="L5484" i="14" s="1"/>
  <c r="I5485" i="14" s="1"/>
  <c r="M5651" i="13"/>
  <c r="M5652" i="14"/>
  <c r="J5648" i="13" a="1"/>
  <c r="J5648" i="13" s="1"/>
  <c r="N5649" i="13"/>
  <c r="J5647" i="14" a="1"/>
  <c r="J5647" i="14" s="1"/>
  <c r="N5648" i="14"/>
  <c r="K5485" i="14" l="1"/>
  <c r="L5485" i="14" s="1"/>
  <c r="I5486" i="14" s="1"/>
  <c r="K5463" i="13"/>
  <c r="L5463" i="13" s="1"/>
  <c r="I5464" i="13" s="1"/>
  <c r="J5648" i="14" a="1"/>
  <c r="J5648" i="14" s="1"/>
  <c r="N5649" i="14"/>
  <c r="M5653" i="14"/>
  <c r="N5650" i="13"/>
  <c r="J5649" i="13" a="1"/>
  <c r="J5649" i="13" s="1"/>
  <c r="M5652" i="13"/>
  <c r="K5464" i="13" l="1"/>
  <c r="L5464" i="13" s="1"/>
  <c r="I5465" i="13" s="1"/>
  <c r="K5486" i="14"/>
  <c r="L5486" i="14" s="1"/>
  <c r="I5487" i="14" s="1"/>
  <c r="M5653" i="13"/>
  <c r="M5654" i="14"/>
  <c r="J5649" i="14" a="1"/>
  <c r="J5649" i="14" s="1"/>
  <c r="N5650" i="14"/>
  <c r="J5650" i="13" a="1"/>
  <c r="J5650" i="13" s="1"/>
  <c r="N5651" i="13"/>
  <c r="K5487" i="14" l="1"/>
  <c r="L5487" i="14" s="1"/>
  <c r="I5488" i="14" s="1"/>
  <c r="K5465" i="13"/>
  <c r="L5465" i="13" s="1"/>
  <c r="I5466" i="13" s="1"/>
  <c r="M5655" i="14"/>
  <c r="N5651" i="14"/>
  <c r="J5650" i="14" a="1"/>
  <c r="J5650" i="14" s="1"/>
  <c r="J5651" i="13" a="1"/>
  <c r="J5651" i="13" s="1"/>
  <c r="N5652" i="13"/>
  <c r="M5654" i="13"/>
  <c r="K5466" i="13" l="1"/>
  <c r="L5466" i="13" s="1"/>
  <c r="I5467" i="13" s="1"/>
  <c r="K5488" i="14"/>
  <c r="L5488" i="14" s="1"/>
  <c r="I5489" i="14" s="1"/>
  <c r="J5651" i="14" a="1"/>
  <c r="J5651" i="14" s="1"/>
  <c r="N5652" i="14"/>
  <c r="J5652" i="13" a="1"/>
  <c r="J5652" i="13" s="1"/>
  <c r="N5653" i="13"/>
  <c r="M5656" i="14"/>
  <c r="M5655" i="13"/>
  <c r="K5489" i="14" l="1"/>
  <c r="L5489" i="14" s="1"/>
  <c r="I5490" i="14" s="1"/>
  <c r="K5467" i="13"/>
  <c r="L5467" i="13" s="1"/>
  <c r="I5468" i="13" s="1"/>
  <c r="N5654" i="13"/>
  <c r="J5653" i="13" a="1"/>
  <c r="J5653" i="13" s="1"/>
  <c r="J5652" i="14" a="1"/>
  <c r="J5652" i="14" s="1"/>
  <c r="N5653" i="14"/>
  <c r="M5656" i="13"/>
  <c r="M5657" i="14"/>
  <c r="K5468" i="13" l="1"/>
  <c r="L5468" i="13" s="1"/>
  <c r="I5469" i="13" s="1"/>
  <c r="K5490" i="14"/>
  <c r="L5490" i="14" s="1"/>
  <c r="I5491" i="14" s="1"/>
  <c r="M5658" i="14"/>
  <c r="N5654" i="14"/>
  <c r="J5653" i="14" a="1"/>
  <c r="J5653" i="14" s="1"/>
  <c r="M5657" i="13"/>
  <c r="J5654" i="13" a="1"/>
  <c r="J5654" i="13" s="1"/>
  <c r="N5655" i="13"/>
  <c r="K5491" i="14" l="1"/>
  <c r="L5491" i="14" s="1"/>
  <c r="I5492" i="14" s="1"/>
  <c r="K5469" i="13"/>
  <c r="L5469" i="13" s="1"/>
  <c r="I5470" i="13" s="1"/>
  <c r="N5655" i="14"/>
  <c r="J5654" i="14" a="1"/>
  <c r="J5654" i="14" s="1"/>
  <c r="J5655" i="13" a="1"/>
  <c r="J5655" i="13" s="1"/>
  <c r="N5656" i="13"/>
  <c r="M5658" i="13"/>
  <c r="M5659" i="14"/>
  <c r="K5470" i="13" l="1"/>
  <c r="L5470" i="13" s="1"/>
  <c r="I5471" i="13" s="1"/>
  <c r="K5492" i="14"/>
  <c r="L5492" i="14" s="1"/>
  <c r="I5493" i="14" s="1"/>
  <c r="M5660" i="14"/>
  <c r="J5656" i="13" a="1"/>
  <c r="J5656" i="13" s="1"/>
  <c r="N5657" i="13"/>
  <c r="M5659" i="13"/>
  <c r="J5655" i="14" a="1"/>
  <c r="J5655" i="14" s="1"/>
  <c r="N5656" i="14"/>
  <c r="K5493" i="14" l="1"/>
  <c r="L5493" i="14" s="1"/>
  <c r="I5494" i="14" s="1"/>
  <c r="K5471" i="13"/>
  <c r="L5471" i="13" s="1"/>
  <c r="I5472" i="13" s="1"/>
  <c r="N5657" i="14"/>
  <c r="J5656" i="14" a="1"/>
  <c r="J5656" i="14" s="1"/>
  <c r="N5658" i="13"/>
  <c r="J5657" i="13" a="1"/>
  <c r="J5657" i="13" s="1"/>
  <c r="M5661" i="14"/>
  <c r="M5660" i="13"/>
  <c r="K5472" i="13" l="1"/>
  <c r="L5472" i="13" s="1"/>
  <c r="I5473" i="13" s="1"/>
  <c r="K5494" i="14"/>
  <c r="L5494" i="14" s="1"/>
  <c r="I5495" i="14" s="1"/>
  <c r="J5658" i="13" a="1"/>
  <c r="J5658" i="13" s="1"/>
  <c r="N5659" i="13"/>
  <c r="M5661" i="13"/>
  <c r="M5662" i="14"/>
  <c r="J5657" i="14" a="1"/>
  <c r="J5657" i="14" s="1"/>
  <c r="N5658" i="14"/>
  <c r="K5495" i="14" l="1"/>
  <c r="L5495" i="14" s="1"/>
  <c r="I5496" i="14" s="1"/>
  <c r="K5473" i="13"/>
  <c r="L5473" i="13" s="1"/>
  <c r="I5474" i="13" s="1"/>
  <c r="N5659" i="14"/>
  <c r="J5658" i="14" a="1"/>
  <c r="J5658" i="14" s="1"/>
  <c r="M5662" i="13"/>
  <c r="J5659" i="13" a="1"/>
  <c r="J5659" i="13" s="1"/>
  <c r="N5660" i="13"/>
  <c r="M5663" i="14"/>
  <c r="K5474" i="13" l="1"/>
  <c r="L5474" i="13" s="1"/>
  <c r="I5475" i="13" s="1"/>
  <c r="K5496" i="14"/>
  <c r="L5496" i="14" s="1"/>
  <c r="I5497" i="14" s="1"/>
  <c r="M5664" i="14"/>
  <c r="J5660" i="13" a="1"/>
  <c r="J5660" i="13" s="1"/>
  <c r="N5661" i="13"/>
  <c r="M5663" i="13"/>
  <c r="J5659" i="14" a="1"/>
  <c r="J5659" i="14" s="1"/>
  <c r="N5660" i="14"/>
  <c r="K5497" i="14" l="1"/>
  <c r="L5497" i="14" s="1"/>
  <c r="I5498" i="14" s="1"/>
  <c r="K5475" i="13"/>
  <c r="L5475" i="13" s="1"/>
  <c r="I5476" i="13" s="1"/>
  <c r="J5660" i="14" a="1"/>
  <c r="J5660" i="14" s="1"/>
  <c r="N5661" i="14"/>
  <c r="N5662" i="13"/>
  <c r="J5661" i="13" a="1"/>
  <c r="J5661" i="13" s="1"/>
  <c r="M5664" i="13"/>
  <c r="M5665" i="14"/>
  <c r="K5476" i="13" l="1"/>
  <c r="L5476" i="13" s="1"/>
  <c r="I5477" i="13" s="1"/>
  <c r="K5498" i="14"/>
  <c r="L5498" i="14" s="1"/>
  <c r="I5499" i="14" s="1"/>
  <c r="M5666" i="14"/>
  <c r="J5662" i="13" a="1"/>
  <c r="J5662" i="13" s="1"/>
  <c r="N5663" i="13"/>
  <c r="M5665" i="13"/>
  <c r="J5661" i="14" a="1"/>
  <c r="J5661" i="14" s="1"/>
  <c r="N5662" i="14"/>
  <c r="K5499" i="14" l="1"/>
  <c r="L5499" i="14" s="1"/>
  <c r="I5500" i="14" s="1"/>
  <c r="K5477" i="13"/>
  <c r="L5477" i="13" s="1"/>
  <c r="I5478" i="13" s="1"/>
  <c r="J5663" i="13" a="1"/>
  <c r="J5663" i="13" s="1"/>
  <c r="N5664" i="13"/>
  <c r="N5663" i="14"/>
  <c r="J5662" i="14" a="1"/>
  <c r="J5662" i="14" s="1"/>
  <c r="M5666" i="13"/>
  <c r="M5667" i="14"/>
  <c r="K5478" i="13" l="1"/>
  <c r="L5478" i="13" s="1"/>
  <c r="I5479" i="13" s="1"/>
  <c r="K5500" i="14"/>
  <c r="L5500" i="14" s="1"/>
  <c r="I5501" i="14" s="1"/>
  <c r="J5663" i="14" a="1"/>
  <c r="J5663" i="14" s="1"/>
  <c r="N5664" i="14"/>
  <c r="J5664" i="13" a="1"/>
  <c r="J5664" i="13" s="1"/>
  <c r="N5665" i="13"/>
  <c r="M5668" i="14"/>
  <c r="M5667" i="13"/>
  <c r="K5501" i="14" l="1"/>
  <c r="L5501" i="14" s="1"/>
  <c r="I5502" i="14" s="1"/>
  <c r="K5479" i="13"/>
  <c r="L5479" i="13" s="1"/>
  <c r="I5480" i="13" s="1"/>
  <c r="N5666" i="13"/>
  <c r="J5665" i="13" a="1"/>
  <c r="J5665" i="13" s="1"/>
  <c r="J5664" i="14" a="1"/>
  <c r="J5664" i="14" s="1"/>
  <c r="N5665" i="14"/>
  <c r="M5668" i="13"/>
  <c r="M5669" i="14"/>
  <c r="K5480" i="13" l="1"/>
  <c r="L5480" i="13" s="1"/>
  <c r="I5481" i="13" s="1"/>
  <c r="K5502" i="14"/>
  <c r="L5502" i="14" s="1"/>
  <c r="I5503" i="14" s="1"/>
  <c r="M5670" i="14"/>
  <c r="J5665" i="14" a="1"/>
  <c r="J5665" i="14" s="1"/>
  <c r="N5666" i="14"/>
  <c r="M5669" i="13"/>
  <c r="J5666" i="13" a="1"/>
  <c r="J5666" i="13" s="1"/>
  <c r="N5667" i="13"/>
  <c r="K5503" i="14" l="1"/>
  <c r="L5503" i="14" s="1"/>
  <c r="I5504" i="14" s="1"/>
  <c r="K5481" i="13"/>
  <c r="L5481" i="13" s="1"/>
  <c r="I5482" i="13" s="1"/>
  <c r="N5667" i="14"/>
  <c r="J5666" i="14" a="1"/>
  <c r="J5666" i="14" s="1"/>
  <c r="J5667" i="13" a="1"/>
  <c r="J5667" i="13" s="1"/>
  <c r="N5668" i="13"/>
  <c r="M5670" i="13"/>
  <c r="M5671" i="14"/>
  <c r="K5482" i="13" l="1"/>
  <c r="L5482" i="13" s="1"/>
  <c r="I5483" i="13" s="1"/>
  <c r="K5504" i="14"/>
  <c r="L5504" i="14" s="1"/>
  <c r="I5505" i="14" s="1"/>
  <c r="J5668" i="13" a="1"/>
  <c r="J5668" i="13" s="1"/>
  <c r="N5669" i="13"/>
  <c r="M5672" i="14"/>
  <c r="M5671" i="13"/>
  <c r="J5667" i="14" a="1"/>
  <c r="J5667" i="14" s="1"/>
  <c r="N5668" i="14"/>
  <c r="K5505" i="14" l="1"/>
  <c r="L5505" i="14" s="1"/>
  <c r="I5506" i="14" s="1"/>
  <c r="K5483" i="13"/>
  <c r="L5483" i="13" s="1"/>
  <c r="I5484" i="13" s="1"/>
  <c r="M5673" i="14"/>
  <c r="N5670" i="13"/>
  <c r="J5669" i="13" a="1"/>
  <c r="J5669" i="13" s="1"/>
  <c r="J5668" i="14" a="1"/>
  <c r="J5668" i="14" s="1"/>
  <c r="N5669" i="14"/>
  <c r="M5672" i="13"/>
  <c r="K5484" i="13" l="1"/>
  <c r="L5484" i="13" s="1"/>
  <c r="I5485" i="13" s="1"/>
  <c r="K5506" i="14"/>
  <c r="L5506" i="14" s="1"/>
  <c r="I5507" i="14" s="1"/>
  <c r="J5670" i="13" a="1"/>
  <c r="J5670" i="13" s="1"/>
  <c r="N5671" i="13"/>
  <c r="N5670" i="14"/>
  <c r="J5669" i="14" a="1"/>
  <c r="J5669" i="14" s="1"/>
  <c r="M5674" i="14"/>
  <c r="M5673" i="13"/>
  <c r="K5507" i="14" l="1"/>
  <c r="L5507" i="14" s="1"/>
  <c r="I5508" i="14" s="1"/>
  <c r="K5485" i="13"/>
  <c r="L5485" i="13" s="1"/>
  <c r="I5486" i="13" s="1"/>
  <c r="M5674" i="13"/>
  <c r="N5671" i="14"/>
  <c r="J5670" i="14" a="1"/>
  <c r="J5670" i="14" s="1"/>
  <c r="J5671" i="13" a="1"/>
  <c r="J5671" i="13" s="1"/>
  <c r="N5672" i="13"/>
  <c r="M5675" i="14"/>
  <c r="K5486" i="13" l="1"/>
  <c r="L5486" i="13" s="1"/>
  <c r="I5487" i="13" s="1"/>
  <c r="K5508" i="14"/>
  <c r="L5508" i="14" s="1"/>
  <c r="I5509" i="14" s="1"/>
  <c r="J5671" i="14" a="1"/>
  <c r="J5671" i="14" s="1"/>
  <c r="N5672" i="14"/>
  <c r="J5672" i="13" a="1"/>
  <c r="J5672" i="13" s="1"/>
  <c r="N5673" i="13"/>
  <c r="M5676" i="14"/>
  <c r="M5675" i="13"/>
  <c r="K5509" i="14" l="1"/>
  <c r="L5509" i="14" s="1"/>
  <c r="I5510" i="14" s="1"/>
  <c r="K5487" i="13"/>
  <c r="L5487" i="13" s="1"/>
  <c r="I5488" i="13" s="1"/>
  <c r="N5674" i="13"/>
  <c r="J5673" i="13" a="1"/>
  <c r="J5673" i="13" s="1"/>
  <c r="N5673" i="14"/>
  <c r="J5672" i="14" a="1"/>
  <c r="J5672" i="14" s="1"/>
  <c r="M5676" i="13"/>
  <c r="M5677" i="14"/>
  <c r="K5488" i="13" l="1"/>
  <c r="L5488" i="13" s="1"/>
  <c r="I5489" i="13" s="1"/>
  <c r="K5510" i="14"/>
  <c r="L5510" i="14" s="1"/>
  <c r="I5511" i="14" s="1"/>
  <c r="N5674" i="14"/>
  <c r="J5673" i="14" a="1"/>
  <c r="J5673" i="14" s="1"/>
  <c r="M5678" i="14"/>
  <c r="M5677" i="13"/>
  <c r="J5674" i="13" a="1"/>
  <c r="J5674" i="13" s="1"/>
  <c r="N5675" i="13"/>
  <c r="K5511" i="14" l="1"/>
  <c r="L5511" i="14" s="1"/>
  <c r="I5512" i="14" s="1"/>
  <c r="K5489" i="13"/>
  <c r="L5489" i="13" s="1"/>
  <c r="I5490" i="13" s="1"/>
  <c r="J5675" i="13" a="1"/>
  <c r="J5675" i="13" s="1"/>
  <c r="N5676" i="13"/>
  <c r="M5679" i="14"/>
  <c r="M5678" i="13"/>
  <c r="N5675" i="14"/>
  <c r="J5674" i="14" a="1"/>
  <c r="J5674" i="14" s="1"/>
  <c r="K5490" i="13" l="1"/>
  <c r="L5490" i="13" s="1"/>
  <c r="I5491" i="13" s="1"/>
  <c r="K5512" i="14"/>
  <c r="L5512" i="14" s="1"/>
  <c r="I5513" i="14" s="1"/>
  <c r="J5675" i="14" a="1"/>
  <c r="J5675" i="14" s="1"/>
  <c r="N5676" i="14"/>
  <c r="M5680" i="14"/>
  <c r="J5676" i="13" a="1"/>
  <c r="J5676" i="13" s="1"/>
  <c r="N5677" i="13"/>
  <c r="M5679" i="13"/>
  <c r="K5513" i="14" l="1"/>
  <c r="L5513" i="14" s="1"/>
  <c r="I5514" i="14" s="1"/>
  <c r="K5491" i="13"/>
  <c r="L5491" i="13" s="1"/>
  <c r="I5492" i="13" s="1"/>
  <c r="M5680" i="13"/>
  <c r="M5681" i="14"/>
  <c r="N5678" i="13"/>
  <c r="J5677" i="13" a="1"/>
  <c r="J5677" i="13" s="1"/>
  <c r="J5676" i="14" a="1"/>
  <c r="J5676" i="14" s="1"/>
  <c r="N5677" i="14"/>
  <c r="K5492" i="13" l="1"/>
  <c r="L5492" i="13" s="1"/>
  <c r="I5493" i="13" s="1"/>
  <c r="K5514" i="14"/>
  <c r="L5514" i="14" s="1"/>
  <c r="I5515" i="14" s="1"/>
  <c r="M5682" i="14"/>
  <c r="N5678" i="14"/>
  <c r="J5677" i="14" a="1"/>
  <c r="J5677" i="14" s="1"/>
  <c r="M5681" i="13"/>
  <c r="J5678" i="13" a="1"/>
  <c r="J5678" i="13" s="1"/>
  <c r="N5679" i="13"/>
  <c r="K5515" i="14" l="1"/>
  <c r="L5515" i="14" s="1"/>
  <c r="I5516" i="14" s="1"/>
  <c r="K5493" i="13"/>
  <c r="L5493" i="13" s="1"/>
  <c r="I5494" i="13" s="1"/>
  <c r="N5679" i="14"/>
  <c r="J5678" i="14" a="1"/>
  <c r="J5678" i="14" s="1"/>
  <c r="J5679" i="13" a="1"/>
  <c r="J5679" i="13" s="1"/>
  <c r="N5680" i="13"/>
  <c r="M5682" i="13"/>
  <c r="M5683" i="14"/>
  <c r="K5494" i="13" l="1"/>
  <c r="L5494" i="13" s="1"/>
  <c r="I5495" i="13" s="1"/>
  <c r="K5516" i="14"/>
  <c r="L5516" i="14" s="1"/>
  <c r="I5517" i="14" s="1"/>
  <c r="J5680" i="13" a="1"/>
  <c r="J5680" i="13" s="1"/>
  <c r="N5681" i="13"/>
  <c r="M5684" i="14"/>
  <c r="M5683" i="13"/>
  <c r="J5679" i="14" a="1"/>
  <c r="J5679" i="14" s="1"/>
  <c r="N5680" i="14"/>
  <c r="K5517" i="14" l="1"/>
  <c r="L5517" i="14" s="1"/>
  <c r="I5518" i="14" s="1"/>
  <c r="K5495" i="13"/>
  <c r="L5495" i="13" s="1"/>
  <c r="I5496" i="13" s="1"/>
  <c r="J5680" i="14" a="1"/>
  <c r="J5680" i="14" s="1"/>
  <c r="N5681" i="14"/>
  <c r="M5685" i="14"/>
  <c r="N5682" i="13"/>
  <c r="J5681" i="13" a="1"/>
  <c r="J5681" i="13" s="1"/>
  <c r="M5684" i="13"/>
  <c r="K5496" i="13" l="1"/>
  <c r="L5496" i="13" s="1"/>
  <c r="I5497" i="13" s="1"/>
  <c r="K5518" i="14"/>
  <c r="L5518" i="14" s="1"/>
  <c r="I5519" i="14" s="1"/>
  <c r="M5685" i="13"/>
  <c r="M5686" i="14"/>
  <c r="J5682" i="13" a="1"/>
  <c r="J5682" i="13" s="1"/>
  <c r="N5683" i="13"/>
  <c r="J5681" i="14" a="1"/>
  <c r="J5681" i="14" s="1"/>
  <c r="N5682" i="14"/>
  <c r="K5497" i="13" l="1"/>
  <c r="L5497" i="13" s="1"/>
  <c r="I5498" i="13" s="1"/>
  <c r="N5683" i="14"/>
  <c r="J5682" i="14" a="1"/>
  <c r="J5682" i="14" s="1"/>
  <c r="M5687" i="14"/>
  <c r="K5519" i="14"/>
  <c r="L5519" i="14" s="1"/>
  <c r="I5520" i="14" s="1"/>
  <c r="J5683" i="13" a="1"/>
  <c r="J5683" i="13" s="1"/>
  <c r="N5684" i="13"/>
  <c r="M5686" i="13"/>
  <c r="K5520" i="14" l="1"/>
  <c r="L5520" i="14" s="1"/>
  <c r="I5521" i="14" s="1"/>
  <c r="K5498" i="13"/>
  <c r="L5498" i="13" s="1"/>
  <c r="I5499" i="13" s="1"/>
  <c r="M5687" i="13"/>
  <c r="J5683" i="14" a="1"/>
  <c r="J5683" i="14" s="1"/>
  <c r="N5684" i="14"/>
  <c r="J5684" i="13" a="1"/>
  <c r="J5684" i="13" s="1"/>
  <c r="N5685" i="13"/>
  <c r="M5688" i="14"/>
  <c r="K5499" i="13" l="1"/>
  <c r="L5499" i="13" s="1"/>
  <c r="I5500" i="13" s="1"/>
  <c r="K5521" i="14"/>
  <c r="L5521" i="14" s="1"/>
  <c r="I5522" i="14" s="1"/>
  <c r="J5684" i="14" a="1"/>
  <c r="J5684" i="14" s="1"/>
  <c r="N5685" i="14"/>
  <c r="M5689" i="14"/>
  <c r="N5686" i="13"/>
  <c r="J5685" i="13" a="1"/>
  <c r="J5685" i="13" s="1"/>
  <c r="M5688" i="13"/>
  <c r="K5522" i="14" l="1"/>
  <c r="L5522" i="14" s="1"/>
  <c r="I5523" i="14" s="1"/>
  <c r="K5500" i="13"/>
  <c r="L5500" i="13" s="1"/>
  <c r="I5501" i="13" s="1"/>
  <c r="M5689" i="13"/>
  <c r="M5690" i="14"/>
  <c r="J5686" i="13" a="1"/>
  <c r="J5686" i="13" s="1"/>
  <c r="N5687" i="13"/>
  <c r="N5686" i="14"/>
  <c r="J5685" i="14" a="1"/>
  <c r="J5685" i="14" s="1"/>
  <c r="K5501" i="13" l="1"/>
  <c r="L5501" i="13" s="1"/>
  <c r="I5502" i="13" s="1"/>
  <c r="K5523" i="14"/>
  <c r="L5523" i="14" s="1"/>
  <c r="I5524" i="14" s="1"/>
  <c r="N5687" i="14"/>
  <c r="J5686" i="14" a="1"/>
  <c r="J5686" i="14" s="1"/>
  <c r="M5691" i="14"/>
  <c r="J5687" i="13" a="1"/>
  <c r="J5687" i="13" s="1"/>
  <c r="N5688" i="13"/>
  <c r="M5690" i="13"/>
  <c r="K5524" i="14" l="1"/>
  <c r="L5524" i="14" s="1"/>
  <c r="I5525" i="14" s="1"/>
  <c r="K5502" i="13"/>
  <c r="L5502" i="13" s="1"/>
  <c r="I5503" i="13" s="1"/>
  <c r="M5691" i="13"/>
  <c r="M5692" i="14"/>
  <c r="J5688" i="13" a="1"/>
  <c r="J5688" i="13" s="1"/>
  <c r="N5689" i="13"/>
  <c r="J5687" i="14" a="1"/>
  <c r="J5687" i="14" s="1"/>
  <c r="N5688" i="14"/>
  <c r="K5503" i="13" l="1"/>
  <c r="L5503" i="13" s="1"/>
  <c r="I5504" i="13" s="1"/>
  <c r="K5525" i="14"/>
  <c r="L5525" i="14" s="1"/>
  <c r="I5526" i="14" s="1"/>
  <c r="J5688" i="14" a="1"/>
  <c r="J5688" i="14" s="1"/>
  <c r="N5689" i="14"/>
  <c r="M5693" i="14"/>
  <c r="N5690" i="13"/>
  <c r="J5689" i="13" a="1"/>
  <c r="J5689" i="13" s="1"/>
  <c r="M5692" i="13"/>
  <c r="K5526" i="14" l="1"/>
  <c r="L5526" i="14" s="1"/>
  <c r="I5527" i="14" s="1"/>
  <c r="K5504" i="13"/>
  <c r="L5504" i="13" s="1"/>
  <c r="I5505" i="13" s="1"/>
  <c r="M5693" i="13"/>
  <c r="M5694" i="14"/>
  <c r="J5690" i="13" a="1"/>
  <c r="J5690" i="13" s="1"/>
  <c r="N5691" i="13"/>
  <c r="J5689" i="14" a="1"/>
  <c r="J5689" i="14" s="1"/>
  <c r="N5690" i="14"/>
  <c r="K5505" i="13" l="1"/>
  <c r="L5505" i="13" s="1"/>
  <c r="I5506" i="13" s="1"/>
  <c r="K5527" i="14"/>
  <c r="L5527" i="14" s="1"/>
  <c r="I5528" i="14" s="1"/>
  <c r="J5691" i="13" a="1"/>
  <c r="J5691" i="13" s="1"/>
  <c r="N5692" i="13"/>
  <c r="N5691" i="14"/>
  <c r="J5690" i="14" a="1"/>
  <c r="J5690" i="14" s="1"/>
  <c r="M5695" i="14"/>
  <c r="M5694" i="13"/>
  <c r="K5528" i="14" l="1"/>
  <c r="L5528" i="14" s="1"/>
  <c r="I5529" i="14" s="1"/>
  <c r="K5506" i="13"/>
  <c r="L5506" i="13" s="1"/>
  <c r="I5507" i="13" s="1"/>
  <c r="M5695" i="13"/>
  <c r="J5691" i="14" a="1"/>
  <c r="J5691" i="14" s="1"/>
  <c r="N5692" i="14"/>
  <c r="J5692" i="13" a="1"/>
  <c r="J5692" i="13" s="1"/>
  <c r="N5693" i="13"/>
  <c r="M5696" i="14"/>
  <c r="K5507" i="13" l="1"/>
  <c r="L5507" i="13" s="1"/>
  <c r="I5508" i="13" s="1"/>
  <c r="K5529" i="14"/>
  <c r="L5529" i="14" s="1"/>
  <c r="I5530" i="14" s="1"/>
  <c r="J5692" i="14" a="1"/>
  <c r="J5692" i="14" s="1"/>
  <c r="N5693" i="14"/>
  <c r="N5694" i="13"/>
  <c r="J5693" i="13" a="1"/>
  <c r="J5693" i="13" s="1"/>
  <c r="M5697" i="14"/>
  <c r="M5696" i="13"/>
  <c r="K5530" i="14" l="1"/>
  <c r="L5530" i="14" s="1"/>
  <c r="I5531" i="14" s="1"/>
  <c r="K5508" i="13"/>
  <c r="L5508" i="13" s="1"/>
  <c r="I5509" i="13" s="1"/>
  <c r="M5697" i="13"/>
  <c r="J5694" i="13" a="1"/>
  <c r="J5694" i="13" s="1"/>
  <c r="N5695" i="13"/>
  <c r="N5694" i="14"/>
  <c r="J5693" i="14" a="1"/>
  <c r="J5693" i="14" s="1"/>
  <c r="M5698" i="14"/>
  <c r="K5509" i="13" l="1"/>
  <c r="L5509" i="13" s="1"/>
  <c r="I5510" i="13" s="1"/>
  <c r="K5531" i="14"/>
  <c r="L5531" i="14" s="1"/>
  <c r="I5532" i="14" s="1"/>
  <c r="J5695" i="13" a="1"/>
  <c r="J5695" i="13" s="1"/>
  <c r="N5696" i="13"/>
  <c r="M5699" i="14"/>
  <c r="N5695" i="14"/>
  <c r="J5694" i="14" a="1"/>
  <c r="J5694" i="14" s="1"/>
  <c r="M5698" i="13"/>
  <c r="K5532" i="14" l="1"/>
  <c r="L5532" i="14" s="1"/>
  <c r="I5533" i="14" s="1"/>
  <c r="K5510" i="13"/>
  <c r="L5510" i="13" s="1"/>
  <c r="I5511" i="13" s="1"/>
  <c r="J5695" i="14" a="1"/>
  <c r="J5695" i="14" s="1"/>
  <c r="N5696" i="14"/>
  <c r="M5699" i="13"/>
  <c r="M5700" i="14"/>
  <c r="J5696" i="13" a="1"/>
  <c r="J5696" i="13" s="1"/>
  <c r="N5697" i="13"/>
  <c r="K5511" i="13" l="1"/>
  <c r="L5511" i="13" s="1"/>
  <c r="I5512" i="13" s="1"/>
  <c r="K5533" i="14"/>
  <c r="L5533" i="14" s="1"/>
  <c r="I5534" i="14" s="1"/>
  <c r="N5698" i="13"/>
  <c r="J5697" i="13" a="1"/>
  <c r="J5697" i="13" s="1"/>
  <c r="M5700" i="13"/>
  <c r="J5696" i="14" a="1"/>
  <c r="J5696" i="14" s="1"/>
  <c r="N5697" i="14"/>
  <c r="M5701" i="14"/>
  <c r="K5512" i="13" l="1"/>
  <c r="L5512" i="13" s="1"/>
  <c r="I5513" i="13" s="1"/>
  <c r="J5697" i="14" a="1"/>
  <c r="J5697" i="14" s="1"/>
  <c r="N5698" i="14"/>
  <c r="M5702" i="14"/>
  <c r="M5701" i="13"/>
  <c r="K5534" i="14"/>
  <c r="L5534" i="14" s="1"/>
  <c r="I5535" i="14" s="1"/>
  <c r="J5698" i="13" a="1"/>
  <c r="J5698" i="13" s="1"/>
  <c r="N5699" i="13"/>
  <c r="K5535" i="14" l="1"/>
  <c r="L5535" i="14" s="1"/>
  <c r="I5536" i="14" s="1"/>
  <c r="K5513" i="13"/>
  <c r="L5513" i="13" s="1"/>
  <c r="I5514" i="13" s="1"/>
  <c r="N5699" i="14"/>
  <c r="J5698" i="14" a="1"/>
  <c r="J5698" i="14" s="1"/>
  <c r="J5699" i="13" a="1"/>
  <c r="J5699" i="13" s="1"/>
  <c r="N5700" i="13"/>
  <c r="M5702" i="13"/>
  <c r="M5703" i="14"/>
  <c r="K5536" i="14" l="1"/>
  <c r="L5536" i="14" s="1"/>
  <c r="I5537" i="14" s="1"/>
  <c r="J5700" i="13" a="1"/>
  <c r="J5700" i="13" s="1"/>
  <c r="N5701" i="13"/>
  <c r="K5514" i="13"/>
  <c r="L5514" i="13" s="1"/>
  <c r="I5515" i="13" s="1"/>
  <c r="M5704" i="14"/>
  <c r="M5703" i="13"/>
  <c r="J5699" i="14" a="1"/>
  <c r="J5699" i="14" s="1"/>
  <c r="N5700" i="14"/>
  <c r="K5515" i="13" l="1"/>
  <c r="L5515" i="13" s="1"/>
  <c r="I5516" i="13" s="1"/>
  <c r="K5537" i="14"/>
  <c r="L5537" i="14" s="1"/>
  <c r="I5538" i="14" s="1"/>
  <c r="J5700" i="14" a="1"/>
  <c r="J5700" i="14" s="1"/>
  <c r="N5701" i="14"/>
  <c r="N5702" i="13"/>
  <c r="J5701" i="13" a="1"/>
  <c r="J5701" i="13" s="1"/>
  <c r="M5705" i="14"/>
  <c r="M5704" i="13"/>
  <c r="K5538" i="14" l="1"/>
  <c r="L5538" i="14" s="1"/>
  <c r="I5539" i="14" s="1"/>
  <c r="K5516" i="13"/>
  <c r="L5516" i="13" s="1"/>
  <c r="I5517" i="13" s="1"/>
  <c r="J5702" i="13" a="1"/>
  <c r="J5702" i="13" s="1"/>
  <c r="N5703" i="13"/>
  <c r="N5702" i="14"/>
  <c r="J5701" i="14" a="1"/>
  <c r="J5701" i="14" s="1"/>
  <c r="M5705" i="13"/>
  <c r="M5706" i="14"/>
  <c r="K5517" i="13" l="1"/>
  <c r="L5517" i="13" s="1"/>
  <c r="I5518" i="13" s="1"/>
  <c r="K5539" i="14"/>
  <c r="L5539" i="14" s="1"/>
  <c r="I5540" i="14" s="1"/>
  <c r="N5703" i="14"/>
  <c r="J5702" i="14" a="1"/>
  <c r="J5702" i="14" s="1"/>
  <c r="J5703" i="13" a="1"/>
  <c r="J5703" i="13" s="1"/>
  <c r="N5704" i="13"/>
  <c r="M5707" i="14"/>
  <c r="M5706" i="13"/>
  <c r="K5540" i="14" l="1"/>
  <c r="L5540" i="14" s="1"/>
  <c r="I5541" i="14" s="1"/>
  <c r="K5518" i="13"/>
  <c r="L5518" i="13" s="1"/>
  <c r="I5519" i="13" s="1"/>
  <c r="J5704" i="13" a="1"/>
  <c r="J5704" i="13" s="1"/>
  <c r="N5705" i="13"/>
  <c r="M5707" i="13"/>
  <c r="M5708" i="14"/>
  <c r="J5703" i="14" a="1"/>
  <c r="J5703" i="14" s="1"/>
  <c r="N5704" i="14"/>
  <c r="K5519" i="13" l="1"/>
  <c r="L5519" i="13" s="1"/>
  <c r="I5520" i="13" s="1"/>
  <c r="K5541" i="14"/>
  <c r="L5541" i="14" s="1"/>
  <c r="I5542" i="14" s="1"/>
  <c r="J5704" i="14" a="1"/>
  <c r="J5704" i="14" s="1"/>
  <c r="N5705" i="14"/>
  <c r="M5708" i="13"/>
  <c r="N5706" i="13"/>
  <c r="J5705" i="13" a="1"/>
  <c r="J5705" i="13" s="1"/>
  <c r="M5709" i="14"/>
  <c r="K5542" i="14" l="1"/>
  <c r="L5542" i="14" s="1"/>
  <c r="I5543" i="14" s="1"/>
  <c r="K5520" i="13"/>
  <c r="L5520" i="13" s="1"/>
  <c r="I5521" i="13" s="1"/>
  <c r="M5710" i="14"/>
  <c r="M5709" i="13"/>
  <c r="J5706" i="13" a="1"/>
  <c r="J5706" i="13" s="1"/>
  <c r="N5707" i="13"/>
  <c r="J5705" i="14" a="1"/>
  <c r="J5705" i="14" s="1"/>
  <c r="N5706" i="14"/>
  <c r="K5521" i="13" l="1"/>
  <c r="L5521" i="13" s="1"/>
  <c r="I5522" i="13" s="1"/>
  <c r="K5543" i="14"/>
  <c r="L5543" i="14" s="1"/>
  <c r="I5544" i="14" s="1"/>
  <c r="N5707" i="14"/>
  <c r="J5706" i="14" a="1"/>
  <c r="J5706" i="14" s="1"/>
  <c r="M5710" i="13"/>
  <c r="J5707" i="13" a="1"/>
  <c r="J5707" i="13" s="1"/>
  <c r="N5708" i="13"/>
  <c r="M5711" i="14"/>
  <c r="K5544" i="14" l="1"/>
  <c r="L5544" i="14" s="1"/>
  <c r="I5545" i="14" s="1"/>
  <c r="K5522" i="13"/>
  <c r="L5522" i="13" s="1"/>
  <c r="I5523" i="13" s="1"/>
  <c r="J5708" i="13" a="1"/>
  <c r="J5708" i="13" s="1"/>
  <c r="N5709" i="13"/>
  <c r="M5712" i="14"/>
  <c r="M5711" i="13"/>
  <c r="J5707" i="14" a="1"/>
  <c r="J5707" i="14" s="1"/>
  <c r="N5708" i="14"/>
  <c r="K5523" i="13" l="1"/>
  <c r="L5523" i="13" s="1"/>
  <c r="I5524" i="13" s="1"/>
  <c r="K5545" i="14"/>
  <c r="L5545" i="14" s="1"/>
  <c r="I5546" i="14" s="1"/>
  <c r="J5708" i="14" a="1"/>
  <c r="J5708" i="14" s="1"/>
  <c r="N5709" i="14"/>
  <c r="M5713" i="14"/>
  <c r="N5710" i="13"/>
  <c r="J5709" i="13" a="1"/>
  <c r="J5709" i="13" s="1"/>
  <c r="M5712" i="13"/>
  <c r="J5710" i="13" l="1" a="1"/>
  <c r="J5710" i="13" s="1"/>
  <c r="N5711" i="13"/>
  <c r="M5713" i="13"/>
  <c r="M5714" i="14"/>
  <c r="K5546" i="14"/>
  <c r="L5546" i="14" s="1"/>
  <c r="I5547" i="14" s="1"/>
  <c r="N5710" i="14"/>
  <c r="J5709" i="14" a="1"/>
  <c r="J5709" i="14" s="1"/>
  <c r="K5524" i="13"/>
  <c r="L5524" i="13" s="1"/>
  <c r="I5525" i="13" s="1"/>
  <c r="K5525" i="13" l="1"/>
  <c r="L5525" i="13" s="1"/>
  <c r="I5526" i="13" s="1"/>
  <c r="K5547" i="14"/>
  <c r="L5547" i="14" s="1"/>
  <c r="I5548" i="14" s="1"/>
  <c r="M5714" i="13"/>
  <c r="J5711" i="13" a="1"/>
  <c r="J5711" i="13" s="1"/>
  <c r="N5712" i="13"/>
  <c r="N5711" i="14"/>
  <c r="J5710" i="14" a="1"/>
  <c r="J5710" i="14" s="1"/>
  <c r="M5715" i="14"/>
  <c r="K5526" i="13" l="1"/>
  <c r="L5526" i="13" s="1"/>
  <c r="I5527" i="13" s="1"/>
  <c r="J5712" i="13" a="1"/>
  <c r="J5712" i="13" s="1"/>
  <c r="N5713" i="13"/>
  <c r="K5548" i="14"/>
  <c r="L5548" i="14" s="1"/>
  <c r="I5549" i="14" s="1"/>
  <c r="M5716" i="14"/>
  <c r="J5711" i="14" a="1"/>
  <c r="J5711" i="14" s="1"/>
  <c r="N5712" i="14"/>
  <c r="M5715" i="13"/>
  <c r="K5549" i="14" l="1"/>
  <c r="L5549" i="14" s="1"/>
  <c r="I5550" i="14" s="1"/>
  <c r="K5527" i="13"/>
  <c r="L5527" i="13" s="1"/>
  <c r="I5528" i="13" s="1"/>
  <c r="N5714" i="13"/>
  <c r="J5713" i="13" a="1"/>
  <c r="J5713" i="13" s="1"/>
  <c r="M5717" i="14"/>
  <c r="M5716" i="13"/>
  <c r="J5712" i="14" a="1"/>
  <c r="J5712" i="14" s="1"/>
  <c r="N5713" i="14"/>
  <c r="K5528" i="13" l="1"/>
  <c r="L5528" i="13" s="1"/>
  <c r="I5529" i="13" s="1"/>
  <c r="K5550" i="14"/>
  <c r="L5550" i="14" s="1"/>
  <c r="I5551" i="14" s="1"/>
  <c r="J5713" i="14" a="1"/>
  <c r="J5713" i="14" s="1"/>
  <c r="N5714" i="14"/>
  <c r="M5718" i="14"/>
  <c r="M5717" i="13"/>
  <c r="J5714" i="13" a="1"/>
  <c r="J5714" i="13" s="1"/>
  <c r="N5715" i="13"/>
  <c r="K5551" i="14" l="1"/>
  <c r="L5551" i="14" s="1"/>
  <c r="I5552" i="14" s="1"/>
  <c r="K5529" i="13"/>
  <c r="L5529" i="13" s="1"/>
  <c r="I5530" i="13" s="1"/>
  <c r="J5715" i="13" a="1"/>
  <c r="J5715" i="13" s="1"/>
  <c r="N5716" i="13"/>
  <c r="M5719" i="14"/>
  <c r="N5715" i="14"/>
  <c r="J5714" i="14" a="1"/>
  <c r="J5714" i="14" s="1"/>
  <c r="M5718" i="13"/>
  <c r="K5530" i="13" l="1"/>
  <c r="L5530" i="13" s="1"/>
  <c r="I5531" i="13" s="1"/>
  <c r="K5552" i="14"/>
  <c r="L5552" i="14" s="1"/>
  <c r="I5553" i="14" s="1"/>
  <c r="J5715" i="14" a="1"/>
  <c r="J5715" i="14" s="1"/>
  <c r="N5716" i="14"/>
  <c r="M5719" i="13"/>
  <c r="M5720" i="14"/>
  <c r="J5716" i="13" a="1"/>
  <c r="J5716" i="13" s="1"/>
  <c r="N5717" i="13"/>
  <c r="K5553" i="14" l="1"/>
  <c r="L5553" i="14" s="1"/>
  <c r="I5554" i="14" s="1"/>
  <c r="K5531" i="13"/>
  <c r="L5531" i="13" s="1"/>
  <c r="I5532" i="13" s="1"/>
  <c r="N5718" i="13"/>
  <c r="J5717" i="13" a="1"/>
  <c r="J5717" i="13" s="1"/>
  <c r="M5720" i="13"/>
  <c r="J5716" i="14" a="1"/>
  <c r="J5716" i="14" s="1"/>
  <c r="N5717" i="14"/>
  <c r="M5721" i="14"/>
  <c r="K5532" i="13" l="1"/>
  <c r="L5532" i="13" s="1"/>
  <c r="I5533" i="13" s="1"/>
  <c r="K5554" i="14"/>
  <c r="L5554" i="14" s="1"/>
  <c r="I5555" i="14" s="1"/>
  <c r="N5718" i="14"/>
  <c r="J5717" i="14" a="1"/>
  <c r="J5717" i="14" s="1"/>
  <c r="M5722" i="14"/>
  <c r="M5721" i="13"/>
  <c r="J5718" i="13" a="1"/>
  <c r="J5718" i="13" s="1"/>
  <c r="N5719" i="13"/>
  <c r="K5555" i="14" l="1"/>
  <c r="L5555" i="14" s="1"/>
  <c r="I5556" i="14" s="1"/>
  <c r="K5533" i="13"/>
  <c r="L5533" i="13" s="1"/>
  <c r="I5534" i="13" s="1"/>
  <c r="J5719" i="13" a="1"/>
  <c r="J5719" i="13" s="1"/>
  <c r="N5720" i="13"/>
  <c r="M5723" i="14"/>
  <c r="M5722" i="13"/>
  <c r="N5719" i="14"/>
  <c r="J5718" i="14" a="1"/>
  <c r="J5718" i="14" s="1"/>
  <c r="K5534" i="13" l="1"/>
  <c r="L5534" i="13" s="1"/>
  <c r="I5535" i="13" s="1"/>
  <c r="K5556" i="14"/>
  <c r="L5556" i="14" s="1"/>
  <c r="I5557" i="14" s="1"/>
  <c r="J5719" i="14" a="1"/>
  <c r="J5719" i="14" s="1"/>
  <c r="N5720" i="14"/>
  <c r="M5724" i="14"/>
  <c r="J5720" i="13" a="1"/>
  <c r="J5720" i="13" s="1"/>
  <c r="N5721" i="13"/>
  <c r="M5723" i="13"/>
  <c r="K5557" i="14" l="1"/>
  <c r="L5557" i="14" s="1"/>
  <c r="I5558" i="14" s="1"/>
  <c r="K5535" i="13"/>
  <c r="L5535" i="13" s="1"/>
  <c r="I5536" i="13" s="1"/>
  <c r="M5724" i="13"/>
  <c r="M5725" i="14"/>
  <c r="J5720" i="14" a="1"/>
  <c r="J5720" i="14" s="1"/>
  <c r="N5721" i="14"/>
  <c r="N5722" i="13"/>
  <c r="J5721" i="13" a="1"/>
  <c r="J5721" i="13" s="1"/>
  <c r="K5536" i="13" l="1"/>
  <c r="L5536" i="13" s="1"/>
  <c r="I5537" i="13" s="1"/>
  <c r="K5558" i="14"/>
  <c r="L5558" i="14" s="1"/>
  <c r="I5559" i="14" s="1"/>
  <c r="M5726" i="14"/>
  <c r="J5722" i="13" a="1"/>
  <c r="J5722" i="13" s="1"/>
  <c r="N5723" i="13"/>
  <c r="J5721" i="14" a="1"/>
  <c r="J5721" i="14" s="1"/>
  <c r="N5722" i="14"/>
  <c r="M5725" i="13"/>
  <c r="K5559" i="14" l="1"/>
  <c r="L5559" i="14" s="1"/>
  <c r="I5560" i="14" s="1"/>
  <c r="K5537" i="13"/>
  <c r="L5537" i="13" s="1"/>
  <c r="I5538" i="13" s="1"/>
  <c r="J5723" i="13" a="1"/>
  <c r="J5723" i="13" s="1"/>
  <c r="N5724" i="13"/>
  <c r="N5723" i="14"/>
  <c r="J5722" i="14" a="1"/>
  <c r="J5722" i="14" s="1"/>
  <c r="M5726" i="13"/>
  <c r="M5727" i="14"/>
  <c r="K5538" i="13" l="1"/>
  <c r="L5538" i="13" s="1"/>
  <c r="I5539" i="13" s="1"/>
  <c r="K5560" i="14"/>
  <c r="L5560" i="14" s="1"/>
  <c r="I5561" i="14" s="1"/>
  <c r="J5723" i="14" a="1"/>
  <c r="J5723" i="14" s="1"/>
  <c r="N5724" i="14"/>
  <c r="J5724" i="13" a="1"/>
  <c r="J5724" i="13" s="1"/>
  <c r="N5725" i="13"/>
  <c r="M5728" i="14"/>
  <c r="M5727" i="13"/>
  <c r="K5561" i="14" l="1"/>
  <c r="L5561" i="14" s="1"/>
  <c r="I5562" i="14" s="1"/>
  <c r="K5539" i="13"/>
  <c r="L5539" i="13" s="1"/>
  <c r="I5540" i="13" s="1"/>
  <c r="N5726" i="13"/>
  <c r="J5725" i="13" a="1"/>
  <c r="J5725" i="13" s="1"/>
  <c r="J5724" i="14" a="1"/>
  <c r="J5724" i="14" s="1"/>
  <c r="N5725" i="14"/>
  <c r="M5728" i="13"/>
  <c r="M5729" i="14"/>
  <c r="K5540" i="13" l="1"/>
  <c r="L5540" i="13" s="1"/>
  <c r="I5541" i="13" s="1"/>
  <c r="K5562" i="14"/>
  <c r="L5562" i="14" s="1"/>
  <c r="I5563" i="14" s="1"/>
  <c r="M5730" i="14"/>
  <c r="J5725" i="14" a="1"/>
  <c r="J5725" i="14" s="1"/>
  <c r="N5726" i="14"/>
  <c r="M5729" i="13"/>
  <c r="J5726" i="13" a="1"/>
  <c r="J5726" i="13" s="1"/>
  <c r="N5727" i="13"/>
  <c r="K5563" i="14" l="1"/>
  <c r="L5563" i="14" s="1"/>
  <c r="I5564" i="14" s="1"/>
  <c r="K5541" i="13"/>
  <c r="L5541" i="13" s="1"/>
  <c r="I5542" i="13" s="1"/>
  <c r="N5727" i="14"/>
  <c r="J5726" i="14" a="1"/>
  <c r="J5726" i="14" s="1"/>
  <c r="J5727" i="13" a="1"/>
  <c r="J5727" i="13" s="1"/>
  <c r="N5728" i="13"/>
  <c r="M5730" i="13"/>
  <c r="M5731" i="14"/>
  <c r="K5542" i="13" l="1"/>
  <c r="L5542" i="13" s="1"/>
  <c r="I5543" i="13" s="1"/>
  <c r="M5731" i="13"/>
  <c r="K5564" i="14"/>
  <c r="L5564" i="14" s="1"/>
  <c r="I5565" i="14" s="1"/>
  <c r="J5728" i="13" a="1"/>
  <c r="J5728" i="13" s="1"/>
  <c r="N5729" i="13"/>
  <c r="J5727" i="14" a="1"/>
  <c r="J5727" i="14" s="1"/>
  <c r="N5728" i="14"/>
  <c r="M5732" i="14"/>
  <c r="K5565" i="14" l="1"/>
  <c r="L5565" i="14" s="1"/>
  <c r="I5566" i="14" s="1"/>
  <c r="K5543" i="13"/>
  <c r="L5543" i="13" s="1"/>
  <c r="I5544" i="13" s="1"/>
  <c r="N5730" i="13"/>
  <c r="J5729" i="13" a="1"/>
  <c r="J5729" i="13" s="1"/>
  <c r="M5732" i="13"/>
  <c r="J5728" i="14" a="1"/>
  <c r="J5728" i="14" s="1"/>
  <c r="N5729" i="14"/>
  <c r="M5733" i="14"/>
  <c r="K5544" i="13" l="1"/>
  <c r="L5544" i="13" s="1"/>
  <c r="I5545" i="13" s="1"/>
  <c r="K5566" i="14"/>
  <c r="L5566" i="14" s="1"/>
  <c r="I5567" i="14" s="1"/>
  <c r="M5734" i="14"/>
  <c r="J5729" i="14" a="1"/>
  <c r="J5729" i="14" s="1"/>
  <c r="N5730" i="14"/>
  <c r="M5733" i="13"/>
  <c r="J5730" i="13" a="1"/>
  <c r="J5730" i="13" s="1"/>
  <c r="N5731" i="13"/>
  <c r="K5567" i="14" l="1"/>
  <c r="L5567" i="14" s="1"/>
  <c r="I5568" i="14" s="1"/>
  <c r="K5545" i="13"/>
  <c r="L5545" i="13" s="1"/>
  <c r="I5546" i="13" s="1"/>
  <c r="J5731" i="13" a="1"/>
  <c r="J5731" i="13" s="1"/>
  <c r="N5732" i="13"/>
  <c r="N5731" i="14"/>
  <c r="J5730" i="14" a="1"/>
  <c r="J5730" i="14" s="1"/>
  <c r="M5734" i="13"/>
  <c r="M5735" i="14"/>
  <c r="K5546" i="13" l="1"/>
  <c r="L5546" i="13" s="1"/>
  <c r="I5547" i="13" s="1"/>
  <c r="K5568" i="14"/>
  <c r="L5568" i="14" s="1"/>
  <c r="I5569" i="14" s="1"/>
  <c r="J5731" i="14" a="1"/>
  <c r="J5731" i="14" s="1"/>
  <c r="N5732" i="14"/>
  <c r="M5736" i="14"/>
  <c r="J5732" i="13" a="1"/>
  <c r="J5732" i="13" s="1"/>
  <c r="N5733" i="13"/>
  <c r="M5735" i="13"/>
  <c r="K5569" i="14" l="1"/>
  <c r="L5569" i="14" s="1"/>
  <c r="I5570" i="14" s="1"/>
  <c r="K5547" i="13"/>
  <c r="L5547" i="13" s="1"/>
  <c r="I5548" i="13" s="1"/>
  <c r="N5734" i="13"/>
  <c r="J5733" i="13" a="1"/>
  <c r="J5733" i="13" s="1"/>
  <c r="M5736" i="13"/>
  <c r="M5737" i="14"/>
  <c r="J5732" i="14" a="1"/>
  <c r="J5732" i="14" s="1"/>
  <c r="N5733" i="14"/>
  <c r="K5548" i="13" l="1"/>
  <c r="L5548" i="13" s="1"/>
  <c r="I5549" i="13" s="1"/>
  <c r="K5570" i="14"/>
  <c r="L5570" i="14" s="1"/>
  <c r="I5571" i="14" s="1"/>
  <c r="J5733" i="14" a="1"/>
  <c r="J5733" i="14" s="1"/>
  <c r="N5734" i="14"/>
  <c r="M5737" i="13"/>
  <c r="M5738" i="14"/>
  <c r="J5734" i="13" a="1"/>
  <c r="J5734" i="13" s="1"/>
  <c r="N5735" i="13"/>
  <c r="K5571" i="14" l="1"/>
  <c r="L5571" i="14" s="1"/>
  <c r="I5572" i="14" s="1"/>
  <c r="K5549" i="13"/>
  <c r="L5549" i="13" s="1"/>
  <c r="I5550" i="13" s="1"/>
  <c r="J5735" i="13" a="1"/>
  <c r="J5735" i="13" s="1"/>
  <c r="N5736" i="13"/>
  <c r="M5738" i="13"/>
  <c r="N5735" i="14"/>
  <c r="J5734" i="14" a="1"/>
  <c r="J5734" i="14" s="1"/>
  <c r="M5739" i="14"/>
  <c r="K5550" i="13" l="1"/>
  <c r="L5550" i="13" s="1"/>
  <c r="I5551" i="13" s="1"/>
  <c r="K5572" i="14"/>
  <c r="L5572" i="14" s="1"/>
  <c r="I5573" i="14" s="1"/>
  <c r="J5735" i="14" a="1"/>
  <c r="J5735" i="14" s="1"/>
  <c r="N5736" i="14"/>
  <c r="M5740" i="14"/>
  <c r="M5739" i="13"/>
  <c r="J5736" i="13" a="1"/>
  <c r="J5736" i="13" s="1"/>
  <c r="N5737" i="13"/>
  <c r="K5551" i="13" l="1"/>
  <c r="L5551" i="13" s="1"/>
  <c r="I5552" i="13" s="1"/>
  <c r="N5738" i="13"/>
  <c r="J5737" i="13" a="1"/>
  <c r="J5737" i="13" s="1"/>
  <c r="M5741" i="14"/>
  <c r="K5573" i="14"/>
  <c r="L5573" i="14" s="1"/>
  <c r="I5574" i="14" s="1"/>
  <c r="J5736" i="14" a="1"/>
  <c r="J5736" i="14" s="1"/>
  <c r="N5737" i="14"/>
  <c r="M5740" i="13"/>
  <c r="K5574" i="14" l="1"/>
  <c r="L5574" i="14" s="1"/>
  <c r="I5575" i="14" s="1"/>
  <c r="K5552" i="13"/>
  <c r="L5552" i="13" s="1"/>
  <c r="I5553" i="13" s="1"/>
  <c r="M5741" i="13"/>
  <c r="J5738" i="13" a="1"/>
  <c r="J5738" i="13" s="1"/>
  <c r="N5739" i="13"/>
  <c r="J5737" i="14" a="1"/>
  <c r="J5737" i="14" s="1"/>
  <c r="N5738" i="14"/>
  <c r="M5742" i="14"/>
  <c r="K5553" i="13" l="1"/>
  <c r="L5553" i="13" s="1"/>
  <c r="I5554" i="13" s="1"/>
  <c r="K5575" i="14"/>
  <c r="L5575" i="14" s="1"/>
  <c r="I5576" i="14" s="1"/>
  <c r="J5739" i="13" a="1"/>
  <c r="J5739" i="13" s="1"/>
  <c r="N5740" i="13"/>
  <c r="N5739" i="14"/>
  <c r="J5738" i="14" a="1"/>
  <c r="J5738" i="14" s="1"/>
  <c r="M5743" i="14"/>
  <c r="M5742" i="13"/>
  <c r="K5576" i="14" l="1"/>
  <c r="L5576" i="14" s="1"/>
  <c r="I5577" i="14" s="1"/>
  <c r="K5554" i="13"/>
  <c r="L5554" i="13" s="1"/>
  <c r="I5555" i="13" s="1"/>
  <c r="J5739" i="14" a="1"/>
  <c r="J5739" i="14" s="1"/>
  <c r="N5740" i="14"/>
  <c r="J5740" i="13" a="1"/>
  <c r="J5740" i="13" s="1"/>
  <c r="N5741" i="13"/>
  <c r="M5743" i="13"/>
  <c r="M5744" i="14"/>
  <c r="K5555" i="13" l="1"/>
  <c r="L5555" i="13" s="1"/>
  <c r="I5556" i="13" s="1"/>
  <c r="K5577" i="14"/>
  <c r="L5577" i="14" s="1"/>
  <c r="I5578" i="14" s="1"/>
  <c r="N5742" i="13"/>
  <c r="J5741" i="13" a="1"/>
  <c r="J5741" i="13" s="1"/>
  <c r="J5740" i="14" a="1"/>
  <c r="J5740" i="14" s="1"/>
  <c r="N5741" i="14"/>
  <c r="M5745" i="14"/>
  <c r="M5744" i="13"/>
  <c r="K5578" i="14" l="1"/>
  <c r="L5578" i="14" s="1"/>
  <c r="I5579" i="14" s="1"/>
  <c r="K5556" i="13"/>
  <c r="L5556" i="13" s="1"/>
  <c r="I5557" i="13" s="1"/>
  <c r="M5745" i="13"/>
  <c r="N5742" i="14"/>
  <c r="J5741" i="14" a="1"/>
  <c r="J5741" i="14" s="1"/>
  <c r="M5746" i="14"/>
  <c r="J5742" i="13" a="1"/>
  <c r="J5742" i="13" s="1"/>
  <c r="N5743" i="13"/>
  <c r="K5557" i="13" l="1"/>
  <c r="L5557" i="13" s="1"/>
  <c r="I5558" i="13" s="1"/>
  <c r="K5579" i="14"/>
  <c r="L5579" i="14" s="1"/>
  <c r="I5580" i="14" s="1"/>
  <c r="J5743" i="13" a="1"/>
  <c r="J5743" i="13" s="1"/>
  <c r="N5744" i="13"/>
  <c r="N5743" i="14"/>
  <c r="J5742" i="14" a="1"/>
  <c r="J5742" i="14" s="1"/>
  <c r="M5747" i="14"/>
  <c r="M5746" i="13"/>
  <c r="K5580" i="14" l="1"/>
  <c r="L5580" i="14" s="1"/>
  <c r="I5581" i="14" s="1"/>
  <c r="K5558" i="13"/>
  <c r="L5558" i="13" s="1"/>
  <c r="I5559" i="13" s="1"/>
  <c r="J5743" i="14" a="1"/>
  <c r="J5743" i="14" s="1"/>
  <c r="N5744" i="14"/>
  <c r="J5744" i="13" a="1"/>
  <c r="J5744" i="13" s="1"/>
  <c r="N5745" i="13"/>
  <c r="M5747" i="13"/>
  <c r="M5748" i="14"/>
  <c r="K5559" i="13" l="1"/>
  <c r="L5559" i="13" s="1"/>
  <c r="I5560" i="13" s="1"/>
  <c r="K5581" i="14"/>
  <c r="L5581" i="14" s="1"/>
  <c r="I5582" i="14" s="1"/>
  <c r="N5746" i="13"/>
  <c r="J5745" i="13" a="1"/>
  <c r="J5745" i="13" s="1"/>
  <c r="J5744" i="14" a="1"/>
  <c r="J5744" i="14" s="1"/>
  <c r="N5745" i="14"/>
  <c r="M5749" i="14"/>
  <c r="M5748" i="13"/>
  <c r="K5582" i="14" l="1"/>
  <c r="L5582" i="14" s="1"/>
  <c r="I5583" i="14" s="1"/>
  <c r="K5560" i="13"/>
  <c r="L5560" i="13" s="1"/>
  <c r="I5561" i="13" s="1"/>
  <c r="J5745" i="14" a="1"/>
  <c r="J5745" i="14" s="1"/>
  <c r="N5746" i="14"/>
  <c r="M5749" i="13"/>
  <c r="M5750" i="14"/>
  <c r="J5746" i="13" a="1"/>
  <c r="J5746" i="13" s="1"/>
  <c r="N5747" i="13"/>
  <c r="K5561" i="13" l="1"/>
  <c r="L5561" i="13" s="1"/>
  <c r="I5562" i="13" s="1"/>
  <c r="K5583" i="14"/>
  <c r="L5583" i="14" s="1"/>
  <c r="I5584" i="14" s="1"/>
  <c r="J5747" i="13" a="1"/>
  <c r="J5747" i="13" s="1"/>
  <c r="N5748" i="13"/>
  <c r="M5750" i="13"/>
  <c r="N5747" i="14"/>
  <c r="J5746" i="14" a="1"/>
  <c r="J5746" i="14" s="1"/>
  <c r="M5751" i="14"/>
  <c r="K5584" i="14" l="1"/>
  <c r="L5584" i="14" s="1"/>
  <c r="I5585" i="14" s="1"/>
  <c r="K5562" i="13"/>
  <c r="L5562" i="13" s="1"/>
  <c r="I5563" i="13" s="1"/>
  <c r="M5752" i="14"/>
  <c r="M5751" i="13"/>
  <c r="J5748" i="13" a="1"/>
  <c r="J5748" i="13" s="1"/>
  <c r="N5749" i="13"/>
  <c r="J5747" i="14" a="1"/>
  <c r="J5747" i="14" s="1"/>
  <c r="N5748" i="14"/>
  <c r="K5563" i="13" l="1"/>
  <c r="L5563" i="13" s="1"/>
  <c r="I5564" i="13" s="1"/>
  <c r="K5585" i="14"/>
  <c r="L5585" i="14" s="1"/>
  <c r="I5586" i="14" s="1"/>
  <c r="J5748" i="14" a="1"/>
  <c r="J5748" i="14" s="1"/>
  <c r="N5749" i="14"/>
  <c r="M5752" i="13"/>
  <c r="N5750" i="13"/>
  <c r="J5749" i="13" a="1"/>
  <c r="J5749" i="13" s="1"/>
  <c r="M5753" i="14"/>
  <c r="K5586" i="14" l="1"/>
  <c r="L5586" i="14" s="1"/>
  <c r="I5587" i="14" s="1"/>
  <c r="K5564" i="13"/>
  <c r="L5564" i="13" s="1"/>
  <c r="I5565" i="13" s="1"/>
  <c r="M5754" i="14"/>
  <c r="M5753" i="13"/>
  <c r="J5750" i="13" a="1"/>
  <c r="J5750" i="13" s="1"/>
  <c r="N5751" i="13"/>
  <c r="N5750" i="14"/>
  <c r="J5749" i="14" a="1"/>
  <c r="J5749" i="14" s="1"/>
  <c r="K5565" i="13" l="1"/>
  <c r="L5565" i="13" s="1"/>
  <c r="I5566" i="13" s="1"/>
  <c r="K5587" i="14"/>
  <c r="L5587" i="14" s="1"/>
  <c r="I5588" i="14" s="1"/>
  <c r="N5751" i="14"/>
  <c r="J5750" i="14" a="1"/>
  <c r="J5750" i="14" s="1"/>
  <c r="M5754" i="13"/>
  <c r="J5751" i="13" a="1"/>
  <c r="J5751" i="13" s="1"/>
  <c r="N5752" i="13"/>
  <c r="M5755" i="14"/>
  <c r="K5588" i="14" l="1"/>
  <c r="L5588" i="14" s="1"/>
  <c r="I5589" i="14" s="1"/>
  <c r="K5566" i="13"/>
  <c r="L5566" i="13" s="1"/>
  <c r="I5567" i="13" s="1"/>
  <c r="J5752" i="13" a="1"/>
  <c r="J5752" i="13" s="1"/>
  <c r="N5753" i="13"/>
  <c r="M5756" i="14"/>
  <c r="M5755" i="13"/>
  <c r="J5751" i="14" a="1"/>
  <c r="J5751" i="14" s="1"/>
  <c r="N5752" i="14"/>
  <c r="K5567" i="13" l="1"/>
  <c r="L5567" i="13" s="1"/>
  <c r="I5568" i="13" s="1"/>
  <c r="K5589" i="14"/>
  <c r="L5589" i="14" s="1"/>
  <c r="I5590" i="14" s="1"/>
  <c r="J5752" i="14" a="1"/>
  <c r="J5752" i="14" s="1"/>
  <c r="N5753" i="14"/>
  <c r="M5757" i="14"/>
  <c r="N5754" i="13"/>
  <c r="J5753" i="13" a="1"/>
  <c r="J5753" i="13" s="1"/>
  <c r="M5756" i="13"/>
  <c r="K5590" i="14" l="1"/>
  <c r="L5590" i="14" s="1"/>
  <c r="I5591" i="14" s="1"/>
  <c r="K5568" i="13"/>
  <c r="L5568" i="13" s="1"/>
  <c r="I5569" i="13" s="1"/>
  <c r="M5757" i="13"/>
  <c r="M5758" i="14"/>
  <c r="J5754" i="13" a="1"/>
  <c r="J5754" i="13" s="1"/>
  <c r="N5755" i="13"/>
  <c r="J5753" i="14" a="1"/>
  <c r="J5753" i="14" s="1"/>
  <c r="N5754" i="14"/>
  <c r="K5569" i="13" l="1"/>
  <c r="L5569" i="13" s="1"/>
  <c r="I5570" i="13" s="1"/>
  <c r="K5591" i="14"/>
  <c r="L5591" i="14" s="1"/>
  <c r="I5592" i="14" s="1"/>
  <c r="N5755" i="14"/>
  <c r="J5754" i="14" a="1"/>
  <c r="J5754" i="14" s="1"/>
  <c r="M5759" i="14"/>
  <c r="J5755" i="13" a="1"/>
  <c r="J5755" i="13" s="1"/>
  <c r="N5756" i="13"/>
  <c r="M5758" i="13"/>
  <c r="K5592" i="14" l="1"/>
  <c r="L5592" i="14" s="1"/>
  <c r="I5593" i="14" s="1"/>
  <c r="K5570" i="13"/>
  <c r="L5570" i="13" s="1"/>
  <c r="I5571" i="13" s="1"/>
  <c r="M5759" i="13"/>
  <c r="M5760" i="14"/>
  <c r="J5756" i="13" a="1"/>
  <c r="J5756" i="13" s="1"/>
  <c r="N5757" i="13"/>
  <c r="J5755" i="14" a="1"/>
  <c r="J5755" i="14" s="1"/>
  <c r="N5756" i="14"/>
  <c r="K5571" i="13" l="1"/>
  <c r="L5571" i="13" s="1"/>
  <c r="I5572" i="13" s="1"/>
  <c r="K5593" i="14"/>
  <c r="L5593" i="14" s="1"/>
  <c r="I5594" i="14" s="1"/>
  <c r="J5756" i="14" a="1"/>
  <c r="J5756" i="14" s="1"/>
  <c r="N5757" i="14"/>
  <c r="M5761" i="14"/>
  <c r="N5758" i="13"/>
  <c r="J5757" i="13" a="1"/>
  <c r="J5757" i="13" s="1"/>
  <c r="M5760" i="13"/>
  <c r="K5594" i="14" l="1"/>
  <c r="L5594" i="14" s="1"/>
  <c r="I5595" i="14" s="1"/>
  <c r="K5572" i="13"/>
  <c r="L5572" i="13" s="1"/>
  <c r="I5573" i="13" s="1"/>
  <c r="M5761" i="13"/>
  <c r="M5762" i="14"/>
  <c r="N5758" i="14"/>
  <c r="J5757" i="14" a="1"/>
  <c r="J5757" i="14" s="1"/>
  <c r="J5758" i="13" a="1"/>
  <c r="J5758" i="13" s="1"/>
  <c r="N5759" i="13"/>
  <c r="K5573" i="13" l="1"/>
  <c r="L5573" i="13" s="1"/>
  <c r="I5574" i="13" s="1"/>
  <c r="K5595" i="14"/>
  <c r="L5595" i="14" s="1"/>
  <c r="I5596" i="14" s="1"/>
  <c r="M5763" i="14"/>
  <c r="J5759" i="13" a="1"/>
  <c r="J5759" i="13" s="1"/>
  <c r="N5760" i="13"/>
  <c r="N5759" i="14"/>
  <c r="J5758" i="14" a="1"/>
  <c r="J5758" i="14" s="1"/>
  <c r="M5762" i="13"/>
  <c r="K5596" i="14" l="1"/>
  <c r="L5596" i="14" s="1"/>
  <c r="I5597" i="14" s="1"/>
  <c r="K5574" i="13"/>
  <c r="L5574" i="13" s="1"/>
  <c r="I5575" i="13" s="1"/>
  <c r="J5760" i="13" a="1"/>
  <c r="J5760" i="13" s="1"/>
  <c r="N5761" i="13"/>
  <c r="M5763" i="13"/>
  <c r="J5759" i="14" a="1"/>
  <c r="J5759" i="14" s="1"/>
  <c r="N5760" i="14"/>
  <c r="M5764" i="14"/>
  <c r="K5575" i="13" l="1"/>
  <c r="L5575" i="13" s="1"/>
  <c r="I5576" i="13" s="1"/>
  <c r="K5597" i="14"/>
  <c r="L5597" i="14" s="1"/>
  <c r="I5598" i="14" s="1"/>
  <c r="J5760" i="14" a="1"/>
  <c r="J5760" i="14" s="1"/>
  <c r="N5761" i="14"/>
  <c r="M5765" i="14"/>
  <c r="M5764" i="13"/>
  <c r="N5762" i="13"/>
  <c r="J5761" i="13" a="1"/>
  <c r="J5761" i="13" s="1"/>
  <c r="K5598" i="14" l="1"/>
  <c r="L5598" i="14" s="1"/>
  <c r="I5599" i="14" s="1"/>
  <c r="K5576" i="13"/>
  <c r="L5576" i="13" s="1"/>
  <c r="I5577" i="13" s="1"/>
  <c r="M5766" i="14"/>
  <c r="J5762" i="13" a="1"/>
  <c r="J5762" i="13" s="1"/>
  <c r="N5763" i="13"/>
  <c r="J5761" i="14" a="1"/>
  <c r="J5761" i="14" s="1"/>
  <c r="N5762" i="14"/>
  <c r="M5765" i="13"/>
  <c r="K5577" i="13" l="1"/>
  <c r="L5577" i="13" s="1"/>
  <c r="I5578" i="13" s="1"/>
  <c r="K5599" i="14"/>
  <c r="L5599" i="14" s="1"/>
  <c r="I5600" i="14" s="1"/>
  <c r="J5763" i="13" a="1"/>
  <c r="J5763" i="13" s="1"/>
  <c r="N5764" i="13"/>
  <c r="N5763" i="14"/>
  <c r="J5762" i="14" a="1"/>
  <c r="J5762" i="14" s="1"/>
  <c r="M5766" i="13"/>
  <c r="M5767" i="14"/>
  <c r="K5600" i="14" l="1"/>
  <c r="L5600" i="14" s="1"/>
  <c r="I5601" i="14" s="1"/>
  <c r="K5578" i="13"/>
  <c r="L5578" i="13" s="1"/>
  <c r="I5579" i="13" s="1"/>
  <c r="J5763" i="14" a="1"/>
  <c r="J5763" i="14" s="1"/>
  <c r="N5764" i="14"/>
  <c r="J5764" i="13" a="1"/>
  <c r="J5764" i="13" s="1"/>
  <c r="N5765" i="13"/>
  <c r="M5768" i="14"/>
  <c r="M5767" i="13"/>
  <c r="K5579" i="13" l="1"/>
  <c r="L5579" i="13" s="1"/>
  <c r="I5580" i="13" s="1"/>
  <c r="K5601" i="14"/>
  <c r="L5601" i="14" s="1"/>
  <c r="I5602" i="14" s="1"/>
  <c r="N5766" i="13"/>
  <c r="J5765" i="13" a="1"/>
  <c r="J5765" i="13" s="1"/>
  <c r="J5764" i="14" a="1"/>
  <c r="J5764" i="14" s="1"/>
  <c r="N5765" i="14"/>
  <c r="M5768" i="13"/>
  <c r="M5769" i="14"/>
  <c r="K5602" i="14" l="1"/>
  <c r="L5602" i="14" s="1"/>
  <c r="I5603" i="14" s="1"/>
  <c r="K5580" i="13"/>
  <c r="L5580" i="13" s="1"/>
  <c r="I5581" i="13" s="1"/>
  <c r="N5766" i="14"/>
  <c r="J5765" i="14" a="1"/>
  <c r="J5765" i="14" s="1"/>
  <c r="M5770" i="14"/>
  <c r="M5769" i="13"/>
  <c r="J5766" i="13" a="1"/>
  <c r="J5766" i="13" s="1"/>
  <c r="N5767" i="13"/>
  <c r="K5581" i="13" l="1"/>
  <c r="L5581" i="13" s="1"/>
  <c r="I5582" i="13" s="1"/>
  <c r="K5603" i="14"/>
  <c r="L5603" i="14" s="1"/>
  <c r="I5604" i="14" s="1"/>
  <c r="J5767" i="13" a="1"/>
  <c r="J5767" i="13" s="1"/>
  <c r="N5768" i="13"/>
  <c r="M5771" i="14"/>
  <c r="M5770" i="13"/>
  <c r="N5767" i="14"/>
  <c r="J5766" i="14" a="1"/>
  <c r="J5766" i="14" s="1"/>
  <c r="K5604" i="14" l="1"/>
  <c r="L5604" i="14" s="1"/>
  <c r="I5605" i="14" s="1"/>
  <c r="K5582" i="13"/>
  <c r="L5582" i="13" s="1"/>
  <c r="I5583" i="13" s="1"/>
  <c r="J5767" i="14" a="1"/>
  <c r="J5767" i="14" s="1"/>
  <c r="N5768" i="14"/>
  <c r="M5772" i="14"/>
  <c r="J5768" i="13" a="1"/>
  <c r="J5768" i="13" s="1"/>
  <c r="N5769" i="13"/>
  <c r="M5771" i="13"/>
  <c r="K5583" i="13" l="1"/>
  <c r="L5583" i="13" s="1"/>
  <c r="I5584" i="13" s="1"/>
  <c r="K5605" i="14"/>
  <c r="L5605" i="14" s="1"/>
  <c r="I5606" i="14" s="1"/>
  <c r="M5772" i="13"/>
  <c r="M5773" i="14"/>
  <c r="N5770" i="13"/>
  <c r="J5769" i="13" a="1"/>
  <c r="J5769" i="13" s="1"/>
  <c r="J5768" i="14" a="1"/>
  <c r="J5768" i="14" s="1"/>
  <c r="N5769" i="14"/>
  <c r="K5606" i="14" l="1"/>
  <c r="L5606" i="14" s="1"/>
  <c r="I5607" i="14" s="1"/>
  <c r="K5584" i="13"/>
  <c r="L5584" i="13" s="1"/>
  <c r="I5585" i="13" s="1"/>
  <c r="J5769" i="14" a="1"/>
  <c r="J5769" i="14" s="1"/>
  <c r="N5770" i="14"/>
  <c r="M5774" i="14"/>
  <c r="M5773" i="13"/>
  <c r="J5770" i="13" a="1"/>
  <c r="J5770" i="13" s="1"/>
  <c r="N5771" i="13"/>
  <c r="K5585" i="13" l="1"/>
  <c r="L5585" i="13" s="1"/>
  <c r="I5586" i="13" s="1"/>
  <c r="K5607" i="14"/>
  <c r="L5607" i="14" s="1"/>
  <c r="I5608" i="14" s="1"/>
  <c r="J5771" i="13" a="1"/>
  <c r="J5771" i="13" s="1"/>
  <c r="N5772" i="13"/>
  <c r="M5775" i="14"/>
  <c r="N5771" i="14"/>
  <c r="J5770" i="14" a="1"/>
  <c r="J5770" i="14" s="1"/>
  <c r="M5774" i="13"/>
  <c r="K5608" i="14" l="1"/>
  <c r="L5608" i="14" s="1"/>
  <c r="I5609" i="14" s="1"/>
  <c r="K5586" i="13"/>
  <c r="L5586" i="13" s="1"/>
  <c r="I5587" i="13" s="1"/>
  <c r="J5771" i="14" a="1"/>
  <c r="J5771" i="14" s="1"/>
  <c r="N5772" i="14"/>
  <c r="M5775" i="13"/>
  <c r="M5776" i="14"/>
  <c r="J5772" i="13" a="1"/>
  <c r="J5772" i="13" s="1"/>
  <c r="N5773" i="13"/>
  <c r="K5587" i="13" l="1"/>
  <c r="L5587" i="13" s="1"/>
  <c r="I5588" i="13" s="1"/>
  <c r="K5609" i="14"/>
  <c r="L5609" i="14" s="1"/>
  <c r="I5610" i="14" s="1"/>
  <c r="N5774" i="13"/>
  <c r="J5773" i="13" a="1"/>
  <c r="J5773" i="13" s="1"/>
  <c r="M5776" i="13"/>
  <c r="J5772" i="14" a="1"/>
  <c r="J5772" i="14" s="1"/>
  <c r="N5773" i="14"/>
  <c r="M5777" i="14"/>
  <c r="K5610" i="14" l="1"/>
  <c r="L5610" i="14" s="1"/>
  <c r="I5611" i="14" s="1"/>
  <c r="K5588" i="13"/>
  <c r="L5588" i="13" s="1"/>
  <c r="I5589" i="13" s="1"/>
  <c r="M5778" i="14"/>
  <c r="M5777" i="13"/>
  <c r="N5774" i="14"/>
  <c r="J5773" i="14" a="1"/>
  <c r="J5773" i="14" s="1"/>
  <c r="J5774" i="13" a="1"/>
  <c r="J5774" i="13" s="1"/>
  <c r="N5775" i="13"/>
  <c r="K5589" i="13" l="1"/>
  <c r="L5589" i="13" s="1"/>
  <c r="I5590" i="13" s="1"/>
  <c r="K5611" i="14"/>
  <c r="L5611" i="14" s="1"/>
  <c r="I5612" i="14" s="1"/>
  <c r="J5775" i="13" a="1"/>
  <c r="J5775" i="13" s="1"/>
  <c r="N5776" i="13"/>
  <c r="M5778" i="13"/>
  <c r="N5775" i="14"/>
  <c r="J5774" i="14" a="1"/>
  <c r="J5774" i="14" s="1"/>
  <c r="M5779" i="14"/>
  <c r="K5612" i="14" l="1"/>
  <c r="L5612" i="14" s="1"/>
  <c r="I5613" i="14" s="1"/>
  <c r="K5590" i="13"/>
  <c r="L5590" i="13" s="1"/>
  <c r="I5591" i="13" s="1"/>
  <c r="J5775" i="14" a="1"/>
  <c r="J5775" i="14" s="1"/>
  <c r="N5776" i="14"/>
  <c r="M5780" i="14"/>
  <c r="M5779" i="13"/>
  <c r="J5776" i="13" a="1"/>
  <c r="J5776" i="13" s="1"/>
  <c r="N5777" i="13"/>
  <c r="K5591" i="13" l="1"/>
  <c r="L5591" i="13" s="1"/>
  <c r="I5592" i="13" s="1"/>
  <c r="K5613" i="14"/>
  <c r="L5613" i="14" s="1"/>
  <c r="I5614" i="14" s="1"/>
  <c r="N5778" i="13"/>
  <c r="J5777" i="13" a="1"/>
  <c r="J5777" i="13" s="1"/>
  <c r="M5781" i="14"/>
  <c r="J5776" i="14" a="1"/>
  <c r="J5776" i="14" s="1"/>
  <c r="N5777" i="14"/>
  <c r="M5780" i="13"/>
  <c r="K5614" i="14" l="1"/>
  <c r="L5614" i="14" s="1"/>
  <c r="I5615" i="14" s="1"/>
  <c r="K5592" i="13"/>
  <c r="L5592" i="13" s="1"/>
  <c r="I5593" i="13" s="1"/>
  <c r="M5781" i="13"/>
  <c r="M5782" i="14"/>
  <c r="J5777" i="14" a="1"/>
  <c r="J5777" i="14" s="1"/>
  <c r="N5778" i="14"/>
  <c r="J5778" i="13" a="1"/>
  <c r="J5778" i="13" s="1"/>
  <c r="N5779" i="13"/>
  <c r="K5593" i="13" l="1"/>
  <c r="L5593" i="13" s="1"/>
  <c r="I5594" i="13" s="1"/>
  <c r="K5615" i="14"/>
  <c r="L5615" i="14" s="1"/>
  <c r="I5616" i="14" s="1"/>
  <c r="J5779" i="13" a="1"/>
  <c r="J5779" i="13" s="1"/>
  <c r="N5780" i="13"/>
  <c r="M5783" i="14"/>
  <c r="N5779" i="14"/>
  <c r="J5778" i="14" a="1"/>
  <c r="J5778" i="14" s="1"/>
  <c r="M5782" i="13"/>
  <c r="K5616" i="14" l="1"/>
  <c r="L5616" i="14" s="1"/>
  <c r="I5617" i="14" s="1"/>
  <c r="K5594" i="13"/>
  <c r="L5594" i="13" s="1"/>
  <c r="I5595" i="13" s="1"/>
  <c r="J5779" i="14" a="1"/>
  <c r="J5779" i="14" s="1"/>
  <c r="N5780" i="14"/>
  <c r="M5783" i="13"/>
  <c r="M5784" i="14"/>
  <c r="J5780" i="13" a="1"/>
  <c r="J5780" i="13" s="1"/>
  <c r="N5781" i="13"/>
  <c r="K5595" i="13" l="1"/>
  <c r="L5595" i="13" s="1"/>
  <c r="I5596" i="13" s="1"/>
  <c r="K5617" i="14"/>
  <c r="L5617" i="14" s="1"/>
  <c r="I5618" i="14" s="1"/>
  <c r="N5782" i="13"/>
  <c r="J5781" i="13" a="1"/>
  <c r="J5781" i="13" s="1"/>
  <c r="M5784" i="13"/>
  <c r="M5785" i="14"/>
  <c r="J5780" i="14" a="1"/>
  <c r="J5780" i="14" s="1"/>
  <c r="N5781" i="14"/>
  <c r="K5618" i="14" l="1"/>
  <c r="L5618" i="14" s="1"/>
  <c r="I5619" i="14" s="1"/>
  <c r="K5596" i="13"/>
  <c r="L5596" i="13" s="1"/>
  <c r="I5597" i="13" s="1"/>
  <c r="N5782" i="14"/>
  <c r="J5781" i="14" a="1"/>
  <c r="J5781" i="14" s="1"/>
  <c r="M5785" i="13"/>
  <c r="M5786" i="14"/>
  <c r="J5782" i="13" a="1"/>
  <c r="J5782" i="13" s="1"/>
  <c r="N5783" i="13"/>
  <c r="K5597" i="13" l="1"/>
  <c r="L5597" i="13" s="1"/>
  <c r="I5598" i="13" s="1"/>
  <c r="K5619" i="14"/>
  <c r="L5619" i="14" s="1"/>
  <c r="I5620" i="14" s="1"/>
  <c r="J5783" i="13" a="1"/>
  <c r="J5783" i="13" s="1"/>
  <c r="N5784" i="13"/>
  <c r="M5786" i="13"/>
  <c r="M5787" i="14"/>
  <c r="N5783" i="14"/>
  <c r="J5782" i="14" a="1"/>
  <c r="J5782" i="14" s="1"/>
  <c r="K5620" i="14" l="1"/>
  <c r="L5620" i="14" s="1"/>
  <c r="I5621" i="14" s="1"/>
  <c r="K5598" i="13"/>
  <c r="L5598" i="13" s="1"/>
  <c r="I5599" i="13" s="1"/>
  <c r="J5783" i="14" a="1"/>
  <c r="J5783" i="14" s="1"/>
  <c r="N5784" i="14"/>
  <c r="M5787" i="13"/>
  <c r="J5784" i="13" a="1"/>
  <c r="J5784" i="13" s="1"/>
  <c r="N5785" i="13"/>
  <c r="M5788" i="14"/>
  <c r="K5599" i="13" l="1"/>
  <c r="L5599" i="13" s="1"/>
  <c r="I5600" i="13" s="1"/>
  <c r="K5621" i="14"/>
  <c r="L5621" i="14" s="1"/>
  <c r="I5622" i="14" s="1"/>
  <c r="M5789" i="14"/>
  <c r="M5788" i="13"/>
  <c r="N5786" i="13"/>
  <c r="J5785" i="13" a="1"/>
  <c r="J5785" i="13" s="1"/>
  <c r="J5784" i="14" a="1"/>
  <c r="J5784" i="14" s="1"/>
  <c r="N5785" i="14"/>
  <c r="K5622" i="14" l="1"/>
  <c r="L5622" i="14" s="1"/>
  <c r="I5623" i="14" s="1"/>
  <c r="K5600" i="13"/>
  <c r="L5600" i="13" s="1"/>
  <c r="I5601" i="13" s="1"/>
  <c r="J5785" i="14" a="1"/>
  <c r="J5785" i="14" s="1"/>
  <c r="N5786" i="14"/>
  <c r="M5789" i="13"/>
  <c r="M5790" i="14"/>
  <c r="J5786" i="13" a="1"/>
  <c r="J5786" i="13" s="1"/>
  <c r="N5787" i="13"/>
  <c r="K5601" i="13" l="1"/>
  <c r="L5601" i="13" s="1"/>
  <c r="I5602" i="13" s="1"/>
  <c r="K5623" i="14"/>
  <c r="L5623" i="14" s="1"/>
  <c r="I5624" i="14" s="1"/>
  <c r="J5787" i="13" a="1"/>
  <c r="J5787" i="13" s="1"/>
  <c r="N5788" i="13"/>
  <c r="M5790" i="13"/>
  <c r="N5787" i="14"/>
  <c r="J5786" i="14" a="1"/>
  <c r="J5786" i="14" s="1"/>
  <c r="M5791" i="14"/>
  <c r="K5624" i="14" l="1"/>
  <c r="L5624" i="14" s="1"/>
  <c r="I5625" i="14" s="1"/>
  <c r="K5602" i="13"/>
  <c r="L5602" i="13" s="1"/>
  <c r="I5603" i="13" s="1"/>
  <c r="J5787" i="14" a="1"/>
  <c r="J5787" i="14" s="1"/>
  <c r="N5788" i="14"/>
  <c r="M5792" i="14"/>
  <c r="M5791" i="13"/>
  <c r="J5788" i="13" a="1"/>
  <c r="J5788" i="13" s="1"/>
  <c r="N5789" i="13"/>
  <c r="K5603" i="13" l="1"/>
  <c r="L5603" i="13" s="1"/>
  <c r="I5604" i="13" s="1"/>
  <c r="K5625" i="14"/>
  <c r="L5625" i="14" s="1"/>
  <c r="I5626" i="14" s="1"/>
  <c r="N5790" i="13"/>
  <c r="J5789" i="13" a="1"/>
  <c r="J5789" i="13" s="1"/>
  <c r="M5793" i="14"/>
  <c r="J5788" i="14" a="1"/>
  <c r="J5788" i="14" s="1"/>
  <c r="N5789" i="14"/>
  <c r="M5792" i="13"/>
  <c r="K5626" i="14" l="1"/>
  <c r="L5626" i="14" s="1"/>
  <c r="I5627" i="14" s="1"/>
  <c r="K5604" i="13"/>
  <c r="L5604" i="13" s="1"/>
  <c r="I5605" i="13" s="1"/>
  <c r="J5789" i="14" a="1"/>
  <c r="J5789" i="14" s="1"/>
  <c r="N5790" i="14"/>
  <c r="M5793" i="13"/>
  <c r="M5794" i="14"/>
  <c r="J5790" i="13" a="1"/>
  <c r="J5790" i="13" s="1"/>
  <c r="N5791" i="13"/>
  <c r="K5605" i="13" l="1"/>
  <c r="L5605" i="13" s="1"/>
  <c r="I5606" i="13" s="1"/>
  <c r="K5627" i="14"/>
  <c r="L5627" i="14" s="1"/>
  <c r="I5628" i="14" s="1"/>
  <c r="J5791" i="13" a="1"/>
  <c r="J5791" i="13" s="1"/>
  <c r="N5792" i="13"/>
  <c r="M5794" i="13"/>
  <c r="N5791" i="14"/>
  <c r="J5790" i="14" a="1"/>
  <c r="J5790" i="14" s="1"/>
  <c r="M5795" i="14"/>
  <c r="K5628" i="14" l="1"/>
  <c r="L5628" i="14" s="1"/>
  <c r="I5629" i="14" s="1"/>
  <c r="K5606" i="13"/>
  <c r="L5606" i="13" s="1"/>
  <c r="I5607" i="13" s="1"/>
  <c r="M5796" i="14"/>
  <c r="J5792" i="13" a="1"/>
  <c r="J5792" i="13" s="1"/>
  <c r="N5793" i="13"/>
  <c r="M5795" i="13"/>
  <c r="J5791" i="14" a="1"/>
  <c r="J5791" i="14" s="1"/>
  <c r="N5792" i="14"/>
  <c r="K5607" i="13" l="1"/>
  <c r="L5607" i="13" s="1"/>
  <c r="I5608" i="13" s="1"/>
  <c r="K5629" i="14"/>
  <c r="L5629" i="14" s="1"/>
  <c r="I5630" i="14" s="1"/>
  <c r="N5794" i="13"/>
  <c r="J5793" i="13" a="1"/>
  <c r="J5793" i="13" s="1"/>
  <c r="J5792" i="14" a="1"/>
  <c r="J5792" i="14" s="1"/>
  <c r="N5793" i="14"/>
  <c r="M5796" i="13"/>
  <c r="M5797" i="14"/>
  <c r="K5630" i="14" l="1"/>
  <c r="L5630" i="14" s="1"/>
  <c r="I5631" i="14" s="1"/>
  <c r="K5608" i="13"/>
  <c r="L5608" i="13" s="1"/>
  <c r="I5609" i="13" s="1"/>
  <c r="M5798" i="14"/>
  <c r="J5793" i="14" a="1"/>
  <c r="J5793" i="14" s="1"/>
  <c r="N5794" i="14"/>
  <c r="M5797" i="13"/>
  <c r="J5794" i="13" a="1"/>
  <c r="J5794" i="13" s="1"/>
  <c r="N5795" i="13"/>
  <c r="K5609" i="13" l="1"/>
  <c r="L5609" i="13" s="1"/>
  <c r="I5610" i="13" s="1"/>
  <c r="K5631" i="14"/>
  <c r="L5631" i="14" s="1"/>
  <c r="I5632" i="14" s="1"/>
  <c r="N5795" i="14"/>
  <c r="J5794" i="14" a="1"/>
  <c r="J5794" i="14" s="1"/>
  <c r="J5795" i="13" a="1"/>
  <c r="J5795" i="13" s="1"/>
  <c r="N5796" i="13"/>
  <c r="M5798" i="13"/>
  <c r="M5799" i="14"/>
  <c r="K5632" i="14" l="1"/>
  <c r="L5632" i="14" s="1"/>
  <c r="I5633" i="14" s="1"/>
  <c r="K5610" i="13"/>
  <c r="L5610" i="13" s="1"/>
  <c r="I5611" i="13" s="1"/>
  <c r="M5800" i="14"/>
  <c r="J5796" i="13" a="1"/>
  <c r="J5796" i="13" s="1"/>
  <c r="N5797" i="13"/>
  <c r="M5799" i="13"/>
  <c r="J5795" i="14" a="1"/>
  <c r="J5795" i="14" s="1"/>
  <c r="N5796" i="14"/>
  <c r="K5611" i="13" l="1"/>
  <c r="L5611" i="13" s="1"/>
  <c r="I5612" i="13" s="1"/>
  <c r="K5633" i="14"/>
  <c r="L5633" i="14" s="1"/>
  <c r="I5634" i="14" s="1"/>
  <c r="J5796" i="14" a="1"/>
  <c r="J5796" i="14" s="1"/>
  <c r="N5797" i="14"/>
  <c r="N5798" i="13"/>
  <c r="J5797" i="13" a="1"/>
  <c r="J5797" i="13" s="1"/>
  <c r="M5800" i="13"/>
  <c r="M5801" i="14"/>
  <c r="K5634" i="14" l="1"/>
  <c r="L5634" i="14" s="1"/>
  <c r="I5635" i="14" s="1"/>
  <c r="K5612" i="13"/>
  <c r="L5612" i="13" s="1"/>
  <c r="I5613" i="13" s="1"/>
  <c r="M5802" i="14"/>
  <c r="J5798" i="13" a="1"/>
  <c r="J5798" i="13" s="1"/>
  <c r="N5799" i="13"/>
  <c r="J5797" i="14" a="1"/>
  <c r="J5797" i="14" s="1"/>
  <c r="N5798" i="14"/>
  <c r="M5801" i="13"/>
  <c r="K5635" i="14" l="1"/>
  <c r="L5635" i="14" s="1"/>
  <c r="I5636" i="14" s="1"/>
  <c r="J5799" i="13" a="1"/>
  <c r="J5799" i="13" s="1"/>
  <c r="N5800" i="13"/>
  <c r="N5799" i="14"/>
  <c r="J5798" i="14" a="1"/>
  <c r="J5798" i="14" s="1"/>
  <c r="M5802" i="13"/>
  <c r="K5613" i="13"/>
  <c r="L5613" i="13" s="1"/>
  <c r="I5614" i="13" s="1"/>
  <c r="M5803" i="14"/>
  <c r="K5636" i="14" l="1"/>
  <c r="L5636" i="14" s="1"/>
  <c r="I5637" i="14" s="1"/>
  <c r="J5800" i="13" a="1"/>
  <c r="J5800" i="13" s="1"/>
  <c r="N5801" i="13"/>
  <c r="M5804" i="14"/>
  <c r="M5803" i="13"/>
  <c r="K5614" i="13"/>
  <c r="L5614" i="13" s="1"/>
  <c r="I5615" i="13" s="1"/>
  <c r="J5799" i="14" a="1"/>
  <c r="J5799" i="14" s="1"/>
  <c r="N5800" i="14"/>
  <c r="K5615" i="13" l="1"/>
  <c r="L5615" i="13" s="1"/>
  <c r="I5616" i="13" s="1"/>
  <c r="K5637" i="14"/>
  <c r="L5637" i="14" s="1"/>
  <c r="I5638" i="14" s="1"/>
  <c r="J5800" i="14" a="1"/>
  <c r="J5800" i="14" s="1"/>
  <c r="N5801" i="14"/>
  <c r="N5802" i="13"/>
  <c r="J5801" i="13" a="1"/>
  <c r="J5801" i="13" s="1"/>
  <c r="M5804" i="13"/>
  <c r="M5805" i="14"/>
  <c r="K5616" i="13" l="1"/>
  <c r="L5616" i="13" s="1"/>
  <c r="I5617" i="13" s="1"/>
  <c r="M5806" i="14"/>
  <c r="K5638" i="14"/>
  <c r="L5638" i="14" s="1"/>
  <c r="I5639" i="14" s="1"/>
  <c r="J5801" i="14" a="1"/>
  <c r="J5801" i="14" s="1"/>
  <c r="N5802" i="14"/>
  <c r="J5802" i="13" a="1"/>
  <c r="J5802" i="13" s="1"/>
  <c r="N5803" i="13"/>
  <c r="M5805" i="13"/>
  <c r="K5639" i="14" l="1"/>
  <c r="L5639" i="14" s="1"/>
  <c r="I5640" i="14" s="1"/>
  <c r="K5617" i="13"/>
  <c r="L5617" i="13" s="1"/>
  <c r="I5618" i="13" s="1"/>
  <c r="J5803" i="13" a="1"/>
  <c r="J5803" i="13" s="1"/>
  <c r="N5804" i="13"/>
  <c r="N5803" i="14"/>
  <c r="J5802" i="14" a="1"/>
  <c r="J5802" i="14" s="1"/>
  <c r="M5806" i="13"/>
  <c r="M5807" i="14"/>
  <c r="K5618" i="13" l="1"/>
  <c r="L5618" i="13" s="1"/>
  <c r="I5619" i="13" s="1"/>
  <c r="K5640" i="14"/>
  <c r="L5640" i="14" s="1"/>
  <c r="I5641" i="14" s="1"/>
  <c r="J5803" i="14" a="1"/>
  <c r="J5803" i="14" s="1"/>
  <c r="N5804" i="14"/>
  <c r="M5808" i="14"/>
  <c r="J5804" i="13" a="1"/>
  <c r="J5804" i="13" s="1"/>
  <c r="N5805" i="13"/>
  <c r="M5807" i="13"/>
  <c r="K5619" i="13" l="1"/>
  <c r="L5619" i="13" s="1"/>
  <c r="I5620" i="13" s="1"/>
  <c r="N5806" i="13"/>
  <c r="J5805" i="13" a="1"/>
  <c r="J5805" i="13" s="1"/>
  <c r="M5809" i="14"/>
  <c r="M5808" i="13"/>
  <c r="K5641" i="14"/>
  <c r="L5641" i="14" s="1"/>
  <c r="I5642" i="14" s="1"/>
  <c r="J5804" i="14" a="1"/>
  <c r="J5804" i="14" s="1"/>
  <c r="N5805" i="14"/>
  <c r="K5642" i="14" l="1"/>
  <c r="L5642" i="14" s="1"/>
  <c r="I5643" i="14" s="1"/>
  <c r="K5620" i="13"/>
  <c r="L5620" i="13" s="1"/>
  <c r="I5621" i="13" s="1"/>
  <c r="J5806" i="13" a="1"/>
  <c r="J5806" i="13" s="1"/>
  <c r="N5807" i="13"/>
  <c r="J5805" i="14" a="1"/>
  <c r="J5805" i="14" s="1"/>
  <c r="N5806" i="14"/>
  <c r="M5809" i="13"/>
  <c r="M5810" i="14"/>
  <c r="K5643" i="14" l="1"/>
  <c r="L5643" i="14" s="1"/>
  <c r="I5644" i="14" s="1"/>
  <c r="N5807" i="14"/>
  <c r="J5806" i="14" a="1"/>
  <c r="J5806" i="14" s="1"/>
  <c r="K5621" i="13"/>
  <c r="L5621" i="13" s="1"/>
  <c r="I5622" i="13" s="1"/>
  <c r="J5807" i="13" a="1"/>
  <c r="J5807" i="13" s="1"/>
  <c r="N5808" i="13"/>
  <c r="M5811" i="14"/>
  <c r="M5810" i="13"/>
  <c r="K5622" i="13" l="1"/>
  <c r="L5622" i="13" s="1"/>
  <c r="I5623" i="13" s="1"/>
  <c r="K5644" i="14"/>
  <c r="L5644" i="14" s="1"/>
  <c r="I5645" i="14" s="1"/>
  <c r="J5808" i="13" a="1"/>
  <c r="J5808" i="13" s="1"/>
  <c r="N5809" i="13"/>
  <c r="M5811" i="13"/>
  <c r="J5807" i="14" a="1"/>
  <c r="J5807" i="14" s="1"/>
  <c r="N5808" i="14"/>
  <c r="M5812" i="14"/>
  <c r="K5645" i="14" l="1"/>
  <c r="L5645" i="14" s="1"/>
  <c r="I5646" i="14" s="1"/>
  <c r="K5623" i="13"/>
  <c r="L5623" i="13" s="1"/>
  <c r="I5624" i="13" s="1"/>
  <c r="J5808" i="14" a="1"/>
  <c r="J5808" i="14" s="1"/>
  <c r="N5809" i="14"/>
  <c r="M5813" i="14"/>
  <c r="M5812" i="13"/>
  <c r="N5810" i="13"/>
  <c r="J5809" i="13" a="1"/>
  <c r="J5809" i="13" s="1"/>
  <c r="K5624" i="13" l="1"/>
  <c r="L5624" i="13" s="1"/>
  <c r="I5625" i="13" s="1"/>
  <c r="M5814" i="14"/>
  <c r="J5810" i="13" a="1"/>
  <c r="J5810" i="13" s="1"/>
  <c r="N5811" i="13"/>
  <c r="M5813" i="13"/>
  <c r="N5810" i="14"/>
  <c r="J5809" i="14" a="1"/>
  <c r="J5809" i="14" s="1"/>
  <c r="K5646" i="14"/>
  <c r="L5646" i="14" s="1"/>
  <c r="I5647" i="14" s="1"/>
  <c r="K5625" i="13" l="1"/>
  <c r="L5625" i="13" s="1"/>
  <c r="I5626" i="13" s="1"/>
  <c r="K5647" i="14"/>
  <c r="L5647" i="14" s="1"/>
  <c r="I5648" i="14" s="1"/>
  <c r="M5814" i="13"/>
  <c r="M5815" i="14"/>
  <c r="J5811" i="13" a="1"/>
  <c r="J5811" i="13" s="1"/>
  <c r="N5812" i="13"/>
  <c r="N5811" i="14"/>
  <c r="J5810" i="14" a="1"/>
  <c r="J5810" i="14" s="1"/>
  <c r="K5648" i="14" l="1"/>
  <c r="L5648" i="14" s="1"/>
  <c r="I5649" i="14" s="1"/>
  <c r="K5626" i="13"/>
  <c r="L5626" i="13" s="1"/>
  <c r="I5627" i="13" s="1"/>
  <c r="J5811" i="14" a="1"/>
  <c r="J5811" i="14" s="1"/>
  <c r="N5812" i="14"/>
  <c r="M5816" i="14"/>
  <c r="J5812" i="13" a="1"/>
  <c r="J5812" i="13" s="1"/>
  <c r="N5813" i="13"/>
  <c r="M5815" i="13"/>
  <c r="M5817" i="14" l="1"/>
  <c r="K5627" i="13"/>
  <c r="L5627" i="13" s="1"/>
  <c r="I5628" i="13" s="1"/>
  <c r="M5816" i="13"/>
  <c r="N5814" i="13"/>
  <c r="J5813" i="13" a="1"/>
  <c r="J5813" i="13" s="1"/>
  <c r="J5812" i="14" a="1"/>
  <c r="J5812" i="14" s="1"/>
  <c r="N5813" i="14"/>
  <c r="K5649" i="14"/>
  <c r="L5649" i="14" s="1"/>
  <c r="I5650" i="14" s="1"/>
  <c r="K5650" i="14" l="1"/>
  <c r="L5650" i="14" s="1"/>
  <c r="I5651" i="14" s="1"/>
  <c r="K5628" i="13"/>
  <c r="L5628" i="13" s="1"/>
  <c r="I5629" i="13" s="1"/>
  <c r="J5813" i="14" a="1"/>
  <c r="J5813" i="14" s="1"/>
  <c r="N5814" i="14"/>
  <c r="M5817" i="13"/>
  <c r="M5818" i="14"/>
  <c r="J5814" i="13" a="1"/>
  <c r="J5814" i="13" s="1"/>
  <c r="N5815" i="13"/>
  <c r="K5629" i="13" l="1"/>
  <c r="L5629" i="13" s="1"/>
  <c r="I5630" i="13" s="1"/>
  <c r="K5651" i="14"/>
  <c r="L5651" i="14" s="1"/>
  <c r="I5652" i="14" s="1"/>
  <c r="J5815" i="13" a="1"/>
  <c r="J5815" i="13" s="1"/>
  <c r="N5816" i="13"/>
  <c r="M5818" i="13"/>
  <c r="N5815" i="14"/>
  <c r="J5814" i="14" a="1"/>
  <c r="J5814" i="14" s="1"/>
  <c r="M5819" i="14"/>
  <c r="K5630" i="13" l="1"/>
  <c r="L5630" i="13" s="1"/>
  <c r="I5631" i="13" s="1"/>
  <c r="M5820" i="14"/>
  <c r="M5819" i="13"/>
  <c r="K5652" i="14"/>
  <c r="L5652" i="14" s="1"/>
  <c r="I5653" i="14" s="1"/>
  <c r="J5816" i="13" a="1"/>
  <c r="J5816" i="13" s="1"/>
  <c r="N5817" i="13"/>
  <c r="J5815" i="14" a="1"/>
  <c r="J5815" i="14" s="1"/>
  <c r="N5816" i="14"/>
  <c r="K5631" i="13" l="1"/>
  <c r="L5631" i="13" s="1"/>
  <c r="I5632" i="13" s="1"/>
  <c r="J5816" i="14" a="1"/>
  <c r="J5816" i="14" s="1"/>
  <c r="N5817" i="14"/>
  <c r="K5653" i="14"/>
  <c r="L5653" i="14" s="1"/>
  <c r="I5654" i="14" s="1"/>
  <c r="M5821" i="14"/>
  <c r="N5818" i="13"/>
  <c r="J5817" i="13" a="1"/>
  <c r="J5817" i="13" s="1"/>
  <c r="M5820" i="13"/>
  <c r="K5654" i="14" l="1"/>
  <c r="L5654" i="14" s="1"/>
  <c r="I5655" i="14" s="1"/>
  <c r="K5632" i="13"/>
  <c r="L5632" i="13" s="1"/>
  <c r="I5633" i="13" s="1"/>
  <c r="M5821" i="13"/>
  <c r="M5822" i="14"/>
  <c r="N5818" i="14"/>
  <c r="J5817" i="14" a="1"/>
  <c r="J5817" i="14" s="1"/>
  <c r="J5818" i="13" a="1"/>
  <c r="J5818" i="13" s="1"/>
  <c r="N5819" i="13"/>
  <c r="K5633" i="13" l="1"/>
  <c r="L5633" i="13" s="1"/>
  <c r="I5634" i="13" s="1"/>
  <c r="K5655" i="14"/>
  <c r="L5655" i="14" s="1"/>
  <c r="I5656" i="14" s="1"/>
  <c r="J5819" i="13" a="1"/>
  <c r="J5819" i="13" s="1"/>
  <c r="N5820" i="13"/>
  <c r="M5823" i="14"/>
  <c r="N5819" i="14"/>
  <c r="J5818" i="14" a="1"/>
  <c r="J5818" i="14" s="1"/>
  <c r="M5822" i="13"/>
  <c r="K5656" i="14" l="1"/>
  <c r="L5656" i="14" s="1"/>
  <c r="I5657" i="14" s="1"/>
  <c r="K5634" i="13"/>
  <c r="L5634" i="13" s="1"/>
  <c r="I5635" i="13" s="1"/>
  <c r="M5823" i="13"/>
  <c r="M5824" i="14"/>
  <c r="J5820" i="13" a="1"/>
  <c r="J5820" i="13" s="1"/>
  <c r="N5821" i="13"/>
  <c r="J5819" i="14" a="1"/>
  <c r="J5819" i="14" s="1"/>
  <c r="N5820" i="14"/>
  <c r="K5657" i="14" l="1"/>
  <c r="L5657" i="14" s="1"/>
  <c r="I5658" i="14" s="1"/>
  <c r="J5820" i="14" a="1"/>
  <c r="J5820" i="14" s="1"/>
  <c r="N5821" i="14"/>
  <c r="M5825" i="14"/>
  <c r="K5635" i="13"/>
  <c r="L5635" i="13" s="1"/>
  <c r="I5636" i="13" s="1"/>
  <c r="N5822" i="13"/>
  <c r="J5821" i="13" a="1"/>
  <c r="J5821" i="13" s="1"/>
  <c r="M5824" i="13"/>
  <c r="K5658" i="14" l="1"/>
  <c r="L5658" i="14" s="1"/>
  <c r="I5659" i="14" s="1"/>
  <c r="K5636" i="13"/>
  <c r="L5636" i="13" s="1"/>
  <c r="I5637" i="13" s="1"/>
  <c r="M5825" i="13"/>
  <c r="N5822" i="14"/>
  <c r="J5821" i="14" a="1"/>
  <c r="J5821" i="14" s="1"/>
  <c r="M5826" i="14"/>
  <c r="J5822" i="13" a="1"/>
  <c r="J5822" i="13" s="1"/>
  <c r="N5823" i="13"/>
  <c r="K5637" i="13" l="1"/>
  <c r="L5637" i="13" s="1"/>
  <c r="I5638" i="13" s="1"/>
  <c r="K5659" i="14"/>
  <c r="L5659" i="14" s="1"/>
  <c r="I5660" i="14" s="1"/>
  <c r="J5823" i="13" a="1"/>
  <c r="J5823" i="13" s="1"/>
  <c r="N5824" i="13"/>
  <c r="N5823" i="14"/>
  <c r="J5822" i="14" a="1"/>
  <c r="J5822" i="14" s="1"/>
  <c r="M5827" i="14"/>
  <c r="M5826" i="13"/>
  <c r="K5660" i="14" l="1"/>
  <c r="L5660" i="14" s="1"/>
  <c r="I5661" i="14" s="1"/>
  <c r="K5638" i="13"/>
  <c r="L5638" i="13" s="1"/>
  <c r="I5639" i="13" s="1"/>
  <c r="J5823" i="14" a="1"/>
  <c r="J5823" i="14" s="1"/>
  <c r="N5824" i="14"/>
  <c r="J5824" i="13" a="1"/>
  <c r="J5824" i="13" s="1"/>
  <c r="N5825" i="13"/>
  <c r="M5827" i="13"/>
  <c r="M5828" i="14"/>
  <c r="K5639" i="13" l="1"/>
  <c r="L5639" i="13" s="1"/>
  <c r="I5640" i="13" s="1"/>
  <c r="K5661" i="14"/>
  <c r="L5661" i="14" s="1"/>
  <c r="I5662" i="14" s="1"/>
  <c r="N5826" i="13"/>
  <c r="J5825" i="13" a="1"/>
  <c r="J5825" i="13" s="1"/>
  <c r="M5829" i="14"/>
  <c r="J5824" i="14" a="1"/>
  <c r="J5824" i="14" s="1"/>
  <c r="N5825" i="14"/>
  <c r="M5828" i="13"/>
  <c r="K5662" i="14" l="1"/>
  <c r="L5662" i="14" s="1"/>
  <c r="I5663" i="14" s="1"/>
  <c r="K5640" i="13"/>
  <c r="L5640" i="13" s="1"/>
  <c r="I5641" i="13" s="1"/>
  <c r="N5826" i="14"/>
  <c r="J5825" i="14" a="1"/>
  <c r="J5825" i="14" s="1"/>
  <c r="M5829" i="13"/>
  <c r="M5830" i="14"/>
  <c r="J5826" i="13" a="1"/>
  <c r="J5826" i="13" s="1"/>
  <c r="N5827" i="13"/>
  <c r="K5641" i="13" l="1"/>
  <c r="L5641" i="13" s="1"/>
  <c r="I5642" i="13" s="1"/>
  <c r="K5663" i="14"/>
  <c r="L5663" i="14" s="1"/>
  <c r="I5664" i="14" s="1"/>
  <c r="J5827" i="13" a="1"/>
  <c r="J5827" i="13" s="1"/>
  <c r="N5828" i="13"/>
  <c r="M5830" i="13"/>
  <c r="M5831" i="14"/>
  <c r="N5827" i="14"/>
  <c r="J5826" i="14" a="1"/>
  <c r="J5826" i="14" s="1"/>
  <c r="K5664" i="14" l="1"/>
  <c r="L5664" i="14" s="1"/>
  <c r="I5665" i="14" s="1"/>
  <c r="K5642" i="13"/>
  <c r="L5642" i="13" s="1"/>
  <c r="I5643" i="13" s="1"/>
  <c r="J5827" i="14" a="1"/>
  <c r="J5827" i="14" s="1"/>
  <c r="N5828" i="14"/>
  <c r="M5831" i="13"/>
  <c r="J5828" i="13" a="1"/>
  <c r="J5828" i="13" s="1"/>
  <c r="N5829" i="13"/>
  <c r="M5832" i="14"/>
  <c r="K5643" i="13" l="1"/>
  <c r="L5643" i="13" s="1"/>
  <c r="I5644" i="13" s="1"/>
  <c r="K5665" i="14"/>
  <c r="L5665" i="14" s="1"/>
  <c r="I5666" i="14" s="1"/>
  <c r="M5833" i="14"/>
  <c r="N5830" i="13"/>
  <c r="J5829" i="13" a="1"/>
  <c r="J5829" i="13" s="1"/>
  <c r="M5832" i="13"/>
  <c r="J5828" i="14" a="1"/>
  <c r="J5828" i="14" s="1"/>
  <c r="N5829" i="14"/>
  <c r="K5666" i="14" l="1"/>
  <c r="L5666" i="14" s="1"/>
  <c r="I5667" i="14" s="1"/>
  <c r="K5644" i="13"/>
  <c r="L5644" i="13" s="1"/>
  <c r="I5645" i="13" s="1"/>
  <c r="J5830" i="13" a="1"/>
  <c r="J5830" i="13" s="1"/>
  <c r="N5831" i="13"/>
  <c r="J5829" i="14" a="1"/>
  <c r="J5829" i="14" s="1"/>
  <c r="N5830" i="14"/>
  <c r="M5833" i="13"/>
  <c r="M5834" i="14"/>
  <c r="K5645" i="13" l="1"/>
  <c r="L5645" i="13" s="1"/>
  <c r="I5646" i="13" s="1"/>
  <c r="K5667" i="14"/>
  <c r="L5667" i="14" s="1"/>
  <c r="I5668" i="14" s="1"/>
  <c r="N5831" i="14"/>
  <c r="J5830" i="14" a="1"/>
  <c r="J5830" i="14" s="1"/>
  <c r="J5831" i="13" a="1"/>
  <c r="J5831" i="13" s="1"/>
  <c r="N5832" i="13"/>
  <c r="M5835" i="14"/>
  <c r="M5834" i="13"/>
  <c r="K5668" i="14" l="1"/>
  <c r="L5668" i="14" s="1"/>
  <c r="I5669" i="14" s="1"/>
  <c r="K5646" i="13"/>
  <c r="L5646" i="13" s="1"/>
  <c r="I5647" i="13" s="1"/>
  <c r="J5832" i="13" a="1"/>
  <c r="J5832" i="13" s="1"/>
  <c r="N5833" i="13"/>
  <c r="M5835" i="13"/>
  <c r="M5836" i="14"/>
  <c r="J5831" i="14" a="1"/>
  <c r="J5831" i="14" s="1"/>
  <c r="N5832" i="14"/>
  <c r="K5647" i="13" l="1"/>
  <c r="L5647" i="13" s="1"/>
  <c r="I5648" i="13" s="1"/>
  <c r="K5669" i="14"/>
  <c r="L5669" i="14" s="1"/>
  <c r="I5670" i="14" s="1"/>
  <c r="J5832" i="14" a="1"/>
  <c r="J5832" i="14" s="1"/>
  <c r="N5833" i="14"/>
  <c r="M5836" i="13"/>
  <c r="N5834" i="13"/>
  <c r="J5833" i="13" a="1"/>
  <c r="J5833" i="13" s="1"/>
  <c r="M5837" i="14"/>
  <c r="K5670" i="14" l="1"/>
  <c r="L5670" i="14" s="1"/>
  <c r="I5671" i="14" s="1"/>
  <c r="K5648" i="13"/>
  <c r="L5648" i="13" s="1"/>
  <c r="I5649" i="13" s="1"/>
  <c r="M5838" i="14"/>
  <c r="M5837" i="13"/>
  <c r="J5834" i="13" a="1"/>
  <c r="J5834" i="13" s="1"/>
  <c r="N5835" i="13"/>
  <c r="N5834" i="14"/>
  <c r="J5833" i="14" a="1"/>
  <c r="J5833" i="14" s="1"/>
  <c r="K5649" i="13" l="1"/>
  <c r="L5649" i="13" s="1"/>
  <c r="I5650" i="13" s="1"/>
  <c r="K5671" i="14"/>
  <c r="L5671" i="14" s="1"/>
  <c r="I5672" i="14" s="1"/>
  <c r="N5835" i="14"/>
  <c r="J5834" i="14" a="1"/>
  <c r="J5834" i="14" s="1"/>
  <c r="M5838" i="13"/>
  <c r="J5835" i="13" a="1"/>
  <c r="J5835" i="13" s="1"/>
  <c r="N5836" i="13"/>
  <c r="M5839" i="14"/>
  <c r="K5672" i="14" l="1"/>
  <c r="L5672" i="14" s="1"/>
  <c r="I5673" i="14" s="1"/>
  <c r="K5650" i="13"/>
  <c r="L5650" i="13" s="1"/>
  <c r="I5651" i="13" s="1"/>
  <c r="J5836" i="13" a="1"/>
  <c r="J5836" i="13" s="1"/>
  <c r="N5837" i="13"/>
  <c r="M5840" i="14"/>
  <c r="M5839" i="13"/>
  <c r="J5835" i="14" a="1"/>
  <c r="J5835" i="14" s="1"/>
  <c r="N5836" i="14"/>
  <c r="K5651" i="13" l="1"/>
  <c r="L5651" i="13" s="1"/>
  <c r="I5652" i="13" s="1"/>
  <c r="K5673" i="14"/>
  <c r="L5673" i="14" s="1"/>
  <c r="I5674" i="14" s="1"/>
  <c r="J5836" i="14" a="1"/>
  <c r="J5836" i="14" s="1"/>
  <c r="N5837" i="14"/>
  <c r="M5841" i="14"/>
  <c r="N5838" i="13"/>
  <c r="J5837" i="13" a="1"/>
  <c r="J5837" i="13" s="1"/>
  <c r="M5840" i="13"/>
  <c r="K5674" i="14" l="1"/>
  <c r="L5674" i="14" s="1"/>
  <c r="I5675" i="14" s="1"/>
  <c r="K5652" i="13"/>
  <c r="L5652" i="13" s="1"/>
  <c r="I5653" i="13" s="1"/>
  <c r="J5838" i="13" a="1"/>
  <c r="J5838" i="13" s="1"/>
  <c r="N5839" i="13"/>
  <c r="M5841" i="13"/>
  <c r="M5842" i="14"/>
  <c r="N5838" i="14"/>
  <c r="J5837" i="14" a="1"/>
  <c r="J5837" i="14" s="1"/>
  <c r="K5653" i="13" l="1"/>
  <c r="L5653" i="13" s="1"/>
  <c r="I5654" i="13" s="1"/>
  <c r="K5675" i="14"/>
  <c r="L5675" i="14" s="1"/>
  <c r="I5676" i="14" s="1"/>
  <c r="N5839" i="14"/>
  <c r="J5838" i="14" a="1"/>
  <c r="J5838" i="14" s="1"/>
  <c r="M5842" i="13"/>
  <c r="J5839" i="13" a="1"/>
  <c r="J5839" i="13" s="1"/>
  <c r="N5840" i="13"/>
  <c r="M5843" i="14"/>
  <c r="K5676" i="14" l="1"/>
  <c r="L5676" i="14" s="1"/>
  <c r="I5677" i="14" s="1"/>
  <c r="K5654" i="13"/>
  <c r="L5654" i="13" s="1"/>
  <c r="I5655" i="13" s="1"/>
  <c r="J5840" i="13" a="1"/>
  <c r="J5840" i="13" s="1"/>
  <c r="N5841" i="13"/>
  <c r="M5844" i="14"/>
  <c r="M5843" i="13"/>
  <c r="J5839" i="14" a="1"/>
  <c r="J5839" i="14" s="1"/>
  <c r="N5840" i="14"/>
  <c r="K5655" i="13" l="1"/>
  <c r="L5655" i="13" s="1"/>
  <c r="I5656" i="13" s="1"/>
  <c r="K5677" i="14"/>
  <c r="L5677" i="14" s="1"/>
  <c r="I5678" i="14" s="1"/>
  <c r="N5841" i="14"/>
  <c r="J5840" i="14" a="1"/>
  <c r="J5840" i="14" s="1"/>
  <c r="M5845" i="14"/>
  <c r="N5842" i="13"/>
  <c r="J5841" i="13" a="1"/>
  <c r="J5841" i="13" s="1"/>
  <c r="M5844" i="13"/>
  <c r="K5678" i="14" l="1"/>
  <c r="L5678" i="14" s="1"/>
  <c r="I5679" i="14" s="1"/>
  <c r="K5656" i="13"/>
  <c r="L5656" i="13" s="1"/>
  <c r="I5657" i="13" s="1"/>
  <c r="M5845" i="13"/>
  <c r="M5846" i="14"/>
  <c r="J5842" i="13" a="1"/>
  <c r="J5842" i="13" s="1"/>
  <c r="N5843" i="13"/>
  <c r="N5842" i="14"/>
  <c r="J5841" i="14" a="1"/>
  <c r="J5841" i="14" s="1"/>
  <c r="K5657" i="13" l="1"/>
  <c r="L5657" i="13" s="1"/>
  <c r="I5658" i="13" s="1"/>
  <c r="K5679" i="14"/>
  <c r="L5679" i="14" s="1"/>
  <c r="I5680" i="14" s="1"/>
  <c r="J5842" i="14" a="1"/>
  <c r="J5842" i="14" s="1"/>
  <c r="N5843" i="14"/>
  <c r="M5847" i="14"/>
  <c r="J5843" i="13" a="1"/>
  <c r="J5843" i="13" s="1"/>
  <c r="N5844" i="13"/>
  <c r="M5846" i="13"/>
  <c r="K5680" i="14" l="1"/>
  <c r="L5680" i="14" s="1"/>
  <c r="I5681" i="14" s="1"/>
  <c r="K5658" i="13"/>
  <c r="L5658" i="13" s="1"/>
  <c r="I5659" i="13" s="1"/>
  <c r="J5844" i="13" a="1"/>
  <c r="J5844" i="13" s="1"/>
  <c r="N5845" i="13"/>
  <c r="M5848" i="14"/>
  <c r="M5847" i="13"/>
  <c r="N5844" i="14"/>
  <c r="J5843" i="14" a="1"/>
  <c r="J5843" i="14" s="1"/>
  <c r="K5659" i="13" l="1"/>
  <c r="L5659" i="13" s="1"/>
  <c r="I5660" i="13" s="1"/>
  <c r="K5681" i="14"/>
  <c r="L5681" i="14" s="1"/>
  <c r="I5682" i="14" s="1"/>
  <c r="M5849" i="14"/>
  <c r="N5845" i="14"/>
  <c r="J5844" i="14" a="1"/>
  <c r="J5844" i="14" s="1"/>
  <c r="N5846" i="13"/>
  <c r="J5845" i="13" a="1"/>
  <c r="J5845" i="13" s="1"/>
  <c r="M5848" i="13"/>
  <c r="K5682" i="14" l="1"/>
  <c r="L5682" i="14" s="1"/>
  <c r="I5683" i="14" s="1"/>
  <c r="K5660" i="13"/>
  <c r="L5660" i="13" s="1"/>
  <c r="I5661" i="13" s="1"/>
  <c r="M5849" i="13"/>
  <c r="N5846" i="14"/>
  <c r="J5845" i="14" a="1"/>
  <c r="J5845" i="14" s="1"/>
  <c r="J5846" i="13" a="1"/>
  <c r="J5846" i="13" s="1"/>
  <c r="N5847" i="13"/>
  <c r="M5850" i="14"/>
  <c r="K5661" i="13" l="1"/>
  <c r="L5661" i="13" s="1"/>
  <c r="I5662" i="13" s="1"/>
  <c r="K5683" i="14"/>
  <c r="L5683" i="14" s="1"/>
  <c r="I5684" i="14" s="1"/>
  <c r="J5846" i="14" a="1"/>
  <c r="J5846" i="14" s="1"/>
  <c r="N5847" i="14"/>
  <c r="J5847" i="13" a="1"/>
  <c r="J5847" i="13" s="1"/>
  <c r="N5848" i="13"/>
  <c r="M5851" i="14"/>
  <c r="M5850" i="13"/>
  <c r="K5684" i="14" l="1"/>
  <c r="L5684" i="14" s="1"/>
  <c r="I5685" i="14" s="1"/>
  <c r="K5662" i="13"/>
  <c r="L5662" i="13" s="1"/>
  <c r="I5663" i="13" s="1"/>
  <c r="J5848" i="13" a="1"/>
  <c r="J5848" i="13" s="1"/>
  <c r="N5849" i="13"/>
  <c r="N5848" i="14"/>
  <c r="J5847" i="14" a="1"/>
  <c r="J5847" i="14" s="1"/>
  <c r="M5851" i="13"/>
  <c r="M5852" i="14"/>
  <c r="K5663" i="13" l="1"/>
  <c r="L5663" i="13" s="1"/>
  <c r="I5664" i="13" s="1"/>
  <c r="K5685" i="14"/>
  <c r="L5685" i="14" s="1"/>
  <c r="I5686" i="14" s="1"/>
  <c r="N5849" i="14"/>
  <c r="J5848" i="14" a="1"/>
  <c r="J5848" i="14" s="1"/>
  <c r="M5853" i="14"/>
  <c r="N5850" i="13"/>
  <c r="J5849" i="13" a="1"/>
  <c r="J5849" i="13" s="1"/>
  <c r="M5852" i="13"/>
  <c r="K5686" i="14" l="1"/>
  <c r="L5686" i="14" s="1"/>
  <c r="I5687" i="14" s="1"/>
  <c r="K5664" i="13"/>
  <c r="L5664" i="13" s="1"/>
  <c r="I5665" i="13" s="1"/>
  <c r="M5853" i="13"/>
  <c r="M5854" i="14"/>
  <c r="J5850" i="13" a="1"/>
  <c r="J5850" i="13" s="1"/>
  <c r="N5851" i="13"/>
  <c r="N5850" i="14"/>
  <c r="J5849" i="14" a="1"/>
  <c r="J5849" i="14" s="1"/>
  <c r="K5665" i="13" l="1"/>
  <c r="L5665" i="13" s="1"/>
  <c r="I5666" i="13" s="1"/>
  <c r="K5687" i="14"/>
  <c r="L5687" i="14" s="1"/>
  <c r="I5688" i="14" s="1"/>
  <c r="M5855" i="14"/>
  <c r="J5850" i="14" a="1"/>
  <c r="J5850" i="14" s="1"/>
  <c r="N5851" i="14"/>
  <c r="J5851" i="13" a="1"/>
  <c r="J5851" i="13" s="1"/>
  <c r="N5852" i="13"/>
  <c r="M5854" i="13"/>
  <c r="K5688" i="14" l="1"/>
  <c r="L5688" i="14" s="1"/>
  <c r="I5689" i="14" s="1"/>
  <c r="K5666" i="13"/>
  <c r="L5666" i="13" s="1"/>
  <c r="I5667" i="13" s="1"/>
  <c r="N5852" i="14"/>
  <c r="J5851" i="14" a="1"/>
  <c r="J5851" i="14" s="1"/>
  <c r="J5852" i="13" a="1"/>
  <c r="J5852" i="13" s="1"/>
  <c r="N5853" i="13"/>
  <c r="M5855" i="13"/>
  <c r="M5856" i="14"/>
  <c r="K5667" i="13" l="1"/>
  <c r="L5667" i="13" s="1"/>
  <c r="I5668" i="13" s="1"/>
  <c r="K5689" i="14"/>
  <c r="L5689" i="14" s="1"/>
  <c r="I5690" i="14" s="1"/>
  <c r="M5857" i="14"/>
  <c r="N5854" i="13"/>
  <c r="J5853" i="13" a="1"/>
  <c r="J5853" i="13" s="1"/>
  <c r="M5856" i="13"/>
  <c r="N5853" i="14"/>
  <c r="J5852" i="14" a="1"/>
  <c r="J5852" i="14" s="1"/>
  <c r="K5690" i="14" l="1"/>
  <c r="L5690" i="14" s="1"/>
  <c r="I5691" i="14" s="1"/>
  <c r="K5668" i="13"/>
  <c r="L5668" i="13" s="1"/>
  <c r="I5669" i="13" s="1"/>
  <c r="N5854" i="14"/>
  <c r="J5853" i="14" a="1"/>
  <c r="J5853" i="14" s="1"/>
  <c r="J5854" i="13" a="1"/>
  <c r="J5854" i="13" s="1"/>
  <c r="N5855" i="13"/>
  <c r="M5857" i="13"/>
  <c r="M5858" i="14"/>
  <c r="K5669" i="13" l="1"/>
  <c r="L5669" i="13" s="1"/>
  <c r="I5670" i="13" s="1"/>
  <c r="K5691" i="14"/>
  <c r="L5691" i="14" s="1"/>
  <c r="I5692" i="14" s="1"/>
  <c r="J5855" i="13" a="1"/>
  <c r="J5855" i="13" s="1"/>
  <c r="N5856" i="13"/>
  <c r="M5859" i="14"/>
  <c r="M5858" i="13"/>
  <c r="J5854" i="14" a="1"/>
  <c r="J5854" i="14" s="1"/>
  <c r="N5855" i="14"/>
  <c r="K5692" i="14" l="1"/>
  <c r="L5692" i="14" s="1"/>
  <c r="I5693" i="14" s="1"/>
  <c r="K5670" i="13"/>
  <c r="L5670" i="13" s="1"/>
  <c r="I5671" i="13" s="1"/>
  <c r="M5860" i="14"/>
  <c r="J5856" i="13" a="1"/>
  <c r="J5856" i="13" s="1"/>
  <c r="N5857" i="13"/>
  <c r="N5856" i="14"/>
  <c r="J5855" i="14" a="1"/>
  <c r="J5855" i="14" s="1"/>
  <c r="M5859" i="13"/>
  <c r="K5671" i="13" l="1"/>
  <c r="L5671" i="13" s="1"/>
  <c r="I5672" i="13" s="1"/>
  <c r="K5693" i="14"/>
  <c r="L5693" i="14" s="1"/>
  <c r="I5694" i="14" s="1"/>
  <c r="N5858" i="13"/>
  <c r="J5857" i="13" a="1"/>
  <c r="J5857" i="13" s="1"/>
  <c r="M5860" i="13"/>
  <c r="M5861" i="14"/>
  <c r="N5857" i="14"/>
  <c r="J5856" i="14" a="1"/>
  <c r="J5856" i="14" s="1"/>
  <c r="K5694" i="14" l="1"/>
  <c r="L5694" i="14" s="1"/>
  <c r="I5695" i="14" s="1"/>
  <c r="K5672" i="13"/>
  <c r="L5672" i="13" s="1"/>
  <c r="I5673" i="13" s="1"/>
  <c r="M5861" i="13"/>
  <c r="N5858" i="14"/>
  <c r="J5857" i="14" a="1"/>
  <c r="J5857" i="14" s="1"/>
  <c r="M5862" i="14"/>
  <c r="J5858" i="13" a="1"/>
  <c r="J5858" i="13" s="1"/>
  <c r="N5859" i="13"/>
  <c r="K5673" i="13" l="1"/>
  <c r="L5673" i="13" s="1"/>
  <c r="I5674" i="13" s="1"/>
  <c r="K5695" i="14"/>
  <c r="L5695" i="14" s="1"/>
  <c r="I5696" i="14" s="1"/>
  <c r="J5859" i="13" a="1"/>
  <c r="J5859" i="13" s="1"/>
  <c r="N5860" i="13"/>
  <c r="J5858" i="14" a="1"/>
  <c r="J5858" i="14" s="1"/>
  <c r="N5859" i="14"/>
  <c r="M5863" i="14"/>
  <c r="M5862" i="13"/>
  <c r="K5696" i="14" l="1"/>
  <c r="L5696" i="14" s="1"/>
  <c r="I5697" i="14" s="1"/>
  <c r="K5674" i="13"/>
  <c r="L5674" i="13" s="1"/>
  <c r="I5675" i="13" s="1"/>
  <c r="N5860" i="14"/>
  <c r="J5859" i="14" a="1"/>
  <c r="J5859" i="14" s="1"/>
  <c r="M5863" i="13"/>
  <c r="M5864" i="14"/>
  <c r="J5860" i="13" a="1"/>
  <c r="J5860" i="13" s="1"/>
  <c r="N5861" i="13"/>
  <c r="K5675" i="13" l="1"/>
  <c r="L5675" i="13" s="1"/>
  <c r="I5676" i="13" s="1"/>
  <c r="K5697" i="14"/>
  <c r="L5697" i="14" s="1"/>
  <c r="I5698" i="14" s="1"/>
  <c r="M5864" i="13"/>
  <c r="N5862" i="13"/>
  <c r="J5861" i="13" a="1"/>
  <c r="J5861" i="13" s="1"/>
  <c r="M5865" i="14"/>
  <c r="N5861" i="14"/>
  <c r="J5860" i="14" a="1"/>
  <c r="J5860" i="14" s="1"/>
  <c r="K5698" i="14" l="1"/>
  <c r="L5698" i="14" s="1"/>
  <c r="I5699" i="14" s="1"/>
  <c r="K5676" i="13"/>
  <c r="L5676" i="13" s="1"/>
  <c r="I5677" i="13" s="1"/>
  <c r="N5862" i="14"/>
  <c r="J5861" i="14" a="1"/>
  <c r="J5861" i="14" s="1"/>
  <c r="M5865" i="13"/>
  <c r="J5862" i="13" a="1"/>
  <c r="J5862" i="13" s="1"/>
  <c r="N5863" i="13"/>
  <c r="M5866" i="14"/>
  <c r="K5677" i="13" l="1"/>
  <c r="L5677" i="13" s="1"/>
  <c r="I5678" i="13" s="1"/>
  <c r="K5699" i="14"/>
  <c r="L5699" i="14" s="1"/>
  <c r="I5700" i="14" s="1"/>
  <c r="M5867" i="14"/>
  <c r="M5866" i="13"/>
  <c r="J5863" i="13" a="1"/>
  <c r="J5863" i="13" s="1"/>
  <c r="N5864" i="13"/>
  <c r="J5862" i="14" a="1"/>
  <c r="J5862" i="14" s="1"/>
  <c r="N5863" i="14"/>
  <c r="K5700" i="14" l="1"/>
  <c r="L5700" i="14" s="1"/>
  <c r="I5701" i="14" s="1"/>
  <c r="K5678" i="13"/>
  <c r="L5678" i="13" s="1"/>
  <c r="I5679" i="13" s="1"/>
  <c r="N5864" i="14"/>
  <c r="J5863" i="14" a="1"/>
  <c r="J5863" i="14" s="1"/>
  <c r="M5867" i="13"/>
  <c r="J5864" i="13" a="1"/>
  <c r="J5864" i="13" s="1"/>
  <c r="N5865" i="13"/>
  <c r="M5868" i="14"/>
  <c r="K5679" i="13" l="1"/>
  <c r="L5679" i="13" s="1"/>
  <c r="I5680" i="13" s="1"/>
  <c r="K5701" i="14"/>
  <c r="L5701" i="14" s="1"/>
  <c r="I5702" i="14" s="1"/>
  <c r="M5869" i="14"/>
  <c r="M5868" i="13"/>
  <c r="N5866" i="13"/>
  <c r="J5865" i="13" a="1"/>
  <c r="J5865" i="13" s="1"/>
  <c r="J5864" i="14" a="1"/>
  <c r="J5864" i="14" s="1"/>
  <c r="N5865" i="14"/>
  <c r="K5702" i="14" l="1"/>
  <c r="L5702" i="14" s="1"/>
  <c r="I5703" i="14" s="1"/>
  <c r="K5680" i="13"/>
  <c r="L5680" i="13" s="1"/>
  <c r="I5681" i="13" s="1"/>
  <c r="M5869" i="13"/>
  <c r="N5866" i="14"/>
  <c r="J5865" i="14" a="1"/>
  <c r="J5865" i="14" s="1"/>
  <c r="J5866" i="13" a="1"/>
  <c r="J5866" i="13" s="1"/>
  <c r="N5867" i="13"/>
  <c r="M5870" i="14"/>
  <c r="K5681" i="13" l="1"/>
  <c r="L5681" i="13" s="1"/>
  <c r="I5682" i="13" s="1"/>
  <c r="K5703" i="14"/>
  <c r="L5703" i="14" s="1"/>
  <c r="I5704" i="14" s="1"/>
  <c r="J5866" i="14" a="1"/>
  <c r="J5866" i="14" s="1"/>
  <c r="N5867" i="14"/>
  <c r="J5867" i="13" a="1"/>
  <c r="J5867" i="13" s="1"/>
  <c r="N5868" i="13"/>
  <c r="M5871" i="14"/>
  <c r="M5870" i="13"/>
  <c r="K5704" i="14" l="1"/>
  <c r="L5704" i="14" s="1"/>
  <c r="I5705" i="14" s="1"/>
  <c r="K5682" i="13"/>
  <c r="L5682" i="13" s="1"/>
  <c r="I5683" i="13" s="1"/>
  <c r="J5868" i="13" a="1"/>
  <c r="J5868" i="13" s="1"/>
  <c r="N5869" i="13"/>
  <c r="J5867" i="14" a="1"/>
  <c r="J5867" i="14" s="1"/>
  <c r="N5868" i="14"/>
  <c r="M5871" i="13"/>
  <c r="M5872" i="14"/>
  <c r="K5683" i="13" l="1"/>
  <c r="L5683" i="13" s="1"/>
  <c r="I5684" i="13" s="1"/>
  <c r="K5705" i="14"/>
  <c r="L5705" i="14" s="1"/>
  <c r="I5706" i="14" s="1"/>
  <c r="J5868" i="14" a="1"/>
  <c r="J5868" i="14" s="1"/>
  <c r="N5869" i="14"/>
  <c r="M5873" i="14"/>
  <c r="N5870" i="13"/>
  <c r="J5869" i="13" a="1"/>
  <c r="J5869" i="13" s="1"/>
  <c r="M5872" i="13"/>
  <c r="K5706" i="14" l="1"/>
  <c r="L5706" i="14" s="1"/>
  <c r="I5707" i="14" s="1"/>
  <c r="K5684" i="13"/>
  <c r="L5684" i="13" s="1"/>
  <c r="I5685" i="13" s="1"/>
  <c r="M5873" i="13"/>
  <c r="M5874" i="14"/>
  <c r="N5870" i="14"/>
  <c r="J5869" i="14" a="1"/>
  <c r="J5869" i="14" s="1"/>
  <c r="J5870" i="13" a="1"/>
  <c r="J5870" i="13" s="1"/>
  <c r="N5871" i="13"/>
  <c r="K5685" i="13" l="1"/>
  <c r="L5685" i="13" s="1"/>
  <c r="I5686" i="13" s="1"/>
  <c r="K5707" i="14"/>
  <c r="L5707" i="14" s="1"/>
  <c r="I5708" i="14" s="1"/>
  <c r="J5871" i="13" a="1"/>
  <c r="J5871" i="13" s="1"/>
  <c r="N5872" i="13"/>
  <c r="M5875" i="14"/>
  <c r="J5870" i="14" a="1"/>
  <c r="J5870" i="14" s="1"/>
  <c r="N5871" i="14"/>
  <c r="M5874" i="13"/>
  <c r="K5708" i="14" l="1"/>
  <c r="L5708" i="14" s="1"/>
  <c r="I5709" i="14" s="1"/>
  <c r="K5686" i="13"/>
  <c r="L5686" i="13" s="1"/>
  <c r="I5687" i="13" s="1"/>
  <c r="M5875" i="13"/>
  <c r="M5876" i="14"/>
  <c r="J5871" i="14" a="1"/>
  <c r="J5871" i="14" s="1"/>
  <c r="N5872" i="14"/>
  <c r="J5872" i="13" a="1"/>
  <c r="J5872" i="13" s="1"/>
  <c r="N5873" i="13"/>
  <c r="K5687" i="13" l="1"/>
  <c r="L5687" i="13" s="1"/>
  <c r="I5688" i="13" s="1"/>
  <c r="K5709" i="14"/>
  <c r="L5709" i="14" s="1"/>
  <c r="I5710" i="14" s="1"/>
  <c r="N5874" i="13"/>
  <c r="J5873" i="13" a="1"/>
  <c r="J5873" i="13" s="1"/>
  <c r="M5877" i="14"/>
  <c r="N5873" i="14"/>
  <c r="J5872" i="14" a="1"/>
  <c r="J5872" i="14" s="1"/>
  <c r="M5876" i="13"/>
  <c r="K5710" i="14" l="1"/>
  <c r="L5710" i="14" s="1"/>
  <c r="I5711" i="14" s="1"/>
  <c r="K5688" i="13"/>
  <c r="L5688" i="13" s="1"/>
  <c r="I5689" i="13" s="1"/>
  <c r="M5877" i="13"/>
  <c r="M5878" i="14"/>
  <c r="N5874" i="14"/>
  <c r="J5873" i="14" a="1"/>
  <c r="J5873" i="14" s="1"/>
  <c r="J5874" i="13" a="1"/>
  <c r="J5874" i="13" s="1"/>
  <c r="N5875" i="13"/>
  <c r="K5689" i="13" l="1"/>
  <c r="L5689" i="13" s="1"/>
  <c r="I5690" i="13" s="1"/>
  <c r="K5711" i="14"/>
  <c r="L5711" i="14" s="1"/>
  <c r="I5712" i="14" s="1"/>
  <c r="J5875" i="13" a="1"/>
  <c r="J5875" i="13" s="1"/>
  <c r="N5876" i="13"/>
  <c r="M5879" i="14"/>
  <c r="J5874" i="14" a="1"/>
  <c r="J5874" i="14" s="1"/>
  <c r="N5875" i="14"/>
  <c r="M5878" i="13"/>
  <c r="K5712" i="14" l="1"/>
  <c r="L5712" i="14" s="1"/>
  <c r="I5713" i="14" s="1"/>
  <c r="K5690" i="13"/>
  <c r="L5690" i="13" s="1"/>
  <c r="I5691" i="13" s="1"/>
  <c r="M5880" i="14"/>
  <c r="M5879" i="13"/>
  <c r="N5876" i="14"/>
  <c r="J5875" i="14" a="1"/>
  <c r="J5875" i="14" s="1"/>
  <c r="J5876" i="13" a="1"/>
  <c r="J5876" i="13" s="1"/>
  <c r="N5877" i="13"/>
  <c r="K5691" i="13" l="1"/>
  <c r="L5691" i="13" s="1"/>
  <c r="I5692" i="13" s="1"/>
  <c r="K5713" i="14"/>
  <c r="L5713" i="14" s="1"/>
  <c r="I5714" i="14" s="1"/>
  <c r="N5878" i="13"/>
  <c r="J5877" i="13" a="1"/>
  <c r="J5877" i="13" s="1"/>
  <c r="M5880" i="13"/>
  <c r="M5881" i="14"/>
  <c r="N5877" i="14"/>
  <c r="J5876" i="14" a="1"/>
  <c r="J5876" i="14" s="1"/>
  <c r="K5714" i="14" l="1"/>
  <c r="L5714" i="14" s="1"/>
  <c r="I5715" i="14" s="1"/>
  <c r="K5692" i="13"/>
  <c r="L5692" i="13" s="1"/>
  <c r="I5693" i="13" s="1"/>
  <c r="N5878" i="14"/>
  <c r="J5877" i="14" a="1"/>
  <c r="J5877" i="14" s="1"/>
  <c r="M5881" i="13"/>
  <c r="M5882" i="14"/>
  <c r="J5878" i="13" a="1"/>
  <c r="J5878" i="13" s="1"/>
  <c r="N5879" i="13"/>
  <c r="K5693" i="13" l="1"/>
  <c r="L5693" i="13" s="1"/>
  <c r="I5694" i="13" s="1"/>
  <c r="K5715" i="14"/>
  <c r="L5715" i="14" s="1"/>
  <c r="I5716" i="14" s="1"/>
  <c r="M5882" i="13"/>
  <c r="J5879" i="13" a="1"/>
  <c r="J5879" i="13" s="1"/>
  <c r="N5880" i="13"/>
  <c r="M5883" i="14"/>
  <c r="J5878" i="14" a="1"/>
  <c r="J5878" i="14" s="1"/>
  <c r="N5879" i="14"/>
  <c r="K5716" i="14" l="1"/>
  <c r="L5716" i="14" s="1"/>
  <c r="I5717" i="14" s="1"/>
  <c r="K5694" i="13"/>
  <c r="L5694" i="13" s="1"/>
  <c r="I5695" i="13" s="1"/>
  <c r="N5880" i="14"/>
  <c r="J5879" i="14" a="1"/>
  <c r="J5879" i="14" s="1"/>
  <c r="J5880" i="13" a="1"/>
  <c r="J5880" i="13" s="1"/>
  <c r="N5881" i="13"/>
  <c r="M5884" i="14"/>
  <c r="M5883" i="13"/>
  <c r="K5695" i="13" l="1"/>
  <c r="L5695" i="13" s="1"/>
  <c r="I5696" i="13" s="1"/>
  <c r="K5717" i="14"/>
  <c r="L5717" i="14" s="1"/>
  <c r="I5718" i="14" s="1"/>
  <c r="N5882" i="13"/>
  <c r="J5881" i="13" a="1"/>
  <c r="J5881" i="13" s="1"/>
  <c r="M5885" i="14"/>
  <c r="M5884" i="13"/>
  <c r="N5881" i="14"/>
  <c r="J5880" i="14" a="1"/>
  <c r="J5880" i="14" s="1"/>
  <c r="K5718" i="14" l="1"/>
  <c r="L5718" i="14" s="1"/>
  <c r="I5719" i="14" s="1"/>
  <c r="K5696" i="13"/>
  <c r="L5696" i="13" s="1"/>
  <c r="I5697" i="13" s="1"/>
  <c r="N5882" i="14"/>
  <c r="J5881" i="14" a="1"/>
  <c r="J5881" i="14" s="1"/>
  <c r="M5886" i="14"/>
  <c r="M5885" i="13"/>
  <c r="J5882" i="13" a="1"/>
  <c r="J5882" i="13" s="1"/>
  <c r="N5883" i="13"/>
  <c r="K5697" i="13" l="1"/>
  <c r="L5697" i="13" s="1"/>
  <c r="I5698" i="13" s="1"/>
  <c r="K5719" i="14"/>
  <c r="L5719" i="14" s="1"/>
  <c r="I5720" i="14" s="1"/>
  <c r="M5887" i="14"/>
  <c r="J5883" i="13" a="1"/>
  <c r="J5883" i="13" s="1"/>
  <c r="N5884" i="13"/>
  <c r="M5886" i="13"/>
  <c r="J5882" i="14" a="1"/>
  <c r="J5882" i="14" s="1"/>
  <c r="N5883" i="14"/>
  <c r="K5720" i="14" l="1"/>
  <c r="L5720" i="14" s="1"/>
  <c r="I5721" i="14" s="1"/>
  <c r="K5698" i="13"/>
  <c r="L5698" i="13" s="1"/>
  <c r="I5699" i="13" s="1"/>
  <c r="N5884" i="14"/>
  <c r="J5883" i="14" a="1"/>
  <c r="J5883" i="14" s="1"/>
  <c r="J5884" i="13" a="1"/>
  <c r="J5884" i="13" s="1"/>
  <c r="N5885" i="13"/>
  <c r="M5887" i="13"/>
  <c r="M5888" i="14"/>
  <c r="K5699" i="13" l="1"/>
  <c r="L5699" i="13" s="1"/>
  <c r="I5700" i="13" s="1"/>
  <c r="K5721" i="14"/>
  <c r="L5721" i="14" s="1"/>
  <c r="I5722" i="14" s="1"/>
  <c r="N5886" i="13"/>
  <c r="J5885" i="13" a="1"/>
  <c r="J5885" i="13" s="1"/>
  <c r="M5889" i="14"/>
  <c r="M5888" i="13"/>
  <c r="N5885" i="14"/>
  <c r="J5884" i="14" a="1"/>
  <c r="J5884" i="14" s="1"/>
  <c r="K5722" i="14" l="1"/>
  <c r="L5722" i="14" s="1"/>
  <c r="I5723" i="14" s="1"/>
  <c r="K5700" i="13"/>
  <c r="L5700" i="13" s="1"/>
  <c r="I5701" i="13" s="1"/>
  <c r="N5886" i="14"/>
  <c r="J5885" i="14" a="1"/>
  <c r="J5885" i="14" s="1"/>
  <c r="M5890" i="14"/>
  <c r="M5889" i="13"/>
  <c r="J5886" i="13" a="1"/>
  <c r="J5886" i="13" s="1"/>
  <c r="N5887" i="13"/>
  <c r="K5701" i="13" l="1"/>
  <c r="L5701" i="13" s="1"/>
  <c r="I5702" i="13" s="1"/>
  <c r="K5723" i="14"/>
  <c r="L5723" i="14" s="1"/>
  <c r="I5724" i="14" s="1"/>
  <c r="M5891" i="14"/>
  <c r="J5887" i="13" a="1"/>
  <c r="J5887" i="13" s="1"/>
  <c r="N5888" i="13"/>
  <c r="M5890" i="13"/>
  <c r="J5886" i="14" a="1"/>
  <c r="J5886" i="14" s="1"/>
  <c r="N5887" i="14"/>
  <c r="K5702" i="13" l="1"/>
  <c r="L5702" i="13" s="1"/>
  <c r="I5703" i="13" s="1"/>
  <c r="J5888" i="13" a="1"/>
  <c r="J5888" i="13" s="1"/>
  <c r="N5889" i="13"/>
  <c r="K5724" i="14"/>
  <c r="L5724" i="14" s="1"/>
  <c r="I5725" i="14" s="1"/>
  <c r="N5888" i="14"/>
  <c r="J5887" i="14" a="1"/>
  <c r="J5887" i="14" s="1"/>
  <c r="M5892" i="14"/>
  <c r="M5891" i="13"/>
  <c r="K5725" i="14" l="1"/>
  <c r="L5725" i="14" s="1"/>
  <c r="I5726" i="14" s="1"/>
  <c r="K5703" i="13"/>
  <c r="L5703" i="13" s="1"/>
  <c r="I5704" i="13" s="1"/>
  <c r="N5890" i="13"/>
  <c r="J5889" i="13" a="1"/>
  <c r="J5889" i="13" s="1"/>
  <c r="N5889" i="14"/>
  <c r="J5888" i="14" a="1"/>
  <c r="J5888" i="14" s="1"/>
  <c r="M5893" i="14"/>
  <c r="M5892" i="13"/>
  <c r="K5704" i="13" l="1"/>
  <c r="L5704" i="13" s="1"/>
  <c r="I5705" i="13" s="1"/>
  <c r="K5726" i="14"/>
  <c r="L5726" i="14" s="1"/>
  <c r="I5727" i="14" s="1"/>
  <c r="N5890" i="14"/>
  <c r="J5889" i="14" a="1"/>
  <c r="J5889" i="14" s="1"/>
  <c r="M5893" i="13"/>
  <c r="M5894" i="14"/>
  <c r="J5890" i="13" a="1"/>
  <c r="J5890" i="13" s="1"/>
  <c r="N5891" i="13"/>
  <c r="K5727" i="14" l="1"/>
  <c r="L5727" i="14" s="1"/>
  <c r="I5728" i="14" s="1"/>
  <c r="K5705" i="13"/>
  <c r="L5705" i="13" s="1"/>
  <c r="I5706" i="13" s="1"/>
  <c r="M5894" i="13"/>
  <c r="J5891" i="13" a="1"/>
  <c r="J5891" i="13" s="1"/>
  <c r="N5892" i="13"/>
  <c r="M5895" i="14"/>
  <c r="J5890" i="14" a="1"/>
  <c r="J5890" i="14" s="1"/>
  <c r="N5891" i="14"/>
  <c r="K5706" i="13" l="1"/>
  <c r="L5706" i="13" s="1"/>
  <c r="I5707" i="13" s="1"/>
  <c r="K5728" i="14"/>
  <c r="L5728" i="14" s="1"/>
  <c r="I5729" i="14" s="1"/>
  <c r="N5892" i="14"/>
  <c r="J5891" i="14" a="1"/>
  <c r="J5891" i="14" s="1"/>
  <c r="J5892" i="13" a="1"/>
  <c r="J5892" i="13" s="1"/>
  <c r="N5893" i="13"/>
  <c r="M5896" i="14"/>
  <c r="M5895" i="13"/>
  <c r="K5729" i="14" l="1"/>
  <c r="L5729" i="14" s="1"/>
  <c r="I5730" i="14" s="1"/>
  <c r="K5707" i="13"/>
  <c r="L5707" i="13" s="1"/>
  <c r="I5708" i="13" s="1"/>
  <c r="N5894" i="13"/>
  <c r="J5893" i="13" a="1"/>
  <c r="J5893" i="13" s="1"/>
  <c r="M5896" i="13"/>
  <c r="M5897" i="14"/>
  <c r="N5893" i="14"/>
  <c r="J5892" i="14" a="1"/>
  <c r="J5892" i="14" s="1"/>
  <c r="K5708" i="13" l="1"/>
  <c r="L5708" i="13" s="1"/>
  <c r="I5709" i="13" s="1"/>
  <c r="K5730" i="14"/>
  <c r="L5730" i="14" s="1"/>
  <c r="I5731" i="14" s="1"/>
  <c r="M5897" i="13"/>
  <c r="N5894" i="14"/>
  <c r="J5893" i="14" a="1"/>
  <c r="J5893" i="14" s="1"/>
  <c r="M5898" i="14"/>
  <c r="J5894" i="13" a="1"/>
  <c r="J5894" i="13" s="1"/>
  <c r="N5895" i="13"/>
  <c r="K5709" i="13" l="1"/>
  <c r="L5709" i="13" s="1"/>
  <c r="I5710" i="13" s="1"/>
  <c r="K5731" i="14"/>
  <c r="L5731" i="14" s="1"/>
  <c r="I5732" i="14" s="1"/>
  <c r="J5894" i="14" a="1"/>
  <c r="J5894" i="14" s="1"/>
  <c r="N5895" i="14"/>
  <c r="J5895" i="13" a="1"/>
  <c r="J5895" i="13" s="1"/>
  <c r="N5896" i="13"/>
  <c r="M5899" i="14"/>
  <c r="M5898" i="13"/>
  <c r="K5732" i="14" l="1"/>
  <c r="L5732" i="14" s="1"/>
  <c r="I5733" i="14" s="1"/>
  <c r="K5710" i="13"/>
  <c r="L5710" i="13" s="1"/>
  <c r="I5711" i="13" s="1"/>
  <c r="J5896" i="13" a="1"/>
  <c r="J5896" i="13" s="1"/>
  <c r="N5897" i="13"/>
  <c r="M5900" i="14"/>
  <c r="M5899" i="13"/>
  <c r="N5896" i="14"/>
  <c r="J5895" i="14" a="1"/>
  <c r="J5895" i="14" s="1"/>
  <c r="K5711" i="13" l="1"/>
  <c r="L5711" i="13" s="1"/>
  <c r="I5712" i="13" s="1"/>
  <c r="K5733" i="14"/>
  <c r="L5733" i="14" s="1"/>
  <c r="I5734" i="14" s="1"/>
  <c r="M5901" i="14"/>
  <c r="N5897" i="14"/>
  <c r="J5896" i="14" a="1"/>
  <c r="J5896" i="14" s="1"/>
  <c r="N5898" i="13"/>
  <c r="J5897" i="13" a="1"/>
  <c r="J5897" i="13" s="1"/>
  <c r="M5900" i="13"/>
  <c r="K5734" i="14" l="1"/>
  <c r="L5734" i="14" s="1"/>
  <c r="I5735" i="14" s="1"/>
  <c r="K5712" i="13"/>
  <c r="L5712" i="13" s="1"/>
  <c r="I5713" i="13" s="1"/>
  <c r="M5901" i="13"/>
  <c r="N5898" i="14"/>
  <c r="J5897" i="14" a="1"/>
  <c r="J5897" i="14" s="1"/>
  <c r="J5898" i="13" a="1"/>
  <c r="J5898" i="13" s="1"/>
  <c r="N5899" i="13"/>
  <c r="M5902" i="14"/>
  <c r="K5713" i="13" l="1"/>
  <c r="L5713" i="13" s="1"/>
  <c r="I5714" i="13" s="1"/>
  <c r="K5735" i="14"/>
  <c r="L5735" i="14" s="1"/>
  <c r="I5736" i="14" s="1"/>
  <c r="M5903" i="14"/>
  <c r="J5898" i="14" a="1"/>
  <c r="J5898" i="14" s="1"/>
  <c r="N5899" i="14"/>
  <c r="J5899" i="13" a="1"/>
  <c r="J5899" i="13" s="1"/>
  <c r="N5900" i="13"/>
  <c r="M5902" i="13"/>
  <c r="K5736" i="14" l="1"/>
  <c r="L5736" i="14" s="1"/>
  <c r="I5737" i="14" s="1"/>
  <c r="K5714" i="13"/>
  <c r="L5714" i="13" s="1"/>
  <c r="I5715" i="13" s="1"/>
  <c r="N5900" i="14"/>
  <c r="J5899" i="14" a="1"/>
  <c r="J5899" i="14" s="1"/>
  <c r="J5900" i="13" a="1"/>
  <c r="J5900" i="13" s="1"/>
  <c r="N5901" i="13"/>
  <c r="M5903" i="13"/>
  <c r="M5904" i="14"/>
  <c r="K5715" i="13" l="1"/>
  <c r="L5715" i="13" s="1"/>
  <c r="I5716" i="13" s="1"/>
  <c r="K5737" i="14"/>
  <c r="L5737" i="14" s="1"/>
  <c r="I5738" i="14" s="1"/>
  <c r="N5902" i="13"/>
  <c r="J5901" i="13" a="1"/>
  <c r="J5901" i="13" s="1"/>
  <c r="M5905" i="14"/>
  <c r="M5904" i="13"/>
  <c r="N5901" i="14"/>
  <c r="J5900" i="14" a="1"/>
  <c r="J5900" i="14" s="1"/>
  <c r="K5738" i="14" l="1"/>
  <c r="L5738" i="14" s="1"/>
  <c r="I5739" i="14" s="1"/>
  <c r="K5716" i="13"/>
  <c r="L5716" i="13" s="1"/>
  <c r="I5717" i="13" s="1"/>
  <c r="N5902" i="14"/>
  <c r="J5901" i="14" a="1"/>
  <c r="J5901" i="14" s="1"/>
  <c r="M5906" i="14"/>
  <c r="M5905" i="13"/>
  <c r="J5902" i="13" a="1"/>
  <c r="J5902" i="13" s="1"/>
  <c r="N5903" i="13"/>
  <c r="K5717" i="13" l="1"/>
  <c r="L5717" i="13" s="1"/>
  <c r="I5718" i="13" s="1"/>
  <c r="K5739" i="14"/>
  <c r="L5739" i="14" s="1"/>
  <c r="I5740" i="14" s="1"/>
  <c r="J5903" i="13" a="1"/>
  <c r="J5903" i="13" s="1"/>
  <c r="N5904" i="13"/>
  <c r="M5907" i="14"/>
  <c r="M5906" i="13"/>
  <c r="J5902" i="14" a="1"/>
  <c r="J5902" i="14" s="1"/>
  <c r="N5903" i="14"/>
  <c r="K5740" i="14" l="1"/>
  <c r="L5740" i="14" s="1"/>
  <c r="I5741" i="14" s="1"/>
  <c r="K5718" i="13"/>
  <c r="L5718" i="13" s="1"/>
  <c r="I5719" i="13" s="1"/>
  <c r="N5904" i="14"/>
  <c r="J5903" i="14" a="1"/>
  <c r="J5903" i="14" s="1"/>
  <c r="M5908" i="14"/>
  <c r="J5904" i="13" a="1"/>
  <c r="J5904" i="13" s="1"/>
  <c r="N5905" i="13"/>
  <c r="M5907" i="13"/>
  <c r="K5719" i="13" l="1"/>
  <c r="L5719" i="13" s="1"/>
  <c r="I5720" i="13" s="1"/>
  <c r="K5741" i="14"/>
  <c r="L5741" i="14" s="1"/>
  <c r="I5742" i="14" s="1"/>
  <c r="M5909" i="14"/>
  <c r="N5906" i="13"/>
  <c r="J5905" i="13" a="1"/>
  <c r="J5905" i="13" s="1"/>
  <c r="M5908" i="13"/>
  <c r="N5905" i="14"/>
  <c r="J5904" i="14" a="1"/>
  <c r="J5904" i="14" s="1"/>
  <c r="K5742" i="14" l="1"/>
  <c r="L5742" i="14" s="1"/>
  <c r="I5743" i="14" s="1"/>
  <c r="K5720" i="13"/>
  <c r="L5720" i="13" s="1"/>
  <c r="I5721" i="13" s="1"/>
  <c r="J5906" i="13" a="1"/>
  <c r="J5906" i="13" s="1"/>
  <c r="N5907" i="13"/>
  <c r="M5909" i="13"/>
  <c r="N5906" i="14"/>
  <c r="J5905" i="14" a="1"/>
  <c r="J5905" i="14" s="1"/>
  <c r="M5910" i="14"/>
  <c r="K5721" i="13" l="1"/>
  <c r="L5721" i="13" s="1"/>
  <c r="I5722" i="13" s="1"/>
  <c r="K5743" i="14"/>
  <c r="L5743" i="14" s="1"/>
  <c r="I5744" i="14" s="1"/>
  <c r="J5906" i="14" a="1"/>
  <c r="J5906" i="14" s="1"/>
  <c r="N5907" i="14"/>
  <c r="M5911" i="14"/>
  <c r="M5910" i="13"/>
  <c r="J5907" i="13" a="1"/>
  <c r="J5907" i="13" s="1"/>
  <c r="N5908" i="13"/>
  <c r="K5744" i="14" l="1"/>
  <c r="L5744" i="14" s="1"/>
  <c r="I5745" i="14" s="1"/>
  <c r="K5722" i="13"/>
  <c r="L5722" i="13" s="1"/>
  <c r="I5723" i="13" s="1"/>
  <c r="J5908" i="13" a="1"/>
  <c r="J5908" i="13" s="1"/>
  <c r="N5909" i="13"/>
  <c r="M5912" i="14"/>
  <c r="N5908" i="14"/>
  <c r="J5907" i="14" a="1"/>
  <c r="J5907" i="14" s="1"/>
  <c r="M5911" i="13"/>
  <c r="K5723" i="13" l="1"/>
  <c r="L5723" i="13" s="1"/>
  <c r="I5724" i="13" s="1"/>
  <c r="K5745" i="14"/>
  <c r="L5745" i="14" s="1"/>
  <c r="I5746" i="14" s="1"/>
  <c r="M5913" i="14"/>
  <c r="N5909" i="14"/>
  <c r="J5908" i="14" a="1"/>
  <c r="J5908" i="14" s="1"/>
  <c r="M5912" i="13"/>
  <c r="N5910" i="13"/>
  <c r="J5909" i="13" a="1"/>
  <c r="J5909" i="13" s="1"/>
  <c r="K5746" i="14" l="1"/>
  <c r="L5746" i="14" s="1"/>
  <c r="I5747" i="14" s="1"/>
  <c r="K5724" i="13"/>
  <c r="L5724" i="13" s="1"/>
  <c r="I5725" i="13" s="1"/>
  <c r="N5910" i="14"/>
  <c r="J5909" i="14" a="1"/>
  <c r="J5909" i="14" s="1"/>
  <c r="M5913" i="13"/>
  <c r="J5910" i="13" a="1"/>
  <c r="J5910" i="13" s="1"/>
  <c r="N5911" i="13"/>
  <c r="M5914" i="14"/>
  <c r="K5725" i="13" l="1"/>
  <c r="L5725" i="13" s="1"/>
  <c r="I5726" i="13" s="1"/>
  <c r="K5747" i="14"/>
  <c r="L5747" i="14" s="1"/>
  <c r="I5748" i="14" s="1"/>
  <c r="J5911" i="13" a="1"/>
  <c r="J5911" i="13" s="1"/>
  <c r="N5912" i="13"/>
  <c r="M5915" i="14"/>
  <c r="M5914" i="13"/>
  <c r="J5910" i="14" a="1"/>
  <c r="J5910" i="14" s="1"/>
  <c r="N5911" i="14"/>
  <c r="K5748" i="14" l="1"/>
  <c r="L5748" i="14" s="1"/>
  <c r="I5749" i="14" s="1"/>
  <c r="K5726" i="13"/>
  <c r="L5726" i="13" s="1"/>
  <c r="I5727" i="13" s="1"/>
  <c r="N5912" i="14"/>
  <c r="J5911" i="14" a="1"/>
  <c r="J5911" i="14" s="1"/>
  <c r="M5916" i="14"/>
  <c r="J5912" i="13" a="1"/>
  <c r="J5912" i="13" s="1"/>
  <c r="N5913" i="13"/>
  <c r="M5915" i="13"/>
  <c r="K5727" i="13" l="1"/>
  <c r="L5727" i="13" s="1"/>
  <c r="I5728" i="13" s="1"/>
  <c r="K5749" i="14"/>
  <c r="L5749" i="14" s="1"/>
  <c r="I5750" i="14" s="1"/>
  <c r="M5917" i="14"/>
  <c r="N5914" i="13"/>
  <c r="J5913" i="13" a="1"/>
  <c r="J5913" i="13" s="1"/>
  <c r="M5916" i="13"/>
  <c r="N5913" i="14"/>
  <c r="J5912" i="14" a="1"/>
  <c r="J5912" i="14" s="1"/>
  <c r="K5750" i="14" l="1"/>
  <c r="L5750" i="14" s="1"/>
  <c r="I5751" i="14" s="1"/>
  <c r="K5728" i="13"/>
  <c r="L5728" i="13" s="1"/>
  <c r="I5729" i="13" s="1"/>
  <c r="N5914" i="14"/>
  <c r="J5913" i="14" a="1"/>
  <c r="J5913" i="14" s="1"/>
  <c r="M5917" i="13"/>
  <c r="J5914" i="13" a="1"/>
  <c r="J5914" i="13" s="1"/>
  <c r="N5915" i="13"/>
  <c r="M5918" i="14"/>
  <c r="K5729" i="13" l="1"/>
  <c r="L5729" i="13" s="1"/>
  <c r="I5730" i="13" s="1"/>
  <c r="K5751" i="14"/>
  <c r="L5751" i="14" s="1"/>
  <c r="I5752" i="14" s="1"/>
  <c r="M5919" i="14"/>
  <c r="J5915" i="13" a="1"/>
  <c r="J5915" i="13" s="1"/>
  <c r="N5916" i="13"/>
  <c r="M5918" i="13"/>
  <c r="J5914" i="14" a="1"/>
  <c r="J5914" i="14" s="1"/>
  <c r="N5915" i="14"/>
  <c r="K5752" i="14" l="1"/>
  <c r="L5752" i="14" s="1"/>
  <c r="I5753" i="14" s="1"/>
  <c r="K5730" i="13"/>
  <c r="L5730" i="13" s="1"/>
  <c r="I5731" i="13" s="1"/>
  <c r="J5916" i="13" a="1"/>
  <c r="J5916" i="13" s="1"/>
  <c r="N5917" i="13"/>
  <c r="N5916" i="14"/>
  <c r="J5915" i="14" a="1"/>
  <c r="J5915" i="14" s="1"/>
  <c r="M5919" i="13"/>
  <c r="M5920" i="14"/>
  <c r="K5731" i="13" l="1"/>
  <c r="L5731" i="13" s="1"/>
  <c r="I5732" i="13" s="1"/>
  <c r="K5753" i="14"/>
  <c r="L5753" i="14" s="1"/>
  <c r="I5754" i="14" s="1"/>
  <c r="N5917" i="14"/>
  <c r="J5916" i="14" a="1"/>
  <c r="J5916" i="14" s="1"/>
  <c r="N5918" i="13"/>
  <c r="J5917" i="13" a="1"/>
  <c r="J5917" i="13" s="1"/>
  <c r="M5921" i="14"/>
  <c r="M5920" i="13"/>
  <c r="K5754" i="14" l="1"/>
  <c r="L5754" i="14" s="1"/>
  <c r="I5755" i="14" s="1"/>
  <c r="K5732" i="13"/>
  <c r="L5732" i="13" s="1"/>
  <c r="I5733" i="13" s="1"/>
  <c r="J5918" i="13" a="1"/>
  <c r="J5918" i="13" s="1"/>
  <c r="N5919" i="13"/>
  <c r="M5921" i="13"/>
  <c r="M5922" i="14"/>
  <c r="N5918" i="14"/>
  <c r="J5917" i="14" a="1"/>
  <c r="J5917" i="14" s="1"/>
  <c r="K5733" i="13" l="1"/>
  <c r="L5733" i="13" s="1"/>
  <c r="I5734" i="13" s="1"/>
  <c r="K5755" i="14"/>
  <c r="L5755" i="14" s="1"/>
  <c r="I5756" i="14" s="1"/>
  <c r="J5918" i="14" a="1"/>
  <c r="J5918" i="14" s="1"/>
  <c r="N5919" i="14"/>
  <c r="M5922" i="13"/>
  <c r="J5919" i="13" a="1"/>
  <c r="J5919" i="13" s="1"/>
  <c r="N5920" i="13"/>
  <c r="M5923" i="14"/>
  <c r="K5756" i="14" l="1"/>
  <c r="L5756" i="14" s="1"/>
  <c r="I5757" i="14" s="1"/>
  <c r="K5734" i="13"/>
  <c r="L5734" i="13" s="1"/>
  <c r="I5735" i="13" s="1"/>
  <c r="M5924" i="14"/>
  <c r="M5923" i="13"/>
  <c r="N5920" i="14"/>
  <c r="J5919" i="14" a="1"/>
  <c r="J5919" i="14" s="1"/>
  <c r="J5920" i="13" a="1"/>
  <c r="J5920" i="13" s="1"/>
  <c r="N5921" i="13"/>
  <c r="K5735" i="13" l="1"/>
  <c r="L5735" i="13" s="1"/>
  <c r="I5736" i="13" s="1"/>
  <c r="K5757" i="14"/>
  <c r="L5757" i="14" s="1"/>
  <c r="I5758" i="14" s="1"/>
  <c r="N5922" i="13"/>
  <c r="J5921" i="13" a="1"/>
  <c r="J5921" i="13" s="1"/>
  <c r="M5924" i="13"/>
  <c r="M5925" i="14"/>
  <c r="N5921" i="14"/>
  <c r="J5920" i="14" a="1"/>
  <c r="J5920" i="14" s="1"/>
  <c r="K5758" i="14" l="1"/>
  <c r="L5758" i="14" s="1"/>
  <c r="I5759" i="14" s="1"/>
  <c r="K5736" i="13"/>
  <c r="L5736" i="13" s="1"/>
  <c r="I5737" i="13" s="1"/>
  <c r="M5925" i="13"/>
  <c r="N5922" i="14"/>
  <c r="J5921" i="14" a="1"/>
  <c r="J5921" i="14" s="1"/>
  <c r="M5926" i="14"/>
  <c r="J5922" i="13" a="1"/>
  <c r="J5922" i="13" s="1"/>
  <c r="N5923" i="13"/>
  <c r="K5737" i="13" l="1"/>
  <c r="L5737" i="13" s="1"/>
  <c r="I5738" i="13" s="1"/>
  <c r="K5759" i="14"/>
  <c r="L5759" i="14" s="1"/>
  <c r="I5760" i="14" s="1"/>
  <c r="J5922" i="14" a="1"/>
  <c r="J5922" i="14" s="1"/>
  <c r="N5923" i="14"/>
  <c r="J5923" i="13" a="1"/>
  <c r="J5923" i="13" s="1"/>
  <c r="N5924" i="13"/>
  <c r="M5927" i="14"/>
  <c r="M5926" i="13"/>
  <c r="K5760" i="14" l="1"/>
  <c r="L5760" i="14" s="1"/>
  <c r="I5761" i="14" s="1"/>
  <c r="K5738" i="13"/>
  <c r="L5738" i="13" s="1"/>
  <c r="I5739" i="13" s="1"/>
  <c r="J5924" i="13" a="1"/>
  <c r="J5924" i="13" s="1"/>
  <c r="N5925" i="13"/>
  <c r="N5924" i="14"/>
  <c r="J5923" i="14" a="1"/>
  <c r="J5923" i="14" s="1"/>
  <c r="M5927" i="13"/>
  <c r="M5928" i="14"/>
  <c r="K5739" i="13" l="1"/>
  <c r="L5739" i="13" s="1"/>
  <c r="I5740" i="13" s="1"/>
  <c r="K5761" i="14"/>
  <c r="L5761" i="14" s="1"/>
  <c r="I5762" i="14" s="1"/>
  <c r="N5925" i="14"/>
  <c r="J5924" i="14" a="1"/>
  <c r="J5924" i="14" s="1"/>
  <c r="N5926" i="13"/>
  <c r="J5925" i="13" a="1"/>
  <c r="J5925" i="13" s="1"/>
  <c r="M5929" i="14"/>
  <c r="M5928" i="13"/>
  <c r="K5762" i="14" l="1"/>
  <c r="L5762" i="14" s="1"/>
  <c r="I5763" i="14" s="1"/>
  <c r="K5740" i="13"/>
  <c r="L5740" i="13" s="1"/>
  <c r="I5741" i="13" s="1"/>
  <c r="J5926" i="13" a="1"/>
  <c r="J5926" i="13" s="1"/>
  <c r="N5927" i="13"/>
  <c r="M5929" i="13"/>
  <c r="M5930" i="14"/>
  <c r="N5926" i="14"/>
  <c r="J5925" i="14" a="1"/>
  <c r="J5925" i="14" s="1"/>
  <c r="K5741" i="13" l="1"/>
  <c r="L5741" i="13" s="1"/>
  <c r="I5742" i="13" s="1"/>
  <c r="K5763" i="14"/>
  <c r="L5763" i="14" s="1"/>
  <c r="I5764" i="14" s="1"/>
  <c r="J5926" i="14" a="1"/>
  <c r="J5926" i="14" s="1"/>
  <c r="N5927" i="14"/>
  <c r="M5930" i="13"/>
  <c r="J5927" i="13" a="1"/>
  <c r="J5927" i="13" s="1"/>
  <c r="N5928" i="13"/>
  <c r="M5931" i="14"/>
  <c r="K5764" i="14" l="1"/>
  <c r="L5764" i="14" s="1"/>
  <c r="I5765" i="14" s="1"/>
  <c r="K5742" i="13"/>
  <c r="L5742" i="13" s="1"/>
  <c r="I5743" i="13" s="1"/>
  <c r="J5928" i="13" a="1"/>
  <c r="J5928" i="13" s="1"/>
  <c r="N5929" i="13"/>
  <c r="M5932" i="14"/>
  <c r="M5931" i="13"/>
  <c r="N5928" i="14"/>
  <c r="J5927" i="14" a="1"/>
  <c r="J5927" i="14" s="1"/>
  <c r="K5743" i="13" l="1"/>
  <c r="L5743" i="13" s="1"/>
  <c r="I5744" i="13" s="1"/>
  <c r="K5765" i="14"/>
  <c r="L5765" i="14" s="1"/>
  <c r="I5766" i="14" s="1"/>
  <c r="J5928" i="14" a="1"/>
  <c r="J5928" i="14" s="1"/>
  <c r="N5929" i="14"/>
  <c r="N5930" i="13"/>
  <c r="J5929" i="13" a="1"/>
  <c r="J5929" i="13" s="1"/>
  <c r="M5933" i="14"/>
  <c r="M5932" i="13"/>
  <c r="K5766" i="14" l="1"/>
  <c r="L5766" i="14" s="1"/>
  <c r="I5767" i="14" s="1"/>
  <c r="K5744" i="13"/>
  <c r="L5744" i="13" s="1"/>
  <c r="I5745" i="13" s="1"/>
  <c r="J5930" i="13" a="1"/>
  <c r="J5930" i="13" s="1"/>
  <c r="N5931" i="13"/>
  <c r="N5930" i="14"/>
  <c r="J5929" i="14" a="1"/>
  <c r="J5929" i="14" s="1"/>
  <c r="M5933" i="13"/>
  <c r="M5934" i="14"/>
  <c r="K5745" i="13" l="1"/>
  <c r="L5745" i="13" s="1"/>
  <c r="I5746" i="13" s="1"/>
  <c r="K5767" i="14"/>
  <c r="L5767" i="14" s="1"/>
  <c r="I5768" i="14" s="1"/>
  <c r="J5930" i="14" a="1"/>
  <c r="J5930" i="14" s="1"/>
  <c r="N5931" i="14"/>
  <c r="M5935" i="14"/>
  <c r="J5931" i="13" a="1"/>
  <c r="J5931" i="13" s="1"/>
  <c r="N5932" i="13"/>
  <c r="M5934" i="13"/>
  <c r="K5768" i="14" l="1"/>
  <c r="L5768" i="14" s="1"/>
  <c r="I5769" i="14" s="1"/>
  <c r="K5746" i="13"/>
  <c r="L5746" i="13" s="1"/>
  <c r="I5747" i="13" s="1"/>
  <c r="J5932" i="13" a="1"/>
  <c r="J5932" i="13" s="1"/>
  <c r="N5933" i="13"/>
  <c r="M5935" i="13"/>
  <c r="M5936" i="14"/>
  <c r="J5931" i="14" a="1"/>
  <c r="J5931" i="14" s="1"/>
  <c r="N5932" i="14"/>
  <c r="K5747" i="13" l="1"/>
  <c r="L5747" i="13" s="1"/>
  <c r="I5748" i="13" s="1"/>
  <c r="K5769" i="14"/>
  <c r="L5769" i="14" s="1"/>
  <c r="I5770" i="14" s="1"/>
  <c r="N5933" i="14"/>
  <c r="J5932" i="14" a="1"/>
  <c r="J5932" i="14" s="1"/>
  <c r="M5936" i="13"/>
  <c r="N5934" i="13"/>
  <c r="J5933" i="13" a="1"/>
  <c r="J5933" i="13" s="1"/>
  <c r="M5937" i="14"/>
  <c r="K5770" i="14" l="1"/>
  <c r="L5770" i="14" s="1"/>
  <c r="I5771" i="14" s="1"/>
  <c r="K5748" i="13"/>
  <c r="L5748" i="13" s="1"/>
  <c r="I5749" i="13" s="1"/>
  <c r="M5937" i="13"/>
  <c r="J5934" i="13" a="1"/>
  <c r="J5934" i="13" s="1"/>
  <c r="N5935" i="13"/>
  <c r="M5938" i="14"/>
  <c r="J5933" i="14" a="1"/>
  <c r="J5933" i="14" s="1"/>
  <c r="N5934" i="14"/>
  <c r="K5749" i="13" l="1"/>
  <c r="L5749" i="13" s="1"/>
  <c r="I5750" i="13" s="1"/>
  <c r="K5771" i="14"/>
  <c r="L5771" i="14" s="1"/>
  <c r="I5772" i="14" s="1"/>
  <c r="J5935" i="13" a="1"/>
  <c r="J5935" i="13" s="1"/>
  <c r="N5936" i="13"/>
  <c r="J5934" i="14" a="1"/>
  <c r="J5934" i="14" s="1"/>
  <c r="N5935" i="14"/>
  <c r="M5939" i="14"/>
  <c r="M5938" i="13"/>
  <c r="K5772" i="14" l="1"/>
  <c r="L5772" i="14" s="1"/>
  <c r="I5773" i="14" s="1"/>
  <c r="K5750" i="13"/>
  <c r="L5750" i="13" s="1"/>
  <c r="I5751" i="13" s="1"/>
  <c r="N5936" i="14"/>
  <c r="J5935" i="14" a="1"/>
  <c r="J5935" i="14" s="1"/>
  <c r="J5936" i="13" a="1"/>
  <c r="J5936" i="13" s="1"/>
  <c r="N5937" i="13"/>
  <c r="M5939" i="13"/>
  <c r="M5940" i="14"/>
  <c r="K5751" i="13" l="1"/>
  <c r="L5751" i="13" s="1"/>
  <c r="I5752" i="13" s="1"/>
  <c r="K5773" i="14"/>
  <c r="L5773" i="14" s="1"/>
  <c r="I5774" i="14" s="1"/>
  <c r="N5938" i="13"/>
  <c r="J5937" i="13" a="1"/>
  <c r="J5937" i="13" s="1"/>
  <c r="M5941" i="14"/>
  <c r="M5940" i="13"/>
  <c r="J5936" i="14" a="1"/>
  <c r="J5936" i="14" s="1"/>
  <c r="N5937" i="14"/>
  <c r="K5774" i="14" l="1"/>
  <c r="L5774" i="14" s="1"/>
  <c r="I5775" i="14" s="1"/>
  <c r="K5752" i="13"/>
  <c r="L5752" i="13" s="1"/>
  <c r="I5753" i="13" s="1"/>
  <c r="J5937" i="14" a="1"/>
  <c r="J5937" i="14" s="1"/>
  <c r="N5938" i="14"/>
  <c r="M5942" i="14"/>
  <c r="M5941" i="13"/>
  <c r="J5938" i="13" a="1"/>
  <c r="J5938" i="13" s="1"/>
  <c r="N5939" i="13"/>
  <c r="K5753" i="13" l="1"/>
  <c r="L5753" i="13" s="1"/>
  <c r="I5754" i="13" s="1"/>
  <c r="K5775" i="14"/>
  <c r="L5775" i="14" s="1"/>
  <c r="I5776" i="14" s="1"/>
  <c r="J5939" i="13" a="1"/>
  <c r="J5939" i="13" s="1"/>
  <c r="N5940" i="13"/>
  <c r="M5943" i="14"/>
  <c r="J5938" i="14" a="1"/>
  <c r="J5938" i="14" s="1"/>
  <c r="N5939" i="14"/>
  <c r="M5942" i="13"/>
  <c r="K5776" i="14" l="1"/>
  <c r="L5776" i="14" s="1"/>
  <c r="I5777" i="14" s="1"/>
  <c r="K5754" i="13"/>
  <c r="L5754" i="13" s="1"/>
  <c r="I5755" i="13" s="1"/>
  <c r="N5940" i="14"/>
  <c r="J5939" i="14" a="1"/>
  <c r="J5939" i="14" s="1"/>
  <c r="M5943" i="13"/>
  <c r="M5944" i="14"/>
  <c r="J5940" i="13" a="1"/>
  <c r="J5940" i="13" s="1"/>
  <c r="N5941" i="13"/>
  <c r="K5755" i="13" l="1"/>
  <c r="L5755" i="13" s="1"/>
  <c r="I5756" i="13" s="1"/>
  <c r="K5777" i="14"/>
  <c r="L5777" i="14" s="1"/>
  <c r="I5778" i="14" s="1"/>
  <c r="N5942" i="13"/>
  <c r="J5941" i="13" a="1"/>
  <c r="J5941" i="13" s="1"/>
  <c r="M5944" i="13"/>
  <c r="M5945" i="14"/>
  <c r="J5940" i="14" a="1"/>
  <c r="J5940" i="14" s="1"/>
  <c r="N5941" i="14"/>
  <c r="K5778" i="14" l="1"/>
  <c r="L5778" i="14" s="1"/>
  <c r="I5779" i="14" s="1"/>
  <c r="K5756" i="13"/>
  <c r="L5756" i="13" s="1"/>
  <c r="I5757" i="13" s="1"/>
  <c r="J5941" i="14" a="1"/>
  <c r="J5941" i="14" s="1"/>
  <c r="N5942" i="14"/>
  <c r="M5945" i="13"/>
  <c r="M5946" i="14"/>
  <c r="J5942" i="13" a="1"/>
  <c r="J5942" i="13" s="1"/>
  <c r="N5943" i="13"/>
  <c r="K5757" i="13" l="1"/>
  <c r="L5757" i="13" s="1"/>
  <c r="I5758" i="13" s="1"/>
  <c r="K5779" i="14"/>
  <c r="L5779" i="14" s="1"/>
  <c r="I5780" i="14" s="1"/>
  <c r="J5943" i="13" a="1"/>
  <c r="J5943" i="13" s="1"/>
  <c r="N5944" i="13"/>
  <c r="M5946" i="13"/>
  <c r="N5943" i="14"/>
  <c r="J5942" i="14" a="1"/>
  <c r="J5942" i="14" s="1"/>
  <c r="M5947" i="14"/>
  <c r="K5780" i="14" l="1"/>
  <c r="L5780" i="14" s="1"/>
  <c r="I5781" i="14" s="1"/>
  <c r="K5758" i="13"/>
  <c r="L5758" i="13" s="1"/>
  <c r="I5759" i="13" s="1"/>
  <c r="M5948" i="14"/>
  <c r="M5947" i="13"/>
  <c r="J5944" i="13" a="1"/>
  <c r="J5944" i="13" s="1"/>
  <c r="N5945" i="13"/>
  <c r="N5944" i="14"/>
  <c r="J5943" i="14" a="1"/>
  <c r="J5943" i="14" s="1"/>
  <c r="K5759" i="13" l="1"/>
  <c r="L5759" i="13" s="1"/>
  <c r="I5760" i="13" s="1"/>
  <c r="K5781" i="14"/>
  <c r="L5781" i="14" s="1"/>
  <c r="I5782" i="14" s="1"/>
  <c r="J5944" i="14" a="1"/>
  <c r="J5944" i="14" s="1"/>
  <c r="N5945" i="14"/>
  <c r="M5948" i="13"/>
  <c r="N5946" i="13"/>
  <c r="J5945" i="13" a="1"/>
  <c r="J5945" i="13" s="1"/>
  <c r="M5949" i="14"/>
  <c r="K5782" i="14" l="1"/>
  <c r="L5782" i="14" s="1"/>
  <c r="I5783" i="14" s="1"/>
  <c r="K5760" i="13"/>
  <c r="L5760" i="13" s="1"/>
  <c r="I5761" i="13" s="1"/>
  <c r="M5950" i="14"/>
  <c r="M5949" i="13"/>
  <c r="N5946" i="14"/>
  <c r="J5945" i="14" a="1"/>
  <c r="J5945" i="14" s="1"/>
  <c r="J5946" i="13" a="1"/>
  <c r="J5946" i="13" s="1"/>
  <c r="N5947" i="13"/>
  <c r="K5761" i="13" l="1"/>
  <c r="L5761" i="13" s="1"/>
  <c r="I5762" i="13" s="1"/>
  <c r="K5783" i="14"/>
  <c r="L5783" i="14" s="1"/>
  <c r="I5784" i="14" s="1"/>
  <c r="J5947" i="13" a="1"/>
  <c r="J5947" i="13" s="1"/>
  <c r="N5948" i="13"/>
  <c r="M5950" i="13"/>
  <c r="M5951" i="14"/>
  <c r="N5947" i="14"/>
  <c r="J5946" i="14" a="1"/>
  <c r="J5946" i="14" s="1"/>
  <c r="K5784" i="14" l="1"/>
  <c r="L5784" i="14" s="1"/>
  <c r="I5785" i="14" s="1"/>
  <c r="K5762" i="13"/>
  <c r="L5762" i="13" s="1"/>
  <c r="I5763" i="13" s="1"/>
  <c r="N5948" i="14"/>
  <c r="J5947" i="14" a="1"/>
  <c r="J5947" i="14" s="1"/>
  <c r="M5951" i="13"/>
  <c r="J5948" i="13" a="1"/>
  <c r="J5948" i="13" s="1"/>
  <c r="N5949" i="13"/>
  <c r="M5952" i="14"/>
  <c r="K5763" i="13" l="1"/>
  <c r="L5763" i="13" s="1"/>
  <c r="I5764" i="13" s="1"/>
  <c r="K5785" i="14"/>
  <c r="L5785" i="14" s="1"/>
  <c r="I5786" i="14" s="1"/>
  <c r="M5953" i="14"/>
  <c r="N5950" i="13"/>
  <c r="J5949" i="13" a="1"/>
  <c r="J5949" i="13" s="1"/>
  <c r="M5952" i="13"/>
  <c r="J5948" i="14" a="1"/>
  <c r="J5948" i="14" s="1"/>
  <c r="N5949" i="14"/>
  <c r="K5786" i="14" l="1"/>
  <c r="L5786" i="14" s="1"/>
  <c r="I5787" i="14" s="1"/>
  <c r="K5764" i="13"/>
  <c r="L5764" i="13" s="1"/>
  <c r="I5765" i="13" s="1"/>
  <c r="J5950" i="13" a="1"/>
  <c r="J5950" i="13" s="1"/>
  <c r="N5951" i="13"/>
  <c r="N5950" i="14"/>
  <c r="J5949" i="14" a="1"/>
  <c r="J5949" i="14" s="1"/>
  <c r="M5953" i="13"/>
  <c r="M5954" i="14"/>
  <c r="K5765" i="13" l="1"/>
  <c r="L5765" i="13" s="1"/>
  <c r="I5766" i="13" s="1"/>
  <c r="K5787" i="14"/>
  <c r="L5787" i="14" s="1"/>
  <c r="I5788" i="14" s="1"/>
  <c r="N5951" i="14"/>
  <c r="J5950" i="14" a="1"/>
  <c r="J5950" i="14" s="1"/>
  <c r="J5951" i="13" a="1"/>
  <c r="J5951" i="13" s="1"/>
  <c r="N5952" i="13"/>
  <c r="M5955" i="14"/>
  <c r="M5954" i="13"/>
  <c r="K5788" i="14" l="1"/>
  <c r="L5788" i="14" s="1"/>
  <c r="I5789" i="14" s="1"/>
  <c r="K5766" i="13"/>
  <c r="L5766" i="13" s="1"/>
  <c r="I5767" i="13" s="1"/>
  <c r="J5952" i="13" a="1"/>
  <c r="J5952" i="13" s="1"/>
  <c r="N5953" i="13"/>
  <c r="M5955" i="13"/>
  <c r="M5956" i="14"/>
  <c r="N5952" i="14"/>
  <c r="J5951" i="14" a="1"/>
  <c r="J5951" i="14" s="1"/>
  <c r="K5767" i="13" l="1"/>
  <c r="L5767" i="13" s="1"/>
  <c r="I5768" i="13" s="1"/>
  <c r="K5789" i="14"/>
  <c r="L5789" i="14" s="1"/>
  <c r="I5790" i="14" s="1"/>
  <c r="J5952" i="14" a="1"/>
  <c r="J5952" i="14" s="1"/>
  <c r="N5953" i="14"/>
  <c r="M5956" i="13"/>
  <c r="N5954" i="13"/>
  <c r="J5953" i="13" a="1"/>
  <c r="J5953" i="13" s="1"/>
  <c r="M5957" i="14"/>
  <c r="K5790" i="14" l="1"/>
  <c r="L5790" i="14" s="1"/>
  <c r="I5791" i="14" s="1"/>
  <c r="K5768" i="13"/>
  <c r="L5768" i="13" s="1"/>
  <c r="I5769" i="13" s="1"/>
  <c r="M5958" i="14"/>
  <c r="M5957" i="13"/>
  <c r="J5954" i="13" a="1"/>
  <c r="J5954" i="13" s="1"/>
  <c r="N5955" i="13"/>
  <c r="N5954" i="14"/>
  <c r="J5953" i="14" a="1"/>
  <c r="J5953" i="14" s="1"/>
  <c r="K5769" i="13" l="1"/>
  <c r="L5769" i="13" s="1"/>
  <c r="I5770" i="13" s="1"/>
  <c r="K5791" i="14"/>
  <c r="L5791" i="14" s="1"/>
  <c r="I5792" i="14" s="1"/>
  <c r="N5955" i="14"/>
  <c r="J5954" i="14" a="1"/>
  <c r="J5954" i="14" s="1"/>
  <c r="M5958" i="13"/>
  <c r="J5955" i="13" a="1"/>
  <c r="J5955" i="13" s="1"/>
  <c r="N5956" i="13"/>
  <c r="M5959" i="14"/>
  <c r="K5792" i="14" l="1"/>
  <c r="L5792" i="14" s="1"/>
  <c r="I5793" i="14" s="1"/>
  <c r="K5770" i="13"/>
  <c r="L5770" i="13" s="1"/>
  <c r="I5771" i="13" s="1"/>
  <c r="J5956" i="13" a="1"/>
  <c r="J5956" i="13" s="1"/>
  <c r="N5957" i="13"/>
  <c r="M5960" i="14"/>
  <c r="M5959" i="13"/>
  <c r="J5955" i="14" a="1"/>
  <c r="J5955" i="14" s="1"/>
  <c r="N5956" i="14"/>
  <c r="K5771" i="13" l="1"/>
  <c r="L5771" i="13" s="1"/>
  <c r="I5772" i="13" s="1"/>
  <c r="K5793" i="14"/>
  <c r="L5793" i="14" s="1"/>
  <c r="I5794" i="14" s="1"/>
  <c r="J5956" i="14" a="1"/>
  <c r="J5956" i="14" s="1"/>
  <c r="N5957" i="14"/>
  <c r="M5961" i="14"/>
  <c r="N5958" i="13"/>
  <c r="J5957" i="13" a="1"/>
  <c r="J5957" i="13" s="1"/>
  <c r="M5960" i="13"/>
  <c r="K5794" i="14" l="1"/>
  <c r="L5794" i="14" s="1"/>
  <c r="I5795" i="14" s="1"/>
  <c r="K5772" i="13"/>
  <c r="L5772" i="13" s="1"/>
  <c r="I5773" i="13" s="1"/>
  <c r="M5961" i="13"/>
  <c r="M5962" i="14"/>
  <c r="N5958" i="14"/>
  <c r="J5957" i="14" a="1"/>
  <c r="J5957" i="14" s="1"/>
  <c r="J5958" i="13" a="1"/>
  <c r="J5958" i="13" s="1"/>
  <c r="N5959" i="13"/>
  <c r="K5773" i="13" l="1"/>
  <c r="L5773" i="13" s="1"/>
  <c r="I5774" i="13" s="1"/>
  <c r="K5795" i="14"/>
  <c r="L5795" i="14" s="1"/>
  <c r="I5796" i="14" s="1"/>
  <c r="J5959" i="13" a="1"/>
  <c r="J5959" i="13" s="1"/>
  <c r="N5960" i="13"/>
  <c r="M5963" i="14"/>
  <c r="N5959" i="14"/>
  <c r="J5958" i="14" a="1"/>
  <c r="J5958" i="14" s="1"/>
  <c r="M5962" i="13"/>
  <c r="K5796" i="14" l="1"/>
  <c r="L5796" i="14" s="1"/>
  <c r="I5797" i="14" s="1"/>
  <c r="K5774" i="13"/>
  <c r="L5774" i="13" s="1"/>
  <c r="I5775" i="13" s="1"/>
  <c r="J5959" i="14" a="1"/>
  <c r="J5959" i="14" s="1"/>
  <c r="N5960" i="14"/>
  <c r="M5963" i="13"/>
  <c r="M5964" i="14"/>
  <c r="J5960" i="13" a="1"/>
  <c r="J5960" i="13" s="1"/>
  <c r="N5961" i="13"/>
  <c r="K5775" i="13" l="1"/>
  <c r="L5775" i="13" s="1"/>
  <c r="I5776" i="13" s="1"/>
  <c r="K5797" i="14"/>
  <c r="L5797" i="14" s="1"/>
  <c r="I5798" i="14" s="1"/>
  <c r="N5962" i="13"/>
  <c r="J5961" i="13" a="1"/>
  <c r="J5961" i="13" s="1"/>
  <c r="M5964" i="13"/>
  <c r="J5960" i="14" a="1"/>
  <c r="J5960" i="14" s="1"/>
  <c r="N5961" i="14"/>
  <c r="M5965" i="14"/>
  <c r="K5798" i="14" l="1"/>
  <c r="L5798" i="14" s="1"/>
  <c r="I5799" i="14" s="1"/>
  <c r="K5776" i="13"/>
  <c r="L5776" i="13" s="1"/>
  <c r="I5777" i="13" s="1"/>
  <c r="N5962" i="14"/>
  <c r="J5961" i="14" a="1"/>
  <c r="J5961" i="14" s="1"/>
  <c r="M5966" i="14"/>
  <c r="M5965" i="13"/>
  <c r="J5962" i="13" a="1"/>
  <c r="J5962" i="13" s="1"/>
  <c r="N5963" i="13"/>
  <c r="K5777" i="13" l="1"/>
  <c r="L5777" i="13" s="1"/>
  <c r="I5778" i="13" s="1"/>
  <c r="K5799" i="14"/>
  <c r="L5799" i="14" s="1"/>
  <c r="I5800" i="14" s="1"/>
  <c r="M5967" i="14"/>
  <c r="J5963" i="13" a="1"/>
  <c r="J5963" i="13" s="1"/>
  <c r="N5964" i="13"/>
  <c r="M5966" i="13"/>
  <c r="N5963" i="14"/>
  <c r="J5962" i="14" a="1"/>
  <c r="J5962" i="14" s="1"/>
  <c r="K5800" i="14" l="1"/>
  <c r="L5800" i="14" s="1"/>
  <c r="I5801" i="14" s="1"/>
  <c r="K5778" i="13"/>
  <c r="L5778" i="13" s="1"/>
  <c r="I5779" i="13" s="1"/>
  <c r="J5964" i="13" a="1"/>
  <c r="J5964" i="13" s="1"/>
  <c r="N5965" i="13"/>
  <c r="J5963" i="14" a="1"/>
  <c r="J5963" i="14" s="1"/>
  <c r="N5964" i="14"/>
  <c r="M5967" i="13"/>
  <c r="M5968" i="14"/>
  <c r="K5779" i="13" l="1"/>
  <c r="L5779" i="13" s="1"/>
  <c r="I5780" i="13" s="1"/>
  <c r="K5801" i="14"/>
  <c r="L5801" i="14" s="1"/>
  <c r="I5802" i="14" s="1"/>
  <c r="J5964" i="14" a="1"/>
  <c r="J5964" i="14" s="1"/>
  <c r="N5965" i="14"/>
  <c r="M5969" i="14"/>
  <c r="N5966" i="13"/>
  <c r="J5965" i="13" a="1"/>
  <c r="J5965" i="13" s="1"/>
  <c r="M5968" i="13"/>
  <c r="K5802" i="14" l="1"/>
  <c r="L5802" i="14" s="1"/>
  <c r="I5803" i="14" s="1"/>
  <c r="K5780" i="13"/>
  <c r="L5780" i="13" s="1"/>
  <c r="I5781" i="13" s="1"/>
  <c r="M5969" i="13"/>
  <c r="M5970" i="14"/>
  <c r="J5966" i="13" a="1"/>
  <c r="J5966" i="13" s="1"/>
  <c r="N5967" i="13"/>
  <c r="N5966" i="14"/>
  <c r="J5965" i="14" a="1"/>
  <c r="J5965" i="14" s="1"/>
  <c r="K5781" i="13" l="1"/>
  <c r="L5781" i="13" s="1"/>
  <c r="I5782" i="13" s="1"/>
  <c r="K5803" i="14"/>
  <c r="L5803" i="14" s="1"/>
  <c r="I5804" i="14" s="1"/>
  <c r="N5967" i="14"/>
  <c r="J5966" i="14" a="1"/>
  <c r="J5966" i="14" s="1"/>
  <c r="M5971" i="14"/>
  <c r="J5967" i="13" a="1"/>
  <c r="J5967" i="13" s="1"/>
  <c r="N5968" i="13"/>
  <c r="M5970" i="13"/>
  <c r="K5804" i="14" l="1"/>
  <c r="L5804" i="14" s="1"/>
  <c r="I5805" i="14" s="1"/>
  <c r="K5782" i="13"/>
  <c r="L5782" i="13" s="1"/>
  <c r="I5783" i="13" s="1"/>
  <c r="J5968" i="13" a="1"/>
  <c r="J5968" i="13" s="1"/>
  <c r="N5969" i="13"/>
  <c r="M5971" i="13"/>
  <c r="M5972" i="14"/>
  <c r="J5967" i="14" a="1"/>
  <c r="J5967" i="14" s="1"/>
  <c r="N5968" i="14"/>
  <c r="K5783" i="13" l="1"/>
  <c r="L5783" i="13" s="1"/>
  <c r="I5784" i="13" s="1"/>
  <c r="K5805" i="14"/>
  <c r="L5805" i="14" s="1"/>
  <c r="I5806" i="14" s="1"/>
  <c r="J5968" i="14" a="1"/>
  <c r="J5968" i="14" s="1"/>
  <c r="N5969" i="14"/>
  <c r="M5972" i="13"/>
  <c r="N5970" i="13"/>
  <c r="J5969" i="13" a="1"/>
  <c r="J5969" i="13" s="1"/>
  <c r="M5973" i="14"/>
  <c r="K5806" i="14" l="1"/>
  <c r="L5806" i="14" s="1"/>
  <c r="I5807" i="14" s="1"/>
  <c r="K5784" i="13"/>
  <c r="L5784" i="13" s="1"/>
  <c r="I5785" i="13" s="1"/>
  <c r="J5970" i="13" a="1"/>
  <c r="J5970" i="13" s="1"/>
  <c r="N5971" i="13"/>
  <c r="M5974" i="14"/>
  <c r="M5973" i="13"/>
  <c r="N5970" i="14"/>
  <c r="J5969" i="14" a="1"/>
  <c r="J5969" i="14" s="1"/>
  <c r="K5785" i="13" l="1"/>
  <c r="L5785" i="13" s="1"/>
  <c r="I5786" i="13" s="1"/>
  <c r="K5807" i="14"/>
  <c r="L5807" i="14" s="1"/>
  <c r="I5808" i="14" s="1"/>
  <c r="M5975" i="14"/>
  <c r="J5971" i="13" a="1"/>
  <c r="J5971" i="13" s="1"/>
  <c r="N5972" i="13"/>
  <c r="N5971" i="14"/>
  <c r="J5970" i="14" a="1"/>
  <c r="J5970" i="14" s="1"/>
  <c r="M5974" i="13"/>
  <c r="K5808" i="14" l="1"/>
  <c r="L5808" i="14" s="1"/>
  <c r="I5809" i="14" s="1"/>
  <c r="K5786" i="13"/>
  <c r="L5786" i="13" s="1"/>
  <c r="I5787" i="13" s="1"/>
  <c r="J5972" i="13" a="1"/>
  <c r="J5972" i="13" s="1"/>
  <c r="N5973" i="13"/>
  <c r="M5975" i="13"/>
  <c r="J5971" i="14" a="1"/>
  <c r="J5971" i="14" s="1"/>
  <c r="N5972" i="14"/>
  <c r="M5976" i="14"/>
  <c r="K5787" i="13" l="1"/>
  <c r="L5787" i="13" s="1"/>
  <c r="I5788" i="13" s="1"/>
  <c r="K5809" i="14"/>
  <c r="L5809" i="14" s="1"/>
  <c r="I5810" i="14" s="1"/>
  <c r="M5977" i="14"/>
  <c r="M5976" i="13"/>
  <c r="N5974" i="13"/>
  <c r="J5973" i="13" a="1"/>
  <c r="J5973" i="13" s="1"/>
  <c r="J5972" i="14" a="1"/>
  <c r="J5972" i="14" s="1"/>
  <c r="N5973" i="14"/>
  <c r="K5810" i="14" l="1"/>
  <c r="L5810" i="14" s="1"/>
  <c r="I5811" i="14" s="1"/>
  <c r="K5788" i="13"/>
  <c r="L5788" i="13" s="1"/>
  <c r="I5789" i="13" s="1"/>
  <c r="M5977" i="13"/>
  <c r="M5978" i="14"/>
  <c r="N5974" i="14"/>
  <c r="J5973" i="14" a="1"/>
  <c r="J5973" i="14" s="1"/>
  <c r="J5974" i="13" a="1"/>
  <c r="J5974" i="13" s="1"/>
  <c r="N5975" i="13"/>
  <c r="K5789" i="13" l="1"/>
  <c r="L5789" i="13" s="1"/>
  <c r="I5790" i="13" s="1"/>
  <c r="K5811" i="14"/>
  <c r="L5811" i="14" s="1"/>
  <c r="I5812" i="14" s="1"/>
  <c r="M5979" i="14"/>
  <c r="J5975" i="13" a="1"/>
  <c r="J5975" i="13" s="1"/>
  <c r="N5976" i="13"/>
  <c r="N5975" i="14"/>
  <c r="J5974" i="14" a="1"/>
  <c r="J5974" i="14" s="1"/>
  <c r="M5978" i="13"/>
  <c r="K5812" i="14" l="1"/>
  <c r="L5812" i="14" s="1"/>
  <c r="I5813" i="14" s="1"/>
  <c r="K5790" i="13"/>
  <c r="L5790" i="13" s="1"/>
  <c r="I5791" i="13" s="1"/>
  <c r="J5976" i="13" a="1"/>
  <c r="J5976" i="13" s="1"/>
  <c r="N5977" i="13"/>
  <c r="M5979" i="13"/>
  <c r="J5975" i="14" a="1"/>
  <c r="J5975" i="14" s="1"/>
  <c r="N5976" i="14"/>
  <c r="M5980" i="14"/>
  <c r="K5791" i="13" l="1"/>
  <c r="L5791" i="13" s="1"/>
  <c r="I5792" i="13" s="1"/>
  <c r="K5813" i="14"/>
  <c r="L5813" i="14" s="1"/>
  <c r="I5814" i="14" s="1"/>
  <c r="M5981" i="14"/>
  <c r="M5980" i="13"/>
  <c r="N5978" i="13"/>
  <c r="J5977" i="13" a="1"/>
  <c r="J5977" i="13" s="1"/>
  <c r="J5976" i="14" a="1"/>
  <c r="J5976" i="14" s="1"/>
  <c r="N5977" i="14"/>
  <c r="K5814" i="14" l="1"/>
  <c r="L5814" i="14" s="1"/>
  <c r="I5815" i="14" s="1"/>
  <c r="K5792" i="13"/>
  <c r="L5792" i="13" s="1"/>
  <c r="I5793" i="13" s="1"/>
  <c r="N5978" i="14"/>
  <c r="J5977" i="14" a="1"/>
  <c r="J5977" i="14" s="1"/>
  <c r="M5981" i="13"/>
  <c r="M5982" i="14"/>
  <c r="J5978" i="13" a="1"/>
  <c r="J5978" i="13" s="1"/>
  <c r="N5979" i="13"/>
  <c r="K5793" i="13" l="1"/>
  <c r="L5793" i="13" s="1"/>
  <c r="I5794" i="13" s="1"/>
  <c r="K5815" i="14"/>
  <c r="L5815" i="14" s="1"/>
  <c r="I5816" i="14" s="1"/>
  <c r="J5979" i="13" a="1"/>
  <c r="J5979" i="13" s="1"/>
  <c r="N5980" i="13"/>
  <c r="M5982" i="13"/>
  <c r="M5983" i="14"/>
  <c r="N5979" i="14"/>
  <c r="J5978" i="14" a="1"/>
  <c r="J5978" i="14" s="1"/>
  <c r="K5816" i="14" l="1"/>
  <c r="L5816" i="14" s="1"/>
  <c r="I5817" i="14" s="1"/>
  <c r="K5794" i="13"/>
  <c r="L5794" i="13" s="1"/>
  <c r="I5795" i="13" s="1"/>
  <c r="J5979" i="14" a="1"/>
  <c r="J5979" i="14" s="1"/>
  <c r="N5980" i="14"/>
  <c r="M5983" i="13"/>
  <c r="J5980" i="13" a="1"/>
  <c r="J5980" i="13" s="1"/>
  <c r="N5981" i="13"/>
  <c r="M5984" i="14"/>
  <c r="K5795" i="13" l="1"/>
  <c r="L5795" i="13" s="1"/>
  <c r="I5796" i="13" s="1"/>
  <c r="K5817" i="14"/>
  <c r="L5817" i="14" s="1"/>
  <c r="I5818" i="14" s="1"/>
  <c r="M5985" i="14"/>
  <c r="M5984" i="13"/>
  <c r="J5980" i="14" a="1"/>
  <c r="J5980" i="14" s="1"/>
  <c r="N5981" i="14"/>
  <c r="N5982" i="13"/>
  <c r="J5981" i="13" a="1"/>
  <c r="J5981" i="13" s="1"/>
  <c r="K5818" i="14" l="1"/>
  <c r="L5818" i="14" s="1"/>
  <c r="I5819" i="14" s="1"/>
  <c r="K5796" i="13"/>
  <c r="L5796" i="13" s="1"/>
  <c r="I5797" i="13" s="1"/>
  <c r="M5985" i="13"/>
  <c r="N5982" i="14"/>
  <c r="J5981" i="14" a="1"/>
  <c r="J5981" i="14" s="1"/>
  <c r="M5986" i="14"/>
  <c r="J5982" i="13" a="1"/>
  <c r="J5982" i="13" s="1"/>
  <c r="N5983" i="13"/>
  <c r="K5797" i="13" l="1"/>
  <c r="L5797" i="13" s="1"/>
  <c r="I5798" i="13" s="1"/>
  <c r="K5819" i="14"/>
  <c r="L5819" i="14" s="1"/>
  <c r="I5820" i="14" s="1"/>
  <c r="N5983" i="14"/>
  <c r="J5982" i="14" a="1"/>
  <c r="J5982" i="14" s="1"/>
  <c r="J5983" i="13" a="1"/>
  <c r="J5983" i="13" s="1"/>
  <c r="N5984" i="13"/>
  <c r="M5987" i="14"/>
  <c r="M5986" i="13"/>
  <c r="K5820" i="14" l="1"/>
  <c r="L5820" i="14" s="1"/>
  <c r="I5821" i="14" s="1"/>
  <c r="K5798" i="13"/>
  <c r="L5798" i="13" s="1"/>
  <c r="I5799" i="13" s="1"/>
  <c r="J5984" i="13" a="1"/>
  <c r="J5984" i="13" s="1"/>
  <c r="N5985" i="13"/>
  <c r="M5987" i="13"/>
  <c r="M5988" i="14"/>
  <c r="J5983" i="14" a="1"/>
  <c r="J5983" i="14" s="1"/>
  <c r="N5984" i="14"/>
  <c r="K5799" i="13" l="1"/>
  <c r="L5799" i="13" s="1"/>
  <c r="I5800" i="13" s="1"/>
  <c r="K5821" i="14"/>
  <c r="L5821" i="14" s="1"/>
  <c r="I5822" i="14" s="1"/>
  <c r="J5984" i="14" a="1"/>
  <c r="J5984" i="14" s="1"/>
  <c r="N5985" i="14"/>
  <c r="M5988" i="13"/>
  <c r="N5986" i="13"/>
  <c r="J5985" i="13" a="1"/>
  <c r="J5985" i="13" s="1"/>
  <c r="M5989" i="14"/>
  <c r="K5822" i="14" l="1"/>
  <c r="L5822" i="14" s="1"/>
  <c r="I5823" i="14" s="1"/>
  <c r="K5800" i="13"/>
  <c r="L5800" i="13" s="1"/>
  <c r="I5801" i="13" s="1"/>
  <c r="J5986" i="13" a="1"/>
  <c r="J5986" i="13" s="1"/>
  <c r="N5987" i="13"/>
  <c r="M5990" i="14"/>
  <c r="M5989" i="13"/>
  <c r="J5985" i="14" a="1"/>
  <c r="J5985" i="14" s="1"/>
  <c r="N5986" i="14"/>
  <c r="K5801" i="13" l="1"/>
  <c r="L5801" i="13" s="1"/>
  <c r="I5802" i="13" s="1"/>
  <c r="K5823" i="14"/>
  <c r="L5823" i="14" s="1"/>
  <c r="I5824" i="14" s="1"/>
  <c r="M5991" i="14"/>
  <c r="J5987" i="13" a="1"/>
  <c r="J5987" i="13" s="1"/>
  <c r="N5988" i="13"/>
  <c r="N5987" i="14"/>
  <c r="J5986" i="14" a="1"/>
  <c r="J5986" i="14" s="1"/>
  <c r="M5990" i="13"/>
  <c r="K5824" i="14" l="1"/>
  <c r="L5824" i="14" s="1"/>
  <c r="I5825" i="14" s="1"/>
  <c r="K5802" i="13"/>
  <c r="L5802" i="13" s="1"/>
  <c r="I5803" i="13" s="1"/>
  <c r="J5988" i="13" a="1"/>
  <c r="J5988" i="13" s="1"/>
  <c r="N5989" i="13"/>
  <c r="M5991" i="13"/>
  <c r="J5987" i="14" a="1"/>
  <c r="J5987" i="14" s="1"/>
  <c r="N5988" i="14"/>
  <c r="M5992" i="14"/>
  <c r="K5803" i="13" l="1"/>
  <c r="L5803" i="13" s="1"/>
  <c r="I5804" i="13" s="1"/>
  <c r="K5825" i="14"/>
  <c r="L5825" i="14" s="1"/>
  <c r="I5826" i="14" s="1"/>
  <c r="J5988" i="14" a="1"/>
  <c r="J5988" i="14" s="1"/>
  <c r="N5989" i="14"/>
  <c r="M5993" i="14"/>
  <c r="M5992" i="13"/>
  <c r="N5990" i="13"/>
  <c r="J5989" i="13" a="1"/>
  <c r="J5989" i="13" s="1"/>
  <c r="K5826" i="14" l="1"/>
  <c r="L5826" i="14" s="1"/>
  <c r="I5827" i="14" s="1"/>
  <c r="K5804" i="13"/>
  <c r="L5804" i="13" s="1"/>
  <c r="I5805" i="13" s="1"/>
  <c r="M5994" i="14"/>
  <c r="J5990" i="13" a="1"/>
  <c r="J5990" i="13" s="1"/>
  <c r="N5991" i="13"/>
  <c r="N5990" i="14"/>
  <c r="J5989" i="14" a="1"/>
  <c r="J5989" i="14" s="1"/>
  <c r="M5993" i="13"/>
  <c r="K5805" i="13" l="1"/>
  <c r="L5805" i="13" s="1"/>
  <c r="I5806" i="13" s="1"/>
  <c r="K5827" i="14"/>
  <c r="L5827" i="14" s="1"/>
  <c r="I5828" i="14" s="1"/>
  <c r="J5991" i="13" a="1"/>
  <c r="J5991" i="13" s="1"/>
  <c r="N5992" i="13"/>
  <c r="M5994" i="13"/>
  <c r="N5991" i="14"/>
  <c r="J5990" i="14" a="1"/>
  <c r="J5990" i="14" s="1"/>
  <c r="M5995" i="14"/>
  <c r="K5828" i="14" l="1"/>
  <c r="L5828" i="14" s="1"/>
  <c r="I5829" i="14" s="1"/>
  <c r="K5806" i="13"/>
  <c r="L5806" i="13" s="1"/>
  <c r="I5807" i="13" s="1"/>
  <c r="J5991" i="14" a="1"/>
  <c r="J5991" i="14" s="1"/>
  <c r="N5992" i="14"/>
  <c r="M5996" i="14"/>
  <c r="M5995" i="13"/>
  <c r="J5992" i="13" a="1"/>
  <c r="J5992" i="13" s="1"/>
  <c r="N5993" i="13"/>
  <c r="K5807" i="13" l="1"/>
  <c r="L5807" i="13" s="1"/>
  <c r="I5808" i="13" s="1"/>
  <c r="K5829" i="14"/>
  <c r="L5829" i="14" s="1"/>
  <c r="I5830" i="14" s="1"/>
  <c r="N5994" i="13"/>
  <c r="J5993" i="13" a="1"/>
  <c r="J5993" i="13" s="1"/>
  <c r="M5997" i="14"/>
  <c r="J5992" i="14" a="1"/>
  <c r="J5992" i="14" s="1"/>
  <c r="N5993" i="14"/>
  <c r="M5996" i="13"/>
  <c r="K5830" i="14" l="1"/>
  <c r="L5830" i="14" s="1"/>
  <c r="I5831" i="14" s="1"/>
  <c r="K5808" i="13"/>
  <c r="L5808" i="13" s="1"/>
  <c r="I5809" i="13" s="1"/>
  <c r="M5997" i="13"/>
  <c r="M5998" i="14"/>
  <c r="J5993" i="14" a="1"/>
  <c r="J5993" i="14" s="1"/>
  <c r="N5994" i="14"/>
  <c r="J5994" i="13" a="1"/>
  <c r="J5994" i="13" s="1"/>
  <c r="N5995" i="13"/>
  <c r="K5809" i="13" l="1"/>
  <c r="L5809" i="13" s="1"/>
  <c r="I5810" i="13" s="1"/>
  <c r="K5831" i="14"/>
  <c r="L5831" i="14" s="1"/>
  <c r="I5832" i="14" s="1"/>
  <c r="J5995" i="13" a="1"/>
  <c r="J5995" i="13" s="1"/>
  <c r="N5996" i="13"/>
  <c r="M5999" i="14"/>
  <c r="N5995" i="14"/>
  <c r="J5994" i="14" a="1"/>
  <c r="J5994" i="14" s="1"/>
  <c r="M5998" i="13"/>
  <c r="K5832" i="14" l="1"/>
  <c r="L5832" i="14" s="1"/>
  <c r="I5833" i="14" s="1"/>
  <c r="K5810" i="13"/>
  <c r="L5810" i="13" s="1"/>
  <c r="I5811" i="13" s="1"/>
  <c r="J5995" i="14" a="1"/>
  <c r="J5995" i="14" s="1"/>
  <c r="N5996" i="14"/>
  <c r="M5999" i="13"/>
  <c r="M6000" i="14"/>
  <c r="J5996" i="13" a="1"/>
  <c r="J5996" i="13" s="1"/>
  <c r="N5997" i="13"/>
  <c r="K5811" i="13" l="1"/>
  <c r="L5811" i="13" s="1"/>
  <c r="I5812" i="13" s="1"/>
  <c r="K5833" i="14"/>
  <c r="L5833" i="14" s="1"/>
  <c r="I5834" i="14" s="1"/>
  <c r="M6000" i="13"/>
  <c r="N5998" i="13"/>
  <c r="J5997" i="13" a="1"/>
  <c r="J5997" i="13" s="1"/>
  <c r="M6001" i="14"/>
  <c r="J5996" i="14" a="1"/>
  <c r="J5996" i="14" s="1"/>
  <c r="N5997" i="14"/>
  <c r="K5834" i="14" l="1"/>
  <c r="L5834" i="14" s="1"/>
  <c r="I5835" i="14" s="1"/>
  <c r="K5812" i="13"/>
  <c r="L5812" i="13" s="1"/>
  <c r="I5813" i="13" s="1"/>
  <c r="J5998" i="13" a="1"/>
  <c r="J5998" i="13" s="1"/>
  <c r="N5999" i="13"/>
  <c r="M6001" i="13"/>
  <c r="N5998" i="14"/>
  <c r="J5997" i="14" a="1"/>
  <c r="J5997" i="14" s="1"/>
  <c r="M6002" i="14"/>
  <c r="K5813" i="13" l="1"/>
  <c r="L5813" i="13" s="1"/>
  <c r="I5814" i="13" s="1"/>
  <c r="K5835" i="14"/>
  <c r="L5835" i="14" s="1"/>
  <c r="I5836" i="14" s="1"/>
  <c r="J5999" i="13" a="1"/>
  <c r="J5999" i="13" s="1"/>
  <c r="N6000" i="13"/>
  <c r="M6003" i="14"/>
  <c r="M6002" i="13"/>
  <c r="N5999" i="14"/>
  <c r="J5998" i="14" a="1"/>
  <c r="J5998" i="14" s="1"/>
  <c r="K5836" i="14" l="1"/>
  <c r="L5836" i="14" s="1"/>
  <c r="I5837" i="14" s="1"/>
  <c r="K5814" i="13"/>
  <c r="L5814" i="13" s="1"/>
  <c r="I5815" i="13" s="1"/>
  <c r="J5999" i="14" a="1"/>
  <c r="J5999" i="14" s="1"/>
  <c r="N6000" i="14"/>
  <c r="M6004" i="14"/>
  <c r="J6000" i="13" a="1"/>
  <c r="J6000" i="13" s="1"/>
  <c r="N6001" i="13"/>
  <c r="M6003" i="13"/>
  <c r="K5815" i="13" l="1"/>
  <c r="L5815" i="13" s="1"/>
  <c r="I5816" i="13" s="1"/>
  <c r="K5837" i="14"/>
  <c r="L5837" i="14" s="1"/>
  <c r="I5838" i="14" s="1"/>
  <c r="M6005" i="14"/>
  <c r="N6002" i="13"/>
  <c r="J6001" i="13" a="1"/>
  <c r="J6001" i="13" s="1"/>
  <c r="M6004" i="13"/>
  <c r="J6000" i="14" a="1"/>
  <c r="J6000" i="14" s="1"/>
  <c r="N6001" i="14"/>
  <c r="K5838" i="14" l="1"/>
  <c r="L5838" i="14" s="1"/>
  <c r="I5839" i="14" s="1"/>
  <c r="K5816" i="13"/>
  <c r="L5816" i="13" s="1"/>
  <c r="I5817" i="13" s="1"/>
  <c r="J6002" i="13" a="1"/>
  <c r="J6002" i="13" s="1"/>
  <c r="N6003" i="13"/>
  <c r="N6002" i="14"/>
  <c r="J6001" i="14" a="1"/>
  <c r="J6001" i="14" s="1"/>
  <c r="M6005" i="13"/>
  <c r="M6006" i="14"/>
  <c r="K5817" i="13" l="1"/>
  <c r="L5817" i="13" s="1"/>
  <c r="I5818" i="13" s="1"/>
  <c r="K5839" i="14"/>
  <c r="L5839" i="14" s="1"/>
  <c r="I5840" i="14" s="1"/>
  <c r="N6003" i="14"/>
  <c r="J6002" i="14" a="1"/>
  <c r="J6002" i="14" s="1"/>
  <c r="J6003" i="13" a="1"/>
  <c r="J6003" i="13" s="1"/>
  <c r="N6004" i="13"/>
  <c r="M6007" i="14"/>
  <c r="M6006" i="13"/>
  <c r="K5840" i="14" l="1"/>
  <c r="L5840" i="14" s="1"/>
  <c r="I5841" i="14" s="1"/>
  <c r="K5818" i="13"/>
  <c r="L5818" i="13" s="1"/>
  <c r="I5819" i="13" s="1"/>
  <c r="J6004" i="13" a="1"/>
  <c r="J6004" i="13" s="1"/>
  <c r="N6005" i="13"/>
  <c r="M6007" i="13"/>
  <c r="M6008" i="14"/>
  <c r="J6003" i="14" a="1"/>
  <c r="J6003" i="14" s="1"/>
  <c r="N6004" i="14"/>
  <c r="K5819" i="13" l="1"/>
  <c r="L5819" i="13" s="1"/>
  <c r="I5820" i="13" s="1"/>
  <c r="K5841" i="14"/>
  <c r="L5841" i="14" s="1"/>
  <c r="I5842" i="14" s="1"/>
  <c r="J6004" i="14" a="1"/>
  <c r="J6004" i="14" s="1"/>
  <c r="N6005" i="14"/>
  <c r="M6008" i="13"/>
  <c r="N6006" i="13"/>
  <c r="J6005" i="13" a="1"/>
  <c r="J6005" i="13" s="1"/>
  <c r="M6009" i="14"/>
  <c r="K5842" i="14" l="1"/>
  <c r="L5842" i="14" s="1"/>
  <c r="I5843" i="14" s="1"/>
  <c r="K5820" i="13"/>
  <c r="L5820" i="13" s="1"/>
  <c r="I5821" i="13" s="1"/>
  <c r="M6009" i="13"/>
  <c r="M6010" i="14"/>
  <c r="N6006" i="14"/>
  <c r="J6005" i="14" a="1"/>
  <c r="J6005" i="14" s="1"/>
  <c r="J6006" i="13" a="1"/>
  <c r="J6006" i="13" s="1"/>
  <c r="N6007" i="13"/>
  <c r="K5821" i="13" l="1"/>
  <c r="L5821" i="13" s="1"/>
  <c r="I5822" i="13" s="1"/>
  <c r="K5843" i="14"/>
  <c r="L5843" i="14" s="1"/>
  <c r="I5844" i="14" s="1"/>
  <c r="J6007" i="13" a="1"/>
  <c r="J6007" i="13" s="1"/>
  <c r="N6008" i="13"/>
  <c r="M6011" i="14"/>
  <c r="N6007" i="14"/>
  <c r="J6006" i="14" a="1"/>
  <c r="J6006" i="14" s="1"/>
  <c r="M6010" i="13"/>
  <c r="K5844" i="14" l="1"/>
  <c r="L5844" i="14" s="1"/>
  <c r="I5845" i="14" s="1"/>
  <c r="K5822" i="13"/>
  <c r="L5822" i="13" s="1"/>
  <c r="I5823" i="13" s="1"/>
  <c r="M6012" i="14"/>
  <c r="N6008" i="14"/>
  <c r="J6007" i="14" a="1"/>
  <c r="J6007" i="14" s="1"/>
  <c r="M6011" i="13"/>
  <c r="J6008" i="13" a="1"/>
  <c r="J6008" i="13" s="1"/>
  <c r="N6009" i="13"/>
  <c r="K5823" i="13" l="1"/>
  <c r="L5823" i="13" s="1"/>
  <c r="I5824" i="13" s="1"/>
  <c r="K5845" i="14"/>
  <c r="L5845" i="14" s="1"/>
  <c r="I5846" i="14" s="1"/>
  <c r="N6010" i="13"/>
  <c r="J6009" i="13" a="1"/>
  <c r="J6009" i="13" s="1"/>
  <c r="N6009" i="14"/>
  <c r="J6008" i="14" a="1"/>
  <c r="J6008" i="14" s="1"/>
  <c r="M6013" i="14"/>
  <c r="M6012" i="13"/>
  <c r="K5846" i="14" l="1"/>
  <c r="L5846" i="14" s="1"/>
  <c r="I5847" i="14" s="1"/>
  <c r="K5824" i="13"/>
  <c r="L5824" i="13" s="1"/>
  <c r="I5825" i="13" s="1"/>
  <c r="M6013" i="13"/>
  <c r="N6010" i="14"/>
  <c r="J6009" i="14" a="1"/>
  <c r="J6009" i="14" s="1"/>
  <c r="M6014" i="14"/>
  <c r="J6010" i="13" a="1"/>
  <c r="J6010" i="13" s="1"/>
  <c r="N6011" i="13"/>
  <c r="K5825" i="13" l="1"/>
  <c r="L5825" i="13" s="1"/>
  <c r="I5826" i="13" s="1"/>
  <c r="K5847" i="14"/>
  <c r="L5847" i="14" s="1"/>
  <c r="I5848" i="14" s="1"/>
  <c r="J6010" i="14" a="1"/>
  <c r="J6010" i="14" s="1"/>
  <c r="N6011" i="14"/>
  <c r="M6015" i="14"/>
  <c r="J6011" i="13" a="1"/>
  <c r="J6011" i="13" s="1"/>
  <c r="N6012" i="13"/>
  <c r="M6014" i="13"/>
  <c r="K5848" i="14" l="1"/>
  <c r="L5848" i="14" s="1"/>
  <c r="I5849" i="14" s="1"/>
  <c r="K5826" i="13"/>
  <c r="L5826" i="13" s="1"/>
  <c r="I5827" i="13" s="1"/>
  <c r="M6016" i="14"/>
  <c r="M6015" i="13"/>
  <c r="N6012" i="14"/>
  <c r="J6011" i="14" a="1"/>
  <c r="J6011" i="14" s="1"/>
  <c r="J6012" i="13" a="1"/>
  <c r="J6012" i="13" s="1"/>
  <c r="N6013" i="13"/>
  <c r="K5827" i="13" l="1"/>
  <c r="L5827" i="13" s="1"/>
  <c r="I5828" i="13" s="1"/>
  <c r="K5849" i="14"/>
  <c r="L5849" i="14" s="1"/>
  <c r="I5850" i="14" s="1"/>
  <c r="N6014" i="13"/>
  <c r="J6013" i="13" a="1"/>
  <c r="J6013" i="13" s="1"/>
  <c r="M6016" i="13"/>
  <c r="M6017" i="14"/>
  <c r="J6012" i="14" a="1"/>
  <c r="J6012" i="14" s="1"/>
  <c r="N6013" i="14"/>
  <c r="K5850" i="14" l="1"/>
  <c r="L5850" i="14" s="1"/>
  <c r="I5851" i="14" s="1"/>
  <c r="K5828" i="13"/>
  <c r="L5828" i="13" s="1"/>
  <c r="I5829" i="13" s="1"/>
  <c r="N6014" i="14"/>
  <c r="J6013" i="14" a="1"/>
  <c r="J6013" i="14" s="1"/>
  <c r="M6017" i="13"/>
  <c r="M6018" i="14"/>
  <c r="J6014" i="13" a="1"/>
  <c r="J6014" i="13" s="1"/>
  <c r="N6015" i="13"/>
  <c r="K5829" i="13" l="1"/>
  <c r="L5829" i="13" s="1"/>
  <c r="I5830" i="13" s="1"/>
  <c r="K5851" i="14"/>
  <c r="L5851" i="14" s="1"/>
  <c r="I5852" i="14" s="1"/>
  <c r="J6015" i="13" a="1"/>
  <c r="J6015" i="13" s="1"/>
  <c r="N6016" i="13"/>
  <c r="M6018" i="13"/>
  <c r="M6019" i="14"/>
  <c r="J6014" i="14" a="1"/>
  <c r="J6014" i="14" s="1"/>
  <c r="N6015" i="14"/>
  <c r="K5852" i="14" l="1"/>
  <c r="L5852" i="14" s="1"/>
  <c r="I5853" i="14" s="1"/>
  <c r="K5830" i="13"/>
  <c r="L5830" i="13" s="1"/>
  <c r="I5831" i="13" s="1"/>
  <c r="J6015" i="14" a="1"/>
  <c r="J6015" i="14" s="1"/>
  <c r="N6016" i="14"/>
  <c r="M6019" i="13"/>
  <c r="J6016" i="13" a="1"/>
  <c r="J6016" i="13" s="1"/>
  <c r="N6017" i="13"/>
  <c r="M6020" i="14"/>
  <c r="K5831" i="13" l="1"/>
  <c r="L5831" i="13" s="1"/>
  <c r="I5832" i="13" s="1"/>
  <c r="K5853" i="14"/>
  <c r="L5853" i="14" s="1"/>
  <c r="I5854" i="14" s="1"/>
  <c r="N6018" i="13"/>
  <c r="J6017" i="13" a="1"/>
  <c r="J6017" i="13" s="1"/>
  <c r="M6021" i="14"/>
  <c r="M6020" i="13"/>
  <c r="J6016" i="14" a="1"/>
  <c r="J6016" i="14" s="1"/>
  <c r="N6017" i="14"/>
  <c r="K5854" i="14" l="1"/>
  <c r="L5854" i="14" s="1"/>
  <c r="I5855" i="14" s="1"/>
  <c r="K5832" i="13"/>
  <c r="L5832" i="13" s="1"/>
  <c r="I5833" i="13" s="1"/>
  <c r="N6018" i="14"/>
  <c r="J6017" i="14" a="1"/>
  <c r="J6017" i="14" s="1"/>
  <c r="M6022" i="14"/>
  <c r="M6021" i="13"/>
  <c r="J6018" i="13" a="1"/>
  <c r="J6018" i="13" s="1"/>
  <c r="N6019" i="13"/>
  <c r="K5833" i="13" l="1"/>
  <c r="L5833" i="13" s="1"/>
  <c r="I5834" i="13" s="1"/>
  <c r="K5855" i="14"/>
  <c r="L5855" i="14" s="1"/>
  <c r="I5856" i="14" s="1"/>
  <c r="J6019" i="13" a="1"/>
  <c r="J6019" i="13" s="1"/>
  <c r="N6020" i="13"/>
  <c r="M6023" i="14"/>
  <c r="M6022" i="13"/>
  <c r="J6018" i="14" a="1"/>
  <c r="J6018" i="14" s="1"/>
  <c r="N6019" i="14"/>
  <c r="K5856" i="14" l="1"/>
  <c r="L5856" i="14" s="1"/>
  <c r="I5857" i="14" s="1"/>
  <c r="K5834" i="13"/>
  <c r="L5834" i="13" s="1"/>
  <c r="I5835" i="13" s="1"/>
  <c r="N6020" i="14"/>
  <c r="J6019" i="14" a="1"/>
  <c r="J6019" i="14" s="1"/>
  <c r="M6024" i="14"/>
  <c r="J6020" i="13" a="1"/>
  <c r="J6020" i="13" s="1"/>
  <c r="N6021" i="13"/>
  <c r="M6023" i="13"/>
  <c r="K5835" i="13" l="1"/>
  <c r="L5835" i="13" s="1"/>
  <c r="I5836" i="13" s="1"/>
  <c r="K5857" i="14"/>
  <c r="L5857" i="14" s="1"/>
  <c r="I5858" i="14" s="1"/>
  <c r="M6025" i="14"/>
  <c r="N6022" i="13"/>
  <c r="J6021" i="13" a="1"/>
  <c r="J6021" i="13" s="1"/>
  <c r="M6024" i="13"/>
  <c r="N6021" i="14"/>
  <c r="J6020" i="14" a="1"/>
  <c r="J6020" i="14" s="1"/>
  <c r="K5858" i="14" l="1"/>
  <c r="L5858" i="14" s="1"/>
  <c r="I5859" i="14" s="1"/>
  <c r="K5836" i="13"/>
  <c r="L5836" i="13" s="1"/>
  <c r="I5837" i="13" s="1"/>
  <c r="J6022" i="13" a="1"/>
  <c r="J6022" i="13" s="1"/>
  <c r="N6023" i="13"/>
  <c r="N6022" i="14"/>
  <c r="J6021" i="14" a="1"/>
  <c r="J6021" i="14" s="1"/>
  <c r="M6025" i="13"/>
  <c r="M6026" i="14"/>
  <c r="K5837" i="13" l="1"/>
  <c r="L5837" i="13" s="1"/>
  <c r="I5838" i="13" s="1"/>
  <c r="K5859" i="14"/>
  <c r="L5859" i="14" s="1"/>
  <c r="I5860" i="14" s="1"/>
  <c r="M6027" i="14"/>
  <c r="J6022" i="14" a="1"/>
  <c r="J6022" i="14" s="1"/>
  <c r="N6023" i="14"/>
  <c r="J6023" i="13" a="1"/>
  <c r="J6023" i="13" s="1"/>
  <c r="N6024" i="13"/>
  <c r="M6026" i="13"/>
  <c r="K5860" i="14" l="1"/>
  <c r="L5860" i="14" s="1"/>
  <c r="I5861" i="14" s="1"/>
  <c r="K5838" i="13"/>
  <c r="L5838" i="13" s="1"/>
  <c r="I5839" i="13" s="1"/>
  <c r="N6024" i="14"/>
  <c r="J6023" i="14" a="1"/>
  <c r="J6023" i="14" s="1"/>
  <c r="J6024" i="13" a="1"/>
  <c r="J6024" i="13" s="1"/>
  <c r="N6025" i="13"/>
  <c r="M6028" i="14"/>
  <c r="M6027" i="13"/>
  <c r="K5839" i="13" l="1"/>
  <c r="L5839" i="13" s="1"/>
  <c r="I5840" i="13" s="1"/>
  <c r="K5861" i="14"/>
  <c r="L5861" i="14" s="1"/>
  <c r="I5862" i="14" s="1"/>
  <c r="N6026" i="13"/>
  <c r="J6025" i="13" a="1"/>
  <c r="J6025" i="13" s="1"/>
  <c r="M6028" i="13"/>
  <c r="M6029" i="14"/>
  <c r="N6025" i="14"/>
  <c r="J6024" i="14" a="1"/>
  <c r="J6024" i="14" s="1"/>
  <c r="K5862" i="14" l="1"/>
  <c r="L5862" i="14" s="1"/>
  <c r="I5863" i="14" s="1"/>
  <c r="K5840" i="13"/>
  <c r="L5840" i="13" s="1"/>
  <c r="I5841" i="13" s="1"/>
  <c r="M6029" i="13"/>
  <c r="N6026" i="14"/>
  <c r="J6025" i="14" a="1"/>
  <c r="J6025" i="14" s="1"/>
  <c r="M6030" i="14"/>
  <c r="J6026" i="13" a="1"/>
  <c r="J6026" i="13" s="1"/>
  <c r="N6027" i="13"/>
  <c r="K5841" i="13" l="1"/>
  <c r="L5841" i="13" s="1"/>
  <c r="I5842" i="13" s="1"/>
  <c r="K5863" i="14"/>
  <c r="L5863" i="14" s="1"/>
  <c r="I5864" i="14" s="1"/>
  <c r="J6027" i="13" a="1"/>
  <c r="J6027" i="13" s="1"/>
  <c r="N6028" i="13"/>
  <c r="J6026" i="14" a="1"/>
  <c r="J6026" i="14" s="1"/>
  <c r="N6027" i="14"/>
  <c r="M6031" i="14"/>
  <c r="M6030" i="13"/>
  <c r="K5864" i="14" l="1"/>
  <c r="L5864" i="14" s="1"/>
  <c r="I5865" i="14" s="1"/>
  <c r="K5842" i="13"/>
  <c r="L5842" i="13" s="1"/>
  <c r="I5843" i="13" s="1"/>
  <c r="N6028" i="14"/>
  <c r="J6027" i="14" a="1"/>
  <c r="J6027" i="14" s="1"/>
  <c r="M6031" i="13"/>
  <c r="M6032" i="14"/>
  <c r="J6028" i="13" a="1"/>
  <c r="J6028" i="13" s="1"/>
  <c r="N6029" i="13"/>
  <c r="K5843" i="13" l="1"/>
  <c r="L5843" i="13" s="1"/>
  <c r="I5844" i="13" s="1"/>
  <c r="K5865" i="14"/>
  <c r="L5865" i="14" s="1"/>
  <c r="I5866" i="14" s="1"/>
  <c r="N6030" i="13"/>
  <c r="J6029" i="13" a="1"/>
  <c r="J6029" i="13" s="1"/>
  <c r="M6032" i="13"/>
  <c r="M6033" i="14"/>
  <c r="N6029" i="14"/>
  <c r="J6028" i="14" a="1"/>
  <c r="J6028" i="14" s="1"/>
  <c r="K5866" i="14" l="1"/>
  <c r="L5866" i="14" s="1"/>
  <c r="I5867" i="14" s="1"/>
  <c r="K5844" i="13"/>
  <c r="L5844" i="13" s="1"/>
  <c r="I5845" i="13" s="1"/>
  <c r="M6033" i="13"/>
  <c r="N6030" i="14"/>
  <c r="J6029" i="14" a="1"/>
  <c r="J6029" i="14" s="1"/>
  <c r="M6034" i="14"/>
  <c r="J6030" i="13" a="1"/>
  <c r="J6030" i="13" s="1"/>
  <c r="N6031" i="13"/>
  <c r="K5867" i="14" l="1"/>
  <c r="L5867" i="14" s="1"/>
  <c r="I5868" i="14" s="1"/>
  <c r="J6031" i="13" a="1"/>
  <c r="J6031" i="13" s="1"/>
  <c r="N6032" i="13"/>
  <c r="K5845" i="13"/>
  <c r="L5845" i="13" s="1"/>
  <c r="I5846" i="13" s="1"/>
  <c r="J6030" i="14" a="1"/>
  <c r="J6030" i="14" s="1"/>
  <c r="N6031" i="14"/>
  <c r="M6035" i="14"/>
  <c r="M6034" i="13"/>
  <c r="K5846" i="13" l="1"/>
  <c r="L5846" i="13" s="1"/>
  <c r="I5847" i="13" s="1"/>
  <c r="K5868" i="14"/>
  <c r="L5868" i="14" s="1"/>
  <c r="I5869" i="14" s="1"/>
  <c r="N6032" i="14"/>
  <c r="J6031" i="14" a="1"/>
  <c r="J6031" i="14" s="1"/>
  <c r="J6032" i="13" a="1"/>
  <c r="J6032" i="13" s="1"/>
  <c r="N6033" i="13"/>
  <c r="M6035" i="13"/>
  <c r="M6036" i="14"/>
  <c r="K5869" i="14" l="1"/>
  <c r="L5869" i="14" s="1"/>
  <c r="I5870" i="14" s="1"/>
  <c r="K5847" i="13"/>
  <c r="L5847" i="13" s="1"/>
  <c r="I5848" i="13" s="1"/>
  <c r="N6034" i="13"/>
  <c r="J6033" i="13" a="1"/>
  <c r="J6033" i="13" s="1"/>
  <c r="M6037" i="14"/>
  <c r="M6036" i="13"/>
  <c r="J6032" i="14" a="1"/>
  <c r="J6032" i="14" s="1"/>
  <c r="N6033" i="14"/>
  <c r="K5848" i="13" l="1"/>
  <c r="L5848" i="13" s="1"/>
  <c r="I5849" i="13" s="1"/>
  <c r="K5870" i="14"/>
  <c r="L5870" i="14" s="1"/>
  <c r="I5871" i="14" s="1"/>
  <c r="N6034" i="14"/>
  <c r="J6033" i="14" a="1"/>
  <c r="J6033" i="14" s="1"/>
  <c r="M6038" i="14"/>
  <c r="M6037" i="13"/>
  <c r="J6034" i="13" a="1"/>
  <c r="J6034" i="13" s="1"/>
  <c r="N6035" i="13"/>
  <c r="K5871" i="14" l="1"/>
  <c r="L5871" i="14" s="1"/>
  <c r="I5872" i="14" s="1"/>
  <c r="K5849" i="13"/>
  <c r="L5849" i="13" s="1"/>
  <c r="I5850" i="13" s="1"/>
  <c r="J6035" i="13" a="1"/>
  <c r="J6035" i="13" s="1"/>
  <c r="N6036" i="13"/>
  <c r="M6039" i="14"/>
  <c r="M6038" i="13"/>
  <c r="J6034" i="14" a="1"/>
  <c r="J6034" i="14" s="1"/>
  <c r="N6035" i="14"/>
  <c r="K5850" i="13" l="1"/>
  <c r="L5850" i="13" s="1"/>
  <c r="I5851" i="13" s="1"/>
  <c r="K5872" i="14"/>
  <c r="L5872" i="14" s="1"/>
  <c r="I5873" i="14" s="1"/>
  <c r="N6036" i="14"/>
  <c r="J6035" i="14" a="1"/>
  <c r="J6035" i="14" s="1"/>
  <c r="M6040" i="14"/>
  <c r="J6036" i="13" a="1"/>
  <c r="J6036" i="13" s="1"/>
  <c r="N6037" i="13"/>
  <c r="M6039" i="13"/>
  <c r="K5873" i="14" l="1"/>
  <c r="L5873" i="14" s="1"/>
  <c r="I5874" i="14" s="1"/>
  <c r="K5851" i="13"/>
  <c r="L5851" i="13" s="1"/>
  <c r="I5852" i="13" s="1"/>
  <c r="N6038" i="13"/>
  <c r="J6037" i="13" a="1"/>
  <c r="J6037" i="13" s="1"/>
  <c r="M6041" i="14"/>
  <c r="M6040" i="13"/>
  <c r="N6037" i="14"/>
  <c r="J6036" i="14" a="1"/>
  <c r="J6036" i="14" s="1"/>
  <c r="K5852" i="13" l="1"/>
  <c r="L5852" i="13" s="1"/>
  <c r="I5853" i="13" s="1"/>
  <c r="K5874" i="14"/>
  <c r="L5874" i="14" s="1"/>
  <c r="I5875" i="14" s="1"/>
  <c r="M6042" i="14"/>
  <c r="N6038" i="14"/>
  <c r="J6037" i="14" a="1"/>
  <c r="J6037" i="14" s="1"/>
  <c r="M6041" i="13"/>
  <c r="J6038" i="13" a="1"/>
  <c r="J6038" i="13" s="1"/>
  <c r="N6039" i="13"/>
  <c r="K5875" i="14" l="1"/>
  <c r="L5875" i="14" s="1"/>
  <c r="I5876" i="14" s="1"/>
  <c r="K5853" i="13"/>
  <c r="L5853" i="13" s="1"/>
  <c r="I5854" i="13" s="1"/>
  <c r="J6038" i="14" a="1"/>
  <c r="J6038" i="14" s="1"/>
  <c r="N6039" i="14"/>
  <c r="J6039" i="13" a="1"/>
  <c r="J6039" i="13" s="1"/>
  <c r="N6040" i="13"/>
  <c r="M6042" i="13"/>
  <c r="M6043" i="14"/>
  <c r="K5854" i="13" l="1"/>
  <c r="L5854" i="13" s="1"/>
  <c r="I5855" i="13" s="1"/>
  <c r="K5876" i="14"/>
  <c r="L5876" i="14" s="1"/>
  <c r="I5877" i="14" s="1"/>
  <c r="J6040" i="13" a="1"/>
  <c r="J6040" i="13" s="1"/>
  <c r="N6041" i="13"/>
  <c r="M6044" i="14"/>
  <c r="N6040" i="14"/>
  <c r="J6039" i="14" a="1"/>
  <c r="J6039" i="14" s="1"/>
  <c r="M6043" i="13"/>
  <c r="K5877" i="14" l="1"/>
  <c r="L5877" i="14" s="1"/>
  <c r="I5878" i="14" s="1"/>
  <c r="K5855" i="13"/>
  <c r="L5855" i="13" s="1"/>
  <c r="I5856" i="13" s="1"/>
  <c r="M6045" i="14"/>
  <c r="N6041" i="14"/>
  <c r="J6040" i="14" a="1"/>
  <c r="J6040" i="14" s="1"/>
  <c r="M6044" i="13"/>
  <c r="N6042" i="13"/>
  <c r="J6041" i="13" a="1"/>
  <c r="J6041" i="13" s="1"/>
  <c r="K5856" i="13" l="1"/>
  <c r="L5856" i="13" s="1"/>
  <c r="I5857" i="13" s="1"/>
  <c r="K5878" i="14"/>
  <c r="L5878" i="14" s="1"/>
  <c r="I5879" i="14" s="1"/>
  <c r="N6042" i="14"/>
  <c r="J6041" i="14" a="1"/>
  <c r="J6041" i="14" s="1"/>
  <c r="M6045" i="13"/>
  <c r="J6042" i="13" a="1"/>
  <c r="J6042" i="13" s="1"/>
  <c r="N6043" i="13"/>
  <c r="M6046" i="14"/>
  <c r="K5879" i="14" l="1"/>
  <c r="L5879" i="14" s="1"/>
  <c r="I5880" i="14" s="1"/>
  <c r="K5857" i="13"/>
  <c r="L5857" i="13" s="1"/>
  <c r="I5858" i="13" s="1"/>
  <c r="M6047" i="14"/>
  <c r="J6043" i="13" a="1"/>
  <c r="J6043" i="13" s="1"/>
  <c r="N6044" i="13"/>
  <c r="M6046" i="13"/>
  <c r="J6042" i="14" a="1"/>
  <c r="J6042" i="14" s="1"/>
  <c r="N6043" i="14"/>
  <c r="K5858" i="13" l="1"/>
  <c r="L5858" i="13" s="1"/>
  <c r="I5859" i="13" s="1"/>
  <c r="K5880" i="14"/>
  <c r="L5880" i="14" s="1"/>
  <c r="I5881" i="14" s="1"/>
  <c r="J6044" i="13" a="1"/>
  <c r="J6044" i="13" s="1"/>
  <c r="N6045" i="13"/>
  <c r="N6044" i="14"/>
  <c r="J6043" i="14" a="1"/>
  <c r="J6043" i="14" s="1"/>
  <c r="M6048" i="14"/>
  <c r="M6047" i="13"/>
  <c r="K5881" i="14" l="1"/>
  <c r="L5881" i="14" s="1"/>
  <c r="I5882" i="14" s="1"/>
  <c r="K5859" i="13"/>
  <c r="L5859" i="13" s="1"/>
  <c r="I5860" i="13" s="1"/>
  <c r="J6044" i="14" a="1"/>
  <c r="J6044" i="14" s="1"/>
  <c r="N6045" i="14"/>
  <c r="M6048" i="13"/>
  <c r="N6046" i="13"/>
  <c r="J6045" i="13" a="1"/>
  <c r="J6045" i="13" s="1"/>
  <c r="M6049" i="14"/>
  <c r="K5860" i="13" l="1"/>
  <c r="L5860" i="13" s="1"/>
  <c r="I5861" i="13" s="1"/>
  <c r="K5882" i="14"/>
  <c r="L5882" i="14" s="1"/>
  <c r="I5883" i="14" s="1"/>
  <c r="M6049" i="13"/>
  <c r="M6050" i="14"/>
  <c r="N6046" i="14"/>
  <c r="J6045" i="14" a="1"/>
  <c r="J6045" i="14" s="1"/>
  <c r="J6046" i="13" a="1"/>
  <c r="J6046" i="13" s="1"/>
  <c r="N6047" i="13"/>
  <c r="K5883" i="14" l="1"/>
  <c r="L5883" i="14" s="1"/>
  <c r="I5884" i="14" s="1"/>
  <c r="K5861" i="13"/>
  <c r="L5861" i="13" s="1"/>
  <c r="I5862" i="13" s="1"/>
  <c r="J6047" i="13" a="1"/>
  <c r="J6047" i="13" s="1"/>
  <c r="N6048" i="13"/>
  <c r="M6051" i="14"/>
  <c r="J6046" i="14" a="1"/>
  <c r="J6046" i="14" s="1"/>
  <c r="N6047" i="14"/>
  <c r="M6050" i="13"/>
  <c r="K5862" i="13" l="1"/>
  <c r="L5862" i="13" s="1"/>
  <c r="I5863" i="13" s="1"/>
  <c r="K5884" i="14"/>
  <c r="L5884" i="14" s="1"/>
  <c r="I5885" i="14" s="1"/>
  <c r="N6048" i="14"/>
  <c r="J6047" i="14" a="1"/>
  <c r="J6047" i="14" s="1"/>
  <c r="M6051" i="13"/>
  <c r="M6052" i="14"/>
  <c r="J6048" i="13" a="1"/>
  <c r="J6048" i="13" s="1"/>
  <c r="N6049" i="13"/>
  <c r="K5885" i="14" l="1"/>
  <c r="L5885" i="14" s="1"/>
  <c r="I5886" i="14" s="1"/>
  <c r="K5863" i="13"/>
  <c r="L5863" i="13" s="1"/>
  <c r="I5864" i="13" s="1"/>
  <c r="N6050" i="13"/>
  <c r="J6049" i="13" a="1"/>
  <c r="J6049" i="13" s="1"/>
  <c r="M6052" i="13"/>
  <c r="M6053" i="14"/>
  <c r="J6048" i="14" a="1"/>
  <c r="J6048" i="14" s="1"/>
  <c r="N6049" i="14"/>
  <c r="K5864" i="13" l="1"/>
  <c r="L5864" i="13" s="1"/>
  <c r="I5865" i="13" s="1"/>
  <c r="K5886" i="14"/>
  <c r="L5886" i="14" s="1"/>
  <c r="I5887" i="14" s="1"/>
  <c r="N6050" i="14"/>
  <c r="J6049" i="14" a="1"/>
  <c r="J6049" i="14" s="1"/>
  <c r="M6053" i="13"/>
  <c r="M6054" i="14"/>
  <c r="J6050" i="13" a="1"/>
  <c r="J6050" i="13" s="1"/>
  <c r="N6051" i="13"/>
  <c r="K5887" i="14" l="1"/>
  <c r="L5887" i="14" s="1"/>
  <c r="I5888" i="14" s="1"/>
  <c r="K5865" i="13"/>
  <c r="L5865" i="13" s="1"/>
  <c r="I5866" i="13" s="1"/>
  <c r="J6051" i="13" a="1"/>
  <c r="J6051" i="13" s="1"/>
  <c r="N6052" i="13"/>
  <c r="M6054" i="13"/>
  <c r="M6055" i="14"/>
  <c r="J6050" i="14" a="1"/>
  <c r="J6050" i="14" s="1"/>
  <c r="N6051" i="14"/>
  <c r="K5866" i="13" l="1"/>
  <c r="L5866" i="13" s="1"/>
  <c r="I5867" i="13" s="1"/>
  <c r="K5888" i="14"/>
  <c r="L5888" i="14" s="1"/>
  <c r="I5889" i="14" s="1"/>
  <c r="N6052" i="14"/>
  <c r="J6051" i="14" a="1"/>
  <c r="J6051" i="14" s="1"/>
  <c r="M6055" i="13"/>
  <c r="J6052" i="13" a="1"/>
  <c r="J6052" i="13" s="1"/>
  <c r="N6053" i="13"/>
  <c r="M6056" i="14"/>
  <c r="K5889" i="14" l="1"/>
  <c r="L5889" i="14" s="1"/>
  <c r="I5890" i="14" s="1"/>
  <c r="K5867" i="13"/>
  <c r="L5867" i="13" s="1"/>
  <c r="I5868" i="13" s="1"/>
  <c r="M6057" i="14"/>
  <c r="M6056" i="13"/>
  <c r="N6054" i="13"/>
  <c r="J6053" i="13" a="1"/>
  <c r="J6053" i="13" s="1"/>
  <c r="N6053" i="14"/>
  <c r="J6052" i="14" a="1"/>
  <c r="J6052" i="14" s="1"/>
  <c r="K5868" i="13" l="1"/>
  <c r="L5868" i="13" s="1"/>
  <c r="I5869" i="13" s="1"/>
  <c r="K5890" i="14"/>
  <c r="L5890" i="14" s="1"/>
  <c r="I5891" i="14" s="1"/>
  <c r="M6057" i="13"/>
  <c r="N6054" i="14"/>
  <c r="J6053" i="14" a="1"/>
  <c r="J6053" i="14" s="1"/>
  <c r="J6054" i="13" a="1"/>
  <c r="J6054" i="13" s="1"/>
  <c r="N6055" i="13"/>
  <c r="M6058" i="14"/>
  <c r="K5869" i="13" l="1"/>
  <c r="L5869" i="13" s="1"/>
  <c r="I5870" i="13" s="1"/>
  <c r="J6054" i="14" a="1"/>
  <c r="J6054" i="14" s="1"/>
  <c r="N6055" i="14"/>
  <c r="J6055" i="13" a="1"/>
  <c r="J6055" i="13" s="1"/>
  <c r="N6056" i="13"/>
  <c r="M6059" i="14"/>
  <c r="K5891" i="14"/>
  <c r="L5891" i="14" s="1"/>
  <c r="I5892" i="14" s="1"/>
  <c r="M6058" i="13"/>
  <c r="K5870" i="13" l="1"/>
  <c r="L5870" i="13" s="1"/>
  <c r="I5871" i="13" s="1"/>
  <c r="K5892" i="14"/>
  <c r="L5892" i="14" s="1"/>
  <c r="I5893" i="14" s="1"/>
  <c r="M6059" i="13"/>
  <c r="M6060" i="14"/>
  <c r="N6056" i="14"/>
  <c r="J6055" i="14" a="1"/>
  <c r="J6055" i="14" s="1"/>
  <c r="J6056" i="13" a="1"/>
  <c r="J6056" i="13" s="1"/>
  <c r="N6057" i="13"/>
  <c r="K5893" i="14" l="1"/>
  <c r="L5893" i="14" s="1"/>
  <c r="I5894" i="14" s="1"/>
  <c r="K5871" i="13"/>
  <c r="L5871" i="13" s="1"/>
  <c r="I5872" i="13" s="1"/>
  <c r="N6058" i="13"/>
  <c r="J6057" i="13" a="1"/>
  <c r="J6057" i="13" s="1"/>
  <c r="M6061" i="14"/>
  <c r="N6057" i="14"/>
  <c r="J6056" i="14" a="1"/>
  <c r="J6056" i="14" s="1"/>
  <c r="M6060" i="13"/>
  <c r="K5894" i="14" l="1"/>
  <c r="L5894" i="14" s="1"/>
  <c r="I5895" i="14" s="1"/>
  <c r="M6062" i="14"/>
  <c r="M6061" i="13"/>
  <c r="K5872" i="13"/>
  <c r="L5872" i="13" s="1"/>
  <c r="I5873" i="13" s="1"/>
  <c r="N6058" i="14"/>
  <c r="J6057" i="14" a="1"/>
  <c r="J6057" i="14" s="1"/>
  <c r="J6058" i="13" a="1"/>
  <c r="J6058" i="13" s="1"/>
  <c r="N6059" i="13"/>
  <c r="K5873" i="13" l="1"/>
  <c r="L5873" i="13" s="1"/>
  <c r="I5874" i="13" s="1"/>
  <c r="K5895" i="14"/>
  <c r="L5895" i="14" s="1"/>
  <c r="I5896" i="14" s="1"/>
  <c r="M6063" i="14"/>
  <c r="J6059" i="13" a="1"/>
  <c r="J6059" i="13" s="1"/>
  <c r="N6060" i="13"/>
  <c r="J6058" i="14" a="1"/>
  <c r="J6058" i="14" s="1"/>
  <c r="N6059" i="14"/>
  <c r="M6062" i="13"/>
  <c r="K5896" i="14" l="1"/>
  <c r="L5896" i="14" s="1"/>
  <c r="I5897" i="14" s="1"/>
  <c r="K5874" i="13"/>
  <c r="L5874" i="13" s="1"/>
  <c r="I5875" i="13" s="1"/>
  <c r="J6060" i="13" a="1"/>
  <c r="J6060" i="13" s="1"/>
  <c r="N6061" i="13"/>
  <c r="M6063" i="13"/>
  <c r="N6060" i="14"/>
  <c r="J6059" i="14" a="1"/>
  <c r="J6059" i="14" s="1"/>
  <c r="M6064" i="14"/>
  <c r="K5875" i="13" l="1"/>
  <c r="L5875" i="13" s="1"/>
  <c r="I5876" i="13" s="1"/>
  <c r="K5897" i="14"/>
  <c r="L5897" i="14" s="1"/>
  <c r="I5898" i="14" s="1"/>
  <c r="N6061" i="14"/>
  <c r="J6060" i="14" a="1"/>
  <c r="J6060" i="14" s="1"/>
  <c r="M6065" i="14"/>
  <c r="M6064" i="13"/>
  <c r="N6062" i="13"/>
  <c r="J6061" i="13" a="1"/>
  <c r="J6061" i="13" s="1"/>
  <c r="K5898" i="14" l="1"/>
  <c r="L5898" i="14" s="1"/>
  <c r="I5899" i="14" s="1"/>
  <c r="K5876" i="13"/>
  <c r="L5876" i="13" s="1"/>
  <c r="I5877" i="13" s="1"/>
  <c r="J6062" i="13" a="1"/>
  <c r="J6062" i="13" s="1"/>
  <c r="N6063" i="13"/>
  <c r="M6066" i="14"/>
  <c r="M6065" i="13"/>
  <c r="N6062" i="14"/>
  <c r="J6061" i="14" a="1"/>
  <c r="J6061" i="14" s="1"/>
  <c r="K5877" i="13" l="1"/>
  <c r="L5877" i="13" s="1"/>
  <c r="I5878" i="13" s="1"/>
  <c r="K5899" i="14"/>
  <c r="L5899" i="14" s="1"/>
  <c r="I5900" i="14" s="1"/>
  <c r="J6062" i="14" a="1"/>
  <c r="J6062" i="14" s="1"/>
  <c r="N6063" i="14"/>
  <c r="J6063" i="13" a="1"/>
  <c r="J6063" i="13" s="1"/>
  <c r="N6064" i="13"/>
  <c r="M6067" i="14"/>
  <c r="M6066" i="13"/>
  <c r="K5900" i="14" l="1"/>
  <c r="L5900" i="14" s="1"/>
  <c r="I5901" i="14" s="1"/>
  <c r="K5878" i="13"/>
  <c r="L5878" i="13" s="1"/>
  <c r="I5879" i="13" s="1"/>
  <c r="J6064" i="13" a="1"/>
  <c r="J6064" i="13" s="1"/>
  <c r="N6065" i="13"/>
  <c r="M6067" i="13"/>
  <c r="N6064" i="14"/>
  <c r="J6063" i="14" a="1"/>
  <c r="J6063" i="14" s="1"/>
  <c r="M6068" i="14"/>
  <c r="K5879" i="13" l="1"/>
  <c r="L5879" i="13" s="1"/>
  <c r="I5880" i="13" s="1"/>
  <c r="K5901" i="14"/>
  <c r="L5901" i="14" s="1"/>
  <c r="I5902" i="14" s="1"/>
  <c r="M6069" i="14"/>
  <c r="J6064" i="14" a="1"/>
  <c r="J6064" i="14" s="1"/>
  <c r="N6065" i="14"/>
  <c r="M6068" i="13"/>
  <c r="N6066" i="13"/>
  <c r="J6065" i="13" a="1"/>
  <c r="J6065" i="13" s="1"/>
  <c r="K5902" i="14" l="1"/>
  <c r="L5902" i="14" s="1"/>
  <c r="I5903" i="14" s="1"/>
  <c r="K5880" i="13"/>
  <c r="L5880" i="13" s="1"/>
  <c r="I5881" i="13" s="1"/>
  <c r="N6066" i="14"/>
  <c r="J6065" i="14" a="1"/>
  <c r="J6065" i="14" s="1"/>
  <c r="M6069" i="13"/>
  <c r="J6066" i="13" a="1"/>
  <c r="J6066" i="13" s="1"/>
  <c r="N6067" i="13"/>
  <c r="M6070" i="14"/>
  <c r="K5881" i="13" l="1"/>
  <c r="L5881" i="13" s="1"/>
  <c r="I5882" i="13" s="1"/>
  <c r="K5903" i="14"/>
  <c r="L5903" i="14" s="1"/>
  <c r="I5904" i="14" s="1"/>
  <c r="J6067" i="13" a="1"/>
  <c r="J6067" i="13" s="1"/>
  <c r="N6068" i="13"/>
  <c r="M6071" i="14"/>
  <c r="M6070" i="13"/>
  <c r="J6066" i="14" a="1"/>
  <c r="J6066" i="14" s="1"/>
  <c r="N6067" i="14"/>
  <c r="K5904" i="14" l="1"/>
  <c r="L5904" i="14" s="1"/>
  <c r="I5905" i="14" s="1"/>
  <c r="K5882" i="13"/>
  <c r="L5882" i="13" s="1"/>
  <c r="I5883" i="13" s="1"/>
  <c r="N6068" i="14"/>
  <c r="J6067" i="14" a="1"/>
  <c r="J6067" i="14" s="1"/>
  <c r="M6072" i="14"/>
  <c r="J6068" i="13" a="1"/>
  <c r="J6068" i="13" s="1"/>
  <c r="N6069" i="13"/>
  <c r="M6071" i="13"/>
  <c r="K5883" i="13" l="1"/>
  <c r="L5883" i="13" s="1"/>
  <c r="I5884" i="13" s="1"/>
  <c r="K5905" i="14"/>
  <c r="L5905" i="14" s="1"/>
  <c r="I5906" i="14" s="1"/>
  <c r="M6073" i="14"/>
  <c r="N6070" i="13"/>
  <c r="J6069" i="13" a="1"/>
  <c r="J6069" i="13" s="1"/>
  <c r="M6072" i="13"/>
  <c r="N6069" i="14"/>
  <c r="J6068" i="14" a="1"/>
  <c r="J6068" i="14" s="1"/>
  <c r="K5906" i="14" l="1"/>
  <c r="L5906" i="14" s="1"/>
  <c r="I5907" i="14" s="1"/>
  <c r="K5884" i="13"/>
  <c r="L5884" i="13" s="1"/>
  <c r="I5885" i="13" s="1"/>
  <c r="N6070" i="14"/>
  <c r="J6069" i="14" a="1"/>
  <c r="J6069" i="14" s="1"/>
  <c r="M6073" i="13"/>
  <c r="J6070" i="13" a="1"/>
  <c r="J6070" i="13" s="1"/>
  <c r="N6071" i="13"/>
  <c r="M6074" i="14"/>
  <c r="K5885" i="13" l="1"/>
  <c r="L5885" i="13" s="1"/>
  <c r="I5886" i="13" s="1"/>
  <c r="K5907" i="14"/>
  <c r="L5907" i="14" s="1"/>
  <c r="I5908" i="14" s="1"/>
  <c r="J6071" i="13" a="1"/>
  <c r="J6071" i="13" s="1"/>
  <c r="N6072" i="13"/>
  <c r="M6075" i="14"/>
  <c r="M6074" i="13"/>
  <c r="J6070" i="14" a="1"/>
  <c r="J6070" i="14" s="1"/>
  <c r="N6071" i="14"/>
  <c r="K5908" i="14" l="1"/>
  <c r="L5908" i="14" s="1"/>
  <c r="I5909" i="14" s="1"/>
  <c r="K5886" i="13"/>
  <c r="L5886" i="13" s="1"/>
  <c r="I5887" i="13" s="1"/>
  <c r="N6072" i="14"/>
  <c r="J6071" i="14" a="1"/>
  <c r="J6071" i="14" s="1"/>
  <c r="M6076" i="14"/>
  <c r="J6072" i="13" a="1"/>
  <c r="J6072" i="13" s="1"/>
  <c r="N6073" i="13"/>
  <c r="M6075" i="13"/>
  <c r="K5887" i="13" l="1"/>
  <c r="L5887" i="13" s="1"/>
  <c r="I5888" i="13" s="1"/>
  <c r="K5909" i="14"/>
  <c r="L5909" i="14" s="1"/>
  <c r="I5910" i="14" s="1"/>
  <c r="N6074" i="13"/>
  <c r="J6073" i="13" a="1"/>
  <c r="J6073" i="13" s="1"/>
  <c r="M6077" i="14"/>
  <c r="M6076" i="13"/>
  <c r="N6073" i="14"/>
  <c r="J6072" i="14" a="1"/>
  <c r="J6072" i="14" s="1"/>
  <c r="K5910" i="14" l="1"/>
  <c r="L5910" i="14" s="1"/>
  <c r="I5911" i="14" s="1"/>
  <c r="K5888" i="13"/>
  <c r="L5888" i="13" s="1"/>
  <c r="I5889" i="13" s="1"/>
  <c r="N6074" i="14"/>
  <c r="J6073" i="14" a="1"/>
  <c r="J6073" i="14" s="1"/>
  <c r="M6078" i="14"/>
  <c r="M6077" i="13"/>
  <c r="J6074" i="13" a="1"/>
  <c r="J6074" i="13" s="1"/>
  <c r="N6075" i="13"/>
  <c r="K5889" i="13" l="1"/>
  <c r="L5889" i="13" s="1"/>
  <c r="I5890" i="13" s="1"/>
  <c r="K5911" i="14"/>
  <c r="L5911" i="14" s="1"/>
  <c r="I5912" i="14" s="1"/>
  <c r="M6079" i="14"/>
  <c r="J6075" i="13" a="1"/>
  <c r="J6075" i="13" s="1"/>
  <c r="N6076" i="13"/>
  <c r="M6078" i="13"/>
  <c r="J6074" i="14" a="1"/>
  <c r="J6074" i="14" s="1"/>
  <c r="N6075" i="14"/>
  <c r="K5912" i="14" l="1"/>
  <c r="L5912" i="14" s="1"/>
  <c r="I5913" i="14" s="1"/>
  <c r="K5890" i="13"/>
  <c r="L5890" i="13" s="1"/>
  <c r="I5891" i="13" s="1"/>
  <c r="J6076" i="13" a="1"/>
  <c r="J6076" i="13" s="1"/>
  <c r="N6077" i="13"/>
  <c r="N6076" i="14"/>
  <c r="J6075" i="14" a="1"/>
  <c r="J6075" i="14" s="1"/>
  <c r="M6080" i="14"/>
  <c r="M6079" i="13"/>
  <c r="K5891" i="13" l="1"/>
  <c r="L5891" i="13" s="1"/>
  <c r="I5892" i="13" s="1"/>
  <c r="K5913" i="14"/>
  <c r="L5913" i="14" s="1"/>
  <c r="I5914" i="14" s="1"/>
  <c r="M6080" i="13"/>
  <c r="N6077" i="14"/>
  <c r="J6076" i="14" a="1"/>
  <c r="J6076" i="14" s="1"/>
  <c r="M6081" i="14"/>
  <c r="N6078" i="13"/>
  <c r="J6077" i="13" a="1"/>
  <c r="J6077" i="13" s="1"/>
  <c r="K5914" i="14" l="1"/>
  <c r="L5914" i="14" s="1"/>
  <c r="I5915" i="14" s="1"/>
  <c r="K5892" i="13"/>
  <c r="L5892" i="13" s="1"/>
  <c r="I5893" i="13" s="1"/>
  <c r="N6078" i="14"/>
  <c r="J6077" i="14" a="1"/>
  <c r="J6077" i="14" s="1"/>
  <c r="J6078" i="13" a="1"/>
  <c r="J6078" i="13" s="1"/>
  <c r="N6079" i="13"/>
  <c r="M6081" i="13"/>
  <c r="M6082" i="14"/>
  <c r="K5893" i="13" l="1"/>
  <c r="L5893" i="13" s="1"/>
  <c r="I5894" i="13" s="1"/>
  <c r="K5915" i="14"/>
  <c r="L5915" i="14" s="1"/>
  <c r="I5916" i="14" s="1"/>
  <c r="M6083" i="14"/>
  <c r="J6079" i="13" a="1"/>
  <c r="J6079" i="13" s="1"/>
  <c r="N6080" i="13"/>
  <c r="M6082" i="13"/>
  <c r="J6078" i="14" a="1"/>
  <c r="J6078" i="14" s="1"/>
  <c r="N6079" i="14"/>
  <c r="K5916" i="14" l="1"/>
  <c r="L5916" i="14" s="1"/>
  <c r="I5917" i="14" s="1"/>
  <c r="K5894" i="13"/>
  <c r="L5894" i="13" s="1"/>
  <c r="I5895" i="13" s="1"/>
  <c r="J6080" i="13" a="1"/>
  <c r="J6080" i="13" s="1"/>
  <c r="N6081" i="13"/>
  <c r="J6079" i="14" a="1"/>
  <c r="J6079" i="14" s="1"/>
  <c r="N6080" i="14"/>
  <c r="M6083" i="13"/>
  <c r="M6084" i="14"/>
  <c r="K5895" i="13" l="1"/>
  <c r="L5895" i="13" s="1"/>
  <c r="I5896" i="13" s="1"/>
  <c r="K5917" i="14"/>
  <c r="L5917" i="14" s="1"/>
  <c r="I5918" i="14" s="1"/>
  <c r="M6085" i="14"/>
  <c r="J6080" i="14" a="1"/>
  <c r="J6080" i="14" s="1"/>
  <c r="N6081" i="14"/>
  <c r="N6082" i="13"/>
  <c r="J6081" i="13" a="1"/>
  <c r="J6081" i="13" s="1"/>
  <c r="M6084" i="13"/>
  <c r="K5918" i="14" l="1"/>
  <c r="L5918" i="14" s="1"/>
  <c r="I5919" i="14" s="1"/>
  <c r="K5896" i="13"/>
  <c r="L5896" i="13" s="1"/>
  <c r="I5897" i="13" s="1"/>
  <c r="M6085" i="13"/>
  <c r="N6082" i="14"/>
  <c r="J6081" i="14" a="1"/>
  <c r="J6081" i="14" s="1"/>
  <c r="J6082" i="13" a="1"/>
  <c r="J6082" i="13" s="1"/>
  <c r="N6083" i="13"/>
  <c r="M6086" i="14"/>
  <c r="K5897" i="13" l="1"/>
  <c r="L5897" i="13" s="1"/>
  <c r="I5898" i="13" s="1"/>
  <c r="K5919" i="14"/>
  <c r="L5919" i="14" s="1"/>
  <c r="I5920" i="14" s="1"/>
  <c r="J6082" i="14" a="1"/>
  <c r="J6082" i="14" s="1"/>
  <c r="N6083" i="14"/>
  <c r="J6083" i="13" a="1"/>
  <c r="J6083" i="13" s="1"/>
  <c r="N6084" i="13"/>
  <c r="M6087" i="14"/>
  <c r="M6086" i="13"/>
  <c r="K5920" i="14" l="1"/>
  <c r="L5920" i="14" s="1"/>
  <c r="I5921" i="14" s="1"/>
  <c r="K5898" i="13"/>
  <c r="L5898" i="13" s="1"/>
  <c r="I5899" i="13" s="1"/>
  <c r="J6084" i="13" a="1"/>
  <c r="J6084" i="13" s="1"/>
  <c r="N6085" i="13"/>
  <c r="J6083" i="14" a="1"/>
  <c r="J6083" i="14" s="1"/>
  <c r="N6084" i="14"/>
  <c r="M6087" i="13"/>
  <c r="M6088" i="14"/>
  <c r="K5899" i="13" l="1"/>
  <c r="L5899" i="13" s="1"/>
  <c r="I5900" i="13" s="1"/>
  <c r="K5921" i="14"/>
  <c r="L5921" i="14" s="1"/>
  <c r="I5922" i="14" s="1"/>
  <c r="M6089" i="14"/>
  <c r="N6085" i="14"/>
  <c r="J6084" i="14" a="1"/>
  <c r="J6084" i="14" s="1"/>
  <c r="N6086" i="13"/>
  <c r="J6085" i="13" a="1"/>
  <c r="J6085" i="13" s="1"/>
  <c r="M6088" i="13"/>
  <c r="K5922" i="14" l="1"/>
  <c r="L5922" i="14" s="1"/>
  <c r="I5923" i="14" s="1"/>
  <c r="K5900" i="13"/>
  <c r="L5900" i="13" s="1"/>
  <c r="I5901" i="13" s="1"/>
  <c r="M6089" i="13"/>
  <c r="N6086" i="14"/>
  <c r="J6085" i="14" a="1"/>
  <c r="J6085" i="14" s="1"/>
  <c r="J6086" i="13" a="1"/>
  <c r="J6086" i="13" s="1"/>
  <c r="N6087" i="13"/>
  <c r="M6090" i="14"/>
  <c r="K5901" i="13" l="1"/>
  <c r="L5901" i="13" s="1"/>
  <c r="I5902" i="13" s="1"/>
  <c r="K5923" i="14"/>
  <c r="L5923" i="14" s="1"/>
  <c r="I5924" i="14" s="1"/>
  <c r="J6086" i="14" a="1"/>
  <c r="J6086" i="14" s="1"/>
  <c r="N6087" i="14"/>
  <c r="J6087" i="13" a="1"/>
  <c r="J6087" i="13" s="1"/>
  <c r="N6088" i="13"/>
  <c r="M6091" i="14"/>
  <c r="M6090" i="13"/>
  <c r="K5924" i="14" l="1"/>
  <c r="L5924" i="14" s="1"/>
  <c r="I5925" i="14" s="1"/>
  <c r="K5902" i="13"/>
  <c r="L5902" i="13" s="1"/>
  <c r="I5903" i="13" s="1"/>
  <c r="J6088" i="13" a="1"/>
  <c r="J6088" i="13" s="1"/>
  <c r="N6089" i="13"/>
  <c r="N6088" i="14"/>
  <c r="J6087" i="14" a="1"/>
  <c r="J6087" i="14" s="1"/>
  <c r="M6091" i="13"/>
  <c r="M6092" i="14"/>
  <c r="K5903" i="13" l="1"/>
  <c r="L5903" i="13" s="1"/>
  <c r="I5904" i="13" s="1"/>
  <c r="K5925" i="14"/>
  <c r="L5925" i="14" s="1"/>
  <c r="I5926" i="14" s="1"/>
  <c r="N6089" i="14"/>
  <c r="J6088" i="14" a="1"/>
  <c r="J6088" i="14" s="1"/>
  <c r="N6090" i="13"/>
  <c r="J6089" i="13" a="1"/>
  <c r="J6089" i="13" s="1"/>
  <c r="M6093" i="14"/>
  <c r="M6092" i="13"/>
  <c r="K5926" i="14" l="1"/>
  <c r="L5926" i="14" s="1"/>
  <c r="I5927" i="14" s="1"/>
  <c r="K5904" i="13"/>
  <c r="L5904" i="13" s="1"/>
  <c r="I5905" i="13" s="1"/>
  <c r="J6090" i="13" a="1"/>
  <c r="J6090" i="13" s="1"/>
  <c r="N6091" i="13"/>
  <c r="M6093" i="13"/>
  <c r="M6094" i="14"/>
  <c r="N6090" i="14"/>
  <c r="J6089" i="14" a="1"/>
  <c r="J6089" i="14" s="1"/>
  <c r="K5905" i="13" l="1"/>
  <c r="L5905" i="13" s="1"/>
  <c r="I5906" i="13" s="1"/>
  <c r="K5927" i="14"/>
  <c r="L5927" i="14" s="1"/>
  <c r="I5928" i="14" s="1"/>
  <c r="J6090" i="14" a="1"/>
  <c r="J6090" i="14" s="1"/>
  <c r="N6091" i="14"/>
  <c r="M6094" i="13"/>
  <c r="J6091" i="13" a="1"/>
  <c r="J6091" i="13" s="1"/>
  <c r="N6092" i="13"/>
  <c r="M6095" i="14"/>
  <c r="K5928" i="14" l="1"/>
  <c r="L5928" i="14" s="1"/>
  <c r="I5929" i="14" s="1"/>
  <c r="K5906" i="13"/>
  <c r="L5906" i="13" s="1"/>
  <c r="I5907" i="13" s="1"/>
  <c r="J6092" i="13" a="1"/>
  <c r="J6092" i="13" s="1"/>
  <c r="N6093" i="13"/>
  <c r="M6096" i="14"/>
  <c r="M6095" i="13"/>
  <c r="N6092" i="14"/>
  <c r="J6091" i="14" a="1"/>
  <c r="J6091" i="14" s="1"/>
  <c r="K5907" i="13" l="1"/>
  <c r="L5907" i="13" s="1"/>
  <c r="I5908" i="13" s="1"/>
  <c r="K5929" i="14"/>
  <c r="L5929" i="14" s="1"/>
  <c r="I5930" i="14" s="1"/>
  <c r="M6097" i="14"/>
  <c r="N6093" i="14"/>
  <c r="J6092" i="14" a="1"/>
  <c r="J6092" i="14" s="1"/>
  <c r="N6094" i="13"/>
  <c r="J6093" i="13" a="1"/>
  <c r="J6093" i="13" s="1"/>
  <c r="M6096" i="13"/>
  <c r="K5930" i="14" l="1"/>
  <c r="L5930" i="14" s="1"/>
  <c r="I5931" i="14" s="1"/>
  <c r="K5908" i="13"/>
  <c r="L5908" i="13" s="1"/>
  <c r="I5909" i="13" s="1"/>
  <c r="N6094" i="14"/>
  <c r="J6093" i="14" a="1"/>
  <c r="J6093" i="14" s="1"/>
  <c r="M6097" i="13"/>
  <c r="J6094" i="13" a="1"/>
  <c r="J6094" i="13" s="1"/>
  <c r="N6095" i="13"/>
  <c r="M6098" i="14"/>
  <c r="K5909" i="13" l="1"/>
  <c r="L5909" i="13" s="1"/>
  <c r="I5910" i="13" s="1"/>
  <c r="K5931" i="14"/>
  <c r="L5931" i="14" s="1"/>
  <c r="I5932" i="14" s="1"/>
  <c r="M6099" i="14"/>
  <c r="J6095" i="13" a="1"/>
  <c r="J6095" i="13" s="1"/>
  <c r="N6096" i="13"/>
  <c r="M6098" i="13"/>
  <c r="J6094" i="14" a="1"/>
  <c r="J6094" i="14" s="1"/>
  <c r="N6095" i="14"/>
  <c r="K5932" i="14" l="1"/>
  <c r="L5932" i="14" s="1"/>
  <c r="I5933" i="14" s="1"/>
  <c r="K5910" i="13"/>
  <c r="L5910" i="13" s="1"/>
  <c r="I5911" i="13" s="1"/>
  <c r="J6096" i="13" a="1"/>
  <c r="J6096" i="13" s="1"/>
  <c r="N6097" i="13"/>
  <c r="N6096" i="14"/>
  <c r="J6095" i="14" a="1"/>
  <c r="J6095" i="14" s="1"/>
  <c r="M6099" i="13"/>
  <c r="M6100" i="14"/>
  <c r="K5911" i="13" l="1"/>
  <c r="L5911" i="13" s="1"/>
  <c r="I5912" i="13" s="1"/>
  <c r="K5933" i="14"/>
  <c r="L5933" i="14" s="1"/>
  <c r="I5934" i="14" s="1"/>
  <c r="M6101" i="14"/>
  <c r="J6096" i="14" a="1"/>
  <c r="J6096" i="14" s="1"/>
  <c r="N6097" i="14"/>
  <c r="N6098" i="13"/>
  <c r="J6097" i="13" a="1"/>
  <c r="J6097" i="13" s="1"/>
  <c r="M6100" i="13"/>
  <c r="K5934" i="14" l="1"/>
  <c r="L5934" i="14" s="1"/>
  <c r="I5935" i="14" s="1"/>
  <c r="K5912" i="13"/>
  <c r="L5912" i="13" s="1"/>
  <c r="I5913" i="13" s="1"/>
  <c r="N6098" i="14"/>
  <c r="J6097" i="14" a="1"/>
  <c r="J6097" i="14" s="1"/>
  <c r="M6101" i="13"/>
  <c r="J6098" i="13" a="1"/>
  <c r="J6098" i="13" s="1"/>
  <c r="N6099" i="13"/>
  <c r="M6102" i="14"/>
  <c r="K5913" i="13" l="1"/>
  <c r="L5913" i="13" s="1"/>
  <c r="I5914" i="13" s="1"/>
  <c r="K5935" i="14"/>
  <c r="L5935" i="14" s="1"/>
  <c r="I5936" i="14" s="1"/>
  <c r="J6099" i="13" a="1"/>
  <c r="J6099" i="13" s="1"/>
  <c r="N6100" i="13"/>
  <c r="M6103" i="14"/>
  <c r="M6102" i="13"/>
  <c r="J6098" i="14" a="1"/>
  <c r="J6098" i="14" s="1"/>
  <c r="N6099" i="14"/>
  <c r="K5936" i="14" l="1"/>
  <c r="L5936" i="14" s="1"/>
  <c r="I5937" i="14" s="1"/>
  <c r="K5914" i="13"/>
  <c r="L5914" i="13" s="1"/>
  <c r="I5915" i="13" s="1"/>
  <c r="J6099" i="14" a="1"/>
  <c r="J6099" i="14" s="1"/>
  <c r="N6100" i="14"/>
  <c r="M6104" i="14"/>
  <c r="J6100" i="13" a="1"/>
  <c r="J6100" i="13" s="1"/>
  <c r="N6101" i="13"/>
  <c r="M6103" i="13"/>
  <c r="K5915" i="13" l="1"/>
  <c r="L5915" i="13" s="1"/>
  <c r="I5916" i="13" s="1"/>
  <c r="K5937" i="14"/>
  <c r="L5937" i="14" s="1"/>
  <c r="I5938" i="14" s="1"/>
  <c r="M6105" i="14"/>
  <c r="N6102" i="13"/>
  <c r="J6101" i="13" a="1"/>
  <c r="J6101" i="13" s="1"/>
  <c r="M6104" i="13"/>
  <c r="N6101" i="14"/>
  <c r="J6100" i="14" a="1"/>
  <c r="J6100" i="14" s="1"/>
  <c r="K5938" i="14" l="1"/>
  <c r="L5938" i="14" s="1"/>
  <c r="I5939" i="14" s="1"/>
  <c r="K5916" i="13"/>
  <c r="L5916" i="13" s="1"/>
  <c r="I5917" i="13" s="1"/>
  <c r="N6102" i="14"/>
  <c r="J6101" i="14" a="1"/>
  <c r="J6101" i="14" s="1"/>
  <c r="M6105" i="13"/>
  <c r="J6102" i="13" a="1"/>
  <c r="J6102" i="13" s="1"/>
  <c r="N6103" i="13"/>
  <c r="M6106" i="14"/>
  <c r="K5917" i="13" l="1"/>
  <c r="L5917" i="13" s="1"/>
  <c r="I5918" i="13" s="1"/>
  <c r="K5939" i="14"/>
  <c r="L5939" i="14" s="1"/>
  <c r="I5940" i="14" s="1"/>
  <c r="J6103" i="13" a="1"/>
  <c r="J6103" i="13" s="1"/>
  <c r="N6104" i="13"/>
  <c r="M6107" i="14"/>
  <c r="M6106" i="13"/>
  <c r="J6102" i="14" a="1"/>
  <c r="J6102" i="14" s="1"/>
  <c r="N6103" i="14"/>
  <c r="K5940" i="14" l="1"/>
  <c r="L5940" i="14" s="1"/>
  <c r="I5941" i="14" s="1"/>
  <c r="K5918" i="13"/>
  <c r="L5918" i="13" s="1"/>
  <c r="I5919" i="13" s="1"/>
  <c r="J6103" i="14" a="1"/>
  <c r="J6103" i="14" s="1"/>
  <c r="N6104" i="14"/>
  <c r="M6108" i="14"/>
  <c r="J6104" i="13" a="1"/>
  <c r="J6104" i="13" s="1"/>
  <c r="N6105" i="13"/>
  <c r="M6107" i="13"/>
  <c r="K5919" i="13" l="1"/>
  <c r="L5919" i="13" s="1"/>
  <c r="I5920" i="13" s="1"/>
  <c r="K5941" i="14"/>
  <c r="L5941" i="14" s="1"/>
  <c r="I5942" i="14" s="1"/>
  <c r="N6106" i="13"/>
  <c r="J6105" i="13" a="1"/>
  <c r="J6105" i="13" s="1"/>
  <c r="M6109" i="14"/>
  <c r="M6108" i="13"/>
  <c r="N6105" i="14"/>
  <c r="J6104" i="14" a="1"/>
  <c r="J6104" i="14" s="1"/>
  <c r="K5942" i="14" l="1"/>
  <c r="L5942" i="14" s="1"/>
  <c r="I5943" i="14" s="1"/>
  <c r="K5920" i="13"/>
  <c r="L5920" i="13" s="1"/>
  <c r="I5921" i="13" s="1"/>
  <c r="N6106" i="14"/>
  <c r="J6105" i="14" a="1"/>
  <c r="J6105" i="14" s="1"/>
  <c r="M6110" i="14"/>
  <c r="M6109" i="13"/>
  <c r="J6106" i="13" a="1"/>
  <c r="J6106" i="13" s="1"/>
  <c r="N6107" i="13"/>
  <c r="K5921" i="13" l="1"/>
  <c r="L5921" i="13" s="1"/>
  <c r="I5922" i="13" s="1"/>
  <c r="K5943" i="14"/>
  <c r="L5943" i="14" s="1"/>
  <c r="I5944" i="14" s="1"/>
  <c r="J6107" i="13" a="1"/>
  <c r="J6107" i="13" s="1"/>
  <c r="N6108" i="13"/>
  <c r="M6111" i="14"/>
  <c r="M6110" i="13"/>
  <c r="J6106" i="14" a="1"/>
  <c r="J6106" i="14" s="1"/>
  <c r="N6107" i="14"/>
  <c r="K5944" i="14" l="1"/>
  <c r="L5944" i="14" s="1"/>
  <c r="I5945" i="14" s="1"/>
  <c r="K5922" i="13"/>
  <c r="L5922" i="13" s="1"/>
  <c r="I5923" i="13" s="1"/>
  <c r="J6107" i="14" a="1"/>
  <c r="J6107" i="14" s="1"/>
  <c r="N6108" i="14"/>
  <c r="M6112" i="14"/>
  <c r="J6108" i="13" a="1"/>
  <c r="J6108" i="13" s="1"/>
  <c r="N6109" i="13"/>
  <c r="M6111" i="13"/>
  <c r="K5923" i="13" l="1"/>
  <c r="L5923" i="13" s="1"/>
  <c r="I5924" i="13" s="1"/>
  <c r="K5945" i="14"/>
  <c r="L5945" i="14" s="1"/>
  <c r="I5946" i="14" s="1"/>
  <c r="N6110" i="13"/>
  <c r="J6109" i="13" a="1"/>
  <c r="J6109" i="13" s="1"/>
  <c r="M6113" i="14"/>
  <c r="M6112" i="13"/>
  <c r="N6109" i="14"/>
  <c r="J6108" i="14" a="1"/>
  <c r="J6108" i="14" s="1"/>
  <c r="K5946" i="14" l="1"/>
  <c r="L5946" i="14" s="1"/>
  <c r="I5947" i="14" s="1"/>
  <c r="K5924" i="13"/>
  <c r="L5924" i="13" s="1"/>
  <c r="I5925" i="13" s="1"/>
  <c r="N6110" i="14"/>
  <c r="J6109" i="14" a="1"/>
  <c r="J6109" i="14" s="1"/>
  <c r="M6114" i="14"/>
  <c r="M6113" i="13"/>
  <c r="J6110" i="13" a="1"/>
  <c r="J6110" i="13" s="1"/>
  <c r="N6111" i="13"/>
  <c r="K5925" i="13" l="1"/>
  <c r="L5925" i="13" s="1"/>
  <c r="I5926" i="13" s="1"/>
  <c r="K5947" i="14"/>
  <c r="L5947" i="14" s="1"/>
  <c r="I5948" i="14" s="1"/>
  <c r="J6111" i="13" a="1"/>
  <c r="J6111" i="13" s="1"/>
  <c r="N6112" i="13"/>
  <c r="M6115" i="14"/>
  <c r="M6114" i="13"/>
  <c r="J6110" i="14" a="1"/>
  <c r="J6110" i="14" s="1"/>
  <c r="N6111" i="14"/>
  <c r="K5948" i="14" l="1"/>
  <c r="L5948" i="14" s="1"/>
  <c r="I5949" i="14" s="1"/>
  <c r="K5926" i="13"/>
  <c r="L5926" i="13" s="1"/>
  <c r="I5927" i="13" s="1"/>
  <c r="J6111" i="14" a="1"/>
  <c r="J6111" i="14" s="1"/>
  <c r="N6112" i="14"/>
  <c r="M6116" i="14"/>
  <c r="J6112" i="13" a="1"/>
  <c r="J6112" i="13" s="1"/>
  <c r="N6113" i="13"/>
  <c r="M6115" i="13"/>
  <c r="K5927" i="13" l="1"/>
  <c r="L5927" i="13" s="1"/>
  <c r="I5928" i="13" s="1"/>
  <c r="K5949" i="14"/>
  <c r="L5949" i="14" s="1"/>
  <c r="I5950" i="14" s="1"/>
  <c r="M6117" i="14"/>
  <c r="N6114" i="13"/>
  <c r="J6113" i="13" a="1"/>
  <c r="J6113" i="13" s="1"/>
  <c r="M6116" i="13"/>
  <c r="N6113" i="14"/>
  <c r="J6112" i="14" a="1"/>
  <c r="J6112" i="14" s="1"/>
  <c r="K5928" i="13" l="1"/>
  <c r="L5928" i="13" s="1"/>
  <c r="I5929" i="13" s="1"/>
  <c r="K5950" i="14"/>
  <c r="L5950" i="14" s="1"/>
  <c r="I5951" i="14" s="1"/>
  <c r="N6114" i="14"/>
  <c r="J6113" i="14" a="1"/>
  <c r="J6113" i="14" s="1"/>
  <c r="M6117" i="13"/>
  <c r="J6114" i="13" a="1"/>
  <c r="J6114" i="13" s="1"/>
  <c r="N6115" i="13"/>
  <c r="M6118" i="14"/>
  <c r="K5951" i="14" l="1"/>
  <c r="L5951" i="14" s="1"/>
  <c r="I5952" i="14" s="1"/>
  <c r="K5929" i="13"/>
  <c r="L5929" i="13" s="1"/>
  <c r="I5930" i="13" s="1"/>
  <c r="J6115" i="13" a="1"/>
  <c r="J6115" i="13" s="1"/>
  <c r="N6116" i="13"/>
  <c r="M6119" i="14"/>
  <c r="M6118" i="13"/>
  <c r="J6114" i="14" a="1"/>
  <c r="J6114" i="14" s="1"/>
  <c r="N6115" i="14"/>
  <c r="K5930" i="13" l="1"/>
  <c r="L5930" i="13" s="1"/>
  <c r="I5931" i="13" s="1"/>
  <c r="K5952" i="14"/>
  <c r="L5952" i="14" s="1"/>
  <c r="I5953" i="14" s="1"/>
  <c r="M6120" i="14"/>
  <c r="J6116" i="13" a="1"/>
  <c r="J6116" i="13" s="1"/>
  <c r="N6117" i="13"/>
  <c r="J6115" i="14" a="1"/>
  <c r="J6115" i="14" s="1"/>
  <c r="N6116" i="14"/>
  <c r="M6119" i="13"/>
  <c r="K5953" i="14" l="1"/>
  <c r="L5953" i="14" s="1"/>
  <c r="I5954" i="14" s="1"/>
  <c r="K5931" i="13"/>
  <c r="L5931" i="13" s="1"/>
  <c r="I5932" i="13" s="1"/>
  <c r="N6118" i="13"/>
  <c r="J6117" i="13" a="1"/>
  <c r="J6117" i="13" s="1"/>
  <c r="J6116" i="14" a="1"/>
  <c r="J6116" i="14" s="1"/>
  <c r="N6117" i="14"/>
  <c r="M6121" i="14"/>
  <c r="M6120" i="13"/>
  <c r="K5932" i="13" l="1"/>
  <c r="L5932" i="13" s="1"/>
  <c r="I5933" i="13" s="1"/>
  <c r="K5954" i="14"/>
  <c r="L5954" i="14" s="1"/>
  <c r="I5955" i="14" s="1"/>
  <c r="M6121" i="13"/>
  <c r="N6118" i="14"/>
  <c r="J6117" i="14" a="1"/>
  <c r="J6117" i="14" s="1"/>
  <c r="M6122" i="14"/>
  <c r="J6118" i="13" a="1"/>
  <c r="J6118" i="13" s="1"/>
  <c r="N6119" i="13"/>
  <c r="K5955" i="14" l="1"/>
  <c r="L5955" i="14" s="1"/>
  <c r="I5956" i="14" s="1"/>
  <c r="K5933" i="13"/>
  <c r="L5933" i="13" s="1"/>
  <c r="I5934" i="13" s="1"/>
  <c r="J6118" i="14" a="1"/>
  <c r="J6118" i="14" s="1"/>
  <c r="N6119" i="14"/>
  <c r="J6119" i="13" a="1"/>
  <c r="J6119" i="13" s="1"/>
  <c r="N6120" i="13"/>
  <c r="M6123" i="14"/>
  <c r="M6122" i="13"/>
  <c r="K5934" i="13" l="1"/>
  <c r="L5934" i="13" s="1"/>
  <c r="I5935" i="13" s="1"/>
  <c r="K5956" i="14"/>
  <c r="L5956" i="14" s="1"/>
  <c r="I5957" i="14" s="1"/>
  <c r="J6120" i="13" a="1"/>
  <c r="J6120" i="13" s="1"/>
  <c r="N6121" i="13"/>
  <c r="J6119" i="14" a="1"/>
  <c r="J6119" i="14" s="1"/>
  <c r="N6120" i="14"/>
  <c r="M6123" i="13"/>
  <c r="M6124" i="14"/>
  <c r="K5957" i="14" l="1"/>
  <c r="L5957" i="14" s="1"/>
  <c r="I5958" i="14" s="1"/>
  <c r="K5935" i="13"/>
  <c r="L5935" i="13" s="1"/>
  <c r="I5936" i="13" s="1"/>
  <c r="M6125" i="14"/>
  <c r="N6121" i="14"/>
  <c r="J6120" i="14" a="1"/>
  <c r="J6120" i="14" s="1"/>
  <c r="N6122" i="13"/>
  <c r="J6121" i="13" a="1"/>
  <c r="J6121" i="13" s="1"/>
  <c r="M6124" i="13"/>
  <c r="K5936" i="13" l="1"/>
  <c r="L5936" i="13" s="1"/>
  <c r="I5937" i="13" s="1"/>
  <c r="K5958" i="14"/>
  <c r="L5958" i="14" s="1"/>
  <c r="I5959" i="14" s="1"/>
  <c r="N6122" i="14"/>
  <c r="J6121" i="14" a="1"/>
  <c r="J6121" i="14" s="1"/>
  <c r="M6125" i="13"/>
  <c r="J6122" i="13" a="1"/>
  <c r="J6122" i="13" s="1"/>
  <c r="N6123" i="13"/>
  <c r="M6126" i="14"/>
  <c r="K5959" i="14" l="1"/>
  <c r="L5959" i="14" s="1"/>
  <c r="I5960" i="14" s="1"/>
  <c r="K5937" i="13"/>
  <c r="L5937" i="13" s="1"/>
  <c r="I5938" i="13" s="1"/>
  <c r="J6123" i="13" a="1"/>
  <c r="J6123" i="13" s="1"/>
  <c r="N6124" i="13"/>
  <c r="M6127" i="14"/>
  <c r="M6126" i="13"/>
  <c r="J6122" i="14" a="1"/>
  <c r="J6122" i="14" s="1"/>
  <c r="N6123" i="14"/>
  <c r="K5938" i="13" l="1"/>
  <c r="L5938" i="13" s="1"/>
  <c r="I5939" i="13" s="1"/>
  <c r="K5960" i="14"/>
  <c r="L5960" i="14" s="1"/>
  <c r="I5961" i="14" s="1"/>
  <c r="J6123" i="14" a="1"/>
  <c r="J6123" i="14" s="1"/>
  <c r="N6124" i="14"/>
  <c r="M6128" i="14"/>
  <c r="J6124" i="13" a="1"/>
  <c r="J6124" i="13" s="1"/>
  <c r="N6125" i="13"/>
  <c r="M6127" i="13"/>
  <c r="K5961" i="14" l="1"/>
  <c r="L5961" i="14" s="1"/>
  <c r="I5962" i="14" s="1"/>
  <c r="K5939" i="13"/>
  <c r="L5939" i="13" s="1"/>
  <c r="I5940" i="13" s="1"/>
  <c r="M6129" i="14"/>
  <c r="M6128" i="13"/>
  <c r="J6124" i="14" a="1"/>
  <c r="J6124" i="14" s="1"/>
  <c r="N6125" i="14"/>
  <c r="N6126" i="13"/>
  <c r="J6125" i="13" a="1"/>
  <c r="J6125" i="13" s="1"/>
  <c r="K5940" i="13" l="1"/>
  <c r="L5940" i="13" s="1"/>
  <c r="I5941" i="13" s="1"/>
  <c r="K5962" i="14"/>
  <c r="L5962" i="14" s="1"/>
  <c r="I5963" i="14" s="1"/>
  <c r="M6129" i="13"/>
  <c r="J6126" i="13" a="1"/>
  <c r="J6126" i="13" s="1"/>
  <c r="N6127" i="13"/>
  <c r="N6126" i="14"/>
  <c r="J6125" i="14" a="1"/>
  <c r="J6125" i="14" s="1"/>
  <c r="M6130" i="14"/>
  <c r="K5963" i="14" l="1"/>
  <c r="L5963" i="14" s="1"/>
  <c r="I5964" i="14" s="1"/>
  <c r="K5941" i="13"/>
  <c r="L5941" i="13" s="1"/>
  <c r="I5942" i="13" s="1"/>
  <c r="J6127" i="13" a="1"/>
  <c r="J6127" i="13" s="1"/>
  <c r="N6128" i="13"/>
  <c r="M6131" i="14"/>
  <c r="J6126" i="14" a="1"/>
  <c r="J6126" i="14" s="1"/>
  <c r="N6127" i="14"/>
  <c r="M6130" i="13"/>
  <c r="K5942" i="13" l="1"/>
  <c r="L5942" i="13" s="1"/>
  <c r="I5943" i="13" s="1"/>
  <c r="K5964" i="14"/>
  <c r="L5964" i="14" s="1"/>
  <c r="I5965" i="14" s="1"/>
  <c r="M6131" i="13"/>
  <c r="M6132" i="14"/>
  <c r="J6128" i="13" a="1"/>
  <c r="J6128" i="13" s="1"/>
  <c r="N6129" i="13"/>
  <c r="N6128" i="14"/>
  <c r="J6127" i="14" a="1"/>
  <c r="J6127" i="14" s="1"/>
  <c r="K5965" i="14" l="1"/>
  <c r="L5965" i="14" s="1"/>
  <c r="I5966" i="14" s="1"/>
  <c r="K5943" i="13"/>
  <c r="L5943" i="13" s="1"/>
  <c r="I5944" i="13" s="1"/>
  <c r="J6128" i="14" a="1"/>
  <c r="J6128" i="14" s="1"/>
  <c r="N6129" i="14"/>
  <c r="M6133" i="14"/>
  <c r="N6130" i="13"/>
  <c r="J6129" i="13" a="1"/>
  <c r="J6129" i="13" s="1"/>
  <c r="M6132" i="13"/>
  <c r="K5944" i="13" l="1"/>
  <c r="L5944" i="13" s="1"/>
  <c r="I5945" i="13" s="1"/>
  <c r="K5966" i="14"/>
  <c r="L5966" i="14" s="1"/>
  <c r="I5967" i="14" s="1"/>
  <c r="M6133" i="13"/>
  <c r="M6134" i="14"/>
  <c r="N6130" i="14"/>
  <c r="J6129" i="14" a="1"/>
  <c r="J6129" i="14" s="1"/>
  <c r="J6130" i="13" a="1"/>
  <c r="J6130" i="13" s="1"/>
  <c r="N6131" i="13"/>
  <c r="K5967" i="14" l="1"/>
  <c r="L5967" i="14" s="1"/>
  <c r="I5968" i="14" s="1"/>
  <c r="K5945" i="13"/>
  <c r="L5945" i="13" s="1"/>
  <c r="I5946" i="13" s="1"/>
  <c r="J6131" i="13" a="1"/>
  <c r="J6131" i="13" s="1"/>
  <c r="N6132" i="13"/>
  <c r="M6135" i="14"/>
  <c r="N6131" i="14"/>
  <c r="J6130" i="14" a="1"/>
  <c r="J6130" i="14" s="1"/>
  <c r="M6134" i="13"/>
  <c r="K5946" i="13" l="1"/>
  <c r="L5946" i="13" s="1"/>
  <c r="I5947" i="13" s="1"/>
  <c r="K5968" i="14"/>
  <c r="L5968" i="14" s="1"/>
  <c r="I5969" i="14" s="1"/>
  <c r="N6132" i="14"/>
  <c r="J6131" i="14" a="1"/>
  <c r="J6131" i="14" s="1"/>
  <c r="M6135" i="13"/>
  <c r="M6136" i="14"/>
  <c r="J6132" i="13" a="1"/>
  <c r="J6132" i="13" s="1"/>
  <c r="N6133" i="13"/>
  <c r="K5969" i="14" l="1"/>
  <c r="L5969" i="14" s="1"/>
  <c r="I5970" i="14" s="1"/>
  <c r="K5947" i="13"/>
  <c r="L5947" i="13" s="1"/>
  <c r="I5948" i="13" s="1"/>
  <c r="N6134" i="13"/>
  <c r="J6133" i="13" a="1"/>
  <c r="J6133" i="13" s="1"/>
  <c r="M6136" i="13"/>
  <c r="M6137" i="14"/>
  <c r="J6132" i="14" a="1"/>
  <c r="J6132" i="14" s="1"/>
  <c r="N6133" i="14"/>
  <c r="K5948" i="13" l="1"/>
  <c r="L5948" i="13" s="1"/>
  <c r="I5949" i="13" s="1"/>
  <c r="K5970" i="14"/>
  <c r="L5970" i="14" s="1"/>
  <c r="I5971" i="14" s="1"/>
  <c r="N6134" i="14"/>
  <c r="J6133" i="14" a="1"/>
  <c r="J6133" i="14" s="1"/>
  <c r="M6137" i="13"/>
  <c r="M6138" i="14"/>
  <c r="J6134" i="13" a="1"/>
  <c r="J6134" i="13" s="1"/>
  <c r="N6135" i="13"/>
  <c r="K5971" i="14" l="1"/>
  <c r="L5971" i="14" s="1"/>
  <c r="I5972" i="14" s="1"/>
  <c r="K5949" i="13"/>
  <c r="L5949" i="13" s="1"/>
  <c r="I5950" i="13" s="1"/>
  <c r="J6135" i="13" a="1"/>
  <c r="J6135" i="13" s="1"/>
  <c r="N6136" i="13"/>
  <c r="M6138" i="13"/>
  <c r="M6139" i="14"/>
  <c r="N6135" i="14"/>
  <c r="J6134" i="14" a="1"/>
  <c r="J6134" i="14" s="1"/>
  <c r="K5950" i="13" l="1"/>
  <c r="L5950" i="13" s="1"/>
  <c r="I5951" i="13" s="1"/>
  <c r="K5972" i="14"/>
  <c r="L5972" i="14" s="1"/>
  <c r="I5973" i="14" s="1"/>
  <c r="N6136" i="14"/>
  <c r="J6135" i="14" a="1"/>
  <c r="J6135" i="14" s="1"/>
  <c r="M6139" i="13"/>
  <c r="J6136" i="13" a="1"/>
  <c r="J6136" i="13" s="1"/>
  <c r="N6137" i="13"/>
  <c r="M6140" i="14"/>
  <c r="K5973" i="14" l="1"/>
  <c r="L5973" i="14" s="1"/>
  <c r="I5974" i="14" s="1"/>
  <c r="K5951" i="13"/>
  <c r="L5951" i="13" s="1"/>
  <c r="I5952" i="13" s="1"/>
  <c r="N6138" i="13"/>
  <c r="J6137" i="13" a="1"/>
  <c r="J6137" i="13" s="1"/>
  <c r="M6141" i="14"/>
  <c r="M6140" i="13"/>
  <c r="J6136" i="14" a="1"/>
  <c r="J6136" i="14" s="1"/>
  <c r="N6137" i="14"/>
  <c r="K5952" i="13" l="1"/>
  <c r="L5952" i="13" s="1"/>
  <c r="I5953" i="13" s="1"/>
  <c r="K5974" i="14"/>
  <c r="L5974" i="14" s="1"/>
  <c r="I5975" i="14" s="1"/>
  <c r="N6138" i="14"/>
  <c r="J6137" i="14" a="1"/>
  <c r="J6137" i="14" s="1"/>
  <c r="M6142" i="14"/>
  <c r="M6141" i="13"/>
  <c r="J6138" i="13" a="1"/>
  <c r="J6138" i="13" s="1"/>
  <c r="N6139" i="13"/>
  <c r="K5975" i="14" l="1"/>
  <c r="L5975" i="14" s="1"/>
  <c r="I5976" i="14" s="1"/>
  <c r="K5953" i="13"/>
  <c r="L5953" i="13" s="1"/>
  <c r="I5954" i="13" s="1"/>
  <c r="J6139" i="13" a="1"/>
  <c r="J6139" i="13" s="1"/>
  <c r="N6140" i="13"/>
  <c r="M6143" i="14"/>
  <c r="M6142" i="13"/>
  <c r="N6139" i="14"/>
  <c r="J6138" i="14" a="1"/>
  <c r="J6138" i="14" s="1"/>
  <c r="K5954" i="13" l="1"/>
  <c r="L5954" i="13" s="1"/>
  <c r="I5955" i="13" s="1"/>
  <c r="K5976" i="14"/>
  <c r="L5976" i="14" s="1"/>
  <c r="I5977" i="14" s="1"/>
  <c r="N6140" i="14"/>
  <c r="J6139" i="14" a="1"/>
  <c r="J6139" i="14" s="1"/>
  <c r="M6144" i="14"/>
  <c r="J6140" i="13" a="1"/>
  <c r="J6140" i="13" s="1"/>
  <c r="N6141" i="13"/>
  <c r="M6143" i="13"/>
  <c r="K5977" i="14" l="1"/>
  <c r="L5977" i="14" s="1"/>
  <c r="I5978" i="14" s="1"/>
  <c r="K5955" i="13"/>
  <c r="L5955" i="13" s="1"/>
  <c r="I5956" i="13" s="1"/>
  <c r="M6145" i="14"/>
  <c r="N6142" i="13"/>
  <c r="J6141" i="13" a="1"/>
  <c r="J6141" i="13" s="1"/>
  <c r="M6144" i="13"/>
  <c r="J6140" i="14" a="1"/>
  <c r="J6140" i="14" s="1"/>
  <c r="N6141" i="14"/>
  <c r="K5956" i="13" l="1"/>
  <c r="L5956" i="13" s="1"/>
  <c r="I5957" i="13" s="1"/>
  <c r="K5978" i="14"/>
  <c r="L5978" i="14" s="1"/>
  <c r="I5979" i="14" s="1"/>
  <c r="J6142" i="13" a="1"/>
  <c r="J6142" i="13" s="1"/>
  <c r="N6143" i="13"/>
  <c r="N6142" i="14"/>
  <c r="J6141" i="14" a="1"/>
  <c r="J6141" i="14" s="1"/>
  <c r="M6145" i="13"/>
  <c r="M6146" i="14"/>
  <c r="K5979" i="14" l="1"/>
  <c r="L5979" i="14" s="1"/>
  <c r="I5980" i="14" s="1"/>
  <c r="K5957" i="13"/>
  <c r="L5957" i="13" s="1"/>
  <c r="I5958" i="13" s="1"/>
  <c r="N6143" i="14"/>
  <c r="J6142" i="14" a="1"/>
  <c r="J6142" i="14" s="1"/>
  <c r="M6147" i="14"/>
  <c r="J6143" i="13" a="1"/>
  <c r="J6143" i="13" s="1"/>
  <c r="N6144" i="13"/>
  <c r="M6146" i="13"/>
  <c r="K5958" i="13" l="1"/>
  <c r="L5958" i="13" s="1"/>
  <c r="I5959" i="13" s="1"/>
  <c r="K5980" i="14"/>
  <c r="L5980" i="14" s="1"/>
  <c r="I5981" i="14" s="1"/>
  <c r="J6144" i="13" a="1"/>
  <c r="J6144" i="13" s="1"/>
  <c r="N6145" i="13"/>
  <c r="M6147" i="13"/>
  <c r="M6148" i="14"/>
  <c r="N6144" i="14"/>
  <c r="J6143" i="14" a="1"/>
  <c r="J6143" i="14" s="1"/>
  <c r="K5981" i="14" l="1"/>
  <c r="L5981" i="14" s="1"/>
  <c r="I5982" i="14" s="1"/>
  <c r="K5959" i="13"/>
  <c r="L5959" i="13" s="1"/>
  <c r="I5960" i="13" s="1"/>
  <c r="J6144" i="14" a="1"/>
  <c r="J6144" i="14" s="1"/>
  <c r="N6145" i="14"/>
  <c r="M6148" i="13"/>
  <c r="N6146" i="13"/>
  <c r="J6145" i="13" a="1"/>
  <c r="J6145" i="13" s="1"/>
  <c r="M6149" i="14"/>
  <c r="K5960" i="13" l="1"/>
  <c r="L5960" i="13" s="1"/>
  <c r="I5961" i="13" s="1"/>
  <c r="K5982" i="14"/>
  <c r="L5982" i="14" s="1"/>
  <c r="I5983" i="14" s="1"/>
  <c r="M6150" i="14"/>
  <c r="M6149" i="13"/>
  <c r="J6146" i="13" a="1"/>
  <c r="J6146" i="13" s="1"/>
  <c r="N6147" i="13"/>
  <c r="N6146" i="14"/>
  <c r="J6145" i="14" a="1"/>
  <c r="J6145" i="14" s="1"/>
  <c r="K5961" i="13" l="1"/>
  <c r="L5961" i="13" s="1"/>
  <c r="I5962" i="13" s="1"/>
  <c r="N6147" i="14"/>
  <c r="J6146" i="14" a="1"/>
  <c r="J6146" i="14" s="1"/>
  <c r="M6150" i="13"/>
  <c r="K5983" i="14"/>
  <c r="L5983" i="14" s="1"/>
  <c r="I5984" i="14" s="1"/>
  <c r="J6147" i="13" a="1"/>
  <c r="J6147" i="13" s="1"/>
  <c r="N6148" i="13"/>
  <c r="M6151" i="14"/>
  <c r="K5984" i="14" l="1"/>
  <c r="L5984" i="14" s="1"/>
  <c r="I5985" i="14" s="1"/>
  <c r="K5962" i="13"/>
  <c r="L5962" i="13" s="1"/>
  <c r="I5963" i="13" s="1"/>
  <c r="M6152" i="14"/>
  <c r="N6148" i="14"/>
  <c r="J6147" i="14" a="1"/>
  <c r="J6147" i="14" s="1"/>
  <c r="J6148" i="13" a="1"/>
  <c r="J6148" i="13" s="1"/>
  <c r="N6149" i="13"/>
  <c r="M6151" i="13"/>
  <c r="K5963" i="13" l="1"/>
  <c r="L5963" i="13" s="1"/>
  <c r="I5964" i="13" s="1"/>
  <c r="K5985" i="14"/>
  <c r="L5985" i="14" s="1"/>
  <c r="I5986" i="14" s="1"/>
  <c r="J6148" i="14" a="1"/>
  <c r="J6148" i="14" s="1"/>
  <c r="N6149" i="14"/>
  <c r="N6150" i="13"/>
  <c r="J6149" i="13" a="1"/>
  <c r="J6149" i="13" s="1"/>
  <c r="M6153" i="14"/>
  <c r="M6152" i="13"/>
  <c r="K5986" i="14" l="1"/>
  <c r="L5986" i="14" s="1"/>
  <c r="I5987" i="14" s="1"/>
  <c r="K5964" i="13"/>
  <c r="L5964" i="13" s="1"/>
  <c r="I5965" i="13" s="1"/>
  <c r="J6150" i="13" a="1"/>
  <c r="J6150" i="13" s="1"/>
  <c r="N6151" i="13"/>
  <c r="N6150" i="14"/>
  <c r="J6149" i="14" a="1"/>
  <c r="J6149" i="14" s="1"/>
  <c r="M6153" i="13"/>
  <c r="M6154" i="14"/>
  <c r="K5965" i="13" l="1"/>
  <c r="L5965" i="13" s="1"/>
  <c r="I5966" i="13" s="1"/>
  <c r="K5987" i="14"/>
  <c r="L5987" i="14" s="1"/>
  <c r="I5988" i="14" s="1"/>
  <c r="M6155" i="14"/>
  <c r="N6151" i="14"/>
  <c r="J6150" i="14" a="1"/>
  <c r="J6150" i="14" s="1"/>
  <c r="J6151" i="13" a="1"/>
  <c r="J6151" i="13" s="1"/>
  <c r="N6152" i="13"/>
  <c r="M6154" i="13"/>
  <c r="K5988" i="14" l="1"/>
  <c r="L5988" i="14" s="1"/>
  <c r="I5989" i="14" s="1"/>
  <c r="K5966" i="13"/>
  <c r="L5966" i="13" s="1"/>
  <c r="I5967" i="13" s="1"/>
  <c r="M6155" i="13"/>
  <c r="N6152" i="14"/>
  <c r="J6151" i="14" a="1"/>
  <c r="J6151" i="14" s="1"/>
  <c r="J6152" i="13" a="1"/>
  <c r="J6152" i="13" s="1"/>
  <c r="N6153" i="13"/>
  <c r="M6156" i="14"/>
  <c r="K5967" i="13" l="1"/>
  <c r="L5967" i="13" s="1"/>
  <c r="I5968" i="13" s="1"/>
  <c r="K5989" i="14"/>
  <c r="L5989" i="14" s="1"/>
  <c r="I5990" i="14" s="1"/>
  <c r="M6157" i="14"/>
  <c r="J6152" i="14" a="1"/>
  <c r="J6152" i="14" s="1"/>
  <c r="N6153" i="14"/>
  <c r="N6154" i="13"/>
  <c r="J6153" i="13" a="1"/>
  <c r="J6153" i="13" s="1"/>
  <c r="M6156" i="13"/>
  <c r="K5990" i="14" l="1"/>
  <c r="L5990" i="14" s="1"/>
  <c r="I5991" i="14" s="1"/>
  <c r="K5968" i="13"/>
  <c r="L5968" i="13" s="1"/>
  <c r="I5969" i="13" s="1"/>
  <c r="M6157" i="13"/>
  <c r="N6154" i="14"/>
  <c r="J6153" i="14" a="1"/>
  <c r="J6153" i="14" s="1"/>
  <c r="M6158" i="14"/>
  <c r="J6154" i="13" a="1"/>
  <c r="J6154" i="13" s="1"/>
  <c r="N6155" i="13"/>
  <c r="K5969" i="13" l="1"/>
  <c r="L5969" i="13" s="1"/>
  <c r="I5970" i="13" s="1"/>
  <c r="K5991" i="14"/>
  <c r="L5991" i="14" s="1"/>
  <c r="I5992" i="14" s="1"/>
  <c r="N6155" i="14"/>
  <c r="J6154" i="14" a="1"/>
  <c r="J6154" i="14" s="1"/>
  <c r="J6155" i="13" a="1"/>
  <c r="J6155" i="13" s="1"/>
  <c r="N6156" i="13"/>
  <c r="M6159" i="14"/>
  <c r="M6158" i="13"/>
  <c r="K5992" i="14" l="1"/>
  <c r="L5992" i="14" s="1"/>
  <c r="I5993" i="14" s="1"/>
  <c r="K5970" i="13"/>
  <c r="L5970" i="13" s="1"/>
  <c r="I5971" i="13" s="1"/>
  <c r="J6156" i="13" a="1"/>
  <c r="J6156" i="13" s="1"/>
  <c r="N6157" i="13"/>
  <c r="M6159" i="13"/>
  <c r="M6160" i="14"/>
  <c r="N6156" i="14"/>
  <c r="J6155" i="14" a="1"/>
  <c r="J6155" i="14" s="1"/>
  <c r="K5971" i="13" l="1"/>
  <c r="L5971" i="13" s="1"/>
  <c r="I5972" i="13" s="1"/>
  <c r="K5993" i="14"/>
  <c r="L5993" i="14" s="1"/>
  <c r="I5994" i="14" s="1"/>
  <c r="J6156" i="14" a="1"/>
  <c r="J6156" i="14" s="1"/>
  <c r="N6157" i="14"/>
  <c r="M6160" i="13"/>
  <c r="N6158" i="13"/>
  <c r="J6157" i="13" a="1"/>
  <c r="J6157" i="13" s="1"/>
  <c r="M6161" i="14"/>
  <c r="K5994" i="14" l="1"/>
  <c r="L5994" i="14" s="1"/>
  <c r="I5995" i="14" s="1"/>
  <c r="K5972" i="13"/>
  <c r="L5972" i="13" s="1"/>
  <c r="I5973" i="13" s="1"/>
  <c r="M6161" i="13"/>
  <c r="J6158" i="13" a="1"/>
  <c r="J6158" i="13" s="1"/>
  <c r="N6159" i="13"/>
  <c r="M6162" i="14"/>
  <c r="N6158" i="14"/>
  <c r="J6157" i="14" a="1"/>
  <c r="J6157" i="14" s="1"/>
  <c r="K5973" i="13" l="1"/>
  <c r="L5973" i="13" s="1"/>
  <c r="I5974" i="13" s="1"/>
  <c r="K5995" i="14"/>
  <c r="L5995" i="14" s="1"/>
  <c r="I5996" i="14" s="1"/>
  <c r="J6159" i="13" a="1"/>
  <c r="J6159" i="13" s="1"/>
  <c r="N6160" i="13"/>
  <c r="J6158" i="14" a="1"/>
  <c r="J6158" i="14" s="1"/>
  <c r="N6159" i="14"/>
  <c r="M6163" i="14"/>
  <c r="M6162" i="13"/>
  <c r="K5996" i="14" l="1"/>
  <c r="L5996" i="14" s="1"/>
  <c r="I5997" i="14" s="1"/>
  <c r="K5974" i="13"/>
  <c r="L5974" i="13" s="1"/>
  <c r="I5975" i="13" s="1"/>
  <c r="N6160" i="14"/>
  <c r="J6159" i="14" a="1"/>
  <c r="J6159" i="14" s="1"/>
  <c r="M6163" i="13"/>
  <c r="J6160" i="13" a="1"/>
  <c r="J6160" i="13" s="1"/>
  <c r="N6161" i="13"/>
  <c r="M6164" i="14"/>
  <c r="K5975" i="13" l="1"/>
  <c r="L5975" i="13" s="1"/>
  <c r="I5976" i="13" s="1"/>
  <c r="K5997" i="14"/>
  <c r="L5997" i="14" s="1"/>
  <c r="I5998" i="14" s="1"/>
  <c r="M6165" i="14"/>
  <c r="M6164" i="13"/>
  <c r="N6162" i="13"/>
  <c r="J6161" i="13" a="1"/>
  <c r="J6161" i="13" s="1"/>
  <c r="J6160" i="14" a="1"/>
  <c r="J6160" i="14" s="1"/>
  <c r="N6161" i="14"/>
  <c r="K5998" i="14" l="1"/>
  <c r="L5998" i="14" s="1"/>
  <c r="I5999" i="14" s="1"/>
  <c r="K5976" i="13"/>
  <c r="L5976" i="13" s="1"/>
  <c r="I5977" i="13" s="1"/>
  <c r="J6161" i="14" a="1"/>
  <c r="J6161" i="14" s="1"/>
  <c r="N6162" i="14"/>
  <c r="M6165" i="13"/>
  <c r="J6162" i="13" a="1"/>
  <c r="J6162" i="13" s="1"/>
  <c r="N6163" i="13"/>
  <c r="M6166" i="14"/>
  <c r="K5977" i="13" l="1"/>
  <c r="L5977" i="13" s="1"/>
  <c r="I5978" i="13" s="1"/>
  <c r="K5999" i="14"/>
  <c r="L5999" i="14" s="1"/>
  <c r="I6000" i="14" s="1"/>
  <c r="J6163" i="13" a="1"/>
  <c r="J6163" i="13" s="1"/>
  <c r="N6164" i="13"/>
  <c r="M6167" i="14"/>
  <c r="M6166" i="13"/>
  <c r="N6163" i="14"/>
  <c r="J6162" i="14" a="1"/>
  <c r="J6162" i="14" s="1"/>
  <c r="K6000" i="14" l="1"/>
  <c r="L6000" i="14" s="1"/>
  <c r="I6001" i="14" s="1"/>
  <c r="K5978" i="13"/>
  <c r="L5978" i="13" s="1"/>
  <c r="I5979" i="13" s="1"/>
  <c r="N6164" i="14"/>
  <c r="J6163" i="14" a="1"/>
  <c r="J6163" i="14" s="1"/>
  <c r="M6168" i="14"/>
  <c r="J6164" i="13" a="1"/>
  <c r="J6164" i="13" s="1"/>
  <c r="N6165" i="13"/>
  <c r="M6167" i="13"/>
  <c r="K5979" i="13" l="1"/>
  <c r="L5979" i="13" s="1"/>
  <c r="I5980" i="13" s="1"/>
  <c r="K6001" i="14"/>
  <c r="L6001" i="14" s="1"/>
  <c r="I6002" i="14" s="1"/>
  <c r="N6166" i="13"/>
  <c r="J6165" i="13" a="1"/>
  <c r="J6165" i="13" s="1"/>
  <c r="M6168" i="13"/>
  <c r="M6169" i="14"/>
  <c r="J6164" i="14" a="1"/>
  <c r="J6164" i="14" s="1"/>
  <c r="N6165" i="14"/>
  <c r="K6002" i="14" l="1"/>
  <c r="L6002" i="14" s="1"/>
  <c r="I6003" i="14" s="1"/>
  <c r="K5980" i="13"/>
  <c r="L5980" i="13" s="1"/>
  <c r="I5981" i="13" s="1"/>
  <c r="N6166" i="14"/>
  <c r="J6165" i="14" a="1"/>
  <c r="J6165" i="14" s="1"/>
  <c r="M6169" i="13"/>
  <c r="M6170" i="14"/>
  <c r="J6166" i="13" a="1"/>
  <c r="J6166" i="13" s="1"/>
  <c r="N6167" i="13"/>
  <c r="K5981" i="13" l="1"/>
  <c r="L5981" i="13" s="1"/>
  <c r="I5982" i="13" s="1"/>
  <c r="K6003" i="14"/>
  <c r="L6003" i="14" s="1"/>
  <c r="I6004" i="14" s="1"/>
  <c r="J6167" i="13" a="1"/>
  <c r="J6167" i="13" s="1"/>
  <c r="N6168" i="13"/>
  <c r="M6170" i="13"/>
  <c r="M6171" i="14"/>
  <c r="N6167" i="14"/>
  <c r="J6166" i="14" a="1"/>
  <c r="J6166" i="14" s="1"/>
  <c r="K6004" i="14" l="1"/>
  <c r="L6004" i="14" s="1"/>
  <c r="I6005" i="14" s="1"/>
  <c r="K5982" i="13"/>
  <c r="L5982" i="13" s="1"/>
  <c r="I5983" i="13" s="1"/>
  <c r="N6168" i="14"/>
  <c r="J6167" i="14" a="1"/>
  <c r="J6167" i="14" s="1"/>
  <c r="M6171" i="13"/>
  <c r="J6168" i="13" a="1"/>
  <c r="J6168" i="13" s="1"/>
  <c r="N6169" i="13"/>
  <c r="M6172" i="14"/>
  <c r="K5983" i="13" l="1"/>
  <c r="L5983" i="13" s="1"/>
  <c r="I5984" i="13" s="1"/>
  <c r="K6005" i="14"/>
  <c r="L6005" i="14" s="1"/>
  <c r="I6006" i="14" s="1"/>
  <c r="N6170" i="13"/>
  <c r="J6169" i="13" a="1"/>
  <c r="J6169" i="13" s="1"/>
  <c r="M6173" i="14"/>
  <c r="M6172" i="13"/>
  <c r="J6168" i="14" a="1"/>
  <c r="J6168" i="14" s="1"/>
  <c r="N6169" i="14"/>
  <c r="K6006" i="14" l="1"/>
  <c r="L6006" i="14" s="1"/>
  <c r="I6007" i="14" s="1"/>
  <c r="K5984" i="13"/>
  <c r="L5984" i="13" s="1"/>
  <c r="I5985" i="13" s="1"/>
  <c r="N6170" i="14"/>
  <c r="J6169" i="14" a="1"/>
  <c r="J6169" i="14" s="1"/>
  <c r="M6174" i="14"/>
  <c r="M6173" i="13"/>
  <c r="J6170" i="13" a="1"/>
  <c r="J6170" i="13" s="1"/>
  <c r="N6171" i="13"/>
  <c r="K5985" i="13" l="1"/>
  <c r="L5985" i="13" s="1"/>
  <c r="I5986" i="13" s="1"/>
  <c r="K6007" i="14"/>
  <c r="L6007" i="14" s="1"/>
  <c r="I6008" i="14" s="1"/>
  <c r="J6171" i="13" a="1"/>
  <c r="J6171" i="13" s="1"/>
  <c r="N6172" i="13"/>
  <c r="M6175" i="14"/>
  <c r="M6174" i="13"/>
  <c r="N6171" i="14"/>
  <c r="J6170" i="14" a="1"/>
  <c r="J6170" i="14" s="1"/>
  <c r="K6008" i="14" l="1"/>
  <c r="L6008" i="14" s="1"/>
  <c r="I6009" i="14" s="1"/>
  <c r="K5986" i="13"/>
  <c r="L5986" i="13" s="1"/>
  <c r="I5987" i="13" s="1"/>
  <c r="N6172" i="14"/>
  <c r="J6171" i="14" a="1"/>
  <c r="J6171" i="14" s="1"/>
  <c r="M6176" i="14"/>
  <c r="N6173" i="13"/>
  <c r="J6172" i="13" a="1"/>
  <c r="J6172" i="13" s="1"/>
  <c r="M6175" i="13"/>
  <c r="K5987" i="13" l="1"/>
  <c r="L5987" i="13" s="1"/>
  <c r="I5988" i="13" s="1"/>
  <c r="K6009" i="14"/>
  <c r="L6009" i="14" s="1"/>
  <c r="I6010" i="14" s="1"/>
  <c r="M6176" i="13"/>
  <c r="M6177" i="14"/>
  <c r="N6174" i="13"/>
  <c r="J6173" i="13" a="1"/>
  <c r="J6173" i="13" s="1"/>
  <c r="J6172" i="14" a="1"/>
  <c r="J6172" i="14" s="1"/>
  <c r="N6173" i="14"/>
  <c r="K6010" i="14" l="1"/>
  <c r="L6010" i="14" s="1"/>
  <c r="I6011" i="14" s="1"/>
  <c r="K5988" i="13"/>
  <c r="L5988" i="13" s="1"/>
  <c r="I5989" i="13" s="1"/>
  <c r="N6174" i="14"/>
  <c r="J6173" i="14" a="1"/>
  <c r="J6173" i="14" s="1"/>
  <c r="M6178" i="14"/>
  <c r="M6177" i="13"/>
  <c r="J6174" i="13" a="1"/>
  <c r="J6174" i="13" s="1"/>
  <c r="N6175" i="13"/>
  <c r="K5989" i="13" l="1"/>
  <c r="L5989" i="13" s="1"/>
  <c r="I5990" i="13" s="1"/>
  <c r="K6011" i="14"/>
  <c r="L6011" i="14" s="1"/>
  <c r="I6012" i="14" s="1"/>
  <c r="N6176" i="13"/>
  <c r="J6175" i="13" a="1"/>
  <c r="J6175" i="13" s="1"/>
  <c r="M6179" i="14"/>
  <c r="M6178" i="13"/>
  <c r="N6175" i="14"/>
  <c r="J6174" i="14" a="1"/>
  <c r="J6174" i="14" s="1"/>
  <c r="K6012" i="14" l="1"/>
  <c r="L6012" i="14" s="1"/>
  <c r="I6013" i="14" s="1"/>
  <c r="K5990" i="13"/>
  <c r="L5990" i="13" s="1"/>
  <c r="I5991" i="13" s="1"/>
  <c r="N6176" i="14"/>
  <c r="J6175" i="14" a="1"/>
  <c r="J6175" i="14" s="1"/>
  <c r="M6180" i="14"/>
  <c r="M6179" i="13"/>
  <c r="J6176" i="13" a="1"/>
  <c r="J6176" i="13" s="1"/>
  <c r="N6177" i="13"/>
  <c r="K5991" i="13" l="1"/>
  <c r="L5991" i="13" s="1"/>
  <c r="I5992" i="13" s="1"/>
  <c r="K6013" i="14"/>
  <c r="L6013" i="14" s="1"/>
  <c r="I6014" i="14" s="1"/>
  <c r="M6181" i="14"/>
  <c r="N6178" i="13"/>
  <c r="J6177" i="13" a="1"/>
  <c r="J6177" i="13" s="1"/>
  <c r="M6180" i="13"/>
  <c r="J6176" i="14" a="1"/>
  <c r="J6176" i="14" s="1"/>
  <c r="N6177" i="14"/>
  <c r="K6014" i="14" l="1"/>
  <c r="L6014" i="14" s="1"/>
  <c r="I6015" i="14" s="1"/>
  <c r="K5992" i="13"/>
  <c r="L5992" i="13" s="1"/>
  <c r="I5993" i="13" s="1"/>
  <c r="N6178" i="14"/>
  <c r="J6177" i="14" a="1"/>
  <c r="J6177" i="14" s="1"/>
  <c r="J6178" i="13" a="1"/>
  <c r="J6178" i="13" s="1"/>
  <c r="N6179" i="13"/>
  <c r="M6182" i="14"/>
  <c r="M6181" i="13"/>
  <c r="K5993" i="13" l="1"/>
  <c r="L5993" i="13" s="1"/>
  <c r="I5994" i="13" s="1"/>
  <c r="K6015" i="14"/>
  <c r="L6015" i="14" s="1"/>
  <c r="I6016" i="14" s="1"/>
  <c r="J6179" i="13" a="1"/>
  <c r="J6179" i="13" s="1"/>
  <c r="N6180" i="13"/>
  <c r="M6182" i="13"/>
  <c r="M6183" i="14"/>
  <c r="N6179" i="14"/>
  <c r="J6178" i="14" a="1"/>
  <c r="J6178" i="14" s="1"/>
  <c r="K6016" i="14" l="1"/>
  <c r="L6016" i="14" s="1"/>
  <c r="I6017" i="14" s="1"/>
  <c r="K5994" i="13"/>
  <c r="L5994" i="13" s="1"/>
  <c r="I5995" i="13" s="1"/>
  <c r="M6183" i="13"/>
  <c r="N6180" i="14"/>
  <c r="J6179" i="14" a="1"/>
  <c r="J6179" i="14" s="1"/>
  <c r="N6181" i="13"/>
  <c r="J6180" i="13" a="1"/>
  <c r="J6180" i="13" s="1"/>
  <c r="M6184" i="14"/>
  <c r="K5995" i="13" l="1"/>
  <c r="L5995" i="13" s="1"/>
  <c r="I5996" i="13" s="1"/>
  <c r="K6017" i="14"/>
  <c r="L6017" i="14" s="1"/>
  <c r="I6018" i="14" s="1"/>
  <c r="M6185" i="14"/>
  <c r="J6180" i="14" a="1"/>
  <c r="J6180" i="14" s="1"/>
  <c r="N6181" i="14"/>
  <c r="N6182" i="13"/>
  <c r="J6181" i="13" a="1"/>
  <c r="J6181" i="13" s="1"/>
  <c r="M6184" i="13"/>
  <c r="K6018" i="14" l="1"/>
  <c r="L6018" i="14" s="1"/>
  <c r="I6019" i="14" s="1"/>
  <c r="K5996" i="13"/>
  <c r="L5996" i="13" s="1"/>
  <c r="I5997" i="13" s="1"/>
  <c r="M6185" i="13"/>
  <c r="N6182" i="14"/>
  <c r="J6181" i="14" a="1"/>
  <c r="J6181" i="14" s="1"/>
  <c r="M6186" i="14"/>
  <c r="J6182" i="13" a="1"/>
  <c r="J6182" i="13" s="1"/>
  <c r="N6183" i="13"/>
  <c r="K5997" i="13" l="1"/>
  <c r="L5997" i="13" s="1"/>
  <c r="I5998" i="13" s="1"/>
  <c r="K6019" i="14"/>
  <c r="L6019" i="14" s="1"/>
  <c r="I6020" i="14" s="1"/>
  <c r="N6183" i="14"/>
  <c r="J6182" i="14" a="1"/>
  <c r="J6182" i="14" s="1"/>
  <c r="N6184" i="13"/>
  <c r="J6183" i="13" a="1"/>
  <c r="J6183" i="13" s="1"/>
  <c r="M6187" i="14"/>
  <c r="M6186" i="13"/>
  <c r="K6020" i="14" l="1"/>
  <c r="L6020" i="14" s="1"/>
  <c r="I6021" i="14" s="1"/>
  <c r="K5998" i="13"/>
  <c r="L5998" i="13" s="1"/>
  <c r="I5999" i="13" s="1"/>
  <c r="N6185" i="13"/>
  <c r="J6184" i="13" a="1"/>
  <c r="J6184" i="13" s="1"/>
  <c r="M6187" i="13"/>
  <c r="M6188" i="14"/>
  <c r="N6184" i="14"/>
  <c r="J6183" i="14" a="1"/>
  <c r="J6183" i="14" s="1"/>
  <c r="K5999" i="13" l="1"/>
  <c r="L5999" i="13" s="1"/>
  <c r="I6000" i="13" s="1"/>
  <c r="K6021" i="14"/>
  <c r="L6021" i="14" s="1"/>
  <c r="I6022" i="14" s="1"/>
  <c r="M6188" i="13"/>
  <c r="J6184" i="14" a="1"/>
  <c r="J6184" i="14" s="1"/>
  <c r="N6185" i="14"/>
  <c r="M6189" i="14"/>
  <c r="N6186" i="13"/>
  <c r="J6185" i="13" a="1"/>
  <c r="J6185" i="13" s="1"/>
  <c r="K6022" i="14" l="1"/>
  <c r="L6022" i="14" s="1"/>
  <c r="I6023" i="14" s="1"/>
  <c r="K6000" i="13"/>
  <c r="L6000" i="13" s="1"/>
  <c r="I6001" i="13" s="1"/>
  <c r="N6186" i="14"/>
  <c r="J6185" i="14" a="1"/>
  <c r="J6185" i="14" s="1"/>
  <c r="M6190" i="14"/>
  <c r="J6186" i="13" a="1"/>
  <c r="J6186" i="13" s="1"/>
  <c r="N6187" i="13"/>
  <c r="M6189" i="13"/>
  <c r="K6001" i="13" l="1"/>
  <c r="L6001" i="13" s="1"/>
  <c r="I6002" i="13" s="1"/>
  <c r="K6023" i="14"/>
  <c r="L6023" i="14" s="1"/>
  <c r="I6024" i="14" s="1"/>
  <c r="N6188" i="13"/>
  <c r="J6187" i="13" a="1"/>
  <c r="J6187" i="13" s="1"/>
  <c r="M6190" i="13"/>
  <c r="M6191" i="14"/>
  <c r="N6187" i="14"/>
  <c r="J6186" i="14" a="1"/>
  <c r="J6186" i="14" s="1"/>
  <c r="K6024" i="14" l="1"/>
  <c r="L6024" i="14" s="1"/>
  <c r="I6025" i="14" s="1"/>
  <c r="K6002" i="13"/>
  <c r="L6002" i="13" s="1"/>
  <c r="I6003" i="13" s="1"/>
  <c r="M6191" i="13"/>
  <c r="N6188" i="14"/>
  <c r="J6187" i="14" a="1"/>
  <c r="J6187" i="14" s="1"/>
  <c r="M6192" i="14"/>
  <c r="N6189" i="13"/>
  <c r="J6188" i="13" a="1"/>
  <c r="J6188" i="13" s="1"/>
  <c r="K6003" i="13" l="1"/>
  <c r="L6003" i="13" s="1"/>
  <c r="I6004" i="13" s="1"/>
  <c r="K6025" i="14"/>
  <c r="L6025" i="14" s="1"/>
  <c r="I6026" i="14" s="1"/>
  <c r="N6189" i="14"/>
  <c r="J6188" i="14" a="1"/>
  <c r="J6188" i="14" s="1"/>
  <c r="M6193" i="14"/>
  <c r="N6190" i="13"/>
  <c r="J6189" i="13" a="1"/>
  <c r="J6189" i="13" s="1"/>
  <c r="M6192" i="13"/>
  <c r="K6026" i="14" l="1"/>
  <c r="L6026" i="14" s="1"/>
  <c r="I6027" i="14" s="1"/>
  <c r="K6004" i="13"/>
  <c r="L6004" i="13" s="1"/>
  <c r="I6005" i="13" s="1"/>
  <c r="M6194" i="14"/>
  <c r="M6193" i="13"/>
  <c r="J6190" i="13" a="1"/>
  <c r="J6190" i="13" s="1"/>
  <c r="N6191" i="13"/>
  <c r="J6189" i="14" a="1"/>
  <c r="J6189" i="14" s="1"/>
  <c r="N6190" i="14"/>
  <c r="K6005" i="13" l="1"/>
  <c r="L6005" i="13" s="1"/>
  <c r="I6006" i="13" s="1"/>
  <c r="K6027" i="14"/>
  <c r="L6027" i="14" s="1"/>
  <c r="I6028" i="14" s="1"/>
  <c r="N6191" i="14"/>
  <c r="J6190" i="14" a="1"/>
  <c r="J6190" i="14" s="1"/>
  <c r="M6194" i="13"/>
  <c r="N6192" i="13"/>
  <c r="J6191" i="13" a="1"/>
  <c r="J6191" i="13" s="1"/>
  <c r="M6195" i="14"/>
  <c r="K6028" i="14" l="1"/>
  <c r="L6028" i="14" s="1"/>
  <c r="I6029" i="14" s="1"/>
  <c r="K6006" i="13"/>
  <c r="L6006" i="13" s="1"/>
  <c r="I6007" i="13" s="1"/>
  <c r="M6196" i="14"/>
  <c r="M6195" i="13"/>
  <c r="N6193" i="13"/>
  <c r="J6192" i="13" a="1"/>
  <c r="J6192" i="13" s="1"/>
  <c r="J6191" i="14" a="1"/>
  <c r="J6191" i="14" s="1"/>
  <c r="N6192" i="14"/>
  <c r="K6007" i="13" l="1"/>
  <c r="L6007" i="13" s="1"/>
  <c r="I6008" i="13" s="1"/>
  <c r="K6029" i="14"/>
  <c r="L6029" i="14" s="1"/>
  <c r="I6030" i="14" s="1"/>
  <c r="J6192" i="14" a="1"/>
  <c r="J6192" i="14" s="1"/>
  <c r="N6193" i="14"/>
  <c r="M6196" i="13"/>
  <c r="N6194" i="13"/>
  <c r="J6193" i="13" a="1"/>
  <c r="J6193" i="13" s="1"/>
  <c r="M6197" i="14"/>
  <c r="K6030" i="14" l="1"/>
  <c r="L6030" i="14" s="1"/>
  <c r="I6031" i="14" s="1"/>
  <c r="K6008" i="13"/>
  <c r="L6008" i="13" s="1"/>
  <c r="I6009" i="13" s="1"/>
  <c r="M6198" i="14"/>
  <c r="M6197" i="13"/>
  <c r="J6194" i="13" a="1"/>
  <c r="J6194" i="13" s="1"/>
  <c r="N6195" i="13"/>
  <c r="J6193" i="14" a="1"/>
  <c r="J6193" i="14" s="1"/>
  <c r="N6194" i="14"/>
  <c r="K6009" i="13" l="1"/>
  <c r="L6009" i="13" s="1"/>
  <c r="I6010" i="13" s="1"/>
  <c r="K6031" i="14"/>
  <c r="L6031" i="14" s="1"/>
  <c r="I6032" i="14" s="1"/>
  <c r="N6195" i="14"/>
  <c r="J6194" i="14" a="1"/>
  <c r="J6194" i="14" s="1"/>
  <c r="M6198" i="13"/>
  <c r="N6196" i="13"/>
  <c r="J6195" i="13" a="1"/>
  <c r="J6195" i="13" s="1"/>
  <c r="M6199" i="14"/>
  <c r="K6032" i="14" l="1"/>
  <c r="L6032" i="14" s="1"/>
  <c r="I6033" i="14" s="1"/>
  <c r="K6010" i="13"/>
  <c r="L6010" i="13" s="1"/>
  <c r="I6011" i="13" s="1"/>
  <c r="M6199" i="13"/>
  <c r="N6197" i="13"/>
  <c r="J6196" i="13" a="1"/>
  <c r="J6196" i="13" s="1"/>
  <c r="M6200" i="14"/>
  <c r="J6195" i="14" a="1"/>
  <c r="J6195" i="14" s="1"/>
  <c r="N6196" i="14"/>
  <c r="K6011" i="13" l="1"/>
  <c r="L6011" i="13" s="1"/>
  <c r="I6012" i="13" s="1"/>
  <c r="K6033" i="14"/>
  <c r="L6033" i="14" s="1"/>
  <c r="I6034" i="14" s="1"/>
  <c r="N6198" i="13"/>
  <c r="J6197" i="13" a="1"/>
  <c r="J6197" i="13" s="1"/>
  <c r="J6196" i="14" a="1"/>
  <c r="J6196" i="14" s="1"/>
  <c r="N6197" i="14"/>
  <c r="M6201" i="14"/>
  <c r="M6200" i="13"/>
  <c r="K6034" i="14" l="1"/>
  <c r="L6034" i="14" s="1"/>
  <c r="I6035" i="14" s="1"/>
  <c r="K6012" i="13"/>
  <c r="L6012" i="13" s="1"/>
  <c r="I6013" i="13" s="1"/>
  <c r="M6201" i="13"/>
  <c r="J6197" i="14" a="1"/>
  <c r="J6197" i="14" s="1"/>
  <c r="N6198" i="14"/>
  <c r="M6202" i="14"/>
  <c r="J6198" i="13" a="1"/>
  <c r="J6198" i="13" s="1"/>
  <c r="N6199" i="13"/>
  <c r="K6013" i="13" l="1"/>
  <c r="L6013" i="13" s="1"/>
  <c r="I6014" i="13" s="1"/>
  <c r="K6035" i="14"/>
  <c r="L6035" i="14" s="1"/>
  <c r="I6036" i="14" s="1"/>
  <c r="N6199" i="14"/>
  <c r="J6198" i="14" a="1"/>
  <c r="J6198" i="14" s="1"/>
  <c r="N6200" i="13"/>
  <c r="J6199" i="13" a="1"/>
  <c r="J6199" i="13" s="1"/>
  <c r="M6203" i="14"/>
  <c r="M6202" i="13"/>
  <c r="K6036" i="14" l="1"/>
  <c r="L6036" i="14" s="1"/>
  <c r="I6037" i="14" s="1"/>
  <c r="K6014" i="13"/>
  <c r="L6014" i="13" s="1"/>
  <c r="I6015" i="13" s="1"/>
  <c r="N6201" i="13"/>
  <c r="J6200" i="13" a="1"/>
  <c r="J6200" i="13" s="1"/>
  <c r="M6203" i="13"/>
  <c r="M6204" i="14"/>
  <c r="J6199" i="14" a="1"/>
  <c r="J6199" i="14" s="1"/>
  <c r="N6200" i="14"/>
  <c r="K6015" i="13" l="1"/>
  <c r="L6015" i="13" s="1"/>
  <c r="I6016" i="13" s="1"/>
  <c r="J6200" i="14" a="1"/>
  <c r="J6200" i="14" s="1"/>
  <c r="N6201" i="14"/>
  <c r="M6204" i="13"/>
  <c r="M6205" i="14"/>
  <c r="N6202" i="13"/>
  <c r="J6201" i="13" a="1"/>
  <c r="J6201" i="13" s="1"/>
  <c r="K6037" i="14"/>
  <c r="L6037" i="14" s="1"/>
  <c r="I6038" i="14" s="1"/>
  <c r="K6038" i="14" l="1"/>
  <c r="L6038" i="14" s="1"/>
  <c r="I6039" i="14" s="1"/>
  <c r="K6016" i="13"/>
  <c r="L6016" i="13" s="1"/>
  <c r="I6017" i="13" s="1"/>
  <c r="M6206" i="14"/>
  <c r="N6202" i="14"/>
  <c r="J6201" i="14" a="1"/>
  <c r="J6201" i="14" s="1"/>
  <c r="M6205" i="13"/>
  <c r="J6202" i="13" a="1"/>
  <c r="J6202" i="13" s="1"/>
  <c r="N6203" i="13"/>
  <c r="K6039" i="14" l="1"/>
  <c r="L6039" i="14" s="1"/>
  <c r="I6040" i="14" s="1"/>
  <c r="N6204" i="13"/>
  <c r="J6203" i="13" a="1"/>
  <c r="J6203" i="13" s="1"/>
  <c r="N6203" i="14"/>
  <c r="J6202" i="14" a="1"/>
  <c r="J6202" i="14" s="1"/>
  <c r="K6017" i="13"/>
  <c r="L6017" i="13" s="1"/>
  <c r="I6018" i="13" s="1"/>
  <c r="M6206" i="13"/>
  <c r="M6207" i="14"/>
  <c r="K6040" i="14" l="1"/>
  <c r="L6040" i="14" s="1"/>
  <c r="I6041" i="14" s="1"/>
  <c r="M6208" i="14"/>
  <c r="N6205" i="13"/>
  <c r="J6204" i="13" a="1"/>
  <c r="J6204" i="13" s="1"/>
  <c r="M6207" i="13"/>
  <c r="K6018" i="13"/>
  <c r="L6018" i="13" s="1"/>
  <c r="I6019" i="13" s="1"/>
  <c r="J6203" i="14" a="1"/>
  <c r="J6203" i="14" s="1"/>
  <c r="N6204" i="14"/>
  <c r="K6019" i="13" l="1"/>
  <c r="L6019" i="13" s="1"/>
  <c r="I6020" i="13" s="1"/>
  <c r="K6041" i="14"/>
  <c r="L6041" i="14" s="1"/>
  <c r="I6042" i="14" s="1"/>
  <c r="N6205" i="14"/>
  <c r="J6204" i="14" a="1"/>
  <c r="J6204" i="14" s="1"/>
  <c r="M6208" i="13"/>
  <c r="M6209" i="14"/>
  <c r="N6206" i="13"/>
  <c r="J6205" i="13" a="1"/>
  <c r="J6205" i="13" s="1"/>
  <c r="K6020" i="13" l="1"/>
  <c r="L6020" i="13" s="1"/>
  <c r="I6021" i="13" s="1"/>
  <c r="M6209" i="13"/>
  <c r="K6042" i="14"/>
  <c r="L6042" i="14" s="1"/>
  <c r="I6043" i="14" s="1"/>
  <c r="M6210" i="14"/>
  <c r="J6206" i="13" a="1"/>
  <c r="J6206" i="13" s="1"/>
  <c r="N6207" i="13"/>
  <c r="N6206" i="14"/>
  <c r="J6205" i="14" a="1"/>
  <c r="J6205" i="14" s="1"/>
  <c r="K6043" i="14" l="1"/>
  <c r="L6043" i="14" s="1"/>
  <c r="I6044" i="14" s="1"/>
  <c r="K6021" i="13"/>
  <c r="L6021" i="13" s="1"/>
  <c r="I6022" i="13" s="1"/>
  <c r="N6207" i="14"/>
  <c r="J6206" i="14" a="1"/>
  <c r="J6206" i="14" s="1"/>
  <c r="M6211" i="14"/>
  <c r="M6210" i="13"/>
  <c r="N6208" i="13"/>
  <c r="J6207" i="13" a="1"/>
  <c r="J6207" i="13" s="1"/>
  <c r="K6022" i="13" l="1"/>
  <c r="L6022" i="13" s="1"/>
  <c r="I6023" i="13" s="1"/>
  <c r="K6044" i="14"/>
  <c r="L6044" i="14" s="1"/>
  <c r="I6045" i="14" s="1"/>
  <c r="N6209" i="13"/>
  <c r="J6208" i="13" a="1"/>
  <c r="J6208" i="13" s="1"/>
  <c r="M6212" i="14"/>
  <c r="M6211" i="13"/>
  <c r="J6207" i="14" a="1"/>
  <c r="J6207" i="14" s="1"/>
  <c r="N6208" i="14"/>
  <c r="K6045" i="14" l="1"/>
  <c r="L6045" i="14" s="1"/>
  <c r="I6046" i="14" s="1"/>
  <c r="K6023" i="13"/>
  <c r="L6023" i="13" s="1"/>
  <c r="I6024" i="13" s="1"/>
  <c r="N6209" i="14"/>
  <c r="J6208" i="14" a="1"/>
  <c r="J6208" i="14" s="1"/>
  <c r="M6213" i="14"/>
  <c r="M6212" i="13"/>
  <c r="N6210" i="13"/>
  <c r="J6209" i="13" a="1"/>
  <c r="J6209" i="13" s="1"/>
  <c r="K6024" i="13" l="1"/>
  <c r="L6024" i="13" s="1"/>
  <c r="I6025" i="13" s="1"/>
  <c r="K6046" i="14"/>
  <c r="L6046" i="14" s="1"/>
  <c r="I6047" i="14" s="1"/>
  <c r="M6214" i="14"/>
  <c r="J6210" i="13" a="1"/>
  <c r="J6210" i="13" s="1"/>
  <c r="N6211" i="13"/>
  <c r="M6213" i="13"/>
  <c r="N6210" i="14"/>
  <c r="J6209" i="14" a="1"/>
  <c r="J6209" i="14" s="1"/>
  <c r="K6025" i="13" l="1"/>
  <c r="L6025" i="13" s="1"/>
  <c r="I6026" i="13" s="1"/>
  <c r="N6212" i="13"/>
  <c r="J6211" i="13" a="1"/>
  <c r="J6211" i="13" s="1"/>
  <c r="K6047" i="14"/>
  <c r="L6047" i="14" s="1"/>
  <c r="I6048" i="14" s="1"/>
  <c r="N6211" i="14"/>
  <c r="J6210" i="14" a="1"/>
  <c r="J6210" i="14" s="1"/>
  <c r="M6214" i="13"/>
  <c r="M6215" i="14"/>
  <c r="K6048" i="14" l="1"/>
  <c r="L6048" i="14" s="1"/>
  <c r="I6049" i="14" s="1"/>
  <c r="K6026" i="13"/>
  <c r="L6026" i="13" s="1"/>
  <c r="I6027" i="13" s="1"/>
  <c r="M6216" i="14"/>
  <c r="N6213" i="13"/>
  <c r="J6212" i="13" a="1"/>
  <c r="J6212" i="13" s="1"/>
  <c r="J6211" i="14" a="1"/>
  <c r="J6211" i="14" s="1"/>
  <c r="N6212" i="14"/>
  <c r="M6215" i="13"/>
  <c r="K6027" i="13" l="1"/>
  <c r="L6027" i="13" s="1"/>
  <c r="I6028" i="13" s="1"/>
  <c r="K6049" i="14"/>
  <c r="L6049" i="14" s="1"/>
  <c r="I6050" i="14" s="1"/>
  <c r="N6214" i="13"/>
  <c r="J6213" i="13" a="1"/>
  <c r="J6213" i="13" s="1"/>
  <c r="N6213" i="14"/>
  <c r="J6212" i="14" a="1"/>
  <c r="J6212" i="14" s="1"/>
  <c r="M6217" i="14"/>
  <c r="M6216" i="13"/>
  <c r="K6050" i="14" l="1"/>
  <c r="L6050" i="14" s="1"/>
  <c r="I6051" i="14" s="1"/>
  <c r="K6028" i="13"/>
  <c r="L6028" i="13" s="1"/>
  <c r="I6029" i="13" s="1"/>
  <c r="N6214" i="14"/>
  <c r="J6213" i="14" a="1"/>
  <c r="J6213" i="14" s="1"/>
  <c r="M6217" i="13"/>
  <c r="M6218" i="14"/>
  <c r="J6214" i="13" a="1"/>
  <c r="J6214" i="13" s="1"/>
  <c r="N6215" i="13"/>
  <c r="K6029" i="13" l="1"/>
  <c r="L6029" i="13" s="1"/>
  <c r="I6030" i="13" s="1"/>
  <c r="K6051" i="14"/>
  <c r="L6051" i="14" s="1"/>
  <c r="I6052" i="14" s="1"/>
  <c r="N6216" i="13"/>
  <c r="J6215" i="13" a="1"/>
  <c r="J6215" i="13" s="1"/>
  <c r="M6218" i="13"/>
  <c r="M6219" i="14"/>
  <c r="N6215" i="14"/>
  <c r="J6214" i="14" a="1"/>
  <c r="J6214" i="14" s="1"/>
  <c r="K6052" i="14" l="1"/>
  <c r="L6052" i="14" s="1"/>
  <c r="I6053" i="14" s="1"/>
  <c r="K6030" i="13"/>
  <c r="L6030" i="13" s="1"/>
  <c r="I6031" i="13" s="1"/>
  <c r="J6215" i="14" a="1"/>
  <c r="J6215" i="14" s="1"/>
  <c r="N6216" i="14"/>
  <c r="M6219" i="13"/>
  <c r="M6220" i="14"/>
  <c r="N6217" i="13"/>
  <c r="J6216" i="13" a="1"/>
  <c r="J6216" i="13" s="1"/>
  <c r="K6031" i="13" l="1"/>
  <c r="L6031" i="13" s="1"/>
  <c r="I6032" i="13" s="1"/>
  <c r="K6053" i="14"/>
  <c r="L6053" i="14" s="1"/>
  <c r="I6054" i="14" s="1"/>
  <c r="M6220" i="13"/>
  <c r="N6218" i="13"/>
  <c r="J6217" i="13" a="1"/>
  <c r="J6217" i="13" s="1"/>
  <c r="N6217" i="14"/>
  <c r="J6216" i="14" a="1"/>
  <c r="J6216" i="14" s="1"/>
  <c r="M6221" i="14"/>
  <c r="K6054" i="14" l="1"/>
  <c r="L6054" i="14" s="1"/>
  <c r="I6055" i="14" s="1"/>
  <c r="K6032" i="13"/>
  <c r="L6032" i="13" s="1"/>
  <c r="I6033" i="13" s="1"/>
  <c r="M6222" i="14"/>
  <c r="J6218" i="13" a="1"/>
  <c r="J6218" i="13" s="1"/>
  <c r="N6219" i="13"/>
  <c r="M6221" i="13"/>
  <c r="N6218" i="14"/>
  <c r="J6217" i="14" a="1"/>
  <c r="J6217" i="14" s="1"/>
  <c r="K6033" i="13" l="1"/>
  <c r="L6033" i="13" s="1"/>
  <c r="I6034" i="13" s="1"/>
  <c r="K6055" i="14"/>
  <c r="L6055" i="14" s="1"/>
  <c r="I6056" i="14" s="1"/>
  <c r="N6220" i="13"/>
  <c r="J6219" i="13" a="1"/>
  <c r="J6219" i="13" s="1"/>
  <c r="N6219" i="14"/>
  <c r="J6218" i="14" a="1"/>
  <c r="J6218" i="14" s="1"/>
  <c r="M6222" i="13"/>
  <c r="M6223" i="14"/>
  <c r="K6056" i="14" l="1"/>
  <c r="L6056" i="14" s="1"/>
  <c r="I6057" i="14" s="1"/>
  <c r="K6034" i="13"/>
  <c r="L6034" i="13" s="1"/>
  <c r="I6035" i="13" s="1"/>
  <c r="J6219" i="14" a="1"/>
  <c r="J6219" i="14" s="1"/>
  <c r="N6220" i="14"/>
  <c r="M6224" i="14"/>
  <c r="M6223" i="13"/>
  <c r="N6221" i="13"/>
  <c r="J6220" i="13" a="1"/>
  <c r="J6220" i="13" s="1"/>
  <c r="K6035" i="13" l="1"/>
  <c r="L6035" i="13" s="1"/>
  <c r="I6036" i="13" s="1"/>
  <c r="K6057" i="14"/>
  <c r="L6057" i="14" s="1"/>
  <c r="I6058" i="14" s="1"/>
  <c r="N6222" i="13"/>
  <c r="J6221" i="13" a="1"/>
  <c r="J6221" i="13" s="1"/>
  <c r="M6225" i="14"/>
  <c r="J6220" i="14" a="1"/>
  <c r="J6220" i="14" s="1"/>
  <c r="N6221" i="14"/>
  <c r="M6224" i="13"/>
  <c r="K6058" i="14" l="1"/>
  <c r="L6058" i="14" s="1"/>
  <c r="I6059" i="14" s="1"/>
  <c r="K6036" i="13"/>
  <c r="L6036" i="13" s="1"/>
  <c r="I6037" i="13" s="1"/>
  <c r="M6225" i="13"/>
  <c r="M6226" i="14"/>
  <c r="N6222" i="14"/>
  <c r="J6221" i="14" a="1"/>
  <c r="J6221" i="14" s="1"/>
  <c r="J6222" i="13" a="1"/>
  <c r="J6222" i="13" s="1"/>
  <c r="N6223" i="13"/>
  <c r="K6037" i="13" l="1"/>
  <c r="L6037" i="13" s="1"/>
  <c r="I6038" i="13" s="1"/>
  <c r="K6059" i="14"/>
  <c r="L6059" i="14" s="1"/>
  <c r="I6060" i="14" s="1"/>
  <c r="N6224" i="13"/>
  <c r="J6223" i="13" a="1"/>
  <c r="J6223" i="13" s="1"/>
  <c r="M6227" i="14"/>
  <c r="N6223" i="14"/>
  <c r="J6222" i="14" a="1"/>
  <c r="J6222" i="14" s="1"/>
  <c r="M6226" i="13"/>
  <c r="K6060" i="14" l="1"/>
  <c r="L6060" i="14" s="1"/>
  <c r="I6061" i="14" s="1"/>
  <c r="K6038" i="13"/>
  <c r="L6038" i="13" s="1"/>
  <c r="I6039" i="13" s="1"/>
  <c r="M6227" i="13"/>
  <c r="M6228" i="14"/>
  <c r="J6223" i="14" a="1"/>
  <c r="J6223" i="14" s="1"/>
  <c r="N6224" i="14"/>
  <c r="J6224" i="13" a="1"/>
  <c r="J6224" i="13" s="1"/>
  <c r="N6225" i="13"/>
  <c r="K6039" i="13" l="1"/>
  <c r="L6039" i="13" s="1"/>
  <c r="I6040" i="13" s="1"/>
  <c r="K6061" i="14"/>
  <c r="L6061" i="14" s="1"/>
  <c r="I6062" i="14" s="1"/>
  <c r="N6226" i="13"/>
  <c r="J6225" i="13" a="1"/>
  <c r="J6225" i="13" s="1"/>
  <c r="M6229" i="14"/>
  <c r="J6224" i="14" a="1"/>
  <c r="J6224" i="14" s="1"/>
  <c r="N6225" i="14"/>
  <c r="M6228" i="13"/>
  <c r="K6062" i="14" l="1"/>
  <c r="L6062" i="14" s="1"/>
  <c r="I6063" i="14" s="1"/>
  <c r="K6040" i="13"/>
  <c r="L6040" i="13" s="1"/>
  <c r="I6041" i="13" s="1"/>
  <c r="M6229" i="13"/>
  <c r="M6230" i="14"/>
  <c r="N6226" i="14"/>
  <c r="J6225" i="14" a="1"/>
  <c r="J6225" i="14" s="1"/>
  <c r="J6226" i="13" a="1"/>
  <c r="J6226" i="13" s="1"/>
  <c r="N6227" i="13"/>
  <c r="K6041" i="13" l="1"/>
  <c r="L6041" i="13" s="1"/>
  <c r="I6042" i="13" s="1"/>
  <c r="K6063" i="14"/>
  <c r="L6063" i="14" s="1"/>
  <c r="I6064" i="14" s="1"/>
  <c r="J6227" i="13" a="1"/>
  <c r="J6227" i="13" s="1"/>
  <c r="N6228" i="13"/>
  <c r="M6231" i="14"/>
  <c r="N6227" i="14"/>
  <c r="J6226" i="14" a="1"/>
  <c r="J6226" i="14" s="1"/>
  <c r="M6230" i="13"/>
  <c r="K6064" i="14" l="1"/>
  <c r="L6064" i="14" s="1"/>
  <c r="I6065" i="14" s="1"/>
  <c r="K6042" i="13"/>
  <c r="L6042" i="13" s="1"/>
  <c r="I6043" i="13" s="1"/>
  <c r="M6231" i="13"/>
  <c r="J6227" i="14" a="1"/>
  <c r="J6227" i="14" s="1"/>
  <c r="N6228" i="14"/>
  <c r="M6232" i="14"/>
  <c r="N6229" i="13"/>
  <c r="J6228" i="13" a="1"/>
  <c r="J6228" i="13" s="1"/>
  <c r="K6043" i="13" l="1"/>
  <c r="L6043" i="13" s="1"/>
  <c r="I6044" i="13" s="1"/>
  <c r="K6065" i="14"/>
  <c r="L6065" i="14" s="1"/>
  <c r="I6066" i="14" s="1"/>
  <c r="J6228" i="14" a="1"/>
  <c r="J6228" i="14" s="1"/>
  <c r="N6229" i="14"/>
  <c r="N6230" i="13"/>
  <c r="J6229" i="13" a="1"/>
  <c r="J6229" i="13" s="1"/>
  <c r="M6233" i="14"/>
  <c r="M6232" i="13"/>
  <c r="K6066" i="14" l="1"/>
  <c r="L6066" i="14" s="1"/>
  <c r="I6067" i="14" s="1"/>
  <c r="K6044" i="13"/>
  <c r="L6044" i="13" s="1"/>
  <c r="I6045" i="13" s="1"/>
  <c r="J6230" i="13" a="1"/>
  <c r="J6230" i="13" s="1"/>
  <c r="N6231" i="13"/>
  <c r="M6233" i="13"/>
  <c r="M6234" i="14"/>
  <c r="N6230" i="14"/>
  <c r="J6229" i="14" a="1"/>
  <c r="J6229" i="14" s="1"/>
  <c r="K6045" i="13" l="1"/>
  <c r="L6045" i="13" s="1"/>
  <c r="I6046" i="13" s="1"/>
  <c r="K6067" i="14"/>
  <c r="L6067" i="14" s="1"/>
  <c r="I6068" i="14" s="1"/>
  <c r="N6231" i="14"/>
  <c r="J6230" i="14" a="1"/>
  <c r="J6230" i="14" s="1"/>
  <c r="M6234" i="13"/>
  <c r="N6232" i="13"/>
  <c r="J6231" i="13" a="1"/>
  <c r="J6231" i="13" s="1"/>
  <c r="M6235" i="14"/>
  <c r="K6068" i="14" l="1"/>
  <c r="L6068" i="14" s="1"/>
  <c r="I6069" i="14" s="1"/>
  <c r="K6046" i="13"/>
  <c r="L6046" i="13" s="1"/>
  <c r="I6047" i="13" s="1"/>
  <c r="M6236" i="14"/>
  <c r="M6235" i="13"/>
  <c r="N6233" i="13"/>
  <c r="J6232" i="13" a="1"/>
  <c r="J6232" i="13" s="1"/>
  <c r="J6231" i="14" a="1"/>
  <c r="J6231" i="14" s="1"/>
  <c r="N6232" i="14"/>
  <c r="K6047" i="13" l="1"/>
  <c r="L6047" i="13" s="1"/>
  <c r="I6048" i="13" s="1"/>
  <c r="K6069" i="14"/>
  <c r="L6069" i="14" s="1"/>
  <c r="I6070" i="14" s="1"/>
  <c r="N6233" i="14"/>
  <c r="J6232" i="14" a="1"/>
  <c r="J6232" i="14" s="1"/>
  <c r="M6236" i="13"/>
  <c r="M6237" i="14"/>
  <c r="N6234" i="13"/>
  <c r="J6233" i="13" a="1"/>
  <c r="J6233" i="13" s="1"/>
  <c r="K6070" i="14" l="1"/>
  <c r="L6070" i="14" s="1"/>
  <c r="I6071" i="14" s="1"/>
  <c r="K6048" i="13"/>
  <c r="L6048" i="13" s="1"/>
  <c r="I6049" i="13" s="1"/>
  <c r="M6237" i="13"/>
  <c r="J6234" i="13" a="1"/>
  <c r="J6234" i="13" s="1"/>
  <c r="N6235" i="13"/>
  <c r="M6238" i="14"/>
  <c r="J6233" i="14" a="1"/>
  <c r="J6233" i="14" s="1"/>
  <c r="N6234" i="14"/>
  <c r="K6049" i="13" l="1"/>
  <c r="L6049" i="13" s="1"/>
  <c r="I6050" i="13" s="1"/>
  <c r="K6071" i="14"/>
  <c r="L6071" i="14" s="1"/>
  <c r="I6072" i="14" s="1"/>
  <c r="N6236" i="13"/>
  <c r="J6235" i="13" a="1"/>
  <c r="J6235" i="13" s="1"/>
  <c r="N6235" i="14"/>
  <c r="J6234" i="14" a="1"/>
  <c r="J6234" i="14" s="1"/>
  <c r="M6239" i="14"/>
  <c r="M6238" i="13"/>
  <c r="K6050" i="13" l="1"/>
  <c r="L6050" i="13" s="1"/>
  <c r="I6051" i="13" s="1"/>
  <c r="M6239" i="13"/>
  <c r="J6235" i="14" a="1"/>
  <c r="J6235" i="14" s="1"/>
  <c r="N6236" i="14"/>
  <c r="K6072" i="14"/>
  <c r="L6072" i="14" s="1"/>
  <c r="I6073" i="14" s="1"/>
  <c r="M6240" i="14"/>
  <c r="N6237" i="13"/>
  <c r="J6236" i="13" a="1"/>
  <c r="J6236" i="13" s="1"/>
  <c r="K6051" i="13" l="1"/>
  <c r="L6051" i="13" s="1"/>
  <c r="I6052" i="13" s="1"/>
  <c r="M6240" i="13"/>
  <c r="N6238" i="13"/>
  <c r="J6237" i="13" a="1"/>
  <c r="J6237" i="13" s="1"/>
  <c r="K6073" i="14"/>
  <c r="L6073" i="14" s="1"/>
  <c r="I6074" i="14" s="1"/>
  <c r="J6236" i="14" a="1"/>
  <c r="J6236" i="14" s="1"/>
  <c r="N6237" i="14"/>
  <c r="M6241" i="14"/>
  <c r="K6074" i="14" l="1"/>
  <c r="L6074" i="14" s="1"/>
  <c r="I6075" i="14" s="1"/>
  <c r="K6052" i="13"/>
  <c r="L6052" i="13" s="1"/>
  <c r="I6053" i="13" s="1"/>
  <c r="M6242" i="14"/>
  <c r="M6241" i="13"/>
  <c r="J6237" i="14" a="1"/>
  <c r="J6237" i="14" s="1"/>
  <c r="N6238" i="14"/>
  <c r="J6238" i="13" a="1"/>
  <c r="J6238" i="13" s="1"/>
  <c r="N6239" i="13"/>
  <c r="K6053" i="13" l="1"/>
  <c r="L6053" i="13" s="1"/>
  <c r="I6054" i="13" s="1"/>
  <c r="K6075" i="14"/>
  <c r="L6075" i="14" s="1"/>
  <c r="I6076" i="14" s="1"/>
  <c r="N6240" i="13"/>
  <c r="J6239" i="13" a="1"/>
  <c r="J6239" i="13" s="1"/>
  <c r="M6242" i="13"/>
  <c r="N6239" i="14"/>
  <c r="J6238" i="14" a="1"/>
  <c r="J6238" i="14" s="1"/>
  <c r="M6243" i="14"/>
  <c r="K6076" i="14" l="1"/>
  <c r="L6076" i="14" s="1"/>
  <c r="I6077" i="14" s="1"/>
  <c r="K6054" i="13"/>
  <c r="L6054" i="13" s="1"/>
  <c r="I6055" i="13" s="1"/>
  <c r="M6243" i="13"/>
  <c r="M6244" i="14"/>
  <c r="J6239" i="14" a="1"/>
  <c r="J6239" i="14" s="1"/>
  <c r="N6240" i="14"/>
  <c r="J6240" i="13" a="1"/>
  <c r="J6240" i="13" s="1"/>
  <c r="N6241" i="13"/>
  <c r="K6055" i="13" l="1"/>
  <c r="L6055" i="13" s="1"/>
  <c r="I6056" i="13" s="1"/>
  <c r="K6077" i="14"/>
  <c r="L6077" i="14" s="1"/>
  <c r="I6078" i="14" s="1"/>
  <c r="N6242" i="13"/>
  <c r="J6241" i="13" a="1"/>
  <c r="J6241" i="13" s="1"/>
  <c r="M6245" i="14"/>
  <c r="J6240" i="14" a="1"/>
  <c r="J6240" i="14" s="1"/>
  <c r="N6241" i="14"/>
  <c r="M6244" i="13"/>
  <c r="K6078" i="14" l="1"/>
  <c r="L6078" i="14" s="1"/>
  <c r="I6079" i="14" s="1"/>
  <c r="K6056" i="13"/>
  <c r="L6056" i="13" s="1"/>
  <c r="I6057" i="13" s="1"/>
  <c r="J6241" i="14" a="1"/>
  <c r="J6241" i="14" s="1"/>
  <c r="N6242" i="14"/>
  <c r="M6245" i="13"/>
  <c r="M6246" i="14"/>
  <c r="J6242" i="13" a="1"/>
  <c r="J6242" i="13" s="1"/>
  <c r="N6243" i="13"/>
  <c r="K6057" i="13" l="1"/>
  <c r="L6057" i="13" s="1"/>
  <c r="I6058" i="13" s="1"/>
  <c r="K6079" i="14"/>
  <c r="L6079" i="14" s="1"/>
  <c r="I6080" i="14" s="1"/>
  <c r="J6243" i="13" a="1"/>
  <c r="J6243" i="13" s="1"/>
  <c r="N6244" i="13"/>
  <c r="M6246" i="13"/>
  <c r="N6243" i="14"/>
  <c r="J6242" i="14" a="1"/>
  <c r="J6242" i="14" s="1"/>
  <c r="M6247" i="14"/>
  <c r="K6080" i="14" l="1"/>
  <c r="L6080" i="14" s="1"/>
  <c r="I6081" i="14" s="1"/>
  <c r="K6058" i="13"/>
  <c r="L6058" i="13" s="1"/>
  <c r="I6059" i="13" s="1"/>
  <c r="M6247" i="13"/>
  <c r="M6248" i="14"/>
  <c r="N6245" i="13"/>
  <c r="J6244" i="13" a="1"/>
  <c r="J6244" i="13" s="1"/>
  <c r="J6243" i="14" a="1"/>
  <c r="J6243" i="14" s="1"/>
  <c r="N6244" i="14"/>
  <c r="K6059" i="13" l="1"/>
  <c r="L6059" i="13" s="1"/>
  <c r="I6060" i="13" s="1"/>
  <c r="K6081" i="14"/>
  <c r="L6081" i="14" s="1"/>
  <c r="I6082" i="14" s="1"/>
  <c r="M6249" i="14"/>
  <c r="N6245" i="14"/>
  <c r="J6244" i="14" a="1"/>
  <c r="J6244" i="14" s="1"/>
  <c r="N6246" i="13"/>
  <c r="J6245" i="13" a="1"/>
  <c r="J6245" i="13" s="1"/>
  <c r="M6248" i="13"/>
  <c r="K6082" i="14" l="1"/>
  <c r="L6082" i="14" s="1"/>
  <c r="I6083" i="14" s="1"/>
  <c r="K6060" i="13"/>
  <c r="L6060" i="13" s="1"/>
  <c r="I6061" i="13" s="1"/>
  <c r="N6246" i="14"/>
  <c r="J6245" i="14" a="1"/>
  <c r="J6245" i="14" s="1"/>
  <c r="M6250" i="14"/>
  <c r="M6249" i="13"/>
  <c r="J6246" i="13" a="1"/>
  <c r="J6246" i="13" s="1"/>
  <c r="N6247" i="13"/>
  <c r="K6061" i="13" l="1"/>
  <c r="L6061" i="13" s="1"/>
  <c r="I6062" i="13" s="1"/>
  <c r="K6083" i="14"/>
  <c r="L6083" i="14" s="1"/>
  <c r="I6084" i="14" s="1"/>
  <c r="N6248" i="13"/>
  <c r="J6247" i="13" a="1"/>
  <c r="J6247" i="13" s="1"/>
  <c r="M6250" i="13"/>
  <c r="N6247" i="14"/>
  <c r="J6246" i="14" a="1"/>
  <c r="J6246" i="14" s="1"/>
  <c r="K6084" i="14" l="1"/>
  <c r="L6084" i="14" s="1"/>
  <c r="I6085" i="14" s="1"/>
  <c r="K6062" i="13"/>
  <c r="L6062" i="13" s="1"/>
  <c r="I6063" i="13" s="1"/>
  <c r="J6247" i="14" a="1"/>
  <c r="J6247" i="14" s="1"/>
  <c r="N6248" i="14"/>
  <c r="N6249" i="13"/>
  <c r="J6248" i="13" a="1"/>
  <c r="J6248" i="13" s="1"/>
  <c r="K6063" i="13" l="1"/>
  <c r="L6063" i="13" s="1"/>
  <c r="I6064" i="13" s="1"/>
  <c r="K6085" i="14"/>
  <c r="L6085" i="14" s="1"/>
  <c r="I6086" i="14" s="1"/>
  <c r="N6250" i="13"/>
  <c r="J6249" i="13" a="1"/>
  <c r="J6249" i="13" s="1"/>
  <c r="J6248" i="14" a="1"/>
  <c r="J6248" i="14" s="1"/>
  <c r="N6249" i="14"/>
  <c r="K6086" i="14" l="1"/>
  <c r="L6086" i="14" s="1"/>
  <c r="I6087" i="14" s="1"/>
  <c r="K6064" i="13"/>
  <c r="L6064" i="13" s="1"/>
  <c r="I6065" i="13" s="1"/>
  <c r="N6250" i="14"/>
  <c r="J6249" i="14" a="1"/>
  <c r="J6249" i="14" s="1"/>
  <c r="J6250" i="13" a="1"/>
  <c r="J6250" i="13" s="1"/>
  <c r="Q103" i="10" a="1"/>
  <c r="Q103" i="10" s="1"/>
  <c r="Q880" i="10" a="1"/>
  <c r="Q880" i="10" s="1"/>
  <c r="Q1151" i="10" a="1"/>
  <c r="Q1151" i="10" s="1"/>
  <c r="Q23" i="10" a="1"/>
  <c r="Q23" i="10" s="1"/>
  <c r="Q612" i="10" a="1"/>
  <c r="Q612" i="10" s="1"/>
  <c r="Q707" i="10" a="1"/>
  <c r="Q707" i="10" s="1"/>
  <c r="Q290" i="10" a="1"/>
  <c r="Q290" i="10" s="1"/>
  <c r="Q621" i="10" a="1"/>
  <c r="Q621" i="10" s="1"/>
  <c r="Q864" i="10" a="1"/>
  <c r="Q864" i="10" s="1"/>
  <c r="Q1171" i="10" a="1"/>
  <c r="Q1171" i="10" s="1"/>
  <c r="Q311" i="10" a="1"/>
  <c r="Q311" i="10" s="1"/>
  <c r="Q204" i="10" a="1"/>
  <c r="Q204" i="10" s="1"/>
  <c r="Q438" i="10" a="1"/>
  <c r="Q438" i="10" s="1"/>
  <c r="Q394" i="10" a="1"/>
  <c r="Q394" i="10" s="1"/>
  <c r="Q34" i="10" a="1"/>
  <c r="Q34" i="10" s="1"/>
  <c r="Q608" i="10" a="1"/>
  <c r="Q608" i="10" s="1"/>
  <c r="Q479" i="10" a="1"/>
  <c r="Q479" i="10" s="1"/>
  <c r="Q117" i="10" a="1"/>
  <c r="Q117" i="10" s="1"/>
  <c r="Q1005" i="10" a="1"/>
  <c r="Q1005" i="10" s="1"/>
  <c r="Q373" i="10" a="1"/>
  <c r="Q373" i="10" s="1"/>
  <c r="Q535" i="10" a="1"/>
  <c r="Q535" i="10" s="1"/>
  <c r="Q947" i="10" a="1"/>
  <c r="Q947" i="10" s="1"/>
  <c r="Q368" i="10" a="1"/>
  <c r="Q368" i="10" s="1"/>
  <c r="Q1058" i="10" a="1"/>
  <c r="Q1058" i="10" s="1"/>
  <c r="Q223" i="10" a="1"/>
  <c r="Q223" i="10" s="1"/>
  <c r="Q521" i="10" a="1"/>
  <c r="Q521" i="10" s="1"/>
  <c r="Q100" i="10" a="1"/>
  <c r="Q100" i="10" s="1"/>
  <c r="Q839" i="10" a="1"/>
  <c r="Q839" i="10" s="1"/>
  <c r="Q694" i="10" a="1"/>
  <c r="Q694" i="10" s="1"/>
  <c r="Q1066" i="10" a="1"/>
  <c r="Q1066" i="10" s="1"/>
  <c r="Q451" i="10" a="1"/>
  <c r="Q451" i="10" s="1"/>
  <c r="Q624" i="10" a="1"/>
  <c r="Q624" i="10" s="1"/>
  <c r="Q205" i="10" a="1"/>
  <c r="Q205" i="10" s="1"/>
  <c r="Q460" i="10" a="1"/>
  <c r="Q460" i="10" s="1"/>
  <c r="Q1012" i="10" a="1"/>
  <c r="Q1012" i="10" s="1"/>
  <c r="Q777" i="10" a="1"/>
  <c r="Q777" i="10" s="1"/>
  <c r="Q691" i="10" a="1"/>
  <c r="Q691" i="10" s="1"/>
  <c r="Q299" i="10" a="1"/>
  <c r="Q299" i="10" s="1"/>
  <c r="Q798" i="10" a="1"/>
  <c r="Q798" i="10" s="1"/>
  <c r="Q804" i="10" a="1"/>
  <c r="Q804" i="10" s="1"/>
  <c r="Q511" i="10" a="1"/>
  <c r="Q511" i="10" s="1"/>
  <c r="Q727" i="10" a="1"/>
  <c r="Q727" i="10" s="1"/>
  <c r="Q1132" i="10" a="1"/>
  <c r="Q1132" i="10" s="1"/>
  <c r="Q781" i="10" a="1"/>
  <c r="Q781" i="10" s="1"/>
  <c r="Q960" i="10" a="1"/>
  <c r="Q960" i="10" s="1"/>
  <c r="Q538" i="10" a="1"/>
  <c r="Q538" i="10" s="1"/>
  <c r="Q811" i="10" a="1"/>
  <c r="Q811" i="10" s="1"/>
  <c r="Q704" i="10" a="1"/>
  <c r="Q704" i="10" s="1"/>
  <c r="Q569" i="10" a="1"/>
  <c r="Q569" i="10" s="1"/>
  <c r="Q617" i="10" a="1"/>
  <c r="Q617" i="10" s="1"/>
  <c r="Q313" i="10" a="1"/>
  <c r="Q313" i="10" s="1"/>
  <c r="Q105" i="10" a="1"/>
  <c r="Q105" i="10" s="1"/>
  <c r="Q483" i="10" a="1"/>
  <c r="Q483" i="10" s="1"/>
  <c r="Q456" i="10" a="1"/>
  <c r="Q456" i="10" s="1"/>
  <c r="Q43" i="10" a="1"/>
  <c r="Q43" i="10" s="1"/>
  <c r="Q787" i="10" a="1"/>
  <c r="Q787" i="10" s="1"/>
  <c r="Q1139" i="10" a="1"/>
  <c r="Q1139" i="10" s="1"/>
  <c r="Q141" i="10" a="1"/>
  <c r="Q141" i="10" s="1"/>
  <c r="Q370" i="10" a="1"/>
  <c r="Q370" i="10" s="1"/>
  <c r="Q909" i="10" a="1"/>
  <c r="Q909" i="10" s="1"/>
  <c r="Q879" i="10" a="1"/>
  <c r="Q879" i="10" s="1"/>
  <c r="Q428" i="10" a="1"/>
  <c r="Q428" i="10" s="1"/>
  <c r="Q367" i="10" a="1"/>
  <c r="Q367" i="10" s="1"/>
  <c r="Q660" i="10" a="1"/>
  <c r="Q660" i="10" s="1"/>
  <c r="Q230" i="10" a="1"/>
  <c r="Q230" i="10" s="1"/>
  <c r="Q712" i="10" a="1"/>
  <c r="Q712" i="10" s="1"/>
  <c r="Q435" i="10" a="1"/>
  <c r="Q435" i="10" s="1"/>
  <c r="Q1153" i="10" a="1"/>
  <c r="Q1153" i="10" s="1"/>
  <c r="Q972" i="10" a="1"/>
  <c r="Q972" i="10" s="1"/>
  <c r="Q195" i="10" a="1"/>
  <c r="Q195" i="10" s="1"/>
  <c r="Q1101" i="10" a="1"/>
  <c r="Q1101" i="10" s="1"/>
  <c r="Q1062" i="10" a="1"/>
  <c r="Q1062" i="10" s="1"/>
  <c r="Q828" i="10" a="1"/>
  <c r="Q828" i="10" s="1"/>
  <c r="Q957" i="10" a="1"/>
  <c r="Q957" i="10" s="1"/>
  <c r="Q246" i="10" a="1"/>
  <c r="Q246" i="10" s="1"/>
  <c r="Q1055" i="10" a="1"/>
  <c r="Q1055" i="10" s="1"/>
  <c r="Q900" i="10" a="1"/>
  <c r="Q900" i="10" s="1"/>
  <c r="Q764" i="10" a="1"/>
  <c r="Q764" i="10" s="1"/>
  <c r="Q477" i="10" a="1"/>
  <c r="Q477" i="10" s="1"/>
  <c r="Q661" i="10" a="1"/>
  <c r="Q661" i="10" s="1"/>
  <c r="Q495" i="10" a="1"/>
  <c r="Q495" i="10" s="1"/>
  <c r="Q1001" i="10" a="1"/>
  <c r="Q1001" i="10" s="1"/>
  <c r="Q812" i="10" a="1"/>
  <c r="Q812" i="10" s="1"/>
  <c r="Q154" i="10" a="1"/>
  <c r="Q154" i="10" s="1"/>
  <c r="Q358" i="10" a="1"/>
  <c r="Q358" i="10" s="1"/>
  <c r="Q37" i="10" a="1"/>
  <c r="Q37" i="10" s="1"/>
  <c r="Q778" i="10" a="1"/>
  <c r="Q778" i="10" s="1"/>
  <c r="Q566" i="10" a="1"/>
  <c r="Q566" i="10" s="1"/>
  <c r="Q588" i="10" a="1"/>
  <c r="Q588" i="10" s="1"/>
  <c r="Q250" i="10" a="1"/>
  <c r="Q250" i="10" s="1"/>
  <c r="Q941" i="10" a="1"/>
  <c r="Q941" i="10" s="1"/>
  <c r="Q690" i="10" a="1"/>
  <c r="Q690" i="10" s="1"/>
  <c r="Q762" i="10" a="1"/>
  <c r="Q762" i="10" s="1"/>
  <c r="Q751" i="10" a="1"/>
  <c r="Q751" i="10" s="1"/>
  <c r="Q320" i="10" a="1"/>
  <c r="Q320" i="10" s="1"/>
  <c r="Q330" i="10" a="1"/>
  <c r="Q330" i="10" s="1"/>
  <c r="Q562" i="10" a="1"/>
  <c r="Q562" i="10" s="1"/>
  <c r="Q128" i="10" a="1"/>
  <c r="Q128" i="10" s="1"/>
  <c r="Q20" i="10" a="1"/>
  <c r="Q20" i="10" s="1"/>
  <c r="Q789" i="10" a="1"/>
  <c r="Q789" i="10" s="1"/>
  <c r="Q419" i="10" a="1"/>
  <c r="Q419" i="10" s="1"/>
  <c r="Q1137" i="10" a="1"/>
  <c r="Q1137" i="10" s="1"/>
  <c r="Q869" i="10" a="1"/>
  <c r="Q869" i="10" s="1"/>
  <c r="Q32" i="10" a="1"/>
  <c r="Q32" i="10" s="1"/>
  <c r="Q340" i="10" a="1"/>
  <c r="Q340" i="10" s="1"/>
  <c r="Q821" i="10" a="1"/>
  <c r="Q821" i="10" s="1"/>
  <c r="Q643" i="10" a="1"/>
  <c r="Q643" i="10" s="1"/>
  <c r="Q201" i="10" a="1"/>
  <c r="Q201" i="10" s="1"/>
  <c r="Q1077" i="10" a="1"/>
  <c r="Q1077" i="10" s="1"/>
  <c r="Q700" i="10" a="1"/>
  <c r="Q700" i="10" s="1"/>
  <c r="Q565" i="10" a="1"/>
  <c r="Q565" i="10" s="1"/>
  <c r="Q339" i="10" a="1"/>
  <c r="Q339" i="10" s="1"/>
  <c r="Q889" i="10" a="1"/>
  <c r="Q889" i="10" s="1"/>
  <c r="Q60" i="10" a="1"/>
  <c r="Q60" i="10" s="1"/>
  <c r="Q212" i="10" a="1"/>
  <c r="Q212" i="10" s="1"/>
  <c r="Q585" i="10" a="1"/>
  <c r="Q585" i="10" s="1"/>
  <c r="Q287" i="10" a="1"/>
  <c r="Q287" i="10" s="1"/>
  <c r="Q1121" i="10" a="1"/>
  <c r="Q1121" i="10" s="1"/>
  <c r="Q944" i="10" a="1"/>
  <c r="Q944" i="10" s="1"/>
  <c r="Q860" i="10" a="1"/>
  <c r="Q860" i="10" s="1"/>
  <c r="Q1110" i="10" a="1"/>
  <c r="Q1110" i="10" s="1"/>
  <c r="Q720" i="10" a="1"/>
  <c r="Q720" i="10" s="1"/>
  <c r="Q1028" i="10" a="1"/>
  <c r="Q1028" i="10" s="1"/>
  <c r="Q127" i="10" a="1"/>
  <c r="Q127" i="10" s="1"/>
  <c r="Q898" i="10" a="1"/>
  <c r="Q898" i="10" s="1"/>
  <c r="Q784" i="10" a="1"/>
  <c r="Q784" i="10" s="1"/>
  <c r="Q557" i="10" a="1"/>
  <c r="Q557" i="10" s="1"/>
  <c r="Q210" i="10" a="1"/>
  <c r="Q210" i="10" s="1"/>
  <c r="Q1075" i="10" a="1"/>
  <c r="Q1075" i="10" s="1"/>
  <c r="Q228" i="10" a="1"/>
  <c r="Q228" i="10" s="1"/>
  <c r="Q757" i="10" a="1"/>
  <c r="Q757" i="10" s="1"/>
  <c r="Q835" i="10" a="1"/>
  <c r="Q835" i="10" s="1"/>
  <c r="Q285" i="10" a="1"/>
  <c r="Q285" i="10" s="1"/>
  <c r="Q1024" i="10" a="1"/>
  <c r="Q1024" i="10" s="1"/>
  <c r="Q35" i="10" a="1"/>
  <c r="Q35" i="10" s="1"/>
  <c r="Q71" i="10" a="1"/>
  <c r="Q71" i="10" s="1"/>
  <c r="Q1157" i="10" a="1"/>
  <c r="Q1157" i="10" s="1"/>
  <c r="Q988" i="10" a="1"/>
  <c r="Q988" i="10" s="1"/>
  <c r="Q845" i="10" a="1"/>
  <c r="Q845" i="10" s="1"/>
  <c r="Q214" i="10" a="1"/>
  <c r="Q214" i="10" s="1"/>
  <c r="Q108" i="10" a="1"/>
  <c r="Q108" i="10" s="1"/>
  <c r="Q68" i="10" a="1"/>
  <c r="Q68" i="10" s="1"/>
  <c r="Q505" i="10" a="1"/>
  <c r="Q505" i="10" s="1"/>
  <c r="Q188" i="10" a="1"/>
  <c r="Q188" i="10" s="1"/>
  <c r="Q551" i="10" a="1"/>
  <c r="Q551" i="10" s="1"/>
  <c r="Q53" i="10" a="1"/>
  <c r="Q53" i="10" s="1"/>
  <c r="Q52" i="10" a="1"/>
  <c r="Q52" i="10" s="1"/>
  <c r="Q800" i="10" a="1"/>
  <c r="Q800" i="10" s="1"/>
  <c r="Q797" i="10" a="1"/>
  <c r="Q797" i="10" s="1"/>
  <c r="Q847" i="10" a="1"/>
  <c r="Q847" i="10" s="1"/>
  <c r="Q836" i="10" a="1"/>
  <c r="Q836" i="10" s="1"/>
  <c r="Q349" i="10" a="1"/>
  <c r="Q349" i="10" s="1"/>
  <c r="Q146" i="10" a="1"/>
  <c r="Q146" i="10" s="1"/>
  <c r="Q1011" i="10" a="1"/>
  <c r="Q1011" i="10" s="1"/>
  <c r="Q663" i="10" a="1"/>
  <c r="Q663" i="10" s="1"/>
  <c r="Q437" i="10" a="1"/>
  <c r="Q437" i="10" s="1"/>
  <c r="Q259" i="10" a="1"/>
  <c r="Q259" i="10" s="1"/>
  <c r="Q82" i="10" a="1"/>
  <c r="Q82" i="10" s="1"/>
  <c r="Q595" i="10" a="1"/>
  <c r="Q595" i="10" s="1"/>
  <c r="Q834" i="10" a="1"/>
  <c r="Q834" i="10" s="1"/>
  <c r="Q412" i="10" a="1"/>
  <c r="Q412" i="10" s="1"/>
  <c r="Q471" i="10" a="1"/>
  <c r="Q471" i="10" s="1"/>
  <c r="Q213" i="10" a="1"/>
  <c r="Q213" i="10" s="1"/>
  <c r="Q99" i="10" a="1"/>
  <c r="Q99" i="10" s="1"/>
  <c r="Q870" i="10" a="1"/>
  <c r="Q870" i="10" s="1"/>
  <c r="Q636" i="10" a="1"/>
  <c r="Q636" i="10" s="1"/>
  <c r="Q381" i="10" a="1"/>
  <c r="Q381" i="10" s="1"/>
  <c r="Q54" i="10" a="1"/>
  <c r="Q54" i="10" s="1"/>
  <c r="Q76" i="10" a="1"/>
  <c r="Q76" i="10" s="1"/>
  <c r="Q39" i="10" a="1"/>
  <c r="Q39" i="10" s="1"/>
  <c r="Q1008" i="10" a="1"/>
  <c r="Q1008" i="10" s="1"/>
  <c r="Q517" i="10" a="1"/>
  <c r="Q517" i="10" s="1"/>
  <c r="Q276" i="10" a="1"/>
  <c r="Q276" i="10" s="1"/>
  <c r="Q138" i="10" a="1"/>
  <c r="Q138" i="10" s="1"/>
  <c r="Q403" i="10" a="1"/>
  <c r="Q403" i="10" s="1"/>
  <c r="Q1044" i="10" a="1"/>
  <c r="Q1044" i="10" s="1"/>
  <c r="Q50" i="10" a="1"/>
  <c r="Q50" i="10" s="1"/>
  <c r="Q723" i="10" a="1"/>
  <c r="Q723" i="10" s="1"/>
  <c r="Q1127" i="10" a="1"/>
  <c r="Q1127" i="10" s="1"/>
  <c r="Q364" i="10" a="1"/>
  <c r="Q364" i="10" s="1"/>
  <c r="Q580" i="10" a="1"/>
  <c r="Q580" i="10" s="1"/>
  <c r="Q761" i="10" a="1"/>
  <c r="Q761" i="10" s="1"/>
  <c r="Q527" i="10" a="1"/>
  <c r="Q527" i="10" s="1"/>
  <c r="Q1135" i="10" a="1"/>
  <c r="Q1135" i="10" s="1"/>
  <c r="Q544" i="10" a="1"/>
  <c r="Q544" i="10" s="1"/>
  <c r="Q397" i="10" a="1"/>
  <c r="Q397" i="10" s="1"/>
  <c r="Q226" i="10" a="1"/>
  <c r="Q226" i="10" s="1"/>
  <c r="Q48" i="10" a="1"/>
  <c r="Q48" i="10" s="1"/>
  <c r="Q323" i="10" a="1"/>
  <c r="Q323" i="10" s="1"/>
  <c r="Q1106" i="10" a="1"/>
  <c r="Q1106" i="10" s="1"/>
  <c r="Q256" i="10" a="1"/>
  <c r="Q256" i="10" s="1"/>
  <c r="Q903" i="10" a="1"/>
  <c r="Q903" i="10" s="1"/>
  <c r="Q498" i="10" a="1"/>
  <c r="Q498" i="10" s="1"/>
  <c r="Q918" i="10" a="1"/>
  <c r="Q918" i="10" s="1"/>
  <c r="Q476" i="10" a="1"/>
  <c r="Q476" i="10" s="1"/>
  <c r="Q676" i="10" a="1"/>
  <c r="Q676" i="10" s="1"/>
  <c r="Q809" i="10" a="1"/>
  <c r="Q809" i="10" s="1"/>
  <c r="Q703" i="10" a="1"/>
  <c r="Q703" i="10" s="1"/>
  <c r="Q119" i="10" a="1"/>
  <c r="Q119" i="10" s="1"/>
  <c r="Q1104" i="10" a="1"/>
  <c r="Q1104" i="10" s="1"/>
  <c r="Q883" i="10" a="1"/>
  <c r="Q883" i="10" s="1"/>
  <c r="Q151" i="10" a="1"/>
  <c r="Q151" i="10" s="1"/>
  <c r="Q1125" i="10" a="1"/>
  <c r="Q1125" i="10" s="1"/>
  <c r="Q282" i="10" a="1"/>
  <c r="Q282" i="10" s="1"/>
  <c r="Q546" i="10" a="1"/>
  <c r="Q546" i="10" s="1"/>
  <c r="Q1020" i="10" a="1"/>
  <c r="Q1020" i="10" s="1"/>
  <c r="Q730" i="10" a="1"/>
  <c r="Q730" i="10" s="1"/>
  <c r="Q42" i="10" a="1"/>
  <c r="Q42" i="10" s="1"/>
  <c r="Q402" i="10" a="1"/>
  <c r="Q402" i="10" s="1"/>
  <c r="Q160" i="10" a="1"/>
  <c r="Q160" i="10" s="1"/>
  <c r="Q84" i="10" a="1"/>
  <c r="Q84" i="10" s="1"/>
  <c r="Q693" i="10" a="1"/>
  <c r="Q693" i="10" s="1"/>
  <c r="Q515" i="10" a="1"/>
  <c r="Q515" i="10" s="1"/>
  <c r="Q850" i="10" a="1"/>
  <c r="Q850" i="10" s="1"/>
  <c r="Q1107" i="10" a="1"/>
  <c r="Q1107" i="10" s="1"/>
  <c r="Q375" i="10" a="1"/>
  <c r="Q375" i="10" s="1"/>
  <c r="Q69" i="10" a="1"/>
  <c r="Q69" i="10" s="1"/>
  <c r="Q1015" i="10" a="1"/>
  <c r="Q1015" i="10" s="1"/>
  <c r="Q469" i="10" a="1"/>
  <c r="Q469" i="10" s="1"/>
  <c r="Q355" i="10" a="1"/>
  <c r="Q355" i="10" s="1"/>
  <c r="Q1120" i="10" a="1"/>
  <c r="Q1120" i="10" s="1"/>
  <c r="Q892" i="10" a="1"/>
  <c r="Q892" i="10" s="1"/>
  <c r="Q26" i="10" a="1"/>
  <c r="Q26" i="10" s="1"/>
  <c r="Q310" i="10" a="1"/>
  <c r="Q310" i="10" s="1"/>
  <c r="Q332" i="10" a="1"/>
  <c r="Q332" i="10" s="1"/>
  <c r="Q881" i="10" a="1"/>
  <c r="Q881" i="10" s="1"/>
  <c r="Q1136" i="10" a="1"/>
  <c r="Q1136" i="10" s="1"/>
  <c r="Q773" i="10" a="1"/>
  <c r="Q773" i="10" s="1"/>
  <c r="Q740" i="10" a="1"/>
  <c r="Q740" i="10" s="1"/>
  <c r="Q967" i="10" a="1"/>
  <c r="Q967" i="10" s="1"/>
  <c r="Q887" i="10" a="1"/>
  <c r="Q887" i="10" s="1"/>
  <c r="Q383" i="10" a="1"/>
  <c r="Q383" i="10" s="1"/>
  <c r="Q234" i="10" a="1"/>
  <c r="Q234" i="10" s="1"/>
  <c r="Q724" i="10" a="1"/>
  <c r="Q724" i="10" s="1"/>
  <c r="Q338" i="10" a="1"/>
  <c r="Q338" i="10" s="1"/>
  <c r="Q242" i="10" a="1"/>
  <c r="Q242" i="10" s="1"/>
  <c r="Q148" i="10" a="1"/>
  <c r="Q148" i="10" s="1"/>
  <c r="Q194" i="10" a="1"/>
  <c r="Q194" i="10" s="1"/>
  <c r="Q357" i="10" a="1"/>
  <c r="Q357" i="10" s="1"/>
  <c r="Q396" i="10" a="1"/>
  <c r="Q396" i="10" s="1"/>
  <c r="Q196" i="10" a="1"/>
  <c r="Q196" i="10" s="1"/>
  <c r="Q239" i="10" a="1"/>
  <c r="Q239" i="10" s="1"/>
  <c r="Q306" i="10" a="1"/>
  <c r="Q306" i="10" s="1"/>
  <c r="Q533" i="10" a="1"/>
  <c r="Q533" i="10" s="1"/>
  <c r="Q934" i="10" a="1"/>
  <c r="Q934" i="10" s="1"/>
  <c r="Q950" i="10" a="1"/>
  <c r="Q950" i="10" s="1"/>
  <c r="Q327" i="10" a="1"/>
  <c r="Q327" i="10" s="1"/>
  <c r="Q572" i="10" a="1"/>
  <c r="Q572" i="10" s="1"/>
  <c r="Q1097" i="10" a="1"/>
  <c r="Q1097" i="10" s="1"/>
  <c r="Q791" i="10" a="1"/>
  <c r="Q791" i="10" s="1"/>
  <c r="Q38" i="10" a="1"/>
  <c r="Q38" i="10" s="1"/>
  <c r="Q519" i="10" a="1"/>
  <c r="Q519" i="10" s="1"/>
  <c r="Q1018" i="10" a="1"/>
  <c r="Q1018" i="10" s="1"/>
  <c r="Q237" i="10" a="1"/>
  <c r="Q237" i="10" s="1"/>
  <c r="Q964" i="10" a="1"/>
  <c r="Q964" i="10" s="1"/>
  <c r="Q407" i="10" a="1"/>
  <c r="Q407" i="10" s="1"/>
  <c r="Q930" i="10" a="1"/>
  <c r="Q930" i="10" s="1"/>
  <c r="Q425" i="10" a="1"/>
  <c r="Q425" i="10" s="1"/>
  <c r="Q133" i="10" a="1"/>
  <c r="Q133" i="10" s="1"/>
  <c r="Q447" i="10" a="1"/>
  <c r="Q447" i="10" s="1"/>
  <c r="Q765" i="10" a="1"/>
  <c r="Q765" i="10" s="1"/>
  <c r="Q391" i="10" a="1"/>
  <c r="Q391" i="10" s="1"/>
  <c r="Q605" i="10" a="1"/>
  <c r="Q605" i="10" s="1"/>
  <c r="Q748" i="10" a="1"/>
  <c r="Q748" i="10" s="1"/>
  <c r="Q559" i="10" a="1"/>
  <c r="Q559" i="10" s="1"/>
  <c r="Q717" i="10" a="1"/>
  <c r="Q717" i="10" s="1"/>
  <c r="Q530" i="10" a="1"/>
  <c r="Q530" i="10" s="1"/>
  <c r="Q1079" i="10" a="1"/>
  <c r="Q1079" i="10" s="1"/>
  <c r="Q405" i="10" a="1"/>
  <c r="Q405" i="10" s="1"/>
  <c r="Q243" i="10" a="1"/>
  <c r="Q243" i="10" s="1"/>
  <c r="Q826" i="10" a="1"/>
  <c r="Q826" i="10" s="1"/>
  <c r="Q1004" i="10" a="1"/>
  <c r="Q1004" i="10" s="1"/>
  <c r="Q556" i="10" a="1"/>
  <c r="Q556" i="10" s="1"/>
  <c r="Q975" i="10" a="1"/>
  <c r="Q975" i="10" s="1"/>
  <c r="Q393" i="10" a="1"/>
  <c r="Q393" i="10" s="1"/>
  <c r="Q278" i="10" a="1"/>
  <c r="Q278" i="10" s="1"/>
  <c r="Q623" i="10" a="1"/>
  <c r="Q623" i="10" s="1"/>
  <c r="Q853" i="10" a="1"/>
  <c r="Q853" i="10" s="1"/>
  <c r="Q57" i="10" a="1"/>
  <c r="Q57" i="10" s="1"/>
  <c r="Q200" i="10" a="1"/>
  <c r="Q200" i="10" s="1"/>
  <c r="Q570" i="10" a="1"/>
  <c r="Q570" i="10" s="1"/>
  <c r="Q197" i="10" a="1"/>
  <c r="Q197" i="10" s="1"/>
  <c r="Q708" i="10" a="1"/>
  <c r="Q708" i="10" s="1"/>
  <c r="Q283" i="10" a="1"/>
  <c r="Q283" i="10" s="1"/>
  <c r="Q796" i="10" a="1"/>
  <c r="Q796" i="10" s="1"/>
  <c r="Q164" i="10" a="1"/>
  <c r="Q164" i="10" s="1"/>
  <c r="Q111" i="10" a="1"/>
  <c r="Q111" i="10" s="1"/>
  <c r="Q767" i="10" a="1"/>
  <c r="Q767" i="10" s="1"/>
  <c r="Q861" i="10" a="1"/>
  <c r="Q861" i="10" s="1"/>
  <c r="Q759" i="10" a="1"/>
  <c r="Q759" i="10" s="1"/>
  <c r="Q825" i="10" a="1"/>
  <c r="Q825" i="10" s="1"/>
  <c r="Q369" i="10" a="1"/>
  <c r="Q369" i="10" s="1"/>
  <c r="Q341" i="10" a="1"/>
  <c r="Q341" i="10" s="1"/>
  <c r="Q790" i="10" a="1"/>
  <c r="Q790" i="10" s="1"/>
  <c r="Q912" i="10" a="1"/>
  <c r="Q912" i="10" s="1"/>
  <c r="Q522" i="10" a="1"/>
  <c r="Q522" i="10" s="1"/>
  <c r="Q597" i="10" a="1"/>
  <c r="Q597" i="10" s="1"/>
  <c r="Q882" i="10" a="1"/>
  <c r="Q882" i="10" s="1"/>
  <c r="Q1026" i="10" a="1"/>
  <c r="Q1026" i="10" s="1"/>
  <c r="Q626" i="10" a="1"/>
  <c r="Q626" i="10" s="1"/>
  <c r="Q684" i="10" a="1"/>
  <c r="Q684" i="10" s="1"/>
  <c r="Q625" i="10" a="1"/>
  <c r="Q625" i="10" s="1"/>
  <c r="Q352" i="10" a="1"/>
  <c r="Q352" i="10" s="1"/>
  <c r="Q468" i="10" a="1"/>
  <c r="Q468" i="10" s="1"/>
  <c r="Q885" i="10" a="1"/>
  <c r="Q885" i="10" s="1"/>
  <c r="Q112" i="10" a="1"/>
  <c r="Q112" i="10" s="1"/>
  <c r="Q692" i="10" a="1"/>
  <c r="Q692" i="10" s="1"/>
  <c r="Q322" i="10" a="1"/>
  <c r="Q322" i="10" s="1"/>
  <c r="Q308" i="10" a="1"/>
  <c r="Q308" i="10" s="1"/>
  <c r="Q741" i="10" a="1"/>
  <c r="Q741" i="10" s="1"/>
  <c r="Q499" i="10" a="1"/>
  <c r="Q499" i="10" s="1"/>
  <c r="Q1158" i="10" a="1"/>
  <c r="Q1158" i="10" s="1"/>
  <c r="Q1036" i="10" a="1"/>
  <c r="Q1036" i="10" s="1"/>
  <c r="Q771" i="10" a="1"/>
  <c r="Q771" i="10" s="1"/>
  <c r="Q855" i="10" a="1"/>
  <c r="Q855" i="10" s="1"/>
  <c r="Q768" i="10" a="1"/>
  <c r="Q768" i="10" s="1"/>
  <c r="Q324" i="10" a="1"/>
  <c r="Q324" i="10" s="1"/>
  <c r="Q581" i="10" a="1"/>
  <c r="Q581" i="10" s="1"/>
  <c r="Q404" i="10" a="1"/>
  <c r="Q404" i="10" s="1"/>
  <c r="Q725" i="10" a="1"/>
  <c r="Q725" i="10" s="1"/>
  <c r="Q611" i="10" a="1"/>
  <c r="Q611" i="10" s="1"/>
  <c r="Q948" i="10" a="1"/>
  <c r="Q948" i="10" s="1"/>
  <c r="Q1061" i="10" a="1"/>
  <c r="Q1061" i="10" s="1"/>
  <c r="Q819" i="10" a="1"/>
  <c r="Q819" i="10" s="1"/>
  <c r="Q823" i="10" a="1"/>
  <c r="Q823" i="10" s="1"/>
  <c r="Q501" i="10" a="1"/>
  <c r="Q501" i="10" s="1"/>
  <c r="Q579" i="10" a="1"/>
  <c r="Q579" i="10" s="1"/>
  <c r="Q165" i="10" a="1"/>
  <c r="Q165" i="10" s="1"/>
  <c r="Q106" i="10" a="1"/>
  <c r="Q106" i="10" s="1"/>
  <c r="Q149" i="10" a="1"/>
  <c r="Q149" i="10" s="1"/>
  <c r="Q325" i="10" a="1"/>
  <c r="Q325" i="10" s="1"/>
  <c r="Q745" i="10" a="1"/>
  <c r="Q745" i="10" s="1"/>
  <c r="Q815" i="10" a="1"/>
  <c r="Q815" i="10" s="1"/>
  <c r="Q215" i="10" a="1"/>
  <c r="Q215" i="10" s="1"/>
  <c r="Q41" i="10" a="1"/>
  <c r="Q41" i="10" s="1"/>
  <c r="Q378" i="10" a="1"/>
  <c r="Q378" i="10" s="1"/>
  <c r="Q706" i="10" a="1"/>
  <c r="Q706" i="10" s="1"/>
  <c r="Q336" i="10" a="1"/>
  <c r="Q336" i="10" s="1"/>
  <c r="Q564" i="10" a="1"/>
  <c r="Q564" i="10" s="1"/>
  <c r="Q786" i="10" a="1"/>
  <c r="Q786" i="10" s="1"/>
  <c r="Q1056" i="10" a="1"/>
  <c r="Q1056" i="10" s="1"/>
  <c r="Q858" i="10" a="1"/>
  <c r="Q858" i="10" s="1"/>
  <c r="Q738" i="10" a="1"/>
  <c r="Q738" i="10" s="1"/>
  <c r="Q560" i="10" a="1"/>
  <c r="Q560" i="10" s="1"/>
  <c r="Q118" i="10" a="1"/>
  <c r="Q118" i="10" s="1"/>
  <c r="Q116" i="10" a="1"/>
  <c r="Q116" i="10" s="1"/>
  <c r="Q954" i="10" a="1"/>
  <c r="Q954" i="10" s="1"/>
  <c r="Q183" i="10" a="1"/>
  <c r="Q183" i="10" s="1"/>
  <c r="Q79" i="10" a="1"/>
  <c r="Q79" i="10" s="1"/>
  <c r="Q575" i="10" a="1"/>
  <c r="Q575" i="10" s="1"/>
  <c r="Q1155" i="10" a="1"/>
  <c r="Q1155" i="10" s="1"/>
  <c r="Q1084" i="10" a="1"/>
  <c r="Q1084" i="10" s="1"/>
  <c r="Q586" i="10" a="1"/>
  <c r="Q586" i="10" s="1"/>
  <c r="Q502" i="10" a="1"/>
  <c r="Q502" i="10" s="1"/>
  <c r="Q268" i="10" a="1"/>
  <c r="Q268" i="10" s="1"/>
  <c r="Q455" i="10" a="1"/>
  <c r="Q455" i="10" s="1"/>
  <c r="Q618" i="10" a="1"/>
  <c r="Q618" i="10" s="1"/>
  <c r="Q946" i="10" a="1"/>
  <c r="Q946" i="10" s="1"/>
  <c r="Q831" i="10" a="1"/>
  <c r="Q831" i="10" s="1"/>
  <c r="Q372" i="10" a="1"/>
  <c r="Q372" i="10" s="1"/>
  <c r="Q64" i="10" a="1"/>
  <c r="Q64" i="10" s="1"/>
  <c r="Q44" i="10" a="1"/>
  <c r="Q44" i="10" s="1"/>
  <c r="Q452" i="10" a="1"/>
  <c r="Q452" i="10" s="1"/>
  <c r="Q697" i="10" a="1"/>
  <c r="Q697" i="10" s="1"/>
  <c r="Q463" i="10" a="1"/>
  <c r="Q463" i="10" s="1"/>
  <c r="Q1122" i="10" a="1"/>
  <c r="Q1122" i="10" s="1"/>
  <c r="Q992" i="10" a="1"/>
  <c r="Q992" i="10" s="1"/>
  <c r="Q666" i="10" a="1"/>
  <c r="Q666" i="10" s="1"/>
  <c r="Q674" i="10" a="1"/>
  <c r="Q674" i="10" s="1"/>
  <c r="Q752" i="10" a="1"/>
  <c r="Q752" i="10" s="1"/>
  <c r="Q1116" i="10" a="1"/>
  <c r="Q1116" i="10" s="1"/>
  <c r="Q854" i="10" a="1"/>
  <c r="Q854" i="10" s="1"/>
  <c r="Q884" i="10" a="1"/>
  <c r="Q884" i="10" s="1"/>
  <c r="Q1034" i="10" a="1"/>
  <c r="Q1034" i="10" s="1"/>
  <c r="Q500" i="10" a="1"/>
  <c r="Q500" i="10" s="1"/>
  <c r="Q901" i="10" a="1"/>
  <c r="Q901" i="10" s="1"/>
  <c r="Q467" i="10" a="1"/>
  <c r="Q467" i="10" s="1"/>
  <c r="Q1126" i="10" a="1"/>
  <c r="Q1126" i="10" s="1"/>
  <c r="Q21" i="10" a="1"/>
  <c r="Q21" i="10" s="1"/>
  <c r="Q346" i="10" a="1"/>
  <c r="Q346" i="10" s="1"/>
  <c r="Q422" i="10" a="1"/>
  <c r="Q422" i="10" s="1"/>
  <c r="Q101" i="10" a="1"/>
  <c r="Q101" i="10" s="1"/>
  <c r="Q288" i="10" a="1"/>
  <c r="Q288" i="10" s="1"/>
  <c r="Q994" i="10" a="1"/>
  <c r="Q994" i="10" s="1"/>
  <c r="Q783" i="10" a="1"/>
  <c r="Q783" i="10" s="1"/>
  <c r="Q630" i="10" a="1"/>
  <c r="Q630" i="10" s="1"/>
  <c r="Q304" i="10" a="1"/>
  <c r="Q304" i="10" s="1"/>
  <c r="Q295" i="10" a="1"/>
  <c r="Q295" i="10" s="1"/>
  <c r="Q976" i="10" a="1"/>
  <c r="Q976" i="10" s="1"/>
  <c r="Q399" i="10" a="1"/>
  <c r="Q399" i="10" s="1"/>
  <c r="Q1164" i="10" a="1"/>
  <c r="Q1164" i="10" s="1"/>
  <c r="Q928" i="10" a="1"/>
  <c r="Q928" i="10" s="1"/>
  <c r="Q813" i="10" a="1"/>
  <c r="Q813" i="10" s="1"/>
  <c r="Q354" i="10" a="1"/>
  <c r="Q354" i="10" s="1"/>
  <c r="Q176" i="10" a="1"/>
  <c r="Q176" i="10" s="1"/>
  <c r="Q714" i="10" a="1"/>
  <c r="Q714" i="10" s="1"/>
  <c r="Q681" i="10" a="1"/>
  <c r="Q681" i="10" s="1"/>
  <c r="Q291" i="10" a="1"/>
  <c r="Q291" i="10" s="1"/>
  <c r="Q754" i="10" a="1"/>
  <c r="Q754" i="10" s="1"/>
  <c r="Q493" i="10" a="1"/>
  <c r="Q493" i="10" s="1"/>
  <c r="Q130" i="10" a="1"/>
  <c r="Q130" i="10" s="1"/>
  <c r="Q1047" i="10" a="1"/>
  <c r="Q1047" i="10" s="1"/>
  <c r="Q549" i="10" a="1"/>
  <c r="Q549" i="10" s="1"/>
  <c r="Q307" i="10" a="1"/>
  <c r="Q307" i="10" s="1"/>
  <c r="Q1078" i="10" a="1"/>
  <c r="Q1078" i="10" s="1"/>
  <c r="Q1100" i="10" a="1"/>
  <c r="Q1100" i="10" s="1"/>
  <c r="Q996" i="10" a="1"/>
  <c r="Q996" i="10" s="1"/>
  <c r="Q1103" i="10" a="1"/>
  <c r="Q1103" i="10" s="1"/>
  <c r="Q999" i="10" a="1"/>
  <c r="Q999" i="10" s="1"/>
  <c r="Q1087" i="10" a="1"/>
  <c r="Q1087" i="10" s="1"/>
  <c r="Q668" i="10" a="1"/>
  <c r="Q668" i="10" s="1"/>
  <c r="Q1088" i="10" a="1"/>
  <c r="Q1088" i="10" s="1"/>
  <c r="Q303" i="10" a="1"/>
  <c r="Q303" i="10" s="1"/>
  <c r="Q1074" i="10" a="1"/>
  <c r="Q1074" i="10" s="1"/>
  <c r="Q640" i="10" a="1"/>
  <c r="Q640" i="10" s="1"/>
  <c r="Q87" i="10" a="1"/>
  <c r="Q87" i="10" s="1"/>
  <c r="Q277" i="10" a="1"/>
  <c r="Q277" i="10" s="1"/>
  <c r="Q1050" i="10" a="1"/>
  <c r="Q1050" i="10" s="1"/>
  <c r="Q678" i="10" a="1"/>
  <c r="Q678" i="10" s="1"/>
  <c r="Q444" i="10" a="1"/>
  <c r="Q444" i="10" s="1"/>
  <c r="Q1063" i="10" a="1"/>
  <c r="Q1063" i="10" s="1"/>
  <c r="Q457" i="10" a="1"/>
  <c r="Q457" i="10" s="1"/>
  <c r="Q415" i="10" a="1"/>
  <c r="Q415" i="10" s="1"/>
  <c r="Q1138" i="10" a="1"/>
  <c r="Q1138" i="10" s="1"/>
  <c r="Q1072" i="10" a="1"/>
  <c r="Q1072" i="10" s="1"/>
  <c r="Q240" i="10" a="1"/>
  <c r="Q240" i="10" s="1"/>
  <c r="Q943" i="10" a="1"/>
  <c r="Q943" i="10" s="1"/>
  <c r="Q937" i="10" a="1"/>
  <c r="Q937" i="10" s="1"/>
  <c r="Q294" i="10" a="1"/>
  <c r="Q294" i="10" s="1"/>
  <c r="Q548" i="10" a="1"/>
  <c r="Q548" i="10" s="1"/>
  <c r="Q567" i="10" a="1"/>
  <c r="Q567" i="10" s="1"/>
  <c r="Q389" i="10" a="1"/>
  <c r="Q389" i="10" s="1"/>
  <c r="Q1098" i="10" a="1"/>
  <c r="Q1098" i="10" s="1"/>
  <c r="Q726" i="10" a="1"/>
  <c r="Q726" i="10" s="1"/>
  <c r="Q620" i="10" a="1"/>
  <c r="Q620" i="10" s="1"/>
  <c r="Q1060" i="10" a="1"/>
  <c r="Q1060" i="10" s="1"/>
  <c r="Q1017" i="10" a="1"/>
  <c r="Q1017" i="10" s="1"/>
  <c r="Q951" i="10" a="1"/>
  <c r="Q951" i="10" s="1"/>
  <c r="Q1092" i="10" a="1"/>
  <c r="Q1092" i="10" s="1"/>
  <c r="Q1033" i="10" a="1"/>
  <c r="Q1033" i="10" s="1"/>
  <c r="Q735" i="10" a="1"/>
  <c r="Q735" i="10" s="1"/>
  <c r="Q260" i="10" a="1"/>
  <c r="Q260" i="10" s="1"/>
  <c r="Q1037" i="10" a="1"/>
  <c r="Q1037" i="10" s="1"/>
  <c r="Q377" i="10" a="1"/>
  <c r="Q377" i="10" s="1"/>
  <c r="Q655" i="10" a="1"/>
  <c r="Q655" i="10" s="1"/>
  <c r="Q279" i="10" a="1"/>
  <c r="Q279" i="10" s="1"/>
  <c r="Q73" i="10" a="1"/>
  <c r="Q73" i="10" s="1"/>
  <c r="Q474" i="10" a="1"/>
  <c r="Q474" i="10" s="1"/>
  <c r="Q610" i="10" a="1"/>
  <c r="Q610" i="10" s="1"/>
  <c r="Q432" i="10" a="1"/>
  <c r="Q432" i="10" s="1"/>
  <c r="Q687" i="10" a="1"/>
  <c r="Q687" i="10" s="1"/>
  <c r="Q86" i="10" a="1"/>
  <c r="Q86" i="10" s="1"/>
  <c r="Q803" i="10" a="1"/>
  <c r="Q803" i="10" s="1"/>
  <c r="Q1154" i="10" a="1"/>
  <c r="Q1154" i="10" s="1"/>
  <c r="Q186" i="10" a="1"/>
  <c r="Q186" i="10" s="1"/>
  <c r="Q386" i="10" a="1"/>
  <c r="Q386" i="10" s="1"/>
  <c r="Q272" i="10" a="1"/>
  <c r="Q272" i="10" s="1"/>
  <c r="Q436" i="10" a="1"/>
  <c r="Q436" i="10" s="1"/>
  <c r="Q805" i="10" a="1"/>
  <c r="Q805" i="10" s="1"/>
  <c r="Q563" i="10" a="1"/>
  <c r="Q563" i="10" s="1"/>
  <c r="Q263" i="10" a="1"/>
  <c r="Q263" i="10" s="1"/>
  <c r="Q245" i="10" a="1"/>
  <c r="Q245" i="10" s="1"/>
  <c r="Q410" i="10" a="1"/>
  <c r="Q410" i="10" s="1"/>
  <c r="Q679" i="10" a="1"/>
  <c r="Q679" i="10" s="1"/>
  <c r="Q265" i="10" a="1"/>
  <c r="Q265" i="10" s="1"/>
  <c r="Q1156" i="10" a="1"/>
  <c r="Q1156" i="10" s="1"/>
  <c r="Q802" i="10" a="1"/>
  <c r="Q802" i="10" s="1"/>
  <c r="Q677" i="10" a="1"/>
  <c r="Q677" i="10" s="1"/>
  <c r="Q1059" i="10" a="1"/>
  <c r="Q1059" i="10" s="1"/>
  <c r="Q810" i="10" a="1"/>
  <c r="Q810" i="10" s="1"/>
  <c r="Q658" i="10" a="1"/>
  <c r="Q658" i="10" s="1"/>
  <c r="Q416" i="10" a="1"/>
  <c r="Q416" i="10" s="1"/>
  <c r="Q596" i="10" a="1"/>
  <c r="Q596" i="10" s="1"/>
  <c r="Q949" i="10" a="1"/>
  <c r="Q949" i="10" s="1"/>
  <c r="Q688" i="10" a="1"/>
  <c r="Q688" i="10" s="1"/>
  <c r="Q92" i="10" a="1"/>
  <c r="Q92" i="10" s="1"/>
  <c r="Q598" i="10" a="1"/>
  <c r="Q598" i="10" s="1"/>
  <c r="Q208" i="10" a="1"/>
  <c r="Q208" i="10" s="1"/>
  <c r="Q615" i="10" a="1"/>
  <c r="Q615" i="10" s="1"/>
  <c r="Q970" i="10" a="1"/>
  <c r="Q970" i="10" s="1"/>
  <c r="Q642" i="10" a="1"/>
  <c r="Q642" i="10" s="1"/>
  <c r="Q528" i="10" a="1"/>
  <c r="Q528" i="10" s="1"/>
  <c r="Q207" i="10" a="1"/>
  <c r="Q207" i="10" s="1"/>
  <c r="Q978" i="10" a="1"/>
  <c r="Q978" i="10" s="1"/>
  <c r="Q736" i="10" a="1"/>
  <c r="Q736" i="10" s="1"/>
  <c r="Q989" i="10" a="1"/>
  <c r="Q989" i="10" s="1"/>
  <c r="Q418" i="10" a="1"/>
  <c r="Q418" i="10" s="1"/>
  <c r="Q496" i="10" a="1"/>
  <c r="Q496" i="10" s="1"/>
  <c r="Q244" i="10" a="1"/>
  <c r="Q244" i="10" s="1"/>
  <c r="Q512" i="10" a="1"/>
  <c r="Q512" i="10" s="1"/>
  <c r="Q301" i="10" a="1"/>
  <c r="Q301" i="10" s="1"/>
  <c r="Q1010" i="10" a="1"/>
  <c r="Q1010" i="10" s="1"/>
  <c r="Q1168" i="10" a="1"/>
  <c r="Q1168" i="10" s="1"/>
  <c r="Q732" i="10" a="1"/>
  <c r="Q732" i="10" s="1"/>
  <c r="Q61" i="10" a="1"/>
  <c r="Q61" i="10" s="1"/>
  <c r="Q1065" i="10" a="1"/>
  <c r="Q1065" i="10" s="1"/>
  <c r="Q959" i="10" a="1"/>
  <c r="Q959" i="10" s="1"/>
  <c r="Q647" i="10" a="1"/>
  <c r="Q647" i="10" s="1"/>
  <c r="Q249" i="10" a="1"/>
  <c r="Q249" i="10" s="1"/>
  <c r="Q1039" i="10" a="1"/>
  <c r="Q1039" i="10" s="1"/>
  <c r="Q980" i="10" a="1"/>
  <c r="Q980" i="10" s="1"/>
  <c r="Q969" i="10" a="1"/>
  <c r="Q969" i="10" s="1"/>
  <c r="Q927" i="10" a="1"/>
  <c r="Q927" i="10" s="1"/>
  <c r="Q695" i="10" a="1"/>
  <c r="Q695" i="10" s="1"/>
  <c r="Q573" i="10" a="1"/>
  <c r="Q573" i="10" s="1"/>
  <c r="Q852" i="10" a="1"/>
  <c r="Q852" i="10" s="1"/>
  <c r="Q899" i="10" a="1"/>
  <c r="Q899" i="10" s="1"/>
  <c r="Q713" i="10" a="1"/>
  <c r="Q713" i="10" s="1"/>
  <c r="Q594" i="10" a="1"/>
  <c r="Q594" i="10" s="1"/>
  <c r="Q1090" i="10" a="1"/>
  <c r="Q1090" i="10" s="1"/>
  <c r="Q820" i="10" a="1"/>
  <c r="Q820" i="10" s="1"/>
  <c r="Q997" i="10" a="1"/>
  <c r="Q997" i="10" s="1"/>
  <c r="Q755" i="10" a="1"/>
  <c r="Q755" i="10" s="1"/>
  <c r="Q135" i="10" a="1"/>
  <c r="Q135" i="10" s="1"/>
  <c r="Q181" i="10" a="1"/>
  <c r="Q181" i="10" s="1"/>
  <c r="Q429" i="10" a="1"/>
  <c r="Q429" i="10" s="1"/>
  <c r="Q421" i="10" a="1"/>
  <c r="Q421" i="10" s="1"/>
  <c r="Q874" i="10" a="1"/>
  <c r="Q874" i="10" s="1"/>
  <c r="Q66" i="10" a="1"/>
  <c r="Q66" i="10" s="1"/>
  <c r="Q1007" i="10" a="1"/>
  <c r="Q1007" i="10" s="1"/>
  <c r="Q406" i="10" a="1"/>
  <c r="Q406" i="10" s="1"/>
  <c r="Q1068" i="10" a="1"/>
  <c r="Q1068" i="10" s="1"/>
  <c r="Q906" i="10" a="1"/>
  <c r="Q906" i="10" s="1"/>
  <c r="Q614" i="10" a="1"/>
  <c r="Q614" i="10" s="1"/>
  <c r="Q868" i="10" a="1"/>
  <c r="Q868" i="10" s="1"/>
  <c r="Q905" i="10" a="1"/>
  <c r="Q905" i="10" s="1"/>
  <c r="Q863" i="10" a="1"/>
  <c r="Q863" i="10" s="1"/>
  <c r="Q516" i="10" a="1"/>
  <c r="Q516" i="10" s="1"/>
  <c r="Q335" i="10" a="1"/>
  <c r="Q335" i="10" s="1"/>
  <c r="Q1149" i="10" a="1"/>
  <c r="Q1149" i="10" s="1"/>
  <c r="Q319" i="10" a="1"/>
  <c r="Q319" i="10" s="1"/>
  <c r="Q156" i="10" a="1"/>
  <c r="Q156" i="10" s="1"/>
  <c r="Q576" i="10" a="1"/>
  <c r="Q576" i="10" s="1"/>
  <c r="Q47" i="10" a="1"/>
  <c r="Q47" i="10" s="1"/>
  <c r="Q818" i="10" a="1"/>
  <c r="Q818" i="10" s="1"/>
  <c r="Q532" i="10" a="1"/>
  <c r="Q532" i="10" s="1"/>
  <c r="Q1045" i="10" a="1"/>
  <c r="Q1045" i="10" s="1"/>
  <c r="Q1108" i="10" a="1"/>
  <c r="Q1108" i="10" s="1"/>
  <c r="Q1082" i="10" a="1"/>
  <c r="Q1082" i="10" s="1"/>
  <c r="Q613" i="10" a="1"/>
  <c r="Q613" i="10" s="1"/>
  <c r="Q316" i="10" a="1"/>
  <c r="Q316" i="10" s="1"/>
  <c r="Q543" i="10" a="1"/>
  <c r="Q543" i="10" s="1"/>
  <c r="Q261" i="10" a="1"/>
  <c r="Q261" i="10" s="1"/>
  <c r="Q298" i="10" a="1"/>
  <c r="Q298" i="10" s="1"/>
  <c r="Q1040" i="10" a="1"/>
  <c r="Q1040" i="10" s="1"/>
  <c r="Q224" i="10" a="1"/>
  <c r="Q224" i="10" s="1"/>
  <c r="Q67" i="10" a="1"/>
  <c r="Q67" i="10" s="1"/>
  <c r="Q578" i="10" a="1"/>
  <c r="Q578" i="10" s="1"/>
  <c r="Q220" i="10" a="1"/>
  <c r="Q220" i="10" s="1"/>
  <c r="Q1076" i="10" a="1"/>
  <c r="Q1076" i="10" s="1"/>
  <c r="Q631" i="10" a="1"/>
  <c r="Q631" i="10" s="1"/>
  <c r="Q374" i="10" a="1"/>
  <c r="Q374" i="10" s="1"/>
  <c r="Q583" i="10" a="1"/>
  <c r="Q583" i="10" s="1"/>
  <c r="Q788" i="10" a="1"/>
  <c r="Q788" i="10" s="1"/>
  <c r="Q915" i="10" a="1"/>
  <c r="Q915" i="10" s="1"/>
  <c r="Q979" i="10" a="1"/>
  <c r="Q979" i="10" s="1"/>
  <c r="Q163" i="10" a="1"/>
  <c r="Q163" i="10" s="1"/>
  <c r="Q179" i="10" a="1"/>
  <c r="Q179" i="10" s="1"/>
  <c r="Q634" i="10" a="1"/>
  <c r="Q634" i="10" s="1"/>
  <c r="Q806" i="10" a="1"/>
  <c r="Q806" i="10" s="1"/>
  <c r="Q157" i="10" a="1"/>
  <c r="Q157" i="10" s="1"/>
  <c r="Q388" i="10" a="1"/>
  <c r="Q388" i="10" s="1"/>
  <c r="Q1029" i="10" a="1"/>
  <c r="Q1029" i="10" s="1"/>
  <c r="Q147" i="10" a="1"/>
  <c r="Q147" i="10" s="1"/>
  <c r="Q185" i="10" a="1"/>
  <c r="Q185" i="10" s="1"/>
  <c r="Q480" i="10" a="1"/>
  <c r="Q480" i="10" s="1"/>
  <c r="Q719" i="10" a="1"/>
  <c r="Q719" i="10" s="1"/>
  <c r="Q95" i="10" a="1"/>
  <c r="Q95" i="10" s="1"/>
  <c r="Q175" i="10" a="1"/>
  <c r="Q175" i="10" s="1"/>
  <c r="Q55" i="10" a="1"/>
  <c r="Q55" i="10" s="1"/>
  <c r="Q470" i="10" a="1"/>
  <c r="Q470" i="10" s="1"/>
  <c r="Q848" i="10" a="1"/>
  <c r="Q848" i="10" s="1"/>
  <c r="Q274" i="10" a="1"/>
  <c r="Q274" i="10" s="1"/>
  <c r="Q131" i="10" a="1"/>
  <c r="Q131" i="10" s="1"/>
  <c r="Q932" i="10" a="1"/>
  <c r="Q932" i="10" s="1"/>
  <c r="Q489" i="10" a="1"/>
  <c r="Q489" i="10" s="1"/>
  <c r="Q1167" i="10" a="1"/>
  <c r="Q1167" i="10" s="1"/>
  <c r="Q450" i="10" a="1"/>
  <c r="Q450" i="10" s="1"/>
  <c r="Q387" i="10" a="1"/>
  <c r="Q387" i="10" s="1"/>
  <c r="Q629" i="10" a="1"/>
  <c r="Q629" i="10" s="1"/>
  <c r="Q919" i="10" a="1"/>
  <c r="Q919" i="10" s="1"/>
  <c r="Q1014" i="10" a="1"/>
  <c r="Q1014" i="10" s="1"/>
  <c r="Q252" i="10" a="1"/>
  <c r="Q252" i="10" s="1"/>
  <c r="Q922" i="10" a="1"/>
  <c r="Q922" i="10" s="1"/>
  <c r="Q525" i="10" a="1"/>
  <c r="Q525" i="10" s="1"/>
  <c r="Q935" i="10" a="1"/>
  <c r="Q935" i="10" s="1"/>
  <c r="Q1133" i="10" a="1"/>
  <c r="Q1133" i="10" s="1"/>
  <c r="Q109" i="10" a="1"/>
  <c r="Q109" i="10" s="1"/>
  <c r="Q1043" i="10" a="1"/>
  <c r="Q1043" i="10" s="1"/>
  <c r="Q711" i="10" a="1"/>
  <c r="Q711" i="10" s="1"/>
  <c r="Q30" i="10" a="1"/>
  <c r="Q30" i="10" s="1"/>
  <c r="Q656" i="10" a="1"/>
  <c r="Q656" i="10" s="1"/>
  <c r="Q1023" i="10" a="1"/>
  <c r="Q1023" i="10" s="1"/>
  <c r="Q1052" i="10" a="1"/>
  <c r="Q1052" i="10" s="1"/>
  <c r="Q113" i="10" a="1"/>
  <c r="Q113" i="10" s="1"/>
  <c r="Q132" i="10" a="1"/>
  <c r="Q132" i="10" s="1"/>
  <c r="Q940" i="10" a="1"/>
  <c r="Q940" i="10" s="1"/>
  <c r="Q965" i="10" a="1"/>
  <c r="Q965" i="10" s="1"/>
  <c r="Q258" i="10" a="1"/>
  <c r="Q258" i="10" s="1"/>
  <c r="Q709" i="10" a="1"/>
  <c r="Q709" i="10" s="1"/>
  <c r="Q172" i="10" a="1"/>
  <c r="Q172" i="10" s="1"/>
  <c r="Q733" i="10" a="1"/>
  <c r="Q733" i="10" s="1"/>
  <c r="Q286" i="10" a="1"/>
  <c r="Q286" i="10" s="1"/>
  <c r="Q968" i="10" a="1"/>
  <c r="Q968" i="10" s="1"/>
  <c r="Q400" i="10" a="1"/>
  <c r="Q400" i="10" s="1"/>
  <c r="Q871" i="10" a="1"/>
  <c r="Q871" i="10" s="1"/>
  <c r="Q292" i="10" a="1"/>
  <c r="Q292" i="10" s="1"/>
  <c r="Q1114" i="10" a="1"/>
  <c r="Q1114" i="10" s="1"/>
  <c r="Q531" i="10" a="1"/>
  <c r="Q531" i="10" s="1"/>
  <c r="Q227" i="10" a="1"/>
  <c r="Q227" i="10" s="1"/>
  <c r="Q275" i="10" a="1"/>
  <c r="Q275" i="10" s="1"/>
  <c r="Q247" i="10" a="1"/>
  <c r="Q247" i="10" s="1"/>
  <c r="Q542" i="10" a="1"/>
  <c r="Q542" i="10" s="1"/>
  <c r="Q380" i="10" a="1"/>
  <c r="Q380" i="10" s="1"/>
  <c r="Q384" i="10" a="1"/>
  <c r="Q384" i="10" s="1"/>
  <c r="Q675" i="10" a="1"/>
  <c r="Q675" i="10" s="1"/>
  <c r="Q18" i="10" a="1"/>
  <c r="Q18" i="10" s="1"/>
  <c r="Q671" i="10" a="1"/>
  <c r="Q671" i="10" s="1"/>
  <c r="Q550" i="10" a="1"/>
  <c r="Q550" i="10" s="1"/>
  <c r="Q841" i="10" a="1"/>
  <c r="Q841" i="10" s="1"/>
  <c r="Q1142" i="10" a="1"/>
  <c r="Q1142" i="10" s="1"/>
  <c r="Q121" i="10" a="1"/>
  <c r="Q121" i="10" s="1"/>
  <c r="Q1148" i="10" a="1"/>
  <c r="Q1148" i="10" s="1"/>
  <c r="Q466" i="10" a="1"/>
  <c r="Q466" i="10" s="1"/>
  <c r="Q1013" i="10" a="1"/>
  <c r="Q1013" i="10" s="1"/>
  <c r="Q851" i="10" a="1"/>
  <c r="Q851" i="10" s="1"/>
  <c r="Q662" i="10" a="1"/>
  <c r="Q662" i="10" s="1"/>
  <c r="Q553" i="10" a="1"/>
  <c r="Q553" i="10" s="1"/>
  <c r="Q931" i="10" a="1"/>
  <c r="Q931" i="10" s="1"/>
  <c r="Q202" i="10" a="1"/>
  <c r="Q202" i="10" s="1"/>
  <c r="Q644" i="10" a="1"/>
  <c r="Q644" i="10" s="1"/>
  <c r="Q178" i="10" a="1"/>
  <c r="Q178" i="10" s="1"/>
  <c r="Q669" i="10" a="1"/>
  <c r="Q669" i="10" s="1"/>
  <c r="Q599" i="10" a="1"/>
  <c r="Q599" i="10" s="1"/>
  <c r="Q652" i="10" a="1"/>
  <c r="Q652" i="10" s="1"/>
  <c r="Q716" i="10" a="1"/>
  <c r="Q716" i="10" s="1"/>
  <c r="Q799" i="10" a="1"/>
  <c r="Q799" i="10" s="1"/>
  <c r="Q317" i="10" a="1"/>
  <c r="Q317" i="10" s="1"/>
  <c r="Q639" i="10" a="1"/>
  <c r="Q639" i="10" s="1"/>
  <c r="Q722" i="10" a="1"/>
  <c r="Q722" i="10" s="1"/>
  <c r="Q162" i="10" a="1"/>
  <c r="Q162" i="10" s="1"/>
  <c r="Q953" i="10" a="1"/>
  <c r="Q953" i="10" s="1"/>
  <c r="Q137" i="10" a="1"/>
  <c r="Q137" i="10" s="1"/>
  <c r="Q1091" i="10" a="1"/>
  <c r="Q1091" i="10" s="1"/>
  <c r="Q547" i="10" a="1"/>
  <c r="Q547" i="10" s="1"/>
  <c r="Q490" i="10" a="1"/>
  <c r="Q490" i="10" s="1"/>
  <c r="Q1165" i="10" a="1"/>
  <c r="Q1165" i="10" s="1"/>
  <c r="Q627" i="10" a="1"/>
  <c r="Q627" i="10" s="1"/>
  <c r="Q309" i="10" a="1"/>
  <c r="Q309" i="10" s="1"/>
  <c r="Q508" i="10" a="1"/>
  <c r="Q508" i="10" s="1"/>
  <c r="Q924" i="10" a="1"/>
  <c r="Q924" i="10" s="1"/>
  <c r="Q896" i="10" a="1"/>
  <c r="Q896" i="10" s="1"/>
  <c r="Q80" i="10" a="1"/>
  <c r="Q80" i="10" s="1"/>
  <c r="Q96" i="10" a="1"/>
  <c r="Q96" i="10" s="1"/>
  <c r="Q963" i="10" a="1"/>
  <c r="Q963" i="10" s="1"/>
  <c r="Q231" i="10" a="1"/>
  <c r="Q231" i="10" s="1"/>
  <c r="Q485" i="10" a="1"/>
  <c r="Q485" i="10" s="1"/>
  <c r="Q780" i="10" a="1"/>
  <c r="Q780" i="10" s="1"/>
  <c r="Q420" i="10" a="1"/>
  <c r="Q420" i="10" s="1"/>
  <c r="Q233" i="10" a="1"/>
  <c r="Q233" i="10" s="1"/>
  <c r="Q102" i="10" a="1"/>
  <c r="Q102" i="10" s="1"/>
  <c r="Q351" i="10" a="1"/>
  <c r="Q351" i="10" s="1"/>
  <c r="Q27" i="10" a="1"/>
  <c r="Q27" i="10" s="1"/>
  <c r="Q1170" i="10" a="1"/>
  <c r="Q1170" i="10" s="1"/>
  <c r="Q448" i="10" a="1"/>
  <c r="Q448" i="10" s="1"/>
  <c r="Q458" i="10" a="1"/>
  <c r="Q458" i="10" s="1"/>
  <c r="Q1051" i="10" a="1"/>
  <c r="Q1051" i="10" s="1"/>
  <c r="Q628" i="10" a="1"/>
  <c r="Q628" i="10" s="1"/>
  <c r="Q1046" i="10" a="1"/>
  <c r="Q1046" i="10" s="1"/>
  <c r="Q1054" i="10" a="1"/>
  <c r="Q1054" i="10" s="1"/>
  <c r="Q114" i="10" a="1"/>
  <c r="Q114" i="10" s="1"/>
  <c r="Q180" i="10" a="1"/>
  <c r="Q180" i="10" s="1"/>
  <c r="Q682" i="10" a="1"/>
  <c r="Q682" i="10" s="1"/>
  <c r="Q893" i="10" a="1"/>
  <c r="Q893" i="10" s="1"/>
  <c r="Q1053" i="10" a="1"/>
  <c r="Q1053" i="10" s="1"/>
  <c r="Q770" i="10" a="1"/>
  <c r="Q770" i="10" s="1"/>
  <c r="Q539" i="10" a="1"/>
  <c r="Q539" i="10" s="1"/>
  <c r="Q1147" i="10" a="1"/>
  <c r="Q1147" i="10" s="1"/>
  <c r="Q555" i="10" a="1"/>
  <c r="Q555" i="10" s="1"/>
  <c r="Q453" i="10" a="1"/>
  <c r="Q453" i="10" s="1"/>
  <c r="Q1109" i="10" a="1"/>
  <c r="Q1109" i="10" s="1"/>
  <c r="Q361" i="10" a="1"/>
  <c r="Q361" i="10" s="1"/>
  <c r="Q742" i="10" a="1"/>
  <c r="Q742" i="10" s="1"/>
  <c r="Q534" i="10" a="1"/>
  <c r="Q534" i="10" s="1"/>
  <c r="Q1081" i="10" a="1"/>
  <c r="Q1081" i="10" s="1"/>
  <c r="Q873" i="10" a="1"/>
  <c r="Q873" i="10" s="1"/>
  <c r="Q144" i="10" a="1"/>
  <c r="Q144" i="10" s="1"/>
  <c r="Q795" i="10" a="1"/>
  <c r="Q795" i="10" s="1"/>
  <c r="Q29" i="10" a="1"/>
  <c r="Q29" i="10" s="1"/>
  <c r="Q749" i="10" a="1"/>
  <c r="Q749" i="10" s="1"/>
  <c r="Q182" i="10" a="1"/>
  <c r="Q182" i="10" s="1"/>
  <c r="Q991" i="10" a="1"/>
  <c r="Q991" i="10" s="1"/>
  <c r="Q772" i="10" a="1"/>
  <c r="Q772" i="10" s="1"/>
  <c r="Q431" i="10" a="1"/>
  <c r="Q431" i="10" s="1"/>
  <c r="Q633" i="10" a="1"/>
  <c r="Q633" i="10" s="1"/>
  <c r="Q911" i="10" a="1"/>
  <c r="Q911" i="10" s="1"/>
  <c r="Q807" i="10" a="1"/>
  <c r="Q807" i="10" s="1"/>
  <c r="Q329" i="10" a="1"/>
  <c r="Q329" i="10" s="1"/>
  <c r="Q31" i="10" a="1"/>
  <c r="Q31" i="10" s="1"/>
  <c r="Q866" i="10" a="1"/>
  <c r="Q866" i="10" s="1"/>
  <c r="Q189" i="10" a="1"/>
  <c r="Q189" i="10" s="1"/>
  <c r="Q434" i="10" a="1"/>
  <c r="Q434" i="10" s="1"/>
  <c r="Q63" i="10" a="1"/>
  <c r="Q63" i="10" s="1"/>
  <c r="Q439" i="10" a="1"/>
  <c r="Q439" i="10" s="1"/>
  <c r="Q659" i="10" a="1"/>
  <c r="Q659" i="10" s="1"/>
  <c r="Q895" i="10" a="1"/>
  <c r="Q895" i="10" s="1"/>
  <c r="Q1031" i="10" a="1"/>
  <c r="Q1031" i="10" s="1"/>
  <c r="Q441" i="10" a="1"/>
  <c r="Q441" i="10" s="1"/>
  <c r="Q124" i="10" a="1"/>
  <c r="Q124" i="10" s="1"/>
  <c r="Q356" i="10" a="1"/>
  <c r="Q356" i="10" s="1"/>
  <c r="Q649" i="10" a="1"/>
  <c r="Q649" i="10" s="1"/>
  <c r="Q607" i="10" a="1"/>
  <c r="Q607" i="10" s="1"/>
  <c r="Q1111" i="10" a="1"/>
  <c r="Q1111" i="10" s="1"/>
  <c r="Q998" i="10" a="1"/>
  <c r="Q998" i="10" s="1"/>
  <c r="Q348" i="10" a="1"/>
  <c r="Q348" i="10" s="1"/>
  <c r="Q342" i="10" a="1"/>
  <c r="Q342" i="10" s="1"/>
  <c r="Q983" i="10" a="1"/>
  <c r="Q983" i="10" s="1"/>
  <c r="Q653" i="10" a="1"/>
  <c r="Q653" i="10" s="1"/>
  <c r="Q1095" i="10" a="1"/>
  <c r="Q1095" i="10" s="1"/>
  <c r="Q645" i="10" a="1"/>
  <c r="Q645" i="10" s="1"/>
  <c r="Q211" i="10" a="1"/>
  <c r="Q211" i="10" s="1"/>
  <c r="Q982" i="10" a="1"/>
  <c r="Q982" i="10" s="1"/>
  <c r="Q876" i="10" a="1"/>
  <c r="Q876" i="10" s="1"/>
  <c r="Q701" i="10" a="1"/>
  <c r="Q701" i="10" s="1"/>
  <c r="Q166" i="10" a="1"/>
  <c r="Q166" i="10" s="1"/>
  <c r="Q956" i="10" a="1"/>
  <c r="Q956" i="10" s="1"/>
  <c r="Q115" i="10" a="1"/>
  <c r="Q115" i="10" s="1"/>
  <c r="Q886" i="10" a="1"/>
  <c r="Q886" i="10" s="1"/>
  <c r="Q908" i="10" a="1"/>
  <c r="Q908" i="10" s="1"/>
  <c r="Q442" i="10" a="1"/>
  <c r="Q442" i="10" s="1"/>
  <c r="Q371" i="10" a="1"/>
  <c r="Q371" i="10" s="1"/>
  <c r="Q140" i="10" a="1"/>
  <c r="Q140" i="10" s="1"/>
  <c r="Q426" i="10" a="1"/>
  <c r="Q426" i="10" s="1"/>
  <c r="Q90" i="10" a="1"/>
  <c r="Q90" i="10" s="1"/>
  <c r="Q604" i="10" a="1"/>
  <c r="Q604" i="10" s="1"/>
  <c r="Q464" i="10" a="1"/>
  <c r="Q464" i="10" s="1"/>
  <c r="Q143" i="10" a="1"/>
  <c r="Q143" i="10" s="1"/>
  <c r="Q914" i="10" a="1"/>
  <c r="Q914" i="10" s="1"/>
  <c r="Q672" i="10" a="1"/>
  <c r="Q672" i="10" s="1"/>
  <c r="Q45" i="10" a="1"/>
  <c r="Q45" i="10" s="1"/>
  <c r="Q98" i="10" a="1"/>
  <c r="Q98" i="10" s="1"/>
  <c r="Q1027" i="10" a="1"/>
  <c r="Q1027" i="10" s="1"/>
  <c r="Q756" i="10" a="1"/>
  <c r="Q756" i="10" s="1"/>
  <c r="Q169" i="10" a="1"/>
  <c r="Q169" i="10" s="1"/>
  <c r="Q1085" i="10" a="1"/>
  <c r="Q1085" i="10" s="1"/>
  <c r="Q1093" i="10" a="1"/>
  <c r="Q1093" i="10" s="1"/>
  <c r="Q916" i="10" a="1"/>
  <c r="Q916" i="10" s="1"/>
  <c r="Q981" i="10" a="1"/>
  <c r="Q981" i="10" s="1"/>
  <c r="Q867" i="10" a="1"/>
  <c r="Q867" i="10" s="1"/>
  <c r="Q503" i="10" a="1"/>
  <c r="Q503" i="10" s="1"/>
  <c r="Q293" i="10" a="1"/>
  <c r="Q293" i="10" s="1"/>
  <c r="Q51" i="10" a="1"/>
  <c r="Q51" i="10" s="1"/>
  <c r="Q822" i="10" a="1"/>
  <c r="Q822" i="10" s="1"/>
  <c r="Q844" i="10" a="1"/>
  <c r="Q844" i="10" s="1"/>
  <c r="Q986" i="10" a="1"/>
  <c r="Q986" i="10" s="1"/>
  <c r="Q933" i="10" a="1"/>
  <c r="Q933" i="10" s="1"/>
  <c r="Q83" i="10" a="1"/>
  <c r="Q83" i="10" s="1"/>
  <c r="Q917" i="10" a="1"/>
  <c r="Q917" i="10" s="1"/>
  <c r="Q837" i="10" a="1"/>
  <c r="Q837" i="10" s="1"/>
  <c r="Q150" i="10" a="1"/>
  <c r="Q150" i="10" s="1"/>
  <c r="Q1071" i="10" a="1"/>
  <c r="Q1071" i="10" s="1"/>
  <c r="Q743" i="10" a="1"/>
  <c r="Q743" i="10" s="1"/>
  <c r="Q297" i="10" a="1"/>
  <c r="Q297" i="10" s="1"/>
  <c r="Q191" i="10" a="1"/>
  <c r="Q191" i="10" s="1"/>
  <c r="Q962" i="10" a="1"/>
  <c r="Q962" i="10" s="1"/>
  <c r="Q592" i="10" a="1"/>
  <c r="Q592" i="10" s="1"/>
  <c r="Q271" i="10" a="1"/>
  <c r="Q271" i="10" s="1"/>
  <c r="Q1042" i="10" a="1"/>
  <c r="Q1042" i="10" s="1"/>
  <c r="Q159" i="10" a="1"/>
  <c r="Q159" i="10" s="1"/>
  <c r="Q816" i="10" a="1"/>
  <c r="Q816" i="10" s="1"/>
  <c r="Q484" i="10" a="1"/>
  <c r="Q484" i="10" s="1"/>
  <c r="Q482" i="10" a="1"/>
  <c r="Q482" i="10" s="1"/>
  <c r="Q492" i="10" a="1"/>
  <c r="Q492" i="10" s="1"/>
  <c r="Q359" i="10" a="1"/>
  <c r="Q359" i="10" s="1"/>
  <c r="Q229" i="10" a="1"/>
  <c r="Q229" i="10" s="1"/>
  <c r="Q1124" i="10" a="1"/>
  <c r="Q1124" i="10" s="1"/>
  <c r="Q758" i="10" a="1"/>
  <c r="Q758" i="10" s="1"/>
  <c r="Q524" i="10" a="1"/>
  <c r="Q524" i="10" s="1"/>
  <c r="Q58" i="10" a="1"/>
  <c r="Q58" i="10" s="1"/>
  <c r="Q591" i="10" a="1"/>
  <c r="Q591" i="10" s="1"/>
  <c r="Q487" i="10" a="1"/>
  <c r="Q487" i="10" s="1"/>
  <c r="Q236" i="10" a="1"/>
  <c r="Q236" i="10" s="1"/>
  <c r="Q445" i="10" a="1"/>
  <c r="Q445" i="10" s="1"/>
  <c r="Q832" i="10" a="1"/>
  <c r="Q832" i="10" s="1"/>
  <c r="Q300" i="10" a="1"/>
  <c r="Q300" i="10" s="1"/>
  <c r="Q36" i="10" a="1"/>
  <c r="Q36" i="10" s="1"/>
  <c r="Q155" i="10" a="1"/>
  <c r="Q155" i="10" s="1"/>
  <c r="Q728" i="10" a="1"/>
  <c r="Q728" i="10" s="1"/>
  <c r="Q715" i="10" a="1"/>
  <c r="Q715" i="10" s="1"/>
  <c r="Q1086" i="10" a="1"/>
  <c r="Q1086" i="10" s="1"/>
  <c r="Q77" i="10" a="1"/>
  <c r="Q77" i="10" s="1"/>
  <c r="Q664" i="10" a="1"/>
  <c r="Q664" i="10" s="1"/>
  <c r="Q1073" i="10" a="1"/>
  <c r="Q1073" i="10" s="1"/>
  <c r="Q398" i="10" a="1"/>
  <c r="Q398" i="10" s="1"/>
  <c r="Q877" i="10" a="1"/>
  <c r="Q877" i="10" s="1"/>
  <c r="Q145" i="10" a="1"/>
  <c r="Q145" i="10" s="1"/>
  <c r="Q785" i="10" a="1"/>
  <c r="Q785" i="10" s="1"/>
  <c r="Q683" i="10" a="1"/>
  <c r="Q683" i="10" s="1"/>
  <c r="Q1096" i="10" a="1"/>
  <c r="Q1096" i="10" s="1"/>
  <c r="Q284" i="10" a="1"/>
  <c r="Q284" i="10" s="1"/>
  <c r="Q255" i="10" a="1"/>
  <c r="Q255" i="10" s="1"/>
  <c r="Q739" i="10" a="1"/>
  <c r="Q739" i="10" s="1"/>
  <c r="Q343" i="10" a="1"/>
  <c r="Q343" i="10" s="1"/>
  <c r="Q199" i="10" a="1"/>
  <c r="Q199" i="10" s="1"/>
  <c r="Q28" i="10" a="1"/>
  <c r="Q28" i="10" s="1"/>
  <c r="Q22" i="10" a="1"/>
  <c r="Q22" i="10" s="1"/>
  <c r="Q72" i="10" a="1"/>
  <c r="Q72" i="10" s="1"/>
  <c r="Q486" i="10" a="1"/>
  <c r="Q486" i="10" s="1"/>
  <c r="Q253" i="10" a="1"/>
  <c r="Q253" i="10" s="1"/>
  <c r="Q19" i="10" a="1"/>
  <c r="Q19" i="10" s="1"/>
  <c r="Q514" i="10" a="1"/>
  <c r="Q514" i="10" s="1"/>
  <c r="Q995" i="10" a="1"/>
  <c r="Q995" i="10" s="1"/>
  <c r="Q775" i="10" a="1"/>
  <c r="Q775" i="10" s="1"/>
  <c r="Q545" i="10" a="1"/>
  <c r="Q545" i="10" s="1"/>
  <c r="Q838" i="10" a="1"/>
  <c r="Q838" i="10" s="1"/>
  <c r="Q296" i="10" a="1"/>
  <c r="Q296" i="10" s="1"/>
  <c r="Q494" i="10" a="1"/>
  <c r="Q494" i="10" s="1"/>
  <c r="Q266" i="10" a="1"/>
  <c r="Q266" i="10" s="1"/>
  <c r="Q136" i="10" a="1"/>
  <c r="Q136" i="10" s="1"/>
  <c r="Q568" i="10" a="1"/>
  <c r="Q568" i="10" s="1"/>
  <c r="Q857" i="10" a="1"/>
  <c r="Q857" i="10" s="1"/>
  <c r="Q315" i="10" a="1"/>
  <c r="Q315" i="10" s="1"/>
  <c r="Q513" i="10" a="1"/>
  <c r="Q513" i="10" s="1"/>
  <c r="Q926" i="10" a="1"/>
  <c r="Q926" i="10" s="1"/>
  <c r="Q632" i="10" a="1"/>
  <c r="Q632" i="10" s="1"/>
  <c r="Q921" i="10" a="1"/>
  <c r="Q921" i="10" s="1"/>
  <c r="Q379" i="10" a="1"/>
  <c r="Q379" i="10" s="1"/>
  <c r="Q577" i="10" a="1"/>
  <c r="Q577" i="10" s="1"/>
  <c r="Q990" i="10" a="1"/>
  <c r="Q990" i="10" s="1"/>
  <c r="Q219" i="10" a="1"/>
  <c r="Q219" i="10" s="1"/>
  <c r="Q651" i="10" a="1"/>
  <c r="Q651" i="10" s="1"/>
  <c r="Q958" i="10" a="1"/>
  <c r="Q958" i="10" s="1"/>
  <c r="Q1159" i="10" a="1"/>
  <c r="Q1159" i="10" s="1"/>
  <c r="Q600" i="10" a="1"/>
  <c r="Q600" i="10" s="1"/>
  <c r="Q1009" i="10" a="1"/>
  <c r="Q1009" i="10" s="1"/>
  <c r="Q167" i="10" a="1"/>
  <c r="Q167" i="10" s="1"/>
  <c r="Q540" i="10" a="1"/>
  <c r="Q540" i="10" s="1"/>
  <c r="Q192" i="10" a="1"/>
  <c r="Q192" i="10" s="1"/>
  <c r="Q85" i="10" a="1"/>
  <c r="Q85" i="10" s="1"/>
  <c r="Q93" i="10" a="1"/>
  <c r="Q93" i="10" s="1"/>
  <c r="Q462" i="10" a="1"/>
  <c r="Q462" i="10" s="1"/>
  <c r="Q1069" i="10" a="1"/>
  <c r="Q1069" i="10" s="1"/>
  <c r="Q209" i="10" a="1"/>
  <c r="Q209" i="10" s="1"/>
  <c r="Q849" i="10" a="1"/>
  <c r="Q849" i="10" s="1"/>
  <c r="Q747" i="10" a="1"/>
  <c r="Q747" i="10" s="1"/>
  <c r="Q49" i="10" a="1"/>
  <c r="Q49" i="10" s="1"/>
  <c r="Q481" i="10" a="1"/>
  <c r="Q481" i="10" s="1"/>
  <c r="Q774" i="10" a="1"/>
  <c r="Q774" i="10" s="1"/>
  <c r="Q232" i="10" a="1"/>
  <c r="Q232" i="10" s="1"/>
  <c r="Q430" i="10" a="1"/>
  <c r="Q430" i="10" s="1"/>
  <c r="Q74" i="10" a="1"/>
  <c r="Q74" i="10" s="1"/>
  <c r="Q344" i="10" a="1"/>
  <c r="Q344" i="10" s="1"/>
  <c r="Q254" i="10" a="1"/>
  <c r="Q254" i="10" s="1"/>
  <c r="Q1160" i="10" a="1"/>
  <c r="Q1160" i="10" s="1"/>
  <c r="Q1022" i="10" a="1"/>
  <c r="Q1022" i="10" s="1"/>
  <c r="Q1118" i="10" a="1"/>
  <c r="Q1118" i="10" s="1"/>
  <c r="Q523" i="10" a="1"/>
  <c r="Q523" i="10" s="1"/>
  <c r="Q792" i="10" a="1"/>
  <c r="Q792" i="10" s="1"/>
  <c r="Q843" i="10" a="1"/>
  <c r="Q843" i="10" s="1"/>
  <c r="Q110" i="10" a="1"/>
  <c r="Q110" i="10" s="1"/>
  <c r="Q558" i="10" a="1"/>
  <c r="Q558" i="10" s="1"/>
  <c r="Q609" i="10" a="1"/>
  <c r="Q609" i="10" s="1"/>
  <c r="Q878" i="10" a="1"/>
  <c r="Q878" i="10" s="1"/>
  <c r="Q929" i="10" a="1"/>
  <c r="Q929" i="10" s="1"/>
  <c r="Q842" i="10" a="1"/>
  <c r="Q842" i="10" s="1"/>
  <c r="Q737" i="10" a="1"/>
  <c r="Q737" i="10" s="1"/>
  <c r="Q552" i="10" a="1"/>
  <c r="Q552" i="10" s="1"/>
  <c r="Q1021" i="10" a="1"/>
  <c r="Q1021" i="10" s="1"/>
  <c r="Q454" i="10" a="1"/>
  <c r="Q454" i="10" s="1"/>
  <c r="Q814" i="10" a="1"/>
  <c r="Q814" i="10" s="1"/>
  <c r="Q81" i="10" a="1"/>
  <c r="Q81" i="10" s="1"/>
  <c r="Q1025" i="10" a="1"/>
  <c r="Q1025" i="10" s="1"/>
  <c r="Q731" i="10" a="1"/>
  <c r="Q731" i="10" s="1"/>
  <c r="Q891" i="10" a="1"/>
  <c r="Q891" i="10" s="1"/>
  <c r="Q698" i="10" a="1"/>
  <c r="Q698" i="10" s="1"/>
  <c r="Q794" i="10" a="1"/>
  <c r="Q794" i="10" s="1"/>
  <c r="Q670" i="10" a="1"/>
  <c r="Q670" i="10" s="1"/>
  <c r="Q257" i="10" a="1"/>
  <c r="Q257" i="10" s="1"/>
  <c r="Q59" i="10" a="1"/>
  <c r="Q59" i="10" s="1"/>
  <c r="Q601" i="10" a="1"/>
  <c r="Q601" i="10" s="1"/>
  <c r="Q312" i="10" a="1"/>
  <c r="Q312" i="10" s="1"/>
  <c r="Q1002" i="10" a="1"/>
  <c r="Q1002" i="10" s="1"/>
  <c r="Q734" i="10" a="1"/>
  <c r="Q734" i="10" s="1"/>
  <c r="Q321" i="10" a="1"/>
  <c r="Q321" i="10" s="1"/>
  <c r="Q123" i="10" a="1"/>
  <c r="Q123" i="10" s="1"/>
  <c r="Q665" i="10" a="1"/>
  <c r="Q665" i="10" s="1"/>
  <c r="Q376" i="10" a="1"/>
  <c r="Q376" i="10" s="1"/>
  <c r="Q472" i="10" a="1"/>
  <c r="Q472" i="10" s="1"/>
  <c r="Q1144" i="10" a="1"/>
  <c r="Q1144" i="10" s="1"/>
  <c r="Q729" i="10" a="1"/>
  <c r="Q729" i="10" s="1"/>
  <c r="Q440" i="10" a="1"/>
  <c r="Q440" i="10" s="1"/>
  <c r="Q347" i="10" a="1"/>
  <c r="Q347" i="10" s="1"/>
  <c r="Q1119" i="10" a="1"/>
  <c r="Q1119" i="10" s="1"/>
  <c r="Q705" i="10" a="1"/>
  <c r="Q705" i="10" s="1"/>
  <c r="Q507" i="10" a="1"/>
  <c r="Q507" i="10" s="1"/>
  <c r="Q1049" i="10" a="1"/>
  <c r="Q1049" i="10" s="1"/>
  <c r="Q760" i="10" a="1"/>
  <c r="Q760" i="10" s="1"/>
  <c r="Q616" i="10" a="1"/>
  <c r="Q616" i="10" s="1"/>
  <c r="Q689" i="10" a="1"/>
  <c r="Q689" i="10" s="1"/>
  <c r="Q830" i="10" a="1"/>
  <c r="Q830" i="10" s="1"/>
  <c r="Q331" i="10" a="1"/>
  <c r="Q331" i="10" s="1"/>
  <c r="Q619" i="10" a="1"/>
  <c r="Q619" i="10" s="1"/>
  <c r="Q685" i="10" a="1"/>
  <c r="Q685" i="10" s="1"/>
  <c r="Q977" i="10" a="1"/>
  <c r="Q977" i="10" s="1"/>
  <c r="Q273" i="10" a="1"/>
  <c r="Q273" i="10" s="1"/>
  <c r="Q170" i="10" a="1"/>
  <c r="Q170" i="10" s="1"/>
  <c r="Q782" i="10" a="1"/>
  <c r="Q782" i="10" s="1"/>
  <c r="Q433" i="10" a="1"/>
  <c r="Q433" i="10" s="1"/>
  <c r="Q24" i="10" a="1"/>
  <c r="Q24" i="10" s="1"/>
  <c r="Q382" i="10" a="1"/>
  <c r="Q382" i="10" s="1"/>
  <c r="Q657" i="10" a="1"/>
  <c r="Q657" i="10" s="1"/>
  <c r="Q75" i="10" a="1"/>
  <c r="Q75" i="10" s="1"/>
  <c r="Q846" i="10" a="1"/>
  <c r="Q846" i="10" s="1"/>
  <c r="Q241" i="10" a="1"/>
  <c r="Q241" i="10" s="1"/>
  <c r="Q939" i="10" a="1"/>
  <c r="Q939" i="10" s="1"/>
  <c r="Q62" i="10" a="1"/>
  <c r="Q62" i="10" s="1"/>
  <c r="Q465" i="10" a="1"/>
  <c r="Q465" i="10" s="1"/>
  <c r="Q554" i="10" a="1"/>
  <c r="Q554" i="10" s="1"/>
  <c r="Q654" i="10" a="1"/>
  <c r="Q654" i="10" s="1"/>
  <c r="Q305" i="10" a="1"/>
  <c r="Q305" i="10" s="1"/>
  <c r="Q1003" i="10" a="1"/>
  <c r="Q1003" i="10" s="1"/>
  <c r="Q190" i="10" a="1"/>
  <c r="Q190" i="10" s="1"/>
  <c r="Q529" i="10" a="1"/>
  <c r="Q529" i="10" s="1"/>
  <c r="Q746" i="10" a="1"/>
  <c r="Q746" i="10" s="1"/>
  <c r="Q718" i="10" a="1"/>
  <c r="Q718" i="10" s="1"/>
  <c r="Q593" i="10" a="1"/>
  <c r="Q593" i="10" s="1"/>
  <c r="Q776" i="10" a="1"/>
  <c r="Q776" i="10" s="1"/>
  <c r="Q890" i="10" a="1"/>
  <c r="Q890" i="10" s="1"/>
  <c r="Q248" i="10" a="1"/>
  <c r="Q248" i="10" s="1"/>
  <c r="Q449" i="10" a="1"/>
  <c r="Q449" i="10" s="1"/>
  <c r="Q587" i="10" a="1"/>
  <c r="Q587" i="10" s="1"/>
  <c r="Q699" i="10" a="1"/>
  <c r="Q699" i="10" s="1"/>
  <c r="Q859" i="10" a="1"/>
  <c r="Q859" i="10" s="1"/>
  <c r="Q973" i="10" a="1"/>
  <c r="Q973" i="10" s="1"/>
  <c r="Q710" i="10" a="1"/>
  <c r="Q710" i="10" s="1"/>
  <c r="Q584" i="10" a="1"/>
  <c r="Q584" i="10" s="1"/>
  <c r="Q171" i="10" a="1"/>
  <c r="Q171" i="10" s="1"/>
  <c r="Q942" i="10" a="1"/>
  <c r="Q942" i="10" s="1"/>
  <c r="Q744" i="10" a="1"/>
  <c r="Q744" i="10" s="1"/>
  <c r="Q1123" i="10" a="1"/>
  <c r="Q1123" i="10" s="1"/>
  <c r="Q993" i="10" a="1"/>
  <c r="Q993" i="10" s="1"/>
  <c r="Q648" i="10" a="1"/>
  <c r="Q648" i="10" s="1"/>
  <c r="Q235" i="10" a="1"/>
  <c r="Q235" i="10" s="1"/>
  <c r="Q1006" i="10" a="1"/>
  <c r="Q1006" i="10" s="1"/>
  <c r="Q808" i="10" a="1"/>
  <c r="Q808" i="10" s="1"/>
  <c r="Q1141" i="10" a="1"/>
  <c r="Q1141" i="10" s="1"/>
  <c r="Q1057" i="10" a="1"/>
  <c r="Q1057" i="10" s="1"/>
  <c r="Q46" i="10" a="1"/>
  <c r="Q46" i="10" s="1"/>
  <c r="Q955" i="10" a="1"/>
  <c r="Q955" i="10" s="1"/>
  <c r="Q390" i="10" a="1"/>
  <c r="Q390" i="10" s="1"/>
  <c r="Q97" i="10" a="1"/>
  <c r="Q97" i="10" s="1"/>
  <c r="Q574" i="10" a="1"/>
  <c r="Q574" i="10" s="1"/>
  <c r="Q974" i="10" a="1"/>
  <c r="Q974" i="10" s="1"/>
  <c r="Q872" i="10" a="1"/>
  <c r="Q872" i="10" s="1"/>
  <c r="Q409" i="10" a="1"/>
  <c r="Q409" i="10" s="1"/>
  <c r="Q267" i="10" a="1"/>
  <c r="Q267" i="10" s="1"/>
  <c r="Q408" i="10" a="1"/>
  <c r="Q408" i="10" s="1"/>
  <c r="Q459" i="10" a="1"/>
  <c r="Q459" i="10" s="1"/>
  <c r="Q638" i="10" a="1"/>
  <c r="Q638" i="10" s="1"/>
  <c r="Q94" i="10" a="1"/>
  <c r="Q94" i="10" s="1"/>
  <c r="Q25" i="10" a="1"/>
  <c r="Q25" i="10" s="1"/>
  <c r="Q602" i="10" a="1"/>
  <c r="Q602" i="10" s="1"/>
  <c r="Q945" i="10" a="1"/>
  <c r="Q945" i="10" s="1"/>
  <c r="Q360" i="10" a="1"/>
  <c r="Q360" i="10" s="1"/>
  <c r="Q520" i="10" a="1"/>
  <c r="Q520" i="10" s="1"/>
  <c r="Q680" i="10" a="1"/>
  <c r="Q680" i="10" s="1"/>
  <c r="Q328" i="10" a="1"/>
  <c r="Q328" i="10" s="1"/>
  <c r="Q488" i="10" a="1"/>
  <c r="Q488" i="10" s="1"/>
  <c r="Q392" i="10" a="1"/>
  <c r="Q392" i="10" s="1"/>
  <c r="Q1140" i="10" a="1"/>
  <c r="Q1140" i="10" s="1"/>
  <c r="Q1094" i="10" a="1"/>
  <c r="Q1094" i="10" s="1"/>
  <c r="Q1038" i="10" a="1"/>
  <c r="Q1038" i="10" s="1"/>
  <c r="Q862" i="10" a="1"/>
  <c r="Q862" i="10" s="1"/>
  <c r="Q865" i="10" a="1"/>
  <c r="Q865" i="10" s="1"/>
  <c r="Q667" i="10" a="1"/>
  <c r="Q667" i="10" s="1"/>
  <c r="Q827" i="10" a="1"/>
  <c r="Q827" i="10" s="1"/>
  <c r="Q1080" i="10" a="1"/>
  <c r="Q1080" i="10" s="1"/>
  <c r="Q1089" i="10" a="1"/>
  <c r="Q1089" i="10" s="1"/>
  <c r="Q33" i="10" a="1"/>
  <c r="Q33" i="10" s="1"/>
  <c r="Q473" i="10" a="1"/>
  <c r="Q473" i="10" s="1"/>
  <c r="Q923" i="10" a="1"/>
  <c r="Q923" i="10" s="1"/>
  <c r="Q413" i="10" a="1"/>
  <c r="Q413" i="10" s="1"/>
  <c r="Q174" i="10" a="1"/>
  <c r="Q174" i="10" s="1"/>
  <c r="Q1083" i="10" a="1"/>
  <c r="Q1083" i="10" s="1"/>
  <c r="Q518" i="10" a="1"/>
  <c r="Q518" i="10" s="1"/>
  <c r="Q225" i="10" a="1"/>
  <c r="Q225" i="10" s="1"/>
  <c r="Q987" i="10" a="1"/>
  <c r="Q987" i="10" s="1"/>
  <c r="Q589" i="10" a="1"/>
  <c r="Q589" i="10" s="1"/>
  <c r="Q238" i="10" a="1"/>
  <c r="Q238" i="10" s="1"/>
  <c r="Q40" i="10" a="1"/>
  <c r="Q40" i="10" s="1"/>
  <c r="Q582" i="10" a="1"/>
  <c r="Q582" i="10" s="1"/>
  <c r="Q289" i="10" a="1"/>
  <c r="Q289" i="10" s="1"/>
  <c r="Q385" i="10" a="1"/>
  <c r="Q385" i="10" s="1"/>
  <c r="Q187" i="10" a="1"/>
  <c r="Q187" i="10" s="1"/>
  <c r="Q646" i="10" a="1"/>
  <c r="Q646" i="10" s="1"/>
  <c r="Q353" i="10" a="1"/>
  <c r="Q353" i="10" s="1"/>
  <c r="Q264" i="10" a="1"/>
  <c r="Q264" i="10" s="1"/>
  <c r="Q650" i="10" a="1"/>
  <c r="Q650" i="10" s="1"/>
  <c r="Q622" i="10" a="1"/>
  <c r="Q622" i="10" s="1"/>
  <c r="Q424" i="10" a="1"/>
  <c r="Q424" i="10" s="1"/>
  <c r="Q966" i="10" a="1"/>
  <c r="Q966" i="10" s="1"/>
  <c r="Q673" i="10" a="1"/>
  <c r="Q673" i="10" s="1"/>
  <c r="Q134" i="10" a="1"/>
  <c r="Q134" i="10" s="1"/>
  <c r="Q363" i="10" a="1"/>
  <c r="Q363" i="10" s="1"/>
  <c r="Q1019" i="10" a="1"/>
  <c r="Q1019" i="10" s="1"/>
  <c r="Q161" i="10" a="1"/>
  <c r="Q161" i="10" s="1"/>
  <c r="Q366" i="10" a="1"/>
  <c r="Q366" i="10" s="1"/>
  <c r="Q417" i="10" a="1"/>
  <c r="Q417" i="10" s="1"/>
  <c r="Q269" i="10" a="1"/>
  <c r="Q269" i="10" s="1"/>
  <c r="Q1166" i="10" a="1"/>
  <c r="Q1166" i="10" s="1"/>
  <c r="Q779" i="10" a="1"/>
  <c r="Q779" i="10" s="1"/>
  <c r="Q925" i="10" a="1"/>
  <c r="Q925" i="10" s="1"/>
  <c r="Q350" i="10" a="1"/>
  <c r="Q350" i="10" s="1"/>
  <c r="Q1048" i="10" a="1"/>
  <c r="Q1048" i="10" s="1"/>
  <c r="Q122" i="10" a="1"/>
  <c r="Q122" i="10" s="1"/>
  <c r="Q281" i="10" a="1"/>
  <c r="Q281" i="10" s="1"/>
  <c r="Q1099" i="10" a="1"/>
  <c r="Q1099" i="10" s="1"/>
  <c r="Q365" i="10" a="1"/>
  <c r="Q365" i="10" s="1"/>
  <c r="Q158" i="10" a="1"/>
  <c r="Q158" i="10" s="1"/>
  <c r="Q856" i="10" a="1"/>
  <c r="Q856" i="10" s="1"/>
  <c r="Q637" i="10" a="1"/>
  <c r="Q637" i="10" s="1"/>
  <c r="Q89" i="10" a="1"/>
  <c r="Q89" i="10" s="1"/>
  <c r="Q907" i="10" a="1"/>
  <c r="Q907" i="10" s="1"/>
  <c r="Q541" i="10" a="1"/>
  <c r="Q541" i="10" s="1"/>
  <c r="Q222" i="10" a="1"/>
  <c r="Q222" i="10" s="1"/>
  <c r="Q920" i="10" a="1"/>
  <c r="Q920" i="10" s="1"/>
  <c r="Q829" i="10" a="1"/>
  <c r="Q829" i="10" s="1"/>
  <c r="Q153" i="10" a="1"/>
  <c r="Q153" i="10" s="1"/>
  <c r="Q971" i="10" a="1"/>
  <c r="Q971" i="10" s="1"/>
  <c r="Q1067" i="10" a="1"/>
  <c r="Q1067" i="10" s="1"/>
  <c r="Q1152" i="10" a="1"/>
  <c r="Q1152" i="10" s="1"/>
  <c r="Q221" i="10" a="1"/>
  <c r="Q221" i="10" s="1"/>
  <c r="Q936" i="10" a="1"/>
  <c r="Q936" i="10" s="1"/>
  <c r="Q78" i="10" a="1"/>
  <c r="Q78" i="10" s="1"/>
  <c r="Q401" i="10" a="1"/>
  <c r="Q401" i="10" s="1"/>
  <c r="Q334" i="10" a="1"/>
  <c r="Q334" i="10" s="1"/>
  <c r="Q217" i="10" a="1"/>
  <c r="Q217" i="10" s="1"/>
  <c r="Q606" i="10" a="1"/>
  <c r="Q606" i="10" s="1"/>
  <c r="Q536" i="10" a="1"/>
  <c r="Q536" i="10" s="1"/>
  <c r="Q504" i="10" a="1"/>
  <c r="Q504" i="10" s="1"/>
  <c r="Q497" i="10" a="1"/>
  <c r="Q497" i="10" s="1"/>
  <c r="Q88" i="10" a="1"/>
  <c r="Q88" i="10" s="1"/>
  <c r="Q510" i="10" a="1"/>
  <c r="Q510" i="10" s="1"/>
  <c r="Q721" i="10" a="1"/>
  <c r="Q721" i="10" s="1"/>
  <c r="Q139" i="10" a="1"/>
  <c r="Q139" i="10" s="1"/>
  <c r="Q910" i="10" a="1"/>
  <c r="Q910" i="10" s="1"/>
  <c r="Q561" i="10" a="1"/>
  <c r="Q561" i="10" s="1"/>
  <c r="Q152" i="10" a="1"/>
  <c r="Q152" i="10" s="1"/>
  <c r="Q913" i="10" a="1"/>
  <c r="Q913" i="10" s="1"/>
  <c r="Q203" i="10" a="1"/>
  <c r="Q203" i="10" s="1"/>
  <c r="Q1070" i="10" a="1"/>
  <c r="Q1070" i="10" s="1"/>
  <c r="Q1162" i="10" a="1"/>
  <c r="Q1162" i="10" s="1"/>
  <c r="Q270" i="10" a="1"/>
  <c r="Q270" i="10" s="1"/>
  <c r="Q120" i="10" a="1"/>
  <c r="Q120" i="10" s="1"/>
  <c r="Q1131" i="10" a="1"/>
  <c r="Q1131" i="10" s="1"/>
  <c r="Q753" i="10" a="1"/>
  <c r="Q753" i="10" s="1"/>
  <c r="Q894" i="10" a="1"/>
  <c r="Q894" i="10" s="1"/>
  <c r="Q395" i="10" a="1"/>
  <c r="Q395" i="10" s="1"/>
  <c r="Q817" i="10" a="1"/>
  <c r="Q817" i="10" s="1"/>
  <c r="Q446" i="10" a="1"/>
  <c r="Q446" i="10" s="1"/>
  <c r="Q1163" i="10" a="1"/>
  <c r="Q1163" i="10" s="1"/>
  <c r="Q173" i="10" a="1"/>
  <c r="Q173" i="10" s="1"/>
  <c r="Q461" i="10" a="1"/>
  <c r="Q461" i="10" s="1"/>
  <c r="Q318" i="10" a="1"/>
  <c r="Q318" i="10" s="1"/>
  <c r="Q423" i="10" a="1"/>
  <c r="Q423" i="10" s="1"/>
  <c r="Q766" i="10" a="1"/>
  <c r="Q766" i="10" s="1"/>
  <c r="Q902" i="10" a="1"/>
  <c r="Q902" i="10" s="1"/>
  <c r="Q107" i="10" a="1"/>
  <c r="Q107" i="10" s="1"/>
  <c r="Q1169" i="10" a="1"/>
  <c r="Q1169" i="10" s="1"/>
  <c r="Q686" i="10" a="1"/>
  <c r="Q686" i="10" s="1"/>
  <c r="Q1030" i="10" a="1"/>
  <c r="Q1030" i="10" s="1"/>
  <c r="Q750" i="10" a="1"/>
  <c r="Q750" i="10" s="1"/>
  <c r="Q801" i="10" a="1"/>
  <c r="Q801" i="10" s="1"/>
  <c r="Q1128" i="10" a="1"/>
  <c r="Q1128" i="10" s="1"/>
  <c r="Q793" i="10" a="1"/>
  <c r="Q793" i="10" s="1"/>
  <c r="Q1032" i="10" a="1"/>
  <c r="Q1032" i="10" s="1"/>
  <c r="Q1130" i="10" a="1"/>
  <c r="Q1130" i="10" s="1"/>
  <c r="Q262" i="10" a="1"/>
  <c r="Q262" i="10" s="1"/>
  <c r="Q1143" i="10" a="1"/>
  <c r="Q1143" i="10" s="1"/>
  <c r="Q326" i="10" a="1"/>
  <c r="Q326" i="10" s="1"/>
  <c r="Q129" i="10" a="1"/>
  <c r="Q129" i="10" s="1"/>
  <c r="Q184" i="10" a="1"/>
  <c r="Q184" i="10" s="1"/>
  <c r="Q840" i="10" a="1"/>
  <c r="Q840" i="10" s="1"/>
  <c r="Q427" i="10" a="1"/>
  <c r="Q427" i="10" s="1"/>
  <c r="Q1145" i="10" a="1"/>
  <c r="Q1145" i="10" s="1"/>
  <c r="Q1000" i="10" a="1"/>
  <c r="Q1000" i="10" s="1"/>
  <c r="Q125" i="10" a="1"/>
  <c r="Q125" i="10" s="1"/>
  <c r="Q142" i="10" a="1"/>
  <c r="Q142" i="10" s="1"/>
  <c r="Q904" i="10" a="1"/>
  <c r="Q904" i="10" s="1"/>
  <c r="Q491" i="10" a="1"/>
  <c r="Q491" i="10" s="1"/>
  <c r="Q1150" i="10" a="1"/>
  <c r="Q1150" i="10" s="1"/>
  <c r="Q1064" i="10" a="1"/>
  <c r="Q1064" i="10" s="1"/>
  <c r="Q333" i="10" a="1"/>
  <c r="Q333" i="10" s="1"/>
  <c r="Q206" i="10" a="1"/>
  <c r="Q206" i="10" s="1"/>
  <c r="Q302" i="10" a="1"/>
  <c r="Q302" i="10" s="1"/>
  <c r="Q104" i="10" a="1"/>
  <c r="Q104" i="10" s="1"/>
  <c r="Q509" i="10" a="1"/>
  <c r="Q509" i="10" s="1"/>
  <c r="Q526" i="10" a="1"/>
  <c r="Q526" i="10" s="1"/>
  <c r="Q177" i="10" a="1"/>
  <c r="Q177" i="10" s="1"/>
  <c r="Q875" i="10" a="1"/>
  <c r="Q875" i="10" s="1"/>
  <c r="Q1041" i="10" a="1"/>
  <c r="Q1041" i="10" s="1"/>
  <c r="Q337" i="10" a="1"/>
  <c r="Q337" i="10" s="1"/>
  <c r="Q362" i="10" a="1"/>
  <c r="Q362" i="10" s="1"/>
  <c r="Q590" i="10" a="1"/>
  <c r="Q590" i="10" s="1"/>
  <c r="Q952" i="10" a="1"/>
  <c r="Q952" i="10" s="1"/>
  <c r="Q193" i="10" a="1"/>
  <c r="Q193" i="10" s="1"/>
  <c r="Q537" i="10" a="1"/>
  <c r="Q537" i="10" s="1"/>
  <c r="Q91" i="10" a="1"/>
  <c r="Q91" i="10" s="1"/>
  <c r="Q251" i="10" a="1"/>
  <c r="Q251" i="10" s="1"/>
  <c r="Q641" i="10" a="1"/>
  <c r="Q641" i="10" s="1"/>
  <c r="Q443" i="10" a="1"/>
  <c r="Q443" i="10" s="1"/>
  <c r="Q985" i="10" a="1"/>
  <c r="Q985" i="10" s="1"/>
  <c r="Q696" i="10" a="1"/>
  <c r="Q696" i="10" s="1"/>
  <c r="Q603" i="10" a="1"/>
  <c r="Q603" i="10" s="1"/>
  <c r="Q1161" i="10" a="1"/>
  <c r="Q1161" i="10" s="1"/>
  <c r="Q961" i="10" a="1"/>
  <c r="Q961" i="10" s="1"/>
  <c r="Q763" i="10" a="1"/>
  <c r="Q763" i="10" s="1"/>
  <c r="Q198" i="10" a="1"/>
  <c r="Q198" i="10" s="1"/>
  <c r="Q1016" i="10" a="1"/>
  <c r="Q1016" i="10" s="1"/>
  <c r="Q411" i="10" a="1"/>
  <c r="Q411" i="10" s="1"/>
  <c r="Q1129" i="10" a="1"/>
  <c r="Q1129" i="10" s="1"/>
  <c r="Q769" i="10" a="1"/>
  <c r="Q769" i="10" s="1"/>
  <c r="Q571" i="10" a="1"/>
  <c r="Q571" i="10" s="1"/>
  <c r="Q1113" i="10" a="1"/>
  <c r="Q1113" i="10" s="1"/>
  <c r="Q824" i="10" a="1"/>
  <c r="Q824" i="10" s="1"/>
  <c r="Q475" i="10" a="1"/>
  <c r="Q475" i="10" s="1"/>
  <c r="Q1134" i="10" a="1"/>
  <c r="Q1134" i="10" s="1"/>
  <c r="Q833" i="10" a="1"/>
  <c r="Q833" i="10" s="1"/>
  <c r="Q635" i="10" a="1"/>
  <c r="Q635" i="10" s="1"/>
  <c r="Q70" i="10" a="1"/>
  <c r="Q70" i="10" s="1"/>
  <c r="Q888" i="10" a="1"/>
  <c r="Q888" i="10" s="1"/>
  <c r="Q897" i="10" a="1"/>
  <c r="Q897" i="10" s="1"/>
  <c r="Q1035" i="10" a="1"/>
  <c r="Q1035" i="10" s="1"/>
  <c r="Q280" i="10" a="1"/>
  <c r="Q280" i="10" s="1"/>
  <c r="Q126" i="10" a="1"/>
  <c r="Q126" i="10" s="1"/>
  <c r="Q1115" i="10" a="1"/>
  <c r="Q1115" i="10" s="1"/>
  <c r="Q168" i="10" a="1"/>
  <c r="Q168" i="10" s="1"/>
  <c r="Q984" i="10" a="1"/>
  <c r="Q984" i="10" s="1"/>
  <c r="Q938" i="10" a="1"/>
  <c r="Q938" i="10" s="1"/>
  <c r="Q1102" i="10" a="1"/>
  <c r="Q1102" i="10" s="1"/>
  <c r="Q1146" i="10" a="1"/>
  <c r="Q1146" i="10" s="1"/>
  <c r="Q1117" i="10" a="1"/>
  <c r="Q1117" i="10" s="1"/>
  <c r="Q414" i="10" a="1"/>
  <c r="Q414" i="10" s="1"/>
  <c r="Q1112" i="10" a="1"/>
  <c r="Q1112" i="10" s="1"/>
  <c r="Q314" i="10" a="1"/>
  <c r="Q314" i="10" s="1"/>
  <c r="Q345" i="10" a="1"/>
  <c r="Q345" i="10" s="1"/>
  <c r="Q56" i="10" a="1"/>
  <c r="Q56" i="10" s="1"/>
  <c r="Q218" i="10" a="1"/>
  <c r="Q218" i="10" s="1"/>
  <c r="Q478" i="10" a="1"/>
  <c r="Q478" i="10" s="1"/>
  <c r="Q65" i="10" a="1"/>
  <c r="Q65" i="10" s="1"/>
  <c r="Q506" i="10" a="1"/>
  <c r="Q506" i="10" s="1"/>
  <c r="Q216" i="10" a="1"/>
  <c r="Q216" i="10" s="1"/>
  <c r="Q702" i="10" a="1"/>
  <c r="Q702" i="10" s="1"/>
  <c r="Q1105" i="10" a="1"/>
  <c r="Q1105" i="10" s="1"/>
  <c r="K6065" i="13" l="1"/>
  <c r="L6065" i="13" s="1"/>
  <c r="I6066" i="13" s="1"/>
  <c r="K6087" i="14"/>
  <c r="L6087" i="14" s="1"/>
  <c r="I6088" i="14" s="1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J6250" i="14" a="1"/>
  <c r="J6250" i="14" s="1"/>
  <c r="R1157" i="10" a="1"/>
  <c r="R1157" i="10" s="1"/>
  <c r="S1157" i="10" s="1"/>
  <c r="R874" i="10" a="1"/>
  <c r="R874" i="10" s="1"/>
  <c r="S874" i="10" s="1"/>
  <c r="R799" i="10" a="1"/>
  <c r="R799" i="10" s="1"/>
  <c r="S799" i="10" s="1"/>
  <c r="R248" i="10" a="1"/>
  <c r="R248" i="10" s="1"/>
  <c r="S248" i="10" s="1"/>
  <c r="R479" i="10" a="1"/>
  <c r="R479" i="10" s="1"/>
  <c r="S479" i="10" s="1"/>
  <c r="R1035" i="10" a="1"/>
  <c r="R1035" i="10" s="1"/>
  <c r="S1035" i="10" s="1"/>
  <c r="R404" i="10" a="1"/>
  <c r="R404" i="10" s="1"/>
  <c r="S404" i="10" s="1"/>
  <c r="R944" i="10" a="1"/>
  <c r="R944" i="10" s="1"/>
  <c r="S944" i="10" s="1"/>
  <c r="R181" i="10" a="1"/>
  <c r="R181" i="10" s="1"/>
  <c r="S181" i="10" s="1"/>
  <c r="R641" i="10" a="1"/>
  <c r="R641" i="10" s="1"/>
  <c r="S641" i="10" s="1"/>
  <c r="R62" i="10" a="1"/>
  <c r="R62" i="10" s="1"/>
  <c r="S62" i="10" s="1"/>
  <c r="R618" i="10" a="1"/>
  <c r="R618" i="10" s="1"/>
  <c r="S618" i="10" s="1"/>
  <c r="R856" i="10" a="1"/>
  <c r="R856" i="10" s="1"/>
  <c r="S856" i="10" s="1"/>
  <c r="R978" i="10" a="1"/>
  <c r="R978" i="10" s="1"/>
  <c r="S978" i="10" s="1"/>
  <c r="R831" i="10" a="1"/>
  <c r="R831" i="10" s="1"/>
  <c r="S831" i="10" s="1"/>
  <c r="R280" i="10" a="1"/>
  <c r="R280" i="10" s="1"/>
  <c r="S280" i="10" s="1"/>
  <c r="R594" i="10" a="1"/>
  <c r="R594" i="10" s="1"/>
  <c r="S594" i="10" s="1"/>
  <c r="R447" i="10" a="1"/>
  <c r="R447" i="10" s="1"/>
  <c r="S447" i="10" s="1"/>
  <c r="R785" i="10" a="1"/>
  <c r="R785" i="10" s="1"/>
  <c r="S785" i="10" s="1"/>
  <c r="R206" i="10" a="1"/>
  <c r="R206" i="10" s="1"/>
  <c r="S206" i="10" s="1"/>
  <c r="R698" i="10" a="1"/>
  <c r="R698" i="10" s="1"/>
  <c r="S698" i="10" s="1"/>
  <c r="R131" i="10" a="1"/>
  <c r="R131" i="10" s="1"/>
  <c r="S131" i="10" s="1"/>
  <c r="R591" i="10" a="1"/>
  <c r="R591" i="10" s="1"/>
  <c r="S591" i="10" s="1"/>
  <c r="R40" i="10" a="1"/>
  <c r="R40" i="10" s="1"/>
  <c r="S40" i="10" s="1"/>
  <c r="R580" i="10" a="1"/>
  <c r="R580" i="10" s="1"/>
  <c r="S580" i="10" s="1"/>
  <c r="R1118" i="10" a="1"/>
  <c r="R1118" i="10" s="1"/>
  <c r="S1118" i="10" s="1"/>
  <c r="R220" i="10" a="1"/>
  <c r="R220" i="10" s="1"/>
  <c r="S220" i="10" s="1"/>
  <c r="R760" i="10" a="1"/>
  <c r="R760" i="10" s="1"/>
  <c r="S760" i="10" s="1"/>
  <c r="R991" i="10" a="1"/>
  <c r="R991" i="10" s="1"/>
  <c r="S991" i="10" s="1"/>
  <c r="R440" i="10" a="1"/>
  <c r="R440" i="10" s="1"/>
  <c r="S440" i="10" s="1"/>
  <c r="R916" i="10" a="1"/>
  <c r="R916" i="10" s="1"/>
  <c r="S916" i="10" s="1"/>
  <c r="R153" i="10" a="1"/>
  <c r="R153" i="10" s="1"/>
  <c r="S153" i="10" s="1"/>
  <c r="R693" i="10" a="1"/>
  <c r="R693" i="10" s="1"/>
  <c r="S693" i="10" s="1"/>
  <c r="R34" i="10" a="1"/>
  <c r="R34" i="10" s="1"/>
  <c r="S34" i="10" s="1"/>
  <c r="R574" i="10" a="1"/>
  <c r="R574" i="10" s="1"/>
  <c r="S574" i="10" s="1"/>
  <c r="R23" i="10" a="1"/>
  <c r="R23" i="10" s="1"/>
  <c r="S23" i="10" s="1"/>
  <c r="R31" i="10" a="1"/>
  <c r="R31" i="10" s="1"/>
  <c r="S31" i="10" s="1"/>
  <c r="R587" i="10" a="1"/>
  <c r="R587" i="10" s="1"/>
  <c r="S587" i="10" s="1"/>
  <c r="R913" i="10" a="1"/>
  <c r="R913" i="10" s="1"/>
  <c r="S913" i="10" s="1"/>
  <c r="R826" i="10" a="1"/>
  <c r="R826" i="10" s="1"/>
  <c r="S826" i="10" s="1"/>
  <c r="R168" i="10" a="1"/>
  <c r="R168" i="10" s="1"/>
  <c r="S168" i="10" s="1"/>
  <c r="R708" i="10" a="1"/>
  <c r="R708" i="10" s="1"/>
  <c r="S708" i="10" s="1"/>
  <c r="R273" i="10" a="1"/>
  <c r="R273" i="10" s="1"/>
  <c r="S273" i="10" s="1"/>
  <c r="R79" i="10" a="1"/>
  <c r="R79" i="10" s="1"/>
  <c r="S79" i="10" s="1"/>
  <c r="R608" i="10" a="1"/>
  <c r="R608" i="10" s="1"/>
  <c r="S608" i="10" s="1"/>
  <c r="R561" i="10" a="1"/>
  <c r="R561" i="10" s="1"/>
  <c r="S561" i="10" s="1"/>
  <c r="R380" i="10" a="1"/>
  <c r="R380" i="10" s="1"/>
  <c r="S380" i="10" s="1"/>
  <c r="R788" i="10" a="1"/>
  <c r="R788" i="10" s="1"/>
  <c r="S788" i="10" s="1"/>
  <c r="R1025" i="10" a="1"/>
  <c r="R1025" i="10" s="1"/>
  <c r="S1025" i="10" s="1"/>
  <c r="R435" i="10" a="1"/>
  <c r="R435" i="10" s="1"/>
  <c r="S435" i="10" s="1"/>
  <c r="R779" i="10" a="1"/>
  <c r="R779" i="10" s="1"/>
  <c r="S779" i="10" s="1"/>
  <c r="R385" i="10" a="1"/>
  <c r="R385" i="10" s="1"/>
  <c r="S385" i="10" s="1"/>
  <c r="R882" i="10" a="1"/>
  <c r="R882" i="10" s="1"/>
  <c r="S882" i="10" s="1"/>
  <c r="R562" i="10" a="1"/>
  <c r="R562" i="10" s="1"/>
  <c r="S562" i="10" s="1"/>
  <c r="R1102" i="10" a="1"/>
  <c r="R1102" i="10" s="1"/>
  <c r="S1102" i="10" s="1"/>
  <c r="R487" i="10" a="1"/>
  <c r="R487" i="10" s="1"/>
  <c r="S487" i="10" s="1"/>
  <c r="R1027" i="10" a="1"/>
  <c r="R1027" i="10" s="1"/>
  <c r="S1027" i="10" s="1"/>
  <c r="R396" i="10" a="1"/>
  <c r="R396" i="10" s="1"/>
  <c r="S396" i="10" s="1"/>
  <c r="R936" i="10" a="1"/>
  <c r="R936" i="10" s="1"/>
  <c r="S936" i="10" s="1"/>
  <c r="R157" i="10" a="1"/>
  <c r="R157" i="10" s="1"/>
  <c r="S157" i="10" s="1"/>
  <c r="R1042" i="10" a="1"/>
  <c r="R1042" i="10" s="1"/>
  <c r="S1042" i="10" s="1"/>
  <c r="R191" i="10" a="1"/>
  <c r="R191" i="10" s="1"/>
  <c r="S191" i="10" s="1"/>
  <c r="R49" i="10" a="1"/>
  <c r="R49" i="10" s="1"/>
  <c r="S49" i="10" s="1"/>
  <c r="R914" i="10" a="1"/>
  <c r="R914" i="10" s="1"/>
  <c r="S914" i="10" s="1"/>
  <c r="R786" i="10" a="1"/>
  <c r="R786" i="10" s="1"/>
  <c r="S786" i="10" s="1"/>
  <c r="R689" i="10" a="1"/>
  <c r="R689" i="10" s="1"/>
  <c r="S689" i="10" s="1"/>
  <c r="R1003" i="10" a="1"/>
  <c r="R1003" i="10" s="1"/>
  <c r="S1003" i="10" s="1"/>
  <c r="R540" i="10" a="1"/>
  <c r="R540" i="10" s="1"/>
  <c r="S540" i="10" s="1"/>
  <c r="R1080" i="10" a="1"/>
  <c r="R1080" i="10" s="1"/>
  <c r="S1080" i="10" s="1"/>
  <c r="R237" i="10" a="1"/>
  <c r="R237" i="10" s="1"/>
  <c r="S237" i="10" s="1"/>
  <c r="R793" i="10" a="1"/>
  <c r="R793" i="10" s="1"/>
  <c r="S793" i="10" s="1"/>
  <c r="R214" i="10" a="1"/>
  <c r="R214" i="10" s="1"/>
  <c r="S214" i="10" s="1"/>
  <c r="R674" i="10" a="1"/>
  <c r="R674" i="10" s="1"/>
  <c r="S674" i="10" s="1"/>
  <c r="R123" i="10" a="1"/>
  <c r="R123" i="10" s="1"/>
  <c r="S123" i="10" s="1"/>
  <c r="R663" i="10" a="1"/>
  <c r="R663" i="10" s="1"/>
  <c r="S663" i="10" s="1"/>
  <c r="R96" i="10" a="1"/>
  <c r="R96" i="10" s="1"/>
  <c r="S96" i="10" s="1"/>
  <c r="R287" i="10" a="1"/>
  <c r="R287" i="10" s="1"/>
  <c r="S287" i="10" s="1"/>
  <c r="R843" i="10" a="1"/>
  <c r="R843" i="10" s="1"/>
  <c r="S843" i="10" s="1"/>
  <c r="R1074" i="10" a="1"/>
  <c r="R1074" i="10" s="1"/>
  <c r="S1074" i="10" s="1"/>
  <c r="R523" i="10" a="1"/>
  <c r="R523" i="10" s="1"/>
  <c r="S523" i="10" s="1"/>
  <c r="R999" i="10" a="1"/>
  <c r="R999" i="10" s="1"/>
  <c r="S999" i="10" s="1"/>
  <c r="R432" i="10" a="1"/>
  <c r="R432" i="10" s="1"/>
  <c r="S432" i="10" s="1"/>
  <c r="R908" i="10" a="1"/>
  <c r="R908" i="10" s="1"/>
  <c r="S908" i="10" s="1"/>
  <c r="R129" i="10" a="1"/>
  <c r="R129" i="10" s="1"/>
  <c r="S129" i="10" s="1"/>
  <c r="R669" i="10" a="1"/>
  <c r="R669" i="10" s="1"/>
  <c r="S669" i="10" s="1"/>
  <c r="R114" i="10" a="1"/>
  <c r="R114" i="10" s="1"/>
  <c r="S114" i="10" s="1"/>
  <c r="R668" i="10" a="1"/>
  <c r="R668" i="10" s="1"/>
  <c r="S668" i="10" s="1"/>
  <c r="R1159" i="10" a="1"/>
  <c r="R1159" i="10" s="1"/>
  <c r="S1159" i="10" s="1"/>
  <c r="R365" i="10" a="1"/>
  <c r="R365" i="10" s="1"/>
  <c r="S365" i="10" s="1"/>
  <c r="R921" i="10" a="1"/>
  <c r="R921" i="10" s="1"/>
  <c r="S921" i="10" s="1"/>
  <c r="R342" i="10" a="1"/>
  <c r="R342" i="10" s="1"/>
  <c r="S342" i="10" s="1"/>
  <c r="R802" i="10" a="1"/>
  <c r="R802" i="10" s="1"/>
  <c r="S802" i="10" s="1"/>
  <c r="R251" i="10" a="1"/>
  <c r="R251" i="10" s="1"/>
  <c r="S251" i="10" s="1"/>
  <c r="R791" i="10" a="1"/>
  <c r="R791" i="10" s="1"/>
  <c r="S791" i="10" s="1"/>
  <c r="R28" i="10" a="1"/>
  <c r="R28" i="10" s="1"/>
  <c r="S28" i="10" s="1"/>
  <c r="R568" i="10" a="1"/>
  <c r="R568" i="10" s="1"/>
  <c r="S568" i="10" s="1"/>
  <c r="R1044" i="10" a="1"/>
  <c r="R1044" i="10" s="1"/>
  <c r="S1044" i="10" s="1"/>
  <c r="R281" i="10" a="1"/>
  <c r="R281" i="10" s="1"/>
  <c r="S281" i="10" s="1"/>
  <c r="R821" i="10" a="1"/>
  <c r="R821" i="10" s="1"/>
  <c r="S821" i="10" s="1"/>
  <c r="R162" i="10" a="1"/>
  <c r="R162" i="10" s="1"/>
  <c r="S162" i="10" s="1"/>
  <c r="R702" i="10" a="1"/>
  <c r="R702" i="10" s="1"/>
  <c r="S702" i="10" s="1"/>
  <c r="R151" i="10" a="1"/>
  <c r="R151" i="10" s="1"/>
  <c r="S151" i="10" s="1"/>
  <c r="R691" i="10" a="1"/>
  <c r="R691" i="10" s="1"/>
  <c r="S691" i="10" s="1"/>
  <c r="R664" i="10" a="1"/>
  <c r="R664" i="10" s="1"/>
  <c r="S664" i="10" s="1"/>
  <c r="R113" i="10" a="1"/>
  <c r="R113" i="10" s="1"/>
  <c r="S113" i="10" s="1"/>
  <c r="R344" i="10" a="1"/>
  <c r="R344" i="10" s="1"/>
  <c r="S344" i="10" s="1"/>
  <c r="R146" i="10" a="1"/>
  <c r="R146" i="10" s="1"/>
  <c r="S146" i="10" s="1"/>
  <c r="R700" i="10" a="1"/>
  <c r="R700" i="10" s="1"/>
  <c r="S700" i="10" s="1"/>
  <c r="R1136" i="10" a="1"/>
  <c r="R1136" i="10" s="1"/>
  <c r="S1136" i="10" s="1"/>
  <c r="R946" i="10" a="1"/>
  <c r="R946" i="10" s="1"/>
  <c r="S946" i="10" s="1"/>
  <c r="R395" i="10" a="1"/>
  <c r="R395" i="10" s="1"/>
  <c r="S395" i="10" s="1"/>
  <c r="R871" i="10" a="1"/>
  <c r="R871" i="10" s="1"/>
  <c r="S871" i="10" s="1"/>
  <c r="R304" i="10" a="1"/>
  <c r="R304" i="10" s="1"/>
  <c r="S304" i="10" s="1"/>
  <c r="R780" i="10" a="1"/>
  <c r="R780" i="10" s="1"/>
  <c r="S780" i="10" s="1"/>
  <c r="R1169" i="10" a="1"/>
  <c r="R1169" i="10" s="1"/>
  <c r="S1169" i="10" s="1"/>
  <c r="R541" i="10" a="1"/>
  <c r="R541" i="10" s="1"/>
  <c r="S541" i="10" s="1"/>
  <c r="R1097" i="10" a="1"/>
  <c r="R1097" i="10" s="1"/>
  <c r="S1097" i="10" s="1"/>
  <c r="R476" i="10" a="1"/>
  <c r="R476" i="10" s="1"/>
  <c r="S476" i="10" s="1"/>
  <c r="R1016" i="10" a="1"/>
  <c r="R1016" i="10" s="1"/>
  <c r="S1016" i="10" s="1"/>
  <c r="R306" i="10" a="1"/>
  <c r="R306" i="10" s="1"/>
  <c r="S306" i="10" s="1"/>
  <c r="R846" i="10" a="1"/>
  <c r="R846" i="10" s="1"/>
  <c r="S846" i="10" s="1"/>
  <c r="R231" i="10" a="1"/>
  <c r="R231" i="10" s="1"/>
  <c r="S231" i="10" s="1"/>
  <c r="R771" i="10" a="1"/>
  <c r="R771" i="10" s="1"/>
  <c r="S771" i="10" s="1"/>
  <c r="R140" i="10" a="1"/>
  <c r="R140" i="10" s="1"/>
  <c r="S140" i="10" s="1"/>
  <c r="R680" i="10" a="1"/>
  <c r="R680" i="10" s="1"/>
  <c r="S680" i="10" s="1"/>
  <c r="R1171" i="10" a="1"/>
  <c r="R1171" i="10" s="1"/>
  <c r="S1171" i="10" s="1"/>
  <c r="R95" i="10" a="1"/>
  <c r="R95" i="10" s="1"/>
  <c r="S95" i="10" s="1"/>
  <c r="R20" i="10" a="1"/>
  <c r="R20" i="10" s="1"/>
  <c r="S20" i="10" s="1"/>
  <c r="R1036" i="10" a="1"/>
  <c r="R1036" i="10" s="1"/>
  <c r="S1036" i="10" s="1"/>
  <c r="R797" i="10" a="1"/>
  <c r="R797" i="10" s="1"/>
  <c r="S797" i="10" s="1"/>
  <c r="R828" i="10" a="1"/>
  <c r="R828" i="10" s="1"/>
  <c r="S828" i="10" s="1"/>
  <c r="R241" i="10" a="1"/>
  <c r="R241" i="10" s="1"/>
  <c r="S241" i="10" s="1"/>
  <c r="R216" i="10" a="1"/>
  <c r="R216" i="10" s="1"/>
  <c r="S216" i="10" s="1"/>
  <c r="R462" i="10" a="1"/>
  <c r="R462" i="10" s="1"/>
  <c r="S462" i="10" s="1"/>
  <c r="R387" i="10" a="1"/>
  <c r="R387" i="10" s="1"/>
  <c r="S387" i="10" s="1"/>
  <c r="R847" i="10" a="1"/>
  <c r="R847" i="10" s="1"/>
  <c r="S847" i="10" s="1"/>
  <c r="R836" i="10" a="1"/>
  <c r="R836" i="10" s="1"/>
  <c r="S836" i="10" s="1"/>
  <c r="R1099" i="10" a="1"/>
  <c r="R1099" i="10" s="1"/>
  <c r="S1099" i="10" s="1"/>
  <c r="R1131" i="10" a="1"/>
  <c r="R1131" i="10" s="1"/>
  <c r="S1131" i="10" s="1"/>
  <c r="R877" i="10" a="1"/>
  <c r="R877" i="10" s="1"/>
  <c r="S877" i="10" s="1"/>
  <c r="R854" i="10" a="1"/>
  <c r="R854" i="10" s="1"/>
  <c r="S854" i="10" s="1"/>
  <c r="R763" i="10" a="1"/>
  <c r="R763" i="10" s="1"/>
  <c r="S763" i="10" s="1"/>
  <c r="R178" i="10" a="1"/>
  <c r="R178" i="10" s="1"/>
  <c r="S178" i="10" s="1"/>
  <c r="R103" i="10" a="1"/>
  <c r="R103" i="10" s="1"/>
  <c r="S103" i="10" s="1"/>
  <c r="R1103" i="10" a="1"/>
  <c r="R1103" i="10" s="1"/>
  <c r="S1103" i="10" s="1"/>
  <c r="R1092" i="10" a="1"/>
  <c r="R1092" i="10" s="1"/>
  <c r="S1092" i="10" s="1"/>
  <c r="R305" i="10" a="1"/>
  <c r="R305" i="10" s="1"/>
  <c r="S305" i="10" s="1"/>
  <c r="R1087" i="10" a="1"/>
  <c r="R1087" i="10" s="1"/>
  <c r="S1087" i="10" s="1"/>
  <c r="R850" i="10" a="1"/>
  <c r="R850" i="10" s="1"/>
  <c r="S850" i="10" s="1"/>
  <c r="R930" i="10" a="1"/>
  <c r="R930" i="10" s="1"/>
  <c r="S930" i="10" s="1"/>
  <c r="R352" i="10" a="1"/>
  <c r="R352" i="10" s="1"/>
  <c r="S352" i="10" s="1"/>
  <c r="R1170" i="10" a="1"/>
  <c r="R1170" i="10" s="1"/>
  <c r="S1170" i="10" s="1"/>
  <c r="R290" i="10" a="1"/>
  <c r="R290" i="10" s="1"/>
  <c r="S290" i="10" s="1"/>
  <c r="R279" i="10" a="1"/>
  <c r="R279" i="10" s="1"/>
  <c r="S279" i="10" s="1"/>
  <c r="R719" i="10" a="1"/>
  <c r="R719" i="10" s="1"/>
  <c r="S719" i="10" s="1"/>
  <c r="R1052" i="10" a="1"/>
  <c r="R1052" i="10" s="1"/>
  <c r="S1052" i="10" s="1"/>
  <c r="R186" i="10" a="1"/>
  <c r="R186" i="10" s="1"/>
  <c r="S186" i="10" s="1"/>
  <c r="R635" i="10" a="1"/>
  <c r="R635" i="10" s="1"/>
  <c r="S635" i="10" s="1"/>
  <c r="R703" i="10" a="1"/>
  <c r="R703" i="10" s="1"/>
  <c r="S703" i="10" s="1"/>
  <c r="R63" i="10" a="1"/>
  <c r="R63" i="10" s="1"/>
  <c r="S63" i="10" s="1"/>
  <c r="R1127" i="10" a="1"/>
  <c r="R1127" i="10" s="1"/>
  <c r="S1127" i="10" s="1"/>
  <c r="R863" i="10" a="1"/>
  <c r="R863" i="10" s="1"/>
  <c r="S863" i="10" s="1"/>
  <c r="R25" i="10" a="1"/>
  <c r="R25" i="10" s="1"/>
  <c r="S25" i="10" s="1"/>
  <c r="R565" i="10" a="1"/>
  <c r="R565" i="10" s="1"/>
  <c r="S565" i="10" s="1"/>
  <c r="R1002" i="10" a="1"/>
  <c r="R1002" i="10" s="1"/>
  <c r="S1002" i="10" s="1"/>
  <c r="R148" i="10" a="1"/>
  <c r="R148" i="10" s="1"/>
  <c r="S148" i="10" s="1"/>
  <c r="R362" i="10" a="1"/>
  <c r="R362" i="10" s="1"/>
  <c r="S362" i="10" s="1"/>
  <c r="R977" i="10" a="1"/>
  <c r="R977" i="10" s="1"/>
  <c r="S977" i="10" s="1"/>
  <c r="R657" i="10" a="1"/>
  <c r="R657" i="10" s="1"/>
  <c r="S657" i="10" s="1"/>
  <c r="R78" i="10" a="1"/>
  <c r="R78" i="10" s="1"/>
  <c r="S78" i="10" s="1"/>
  <c r="R570" i="10" a="1"/>
  <c r="R570" i="10" s="1"/>
  <c r="S570" i="10" s="1"/>
  <c r="R1110" i="10" a="1"/>
  <c r="R1110" i="10" s="1"/>
  <c r="S1110" i="10" s="1"/>
  <c r="R463" i="10" a="1"/>
  <c r="R463" i="10" s="1"/>
  <c r="S463" i="10" s="1"/>
  <c r="R1019" i="10" a="1"/>
  <c r="R1019" i="10" s="1"/>
  <c r="S1019" i="10" s="1"/>
  <c r="R452" i="10" a="1"/>
  <c r="R452" i="10" s="1"/>
  <c r="S452" i="10" s="1"/>
  <c r="R1084" i="10" a="1"/>
  <c r="R1084" i="10" s="1"/>
  <c r="S1084" i="10" s="1"/>
  <c r="R920" i="10" a="1"/>
  <c r="R920" i="10" s="1"/>
  <c r="S920" i="10" s="1"/>
  <c r="R939" i="10" a="1"/>
  <c r="R939" i="10" s="1"/>
  <c r="S939" i="10" s="1"/>
  <c r="R1009" i="10" a="1"/>
  <c r="R1009" i="10" s="1"/>
  <c r="S1009" i="10" s="1"/>
  <c r="R444" i="10" a="1"/>
  <c r="R444" i="10" s="1"/>
  <c r="S444" i="10" s="1"/>
  <c r="R984" i="10" a="1"/>
  <c r="R984" i="10" s="1"/>
  <c r="S984" i="10" s="1"/>
  <c r="R607" i="10" a="1"/>
  <c r="R607" i="10" s="1"/>
  <c r="S607" i="10" s="1"/>
  <c r="R56" i="10" a="1"/>
  <c r="R56" i="10" s="1"/>
  <c r="S56" i="10" s="1"/>
  <c r="R532" i="10" a="1"/>
  <c r="R532" i="10" s="1"/>
  <c r="S532" i="10" s="1"/>
  <c r="R1072" i="10" a="1"/>
  <c r="R1072" i="10" s="1"/>
  <c r="S1072" i="10" s="1"/>
  <c r="R309" i="10" a="1"/>
  <c r="R309" i="10" s="1"/>
  <c r="S309" i="10" s="1"/>
  <c r="R769" i="10" a="1"/>
  <c r="R769" i="10" s="1"/>
  <c r="S769" i="10" s="1"/>
  <c r="R190" i="10" a="1"/>
  <c r="R190" i="10" s="1"/>
  <c r="S190" i="10" s="1"/>
  <c r="R746" i="10" a="1"/>
  <c r="R746" i="10" s="1"/>
  <c r="S746" i="10" s="1"/>
  <c r="R179" i="10" a="1"/>
  <c r="R179" i="10" s="1"/>
  <c r="S179" i="10" s="1"/>
  <c r="R370" i="10" a="1"/>
  <c r="R370" i="10" s="1"/>
  <c r="S370" i="10" s="1"/>
  <c r="R50" i="10" a="1"/>
  <c r="R50" i="10" s="1"/>
  <c r="S50" i="10" s="1"/>
  <c r="R590" i="10" a="1"/>
  <c r="R590" i="10" s="1"/>
  <c r="S590" i="10" s="1"/>
  <c r="R1082" i="10" a="1"/>
  <c r="R1082" i="10" s="1"/>
  <c r="S1082" i="10" s="1"/>
  <c r="R515" i="10" a="1"/>
  <c r="R515" i="10" s="1"/>
  <c r="S515" i="10" s="1"/>
  <c r="R975" i="10" a="1"/>
  <c r="R975" i="10" s="1"/>
  <c r="S975" i="10" s="1"/>
  <c r="R424" i="10" a="1"/>
  <c r="R424" i="10" s="1"/>
  <c r="S424" i="10" s="1"/>
  <c r="R964" i="10" a="1"/>
  <c r="R964" i="10" s="1"/>
  <c r="S964" i="10" s="1"/>
  <c r="R988" i="10" a="1"/>
  <c r="R988" i="10" s="1"/>
  <c r="S988" i="10" s="1"/>
  <c r="R209" i="10" a="1"/>
  <c r="R209" i="10" s="1"/>
  <c r="S209" i="10" s="1"/>
  <c r="R735" i="10" a="1"/>
  <c r="R735" i="10" s="1"/>
  <c r="S735" i="10" s="1"/>
  <c r="R184" i="10" a="1"/>
  <c r="R184" i="10" s="1"/>
  <c r="S184" i="10" s="1"/>
  <c r="R660" i="10" a="1"/>
  <c r="R660" i="10" s="1"/>
  <c r="S660" i="10" s="1"/>
  <c r="R1151" i="10" a="1"/>
  <c r="R1151" i="10" s="1"/>
  <c r="S1151" i="10" s="1"/>
  <c r="R437" i="10" a="1"/>
  <c r="R437" i="10" s="1"/>
  <c r="S437" i="10" s="1"/>
  <c r="R897" i="10" a="1"/>
  <c r="R897" i="10" s="1"/>
  <c r="S897" i="10" s="1"/>
  <c r="R318" i="10" a="1"/>
  <c r="R318" i="10" s="1"/>
  <c r="S318" i="10" s="1"/>
  <c r="R651" i="10" a="1"/>
  <c r="R651" i="10" s="1"/>
  <c r="S651" i="10" s="1"/>
  <c r="R560" i="10" a="1"/>
  <c r="R560" i="10" s="1"/>
  <c r="S560" i="10" s="1"/>
  <c r="R257" i="10" a="1"/>
  <c r="R257" i="10" s="1"/>
  <c r="S257" i="10" s="1"/>
  <c r="R234" i="10" a="1"/>
  <c r="R234" i="10" s="1"/>
  <c r="S234" i="10" s="1"/>
  <c r="R383" i="10" a="1"/>
  <c r="R383" i="10" s="1"/>
  <c r="S383" i="10" s="1"/>
  <c r="R1020" i="10" a="1"/>
  <c r="R1020" i="10" s="1"/>
  <c r="S1020" i="10" s="1"/>
  <c r="R767" i="10" a="1"/>
  <c r="R767" i="10" s="1"/>
  <c r="S767" i="10" s="1"/>
  <c r="R1041" i="10" a="1"/>
  <c r="R1041" i="10" s="1"/>
  <c r="S1041" i="10" s="1"/>
  <c r="R954" i="10" a="1"/>
  <c r="R954" i="10" s="1"/>
  <c r="S954" i="10" s="1"/>
  <c r="R296" i="10" a="1"/>
  <c r="R296" i="10" s="1"/>
  <c r="S296" i="10" s="1"/>
  <c r="R73" i="10" a="1"/>
  <c r="R73" i="10" s="1"/>
  <c r="S73" i="10" s="1"/>
  <c r="R543" i="10" a="1"/>
  <c r="R543" i="10" s="1"/>
  <c r="S543" i="10" s="1"/>
  <c r="R401" i="10" a="1"/>
  <c r="R401" i="10" s="1"/>
  <c r="S401" i="10" s="1"/>
  <c r="R314" i="10" a="1"/>
  <c r="R314" i="10" s="1"/>
  <c r="S314" i="10" s="1"/>
  <c r="R207" i="10" a="1"/>
  <c r="R207" i="10" s="1"/>
  <c r="S207" i="10" s="1"/>
  <c r="R196" i="10" a="1"/>
  <c r="R196" i="10" s="1"/>
  <c r="S196" i="10" s="1"/>
  <c r="R718" i="10" a="1"/>
  <c r="R718" i="10" s="1"/>
  <c r="S718" i="10" s="1"/>
  <c r="R643" i="10" a="1"/>
  <c r="R643" i="10" s="1"/>
  <c r="S643" i="10" s="1"/>
  <c r="R552" i="10" a="1"/>
  <c r="R552" i="10" s="1"/>
  <c r="S552" i="10" s="1"/>
  <c r="R127" i="10" a="1"/>
  <c r="R127" i="10" s="1"/>
  <c r="S127" i="10" s="1"/>
  <c r="R124" i="10" a="1"/>
  <c r="R124" i="10" s="1"/>
  <c r="S124" i="10" s="1"/>
  <c r="R796" i="10" a="1"/>
  <c r="R796" i="10" s="1"/>
  <c r="S796" i="10" s="1"/>
  <c r="R1049" i="10" a="1"/>
  <c r="R1049" i="10" s="1"/>
  <c r="S1049" i="10" s="1"/>
  <c r="R379" i="10" a="1"/>
  <c r="R379" i="10" s="1"/>
  <c r="S379" i="10" s="1"/>
  <c r="R626" i="10" a="1"/>
  <c r="R626" i="10" s="1"/>
  <c r="S626" i="10" s="1"/>
  <c r="R156" i="10" a="1"/>
  <c r="R156" i="10" s="1"/>
  <c r="S156" i="10" s="1"/>
  <c r="R409" i="10" a="1"/>
  <c r="R409" i="10" s="1"/>
  <c r="S409" i="10" s="1"/>
  <c r="R830" i="10" a="1"/>
  <c r="R830" i="10" s="1"/>
  <c r="S830" i="10" s="1"/>
  <c r="R334" i="10" a="1"/>
  <c r="R334" i="10" s="1"/>
  <c r="S334" i="10" s="1"/>
  <c r="R749" i="10" a="1"/>
  <c r="R749" i="10" s="1"/>
  <c r="S749" i="10" s="1"/>
  <c r="R726" i="10" a="1"/>
  <c r="R726" i="10" s="1"/>
  <c r="S726" i="10" s="1"/>
  <c r="R68" i="10" a="1"/>
  <c r="R68" i="10" s="1"/>
  <c r="S68" i="10" s="1"/>
  <c r="R959" i="10" a="1"/>
  <c r="R959" i="10" s="1"/>
  <c r="S959" i="10" s="1"/>
  <c r="R945" i="10" a="1"/>
  <c r="R945" i="10" s="1"/>
  <c r="S945" i="10" s="1"/>
  <c r="R312" i="10" a="1"/>
  <c r="R312" i="10" s="1"/>
  <c r="S312" i="10" s="1"/>
  <c r="R446" i="10" a="1"/>
  <c r="R446" i="10" s="1"/>
  <c r="S446" i="10" s="1"/>
  <c r="R721" i="10" a="1"/>
  <c r="R721" i="10" s="1"/>
  <c r="S721" i="10" s="1"/>
  <c r="R223" i="10" a="1"/>
  <c r="R223" i="10" s="1"/>
  <c r="S223" i="10" s="1"/>
  <c r="R688" i="10" a="1"/>
  <c r="R688" i="10" s="1"/>
  <c r="S688" i="10" s="1"/>
  <c r="R925" i="10" a="1"/>
  <c r="R925" i="10" s="1"/>
  <c r="S925" i="10" s="1"/>
  <c r="R732" i="10" a="1"/>
  <c r="R732" i="10" s="1"/>
  <c r="S732" i="10" s="1"/>
  <c r="R1168" i="10" a="1"/>
  <c r="R1168" i="10" s="1"/>
  <c r="S1168" i="10" s="1"/>
  <c r="R412" i="10" a="1"/>
  <c r="R412" i="10" s="1"/>
  <c r="S412" i="10" s="1"/>
  <c r="R952" i="10" a="1"/>
  <c r="R952" i="10" s="1"/>
  <c r="S952" i="10" s="1"/>
  <c r="R109" i="10" a="1"/>
  <c r="R109" i="10" s="1"/>
  <c r="S109" i="10" s="1"/>
  <c r="R665" i="10" a="1"/>
  <c r="R665" i="10" s="1"/>
  <c r="S665" i="10" s="1"/>
  <c r="R86" i="10" a="1"/>
  <c r="R86" i="10" s="1"/>
  <c r="S86" i="10" s="1"/>
  <c r="R546" i="10" a="1"/>
  <c r="R546" i="10" s="1"/>
  <c r="S546" i="10" s="1"/>
  <c r="R1086" i="10" a="1"/>
  <c r="R1086" i="10" s="1"/>
  <c r="S1086" i="10" s="1"/>
  <c r="R535" i="10" a="1"/>
  <c r="R535" i="10" s="1"/>
  <c r="S535" i="10" s="1"/>
  <c r="R722" i="10" a="1"/>
  <c r="R722" i="10" s="1"/>
  <c r="S722" i="10" s="1"/>
  <c r="R316" i="10" a="1"/>
  <c r="R316" i="10" s="1"/>
  <c r="S316" i="10" s="1"/>
  <c r="R764" i="10" a="1"/>
  <c r="R764" i="10" s="1"/>
  <c r="S764" i="10" s="1"/>
  <c r="R1153" i="10" a="1"/>
  <c r="R1153" i="10" s="1"/>
  <c r="S1153" i="10" s="1"/>
  <c r="R511" i="10" a="1"/>
  <c r="R511" i="10" s="1"/>
  <c r="S511" i="10" s="1"/>
  <c r="R1067" i="10" a="1"/>
  <c r="R1067" i="10" s="1"/>
  <c r="S1067" i="10" s="1"/>
  <c r="R690" i="10" a="1"/>
  <c r="R690" i="10" s="1"/>
  <c r="S690" i="10" s="1"/>
  <c r="R139" i="10" a="1"/>
  <c r="R139" i="10" s="1"/>
  <c r="S139" i="10" s="1"/>
  <c r="R615" i="10" a="1"/>
  <c r="R615" i="10" s="1"/>
  <c r="S615" i="10" s="1"/>
  <c r="R48" i="10" a="1"/>
  <c r="R48" i="10" s="1"/>
  <c r="S48" i="10" s="1"/>
  <c r="R524" i="10" a="1"/>
  <c r="R524" i="10" s="1"/>
  <c r="S524" i="10" s="1"/>
  <c r="R1064" i="10" a="1"/>
  <c r="R1064" i="10" s="1"/>
  <c r="S1064" i="10" s="1"/>
  <c r="R285" i="10" a="1"/>
  <c r="R285" i="10" s="1"/>
  <c r="S285" i="10" s="1"/>
  <c r="R841" i="10" a="1"/>
  <c r="R841" i="10" s="1"/>
  <c r="S841" i="10" s="1"/>
  <c r="R1140" i="10" a="1"/>
  <c r="R1140" i="10" s="1"/>
  <c r="S1140" i="10" s="1"/>
  <c r="R465" i="10" a="1"/>
  <c r="R465" i="10" s="1"/>
  <c r="S465" i="10" s="1"/>
  <c r="R924" i="10" a="1"/>
  <c r="R924" i="10" s="1"/>
  <c r="S924" i="10" s="1"/>
  <c r="R145" i="10" a="1"/>
  <c r="R145" i="10" s="1"/>
  <c r="S145" i="10" s="1"/>
  <c r="R621" i="10" a="1"/>
  <c r="R621" i="10" s="1"/>
  <c r="S621" i="10" s="1"/>
  <c r="R58" i="10" a="1"/>
  <c r="R58" i="10" s="1"/>
  <c r="S58" i="10" s="1"/>
  <c r="R598" i="10" a="1"/>
  <c r="R598" i="10" s="1"/>
  <c r="S598" i="10" s="1"/>
  <c r="R1058" i="10" a="1"/>
  <c r="R1058" i="10" s="1"/>
  <c r="S1058" i="10" s="1"/>
  <c r="R507" i="10" a="1"/>
  <c r="R507" i="10" s="1"/>
  <c r="S507" i="10" s="1"/>
  <c r="R1047" i="10" a="1"/>
  <c r="R1047" i="10" s="1"/>
  <c r="S1047" i="10" s="1"/>
  <c r="R1055" i="10" a="1"/>
  <c r="R1055" i="10" s="1"/>
  <c r="S1055" i="10" s="1"/>
  <c r="R504" i="10" a="1"/>
  <c r="R504" i="10" s="1"/>
  <c r="S504" i="10" s="1"/>
  <c r="R818" i="10" a="1"/>
  <c r="R818" i="10" s="1"/>
  <c r="S818" i="10" s="1"/>
  <c r="R267" i="10" a="1"/>
  <c r="R267" i="10" s="1"/>
  <c r="S267" i="10" s="1"/>
  <c r="R743" i="10" a="1"/>
  <c r="R743" i="10" s="1"/>
  <c r="S743" i="10" s="1"/>
  <c r="R176" i="10" a="1"/>
  <c r="R176" i="10" s="1"/>
  <c r="S176" i="10" s="1"/>
  <c r="R652" i="10" a="1"/>
  <c r="R652" i="10" s="1"/>
  <c r="S652" i="10" s="1"/>
  <c r="R1143" i="10" a="1"/>
  <c r="R1143" i="10" s="1"/>
  <c r="S1143" i="10" s="1"/>
  <c r="R413" i="10" a="1"/>
  <c r="R413" i="10" s="1"/>
  <c r="S413" i="10" s="1"/>
  <c r="R329" i="10" a="1"/>
  <c r="R329" i="10" s="1"/>
  <c r="S329" i="10" s="1"/>
  <c r="R536" i="10" a="1"/>
  <c r="R536" i="10" s="1"/>
  <c r="S536" i="10" s="1"/>
  <c r="R493" i="10" a="1"/>
  <c r="R493" i="10" s="1"/>
  <c r="S493" i="10" s="1"/>
  <c r="R470" i="10" a="1"/>
  <c r="R470" i="10" s="1"/>
  <c r="S470" i="10" s="1"/>
  <c r="R919" i="10" a="1"/>
  <c r="R919" i="10" s="1"/>
  <c r="S919" i="10" s="1"/>
  <c r="R696" i="10" a="1"/>
  <c r="R696" i="10" s="1"/>
  <c r="S696" i="10" s="1"/>
  <c r="R949" i="10" a="1"/>
  <c r="R949" i="10" s="1"/>
  <c r="S949" i="10" s="1"/>
  <c r="R259" i="10" a="1"/>
  <c r="R259" i="10" s="1"/>
  <c r="S259" i="10" s="1"/>
  <c r="R1162" i="10" a="1"/>
  <c r="R1162" i="10" s="1"/>
  <c r="S1162" i="10" s="1"/>
  <c r="R632" i="10" a="1"/>
  <c r="R632" i="10" s="1"/>
  <c r="S632" i="10" s="1"/>
  <c r="R92" i="10" a="1"/>
  <c r="R92" i="10" s="1"/>
  <c r="S92" i="10" s="1"/>
  <c r="R1053" i="10" a="1"/>
  <c r="R1053" i="10" s="1"/>
  <c r="S1053" i="10" s="1"/>
  <c r="R53" i="10" a="1"/>
  <c r="R53" i="10" s="1"/>
  <c r="S53" i="10" s="1"/>
  <c r="R442" i="10" a="1"/>
  <c r="R442" i="10" s="1"/>
  <c r="S442" i="10" s="1"/>
  <c r="R529" i="10" a="1"/>
  <c r="R529" i="10" s="1"/>
  <c r="S529" i="10" s="1"/>
  <c r="R811" i="10" a="1"/>
  <c r="R811" i="10" s="1"/>
  <c r="S811" i="10" s="1"/>
  <c r="R255" i="10" a="1"/>
  <c r="R255" i="10" s="1"/>
  <c r="S255" i="10" s="1"/>
  <c r="R658" i="10" a="1"/>
  <c r="R658" i="10" s="1"/>
  <c r="S658" i="10" s="1"/>
  <c r="R88" i="10" a="1"/>
  <c r="R88" i="10" s="1"/>
  <c r="S88" i="10" s="1"/>
  <c r="R1146" i="10" a="1"/>
  <c r="R1146" i="10" s="1"/>
  <c r="S1146" i="10" s="1"/>
  <c r="R1106" i="10" a="1"/>
  <c r="R1106" i="10" s="1"/>
  <c r="S1106" i="10" s="1"/>
  <c r="R792" i="10" a="1"/>
  <c r="R792" i="10" s="1"/>
  <c r="S792" i="10" s="1"/>
  <c r="R252" i="10" a="1"/>
  <c r="R252" i="10" s="1"/>
  <c r="S252" i="10" s="1"/>
  <c r="R639" i="10" a="1"/>
  <c r="R639" i="10" s="1"/>
  <c r="S639" i="10" s="1"/>
  <c r="R817" i="10" a="1"/>
  <c r="R817" i="10" s="1"/>
  <c r="S817" i="10" s="1"/>
  <c r="R1030" i="10" a="1"/>
  <c r="R1030" i="10" s="1"/>
  <c r="S1030" i="10" s="1"/>
  <c r="R407" i="10" a="1"/>
  <c r="R407" i="10" s="1"/>
  <c r="S407" i="10" s="1"/>
  <c r="R418" i="10" a="1"/>
  <c r="R418" i="10" s="1"/>
  <c r="S418" i="10" s="1"/>
  <c r="R359" i="10" a="1"/>
  <c r="R359" i="10" s="1"/>
  <c r="S359" i="10" s="1"/>
  <c r="R351" i="10" a="1"/>
  <c r="R351" i="10" s="1"/>
  <c r="S351" i="10" s="1"/>
  <c r="R466" i="10" a="1"/>
  <c r="R466" i="10" s="1"/>
  <c r="S466" i="10" s="1"/>
  <c r="R575" i="10" a="1"/>
  <c r="R575" i="10" s="1"/>
  <c r="S575" i="10" s="1"/>
  <c r="R450" i="10" a="1"/>
  <c r="R450" i="10" s="1"/>
  <c r="S450" i="10" s="1"/>
  <c r="R1045" i="10" a="1"/>
  <c r="R1045" i="10" s="1"/>
  <c r="S1045" i="10" s="1"/>
  <c r="R761" i="10" a="1"/>
  <c r="R761" i="10" s="1"/>
  <c r="S761" i="10" s="1"/>
  <c r="R269" i="10" a="1"/>
  <c r="R269" i="10" s="1"/>
  <c r="S269" i="10" s="1"/>
  <c r="R262" i="10" a="1"/>
  <c r="R262" i="10" s="1"/>
  <c r="S262" i="10" s="1"/>
  <c r="R192" i="10" a="1"/>
  <c r="R192" i="10" s="1"/>
  <c r="S192" i="10" s="1"/>
  <c r="R759" i="10" a="1"/>
  <c r="R759" i="10" s="1"/>
  <c r="S759" i="10" s="1"/>
  <c r="R219" i="10" a="1"/>
  <c r="R219" i="10" s="1"/>
  <c r="S219" i="10" s="1"/>
  <c r="R770" i="10" a="1"/>
  <c r="R770" i="10" s="1"/>
  <c r="S770" i="10" s="1"/>
  <c r="R246" i="10" a="1"/>
  <c r="R246" i="10" s="1"/>
  <c r="S246" i="10" s="1"/>
  <c r="R825" i="10" a="1"/>
  <c r="R825" i="10" s="1"/>
  <c r="S825" i="10" s="1"/>
  <c r="R333" i="10" a="1"/>
  <c r="R333" i="10" s="1"/>
  <c r="S333" i="10" s="1"/>
  <c r="R326" i="10" a="1"/>
  <c r="R326" i="10" s="1"/>
  <c r="S326" i="10" s="1"/>
  <c r="R905" i="10" a="1"/>
  <c r="R905" i="10" s="1"/>
  <c r="S905" i="10" s="1"/>
  <c r="R349" i="10" a="1"/>
  <c r="R349" i="10" s="1"/>
  <c r="S349" i="10" s="1"/>
  <c r="R1126" i="10" a="1"/>
  <c r="R1126" i="10" s="1"/>
  <c r="S1126" i="10" s="1"/>
  <c r="R588" i="10" a="1"/>
  <c r="R588" i="10" s="1"/>
  <c r="S588" i="10" s="1"/>
  <c r="R112" i="10" a="1"/>
  <c r="R112" i="10" s="1"/>
  <c r="S112" i="10" s="1"/>
  <c r="R679" i="10" a="1"/>
  <c r="R679" i="10" s="1"/>
  <c r="S679" i="10" s="1"/>
  <c r="R203" i="10" a="1"/>
  <c r="R203" i="10" s="1"/>
  <c r="S203" i="10" s="1"/>
  <c r="R754" i="10" a="1"/>
  <c r="R754" i="10" s="1"/>
  <c r="S754" i="10" s="1"/>
  <c r="R782" i="10" a="1"/>
  <c r="R782" i="10" s="1"/>
  <c r="S782" i="10" s="1"/>
  <c r="R242" i="10" a="1"/>
  <c r="R242" i="10" s="1"/>
  <c r="S242" i="10" s="1"/>
  <c r="R585" i="10" a="1"/>
  <c r="R585" i="10" s="1"/>
  <c r="S585" i="10" s="1"/>
  <c r="R513" i="10" a="1"/>
  <c r="R513" i="10" s="1"/>
  <c r="S513" i="10" s="1"/>
  <c r="R899" i="10" a="1"/>
  <c r="R899" i="10" s="1"/>
  <c r="S899" i="10" s="1"/>
  <c r="R1005" i="10" a="1"/>
  <c r="R1005" i="10" s="1"/>
  <c r="S1005" i="10" s="1"/>
  <c r="R284" i="10" a="1"/>
  <c r="R284" i="10" s="1"/>
  <c r="S284" i="10" s="1"/>
  <c r="R433" i="10" a="1"/>
  <c r="R433" i="10" s="1"/>
  <c r="S433" i="10" s="1"/>
  <c r="R24" i="10" a="1"/>
  <c r="R24" i="10" s="1"/>
  <c r="S24" i="10" s="1"/>
  <c r="R1112" i="10" a="1"/>
  <c r="R1112" i="10" s="1"/>
  <c r="S1112" i="10" s="1"/>
  <c r="R177" i="10" a="1"/>
  <c r="R177" i="10" s="1"/>
  <c r="S177" i="10" s="1"/>
  <c r="R402" i="10" a="1"/>
  <c r="R402" i="10" s="1"/>
  <c r="S402" i="10" s="1"/>
  <c r="R600" i="10" a="1"/>
  <c r="R600" i="10" s="1"/>
  <c r="S600" i="10" s="1"/>
  <c r="R881" i="10" a="1"/>
  <c r="R881" i="10" s="1"/>
  <c r="S881" i="10" s="1"/>
  <c r="R369" i="10" a="1"/>
  <c r="R369" i="10" s="1"/>
  <c r="S369" i="10" s="1"/>
  <c r="R958" i="10" a="1"/>
  <c r="R958" i="10" s="1"/>
  <c r="S958" i="10" s="1"/>
  <c r="R974" i="10" a="1"/>
  <c r="R974" i="10" s="1"/>
  <c r="S974" i="10" s="1"/>
  <c r="R210" i="10" a="1"/>
  <c r="R210" i="10" s="1"/>
  <c r="S210" i="10" s="1"/>
  <c r="R867" i="10" a="1"/>
  <c r="R867" i="10" s="1"/>
  <c r="S867" i="10" s="1"/>
  <c r="R358" i="10" a="1"/>
  <c r="R358" i="10" s="1"/>
  <c r="S358" i="10" s="1"/>
  <c r="R381" i="10" a="1"/>
  <c r="R381" i="10" s="1"/>
  <c r="S381" i="10" s="1"/>
  <c r="R620" i="10" a="1"/>
  <c r="R620" i="10" s="1"/>
  <c r="S620" i="10" s="1"/>
  <c r="R647" i="10" a="1"/>
  <c r="R647" i="10" s="1"/>
  <c r="S647" i="10" s="1"/>
  <c r="R160" i="10" a="1"/>
  <c r="R160" i="10" s="1"/>
  <c r="S160" i="10" s="1"/>
  <c r="R187" i="10" a="1"/>
  <c r="R187" i="10" s="1"/>
  <c r="S187" i="10" s="1"/>
  <c r="R278" i="10" a="1"/>
  <c r="R278" i="10" s="1"/>
  <c r="S278" i="10" s="1"/>
  <c r="R301" i="10" a="1"/>
  <c r="R301" i="10" s="1"/>
  <c r="S301" i="10" s="1"/>
  <c r="R604" i="10" a="1"/>
  <c r="R604" i="10" s="1"/>
  <c r="S604" i="10" s="1"/>
  <c r="R1116" i="10" a="1"/>
  <c r="R1116" i="10" s="1"/>
  <c r="S1116" i="10" s="1"/>
  <c r="R337" i="10" a="1"/>
  <c r="R337" i="10" s="1"/>
  <c r="S337" i="10" s="1"/>
  <c r="R891" i="10" a="1"/>
  <c r="R891" i="10" s="1"/>
  <c r="S891" i="10" s="1"/>
  <c r="R1077" i="10" a="1"/>
  <c r="R1077" i="10" s="1"/>
  <c r="S1077" i="10" s="1"/>
  <c r="R276" i="10" a="1"/>
  <c r="R276" i="10" s="1"/>
  <c r="S276" i="10" s="1"/>
  <c r="R434" i="10" a="1"/>
  <c r="R434" i="10" s="1"/>
  <c r="S434" i="10" s="1"/>
  <c r="R728" i="10" a="1"/>
  <c r="R728" i="10" s="1"/>
  <c r="S728" i="10" s="1"/>
  <c r="R1163" i="10" a="1"/>
  <c r="R1163" i="10" s="1"/>
  <c r="S1163" i="10" s="1"/>
  <c r="R1141" i="10" a="1"/>
  <c r="R1141" i="10" s="1"/>
  <c r="S1141" i="10" s="1"/>
  <c r="R572" i="10" a="1"/>
  <c r="R572" i="10" s="1"/>
  <c r="S572" i="10" s="1"/>
  <c r="R472" i="10" a="1"/>
  <c r="R472" i="10" s="1"/>
  <c r="S472" i="10" s="1"/>
  <c r="R1023" i="10" a="1"/>
  <c r="R1023" i="10" s="1"/>
  <c r="S1023" i="10" s="1"/>
  <c r="R497" i="10" a="1"/>
  <c r="R497" i="10" s="1"/>
  <c r="S497" i="10" s="1"/>
  <c r="R1125" i="10" a="1"/>
  <c r="R1125" i="10" s="1"/>
  <c r="S1125" i="10" s="1"/>
  <c r="R152" i="10" a="1"/>
  <c r="R152" i="10" s="1"/>
  <c r="S152" i="10" s="1"/>
  <c r="R895" i="10" a="1"/>
  <c r="R895" i="10" s="1"/>
  <c r="S895" i="10" s="1"/>
  <c r="R947" i="10" a="1"/>
  <c r="R947" i="10" s="1"/>
  <c r="S947" i="10" s="1"/>
  <c r="R29" i="10" a="1"/>
  <c r="R29" i="10" s="1"/>
  <c r="S29" i="10" s="1"/>
  <c r="R268" i="10" a="1"/>
  <c r="R268" i="10" s="1"/>
  <c r="S268" i="10" s="1"/>
  <c r="R1149" i="10" a="1"/>
  <c r="R1149" i="10" s="1"/>
  <c r="S1149" i="10" s="1"/>
  <c r="R188" i="10" a="1"/>
  <c r="R188" i="10" s="1"/>
  <c r="S188" i="10" s="1"/>
  <c r="R408" i="10" a="1"/>
  <c r="R408" i="10" s="1"/>
  <c r="S408" i="10" s="1"/>
  <c r="R367" i="10" a="1"/>
  <c r="R367" i="10" s="1"/>
  <c r="S367" i="10" s="1"/>
  <c r="R950" i="10" a="1"/>
  <c r="R950" i="10" s="1"/>
  <c r="S950" i="10" s="1"/>
  <c r="R666" i="10" a="1"/>
  <c r="R666" i="10" s="1"/>
  <c r="S666" i="10" s="1"/>
  <c r="R174" i="10" a="1"/>
  <c r="R174" i="10" s="1"/>
  <c r="S174" i="10" s="1"/>
  <c r="R453" i="10" a="1"/>
  <c r="R453" i="10" s="1"/>
  <c r="S453" i="10" s="1"/>
  <c r="R1167" i="10" a="1"/>
  <c r="R1167" i="10" s="1"/>
  <c r="S1167" i="10" s="1"/>
  <c r="R676" i="10" a="1"/>
  <c r="R676" i="10" s="1"/>
  <c r="S676" i="10" s="1"/>
  <c r="R136" i="10" a="1"/>
  <c r="R136" i="10" s="1"/>
  <c r="S136" i="10" s="1"/>
  <c r="R687" i="10" a="1"/>
  <c r="R687" i="10" s="1"/>
  <c r="S687" i="10" s="1"/>
  <c r="R163" i="10" a="1"/>
  <c r="R163" i="10" s="1"/>
  <c r="S163" i="10" s="1"/>
  <c r="R730" i="10" a="1"/>
  <c r="R730" i="10" s="1"/>
  <c r="S730" i="10" s="1"/>
  <c r="R238" i="10" a="1"/>
  <c r="R238" i="10" s="1"/>
  <c r="S238" i="10" s="1"/>
  <c r="R243" i="10" a="1"/>
  <c r="R243" i="10" s="1"/>
  <c r="S243" i="10" s="1"/>
  <c r="R810" i="10" a="1"/>
  <c r="R810" i="10" s="1"/>
  <c r="S810" i="10" s="1"/>
  <c r="R254" i="10" a="1"/>
  <c r="R254" i="10" s="1"/>
  <c r="S254" i="10" s="1"/>
  <c r="R833" i="10" a="1"/>
  <c r="R833" i="10" s="1"/>
  <c r="S833" i="10" s="1"/>
  <c r="R373" i="10" a="1"/>
  <c r="R373" i="10" s="1"/>
  <c r="S373" i="10" s="1"/>
  <c r="R1134" i="10" a="1"/>
  <c r="R1134" i="10" s="1"/>
  <c r="S1134" i="10" s="1"/>
  <c r="R596" i="10" a="1"/>
  <c r="R596" i="10" s="1"/>
  <c r="S596" i="10" s="1"/>
  <c r="R120" i="10" a="1"/>
  <c r="R120" i="10" s="1"/>
  <c r="S120" i="10" s="1"/>
  <c r="R671" i="10" a="1"/>
  <c r="R671" i="10" s="1"/>
  <c r="S671" i="10" s="1"/>
  <c r="R956" i="10" a="1"/>
  <c r="R956" i="10" s="1"/>
  <c r="S956" i="10" s="1"/>
  <c r="R864" i="10" a="1"/>
  <c r="R864" i="10" s="1"/>
  <c r="S864" i="10" s="1"/>
  <c r="R982" i="10" a="1"/>
  <c r="R982" i="10" s="1"/>
  <c r="S982" i="10" s="1"/>
  <c r="R753" i="10" a="1"/>
  <c r="R753" i="10" s="1"/>
  <c r="S753" i="10" s="1"/>
  <c r="R300" i="10" a="1"/>
  <c r="R300" i="10" s="1"/>
  <c r="S300" i="10" s="1"/>
  <c r="R583" i="10" a="1"/>
  <c r="R583" i="10" s="1"/>
  <c r="S583" i="10" s="1"/>
  <c r="R107" i="10" a="1"/>
  <c r="R107" i="10" s="1"/>
  <c r="S107" i="10" s="1"/>
  <c r="R937" i="10" a="1"/>
  <c r="R937" i="10" s="1"/>
  <c r="S937" i="10" s="1"/>
  <c r="R1158" i="10" a="1"/>
  <c r="R1158" i="10" s="1"/>
  <c r="S1158" i="10" s="1"/>
  <c r="R80" i="10" a="1"/>
  <c r="R80" i="10" s="1"/>
  <c r="S80" i="10" s="1"/>
  <c r="R171" i="10" a="1"/>
  <c r="R171" i="10" s="1"/>
  <c r="S171" i="10" s="1"/>
  <c r="R727" i="10" a="1"/>
  <c r="R727" i="10" s="1"/>
  <c r="S727" i="10" s="1"/>
  <c r="R738" i="10" a="1"/>
  <c r="R738" i="10" s="1"/>
  <c r="S738" i="10" s="1"/>
  <c r="R857" i="10" a="1"/>
  <c r="R857" i="10" s="1"/>
  <c r="S857" i="10" s="1"/>
  <c r="R1142" i="10" a="1"/>
  <c r="R1142" i="10" s="1"/>
  <c r="S1142" i="10" s="1"/>
  <c r="R715" i="10" a="1"/>
  <c r="R715" i="10" s="1"/>
  <c r="S715" i="10" s="1"/>
  <c r="R324" i="10" a="1"/>
  <c r="R324" i="10" s="1"/>
  <c r="S324" i="10" s="1"/>
  <c r="R335" i="10" a="1"/>
  <c r="R335" i="10" s="1"/>
  <c r="S335" i="10" s="1"/>
  <c r="R537" i="10" a="1"/>
  <c r="R537" i="10" s="1"/>
  <c r="S537" i="10" s="1"/>
  <c r="R530" i="10" a="1"/>
  <c r="R530" i="10" s="1"/>
  <c r="S530" i="10" s="1"/>
  <c r="R1048" i="10" a="1"/>
  <c r="R1048" i="10" s="1"/>
  <c r="S1048" i="10" s="1"/>
  <c r="R625" i="10" a="1"/>
  <c r="R625" i="10" s="1"/>
  <c r="S625" i="10" s="1"/>
  <c r="R875" i="10" a="1"/>
  <c r="R875" i="10" s="1"/>
  <c r="S875" i="10" s="1"/>
  <c r="R1073" i="10" a="1"/>
  <c r="R1073" i="10" s="1"/>
  <c r="S1073" i="10" s="1"/>
  <c r="R892" i="10" a="1"/>
  <c r="R892" i="10" s="1"/>
  <c r="S892" i="10" s="1"/>
  <c r="R808" i="10" a="1"/>
  <c r="R808" i="10" s="1"/>
  <c r="S808" i="10" s="1"/>
  <c r="R824" i="10" a="1"/>
  <c r="R824" i="10" s="1"/>
  <c r="S824" i="10" s="1"/>
  <c r="R274" i="10" a="1"/>
  <c r="R274" i="10" s="1"/>
  <c r="S274" i="10" s="1"/>
  <c r="R21" i="10" a="1"/>
  <c r="R21" i="10" s="1"/>
  <c r="S21" i="10" s="1"/>
  <c r="R500" i="10" a="1"/>
  <c r="R500" i="10" s="1"/>
  <c r="S500" i="10" s="1"/>
  <c r="R275" i="10" a="1"/>
  <c r="R275" i="10" s="1"/>
  <c r="S275" i="10" s="1"/>
  <c r="R286" i="10" a="1"/>
  <c r="R286" i="10" s="1"/>
  <c r="S286" i="10" s="1"/>
  <c r="R341" i="10" a="1"/>
  <c r="R341" i="10" s="1"/>
  <c r="S341" i="10" s="1"/>
  <c r="R564" i="10" a="1"/>
  <c r="R564" i="10" s="1"/>
  <c r="S564" i="10" s="1"/>
  <c r="R1135" i="10" a="1"/>
  <c r="R1135" i="10" s="1"/>
  <c r="S1135" i="10" s="1"/>
  <c r="R104" i="10" a="1"/>
  <c r="R104" i="10" s="1"/>
  <c r="S104" i="10" s="1"/>
  <c r="R195" i="10" a="1"/>
  <c r="R195" i="10" s="1"/>
  <c r="S195" i="10" s="1"/>
  <c r="R270" i="10" a="1"/>
  <c r="R270" i="10" s="1"/>
  <c r="S270" i="10" s="1"/>
  <c r="R159" i="10" a="1"/>
  <c r="R159" i="10" s="1"/>
  <c r="S159" i="10" s="1"/>
  <c r="R907" i="10" a="1"/>
  <c r="R907" i="10" s="1"/>
  <c r="S907" i="10" s="1"/>
  <c r="R338" i="10" a="1"/>
  <c r="R338" i="10" s="1"/>
  <c r="S338" i="10" s="1"/>
  <c r="R60" i="10" a="1"/>
  <c r="R60" i="10" s="1"/>
  <c r="S60" i="10" s="1"/>
  <c r="R82" i="10" a="1"/>
  <c r="R82" i="10" s="1"/>
  <c r="S82" i="10" s="1"/>
  <c r="R319" i="10" a="1"/>
  <c r="R319" i="10" s="1"/>
  <c r="S319" i="10" s="1"/>
  <c r="R636" i="10" a="1"/>
  <c r="R636" i="10" s="1"/>
  <c r="S636" i="10" s="1"/>
  <c r="R490" i="10" a="1"/>
  <c r="R490" i="10" s="1"/>
  <c r="S490" i="10" s="1"/>
  <c r="R816" i="10" a="1"/>
  <c r="R816" i="10" s="1"/>
  <c r="S816" i="10" s="1"/>
  <c r="R508" i="10" a="1"/>
  <c r="R508" i="10" s="1"/>
  <c r="S508" i="10" s="1"/>
  <c r="R1040" i="10" a="1"/>
  <c r="R1040" i="10" s="1"/>
  <c r="S1040" i="10" s="1"/>
  <c r="R357" i="10" a="1"/>
  <c r="R357" i="10" s="1"/>
  <c r="S357" i="10" s="1"/>
  <c r="R842" i="10" a="1"/>
  <c r="R842" i="10" s="1"/>
  <c r="S842" i="10" s="1"/>
  <c r="R865" i="10" a="1"/>
  <c r="R865" i="10" s="1"/>
  <c r="S865" i="10" s="1"/>
  <c r="R1104" i="10" a="1"/>
  <c r="R1104" i="10" s="1"/>
  <c r="S1104" i="10" s="1"/>
  <c r="R421" i="10" a="1"/>
  <c r="R421" i="10" s="1"/>
  <c r="S421" i="10" s="1"/>
  <c r="R644" i="10" a="1"/>
  <c r="R644" i="10" s="1"/>
  <c r="S644" i="10" s="1"/>
  <c r="R655" i="10" a="1"/>
  <c r="R655" i="10" s="1"/>
  <c r="S655" i="10" s="1"/>
  <c r="R762" i="10" a="1"/>
  <c r="R762" i="10" s="1"/>
  <c r="S762" i="10" s="1"/>
  <c r="R849" i="10" a="1"/>
  <c r="R849" i="10" s="1"/>
  <c r="S849" i="10" s="1"/>
  <c r="R1105" i="10" a="1"/>
  <c r="R1105" i="10" s="1"/>
  <c r="S1105" i="10" s="1"/>
  <c r="R526" i="10" a="1"/>
  <c r="R526" i="10" s="1"/>
  <c r="S526" i="10" s="1"/>
  <c r="R1018" i="10" a="1"/>
  <c r="R1018" i="10" s="1"/>
  <c r="S1018" i="10" s="1"/>
  <c r="R844" i="10" a="1"/>
  <c r="R844" i="10" s="1"/>
  <c r="S844" i="10" s="1"/>
  <c r="R137" i="10" a="1"/>
  <c r="R137" i="10" s="1"/>
  <c r="S137" i="10" s="1"/>
  <c r="R419" i="10" a="1"/>
  <c r="R419" i="10" s="1"/>
  <c r="S419" i="10" s="1"/>
  <c r="R74" i="10" a="1"/>
  <c r="R74" i="10" s="1"/>
  <c r="S74" i="10" s="1"/>
  <c r="R1017" i="10" a="1"/>
  <c r="R1017" i="10" s="1"/>
  <c r="S1017" i="10" s="1"/>
  <c r="R155" i="10" a="1"/>
  <c r="R155" i="10" s="1"/>
  <c r="S155" i="10" s="1"/>
  <c r="R1132" i="10" a="1"/>
  <c r="R1132" i="10" s="1"/>
  <c r="S1132" i="10" s="1"/>
  <c r="R98" i="10" a="1"/>
  <c r="R98" i="10" s="1"/>
  <c r="S98" i="10" s="1"/>
  <c r="R627" i="10" a="1"/>
  <c r="R627" i="10" s="1"/>
  <c r="S627" i="10" s="1"/>
  <c r="R630" i="10" a="1"/>
  <c r="R630" i="10" s="1"/>
  <c r="S630" i="10" s="1"/>
  <c r="R202" i="10" a="1"/>
  <c r="R202" i="10" s="1"/>
  <c r="S202" i="10" s="1"/>
  <c r="R606" i="10" a="1"/>
  <c r="R606" i="10" s="1"/>
  <c r="S606" i="10" s="1"/>
  <c r="R545" i="10" a="1"/>
  <c r="R545" i="10" s="1"/>
  <c r="S545" i="10" s="1"/>
  <c r="R1085" i="10" a="1"/>
  <c r="R1085" i="10" s="1"/>
  <c r="S1085" i="10" s="1"/>
  <c r="R522" i="10" a="1"/>
  <c r="R522" i="10" s="1"/>
  <c r="S522" i="10" s="1"/>
  <c r="R1062" i="10" a="1"/>
  <c r="R1062" i="10" s="1"/>
  <c r="S1062" i="10" s="1"/>
  <c r="R685" i="10" a="1"/>
  <c r="R685" i="10" s="1"/>
  <c r="S685" i="10" s="1"/>
  <c r="R122" i="10" a="1"/>
  <c r="R122" i="10" s="1"/>
  <c r="S122" i="10" s="1"/>
  <c r="R662" i="10" a="1"/>
  <c r="R662" i="10" s="1"/>
  <c r="S662" i="10" s="1"/>
  <c r="R866" i="10" a="1"/>
  <c r="R866" i="10" s="1"/>
  <c r="S866" i="10" s="1"/>
  <c r="R315" i="10" a="1"/>
  <c r="R315" i="10" s="1"/>
  <c r="S315" i="10" s="1"/>
  <c r="R855" i="10" a="1"/>
  <c r="R855" i="10" s="1"/>
  <c r="S855" i="10" s="1"/>
  <c r="R288" i="10" a="1"/>
  <c r="R288" i="10" s="1"/>
  <c r="S288" i="10" s="1"/>
  <c r="R299" i="10" a="1"/>
  <c r="R299" i="10" s="1"/>
  <c r="S299" i="10" s="1"/>
  <c r="R775" i="10" a="1"/>
  <c r="R775" i="10" s="1"/>
  <c r="S775" i="10" s="1"/>
  <c r="R208" i="10" a="1"/>
  <c r="R208" i="10" s="1"/>
  <c r="S208" i="10" s="1"/>
  <c r="R748" i="10" a="1"/>
  <c r="R748" i="10" s="1"/>
  <c r="S748" i="10" s="1"/>
  <c r="R1137" i="10" a="1"/>
  <c r="R1137" i="10" s="1"/>
  <c r="S1137" i="10" s="1"/>
  <c r="R509" i="10" a="1"/>
  <c r="R509" i="10" s="1"/>
  <c r="S509" i="10" s="1"/>
  <c r="R1065" i="10" a="1"/>
  <c r="R1065" i="10" s="1"/>
  <c r="S1065" i="10" s="1"/>
  <c r="R486" i="10" a="1"/>
  <c r="R486" i="10" s="1"/>
  <c r="S486" i="10" s="1"/>
  <c r="R224" i="10" a="1"/>
  <c r="R224" i="10" s="1"/>
  <c r="S224" i="10" s="1"/>
  <c r="R235" i="10" a="1"/>
  <c r="R235" i="10" s="1"/>
  <c r="S235" i="10" s="1"/>
  <c r="R711" i="10" a="1"/>
  <c r="R711" i="10" s="1"/>
  <c r="S711" i="10" s="1"/>
  <c r="R144" i="10" a="1"/>
  <c r="R144" i="10" s="1"/>
  <c r="S144" i="10" s="1"/>
  <c r="R684" i="10" a="1"/>
  <c r="R684" i="10" s="1"/>
  <c r="S684" i="10" s="1"/>
  <c r="R1120" i="10" a="1"/>
  <c r="R1120" i="10" s="1"/>
  <c r="S1120" i="10" s="1"/>
  <c r="R445" i="10" a="1"/>
  <c r="R445" i="10" s="1"/>
  <c r="S445" i="10" s="1"/>
  <c r="R1001" i="10" a="1"/>
  <c r="R1001" i="10" s="1"/>
  <c r="S1001" i="10" s="1"/>
  <c r="R422" i="10" a="1"/>
  <c r="R422" i="10" s="1"/>
  <c r="S422" i="10" s="1"/>
  <c r="R605" i="10" a="1"/>
  <c r="R605" i="10" s="1"/>
  <c r="S605" i="10" s="1"/>
  <c r="R494" i="10" a="1"/>
  <c r="R494" i="10" s="1"/>
  <c r="S494" i="10" s="1"/>
  <c r="R876" i="10" a="1"/>
  <c r="R876" i="10" s="1"/>
  <c r="S876" i="10" s="1"/>
  <c r="R1098" i="10" a="1"/>
  <c r="R1098" i="10" s="1"/>
  <c r="S1098" i="10" s="1"/>
  <c r="R430" i="10" a="1"/>
  <c r="R430" i="10" s="1"/>
  <c r="S430" i="10" s="1"/>
  <c r="R706" i="10" a="1"/>
  <c r="R706" i="10" s="1"/>
  <c r="S706" i="10" s="1"/>
  <c r="R873" i="10" a="1"/>
  <c r="R873" i="10" s="1"/>
  <c r="S873" i="10" s="1"/>
  <c r="R473" i="10" a="1"/>
  <c r="R473" i="10" s="1"/>
  <c r="S473" i="10" s="1"/>
  <c r="R638" i="10" a="1"/>
  <c r="R638" i="10" s="1"/>
  <c r="S638" i="10" s="1"/>
  <c r="R622" i="10" a="1"/>
  <c r="R622" i="10" s="1"/>
  <c r="S622" i="10" s="1"/>
  <c r="R1004" i="10" a="1"/>
  <c r="R1004" i="10" s="1"/>
  <c r="S1004" i="10" s="1"/>
  <c r="R119" i="10" a="1"/>
  <c r="R119" i="10" s="1"/>
  <c r="S119" i="10" s="1"/>
  <c r="R563" i="10" a="1"/>
  <c r="R563" i="10" s="1"/>
  <c r="S563" i="10" s="1"/>
  <c r="R1050" i="10" a="1"/>
  <c r="R1050" i="10" s="1"/>
  <c r="S1050" i="10" s="1"/>
  <c r="R1090" i="10" a="1"/>
  <c r="R1090" i="10" s="1"/>
  <c r="S1090" i="10" s="1"/>
  <c r="R138" i="10" a="1"/>
  <c r="R138" i="10" s="1"/>
  <c r="S138" i="10" s="1"/>
  <c r="R498" i="10" a="1"/>
  <c r="R498" i="10" s="1"/>
  <c r="S498" i="10" s="1"/>
  <c r="R1038" i="10" a="1"/>
  <c r="R1038" i="10" s="1"/>
  <c r="S1038" i="10" s="1"/>
  <c r="R423" i="10" a="1"/>
  <c r="R423" i="10" s="1"/>
  <c r="S423" i="10" s="1"/>
  <c r="R963" i="10" a="1"/>
  <c r="R963" i="10" s="1"/>
  <c r="S963" i="10" s="1"/>
  <c r="R332" i="10" a="1"/>
  <c r="R332" i="10" s="1"/>
  <c r="S332" i="10" s="1"/>
  <c r="R872" i="10" a="1"/>
  <c r="R872" i="10" s="1"/>
  <c r="S872" i="10" s="1"/>
  <c r="R93" i="10" a="1"/>
  <c r="R93" i="10" s="1"/>
  <c r="S93" i="10" s="1"/>
  <c r="R649" i="10" a="1"/>
  <c r="R649" i="10" s="1"/>
  <c r="S649" i="10" s="1"/>
  <c r="R70" i="10" a="1"/>
  <c r="R70" i="10" s="1"/>
  <c r="S70" i="10" s="1"/>
  <c r="R77" i="10" a="1"/>
  <c r="R77" i="10" s="1"/>
  <c r="S77" i="10" s="1"/>
  <c r="R569" i="10" a="1"/>
  <c r="R569" i="10" s="1"/>
  <c r="S569" i="10" s="1"/>
  <c r="R1109" i="10" a="1"/>
  <c r="R1109" i="10" s="1"/>
  <c r="S1109" i="10" s="1"/>
  <c r="R514" i="10" a="1"/>
  <c r="R514" i="10" s="1"/>
  <c r="S514" i="10" s="1"/>
  <c r="R1054" i="10" a="1"/>
  <c r="R1054" i="10" s="1"/>
  <c r="S1054" i="10" s="1"/>
  <c r="R503" i="10" a="1"/>
  <c r="R503" i="10" s="1"/>
  <c r="S503" i="10" s="1"/>
  <c r="R1043" i="10" a="1"/>
  <c r="R1043" i="10" s="1"/>
  <c r="S1043" i="10" s="1"/>
  <c r="R1121" i="10" a="1"/>
  <c r="R1121" i="10" s="1"/>
  <c r="S1121" i="10" s="1"/>
  <c r="R1164" i="10" a="1"/>
  <c r="R1164" i="10" s="1"/>
  <c r="S1164" i="10" s="1"/>
  <c r="R505" i="10" a="1"/>
  <c r="R505" i="10" s="1"/>
  <c r="S505" i="10" s="1"/>
  <c r="R789" i="10" a="1"/>
  <c r="R789" i="10" s="1"/>
  <c r="S789" i="10" s="1"/>
  <c r="R194" i="10" a="1"/>
  <c r="R194" i="10" s="1"/>
  <c r="S194" i="10" s="1"/>
  <c r="R734" i="10" a="1"/>
  <c r="R734" i="10" s="1"/>
  <c r="S734" i="10" s="1"/>
  <c r="R183" i="10" a="1"/>
  <c r="R183" i="10" s="1"/>
  <c r="S183" i="10" s="1"/>
  <c r="R723" i="10" a="1"/>
  <c r="R723" i="10" s="1"/>
  <c r="S723" i="10" s="1"/>
  <c r="R398" i="10" a="1"/>
  <c r="R398" i="10" s="1"/>
  <c r="S398" i="10" s="1"/>
  <c r="R890" i="10" a="1"/>
  <c r="R890" i="10" s="1"/>
  <c r="S890" i="10" s="1"/>
  <c r="R323" i="10" a="1"/>
  <c r="R323" i="10" s="1"/>
  <c r="S323" i="10" s="1"/>
  <c r="R783" i="10" a="1"/>
  <c r="R783" i="10" s="1"/>
  <c r="S783" i="10" s="1"/>
  <c r="R1083" i="10" a="1"/>
  <c r="R1083" i="10" s="1"/>
  <c r="S1083" i="10" s="1"/>
  <c r="R516" i="10" a="1"/>
  <c r="R516" i="10" s="1"/>
  <c r="S516" i="10" s="1"/>
  <c r="R1056" i="10" a="1"/>
  <c r="R1056" i="10" s="1"/>
  <c r="S1056" i="10" s="1"/>
  <c r="R293" i="10" a="1"/>
  <c r="R293" i="10" s="1"/>
  <c r="S293" i="10" s="1"/>
  <c r="R436" i="10" a="1"/>
  <c r="R436" i="10" s="1"/>
  <c r="S436" i="10" s="1"/>
  <c r="R976" i="10" a="1"/>
  <c r="R976" i="10" s="1"/>
  <c r="S976" i="10" s="1"/>
  <c r="R213" i="10" a="1"/>
  <c r="R213" i="10" s="1"/>
  <c r="S213" i="10" s="1"/>
  <c r="R737" i="10" a="1"/>
  <c r="R737" i="10" s="1"/>
  <c r="S737" i="10" s="1"/>
  <c r="R158" i="10" a="1"/>
  <c r="R158" i="10" s="1"/>
  <c r="S158" i="10" s="1"/>
  <c r="R714" i="10" a="1"/>
  <c r="R714" i="10" s="1"/>
  <c r="S714" i="10" s="1"/>
  <c r="R147" i="10" a="1"/>
  <c r="R147" i="10" s="1"/>
  <c r="S147" i="10" s="1"/>
  <c r="R992" i="10" a="1"/>
  <c r="R992" i="10" s="1"/>
  <c r="S992" i="10" s="1"/>
  <c r="R229" i="10" a="1"/>
  <c r="R229" i="10" s="1"/>
  <c r="S229" i="10" s="1"/>
  <c r="R372" i="10" a="1"/>
  <c r="R372" i="10" s="1"/>
  <c r="S372" i="10" s="1"/>
  <c r="R912" i="10" a="1"/>
  <c r="R912" i="10" s="1"/>
  <c r="S912" i="10" s="1"/>
  <c r="R149" i="10" a="1"/>
  <c r="R149" i="10" s="1"/>
  <c r="S149" i="10" s="1"/>
  <c r="R673" i="10" a="1"/>
  <c r="R673" i="10" s="1"/>
  <c r="S673" i="10" s="1"/>
  <c r="R94" i="10" a="1"/>
  <c r="R94" i="10" s="1"/>
  <c r="S94" i="10" s="1"/>
  <c r="R650" i="10" a="1"/>
  <c r="R650" i="10" s="1"/>
  <c r="S650" i="10" s="1"/>
  <c r="R83" i="10" a="1"/>
  <c r="R83" i="10" s="1"/>
  <c r="S83" i="10" s="1"/>
  <c r="R534" i="10" a="1"/>
  <c r="R534" i="10" s="1"/>
  <c r="S534" i="10" s="1"/>
  <c r="R510" i="10" a="1"/>
  <c r="R510" i="10" s="1"/>
  <c r="S510" i="10" s="1"/>
  <c r="R427" i="10" a="1"/>
  <c r="R427" i="10" s="1"/>
  <c r="S427" i="10" s="1"/>
  <c r="R597" i="10" a="1"/>
  <c r="R597" i="10" s="1"/>
  <c r="S597" i="10" s="1"/>
  <c r="R1015" i="10" a="1"/>
  <c r="R1015" i="10" s="1"/>
  <c r="S1015" i="10" s="1"/>
  <c r="R525" i="10" a="1"/>
  <c r="R525" i="10" s="1"/>
  <c r="S525" i="10" s="1"/>
  <c r="R623" i="10" a="1"/>
  <c r="R623" i="10" s="1"/>
  <c r="S623" i="10" s="1"/>
  <c r="R128" i="10" a="1"/>
  <c r="R128" i="10" s="1"/>
  <c r="S128" i="10" s="1"/>
  <c r="R752" i="10" a="1"/>
  <c r="R752" i="10" s="1"/>
  <c r="S752" i="10" s="1"/>
  <c r="R733" i="10" a="1"/>
  <c r="R733" i="10" s="1"/>
  <c r="S733" i="10" s="1"/>
  <c r="R717" i="10" a="1"/>
  <c r="R717" i="10" s="1"/>
  <c r="S717" i="10" s="1"/>
  <c r="R47" i="10" a="1"/>
  <c r="R47" i="10" s="1"/>
  <c r="S47" i="10" s="1"/>
  <c r="R297" i="10" a="1"/>
  <c r="R297" i="10" s="1"/>
  <c r="S297" i="10" s="1"/>
  <c r="R491" i="10" a="1"/>
  <c r="R491" i="10" s="1"/>
  <c r="S491" i="10" s="1"/>
  <c r="R400" i="10" a="1"/>
  <c r="R400" i="10" s="1"/>
  <c r="S400" i="10" s="1"/>
  <c r="R456" i="10" a="1"/>
  <c r="R456" i="10" s="1"/>
  <c r="S456" i="10" s="1"/>
  <c r="R678" i="10" a="1"/>
  <c r="R678" i="10" s="1"/>
  <c r="S678" i="10" s="1"/>
  <c r="R167" i="10" a="1"/>
  <c r="R167" i="10" s="1"/>
  <c r="S167" i="10" s="1"/>
  <c r="R707" i="10" a="1"/>
  <c r="R707" i="10" s="1"/>
  <c r="S707" i="10" s="1"/>
  <c r="R76" i="10" a="1"/>
  <c r="R76" i="10" s="1"/>
  <c r="S76" i="10" s="1"/>
  <c r="R616" i="10" a="1"/>
  <c r="R616" i="10" s="1"/>
  <c r="S616" i="10" s="1"/>
  <c r="R1154" i="10" a="1"/>
  <c r="R1154" i="10" s="1"/>
  <c r="S1154" i="10" s="1"/>
  <c r="R393" i="10" a="1"/>
  <c r="R393" i="10" s="1"/>
  <c r="S393" i="10" s="1"/>
  <c r="R933" i="10" a="1"/>
  <c r="R933" i="10" s="1"/>
  <c r="S933" i="10" s="1"/>
  <c r="R1076" i="10" a="1"/>
  <c r="R1076" i="10" s="1"/>
  <c r="S1076" i="10" s="1"/>
  <c r="R313" i="10" a="1"/>
  <c r="R313" i="10" s="1"/>
  <c r="S313" i="10" s="1"/>
  <c r="R853" i="10" a="1"/>
  <c r="R853" i="10" s="1"/>
  <c r="S853" i="10" s="1"/>
  <c r="R258" i="10" a="1"/>
  <c r="R258" i="10" s="1"/>
  <c r="S258" i="10" s="1"/>
  <c r="R798" i="10" a="1"/>
  <c r="R798" i="10" s="1"/>
  <c r="S798" i="10" s="1"/>
  <c r="R247" i="10" a="1"/>
  <c r="R247" i="10" s="1"/>
  <c r="S247" i="10" s="1"/>
  <c r="R787" i="10" a="1"/>
  <c r="R787" i="10" s="1"/>
  <c r="S787" i="10" s="1"/>
  <c r="R869" i="10" a="1"/>
  <c r="R869" i="10" s="1"/>
  <c r="S869" i="10" s="1"/>
  <c r="R1012" i="10" a="1"/>
  <c r="R1012" i="10" s="1"/>
  <c r="S1012" i="10" s="1"/>
  <c r="R249" i="10" a="1"/>
  <c r="R249" i="10" s="1"/>
  <c r="S249" i="10" s="1"/>
  <c r="R533" i="10" a="1"/>
  <c r="R533" i="10" s="1"/>
  <c r="S533" i="10" s="1"/>
  <c r="R1057" i="10" a="1"/>
  <c r="R1057" i="10" s="1"/>
  <c r="S1057" i="10" s="1"/>
  <c r="R478" i="10" a="1"/>
  <c r="R478" i="10" s="1"/>
  <c r="S478" i="10" s="1"/>
  <c r="R1034" i="10" a="1"/>
  <c r="R1034" i="10" s="1"/>
  <c r="S1034" i="10" s="1"/>
  <c r="R467" i="10" a="1"/>
  <c r="R467" i="10" s="1"/>
  <c r="S467" i="10" s="1"/>
  <c r="R142" i="10" a="1"/>
  <c r="R142" i="10" s="1"/>
  <c r="S142" i="10" s="1"/>
  <c r="R634" i="10" a="1"/>
  <c r="R634" i="10" s="1"/>
  <c r="S634" i="10" s="1"/>
  <c r="R67" i="10" a="1"/>
  <c r="R67" i="10" s="1"/>
  <c r="S67" i="10" s="1"/>
  <c r="R527" i="10" a="1"/>
  <c r="R527" i="10" s="1"/>
  <c r="S527" i="10" s="1"/>
  <c r="R827" i="10" a="1"/>
  <c r="R827" i="10" s="1"/>
  <c r="S827" i="10" s="1"/>
  <c r="R260" i="10" a="1"/>
  <c r="R260" i="10" s="1"/>
  <c r="S260" i="10" s="1"/>
  <c r="R800" i="10" a="1"/>
  <c r="R800" i="10" s="1"/>
  <c r="S800" i="10" s="1"/>
  <c r="R37" i="10" a="1"/>
  <c r="R37" i="10" s="1"/>
  <c r="S37" i="10" s="1"/>
  <c r="R180" i="10" a="1"/>
  <c r="R180" i="10" s="1"/>
  <c r="S180" i="10" s="1"/>
  <c r="R720" i="10" a="1"/>
  <c r="R720" i="10" s="1"/>
  <c r="S720" i="10" s="1"/>
  <c r="R1156" i="10" a="1"/>
  <c r="R1156" i="10" s="1"/>
  <c r="S1156" i="10" s="1"/>
  <c r="R481" i="10" a="1"/>
  <c r="R481" i="10" s="1"/>
  <c r="S481" i="10" s="1"/>
  <c r="R1021" i="10" a="1"/>
  <c r="R1021" i="10" s="1"/>
  <c r="S1021" i="10" s="1"/>
  <c r="R458" i="10" a="1"/>
  <c r="R458" i="10" s="1"/>
  <c r="S458" i="10" s="1"/>
  <c r="R998" i="10" a="1"/>
  <c r="R998" i="10" s="1"/>
  <c r="S998" i="10" s="1"/>
  <c r="R736" i="10" a="1"/>
  <c r="R736" i="10" s="1"/>
  <c r="S736" i="10" s="1"/>
  <c r="R747" i="10" a="1"/>
  <c r="R747" i="10" s="1"/>
  <c r="S747" i="10" s="1"/>
  <c r="R116" i="10" a="1"/>
  <c r="R116" i="10" s="1"/>
  <c r="S116" i="10" s="1"/>
  <c r="R656" i="10" a="1"/>
  <c r="R656" i="10" s="1"/>
  <c r="S656" i="10" s="1"/>
  <c r="R1147" i="10" a="1"/>
  <c r="R1147" i="10" s="1"/>
  <c r="S1147" i="10" s="1"/>
  <c r="R417" i="10" a="1"/>
  <c r="R417" i="10" s="1"/>
  <c r="S417" i="10" s="1"/>
  <c r="R957" i="10" a="1"/>
  <c r="R957" i="10" s="1"/>
  <c r="S957" i="10" s="1"/>
  <c r="R394" i="10" a="1"/>
  <c r="R394" i="10" s="1"/>
  <c r="S394" i="10" s="1"/>
  <c r="R934" i="10" a="1"/>
  <c r="R934" i="10" s="1"/>
  <c r="S934" i="10" s="1"/>
  <c r="R868" i="10" a="1"/>
  <c r="R868" i="10" s="1"/>
  <c r="S868" i="10" s="1"/>
  <c r="R468" i="10" a="1"/>
  <c r="R468" i="10" s="1"/>
  <c r="S468" i="10" s="1"/>
  <c r="R449" i="10" a="1"/>
  <c r="R449" i="10" s="1"/>
  <c r="S449" i="10" s="1"/>
  <c r="R966" i="10" a="1"/>
  <c r="R966" i="10" s="1"/>
  <c r="S966" i="10" s="1"/>
  <c r="R886" i="10" a="1"/>
  <c r="R886" i="10" s="1"/>
  <c r="S886" i="10" s="1"/>
  <c r="R292" i="10" a="1"/>
  <c r="R292" i="10" s="1"/>
  <c r="S292" i="10" s="1"/>
  <c r="R902" i="10" a="1"/>
  <c r="R902" i="10" s="1"/>
  <c r="S902" i="10" s="1"/>
  <c r="R822" i="10" a="1"/>
  <c r="R822" i="10" s="1"/>
  <c r="S822" i="10" s="1"/>
  <c r="R228" i="10" a="1"/>
  <c r="R228" i="10" s="1"/>
  <c r="S228" i="10" s="1"/>
  <c r="R926" i="10" a="1"/>
  <c r="R926" i="10" s="1"/>
  <c r="S926" i="10" s="1"/>
  <c r="R997" i="10" a="1"/>
  <c r="R997" i="10" s="1"/>
  <c r="S997" i="10" s="1"/>
  <c r="R322" i="10" a="1"/>
  <c r="R322" i="10" s="1"/>
  <c r="S322" i="10" s="1"/>
  <c r="R860" i="10" a="1"/>
  <c r="R860" i="10" s="1"/>
  <c r="S860" i="10" s="1"/>
  <c r="R81" i="10" a="1"/>
  <c r="R81" i="10" s="1"/>
  <c r="S81" i="10" s="1"/>
  <c r="R557" i="10" a="1"/>
  <c r="R557" i="10" s="1"/>
  <c r="S557" i="10" s="1"/>
  <c r="R1113" i="10" a="1"/>
  <c r="R1113" i="10" s="1"/>
  <c r="S1113" i="10" s="1"/>
  <c r="R1089" i="10" a="1"/>
  <c r="R1089" i="10" s="1"/>
  <c r="S1089" i="10" s="1"/>
  <c r="R677" i="10" a="1"/>
  <c r="R677" i="10" s="1"/>
  <c r="S677" i="10" s="1"/>
  <c r="R943" i="10" a="1"/>
  <c r="R943" i="10" s="1"/>
  <c r="S943" i="10" s="1"/>
  <c r="R531" i="10" a="1"/>
  <c r="R531" i="10" s="1"/>
  <c r="S531" i="10" s="1"/>
  <c r="R99" i="10" a="1"/>
  <c r="R99" i="10" s="1"/>
  <c r="S99" i="10" s="1"/>
  <c r="R612" i="10" a="1"/>
  <c r="R612" i="10" s="1"/>
  <c r="S612" i="10" s="1"/>
  <c r="R378" i="10" a="1"/>
  <c r="R378" i="10" s="1"/>
  <c r="S378" i="10" s="1"/>
  <c r="R571" i="10" a="1"/>
  <c r="R571" i="10" s="1"/>
  <c r="S571" i="10" s="1"/>
  <c r="R555" i="10" a="1"/>
  <c r="R555" i="10" s="1"/>
  <c r="S555" i="10" s="1"/>
  <c r="R1071" i="10" a="1"/>
  <c r="R1071" i="10" s="1"/>
  <c r="S1071" i="10" s="1"/>
  <c r="R659" i="10" a="1"/>
  <c r="R659" i="10" s="1"/>
  <c r="S659" i="10" s="1"/>
  <c r="R1079" i="10" a="1"/>
  <c r="R1079" i="10" s="1"/>
  <c r="S1079" i="10" s="1"/>
  <c r="R840" i="10" a="1"/>
  <c r="R840" i="10" s="1"/>
  <c r="S840" i="10" s="1"/>
  <c r="R61" i="10" a="1"/>
  <c r="R61" i="10" s="1"/>
  <c r="S61" i="10" s="1"/>
  <c r="R617" i="10" a="1"/>
  <c r="R617" i="10" s="1"/>
  <c r="S617" i="10" s="1"/>
  <c r="R38" i="10" a="1"/>
  <c r="R38" i="10" s="1"/>
  <c r="S38" i="10" s="1"/>
  <c r="R980" i="10" a="1"/>
  <c r="R980" i="10" s="1"/>
  <c r="S980" i="10" s="1"/>
  <c r="R217" i="10" a="1"/>
  <c r="R217" i="10" s="1"/>
  <c r="S217" i="10" s="1"/>
  <c r="R757" i="10" a="1"/>
  <c r="R757" i="10" s="1"/>
  <c r="S757" i="10" s="1"/>
  <c r="R961" i="10" a="1"/>
  <c r="R961" i="10" s="1"/>
  <c r="S961" i="10" s="1"/>
  <c r="R382" i="10" a="1"/>
  <c r="R382" i="10" s="1"/>
  <c r="S382" i="10" s="1"/>
  <c r="R938" i="10" a="1"/>
  <c r="R938" i="10" s="1"/>
  <c r="S938" i="10" s="1"/>
  <c r="R371" i="10" a="1"/>
  <c r="R371" i="10" s="1"/>
  <c r="S371" i="10" s="1"/>
  <c r="R366" i="10" a="1"/>
  <c r="R366" i="10" s="1"/>
  <c r="S366" i="10" s="1"/>
  <c r="R858" i="10" a="1"/>
  <c r="R858" i="10" s="1"/>
  <c r="S858" i="10" s="1"/>
  <c r="R291" i="10" a="1"/>
  <c r="R291" i="10" s="1"/>
  <c r="S291" i="10" s="1"/>
  <c r="R815" i="10" a="1"/>
  <c r="R815" i="10" s="1"/>
  <c r="S815" i="10" s="1"/>
  <c r="R264" i="10" a="1"/>
  <c r="R264" i="10" s="1"/>
  <c r="S264" i="10" s="1"/>
  <c r="R804" i="10" a="1"/>
  <c r="R804" i="10" s="1"/>
  <c r="S804" i="10" s="1"/>
  <c r="R41" i="10" a="1"/>
  <c r="R41" i="10" s="1"/>
  <c r="S41" i="10" s="1"/>
  <c r="R581" i="10" a="1"/>
  <c r="R581" i="10" s="1"/>
  <c r="S581" i="10" s="1"/>
  <c r="R307" i="10" a="1"/>
  <c r="R307" i="10" s="1"/>
  <c r="S307" i="10" s="1"/>
  <c r="R302" i="10" a="1"/>
  <c r="R302" i="10" s="1"/>
  <c r="S302" i="10" s="1"/>
  <c r="R794" i="10" a="1"/>
  <c r="R794" i="10" s="1"/>
  <c r="S794" i="10" s="1"/>
  <c r="R227" i="10" a="1"/>
  <c r="R227" i="10" s="1"/>
  <c r="S227" i="10" s="1"/>
  <c r="R751" i="10" a="1"/>
  <c r="R751" i="10" s="1"/>
  <c r="S751" i="10" s="1"/>
  <c r="R200" i="10" a="1"/>
  <c r="R200" i="10" s="1"/>
  <c r="S200" i="10" s="1"/>
  <c r="R740" i="10" a="1"/>
  <c r="R740" i="10" s="1"/>
  <c r="S740" i="10" s="1"/>
  <c r="R1129" i="10" a="1"/>
  <c r="R1129" i="10" s="1"/>
  <c r="S1129" i="10" s="1"/>
  <c r="R517" i="10" a="1"/>
  <c r="R517" i="10" s="1"/>
  <c r="S517" i="10" s="1"/>
  <c r="R1066" i="10" a="1"/>
  <c r="R1066" i="10" s="1"/>
  <c r="S1066" i="10" s="1"/>
  <c r="R903" i="10" a="1"/>
  <c r="R903" i="10" s="1"/>
  <c r="S903" i="10" s="1"/>
  <c r="R1119" i="10" a="1"/>
  <c r="R1119" i="10" s="1"/>
  <c r="S1119" i="10" s="1"/>
  <c r="R448" i="10" a="1"/>
  <c r="R448" i="10" s="1"/>
  <c r="S448" i="10" s="1"/>
  <c r="R839" i="10" a="1"/>
  <c r="R839" i="10" s="1"/>
  <c r="S839" i="10" s="1"/>
  <c r="R1096" i="10" a="1"/>
  <c r="R1096" i="10" s="1"/>
  <c r="S1096" i="10" s="1"/>
  <c r="R211" i="10" a="1"/>
  <c r="R211" i="10" s="1"/>
  <c r="S211" i="10" s="1"/>
  <c r="R918" i="10" a="1"/>
  <c r="R918" i="10" s="1"/>
  <c r="S918" i="10" s="1"/>
  <c r="R1111" i="10" a="1"/>
  <c r="R1111" i="10" s="1"/>
  <c r="S1111" i="10" s="1"/>
  <c r="R1031" i="10" a="1"/>
  <c r="R1031" i="10" s="1"/>
  <c r="S1031" i="10" s="1"/>
  <c r="R130" i="10" a="1"/>
  <c r="R130" i="10" s="1"/>
  <c r="S130" i="10" s="1"/>
  <c r="R576" i="10" a="1"/>
  <c r="R576" i="10" s="1"/>
  <c r="S576" i="10" s="1"/>
  <c r="R741" i="10" a="1"/>
  <c r="R741" i="10" s="1"/>
  <c r="S741" i="10" s="1"/>
  <c r="R121" i="10" a="1"/>
  <c r="R121" i="10" s="1"/>
  <c r="S121" i="10" s="1"/>
  <c r="R161" i="10" a="1"/>
  <c r="R161" i="10" s="1"/>
  <c r="S161" i="10" s="1"/>
  <c r="R595" i="10" a="1"/>
  <c r="R595" i="10" s="1"/>
  <c r="S595" i="10" s="1"/>
  <c r="R593" i="10" a="1"/>
  <c r="R593" i="10" s="1"/>
  <c r="S593" i="10" s="1"/>
  <c r="R1069" i="10" a="1"/>
  <c r="R1069" i="10" s="1"/>
  <c r="S1069" i="10" s="1"/>
  <c r="R506" i="10" a="1"/>
  <c r="R506" i="10" s="1"/>
  <c r="S506" i="10" s="1"/>
  <c r="R1046" i="10" a="1"/>
  <c r="R1046" i="10" s="1"/>
  <c r="S1046" i="10" s="1"/>
  <c r="R399" i="10" a="1"/>
  <c r="R399" i="10" s="1"/>
  <c r="S399" i="10" s="1"/>
  <c r="R955" i="10" a="1"/>
  <c r="R955" i="10" s="1"/>
  <c r="S955" i="10" s="1"/>
  <c r="R388" i="10" a="1"/>
  <c r="R388" i="10" s="1"/>
  <c r="S388" i="10" s="1"/>
  <c r="R928" i="10" a="1"/>
  <c r="R928" i="10" s="1"/>
  <c r="S928" i="10" s="1"/>
  <c r="R165" i="10" a="1"/>
  <c r="R165" i="10" s="1"/>
  <c r="S165" i="10" s="1"/>
  <c r="R308" i="10" a="1"/>
  <c r="R308" i="10" s="1"/>
  <c r="S308" i="10" s="1"/>
  <c r="R848" i="10" a="1"/>
  <c r="R848" i="10" s="1"/>
  <c r="S848" i="10" s="1"/>
  <c r="R85" i="10" a="1"/>
  <c r="R85" i="10" s="1"/>
  <c r="S85" i="10" s="1"/>
  <c r="R609" i="10" a="1"/>
  <c r="R609" i="10" s="1"/>
  <c r="S609" i="10" s="1"/>
  <c r="R30" i="10" a="1"/>
  <c r="R30" i="10" s="1"/>
  <c r="S30" i="10" s="1"/>
  <c r="R586" i="10" a="1"/>
  <c r="R586" i="10" s="1"/>
  <c r="S586" i="10" s="1"/>
  <c r="R101" i="10" a="1"/>
  <c r="R101" i="10" s="1"/>
  <c r="S101" i="10" s="1"/>
  <c r="R244" i="10" a="1"/>
  <c r="R244" i="10" s="1"/>
  <c r="S244" i="10" s="1"/>
  <c r="R784" i="10" a="1"/>
  <c r="R784" i="10" s="1"/>
  <c r="S784" i="10" s="1"/>
  <c r="R1068" i="10" a="1"/>
  <c r="R1068" i="10" s="1"/>
  <c r="S1068" i="10" s="1"/>
  <c r="R289" i="10" a="1"/>
  <c r="R289" i="10" s="1"/>
  <c r="S289" i="10" s="1"/>
  <c r="R829" i="10" a="1"/>
  <c r="R829" i="10" s="1"/>
  <c r="S829" i="10" s="1"/>
  <c r="R266" i="10" a="1"/>
  <c r="R266" i="10" s="1"/>
  <c r="S266" i="10" s="1"/>
  <c r="R806" i="10" a="1"/>
  <c r="R806" i="10" s="1"/>
  <c r="S806" i="10" s="1"/>
  <c r="R429" i="10" a="1"/>
  <c r="R429" i="10" s="1"/>
  <c r="S429" i="10" s="1"/>
  <c r="R985" i="10" a="1"/>
  <c r="R985" i="10" s="1"/>
  <c r="S985" i="10" s="1"/>
  <c r="R406" i="10" a="1"/>
  <c r="R406" i="10" s="1"/>
  <c r="S406" i="10" s="1"/>
  <c r="R610" i="10" a="1"/>
  <c r="R610" i="10" s="1"/>
  <c r="S610" i="10" s="1"/>
  <c r="R59" i="10" a="1"/>
  <c r="R59" i="10" s="1"/>
  <c r="S59" i="10" s="1"/>
  <c r="R599" i="10" a="1"/>
  <c r="R599" i="10" s="1"/>
  <c r="S599" i="10" s="1"/>
  <c r="R32" i="10" a="1"/>
  <c r="R32" i="10" s="1"/>
  <c r="S32" i="10" s="1"/>
  <c r="R43" i="10" a="1"/>
  <c r="R43" i="10" s="1"/>
  <c r="S43" i="10" s="1"/>
  <c r="R519" i="10" a="1"/>
  <c r="R519" i="10" s="1"/>
  <c r="S519" i="10" s="1"/>
  <c r="R1059" i="10" a="1"/>
  <c r="R1059" i="10" s="1"/>
  <c r="S1059" i="10" s="1"/>
  <c r="R492" i="10" a="1"/>
  <c r="R492" i="10" s="1"/>
  <c r="S492" i="10" s="1"/>
  <c r="R1032" i="10" a="1"/>
  <c r="R1032" i="10" s="1"/>
  <c r="S1032" i="10" s="1"/>
  <c r="R253" i="10" a="1"/>
  <c r="R253" i="10" s="1"/>
  <c r="S253" i="10" s="1"/>
  <c r="R809" i="10" a="1"/>
  <c r="R809" i="10" s="1"/>
  <c r="S809" i="10" s="1"/>
  <c r="R230" i="10" a="1"/>
  <c r="R230" i="10" s="1"/>
  <c r="S230" i="10" s="1"/>
  <c r="R1075" i="10" a="1"/>
  <c r="R1075" i="10" s="1"/>
  <c r="S1075" i="10" s="1"/>
  <c r="R1070" i="10" a="1"/>
  <c r="R1070" i="10" s="1"/>
  <c r="S1070" i="10" s="1"/>
  <c r="R455" i="10" a="1"/>
  <c r="R455" i="10" s="1"/>
  <c r="S455" i="10" s="1"/>
  <c r="R995" i="10" a="1"/>
  <c r="R995" i="10" s="1"/>
  <c r="S995" i="10" s="1"/>
  <c r="R428" i="10" a="1"/>
  <c r="R428" i="10" s="1"/>
  <c r="S428" i="10" s="1"/>
  <c r="R968" i="10" a="1"/>
  <c r="R968" i="10" s="1"/>
  <c r="S968" i="10" s="1"/>
  <c r="R189" i="10" a="1"/>
  <c r="R189" i="10" s="1"/>
  <c r="S189" i="10" s="1"/>
  <c r="R745" i="10" a="1"/>
  <c r="R745" i="10" s="1"/>
  <c r="S745" i="10" s="1"/>
  <c r="R166" i="10" a="1"/>
  <c r="R166" i="10" s="1"/>
  <c r="S166" i="10" s="1"/>
  <c r="R629" i="10" a="1"/>
  <c r="R629" i="10" s="1"/>
  <c r="S629" i="10" s="1"/>
  <c r="R983" i="10" a="1"/>
  <c r="R983" i="10" s="1"/>
  <c r="S983" i="10" s="1"/>
  <c r="R820" i="10" a="1"/>
  <c r="R820" i="10" s="1"/>
  <c r="S820" i="10" s="1"/>
  <c r="R1026" i="10" a="1"/>
  <c r="R1026" i="10" s="1"/>
  <c r="S1026" i="10" s="1"/>
  <c r="R169" i="10" a="1"/>
  <c r="R169" i="10" s="1"/>
  <c r="S169" i="10" s="1"/>
  <c r="R922" i="10" a="1"/>
  <c r="R922" i="10" s="1"/>
  <c r="S922" i="10" s="1"/>
  <c r="R72" i="10" a="1"/>
  <c r="R72" i="10" s="1"/>
  <c r="S72" i="10" s="1"/>
  <c r="R389" i="10" a="1"/>
  <c r="R389" i="10" s="1"/>
  <c r="S389" i="10" s="1"/>
  <c r="R1013" i="10" a="1"/>
  <c r="R1013" i="10" s="1"/>
  <c r="S1013" i="10" s="1"/>
  <c r="R87" i="10" a="1"/>
  <c r="R87" i="10" s="1"/>
  <c r="S87" i="10" s="1"/>
  <c r="R1114" i="10" a="1"/>
  <c r="R1114" i="10" s="1"/>
  <c r="S1114" i="10" s="1"/>
  <c r="R520" i="10" a="1"/>
  <c r="R520" i="10" s="1"/>
  <c r="S520" i="10" s="1"/>
  <c r="R742" i="10" a="1"/>
  <c r="R742" i="10" s="1"/>
  <c r="S742" i="10" s="1"/>
  <c r="R558" i="10" a="1"/>
  <c r="R558" i="10" s="1"/>
  <c r="S558" i="10" s="1"/>
  <c r="R566" i="10" a="1"/>
  <c r="R566" i="10" s="1"/>
  <c r="S566" i="10" s="1"/>
  <c r="R701" i="10" a="1"/>
  <c r="R701" i="10" s="1"/>
  <c r="S701" i="10" s="1"/>
  <c r="R813" i="10" a="1"/>
  <c r="R813" i="10" s="1"/>
  <c r="S813" i="10" s="1"/>
  <c r="R250" i="10" a="1"/>
  <c r="R250" i="10" s="1"/>
  <c r="S250" i="10" s="1"/>
  <c r="R790" i="10" a="1"/>
  <c r="R790" i="10" s="1"/>
  <c r="S790" i="10" s="1"/>
  <c r="R143" i="10" a="1"/>
  <c r="R143" i="10" s="1"/>
  <c r="S143" i="10" s="1"/>
  <c r="R699" i="10" a="1"/>
  <c r="R699" i="10" s="1"/>
  <c r="S699" i="10" s="1"/>
  <c r="R132" i="10" a="1"/>
  <c r="R132" i="10" s="1"/>
  <c r="S132" i="10" s="1"/>
  <c r="R672" i="10" a="1"/>
  <c r="R672" i="10" s="1"/>
  <c r="S672" i="10" s="1"/>
  <c r="R683" i="10" a="1"/>
  <c r="R683" i="10" s="1"/>
  <c r="S683" i="10" s="1"/>
  <c r="R52" i="10" a="1"/>
  <c r="R52" i="10" s="1"/>
  <c r="S52" i="10" s="1"/>
  <c r="R592" i="10" a="1"/>
  <c r="R592" i="10" s="1"/>
  <c r="S592" i="10" s="1"/>
  <c r="R1130" i="10" a="1"/>
  <c r="R1130" i="10" s="1"/>
  <c r="S1130" i="10" s="1"/>
  <c r="R353" i="10" a="1"/>
  <c r="R353" i="10" s="1"/>
  <c r="S353" i="10" s="1"/>
  <c r="R893" i="10" a="1"/>
  <c r="R893" i="10" s="1"/>
  <c r="S893" i="10" s="1"/>
  <c r="R330" i="10" a="1"/>
  <c r="R330" i="10" s="1"/>
  <c r="S330" i="10" s="1"/>
  <c r="R870" i="10" a="1"/>
  <c r="R870" i="10" s="1"/>
  <c r="S870" i="10" s="1"/>
  <c r="R619" i="10" a="1"/>
  <c r="R619" i="10" s="1"/>
  <c r="S619" i="10" s="1"/>
  <c r="R1095" i="10" a="1"/>
  <c r="R1095" i="10" s="1"/>
  <c r="S1095" i="10" s="1"/>
  <c r="R528" i="10" a="1"/>
  <c r="R528" i="10" s="1"/>
  <c r="S528" i="10" s="1"/>
  <c r="R812" i="10" a="1"/>
  <c r="R812" i="10" s="1"/>
  <c r="S812" i="10" s="1"/>
  <c r="R33" i="10" a="1"/>
  <c r="R33" i="10" s="1"/>
  <c r="S33" i="10" s="1"/>
  <c r="R573" i="10" a="1"/>
  <c r="R573" i="10" s="1"/>
  <c r="S573" i="10" s="1"/>
  <c r="R1123" i="10" a="1"/>
  <c r="R1123" i="10" s="1"/>
  <c r="S1123" i="10" s="1"/>
  <c r="R550" i="10" a="1"/>
  <c r="R550" i="10" s="1"/>
  <c r="S550" i="10" s="1"/>
  <c r="R173" i="10" a="1"/>
  <c r="R173" i="10" s="1"/>
  <c r="S173" i="10" s="1"/>
  <c r="R729" i="10" a="1"/>
  <c r="R729" i="10" s="1"/>
  <c r="S729" i="10" s="1"/>
  <c r="R150" i="10" a="1"/>
  <c r="R150" i="10" s="1"/>
  <c r="S150" i="10" s="1"/>
  <c r="R354" i="10" a="1"/>
  <c r="R354" i="10" s="1"/>
  <c r="S354" i="10" s="1"/>
  <c r="R894" i="10" a="1"/>
  <c r="R894" i="10" s="1"/>
  <c r="S894" i="10" s="1"/>
  <c r="R343" i="10" a="1"/>
  <c r="R343" i="10" s="1"/>
  <c r="S343" i="10" s="1"/>
  <c r="R883" i="10" a="1"/>
  <c r="R883" i="10" s="1"/>
  <c r="S883" i="10" s="1"/>
  <c r="R878" i="10" a="1"/>
  <c r="R878" i="10" s="1"/>
  <c r="S878" i="10" s="1"/>
  <c r="R263" i="10" a="1"/>
  <c r="R263" i="10" s="1"/>
  <c r="S263" i="10" s="1"/>
  <c r="R803" i="10" a="1"/>
  <c r="R803" i="10" s="1"/>
  <c r="S803" i="10" s="1"/>
  <c r="R236" i="10" a="1"/>
  <c r="R236" i="10" s="1"/>
  <c r="S236" i="10" s="1"/>
  <c r="R776" i="10" a="1"/>
  <c r="R776" i="10" s="1"/>
  <c r="S776" i="10" s="1"/>
  <c r="R1165" i="10" a="1"/>
  <c r="R1165" i="10" s="1"/>
  <c r="S1165" i="10" s="1"/>
  <c r="R553" i="10" a="1"/>
  <c r="R553" i="10" s="1"/>
  <c r="S553" i="10" s="1"/>
  <c r="R1093" i="10" a="1"/>
  <c r="R1093" i="10" s="1"/>
  <c r="S1093" i="10" s="1"/>
  <c r="R819" i="10" a="1"/>
  <c r="R819" i="10" s="1"/>
  <c r="S819" i="10" s="1"/>
  <c r="R814" i="10" a="1"/>
  <c r="R814" i="10" s="1"/>
  <c r="S814" i="10" s="1"/>
  <c r="R199" i="10" a="1"/>
  <c r="R199" i="10" s="1"/>
  <c r="S199" i="10" s="1"/>
  <c r="R739" i="10" a="1"/>
  <c r="R739" i="10" s="1"/>
  <c r="S739" i="10" s="1"/>
  <c r="R172" i="10" a="1"/>
  <c r="R172" i="10" s="1"/>
  <c r="S172" i="10" s="1"/>
  <c r="R712" i="10" a="1"/>
  <c r="R712" i="10" s="1"/>
  <c r="S712" i="10" s="1"/>
  <c r="R1148" i="10" a="1"/>
  <c r="R1148" i="10" s="1"/>
  <c r="S1148" i="10" s="1"/>
  <c r="R489" i="10" a="1"/>
  <c r="R489" i="10" s="1"/>
  <c r="S489" i="10" s="1"/>
  <c r="R1029" i="10" a="1"/>
  <c r="R1029" i="10" s="1"/>
  <c r="S1029" i="10" s="1"/>
  <c r="R1145" i="10" a="1"/>
  <c r="R1145" i="10" s="1"/>
  <c r="S1145" i="10" s="1"/>
  <c r="R464" i="10" a="1"/>
  <c r="R464" i="10" s="1"/>
  <c r="S464" i="10" s="1"/>
  <c r="R480" i="10" a="1"/>
  <c r="R480" i="10" s="1"/>
  <c r="S480" i="10" s="1"/>
  <c r="R940" i="10" a="1"/>
  <c r="R940" i="10" s="1"/>
  <c r="S940" i="10" s="1"/>
  <c r="R1108" i="10" a="1"/>
  <c r="R1108" i="10" s="1"/>
  <c r="S1108" i="10" s="1"/>
  <c r="R885" i="10" a="1"/>
  <c r="R885" i="10" s="1"/>
  <c r="S885" i="10" s="1"/>
  <c r="R766" i="10" a="1"/>
  <c r="R766" i="10" s="1"/>
  <c r="S766" i="10" s="1"/>
  <c r="R215" i="10" a="1"/>
  <c r="R215" i="10" s="1"/>
  <c r="S215" i="10" s="1"/>
  <c r="R750" i="10" a="1"/>
  <c r="R750" i="10" s="1"/>
  <c r="S750" i="10" s="1"/>
  <c r="R675" i="10" a="1"/>
  <c r="R675" i="10" s="1"/>
  <c r="S675" i="10" s="1"/>
  <c r="R648" i="10" a="1"/>
  <c r="R648" i="10" s="1"/>
  <c r="S648" i="10" s="1"/>
  <c r="R425" i="10" a="1"/>
  <c r="R425" i="10" s="1"/>
  <c r="S425" i="10" s="1"/>
  <c r="R686" i="10" a="1"/>
  <c r="R686" i="10" s="1"/>
  <c r="S686" i="10" s="1"/>
  <c r="R355" i="10" a="1"/>
  <c r="R355" i="10" s="1"/>
  <c r="S355" i="10" s="1"/>
  <c r="R328" i="10" a="1"/>
  <c r="R328" i="10" s="1"/>
  <c r="S328" i="10" s="1"/>
  <c r="R645" i="10" a="1"/>
  <c r="R645" i="10" s="1"/>
  <c r="S645" i="10" s="1"/>
  <c r="R1008" i="10" a="1"/>
  <c r="R1008" i="10" s="1"/>
  <c r="S1008" i="10" s="1"/>
  <c r="R989" i="10" a="1"/>
  <c r="R989" i="10" s="1"/>
  <c r="S989" i="10" s="1"/>
  <c r="R973" i="10" a="1"/>
  <c r="R973" i="10" s="1"/>
  <c r="S973" i="10" s="1"/>
  <c r="R303" i="10" a="1"/>
  <c r="R303" i="10" s="1"/>
  <c r="S303" i="10" s="1"/>
  <c r="R832" i="10" a="1"/>
  <c r="R832" i="10" s="1"/>
  <c r="S832" i="10" s="1"/>
  <c r="R909" i="10" a="1"/>
  <c r="R909" i="10" s="1"/>
  <c r="S909" i="10" s="1"/>
  <c r="R239" i="10" a="1"/>
  <c r="R239" i="10" s="1"/>
  <c r="S239" i="10" s="1"/>
  <c r="R768" i="10" a="1"/>
  <c r="R768" i="10" s="1"/>
  <c r="S768" i="10" s="1"/>
  <c r="R375" i="10" a="1"/>
  <c r="R375" i="10" s="1"/>
  <c r="S375" i="10" s="1"/>
  <c r="R377" i="10" a="1"/>
  <c r="R377" i="10" s="1"/>
  <c r="S377" i="10" s="1"/>
  <c r="R311" i="10" a="1"/>
  <c r="R311" i="10" s="1"/>
  <c r="S311" i="10" s="1"/>
  <c r="R927" i="10" a="1"/>
  <c r="R927" i="10" s="1"/>
  <c r="S927" i="10" s="1"/>
  <c r="R376" i="10" a="1"/>
  <c r="R376" i="10" s="1"/>
  <c r="S376" i="10" s="1"/>
  <c r="R852" i="10" a="1"/>
  <c r="R852" i="10" s="1"/>
  <c r="S852" i="10" s="1"/>
  <c r="R368" i="10" a="1"/>
  <c r="R368" i="10" s="1"/>
  <c r="S368" i="10" s="1"/>
  <c r="R360" i="10" a="1"/>
  <c r="R360" i="10" s="1"/>
  <c r="S360" i="10" s="1"/>
  <c r="R589" i="10" a="1"/>
  <c r="R589" i="10" s="1"/>
  <c r="S589" i="10" s="1"/>
  <c r="R392" i="10" a="1"/>
  <c r="R392" i="10" s="1"/>
  <c r="S392" i="10" s="1"/>
  <c r="R518" i="10" a="1"/>
  <c r="R518" i="10" s="1"/>
  <c r="S518" i="10" s="1"/>
  <c r="R556" i="10" a="1"/>
  <c r="R556" i="10" s="1"/>
  <c r="S556" i="10" s="1"/>
  <c r="R1150" i="10" a="1"/>
  <c r="R1150" i="10" s="1"/>
  <c r="S1150" i="10" s="1"/>
  <c r="R835" i="10" a="1"/>
  <c r="R835" i="10" s="1"/>
  <c r="S835" i="10" s="1"/>
  <c r="R1028" i="10" a="1"/>
  <c r="R1028" i="10" s="1"/>
  <c r="S1028" i="10" s="1"/>
  <c r="R948" i="10" a="1"/>
  <c r="R948" i="10" s="1"/>
  <c r="S948" i="10" s="1"/>
  <c r="R225" i="10" a="1"/>
  <c r="R225" i="10" s="1"/>
  <c r="S225" i="10" s="1"/>
  <c r="R106" i="10" a="1"/>
  <c r="R106" i="10" s="1"/>
  <c r="S106" i="10" s="1"/>
  <c r="R233" i="10" a="1"/>
  <c r="R233" i="10" s="1"/>
  <c r="S233" i="10" s="1"/>
  <c r="R923" i="10" a="1"/>
  <c r="R923" i="10" s="1"/>
  <c r="S923" i="10" s="1"/>
  <c r="R356" i="10" a="1"/>
  <c r="R356" i="10" s="1"/>
  <c r="S356" i="10" s="1"/>
  <c r="R896" i="10" a="1"/>
  <c r="R896" i="10" s="1"/>
  <c r="S896" i="10" s="1"/>
  <c r="R133" i="10" a="1"/>
  <c r="R133" i="10" s="1"/>
  <c r="S133" i="10" s="1"/>
  <c r="R1063" i="10" a="1"/>
  <c r="R1063" i="10" s="1"/>
  <c r="S1063" i="10" s="1"/>
  <c r="R496" i="10" a="1"/>
  <c r="R496" i="10" s="1"/>
  <c r="S496" i="10" s="1"/>
  <c r="R972" i="10" a="1"/>
  <c r="R972" i="10" s="1"/>
  <c r="S972" i="10" s="1"/>
  <c r="R1152" i="10" a="1"/>
  <c r="R1152" i="10" s="1"/>
  <c r="S1152" i="10" s="1"/>
  <c r="R477" i="10" a="1"/>
  <c r="R477" i="10" s="1"/>
  <c r="S477" i="10" s="1"/>
  <c r="R1033" i="10" a="1"/>
  <c r="R1033" i="10" s="1"/>
  <c r="S1033" i="10" s="1"/>
  <c r="R454" i="10" a="1"/>
  <c r="R454" i="10" s="1"/>
  <c r="S454" i="10" s="1"/>
  <c r="R461" i="10" a="1"/>
  <c r="R461" i="10" s="1"/>
  <c r="S461" i="10" s="1"/>
  <c r="R953" i="10" a="1"/>
  <c r="R953" i="10" s="1"/>
  <c r="S953" i="10" s="1"/>
  <c r="R374" i="10" a="1"/>
  <c r="R374" i="10" s="1"/>
  <c r="S374" i="10" s="1"/>
  <c r="R898" i="10" a="1"/>
  <c r="R898" i="10" s="1"/>
  <c r="S898" i="10" s="1"/>
  <c r="R347" i="10" a="1"/>
  <c r="R347" i="10" s="1"/>
  <c r="S347" i="10" s="1"/>
  <c r="R887" i="10" a="1"/>
  <c r="R887" i="10" s="1"/>
  <c r="S887" i="10" s="1"/>
  <c r="R320" i="10" a="1"/>
  <c r="R320" i="10" s="1"/>
  <c r="S320" i="10" s="1"/>
  <c r="R969" i="10" a="1"/>
  <c r="R969" i="10" s="1"/>
  <c r="S969" i="10" s="1"/>
  <c r="R390" i="10" a="1"/>
  <c r="R390" i="10" s="1"/>
  <c r="S390" i="10" s="1"/>
  <c r="R397" i="10" a="1"/>
  <c r="R397" i="10" s="1"/>
  <c r="S397" i="10" s="1"/>
  <c r="R889" i="10" a="1"/>
  <c r="R889" i="10" s="1"/>
  <c r="S889" i="10" s="1"/>
  <c r="R310" i="10" a="1"/>
  <c r="R310" i="10" s="1"/>
  <c r="S310" i="10" s="1"/>
  <c r="R834" i="10" a="1"/>
  <c r="R834" i="10" s="1"/>
  <c r="S834" i="10" s="1"/>
  <c r="R283" i="10" a="1"/>
  <c r="R283" i="10" s="1"/>
  <c r="S283" i="10" s="1"/>
  <c r="R823" i="10" a="1"/>
  <c r="R823" i="10" s="1"/>
  <c r="S823" i="10" s="1"/>
  <c r="R256" i="10" a="1"/>
  <c r="R256" i="10" s="1"/>
  <c r="S256" i="10" s="1"/>
  <c r="R994" i="10" a="1"/>
  <c r="R994" i="10" s="1"/>
  <c r="S994" i="10" s="1"/>
  <c r="R416" i="10" a="1"/>
  <c r="R416" i="10" s="1"/>
  <c r="S416" i="10" s="1"/>
  <c r="R57" i="10" a="1"/>
  <c r="R57" i="10" s="1"/>
  <c r="S57" i="10" s="1"/>
  <c r="R475" i="10" a="1"/>
  <c r="R475" i="10" s="1"/>
  <c r="S475" i="10" s="1"/>
  <c r="R709" i="10" a="1"/>
  <c r="R709" i="10" s="1"/>
  <c r="S709" i="10" s="1"/>
  <c r="R272" i="10" a="1"/>
  <c r="R272" i="10" s="1"/>
  <c r="S272" i="10" s="1"/>
  <c r="R222" i="10" a="1"/>
  <c r="R222" i="10" s="1"/>
  <c r="S222" i="10" s="1"/>
  <c r="R910" i="10" a="1"/>
  <c r="R910" i="10" s="1"/>
  <c r="S910" i="10" s="1"/>
  <c r="R204" i="10" a="1"/>
  <c r="R204" i="10" s="1"/>
  <c r="S204" i="10" s="1"/>
  <c r="R544" i="10" a="1"/>
  <c r="R544" i="10" s="1"/>
  <c r="S544" i="10" s="1"/>
  <c r="R185" i="10" a="1"/>
  <c r="R185" i="10" s="1"/>
  <c r="S185" i="10" s="1"/>
  <c r="R603" i="10" a="1"/>
  <c r="R603" i="10" s="1"/>
  <c r="S603" i="10" s="1"/>
  <c r="R837" i="10" a="1"/>
  <c r="R837" i="10" s="1"/>
  <c r="S837" i="10" s="1"/>
  <c r="R653" i="10" a="1"/>
  <c r="R653" i="10" s="1"/>
  <c r="S653" i="10" s="1"/>
  <c r="R483" i="10" a="1"/>
  <c r="R483" i="10" s="1"/>
  <c r="S483" i="10" s="1"/>
  <c r="R539" i="10" a="1"/>
  <c r="R539" i="10" s="1"/>
  <c r="S539" i="10" s="1"/>
  <c r="R348" i="10" a="1"/>
  <c r="R348" i="10" s="1"/>
  <c r="S348" i="10" s="1"/>
  <c r="R888" i="10" a="1"/>
  <c r="R888" i="10" s="1"/>
  <c r="S888" i="10" s="1"/>
  <c r="R45" i="10" a="1"/>
  <c r="R45" i="10" s="1"/>
  <c r="S45" i="10" s="1"/>
  <c r="R601" i="10" a="1"/>
  <c r="R601" i="10" s="1"/>
  <c r="S601" i="10" s="1"/>
  <c r="R22" i="10" a="1"/>
  <c r="R22" i="10" s="1"/>
  <c r="S22" i="10" s="1"/>
  <c r="R482" i="10" a="1"/>
  <c r="R482" i="10" s="1"/>
  <c r="S482" i="10" s="1"/>
  <c r="R1022" i="10" a="1"/>
  <c r="R1022" i="10" s="1"/>
  <c r="S1022" i="10" s="1"/>
  <c r="R471" i="10" a="1"/>
  <c r="R471" i="10" s="1"/>
  <c r="S471" i="10" s="1"/>
  <c r="R1011" i="10" a="1"/>
  <c r="R1011" i="10" s="1"/>
  <c r="S1011" i="10" s="1"/>
  <c r="R1006" i="10" a="1"/>
  <c r="R1006" i="10" s="1"/>
  <c r="S1006" i="10" s="1"/>
  <c r="R391" i="10" a="1"/>
  <c r="R391" i="10" s="1"/>
  <c r="S391" i="10" s="1"/>
  <c r="R931" i="10" a="1"/>
  <c r="R931" i="10" s="1"/>
  <c r="S931" i="10" s="1"/>
  <c r="R364" i="10" a="1"/>
  <c r="R364" i="10" s="1"/>
  <c r="S364" i="10" s="1"/>
  <c r="R904" i="10" a="1"/>
  <c r="R904" i="10" s="1"/>
  <c r="S904" i="10" s="1"/>
  <c r="R125" i="10" a="1"/>
  <c r="R125" i="10" s="1"/>
  <c r="S125" i="10" s="1"/>
  <c r="R681" i="10" a="1"/>
  <c r="R681" i="10" s="1"/>
  <c r="S681" i="10" s="1"/>
  <c r="R102" i="10" a="1"/>
  <c r="R102" i="10" s="1"/>
  <c r="S102" i="10" s="1"/>
  <c r="R942" i="10" a="1"/>
  <c r="R942" i="10" s="1"/>
  <c r="S942" i="10" s="1"/>
  <c r="R327" i="10" a="1"/>
  <c r="R327" i="10" s="1"/>
  <c r="S327" i="10" s="1"/>
  <c r="R611" i="10" a="1"/>
  <c r="R611" i="10" s="1"/>
  <c r="S611" i="10" s="1"/>
  <c r="R44" i="10" a="1"/>
  <c r="R44" i="10" s="1"/>
  <c r="S44" i="10" s="1"/>
  <c r="R584" i="10" a="1"/>
  <c r="R584" i="10" s="1"/>
  <c r="S584" i="10" s="1"/>
  <c r="R1122" i="10" a="1"/>
  <c r="R1122" i="10" s="1"/>
  <c r="S1122" i="10" s="1"/>
  <c r="R361" i="10" a="1"/>
  <c r="R361" i="10" s="1"/>
  <c r="S361" i="10" s="1"/>
  <c r="R901" i="10" a="1"/>
  <c r="R901" i="10" s="1"/>
  <c r="S901" i="10" s="1"/>
  <c r="R724" i="10" a="1"/>
  <c r="R724" i="10" s="1"/>
  <c r="S724" i="10" s="1"/>
  <c r="R1160" i="10" a="1"/>
  <c r="R1160" i="10" s="1"/>
  <c r="S1160" i="10" s="1"/>
  <c r="R501" i="10" a="1"/>
  <c r="R501" i="10" s="1"/>
  <c r="S501" i="10" s="1"/>
  <c r="R705" i="10" a="1"/>
  <c r="R705" i="10" s="1"/>
  <c r="S705" i="10" s="1"/>
  <c r="R126" i="10" a="1"/>
  <c r="R126" i="10" s="1"/>
  <c r="S126" i="10" s="1"/>
  <c r="R682" i="10" a="1"/>
  <c r="R682" i="10" s="1"/>
  <c r="S682" i="10" s="1"/>
  <c r="R115" i="10" a="1"/>
  <c r="R115" i="10" s="1"/>
  <c r="S115" i="10" s="1"/>
  <c r="R110" i="10" a="1"/>
  <c r="R110" i="10" s="1"/>
  <c r="S110" i="10" s="1"/>
  <c r="R602" i="10" a="1"/>
  <c r="R602" i="10" s="1"/>
  <c r="S602" i="10" s="1"/>
  <c r="R35" i="10" a="1"/>
  <c r="R35" i="10" s="1"/>
  <c r="S35" i="10" s="1"/>
  <c r="R559" i="10" a="1"/>
  <c r="R559" i="10" s="1"/>
  <c r="S559" i="10" s="1"/>
  <c r="R1115" i="10" a="1"/>
  <c r="R1115" i="10" s="1"/>
  <c r="S1115" i="10" s="1"/>
  <c r="R548" i="10" a="1"/>
  <c r="R548" i="10" s="1"/>
  <c r="S548" i="10" s="1"/>
  <c r="R1088" i="10" a="1"/>
  <c r="R1088" i="10" s="1"/>
  <c r="S1088" i="10" s="1"/>
  <c r="R325" i="10" a="1"/>
  <c r="R325" i="10" s="1"/>
  <c r="S325" i="10" s="1"/>
  <c r="R51" i="10" a="1"/>
  <c r="R51" i="10" s="1"/>
  <c r="S51" i="10" s="1"/>
  <c r="R46" i="10" a="1"/>
  <c r="R46" i="10" s="1"/>
  <c r="S46" i="10" s="1"/>
  <c r="R538" i="10" a="1"/>
  <c r="R538" i="10" s="1"/>
  <c r="S538" i="10" s="1"/>
  <c r="R1078" i="10" a="1"/>
  <c r="R1078" i="10" s="1"/>
  <c r="S1078" i="10" s="1"/>
  <c r="R495" i="10" a="1"/>
  <c r="R495" i="10" s="1"/>
  <c r="S495" i="10" s="1"/>
  <c r="R1051" i="10" a="1"/>
  <c r="R1051" i="10" s="1"/>
  <c r="S1051" i="10" s="1"/>
  <c r="R484" i="10" a="1"/>
  <c r="R484" i="10" s="1"/>
  <c r="S484" i="10" s="1"/>
  <c r="R1024" i="10" a="1"/>
  <c r="R1024" i="10" s="1"/>
  <c r="S1024" i="10" s="1"/>
  <c r="R261" i="10" a="1"/>
  <c r="R261" i="10" s="1"/>
  <c r="S261" i="10" s="1"/>
  <c r="R911" i="10" a="1"/>
  <c r="R911" i="10" s="1"/>
  <c r="S911" i="10" s="1"/>
  <c r="R42" i="10" a="1"/>
  <c r="R42" i="10" s="1"/>
  <c r="S42" i="10" s="1"/>
  <c r="R986" i="10" a="1"/>
  <c r="R986" i="10" s="1"/>
  <c r="S986" i="10" s="1"/>
  <c r="R97" i="10" a="1"/>
  <c r="R97" i="10" s="1"/>
  <c r="S97" i="10" s="1"/>
  <c r="R614" i="10" a="1"/>
  <c r="R614" i="10" s="1"/>
  <c r="S614" i="10" s="1"/>
  <c r="R317" i="10" a="1"/>
  <c r="R317" i="10" s="1"/>
  <c r="S317" i="10" s="1"/>
  <c r="R941" i="10" a="1"/>
  <c r="R941" i="10" s="1"/>
  <c r="S941" i="10" s="1"/>
  <c r="R271" i="10" a="1"/>
  <c r="R271" i="10" s="1"/>
  <c r="S271" i="10" s="1"/>
  <c r="R265" i="10" a="1"/>
  <c r="R265" i="10" s="1"/>
  <c r="S265" i="10" s="1"/>
  <c r="R670" i="10" a="1"/>
  <c r="R670" i="10" s="1"/>
  <c r="S670" i="10" s="1"/>
  <c r="R967" i="10" a="1"/>
  <c r="R967" i="10" s="1"/>
  <c r="S967" i="10" s="1"/>
  <c r="R55" i="10" a="1"/>
  <c r="R55" i="10" s="1"/>
  <c r="S55" i="10" s="1"/>
  <c r="R345" i="10" a="1"/>
  <c r="R345" i="10" s="1"/>
  <c r="S345" i="10" s="1"/>
  <c r="R226" i="10" a="1"/>
  <c r="R226" i="10" s="1"/>
  <c r="S226" i="10" s="1"/>
  <c r="R755" i="10" a="1"/>
  <c r="R755" i="10" s="1"/>
  <c r="S755" i="10" s="1"/>
  <c r="R135" i="10" a="1"/>
  <c r="R135" i="10" s="1"/>
  <c r="S135" i="10" s="1"/>
  <c r="R108" i="10" a="1"/>
  <c r="R108" i="10" s="1"/>
  <c r="S108" i="10" s="1"/>
  <c r="R1139" i="10" a="1"/>
  <c r="R1139" i="10" s="1"/>
  <c r="S1139" i="10" s="1"/>
  <c r="R965" i="10" a="1"/>
  <c r="R965" i="10" s="1"/>
  <c r="S965" i="10" s="1"/>
  <c r="R71" i="10" a="1"/>
  <c r="R71" i="10" s="1"/>
  <c r="S71" i="10" s="1"/>
  <c r="R879" i="10" a="1"/>
  <c r="R879" i="10" s="1"/>
  <c r="S879" i="10" s="1"/>
  <c r="R105" i="10" a="1"/>
  <c r="R105" i="10" s="1"/>
  <c r="S105" i="10" s="1"/>
  <c r="R245" i="10" a="1"/>
  <c r="R245" i="10" s="1"/>
  <c r="S245" i="10" s="1"/>
  <c r="R426" i="10" a="1"/>
  <c r="R426" i="10" s="1"/>
  <c r="S426" i="10" s="1"/>
  <c r="R346" i="10" a="1"/>
  <c r="R346" i="10" s="1"/>
  <c r="S346" i="10" s="1"/>
  <c r="R859" i="10" a="1"/>
  <c r="R859" i="10" s="1"/>
  <c r="S859" i="10" s="1"/>
  <c r="R69" i="10" a="1"/>
  <c r="R69" i="10" s="1"/>
  <c r="S69" i="10" s="1"/>
  <c r="R282" i="10" a="1"/>
  <c r="R282" i="10" s="1"/>
  <c r="S282" i="10" s="1"/>
  <c r="R795" i="10" a="1"/>
  <c r="R795" i="10" s="1"/>
  <c r="S795" i="10" s="1"/>
  <c r="R915" i="10" a="1"/>
  <c r="R915" i="10" s="1"/>
  <c r="S915" i="10" s="1"/>
  <c r="R1138" i="10" a="1"/>
  <c r="R1138" i="10" s="1"/>
  <c r="S1138" i="10" s="1"/>
  <c r="R862" i="10" a="1"/>
  <c r="R862" i="10" s="1"/>
  <c r="S862" i="10" s="1"/>
  <c r="R1010" i="10" a="1"/>
  <c r="R1010" i="10" s="1"/>
  <c r="S1010" i="10" s="1"/>
  <c r="R459" i="10" a="1"/>
  <c r="R459" i="10" s="1"/>
  <c r="S459" i="10" s="1"/>
  <c r="R935" i="10" a="1"/>
  <c r="R935" i="10" s="1"/>
  <c r="S935" i="10" s="1"/>
  <c r="R451" i="10" a="1"/>
  <c r="R451" i="10" s="1"/>
  <c r="S451" i="10" s="1"/>
  <c r="R900" i="10" a="1"/>
  <c r="R900" i="10" s="1"/>
  <c r="S900" i="10" s="1"/>
  <c r="R1081" i="10" a="1"/>
  <c r="R1081" i="10" s="1"/>
  <c r="S1081" i="10" s="1"/>
  <c r="R932" i="10" a="1"/>
  <c r="R932" i="10" s="1"/>
  <c r="S932" i="10" s="1"/>
  <c r="R756" i="10" a="1"/>
  <c r="R756" i="10" s="1"/>
  <c r="S756" i="10" s="1"/>
  <c r="R801" i="10" a="1"/>
  <c r="R801" i="10" s="1"/>
  <c r="S801" i="10" s="1"/>
  <c r="R294" i="10" a="1"/>
  <c r="R294" i="10" s="1"/>
  <c r="S294" i="10" s="1"/>
  <c r="R1124" i="10" a="1"/>
  <c r="R1124" i="10" s="1"/>
  <c r="S1124" i="10" s="1"/>
  <c r="R170" i="10" a="1"/>
  <c r="R170" i="10" s="1"/>
  <c r="S170" i="10" s="1"/>
  <c r="R90" i="10" a="1"/>
  <c r="R90" i="10" s="1"/>
  <c r="S90" i="10" s="1"/>
  <c r="R765" i="10" a="1"/>
  <c r="R765" i="10" s="1"/>
  <c r="S765" i="10" s="1"/>
  <c r="R1007" i="10" a="1"/>
  <c r="R1007" i="10" s="1"/>
  <c r="S1007" i="10" s="1"/>
  <c r="R773" i="10" a="1"/>
  <c r="R773" i="10" s="1"/>
  <c r="S773" i="10" s="1"/>
  <c r="R990" i="10" a="1"/>
  <c r="R990" i="10" s="1"/>
  <c r="S990" i="10" s="1"/>
  <c r="R439" i="10" a="1"/>
  <c r="R439" i="10" s="1"/>
  <c r="S439" i="10" s="1"/>
  <c r="R979" i="10" a="1"/>
  <c r="R979" i="10" s="1"/>
  <c r="S979" i="10" s="1"/>
  <c r="R654" i="10" a="1"/>
  <c r="R654" i="10" s="1"/>
  <c r="S654" i="10" s="1"/>
  <c r="R39" i="10" a="1"/>
  <c r="R39" i="10" s="1"/>
  <c r="S39" i="10" s="1"/>
  <c r="R579" i="10" a="1"/>
  <c r="R579" i="10" s="1"/>
  <c r="S579" i="10" s="1"/>
  <c r="R1039" i="10" a="1"/>
  <c r="R1039" i="10" s="1"/>
  <c r="S1039" i="10" s="1"/>
  <c r="R232" i="10" a="1"/>
  <c r="R232" i="10" s="1"/>
  <c r="S232" i="10" s="1"/>
  <c r="R772" i="10" a="1"/>
  <c r="R772" i="10" s="1"/>
  <c r="S772" i="10" s="1"/>
  <c r="R1161" i="10" a="1"/>
  <c r="R1161" i="10" s="1"/>
  <c r="S1161" i="10" s="1"/>
  <c r="R549" i="10" a="1"/>
  <c r="R549" i="10" s="1"/>
  <c r="S549" i="10" s="1"/>
  <c r="R692" i="10" a="1"/>
  <c r="R692" i="10" s="1"/>
  <c r="S692" i="10" s="1"/>
  <c r="R1128" i="10" a="1"/>
  <c r="R1128" i="10" s="1"/>
  <c r="S1128" i="10" s="1"/>
  <c r="R469" i="10" a="1"/>
  <c r="R469" i="10" s="1"/>
  <c r="S469" i="10" s="1"/>
  <c r="R993" i="10" a="1"/>
  <c r="R993" i="10" s="1"/>
  <c r="S993" i="10" s="1"/>
  <c r="R414" i="10" a="1"/>
  <c r="R414" i="10" s="1"/>
  <c r="S414" i="10" s="1"/>
  <c r="R970" i="10" a="1"/>
  <c r="R970" i="10" s="1"/>
  <c r="S970" i="10" s="1"/>
  <c r="R403" i="10" a="1"/>
  <c r="R403" i="10" s="1"/>
  <c r="S403" i="10" s="1"/>
  <c r="R1144" i="10" a="1"/>
  <c r="R1144" i="10" s="1"/>
  <c r="S1144" i="10" s="1"/>
  <c r="R485" i="10" a="1"/>
  <c r="R485" i="10" s="1"/>
  <c r="S485" i="10" s="1"/>
  <c r="R628" i="10" a="1"/>
  <c r="R628" i="10" s="1"/>
  <c r="S628" i="10" s="1"/>
  <c r="R1166" i="10" a="1"/>
  <c r="R1166" i="10" s="1"/>
  <c r="S1166" i="10" s="1"/>
  <c r="R405" i="10" a="1"/>
  <c r="R405" i="10" s="1"/>
  <c r="S405" i="10" s="1"/>
  <c r="R929" i="10" a="1"/>
  <c r="R929" i="10" s="1"/>
  <c r="S929" i="10" s="1"/>
  <c r="R350" i="10" a="1"/>
  <c r="R350" i="10" s="1"/>
  <c r="S350" i="10" s="1"/>
  <c r="R906" i="10" a="1"/>
  <c r="R906" i="10" s="1"/>
  <c r="S906" i="10" s="1"/>
  <c r="R339" i="10" a="1"/>
  <c r="R339" i="10" s="1"/>
  <c r="S339" i="10" s="1"/>
  <c r="R443" i="10" a="1"/>
  <c r="R443" i="10" s="1"/>
  <c r="S443" i="10" s="1"/>
  <c r="R582" i="10" a="1"/>
  <c r="R582" i="10" s="1"/>
  <c r="S582" i="10" s="1"/>
  <c r="R502" i="10" a="1"/>
  <c r="R502" i="10" s="1"/>
  <c r="S502" i="10" s="1"/>
  <c r="R637" i="10" a="1"/>
  <c r="R637" i="10" s="1"/>
  <c r="S637" i="10" s="1"/>
  <c r="R613" i="10" a="1"/>
  <c r="R613" i="10" s="1"/>
  <c r="S613" i="10" s="1"/>
  <c r="R277" i="10" a="1"/>
  <c r="R277" i="10" s="1"/>
  <c r="S277" i="10" s="1"/>
  <c r="R695" i="10" a="1"/>
  <c r="R695" i="10" s="1"/>
  <c r="S695" i="10" s="1"/>
  <c r="R212" i="10" a="1"/>
  <c r="R212" i="10" s="1"/>
  <c r="S212" i="10" s="1"/>
  <c r="R193" i="10" a="1"/>
  <c r="R193" i="10" s="1"/>
  <c r="S193" i="10" s="1"/>
  <c r="R710" i="10" a="1"/>
  <c r="R710" i="10" s="1"/>
  <c r="S710" i="10" s="1"/>
  <c r="R547" i="10" a="1"/>
  <c r="R547" i="10" s="1"/>
  <c r="S547" i="10" s="1"/>
  <c r="R1060" i="10" a="1"/>
  <c r="R1060" i="10" s="1"/>
  <c r="S1060" i="10" s="1"/>
  <c r="R201" i="10" a="1"/>
  <c r="R201" i="10" s="1"/>
  <c r="S201" i="10" s="1"/>
  <c r="R884" i="10" a="1"/>
  <c r="R884" i="10" s="1"/>
  <c r="S884" i="10" s="1"/>
  <c r="R661" i="10" a="1"/>
  <c r="R661" i="10" s="1"/>
  <c r="S661" i="10" s="1"/>
  <c r="R996" i="10" a="1"/>
  <c r="R996" i="10" s="1"/>
  <c r="S996" i="10" s="1"/>
  <c r="R415" i="10" a="1"/>
  <c r="R415" i="10" s="1"/>
  <c r="S415" i="10" s="1"/>
  <c r="R971" i="10" a="1"/>
  <c r="R971" i="10" s="1"/>
  <c r="S971" i="10" s="1"/>
  <c r="R340" i="10" a="1"/>
  <c r="R340" i="10" s="1"/>
  <c r="S340" i="10" s="1"/>
  <c r="R880" i="10" a="1"/>
  <c r="R880" i="10" s="1"/>
  <c r="S880" i="10" s="1"/>
  <c r="R117" i="10" a="1"/>
  <c r="R117" i="10" s="1"/>
  <c r="S117" i="10" s="1"/>
  <c r="R577" i="10" a="1"/>
  <c r="R577" i="10" s="1"/>
  <c r="S577" i="10" s="1"/>
  <c r="R1117" i="10" a="1"/>
  <c r="R1117" i="10" s="1"/>
  <c r="S1117" i="10" s="1"/>
  <c r="R554" i="10" a="1"/>
  <c r="R554" i="10" s="1"/>
  <c r="S554" i="10" s="1"/>
  <c r="R1094" i="10" a="1"/>
  <c r="R1094" i="10" s="1"/>
  <c r="S1094" i="10" s="1"/>
  <c r="R1101" i="10" a="1"/>
  <c r="R1101" i="10" s="1"/>
  <c r="S1101" i="10" s="1"/>
  <c r="R474" i="10" a="1"/>
  <c r="R474" i="10" s="1"/>
  <c r="S474" i="10" s="1"/>
  <c r="R1014" i="10" a="1"/>
  <c r="R1014" i="10" s="1"/>
  <c r="S1014" i="10" s="1"/>
  <c r="R431" i="10" a="1"/>
  <c r="R431" i="10" s="1"/>
  <c r="S431" i="10" s="1"/>
  <c r="R987" i="10" a="1"/>
  <c r="R987" i="10" s="1"/>
  <c r="S987" i="10" s="1"/>
  <c r="R420" i="10" a="1"/>
  <c r="R420" i="10" s="1"/>
  <c r="S420" i="10" s="1"/>
  <c r="R960" i="10" a="1"/>
  <c r="R960" i="10" s="1"/>
  <c r="S960" i="10" s="1"/>
  <c r="R197" i="10" a="1"/>
  <c r="R197" i="10" s="1"/>
  <c r="S197" i="10" s="1"/>
  <c r="R1037" i="10" a="1"/>
  <c r="R1037" i="10" s="1"/>
  <c r="S1037" i="10" s="1"/>
  <c r="R410" i="10" a="1"/>
  <c r="R410" i="10" s="1"/>
  <c r="S410" i="10" s="1"/>
  <c r="R694" i="10" a="1"/>
  <c r="R694" i="10" s="1"/>
  <c r="S694" i="10" s="1"/>
  <c r="R111" i="10" a="1"/>
  <c r="R111" i="10" s="1"/>
  <c r="S111" i="10" s="1"/>
  <c r="R667" i="10" a="1"/>
  <c r="R667" i="10" s="1"/>
  <c r="S667" i="10" s="1"/>
  <c r="R100" i="10" a="1"/>
  <c r="R100" i="10" s="1"/>
  <c r="S100" i="10" s="1"/>
  <c r="R640" i="10" a="1"/>
  <c r="R640" i="10" s="1"/>
  <c r="S640" i="10" s="1"/>
  <c r="R331" i="10" a="1"/>
  <c r="R331" i="10" s="1"/>
  <c r="S331" i="10" s="1"/>
  <c r="R807" i="10" a="1"/>
  <c r="R807" i="10" s="1"/>
  <c r="S807" i="10" s="1"/>
  <c r="R240" i="10" a="1"/>
  <c r="R240" i="10" s="1"/>
  <c r="S240" i="10" s="1"/>
  <c r="R716" i="10" a="1"/>
  <c r="R716" i="10" s="1"/>
  <c r="S716" i="10" s="1"/>
  <c r="R1000" i="10" a="1"/>
  <c r="R1000" i="10" s="1"/>
  <c r="S1000" i="10" s="1"/>
  <c r="R221" i="10" a="1"/>
  <c r="R221" i="10" s="1"/>
  <c r="S221" i="10" s="1"/>
  <c r="R777" i="10" a="1"/>
  <c r="R777" i="10" s="1"/>
  <c r="S777" i="10" s="1"/>
  <c r="R198" i="10" a="1"/>
  <c r="R198" i="10" s="1"/>
  <c r="S198" i="10" s="1"/>
  <c r="R205" i="10" a="1"/>
  <c r="R205" i="10" s="1"/>
  <c r="S205" i="10" s="1"/>
  <c r="R697" i="10" a="1"/>
  <c r="R697" i="10" s="1"/>
  <c r="S697" i="10" s="1"/>
  <c r="R118" i="10" a="1"/>
  <c r="R118" i="10" s="1"/>
  <c r="S118" i="10" s="1"/>
  <c r="R642" i="10" a="1"/>
  <c r="R642" i="10" s="1"/>
  <c r="S642" i="10" s="1"/>
  <c r="R91" i="10" a="1"/>
  <c r="R91" i="10" s="1"/>
  <c r="S91" i="10" s="1"/>
  <c r="R631" i="10" a="1"/>
  <c r="R631" i="10" s="1"/>
  <c r="S631" i="10" s="1"/>
  <c r="R64" i="10" a="1"/>
  <c r="R64" i="10" s="1"/>
  <c r="S64" i="10" s="1"/>
  <c r="R713" i="10" a="1"/>
  <c r="R713" i="10" s="1"/>
  <c r="S713" i="10" s="1"/>
  <c r="R134" i="10" a="1"/>
  <c r="R134" i="10" s="1"/>
  <c r="S134" i="10" s="1"/>
  <c r="R141" i="10" a="1"/>
  <c r="R141" i="10" s="1"/>
  <c r="S141" i="10" s="1"/>
  <c r="R633" i="10" a="1"/>
  <c r="R633" i="10" s="1"/>
  <c r="S633" i="10" s="1"/>
  <c r="R54" i="10" a="1"/>
  <c r="R54" i="10" s="1"/>
  <c r="S54" i="10" s="1"/>
  <c r="R578" i="10" a="1"/>
  <c r="R578" i="10" s="1"/>
  <c r="S578" i="10" s="1"/>
  <c r="R27" i="10" a="1"/>
  <c r="R27" i="10" s="1"/>
  <c r="S27" i="10" s="1"/>
  <c r="R567" i="10" a="1"/>
  <c r="R567" i="10" s="1"/>
  <c r="S567" i="10" s="1"/>
  <c r="R1107" i="10" a="1"/>
  <c r="R1107" i="10" s="1"/>
  <c r="S1107" i="10" s="1"/>
  <c r="R89" i="10" a="1"/>
  <c r="R89" i="10" s="1"/>
  <c r="S89" i="10" s="1"/>
  <c r="R65" i="10" a="1"/>
  <c r="R65" i="10" s="1"/>
  <c r="S65" i="10" s="1"/>
  <c r="R499" i="10" a="1"/>
  <c r="R499" i="10" s="1"/>
  <c r="S499" i="10" s="1"/>
  <c r="R336" i="10" a="1"/>
  <c r="R336" i="10" s="1"/>
  <c r="S336" i="10" s="1"/>
  <c r="R542" i="10" a="1"/>
  <c r="R542" i="10" s="1"/>
  <c r="S542" i="10" s="1"/>
  <c r="R363" i="10" a="1"/>
  <c r="R363" i="10" s="1"/>
  <c r="S363" i="10" s="1"/>
  <c r="R182" i="10" a="1"/>
  <c r="R182" i="10" s="1"/>
  <c r="S182" i="10" s="1"/>
  <c r="R778" i="10" a="1"/>
  <c r="R778" i="10" s="1"/>
  <c r="S778" i="10" s="1"/>
  <c r="R295" i="10" a="1"/>
  <c r="R295" i="10" s="1"/>
  <c r="S295" i="10" s="1"/>
  <c r="R488" i="10" a="1"/>
  <c r="R488" i="10" s="1"/>
  <c r="S488" i="10" s="1"/>
  <c r="R805" i="10" a="1"/>
  <c r="R805" i="10" s="1"/>
  <c r="S805" i="10" s="1"/>
  <c r="R725" i="10" a="1"/>
  <c r="R725" i="10" s="1"/>
  <c r="S725" i="10" s="1"/>
  <c r="R36" i="10" a="1"/>
  <c r="R36" i="10" s="1"/>
  <c r="S36" i="10" s="1"/>
  <c r="R646" i="10" a="1"/>
  <c r="R646" i="10" s="1"/>
  <c r="S646" i="10" s="1"/>
  <c r="R26" i="10" a="1"/>
  <c r="R26" i="10" s="1"/>
  <c r="S26" i="10" s="1"/>
  <c r="R66" i="10" a="1"/>
  <c r="R66" i="10" s="1"/>
  <c r="S66" i="10" s="1"/>
  <c r="R512" i="10" a="1"/>
  <c r="R512" i="10" s="1"/>
  <c r="S512" i="10" s="1"/>
  <c r="R84" i="10" a="1"/>
  <c r="R84" i="10" s="1"/>
  <c r="S84" i="10" s="1"/>
  <c r="R624" i="10" a="1"/>
  <c r="R624" i="10" s="1"/>
  <c r="S624" i="10" s="1"/>
  <c r="R1100" i="10" a="1"/>
  <c r="R1100" i="10" s="1"/>
  <c r="S1100" i="10" s="1"/>
  <c r="R321" i="10" a="1"/>
  <c r="R321" i="10" s="1"/>
  <c r="S321" i="10" s="1"/>
  <c r="R861" i="10" a="1"/>
  <c r="R861" i="10" s="1"/>
  <c r="S861" i="10" s="1"/>
  <c r="R298" i="10" a="1"/>
  <c r="R298" i="10" s="1"/>
  <c r="S298" i="10" s="1"/>
  <c r="R838" i="10" a="1"/>
  <c r="R838" i="10" s="1"/>
  <c r="S838" i="10" s="1"/>
  <c r="R845" i="10" a="1"/>
  <c r="R845" i="10" s="1"/>
  <c r="S845" i="10" s="1"/>
  <c r="R218" i="10" a="1"/>
  <c r="R218" i="10" s="1"/>
  <c r="S218" i="10" s="1"/>
  <c r="R758" i="10" a="1"/>
  <c r="R758" i="10" s="1"/>
  <c r="S758" i="10" s="1"/>
  <c r="R175" i="10" a="1"/>
  <c r="R175" i="10" s="1"/>
  <c r="S175" i="10" s="1"/>
  <c r="R731" i="10" a="1"/>
  <c r="R731" i="10" s="1"/>
  <c r="S731" i="10" s="1"/>
  <c r="R164" i="10" a="1"/>
  <c r="R164" i="10" s="1"/>
  <c r="S164" i="10" s="1"/>
  <c r="R704" i="10" a="1"/>
  <c r="R704" i="10" s="1"/>
  <c r="S704" i="10" s="1"/>
  <c r="R774" i="10" a="1"/>
  <c r="R774" i="10" s="1"/>
  <c r="S774" i="10" s="1"/>
  <c r="R781" i="10" a="1"/>
  <c r="R781" i="10" s="1"/>
  <c r="S781" i="10" s="1"/>
  <c r="R154" i="10" a="1"/>
  <c r="R154" i="10" s="1"/>
  <c r="S154" i="10" s="1"/>
  <c r="R438" i="10" a="1"/>
  <c r="R438" i="10" s="1"/>
  <c r="S438" i="10" s="1"/>
  <c r="R962" i="10" a="1"/>
  <c r="R962" i="10" s="1"/>
  <c r="S962" i="10" s="1"/>
  <c r="R411" i="10" a="1"/>
  <c r="R411" i="10" s="1"/>
  <c r="S411" i="10" s="1"/>
  <c r="R951" i="10" a="1"/>
  <c r="R951" i="10" s="1"/>
  <c r="S951" i="10" s="1"/>
  <c r="R384" i="10" a="1"/>
  <c r="R384" i="10" s="1"/>
  <c r="S384" i="10" s="1"/>
  <c r="R75" i="10" a="1"/>
  <c r="R75" i="10" s="1"/>
  <c r="S75" i="10" s="1"/>
  <c r="R551" i="10" a="1"/>
  <c r="R551" i="10" s="1"/>
  <c r="S551" i="10" s="1"/>
  <c r="R1091" i="10" a="1"/>
  <c r="R1091" i="10" s="1"/>
  <c r="S1091" i="10" s="1"/>
  <c r="R460" i="10" a="1"/>
  <c r="R460" i="10" s="1"/>
  <c r="S460" i="10" s="1"/>
  <c r="R744" i="10" a="1"/>
  <c r="R744" i="10" s="1"/>
  <c r="S744" i="10" s="1"/>
  <c r="R1133" i="10" a="1"/>
  <c r="R1133" i="10" s="1"/>
  <c r="S1133" i="10" s="1"/>
  <c r="R521" i="10" a="1"/>
  <c r="R521" i="10" s="1"/>
  <c r="S521" i="10" s="1"/>
  <c r="R1061" i="10" a="1"/>
  <c r="R1061" i="10" s="1"/>
  <c r="S1061" i="10" s="1"/>
  <c r="R1155" i="10" a="1"/>
  <c r="R1155" i="10" s="1"/>
  <c r="S1155" i="10" s="1"/>
  <c r="R441" i="10" a="1"/>
  <c r="R441" i="10" s="1"/>
  <c r="S441" i="10" s="1"/>
  <c r="R981" i="10" a="1"/>
  <c r="R981" i="10" s="1"/>
  <c r="S981" i="10" s="1"/>
  <c r="R386" i="10" a="1"/>
  <c r="R386" i="10" s="1"/>
  <c r="S386" i="10" s="1"/>
  <c r="R457" i="10" a="1"/>
  <c r="R457" i="10" s="1"/>
  <c r="S457" i="10" s="1"/>
  <c r="R917" i="10" a="1"/>
  <c r="R917" i="10" s="1"/>
  <c r="S917" i="10" s="1"/>
  <c r="R851" i="10" a="1"/>
  <c r="R851" i="10" s="1"/>
  <c r="S851" i="10" s="1"/>
  <c r="K6088" i="14" l="1"/>
  <c r="L6088" i="14" s="1"/>
  <c r="I6089" i="14" s="1"/>
  <c r="K6066" i="13"/>
  <c r="L6066" i="13" s="1"/>
  <c r="I6067" i="13" s="1"/>
  <c r="C8" i="14"/>
  <c r="C36" i="14"/>
  <c r="C22" i="14"/>
  <c r="C52" i="14"/>
  <c r="C14" i="14"/>
  <c r="C60" i="14"/>
  <c r="C9" i="14"/>
  <c r="C10" i="14"/>
  <c r="C11" i="14"/>
  <c r="C12" i="14"/>
  <c r="C13" i="14"/>
  <c r="C15" i="14"/>
  <c r="C16" i="14"/>
  <c r="C17" i="14"/>
  <c r="C18" i="14"/>
  <c r="C19" i="14"/>
  <c r="C20" i="14"/>
  <c r="C21" i="14"/>
  <c r="C23" i="14"/>
  <c r="C24" i="14"/>
  <c r="C25" i="14"/>
  <c r="C26" i="14"/>
  <c r="C27" i="14"/>
  <c r="C28" i="14"/>
  <c r="C29" i="14"/>
  <c r="C30" i="14"/>
  <c r="C31" i="14"/>
  <c r="C32" i="14"/>
  <c r="C33" i="14"/>
  <c r="C34" i="14"/>
  <c r="C35" i="14"/>
  <c r="C37" i="14"/>
  <c r="C38" i="14"/>
  <c r="C39" i="14"/>
  <c r="C40" i="14"/>
  <c r="C41" i="14"/>
  <c r="C42" i="14"/>
  <c r="C43" i="14"/>
  <c r="C44" i="14"/>
  <c r="C45" i="14"/>
  <c r="C46" i="14"/>
  <c r="C47" i="14"/>
  <c r="C48" i="14"/>
  <c r="C49" i="14"/>
  <c r="C50" i="14"/>
  <c r="C51" i="14"/>
  <c r="C53" i="14"/>
  <c r="C54" i="14"/>
  <c r="C55" i="14"/>
  <c r="C56" i="14"/>
  <c r="C57" i="14"/>
  <c r="C58" i="14"/>
  <c r="C59" i="14"/>
  <c r="C61" i="14"/>
  <c r="C62" i="14"/>
  <c r="C63" i="14"/>
  <c r="C64" i="14"/>
  <c r="C65" i="14"/>
  <c r="C66" i="14"/>
  <c r="C67" i="14"/>
  <c r="C68" i="14"/>
  <c r="C69" i="14"/>
  <c r="C70" i="14"/>
  <c r="C71" i="14"/>
  <c r="K6067" i="13" l="1"/>
  <c r="L6067" i="13" s="1"/>
  <c r="I6068" i="13" s="1"/>
  <c r="K6089" i="14"/>
  <c r="L6089" i="14" s="1"/>
  <c r="I6090" i="14" s="1"/>
  <c r="K6090" i="14" l="1"/>
  <c r="L6090" i="14" s="1"/>
  <c r="I6091" i="14" s="1"/>
  <c r="K6068" i="13"/>
  <c r="L6068" i="13" s="1"/>
  <c r="I6069" i="13" s="1"/>
  <c r="K6069" i="13" l="1"/>
  <c r="L6069" i="13" s="1"/>
  <c r="I6070" i="13" s="1"/>
  <c r="K6091" i="14"/>
  <c r="L6091" i="14" s="1"/>
  <c r="I6092" i="14" s="1"/>
  <c r="K6092" i="14" l="1"/>
  <c r="L6092" i="14" s="1"/>
  <c r="I6093" i="14" s="1"/>
  <c r="K6070" i="13"/>
  <c r="L6070" i="13" s="1"/>
  <c r="I6071" i="13" s="1"/>
  <c r="K6071" i="13" l="1"/>
  <c r="L6071" i="13" s="1"/>
  <c r="I6072" i="13" s="1"/>
  <c r="K6093" i="14"/>
  <c r="L6093" i="14" s="1"/>
  <c r="I6094" i="14" s="1"/>
  <c r="K6094" i="14" l="1"/>
  <c r="L6094" i="14" s="1"/>
  <c r="I6095" i="14" s="1"/>
  <c r="K6072" i="13"/>
  <c r="L6072" i="13" s="1"/>
  <c r="I6073" i="13" s="1"/>
  <c r="K6073" i="13" l="1"/>
  <c r="L6073" i="13" s="1"/>
  <c r="I6074" i="13" s="1"/>
  <c r="K6095" i="14"/>
  <c r="L6095" i="14" s="1"/>
  <c r="I6096" i="14" s="1"/>
  <c r="K6074" i="13" l="1"/>
  <c r="L6074" i="13" s="1"/>
  <c r="I6075" i="13" s="1"/>
  <c r="K6096" i="14"/>
  <c r="L6096" i="14" s="1"/>
  <c r="I6097" i="14" s="1"/>
  <c r="K6097" i="14" l="1"/>
  <c r="L6097" i="14" s="1"/>
  <c r="I6098" i="14" s="1"/>
  <c r="K6075" i="13"/>
  <c r="L6075" i="13" s="1"/>
  <c r="I6076" i="13" s="1"/>
  <c r="K6076" i="13" l="1"/>
  <c r="L6076" i="13" s="1"/>
  <c r="I6077" i="13" s="1"/>
  <c r="K6098" i="14"/>
  <c r="L6098" i="14" s="1"/>
  <c r="I6099" i="14" s="1"/>
  <c r="K6099" i="14" l="1"/>
  <c r="L6099" i="14" s="1"/>
  <c r="I6100" i="14" s="1"/>
  <c r="K6077" i="13"/>
  <c r="L6077" i="13" s="1"/>
  <c r="I6078" i="13" s="1"/>
  <c r="K6100" i="14" l="1"/>
  <c r="L6100" i="14" s="1"/>
  <c r="I6101" i="14" s="1"/>
  <c r="K6078" i="13"/>
  <c r="L6078" i="13" s="1"/>
  <c r="I6079" i="13" s="1"/>
  <c r="K6079" i="13" l="1"/>
  <c r="L6079" i="13" s="1"/>
  <c r="I6080" i="13" s="1"/>
  <c r="K6101" i="14"/>
  <c r="L6101" i="14" s="1"/>
  <c r="I6102" i="14" s="1"/>
  <c r="K6102" i="14" l="1"/>
  <c r="L6102" i="14" s="1"/>
  <c r="I6103" i="14" s="1"/>
  <c r="K6080" i="13"/>
  <c r="L6080" i="13" s="1"/>
  <c r="I6081" i="13" s="1"/>
  <c r="K6081" i="13" l="1"/>
  <c r="L6081" i="13" s="1"/>
  <c r="I6082" i="13" s="1"/>
  <c r="K6103" i="14"/>
  <c r="L6103" i="14" s="1"/>
  <c r="I6104" i="14" s="1"/>
  <c r="K6104" i="14" l="1"/>
  <c r="L6104" i="14" s="1"/>
  <c r="I6105" i="14" s="1"/>
  <c r="K6082" i="13"/>
  <c r="L6082" i="13" s="1"/>
  <c r="I6083" i="13" s="1"/>
  <c r="K6083" i="13" l="1"/>
  <c r="L6083" i="13" s="1"/>
  <c r="I6084" i="13" s="1"/>
  <c r="K6105" i="14"/>
  <c r="L6105" i="14" s="1"/>
  <c r="I6106" i="14" s="1"/>
  <c r="K6106" i="14" l="1"/>
  <c r="L6106" i="14" s="1"/>
  <c r="I6107" i="14" s="1"/>
  <c r="K6084" i="13"/>
  <c r="L6084" i="13" s="1"/>
  <c r="I6085" i="13" s="1"/>
  <c r="K6085" i="13" l="1"/>
  <c r="L6085" i="13" s="1"/>
  <c r="I6086" i="13" s="1"/>
  <c r="K6107" i="14"/>
  <c r="L6107" i="14" s="1"/>
  <c r="I6108" i="14" s="1"/>
  <c r="K6108" i="14" l="1"/>
  <c r="L6108" i="14" s="1"/>
  <c r="I6109" i="14" s="1"/>
  <c r="K6086" i="13"/>
  <c r="L6086" i="13" s="1"/>
  <c r="I6087" i="13" s="1"/>
  <c r="K6087" i="13" l="1"/>
  <c r="L6087" i="13" s="1"/>
  <c r="I6088" i="13" s="1"/>
  <c r="K6109" i="14"/>
  <c r="L6109" i="14" s="1"/>
  <c r="I6110" i="14" s="1"/>
  <c r="K6110" i="14" l="1"/>
  <c r="L6110" i="14" s="1"/>
  <c r="I6111" i="14" s="1"/>
  <c r="K6088" i="13"/>
  <c r="L6088" i="13" s="1"/>
  <c r="I6089" i="13" s="1"/>
  <c r="K6089" i="13" l="1"/>
  <c r="L6089" i="13" s="1"/>
  <c r="I6090" i="13" s="1"/>
  <c r="K6111" i="14"/>
  <c r="L6111" i="14" s="1"/>
  <c r="I6112" i="14" s="1"/>
  <c r="K6112" i="14" l="1"/>
  <c r="L6112" i="14" s="1"/>
  <c r="I6113" i="14" s="1"/>
  <c r="K6090" i="13"/>
  <c r="L6090" i="13" s="1"/>
  <c r="I6091" i="13" s="1"/>
  <c r="K6113" i="14" l="1"/>
  <c r="L6113" i="14" s="1"/>
  <c r="I6114" i="14" s="1"/>
  <c r="K6091" i="13"/>
  <c r="L6091" i="13" s="1"/>
  <c r="I6092" i="13" s="1"/>
  <c r="K6092" i="13" l="1"/>
  <c r="L6092" i="13" s="1"/>
  <c r="I6093" i="13" s="1"/>
  <c r="K6114" i="14"/>
  <c r="L6114" i="14" s="1"/>
  <c r="I6115" i="14" s="1"/>
  <c r="K6115" i="14" l="1"/>
  <c r="L6115" i="14" s="1"/>
  <c r="I6116" i="14" s="1"/>
  <c r="K6093" i="13"/>
  <c r="L6093" i="13" s="1"/>
  <c r="I6094" i="13" s="1"/>
  <c r="K6094" i="13" l="1"/>
  <c r="L6094" i="13" s="1"/>
  <c r="I6095" i="13" s="1"/>
  <c r="K6116" i="14"/>
  <c r="L6116" i="14" s="1"/>
  <c r="I6117" i="14" s="1"/>
  <c r="K6095" i="13" l="1"/>
  <c r="L6095" i="13" s="1"/>
  <c r="I6096" i="13" s="1"/>
  <c r="K6117" i="14"/>
  <c r="L6117" i="14" s="1"/>
  <c r="I6118" i="14" s="1"/>
  <c r="K6118" i="14" l="1"/>
  <c r="L6118" i="14" s="1"/>
  <c r="I6119" i="14" s="1"/>
  <c r="K6096" i="13"/>
  <c r="L6096" i="13" s="1"/>
  <c r="I6097" i="13" s="1"/>
  <c r="K6097" i="13" l="1"/>
  <c r="L6097" i="13" s="1"/>
  <c r="I6098" i="13" s="1"/>
  <c r="K6119" i="14"/>
  <c r="L6119" i="14" s="1"/>
  <c r="I6120" i="14" s="1"/>
  <c r="K6120" i="14" l="1"/>
  <c r="L6120" i="14" s="1"/>
  <c r="I6121" i="14" s="1"/>
  <c r="K6098" i="13"/>
  <c r="L6098" i="13" s="1"/>
  <c r="I6099" i="13" s="1"/>
  <c r="K6099" i="13" l="1"/>
  <c r="L6099" i="13" s="1"/>
  <c r="I6100" i="13" s="1"/>
  <c r="K6121" i="14"/>
  <c r="L6121" i="14" s="1"/>
  <c r="I6122" i="14" s="1"/>
  <c r="K6122" i="14" l="1"/>
  <c r="L6122" i="14" s="1"/>
  <c r="I6123" i="14" s="1"/>
  <c r="K6100" i="13"/>
  <c r="L6100" i="13" s="1"/>
  <c r="I6101" i="13" s="1"/>
  <c r="K6101" i="13" l="1"/>
  <c r="L6101" i="13" s="1"/>
  <c r="I6102" i="13" s="1"/>
  <c r="K6123" i="14"/>
  <c r="L6123" i="14" s="1"/>
  <c r="I6124" i="14" s="1"/>
  <c r="K6124" i="14" l="1"/>
  <c r="L6124" i="14" s="1"/>
  <c r="I6125" i="14" s="1"/>
  <c r="K6102" i="13"/>
  <c r="L6102" i="13" s="1"/>
  <c r="I6103" i="13" s="1"/>
  <c r="K6103" i="13" l="1"/>
  <c r="L6103" i="13" s="1"/>
  <c r="I6104" i="13" s="1"/>
  <c r="K6125" i="14"/>
  <c r="L6125" i="14" s="1"/>
  <c r="I6126" i="14" s="1"/>
  <c r="K6126" i="14" l="1"/>
  <c r="L6126" i="14" s="1"/>
  <c r="I6127" i="14" s="1"/>
  <c r="K6104" i="13"/>
  <c r="L6104" i="13" s="1"/>
  <c r="I6105" i="13" s="1"/>
  <c r="K6105" i="13" l="1"/>
  <c r="L6105" i="13" s="1"/>
  <c r="I6106" i="13" s="1"/>
  <c r="K6127" i="14"/>
  <c r="L6127" i="14" s="1"/>
  <c r="I6128" i="14" s="1"/>
  <c r="K6128" i="14" l="1"/>
  <c r="L6128" i="14" s="1"/>
  <c r="I6129" i="14" s="1"/>
  <c r="K6106" i="13"/>
  <c r="L6106" i="13" s="1"/>
  <c r="I6107" i="13" s="1"/>
  <c r="K6107" i="13" l="1"/>
  <c r="L6107" i="13" s="1"/>
  <c r="I6108" i="13" s="1"/>
  <c r="K6129" i="14"/>
  <c r="L6129" i="14" s="1"/>
  <c r="I6130" i="14" s="1"/>
  <c r="K6130" i="14" l="1"/>
  <c r="L6130" i="14" s="1"/>
  <c r="I6131" i="14" s="1"/>
  <c r="K6108" i="13"/>
  <c r="L6108" i="13" s="1"/>
  <c r="I6109" i="13" s="1"/>
  <c r="K6109" i="13" l="1"/>
  <c r="L6109" i="13" s="1"/>
  <c r="I6110" i="13" s="1"/>
  <c r="K6131" i="14"/>
  <c r="L6131" i="14" s="1"/>
  <c r="I6132" i="14" s="1"/>
  <c r="K6132" i="14" l="1"/>
  <c r="L6132" i="14" s="1"/>
  <c r="I6133" i="14" s="1"/>
  <c r="K6110" i="13"/>
  <c r="L6110" i="13" s="1"/>
  <c r="I6111" i="13" s="1"/>
  <c r="K6111" i="13" l="1"/>
  <c r="L6111" i="13" s="1"/>
  <c r="I6112" i="13" s="1"/>
  <c r="K6133" i="14"/>
  <c r="L6133" i="14" s="1"/>
  <c r="I6134" i="14" s="1"/>
  <c r="K6134" i="14" l="1"/>
  <c r="L6134" i="14" s="1"/>
  <c r="I6135" i="14" s="1"/>
  <c r="K6112" i="13"/>
  <c r="L6112" i="13" s="1"/>
  <c r="I6113" i="13" s="1"/>
  <c r="K6113" i="13" l="1"/>
  <c r="L6113" i="13" s="1"/>
  <c r="I6114" i="13" s="1"/>
  <c r="K6135" i="14"/>
  <c r="L6135" i="14" s="1"/>
  <c r="I6136" i="14" s="1"/>
  <c r="K6136" i="14" l="1"/>
  <c r="L6136" i="14" s="1"/>
  <c r="I6137" i="14" s="1"/>
  <c r="K6114" i="13"/>
  <c r="L6114" i="13" s="1"/>
  <c r="I6115" i="13" s="1"/>
  <c r="K6115" i="13" l="1"/>
  <c r="L6115" i="13" s="1"/>
  <c r="I6116" i="13" s="1"/>
  <c r="K6137" i="14"/>
  <c r="L6137" i="14" s="1"/>
  <c r="I6138" i="14" s="1"/>
  <c r="K6138" i="14" l="1"/>
  <c r="L6138" i="14" s="1"/>
  <c r="I6139" i="14" s="1"/>
  <c r="K6116" i="13"/>
  <c r="L6116" i="13" s="1"/>
  <c r="I6117" i="13" s="1"/>
  <c r="K6117" i="13" l="1"/>
  <c r="L6117" i="13" s="1"/>
  <c r="I6118" i="13" s="1"/>
  <c r="K6139" i="14"/>
  <c r="L6139" i="14" s="1"/>
  <c r="I6140" i="14" s="1"/>
  <c r="K6140" i="14" l="1"/>
  <c r="L6140" i="14" s="1"/>
  <c r="I6141" i="14" s="1"/>
  <c r="K6118" i="13"/>
  <c r="L6118" i="13" s="1"/>
  <c r="I6119" i="13" s="1"/>
  <c r="K6119" i="13" l="1"/>
  <c r="L6119" i="13" s="1"/>
  <c r="I6120" i="13" s="1"/>
  <c r="K6141" i="14"/>
  <c r="L6141" i="14" s="1"/>
  <c r="I6142" i="14" s="1"/>
  <c r="K6142" i="14" l="1"/>
  <c r="L6142" i="14" s="1"/>
  <c r="I6143" i="14" s="1"/>
  <c r="K6120" i="13"/>
  <c r="L6120" i="13" s="1"/>
  <c r="I6121" i="13" s="1"/>
  <c r="K6121" i="13" l="1"/>
  <c r="L6121" i="13" s="1"/>
  <c r="I6122" i="13" s="1"/>
  <c r="K6143" i="14"/>
  <c r="L6143" i="14" s="1"/>
  <c r="I6144" i="14" s="1"/>
  <c r="K6144" i="14" l="1"/>
  <c r="L6144" i="14" s="1"/>
  <c r="I6145" i="14" s="1"/>
  <c r="K6122" i="13"/>
  <c r="L6122" i="13" s="1"/>
  <c r="I6123" i="13" s="1"/>
  <c r="K6123" i="13" l="1"/>
  <c r="L6123" i="13" s="1"/>
  <c r="I6124" i="13" s="1"/>
  <c r="K6145" i="14"/>
  <c r="L6145" i="14" s="1"/>
  <c r="I6146" i="14" s="1"/>
  <c r="K6146" i="14" l="1"/>
  <c r="L6146" i="14" s="1"/>
  <c r="I6147" i="14" s="1"/>
  <c r="K6124" i="13"/>
  <c r="L6124" i="13" s="1"/>
  <c r="I6125" i="13" s="1"/>
  <c r="K6125" i="13" l="1"/>
  <c r="L6125" i="13" s="1"/>
  <c r="I6126" i="13" s="1"/>
  <c r="K6147" i="14"/>
  <c r="L6147" i="14" s="1"/>
  <c r="I6148" i="14" s="1"/>
  <c r="K6148" i="14" l="1"/>
  <c r="L6148" i="14" s="1"/>
  <c r="I6149" i="14" s="1"/>
  <c r="K6126" i="13"/>
  <c r="L6126" i="13" s="1"/>
  <c r="I6127" i="13" s="1"/>
  <c r="K6127" i="13" l="1"/>
  <c r="L6127" i="13" s="1"/>
  <c r="I6128" i="13" s="1"/>
  <c r="K6149" i="14"/>
  <c r="L6149" i="14" s="1"/>
  <c r="I6150" i="14" s="1"/>
  <c r="K6150" i="14" l="1"/>
  <c r="L6150" i="14" s="1"/>
  <c r="I6151" i="14" s="1"/>
  <c r="K6128" i="13"/>
  <c r="L6128" i="13" s="1"/>
  <c r="I6129" i="13" s="1"/>
  <c r="K6129" i="13" l="1"/>
  <c r="L6129" i="13" s="1"/>
  <c r="I6130" i="13" s="1"/>
  <c r="K6151" i="14"/>
  <c r="L6151" i="14" s="1"/>
  <c r="I6152" i="14" s="1"/>
  <c r="K6152" i="14" l="1"/>
  <c r="L6152" i="14" s="1"/>
  <c r="I6153" i="14" s="1"/>
  <c r="K6130" i="13"/>
  <c r="L6130" i="13" s="1"/>
  <c r="I6131" i="13" s="1"/>
  <c r="K6131" i="13" l="1"/>
  <c r="L6131" i="13" s="1"/>
  <c r="I6132" i="13" s="1"/>
  <c r="K6153" i="14"/>
  <c r="L6153" i="14" s="1"/>
  <c r="I6154" i="14" s="1"/>
  <c r="K6154" i="14" l="1"/>
  <c r="L6154" i="14" s="1"/>
  <c r="I6155" i="14" s="1"/>
  <c r="K6132" i="13"/>
  <c r="L6132" i="13" s="1"/>
  <c r="I6133" i="13" s="1"/>
  <c r="K6133" i="13" l="1"/>
  <c r="L6133" i="13" s="1"/>
  <c r="I6134" i="13" s="1"/>
  <c r="K6155" i="14"/>
  <c r="L6155" i="14" s="1"/>
  <c r="I6156" i="14" s="1"/>
  <c r="K6156" i="14" l="1"/>
  <c r="L6156" i="14" s="1"/>
  <c r="I6157" i="14" s="1"/>
  <c r="K6134" i="13"/>
  <c r="L6134" i="13" s="1"/>
  <c r="I6135" i="13" s="1"/>
  <c r="K6135" i="13" l="1"/>
  <c r="L6135" i="13" s="1"/>
  <c r="I6136" i="13" s="1"/>
  <c r="K6157" i="14"/>
  <c r="L6157" i="14" s="1"/>
  <c r="I6158" i="14" s="1"/>
  <c r="K6158" i="14" l="1"/>
  <c r="L6158" i="14" s="1"/>
  <c r="I6159" i="14" s="1"/>
  <c r="K6136" i="13"/>
  <c r="L6136" i="13" s="1"/>
  <c r="I6137" i="13" s="1"/>
  <c r="K6137" i="13" l="1"/>
  <c r="L6137" i="13" s="1"/>
  <c r="I6138" i="13" s="1"/>
  <c r="K6159" i="14"/>
  <c r="L6159" i="14" s="1"/>
  <c r="I6160" i="14" s="1"/>
  <c r="K6160" i="14" l="1"/>
  <c r="L6160" i="14" s="1"/>
  <c r="I6161" i="14" s="1"/>
  <c r="K6138" i="13"/>
  <c r="L6138" i="13" s="1"/>
  <c r="I6139" i="13" s="1"/>
  <c r="K6139" i="13" l="1"/>
  <c r="L6139" i="13" s="1"/>
  <c r="I6140" i="13" s="1"/>
  <c r="K6161" i="14"/>
  <c r="L6161" i="14" s="1"/>
  <c r="I6162" i="14" s="1"/>
  <c r="K6162" i="14" l="1"/>
  <c r="L6162" i="14" s="1"/>
  <c r="I6163" i="14" s="1"/>
  <c r="K6140" i="13"/>
  <c r="L6140" i="13" s="1"/>
  <c r="I6141" i="13" s="1"/>
  <c r="K6141" i="13" l="1"/>
  <c r="L6141" i="13" s="1"/>
  <c r="I6142" i="13" s="1"/>
  <c r="K6163" i="14"/>
  <c r="L6163" i="14" s="1"/>
  <c r="I6164" i="14" s="1"/>
  <c r="K6164" i="14" l="1"/>
  <c r="L6164" i="14" s="1"/>
  <c r="I6165" i="14" s="1"/>
  <c r="K6142" i="13"/>
  <c r="L6142" i="13" s="1"/>
  <c r="I6143" i="13" s="1"/>
  <c r="K6143" i="13" l="1"/>
  <c r="L6143" i="13" s="1"/>
  <c r="I6144" i="13" s="1"/>
  <c r="K6165" i="14"/>
  <c r="L6165" i="14" s="1"/>
  <c r="I6166" i="14" s="1"/>
  <c r="K6166" i="14" l="1"/>
  <c r="L6166" i="14" s="1"/>
  <c r="I6167" i="14" s="1"/>
  <c r="K6144" i="13"/>
  <c r="L6144" i="13" s="1"/>
  <c r="I6145" i="13" s="1"/>
  <c r="K6145" i="13" l="1"/>
  <c r="L6145" i="13" s="1"/>
  <c r="I6146" i="13" s="1"/>
  <c r="K6167" i="14"/>
  <c r="L6167" i="14" s="1"/>
  <c r="I6168" i="14" s="1"/>
  <c r="K6168" i="14" l="1"/>
  <c r="L6168" i="14" s="1"/>
  <c r="I6169" i="14" s="1"/>
  <c r="K6146" i="13"/>
  <c r="L6146" i="13" s="1"/>
  <c r="I6147" i="13" s="1"/>
  <c r="K6147" i="13" l="1"/>
  <c r="L6147" i="13" s="1"/>
  <c r="I6148" i="13" s="1"/>
  <c r="K6169" i="14"/>
  <c r="L6169" i="14" s="1"/>
  <c r="I6170" i="14" s="1"/>
  <c r="K6170" i="14" l="1"/>
  <c r="L6170" i="14" s="1"/>
  <c r="I6171" i="14" s="1"/>
  <c r="K6148" i="13"/>
  <c r="L6148" i="13" s="1"/>
  <c r="I6149" i="13" s="1"/>
  <c r="K6149" i="13" l="1"/>
  <c r="L6149" i="13" s="1"/>
  <c r="I6150" i="13" s="1"/>
  <c r="K6171" i="14"/>
  <c r="L6171" i="14" s="1"/>
  <c r="I6172" i="14" s="1"/>
  <c r="K6172" i="14" l="1"/>
  <c r="L6172" i="14" s="1"/>
  <c r="I6173" i="14" s="1"/>
  <c r="K6150" i="13"/>
  <c r="L6150" i="13" s="1"/>
  <c r="I6151" i="13" s="1"/>
  <c r="K6151" i="13" l="1"/>
  <c r="L6151" i="13" s="1"/>
  <c r="I6152" i="13" s="1"/>
  <c r="K6173" i="14"/>
  <c r="L6173" i="14" s="1"/>
  <c r="I6174" i="14" s="1"/>
  <c r="K6174" i="14" l="1"/>
  <c r="L6174" i="14" s="1"/>
  <c r="I6175" i="14" s="1"/>
  <c r="K6152" i="13"/>
  <c r="L6152" i="13" s="1"/>
  <c r="I6153" i="13" s="1"/>
  <c r="K6153" i="13" l="1"/>
  <c r="L6153" i="13" s="1"/>
  <c r="I6154" i="13" s="1"/>
  <c r="K6175" i="14"/>
  <c r="L6175" i="14" s="1"/>
  <c r="I6176" i="14" s="1"/>
  <c r="K6176" i="14" l="1"/>
  <c r="L6176" i="14" s="1"/>
  <c r="I6177" i="14" s="1"/>
  <c r="K6154" i="13"/>
  <c r="L6154" i="13" s="1"/>
  <c r="I6155" i="13" s="1"/>
  <c r="K6155" i="13" l="1"/>
  <c r="L6155" i="13" s="1"/>
  <c r="I6156" i="13" s="1"/>
  <c r="K6177" i="14"/>
  <c r="L6177" i="14" s="1"/>
  <c r="I6178" i="14" s="1"/>
  <c r="K6178" i="14" l="1"/>
  <c r="L6178" i="14" s="1"/>
  <c r="I6179" i="14" s="1"/>
  <c r="K6156" i="13"/>
  <c r="L6156" i="13" s="1"/>
  <c r="I6157" i="13" s="1"/>
  <c r="K6179" i="14" l="1"/>
  <c r="L6179" i="14" s="1"/>
  <c r="I6180" i="14" s="1"/>
  <c r="K6157" i="13"/>
  <c r="L6157" i="13" s="1"/>
  <c r="I6158" i="13" s="1"/>
  <c r="K6158" i="13" l="1"/>
  <c r="L6158" i="13" s="1"/>
  <c r="I6159" i="13" s="1"/>
  <c r="K6180" i="14"/>
  <c r="L6180" i="14" s="1"/>
  <c r="I6181" i="14" s="1"/>
  <c r="K6181" i="14" l="1"/>
  <c r="L6181" i="14" s="1"/>
  <c r="I6182" i="14" s="1"/>
  <c r="K6159" i="13"/>
  <c r="L6159" i="13" s="1"/>
  <c r="I6160" i="13" s="1"/>
  <c r="K6182" i="14" l="1"/>
  <c r="L6182" i="14" s="1"/>
  <c r="I6183" i="14" s="1"/>
  <c r="K6160" i="13"/>
  <c r="L6160" i="13" s="1"/>
  <c r="I6161" i="13" s="1"/>
  <c r="K6161" i="13" l="1"/>
  <c r="L6161" i="13" s="1"/>
  <c r="I6162" i="13" s="1"/>
  <c r="K6183" i="14"/>
  <c r="L6183" i="14" s="1"/>
  <c r="I6184" i="14" s="1"/>
  <c r="K6184" i="14" l="1"/>
  <c r="L6184" i="14" s="1"/>
  <c r="I6185" i="14" s="1"/>
  <c r="K6162" i="13"/>
  <c r="L6162" i="13" s="1"/>
  <c r="I6163" i="13" s="1"/>
  <c r="K6163" i="13" l="1"/>
  <c r="L6163" i="13" s="1"/>
  <c r="I6164" i="13" s="1"/>
  <c r="K6185" i="14"/>
  <c r="L6185" i="14" s="1"/>
  <c r="I6186" i="14" s="1"/>
  <c r="K6186" i="14" l="1"/>
  <c r="L6186" i="14" s="1"/>
  <c r="I6187" i="14" s="1"/>
  <c r="K6164" i="13"/>
  <c r="L6164" i="13" s="1"/>
  <c r="I6165" i="13" s="1"/>
  <c r="K6165" i="13" l="1"/>
  <c r="L6165" i="13" s="1"/>
  <c r="I6166" i="13" s="1"/>
  <c r="K6187" i="14"/>
  <c r="L6187" i="14" s="1"/>
  <c r="I6188" i="14" s="1"/>
  <c r="K6188" i="14" l="1"/>
  <c r="L6188" i="14" s="1"/>
  <c r="I6189" i="14" s="1"/>
  <c r="K6166" i="13"/>
  <c r="L6166" i="13" s="1"/>
  <c r="I6167" i="13" s="1"/>
  <c r="K6167" i="13" l="1"/>
  <c r="L6167" i="13" s="1"/>
  <c r="I6168" i="13" s="1"/>
  <c r="K6189" i="14"/>
  <c r="L6189" i="14" s="1"/>
  <c r="I6190" i="14" s="1"/>
  <c r="K6190" i="14" l="1"/>
  <c r="L6190" i="14" s="1"/>
  <c r="I6191" i="14" s="1"/>
  <c r="K6168" i="13"/>
  <c r="L6168" i="13" s="1"/>
  <c r="I6169" i="13" s="1"/>
  <c r="K6169" i="13" l="1"/>
  <c r="L6169" i="13" s="1"/>
  <c r="I6170" i="13" s="1"/>
  <c r="K6191" i="14"/>
  <c r="L6191" i="14" s="1"/>
  <c r="I6192" i="14" s="1"/>
  <c r="K6192" i="14" l="1"/>
  <c r="L6192" i="14" s="1"/>
  <c r="I6193" i="14" s="1"/>
  <c r="K6170" i="13"/>
  <c r="L6170" i="13" s="1"/>
  <c r="I6171" i="13" s="1"/>
  <c r="K6171" i="13" l="1"/>
  <c r="L6171" i="13" s="1"/>
  <c r="I6172" i="13" s="1"/>
  <c r="K6193" i="14"/>
  <c r="L6193" i="14" s="1"/>
  <c r="I6194" i="14" s="1"/>
  <c r="K6194" i="14" l="1"/>
  <c r="L6194" i="14" s="1"/>
  <c r="I6195" i="14" s="1"/>
  <c r="K6172" i="13"/>
  <c r="L6172" i="13" s="1"/>
  <c r="I6173" i="13" s="1"/>
  <c r="K6173" i="13" l="1"/>
  <c r="L6173" i="13" s="1"/>
  <c r="I6174" i="13" s="1"/>
  <c r="K6195" i="14"/>
  <c r="L6195" i="14" s="1"/>
  <c r="I6196" i="14" s="1"/>
  <c r="K6196" i="14" l="1"/>
  <c r="L6196" i="14" s="1"/>
  <c r="I6197" i="14" s="1"/>
  <c r="K6174" i="13"/>
  <c r="L6174" i="13" s="1"/>
  <c r="I6175" i="13" s="1"/>
  <c r="K6175" i="13" l="1"/>
  <c r="L6175" i="13" s="1"/>
  <c r="I6176" i="13" s="1"/>
  <c r="K6197" i="14"/>
  <c r="L6197" i="14" s="1"/>
  <c r="I6198" i="14" s="1"/>
  <c r="K6198" i="14" l="1"/>
  <c r="L6198" i="14" s="1"/>
  <c r="I6199" i="14" s="1"/>
  <c r="K6176" i="13"/>
  <c r="L6176" i="13" s="1"/>
  <c r="I6177" i="13" s="1"/>
  <c r="K6177" i="13" l="1"/>
  <c r="L6177" i="13" s="1"/>
  <c r="I6178" i="13" s="1"/>
  <c r="K6199" i="14"/>
  <c r="L6199" i="14" s="1"/>
  <c r="I6200" i="14" s="1"/>
  <c r="K6200" i="14" l="1"/>
  <c r="L6200" i="14" s="1"/>
  <c r="I6201" i="14" s="1"/>
  <c r="K6178" i="13"/>
  <c r="L6178" i="13" s="1"/>
  <c r="I6179" i="13" s="1"/>
  <c r="K6179" i="13" l="1"/>
  <c r="L6179" i="13" s="1"/>
  <c r="I6180" i="13" s="1"/>
  <c r="K6201" i="14"/>
  <c r="L6201" i="14" s="1"/>
  <c r="I6202" i="14" s="1"/>
  <c r="K6202" i="14" l="1"/>
  <c r="L6202" i="14" s="1"/>
  <c r="I6203" i="14" s="1"/>
  <c r="K6180" i="13"/>
  <c r="L6180" i="13" s="1"/>
  <c r="I6181" i="13" s="1"/>
  <c r="K6181" i="13" l="1"/>
  <c r="L6181" i="13" s="1"/>
  <c r="I6182" i="13" s="1"/>
  <c r="K6203" i="14"/>
  <c r="L6203" i="14" s="1"/>
  <c r="I6204" i="14" s="1"/>
  <c r="K6182" i="13" l="1"/>
  <c r="L6182" i="13" s="1"/>
  <c r="I6183" i="13" s="1"/>
  <c r="K6204" i="14"/>
  <c r="L6204" i="14" s="1"/>
  <c r="I6205" i="14" s="1"/>
  <c r="K6205" i="14" l="1"/>
  <c r="L6205" i="14" s="1"/>
  <c r="I6206" i="14" s="1"/>
  <c r="K6183" i="13"/>
  <c r="L6183" i="13" s="1"/>
  <c r="I6184" i="13" s="1"/>
  <c r="K6184" i="13" l="1"/>
  <c r="L6184" i="13" s="1"/>
  <c r="I6185" i="13" s="1"/>
  <c r="K6206" i="14"/>
  <c r="L6206" i="14" s="1"/>
  <c r="I6207" i="14" s="1"/>
  <c r="K6207" i="14" l="1"/>
  <c r="L6207" i="14" s="1"/>
  <c r="I6208" i="14" s="1"/>
  <c r="K6185" i="13"/>
  <c r="L6185" i="13" s="1"/>
  <c r="I6186" i="13" s="1"/>
  <c r="K6186" i="13" l="1"/>
  <c r="L6186" i="13" s="1"/>
  <c r="I6187" i="13" s="1"/>
  <c r="K6208" i="14"/>
  <c r="L6208" i="14" s="1"/>
  <c r="I6209" i="14" s="1"/>
  <c r="K6209" i="14" l="1"/>
  <c r="L6209" i="14" s="1"/>
  <c r="I6210" i="14" s="1"/>
  <c r="K6187" i="13"/>
  <c r="L6187" i="13" s="1"/>
  <c r="I6188" i="13" s="1"/>
  <c r="K6188" i="13" l="1"/>
  <c r="L6188" i="13" s="1"/>
  <c r="I6189" i="13" s="1"/>
  <c r="K6210" i="14"/>
  <c r="L6210" i="14" s="1"/>
  <c r="I6211" i="14" s="1"/>
  <c r="K6211" i="14" l="1"/>
  <c r="L6211" i="14" s="1"/>
  <c r="I6212" i="14" s="1"/>
  <c r="K6189" i="13"/>
  <c r="L6189" i="13" s="1"/>
  <c r="I6190" i="13" s="1"/>
  <c r="K6190" i="13" l="1"/>
  <c r="L6190" i="13" s="1"/>
  <c r="I6191" i="13" s="1"/>
  <c r="K6212" i="14"/>
  <c r="L6212" i="14" s="1"/>
  <c r="I6213" i="14" s="1"/>
  <c r="K6213" i="14" l="1"/>
  <c r="L6213" i="14" s="1"/>
  <c r="I6214" i="14" s="1"/>
  <c r="K6191" i="13"/>
  <c r="L6191" i="13" s="1"/>
  <c r="I6192" i="13" s="1"/>
  <c r="K6192" i="13" l="1"/>
  <c r="L6192" i="13" s="1"/>
  <c r="I6193" i="13" s="1"/>
  <c r="K6214" i="14"/>
  <c r="L6214" i="14" s="1"/>
  <c r="I6215" i="14" s="1"/>
  <c r="K6215" i="14" l="1"/>
  <c r="L6215" i="14" s="1"/>
  <c r="I6216" i="14" s="1"/>
  <c r="K6193" i="13"/>
  <c r="L6193" i="13" s="1"/>
  <c r="I6194" i="13" s="1"/>
  <c r="K6194" i="13" l="1"/>
  <c r="L6194" i="13" s="1"/>
  <c r="I6195" i="13" s="1"/>
  <c r="K6216" i="14"/>
  <c r="L6216" i="14" s="1"/>
  <c r="I6217" i="14" s="1"/>
  <c r="K6217" i="14" l="1"/>
  <c r="L6217" i="14" s="1"/>
  <c r="I6218" i="14" s="1"/>
  <c r="K6195" i="13"/>
  <c r="L6195" i="13" s="1"/>
  <c r="I6196" i="13" s="1"/>
  <c r="K6196" i="13" l="1"/>
  <c r="L6196" i="13" s="1"/>
  <c r="I6197" i="13" s="1"/>
  <c r="K6218" i="14"/>
  <c r="L6218" i="14" s="1"/>
  <c r="I6219" i="14" s="1"/>
  <c r="K6219" i="14" l="1"/>
  <c r="L6219" i="14" s="1"/>
  <c r="I6220" i="14" s="1"/>
  <c r="K6197" i="13"/>
  <c r="L6197" i="13" s="1"/>
  <c r="I6198" i="13" s="1"/>
  <c r="K6198" i="13" l="1"/>
  <c r="L6198" i="13" s="1"/>
  <c r="I6199" i="13" s="1"/>
  <c r="K6220" i="14"/>
  <c r="L6220" i="14" s="1"/>
  <c r="I6221" i="14" s="1"/>
  <c r="K6221" i="14" l="1"/>
  <c r="L6221" i="14" s="1"/>
  <c r="I6222" i="14" s="1"/>
  <c r="K6199" i="13"/>
  <c r="L6199" i="13" s="1"/>
  <c r="I6200" i="13" s="1"/>
  <c r="K6200" i="13" l="1"/>
  <c r="L6200" i="13" s="1"/>
  <c r="I6201" i="13" s="1"/>
  <c r="K6222" i="14"/>
  <c r="L6222" i="14" s="1"/>
  <c r="I6223" i="14" s="1"/>
  <c r="K6223" i="14" l="1"/>
  <c r="L6223" i="14" s="1"/>
  <c r="I6224" i="14" s="1"/>
  <c r="K6201" i="13"/>
  <c r="L6201" i="13" s="1"/>
  <c r="I6202" i="13" s="1"/>
  <c r="K6202" i="13" l="1"/>
  <c r="L6202" i="13" s="1"/>
  <c r="I6203" i="13" s="1"/>
  <c r="K6224" i="14"/>
  <c r="L6224" i="14" s="1"/>
  <c r="I6225" i="14" s="1"/>
  <c r="K6225" i="14" l="1"/>
  <c r="L6225" i="14" s="1"/>
  <c r="I6226" i="14" s="1"/>
  <c r="K6203" i="13"/>
  <c r="L6203" i="13" s="1"/>
  <c r="I6204" i="13" s="1"/>
  <c r="K6204" i="13" l="1"/>
  <c r="L6204" i="13" s="1"/>
  <c r="I6205" i="13" s="1"/>
  <c r="K6226" i="14"/>
  <c r="L6226" i="14" s="1"/>
  <c r="I6227" i="14" s="1"/>
  <c r="K6227" i="14" l="1"/>
  <c r="L6227" i="14" s="1"/>
  <c r="I6228" i="14" s="1"/>
  <c r="K6205" i="13"/>
  <c r="L6205" i="13" s="1"/>
  <c r="I6206" i="13" s="1"/>
  <c r="K6206" i="13" l="1"/>
  <c r="L6206" i="13" s="1"/>
  <c r="I6207" i="13" s="1"/>
  <c r="K6228" i="14"/>
  <c r="L6228" i="14" s="1"/>
  <c r="I6229" i="14" s="1"/>
  <c r="K6229" i="14" l="1"/>
  <c r="L6229" i="14" s="1"/>
  <c r="I6230" i="14" s="1"/>
  <c r="K6207" i="13"/>
  <c r="L6207" i="13" s="1"/>
  <c r="I6208" i="13" s="1"/>
  <c r="K6208" i="13" l="1"/>
  <c r="L6208" i="13" s="1"/>
  <c r="I6209" i="13" s="1"/>
  <c r="K6230" i="14"/>
  <c r="L6230" i="14" s="1"/>
  <c r="I6231" i="14" s="1"/>
  <c r="K6231" i="14" l="1"/>
  <c r="L6231" i="14" s="1"/>
  <c r="I6232" i="14" s="1"/>
  <c r="K6209" i="13"/>
  <c r="L6209" i="13" s="1"/>
  <c r="I6210" i="13" s="1"/>
  <c r="K6210" i="13" l="1"/>
  <c r="L6210" i="13" s="1"/>
  <c r="I6211" i="13" s="1"/>
  <c r="K6232" i="14"/>
  <c r="L6232" i="14" s="1"/>
  <c r="I6233" i="14" s="1"/>
  <c r="K6233" i="14" l="1"/>
  <c r="L6233" i="14" s="1"/>
  <c r="I6234" i="14" s="1"/>
  <c r="K6211" i="13"/>
  <c r="L6211" i="13" s="1"/>
  <c r="I6212" i="13" s="1"/>
  <c r="K6212" i="13" l="1"/>
  <c r="L6212" i="13" s="1"/>
  <c r="I6213" i="13" s="1"/>
  <c r="K6234" i="14"/>
  <c r="L6234" i="14" s="1"/>
  <c r="I6235" i="14" s="1"/>
  <c r="K6235" i="14" l="1"/>
  <c r="L6235" i="14" s="1"/>
  <c r="I6236" i="14" s="1"/>
  <c r="K6213" i="13"/>
  <c r="L6213" i="13" s="1"/>
  <c r="I6214" i="13" s="1"/>
  <c r="K6214" i="13" l="1"/>
  <c r="L6214" i="13" s="1"/>
  <c r="I6215" i="13" s="1"/>
  <c r="K6236" i="14"/>
  <c r="L6236" i="14" s="1"/>
  <c r="I6237" i="14" s="1"/>
  <c r="K6237" i="14" l="1"/>
  <c r="L6237" i="14" s="1"/>
  <c r="I6238" i="14" s="1"/>
  <c r="K6215" i="13"/>
  <c r="L6215" i="13" s="1"/>
  <c r="I6216" i="13" s="1"/>
  <c r="K6216" i="13" l="1"/>
  <c r="L6216" i="13" s="1"/>
  <c r="I6217" i="13" s="1"/>
  <c r="K6238" i="14"/>
  <c r="L6238" i="14" s="1"/>
  <c r="I6239" i="14" s="1"/>
  <c r="K6239" i="14" l="1"/>
  <c r="L6239" i="14" s="1"/>
  <c r="I6240" i="14" s="1"/>
  <c r="K6217" i="13"/>
  <c r="L6217" i="13" s="1"/>
  <c r="I6218" i="13" s="1"/>
  <c r="K6218" i="13" l="1"/>
  <c r="L6218" i="13" s="1"/>
  <c r="I6219" i="13" s="1"/>
  <c r="K6240" i="14"/>
  <c r="L6240" i="14" s="1"/>
  <c r="I6241" i="14" s="1"/>
  <c r="K6241" i="14" l="1"/>
  <c r="L6241" i="14" s="1"/>
  <c r="I6242" i="14" s="1"/>
  <c r="K6219" i="13"/>
  <c r="L6219" i="13" s="1"/>
  <c r="I6220" i="13" s="1"/>
  <c r="K6220" i="13" l="1"/>
  <c r="L6220" i="13" s="1"/>
  <c r="I6221" i="13" s="1"/>
  <c r="K6242" i="14"/>
  <c r="L6242" i="14" s="1"/>
  <c r="I6243" i="14" s="1"/>
  <c r="K6243" i="14" l="1"/>
  <c r="L6243" i="14" s="1"/>
  <c r="I6244" i="14" s="1"/>
  <c r="K6221" i="13"/>
  <c r="L6221" i="13" s="1"/>
  <c r="I6222" i="13" s="1"/>
  <c r="K6244" i="14" l="1"/>
  <c r="L6244" i="14" s="1"/>
  <c r="I6245" i="14" s="1"/>
  <c r="K6222" i="13"/>
  <c r="L6222" i="13" s="1"/>
  <c r="I6223" i="13" s="1"/>
  <c r="K6223" i="13" l="1"/>
  <c r="L6223" i="13" s="1"/>
  <c r="I6224" i="13" s="1"/>
  <c r="K6245" i="14"/>
  <c r="L6245" i="14" s="1"/>
  <c r="I6246" i="14" s="1"/>
  <c r="K6224" i="13" l="1"/>
  <c r="L6224" i="13" s="1"/>
  <c r="I6225" i="13" s="1"/>
  <c r="K6246" i="14"/>
  <c r="L6246" i="14" s="1"/>
  <c r="I6247" i="14" s="1"/>
  <c r="K6247" i="14" l="1"/>
  <c r="L6247" i="14" s="1"/>
  <c r="I6248" i="14" s="1"/>
  <c r="K6225" i="13"/>
  <c r="L6225" i="13" s="1"/>
  <c r="I6226" i="13" s="1"/>
  <c r="K6226" i="13" l="1"/>
  <c r="L6226" i="13" s="1"/>
  <c r="I6227" i="13" s="1"/>
  <c r="K6248" i="14"/>
  <c r="L6248" i="14" s="1"/>
  <c r="I6249" i="14" s="1"/>
  <c r="K6249" i="14" l="1"/>
  <c r="L6249" i="14" s="1"/>
  <c r="I6250" i="14" s="1"/>
  <c r="K6227" i="13"/>
  <c r="L6227" i="13" s="1"/>
  <c r="I6228" i="13" s="1"/>
  <c r="K6228" i="13" l="1"/>
  <c r="L6228" i="13" s="1"/>
  <c r="I6229" i="13" s="1"/>
  <c r="K6250" i="14"/>
  <c r="K6229" i="13" l="1"/>
  <c r="L6229" i="13" s="1"/>
  <c r="I6230" i="13" s="1"/>
  <c r="D27" i="14"/>
  <c r="D33" i="14"/>
  <c r="D49" i="14"/>
  <c r="D19" i="14"/>
  <c r="D8" i="14"/>
  <c r="E8" i="14" s="1"/>
  <c r="B9" i="14" s="1"/>
  <c r="D9" i="14"/>
  <c r="D10" i="14"/>
  <c r="D11" i="14"/>
  <c r="D12" i="14"/>
  <c r="D13" i="14"/>
  <c r="D14" i="14"/>
  <c r="D15" i="14"/>
  <c r="D16" i="14"/>
  <c r="D17" i="14"/>
  <c r="D18" i="14"/>
  <c r="D20" i="14"/>
  <c r="D21" i="14"/>
  <c r="D22" i="14"/>
  <c r="D23" i="14"/>
  <c r="D24" i="14"/>
  <c r="D25" i="14"/>
  <c r="D26" i="14"/>
  <c r="D28" i="14"/>
  <c r="D29" i="14"/>
  <c r="D30" i="14"/>
  <c r="D31" i="14"/>
  <c r="D32" i="14"/>
  <c r="D34" i="14"/>
  <c r="D35" i="14"/>
  <c r="D36" i="14"/>
  <c r="D37" i="14"/>
  <c r="D38" i="14"/>
  <c r="D39" i="14"/>
  <c r="D40" i="14"/>
  <c r="D41" i="14"/>
  <c r="D42" i="14"/>
  <c r="D43" i="14"/>
  <c r="D44" i="14"/>
  <c r="D45" i="14"/>
  <c r="D46" i="14"/>
  <c r="D47" i="14"/>
  <c r="D48" i="14"/>
  <c r="D50" i="14"/>
  <c r="D51" i="14"/>
  <c r="D52" i="14"/>
  <c r="D53" i="14"/>
  <c r="D54" i="14"/>
  <c r="D55" i="14"/>
  <c r="D56" i="14"/>
  <c r="D57" i="14"/>
  <c r="D58" i="14"/>
  <c r="D59" i="14"/>
  <c r="D60" i="14"/>
  <c r="D61" i="14"/>
  <c r="D62" i="14"/>
  <c r="D63" i="14"/>
  <c r="D64" i="14"/>
  <c r="D65" i="14"/>
  <c r="D66" i="14"/>
  <c r="D69" i="14"/>
  <c r="D67" i="14"/>
  <c r="D68" i="14"/>
  <c r="D70" i="14"/>
  <c r="D71" i="14"/>
  <c r="L6250" i="14"/>
  <c r="E9" i="14" l="1"/>
  <c r="B10" i="14" s="1"/>
  <c r="E10" i="14" s="1"/>
  <c r="B11" i="14" s="1"/>
  <c r="E11" i="14" s="1"/>
  <c r="B12" i="14" s="1"/>
  <c r="E12" i="14" s="1"/>
  <c r="B13" i="14" s="1"/>
  <c r="E13" i="14" s="1"/>
  <c r="B14" i="14" s="1"/>
  <c r="E14" i="14" s="1"/>
  <c r="B15" i="14" s="1"/>
  <c r="E15" i="14" s="1"/>
  <c r="B16" i="14" s="1"/>
  <c r="E16" i="14" s="1"/>
  <c r="B17" i="14" s="1"/>
  <c r="E17" i="14" s="1"/>
  <c r="B18" i="14" s="1"/>
  <c r="E18" i="14" s="1"/>
  <c r="B19" i="14" s="1"/>
  <c r="E19" i="14" s="1"/>
  <c r="B20" i="14" s="1"/>
  <c r="E20" i="14" s="1"/>
  <c r="B21" i="14" s="1"/>
  <c r="E21" i="14" s="1"/>
  <c r="B22" i="14" s="1"/>
  <c r="E22" i="14" s="1"/>
  <c r="B23" i="14" s="1"/>
  <c r="E23" i="14" s="1"/>
  <c r="B24" i="14" s="1"/>
  <c r="E24" i="14" s="1"/>
  <c r="B25" i="14" s="1"/>
  <c r="E25" i="14" s="1"/>
  <c r="B26" i="14" s="1"/>
  <c r="E26" i="14" s="1"/>
  <c r="B27" i="14" s="1"/>
  <c r="E27" i="14" s="1"/>
  <c r="B28" i="14" s="1"/>
  <c r="E28" i="14" s="1"/>
  <c r="B29" i="14" s="1"/>
  <c r="E29" i="14" s="1"/>
  <c r="B30" i="14" s="1"/>
  <c r="E30" i="14" s="1"/>
  <c r="B31" i="14" s="1"/>
  <c r="E31" i="14" s="1"/>
  <c r="B32" i="14" s="1"/>
  <c r="E32" i="14" s="1"/>
  <c r="B33" i="14" s="1"/>
  <c r="E33" i="14" s="1"/>
  <c r="B34" i="14" s="1"/>
  <c r="E34" i="14" s="1"/>
  <c r="B35" i="14" s="1"/>
  <c r="E35" i="14" s="1"/>
  <c r="B36" i="14" s="1"/>
  <c r="E36" i="14" s="1"/>
  <c r="B37" i="14" s="1"/>
  <c r="E37" i="14" s="1"/>
  <c r="B38" i="14" s="1"/>
  <c r="E38" i="14" s="1"/>
  <c r="B39" i="14" s="1"/>
  <c r="E39" i="14" s="1"/>
  <c r="B40" i="14" s="1"/>
  <c r="E40" i="14" s="1"/>
  <c r="B41" i="14" s="1"/>
  <c r="E41" i="14" s="1"/>
  <c r="B42" i="14" s="1"/>
  <c r="E42" i="14" s="1"/>
  <c r="B43" i="14" s="1"/>
  <c r="E43" i="14" s="1"/>
  <c r="B44" i="14" s="1"/>
  <c r="E44" i="14" s="1"/>
  <c r="B45" i="14" s="1"/>
  <c r="E45" i="14" s="1"/>
  <c r="B46" i="14" s="1"/>
  <c r="E46" i="14" s="1"/>
  <c r="B47" i="14" s="1"/>
  <c r="E47" i="14" s="1"/>
  <c r="B48" i="14" s="1"/>
  <c r="E48" i="14" s="1"/>
  <c r="B49" i="14" s="1"/>
  <c r="E49" i="14" s="1"/>
  <c r="B50" i="14" s="1"/>
  <c r="E50" i="14" s="1"/>
  <c r="B51" i="14" s="1"/>
  <c r="E51" i="14" s="1"/>
  <c r="B52" i="14" s="1"/>
  <c r="E52" i="14" s="1"/>
  <c r="B53" i="14" s="1"/>
  <c r="E53" i="14" s="1"/>
  <c r="B54" i="14" s="1"/>
  <c r="E54" i="14" s="1"/>
  <c r="B55" i="14" s="1"/>
  <c r="E55" i="14" s="1"/>
  <c r="B56" i="14" s="1"/>
  <c r="E56" i="14" s="1"/>
  <c r="B57" i="14" s="1"/>
  <c r="E57" i="14" s="1"/>
  <c r="B58" i="14" s="1"/>
  <c r="E58" i="14" s="1"/>
  <c r="B59" i="14" s="1"/>
  <c r="E59" i="14" s="1"/>
  <c r="B60" i="14" s="1"/>
  <c r="E60" i="14" s="1"/>
  <c r="B61" i="14" s="1"/>
  <c r="E61" i="14" s="1"/>
  <c r="B62" i="14" s="1"/>
  <c r="E62" i="14" s="1"/>
  <c r="B63" i="14" s="1"/>
  <c r="E63" i="14" s="1"/>
  <c r="B64" i="14" s="1"/>
  <c r="E64" i="14" s="1"/>
  <c r="B65" i="14" s="1"/>
  <c r="E65" i="14" s="1"/>
  <c r="B66" i="14" s="1"/>
  <c r="E66" i="14" s="1"/>
  <c r="B67" i="14" s="1"/>
  <c r="E67" i="14" s="1"/>
  <c r="B68" i="14" s="1"/>
  <c r="E68" i="14" s="1"/>
  <c r="B69" i="14" s="1"/>
  <c r="E69" i="14" s="1"/>
  <c r="B70" i="14" s="1"/>
  <c r="E70" i="14" s="1"/>
  <c r="B71" i="14" s="1"/>
  <c r="E71" i="14" s="1"/>
  <c r="K6230" i="13"/>
  <c r="L6230" i="13" s="1"/>
  <c r="I6231" i="13" s="1"/>
  <c r="R17" i="10" a="1"/>
  <c r="R17" i="10" s="1"/>
  <c r="S17" i="10" s="1"/>
  <c r="R18" i="10" a="1"/>
  <c r="R18" i="10" s="1"/>
  <c r="S18" i="10" s="1"/>
  <c r="R19" i="10" a="1"/>
  <c r="R19" i="10" s="1"/>
  <c r="S19" i="10" s="1"/>
  <c r="B4" i="14"/>
  <c r="E7" i="10" s="1"/>
  <c r="C4" i="14"/>
  <c r="D4" i="14" s="1" a="1"/>
  <c r="D4" i="14" s="1"/>
  <c r="F7" i="10" s="1"/>
  <c r="G7" i="10" s="1"/>
  <c r="K6231" i="13" l="1"/>
  <c r="L6231" i="13" s="1"/>
  <c r="I6232" i="13" s="1"/>
  <c r="K6232" i="13" l="1"/>
  <c r="L6232" i="13" s="1"/>
  <c r="I6233" i="13" s="1"/>
  <c r="K6233" i="13" l="1"/>
  <c r="L6233" i="13" s="1"/>
  <c r="I6234" i="13" s="1"/>
  <c r="K6234" i="13" l="1"/>
  <c r="L6234" i="13" s="1"/>
  <c r="I6235" i="13" s="1"/>
  <c r="K6235" i="13" l="1"/>
  <c r="L6235" i="13" s="1"/>
  <c r="I6236" i="13" s="1"/>
  <c r="K6236" i="13" l="1"/>
  <c r="L6236" i="13" s="1"/>
  <c r="I6237" i="13" s="1"/>
  <c r="K6237" i="13" l="1"/>
  <c r="L6237" i="13" s="1"/>
  <c r="I6238" i="13" s="1"/>
  <c r="K6238" i="13" l="1"/>
  <c r="L6238" i="13" s="1"/>
  <c r="I6239" i="13" s="1"/>
  <c r="K6239" i="13" l="1"/>
  <c r="L6239" i="13" s="1"/>
  <c r="I6240" i="13" s="1"/>
  <c r="K6240" i="13" l="1"/>
  <c r="L6240" i="13" s="1"/>
  <c r="I6241" i="13" s="1"/>
  <c r="K6241" i="13" l="1"/>
  <c r="L6241" i="13" s="1"/>
  <c r="I6242" i="13" s="1"/>
  <c r="K6242" i="13" l="1"/>
  <c r="L6242" i="13" s="1"/>
  <c r="I6243" i="13" s="1"/>
  <c r="K6243" i="13" l="1"/>
  <c r="L6243" i="13" s="1"/>
  <c r="I6244" i="13" s="1"/>
  <c r="K6244" i="13" l="1"/>
  <c r="L6244" i="13" s="1"/>
  <c r="I6245" i="13" s="1"/>
  <c r="K6245" i="13" l="1"/>
  <c r="L6245" i="13" s="1"/>
  <c r="I6246" i="13" s="1"/>
  <c r="K6246" i="13" l="1"/>
  <c r="L6246" i="13" s="1"/>
  <c r="I6247" i="13" s="1"/>
  <c r="K6247" i="13" l="1"/>
  <c r="L6247" i="13" s="1"/>
  <c r="I6248" i="13" s="1"/>
  <c r="K6248" i="13" l="1"/>
  <c r="L6248" i="13" s="1"/>
  <c r="I6249" i="13" s="1"/>
  <c r="K6249" i="13" l="1"/>
  <c r="L6249" i="13" s="1"/>
  <c r="I6250" i="13" s="1"/>
  <c r="K6250" i="13" l="1"/>
  <c r="D8" i="13" l="1"/>
  <c r="E8" i="13" s="1"/>
  <c r="B9" i="13" s="1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80" i="13"/>
  <c r="D111" i="13"/>
  <c r="D135" i="13"/>
  <c r="D93" i="13"/>
  <c r="D78" i="13"/>
  <c r="D71" i="13"/>
  <c r="D84" i="13"/>
  <c r="D133" i="13"/>
  <c r="D104" i="13"/>
  <c r="D77" i="13"/>
  <c r="D129" i="13"/>
  <c r="D90" i="13"/>
  <c r="D105" i="13"/>
  <c r="D95" i="13"/>
  <c r="D88" i="13"/>
  <c r="D69" i="13"/>
  <c r="D109" i="13"/>
  <c r="D98" i="13"/>
  <c r="D128" i="13"/>
  <c r="D101" i="13"/>
  <c r="D86" i="13"/>
  <c r="D81" i="13"/>
  <c r="D97" i="13"/>
  <c r="D127" i="13"/>
  <c r="D112" i="13"/>
  <c r="D85" i="13"/>
  <c r="D130" i="13"/>
  <c r="D108" i="13"/>
  <c r="D120" i="13"/>
  <c r="D103" i="13"/>
  <c r="D96" i="13"/>
  <c r="D102" i="13"/>
  <c r="D124" i="13"/>
  <c r="D91" i="13"/>
  <c r="D113" i="13"/>
  <c r="D125" i="13"/>
  <c r="D115" i="13"/>
  <c r="D134" i="13"/>
  <c r="D136" i="13"/>
  <c r="D74" i="13"/>
  <c r="D83" i="13"/>
  <c r="D94" i="13"/>
  <c r="D121" i="13"/>
  <c r="D68" i="13"/>
  <c r="D75" i="13"/>
  <c r="D89" i="13"/>
  <c r="D87" i="13"/>
  <c r="D126" i="13"/>
  <c r="D82" i="13"/>
  <c r="D118" i="13"/>
  <c r="D114" i="13"/>
  <c r="D122" i="13"/>
  <c r="D99" i="13"/>
  <c r="D110" i="13"/>
  <c r="D72" i="13"/>
  <c r="D92" i="13"/>
  <c r="D76" i="13"/>
  <c r="D131" i="13"/>
  <c r="D107" i="13"/>
  <c r="D117" i="13"/>
  <c r="D67" i="13"/>
  <c r="D116" i="13"/>
  <c r="D132" i="13"/>
  <c r="D70" i="13"/>
  <c r="D123" i="13"/>
  <c r="D73" i="13"/>
  <c r="D100" i="13"/>
  <c r="D106" i="13"/>
  <c r="D79" i="13"/>
  <c r="D119" i="13"/>
  <c r="L6250" i="13"/>
  <c r="E9" i="13" l="1"/>
  <c r="B10" i="13" s="1"/>
  <c r="E10" i="13" s="1"/>
  <c r="B11" i="13" s="1"/>
  <c r="E11" i="13" s="1"/>
  <c r="B12" i="13" s="1"/>
  <c r="E12" i="13" s="1"/>
  <c r="B13" i="13" s="1"/>
  <c r="E13" i="13" s="1"/>
  <c r="B14" i="13" s="1"/>
  <c r="E14" i="13" s="1"/>
  <c r="B15" i="13" s="1"/>
  <c r="E15" i="13" s="1"/>
  <c r="B16" i="13" s="1"/>
  <c r="E16" i="13" s="1"/>
  <c r="B17" i="13" s="1"/>
  <c r="E17" i="13" s="1"/>
  <c r="B18" i="13" s="1"/>
  <c r="E18" i="13" s="1"/>
  <c r="B19" i="13" s="1"/>
  <c r="E19" i="13" s="1"/>
  <c r="B20" i="13" s="1"/>
  <c r="E20" i="13" s="1"/>
  <c r="B21" i="13" s="1"/>
  <c r="E21" i="13" s="1"/>
  <c r="B22" i="13" s="1"/>
  <c r="E22" i="13" s="1"/>
  <c r="B23" i="13" s="1"/>
  <c r="E23" i="13" s="1"/>
  <c r="B24" i="13" s="1"/>
  <c r="E24" i="13" s="1"/>
  <c r="B25" i="13" s="1"/>
  <c r="E25" i="13" s="1"/>
  <c r="B26" i="13" s="1"/>
  <c r="E26" i="13" s="1"/>
  <c r="B27" i="13" s="1"/>
  <c r="E27" i="13" s="1"/>
  <c r="B28" i="13" s="1"/>
  <c r="E28" i="13" s="1"/>
  <c r="B29" i="13" s="1"/>
  <c r="E29" i="13" s="1"/>
  <c r="B30" i="13" s="1"/>
  <c r="E30" i="13" s="1"/>
  <c r="B31" i="13" s="1"/>
  <c r="E31" i="13" s="1"/>
  <c r="B32" i="13" s="1"/>
  <c r="E32" i="13" s="1"/>
  <c r="B33" i="13" s="1"/>
  <c r="E33" i="13" s="1"/>
  <c r="B34" i="13" s="1"/>
  <c r="E34" i="13" s="1"/>
  <c r="B35" i="13" s="1"/>
  <c r="E35" i="13" s="1"/>
  <c r="B36" i="13" s="1"/>
  <c r="E36" i="13" s="1"/>
  <c r="B37" i="13" s="1"/>
  <c r="E37" i="13" s="1"/>
  <c r="B38" i="13" s="1"/>
  <c r="E38" i="13" s="1"/>
  <c r="B39" i="13" s="1"/>
  <c r="E39" i="13" s="1"/>
  <c r="B40" i="13" s="1"/>
  <c r="E40" i="13" s="1"/>
  <c r="B41" i="13" s="1"/>
  <c r="E41" i="13" s="1"/>
  <c r="B42" i="13" s="1"/>
  <c r="E42" i="13" s="1"/>
  <c r="B43" i="13" s="1"/>
  <c r="E43" i="13" s="1"/>
  <c r="B44" i="13" s="1"/>
  <c r="E44" i="13" s="1"/>
  <c r="B45" i="13" s="1"/>
  <c r="E45" i="13" s="1"/>
  <c r="B46" i="13" s="1"/>
  <c r="E46" i="13" s="1"/>
  <c r="B47" i="13" s="1"/>
  <c r="E47" i="13" s="1"/>
  <c r="B48" i="13" s="1"/>
  <c r="E48" i="13" s="1"/>
  <c r="B49" i="13" s="1"/>
  <c r="E49" i="13" s="1"/>
  <c r="B50" i="13" s="1"/>
  <c r="E50" i="13" s="1"/>
  <c r="B51" i="13" s="1"/>
  <c r="E51" i="13" s="1"/>
  <c r="B52" i="13" s="1"/>
  <c r="E52" i="13" s="1"/>
  <c r="B53" i="13" s="1"/>
  <c r="E53" i="13" s="1"/>
  <c r="B54" i="13" s="1"/>
  <c r="E54" i="13" s="1"/>
  <c r="B55" i="13" s="1"/>
  <c r="E55" i="13" s="1"/>
  <c r="B56" i="13" s="1"/>
  <c r="E56" i="13" s="1"/>
  <c r="B57" i="13" s="1"/>
  <c r="E57" i="13" s="1"/>
  <c r="B58" i="13" s="1"/>
  <c r="E58" i="13" s="1"/>
  <c r="B59" i="13" s="1"/>
  <c r="E59" i="13" s="1"/>
  <c r="B60" i="13" s="1"/>
  <c r="E60" i="13" s="1"/>
  <c r="B61" i="13" s="1"/>
  <c r="E61" i="13" s="1"/>
  <c r="B62" i="13" s="1"/>
  <c r="E62" i="13" s="1"/>
  <c r="B63" i="13" s="1"/>
  <c r="E63" i="13" s="1"/>
  <c r="B64" i="13" s="1"/>
  <c r="E64" i="13" s="1"/>
  <c r="B65" i="13" s="1"/>
  <c r="E65" i="13" s="1"/>
  <c r="B66" i="13" s="1"/>
  <c r="E66" i="13" s="1"/>
  <c r="B67" i="13" s="1"/>
  <c r="E67" i="13" s="1"/>
  <c r="B68" i="13" s="1"/>
  <c r="E68" i="13" s="1"/>
  <c r="B69" i="13" s="1"/>
  <c r="E69" i="13" s="1"/>
  <c r="B70" i="13" s="1"/>
  <c r="E70" i="13" s="1"/>
  <c r="B71" i="13" s="1"/>
  <c r="E71" i="13" s="1"/>
  <c r="B72" i="13" s="1"/>
  <c r="E72" i="13" s="1"/>
  <c r="B73" i="13" s="1"/>
  <c r="E73" i="13" s="1"/>
  <c r="B74" i="13" s="1"/>
  <c r="E74" i="13" s="1"/>
  <c r="B75" i="13" s="1"/>
  <c r="E75" i="13" s="1"/>
  <c r="B76" i="13" s="1"/>
  <c r="E76" i="13" s="1"/>
  <c r="B77" i="13" s="1"/>
  <c r="E77" i="13" s="1"/>
  <c r="B78" i="13" s="1"/>
  <c r="E78" i="13" s="1"/>
  <c r="B79" i="13" s="1"/>
  <c r="E79" i="13" s="1"/>
  <c r="B80" i="13" s="1"/>
  <c r="E80" i="13" s="1"/>
  <c r="B81" i="13" s="1"/>
  <c r="E81" i="13" s="1"/>
  <c r="B82" i="13" s="1"/>
  <c r="E82" i="13" s="1"/>
  <c r="B83" i="13" s="1"/>
  <c r="E83" i="13" s="1"/>
  <c r="B84" i="13" s="1"/>
  <c r="E84" i="13" s="1"/>
  <c r="B85" i="13" s="1"/>
  <c r="E85" i="13" s="1"/>
  <c r="B86" i="13" s="1"/>
  <c r="E86" i="13" s="1"/>
  <c r="B87" i="13" s="1"/>
  <c r="E87" i="13" s="1"/>
  <c r="B88" i="13" s="1"/>
  <c r="E88" i="13" s="1"/>
  <c r="B89" i="13" s="1"/>
  <c r="E89" i="13" s="1"/>
  <c r="B90" i="13" s="1"/>
  <c r="E90" i="13" s="1"/>
  <c r="B91" i="13" s="1"/>
  <c r="E91" i="13" s="1"/>
  <c r="B92" i="13" s="1"/>
  <c r="E92" i="13" s="1"/>
  <c r="B93" i="13" s="1"/>
  <c r="E93" i="13" s="1"/>
  <c r="B94" i="13" s="1"/>
  <c r="E94" i="13" s="1"/>
  <c r="B95" i="13" s="1"/>
  <c r="E95" i="13" s="1"/>
  <c r="B96" i="13" s="1"/>
  <c r="E96" i="13" s="1"/>
  <c r="B97" i="13" s="1"/>
  <c r="E97" i="13" s="1"/>
  <c r="B98" i="13" s="1"/>
  <c r="E98" i="13" s="1"/>
  <c r="B99" i="13" s="1"/>
  <c r="E99" i="13" s="1"/>
  <c r="B100" i="13" s="1"/>
  <c r="E100" i="13" s="1"/>
  <c r="B101" i="13" s="1"/>
  <c r="E101" i="13" s="1"/>
  <c r="B102" i="13" s="1"/>
  <c r="E102" i="13" s="1"/>
  <c r="B103" i="13" s="1"/>
  <c r="E103" i="13" s="1"/>
  <c r="B104" i="13" s="1"/>
  <c r="E104" i="13" s="1"/>
  <c r="B105" i="13" s="1"/>
  <c r="E105" i="13" s="1"/>
  <c r="B106" i="13" s="1"/>
  <c r="E106" i="13" s="1"/>
  <c r="B107" i="13" s="1"/>
  <c r="E107" i="13" s="1"/>
  <c r="B108" i="13" s="1"/>
  <c r="E108" i="13" s="1"/>
  <c r="B109" i="13" s="1"/>
  <c r="E109" i="13" s="1"/>
  <c r="B110" i="13" s="1"/>
  <c r="E110" i="13" s="1"/>
  <c r="B111" i="13" s="1"/>
  <c r="E111" i="13" s="1"/>
  <c r="B112" i="13" s="1"/>
  <c r="E112" i="13" s="1"/>
  <c r="B113" i="13" s="1"/>
  <c r="E113" i="13" s="1"/>
  <c r="B114" i="13" s="1"/>
  <c r="E114" i="13" s="1"/>
  <c r="B115" i="13" s="1"/>
  <c r="E115" i="13" s="1"/>
  <c r="B116" i="13" s="1"/>
  <c r="E116" i="13" s="1"/>
  <c r="B117" i="13" s="1"/>
  <c r="E117" i="13" s="1"/>
  <c r="B118" i="13" s="1"/>
  <c r="E118" i="13" s="1"/>
  <c r="B119" i="13" s="1"/>
  <c r="E119" i="13" s="1"/>
  <c r="B120" i="13" s="1"/>
  <c r="E120" i="13" s="1"/>
  <c r="B121" i="13" s="1"/>
  <c r="E121" i="13" s="1"/>
  <c r="B122" i="13" s="1"/>
  <c r="E122" i="13" s="1"/>
  <c r="B123" i="13" s="1"/>
  <c r="E123" i="13" s="1"/>
  <c r="B124" i="13" s="1"/>
  <c r="E124" i="13" s="1"/>
  <c r="B125" i="13" s="1"/>
  <c r="E125" i="13" s="1"/>
  <c r="B126" i="13" s="1"/>
  <c r="E126" i="13" s="1"/>
  <c r="B127" i="13" s="1"/>
  <c r="E127" i="13" s="1"/>
  <c r="B128" i="13" s="1"/>
  <c r="E128" i="13" s="1"/>
  <c r="B129" i="13" s="1"/>
  <c r="E129" i="13" s="1"/>
  <c r="B130" i="13" s="1"/>
  <c r="E130" i="13" s="1"/>
  <c r="B131" i="13" s="1"/>
  <c r="E131" i="13" s="1"/>
  <c r="B132" i="13" s="1"/>
  <c r="E132" i="13" s="1"/>
  <c r="B133" i="13" s="1"/>
  <c r="E133" i="13" s="1"/>
  <c r="B134" i="13" s="1"/>
  <c r="E134" i="13" s="1"/>
  <c r="B135" i="13" s="1"/>
  <c r="E135" i="13" s="1"/>
  <c r="B136" i="13" s="1"/>
  <c r="E136" i="13" s="1"/>
  <c r="Q16" i="10" a="1"/>
  <c r="Q16" i="10" s="1"/>
  <c r="S16" i="10" s="1"/>
  <c r="C4" i="13"/>
  <c r="D4" i="13" s="1" a="1"/>
  <c r="D4" i="13" s="1"/>
  <c r="F6" i="10" s="1"/>
  <c r="G6" i="10" s="1"/>
  <c r="B4" i="13"/>
  <c r="E6" i="10" s="1"/>
</calcChain>
</file>

<file path=xl/sharedStrings.xml><?xml version="1.0" encoding="utf-8"?>
<sst xmlns="http://schemas.openxmlformats.org/spreadsheetml/2006/main" count="2801" uniqueCount="876">
  <si>
    <r>
      <rPr>
        <sz val="12"/>
        <color theme="1"/>
        <rFont val="Aptos"/>
        <family val="2"/>
      </rPr>
      <t xml:space="preserve">Here is the </t>
    </r>
    <r>
      <rPr>
        <b/>
        <sz val="12"/>
        <color theme="1"/>
        <rFont val="Aptos"/>
        <family val="2"/>
      </rPr>
      <t>percentage of total household investables</t>
    </r>
    <r>
      <rPr>
        <sz val="12"/>
        <color theme="1"/>
        <rFont val="Aptos"/>
        <family val="2"/>
      </rPr>
      <t xml:space="preserve"> ($1,118,616) for each individual asset/fund, based on the target weights and current account balances you provided.</t>
    </r>
  </si>
  <si>
    <r>
      <rPr>
        <b/>
        <sz val="12"/>
        <color theme="1"/>
        <rFont val="Aptos"/>
        <family val="2"/>
      </rPr>
      <t>Total Household Investables</t>
    </r>
    <r>
      <rPr>
        <sz val="12"/>
        <color theme="1"/>
        <rFont val="Aptos"/>
        <family val="2"/>
      </rPr>
      <t xml:space="preserve">: </t>
    </r>
    <r>
      <rPr>
        <b/>
        <sz val="12"/>
        <color theme="1"/>
        <rFont val="Aptos"/>
        <family val="2"/>
      </rPr>
      <t>$1,118,616</t>
    </r>
    <r>
      <rPr>
        <sz val="12"/>
        <color theme="1"/>
        <rFont val="Aptos"/>
        <family val="2"/>
      </rPr>
      <t xml:space="preserve"> (Crypto + M1 + TSP + Cleveland Clinic 403(b))</t>
    </r>
  </si>
  <si>
    <t>Crypto Assets (Total Crypto: $16,700 → 1.49% of household)</t>
  </si>
  <si>
    <r>
      <rPr>
        <sz val="12"/>
        <color theme="1"/>
        <rFont val="Aptos"/>
        <family val="2"/>
      </rPr>
      <t xml:space="preserve">BTC: </t>
    </r>
    <r>
      <rPr>
        <b/>
        <sz val="12"/>
        <color theme="1"/>
        <rFont val="Aptos"/>
        <family val="2"/>
      </rPr>
      <t>$6,680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0.60%</t>
    </r>
  </si>
  <si>
    <r>
      <rPr>
        <sz val="12"/>
        <color theme="1"/>
        <rFont val="Aptos"/>
        <family val="2"/>
      </rPr>
      <t xml:space="preserve">ETH: </t>
    </r>
    <r>
      <rPr>
        <b/>
        <sz val="12"/>
        <color theme="1"/>
        <rFont val="Aptos"/>
        <family val="2"/>
      </rPr>
      <t>$3,340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0.30%</t>
    </r>
  </si>
  <si>
    <r>
      <rPr>
        <sz val="12"/>
        <color theme="1"/>
        <rFont val="Aptos"/>
        <family val="2"/>
      </rPr>
      <t xml:space="preserve">SOL: </t>
    </r>
    <r>
      <rPr>
        <b/>
        <sz val="12"/>
        <color theme="1"/>
        <rFont val="Aptos"/>
        <family val="2"/>
      </rPr>
      <t>$1,670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0.15%</t>
    </r>
  </si>
  <si>
    <r>
      <rPr>
        <sz val="12"/>
        <color theme="1"/>
        <rFont val="Aptos"/>
        <family val="2"/>
      </rPr>
      <t xml:space="preserve">BNB: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</si>
  <si>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LINK: </t>
    </r>
    <r>
      <rPr>
        <b/>
        <sz val="12"/>
        <color theme="1"/>
        <rFont val="Aptos"/>
        <family val="2"/>
      </rPr>
      <t>$1,002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0.09%</t>
    </r>
  </si>
  <si>
    <r>
      <rPr>
        <sz val="12"/>
        <color theme="1"/>
        <rFont val="Aptos"/>
        <family val="2"/>
      </rPr>
      <t xml:space="preserve">TAO: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</si>
  <si>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HYPE: </t>
    </r>
    <r>
      <rPr>
        <b/>
        <sz val="12"/>
        <color theme="1"/>
        <rFont val="Aptos"/>
        <family val="2"/>
      </rPr>
      <t>$835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0.07%</t>
    </r>
  </si>
  <si>
    <r>
      <rPr>
        <sz val="12"/>
        <color theme="1"/>
        <rFont val="Aptos"/>
        <family val="2"/>
      </rPr>
      <t xml:space="preserve">XRP: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</si>
  <si>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TRX: </t>
    </r>
    <r>
      <rPr>
        <b/>
        <sz val="12"/>
        <color theme="1"/>
        <rFont val="Aptos"/>
        <family val="2"/>
      </rPr>
      <t>$501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0.04%</t>
    </r>
  </si>
  <si>
    <r>
      <rPr>
        <sz val="12"/>
        <color theme="1"/>
        <rFont val="Aptos"/>
        <family val="2"/>
      </rPr>
      <t xml:space="preserve">AVAX: </t>
    </r>
    <r>
      <rPr>
        <b/>
        <sz val="12"/>
        <color theme="1"/>
        <rFont val="Aptos"/>
        <family val="2"/>
      </rPr>
      <t>$334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0.03%</t>
    </r>
  </si>
  <si>
    <t>M1 Finance Pie Assets (Total M1: $85,600 → 7.65% of household)</t>
  </si>
  <si>
    <r>
      <rPr>
        <sz val="12"/>
        <color theme="1"/>
        <rFont val="Aptos"/>
        <family val="2"/>
      </rPr>
      <t xml:space="preserve">VOO: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</si>
  <si>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VEA: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</si>
  <si>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VWO: </t>
    </r>
    <r>
      <rPr>
        <b/>
        <sz val="12"/>
        <color theme="1"/>
        <rFont val="Aptos"/>
        <family val="2"/>
      </rPr>
      <t>$21,400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1.91%</t>
    </r>
  </si>
  <si>
    <r>
      <rPr>
        <sz val="12"/>
        <color theme="1"/>
        <rFont val="Aptos"/>
        <family val="2"/>
      </rPr>
      <t xml:space="preserve">IVOV: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</si>
  <si>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VIOV: </t>
    </r>
    <r>
      <rPr>
        <b/>
        <sz val="12"/>
        <color theme="1"/>
        <rFont val="Aptos"/>
        <family val="2"/>
      </rPr>
      <t>$8,560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0.77%</t>
    </r>
  </si>
  <si>
    <r>
      <rPr>
        <sz val="12"/>
        <color theme="1"/>
        <rFont val="Aptos"/>
        <family val="2"/>
      </rPr>
      <t xml:space="preserve">VNQ: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0.38%</t>
    </r>
  </si>
  <si>
    <t>TSP Assets (Total TSP: $526,714 → 47.09% of household)</t>
  </si>
  <si>
    <r>
      <rPr>
        <sz val="12"/>
        <color theme="1"/>
        <rFont val="Aptos"/>
        <family val="2"/>
      </rPr>
      <t xml:space="preserve">C Fund: </t>
    </r>
    <r>
      <rPr>
        <b/>
        <sz val="12"/>
        <color theme="1"/>
        <rFont val="Aptos"/>
        <family val="2"/>
      </rPr>
      <t>$263,357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23.55%</t>
    </r>
  </si>
  <si>
    <r>
      <rPr>
        <sz val="12"/>
        <color theme="1"/>
        <rFont val="Aptos"/>
        <family val="2"/>
      </rPr>
      <t xml:space="preserve">S Fund: </t>
    </r>
    <r>
      <rPr>
        <b/>
        <sz val="12"/>
        <color theme="1"/>
        <rFont val="Aptos"/>
        <family val="2"/>
      </rPr>
      <t>$105,343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9.42%</t>
    </r>
  </si>
  <si>
    <r>
      <rPr>
        <sz val="12"/>
        <color theme="1"/>
        <rFont val="Aptos"/>
        <family val="2"/>
      </rPr>
      <t xml:space="preserve">I Fund: </t>
    </r>
    <r>
      <rPr>
        <b/>
        <sz val="12"/>
        <color theme="1"/>
        <rFont val="Aptos"/>
        <family val="2"/>
      </rPr>
      <t>$158,014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14.13%</t>
    </r>
  </si>
  <si>
    <t>Cleveland Clinic 403(b) Assets (Total 403(b): $489,602 → 43.77% of household)</t>
  </si>
  <si>
    <r>
      <rPr>
        <sz val="12"/>
        <color theme="1"/>
        <rFont val="Aptos"/>
        <family val="2"/>
      </rPr>
      <t xml:space="preserve">VIIIX: </t>
    </r>
    <r>
      <rPr>
        <b/>
        <sz val="12"/>
        <color theme="1"/>
        <rFont val="Aptos"/>
        <family val="2"/>
      </rPr>
      <t>$244,801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21.89%</t>
    </r>
  </si>
  <si>
    <r>
      <rPr>
        <sz val="12"/>
        <color theme="1"/>
        <rFont val="Aptos"/>
        <family val="2"/>
      </rPr>
      <t xml:space="preserve">VEMPX: </t>
    </r>
    <r>
      <rPr>
        <b/>
        <sz val="12"/>
        <color theme="1"/>
        <rFont val="Aptos"/>
        <family val="2"/>
      </rPr>
      <t>$97,920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8.75%</t>
    </r>
  </si>
  <si>
    <r>
      <rPr>
        <sz val="12"/>
        <color theme="1"/>
        <rFont val="Aptos"/>
        <family val="2"/>
      </rPr>
      <t xml:space="preserve">VTPSX: </t>
    </r>
    <r>
      <rPr>
        <b/>
        <sz val="12"/>
        <color theme="1"/>
        <rFont val="Aptos"/>
        <family val="2"/>
      </rPr>
      <t>$146,881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13.13%</t>
    </r>
  </si>
  <si>
    <t>Summary by Major Category</t>
  </si>
  <si>
    <r>
      <rPr>
        <b/>
        <sz val="12"/>
        <color theme="1"/>
        <rFont val="Aptos"/>
        <family val="2"/>
      </rPr>
      <t>U.S. Large-Cap Equities</t>
    </r>
    <r>
      <rPr>
        <sz val="12"/>
        <color theme="1"/>
        <rFont val="Aptos"/>
        <family val="2"/>
      </rPr>
      <t xml:space="preserve"> (VOO + VIIIX + C Fund): </t>
    </r>
    <r>
      <rPr>
        <b/>
        <sz val="12"/>
        <color theme="1"/>
        <rFont val="Aptos"/>
        <family val="2"/>
      </rPr>
      <t>~$529,558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~47.3%</t>
    </r>
  </si>
  <si>
    <r>
      <rPr>
        <b/>
        <sz val="12"/>
        <color theme="1"/>
        <rFont val="Aptos"/>
        <family val="2"/>
      </rPr>
      <t>U.S. Small/Mid-Cap Equities</t>
    </r>
    <r>
      <rPr>
        <sz val="12"/>
        <color theme="1"/>
        <rFont val="Aptos"/>
        <family val="2"/>
      </rPr>
      <t xml:space="preserve"> (VEMPX + S Fund + IVOV + VIOV): </t>
    </r>
    <r>
      <rPr>
        <b/>
        <sz val="12"/>
        <color theme="1"/>
        <rFont val="Aptos"/>
        <family val="2"/>
      </rPr>
      <t>~$220,383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~19.7%</t>
    </r>
  </si>
  <si>
    <r>
      <rPr>
        <b/>
        <sz val="12"/>
        <color theme="1"/>
        <rFont val="Aptos"/>
        <family val="2"/>
      </rPr>
      <t>International Equities</t>
    </r>
    <r>
      <rPr>
        <sz val="12"/>
        <color theme="1"/>
        <rFont val="Aptos"/>
        <family val="2"/>
      </rPr>
      <t xml:space="preserve"> (VTPSX + I Fund + VEA + VWO): </t>
    </r>
    <r>
      <rPr>
        <b/>
        <sz val="12"/>
        <color theme="1"/>
        <rFont val="Aptos"/>
        <family val="2"/>
      </rPr>
      <t>~$347,695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~31.1%</t>
    </r>
  </si>
  <si>
    <r>
      <rPr>
        <b/>
        <sz val="12"/>
        <color theme="1"/>
        <rFont val="Aptos"/>
        <family val="2"/>
      </rPr>
      <t>U.S. REITs</t>
    </r>
    <r>
      <rPr>
        <sz val="12"/>
        <color theme="1"/>
        <rFont val="Aptos"/>
        <family val="2"/>
      </rPr>
      <t xml:space="preserve"> (VNQ): </t>
    </r>
    <r>
      <rPr>
        <b/>
        <sz val="12"/>
        <color theme="1"/>
        <rFont val="Aptos"/>
        <family val="2"/>
      </rPr>
      <t>$4,280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~0.4%</t>
    </r>
  </si>
  <si>
    <r>
      <rPr>
        <b/>
        <sz val="12"/>
        <color theme="1"/>
        <rFont val="Aptos"/>
        <family val="2"/>
      </rPr>
      <t>Crypto</t>
    </r>
    <r>
      <rPr>
        <sz val="12"/>
        <color theme="1"/>
        <rFont val="Aptos"/>
        <family val="2"/>
      </rPr>
      <t xml:space="preserve"> (all 10 assets combined): </t>
    </r>
    <r>
      <rPr>
        <b/>
        <sz val="12"/>
        <color theme="1"/>
        <rFont val="Aptos"/>
        <family val="2"/>
      </rPr>
      <t>$16,700</t>
    </r>
    <r>
      <rPr>
        <sz val="12"/>
        <color theme="1"/>
        <rFont val="Aptos"/>
        <family val="2"/>
      </rPr>
      <t xml:space="preserve"> → </t>
    </r>
    <r>
      <rPr>
        <b/>
        <sz val="12"/>
        <color theme="1"/>
        <rFont val="Aptos"/>
        <family val="2"/>
      </rPr>
      <t>~1.5%</t>
    </r>
  </si>
  <si>
    <t>Liquid Cash</t>
  </si>
  <si>
    <t>Total Assets</t>
  </si>
  <si>
    <t>Proposed</t>
  </si>
  <si>
    <t>Current</t>
  </si>
  <si>
    <t>Crypto Deposit</t>
  </si>
  <si>
    <t>Cash On Hand</t>
  </si>
  <si>
    <t>Total Liabilities</t>
  </si>
  <si>
    <t>Stocks</t>
  </si>
  <si>
    <t>Crypto Profit</t>
  </si>
  <si>
    <t>1 yr</t>
  </si>
  <si>
    <t>PayPal</t>
  </si>
  <si>
    <t>Net Worth</t>
  </si>
  <si>
    <t>Crypto</t>
  </si>
  <si>
    <t>M1 Deposit</t>
  </si>
  <si>
    <t>2 yr</t>
  </si>
  <si>
    <t>Huntington Checking</t>
  </si>
  <si>
    <t>M1 Profit</t>
  </si>
  <si>
    <t>3 yr</t>
  </si>
  <si>
    <t>PNC Checking</t>
  </si>
  <si>
    <t>Liabilities</t>
  </si>
  <si>
    <t>M1 Finance</t>
  </si>
  <si>
    <t>DFS Deposit</t>
  </si>
  <si>
    <t>4 yr</t>
  </si>
  <si>
    <t>PNC Savings</t>
  </si>
  <si>
    <t>Rocket Mortgage</t>
  </si>
  <si>
    <t>Kraken</t>
  </si>
  <si>
    <t>DFS Profit</t>
  </si>
  <si>
    <t>5 yr</t>
  </si>
  <si>
    <t>Total Liquid Cash</t>
  </si>
  <si>
    <t>Lormet</t>
  </si>
  <si>
    <t>New Deposit</t>
  </si>
  <si>
    <t>Total Deposit</t>
  </si>
  <si>
    <t>6 yr</t>
  </si>
  <si>
    <t>GM Financial</t>
  </si>
  <si>
    <t>Total</t>
  </si>
  <si>
    <t>Total Profit</t>
  </si>
  <si>
    <t>7 yr</t>
  </si>
  <si>
    <t>Savings Investments</t>
  </si>
  <si>
    <t>Deposit</t>
  </si>
  <si>
    <t>8 yr</t>
  </si>
  <si>
    <t>Isaac - M1</t>
  </si>
  <si>
    <t>9 yr</t>
  </si>
  <si>
    <t>Regan-M1</t>
  </si>
  <si>
    <t>Available Cash</t>
  </si>
  <si>
    <t>BinanceUS</t>
  </si>
  <si>
    <t>12/31 Crypto Bal</t>
  </si>
  <si>
    <t>10 yr</t>
  </si>
  <si>
    <t>Crypto - Kraken</t>
  </si>
  <si>
    <t>2023 Crypto Deposit</t>
  </si>
  <si>
    <t>2023 Crypto Withdraw</t>
  </si>
  <si>
    <t>Current Net Worth</t>
  </si>
  <si>
    <t>2026 Current Gain</t>
  </si>
  <si>
    <t>Current Crypto Bal</t>
  </si>
  <si>
    <t>2023 Crypto Return</t>
  </si>
  <si>
    <t>2026 Projected</t>
  </si>
  <si>
    <t>2026 Projected Gain</t>
  </si>
  <si>
    <t>DFS</t>
  </si>
  <si>
    <t>Total Invested</t>
  </si>
  <si>
    <t>Total Savings Investments</t>
  </si>
  <si>
    <t>Asset Type</t>
  </si>
  <si>
    <t>Net Worth Balance</t>
  </si>
  <si>
    <t>Net Worth Pct</t>
  </si>
  <si>
    <t>C Fund - US Large Cap</t>
  </si>
  <si>
    <t>TSP</t>
  </si>
  <si>
    <t>Goal</t>
  </si>
  <si>
    <t>Distance</t>
  </si>
  <si>
    <t>VIIIX - US Large Cap</t>
  </si>
  <si>
    <t>Clinic</t>
  </si>
  <si>
    <t>Retirement Investments</t>
  </si>
  <si>
    <t>Kids Savings</t>
  </si>
  <si>
    <t>VOO - US Large Cap</t>
  </si>
  <si>
    <t>M1</t>
  </si>
  <si>
    <t>TSP Civilian</t>
  </si>
  <si>
    <t>Stock Investments</t>
  </si>
  <si>
    <t>I Fund - International</t>
  </si>
  <si>
    <t>TSP Uniformed Service</t>
  </si>
  <si>
    <t>Crypto Investments</t>
  </si>
  <si>
    <t>VTPSX - International</t>
  </si>
  <si>
    <t>Cleveland Clinic 403b</t>
  </si>
  <si>
    <t>VEA - International</t>
  </si>
  <si>
    <t>Cleveland Clinic 401a</t>
  </si>
  <si>
    <t>Real Estate</t>
  </si>
  <si>
    <t>VWO - International</t>
  </si>
  <si>
    <t>Total Retirement Investments</t>
  </si>
  <si>
    <t>Vehicles</t>
  </si>
  <si>
    <t>S Fund - US Small/Mid Cap</t>
  </si>
  <si>
    <t>VEMPX - US Small/Mid Cap</t>
  </si>
  <si>
    <t>IVOV - US Small/Mid Cap</t>
  </si>
  <si>
    <t>Main Home - Redfin</t>
  </si>
  <si>
    <t>VIOV - US Small/Mid Cap</t>
  </si>
  <si>
    <t>Rental Property - Redfin</t>
  </si>
  <si>
    <t>Real</t>
  </si>
  <si>
    <t>Total Property Values</t>
  </si>
  <si>
    <t>VNQ - US REIT</t>
  </si>
  <si>
    <t>2019 Chevy Silverado (JAF3923)</t>
  </si>
  <si>
    <t>2019 Toyota Rav 4 (JZJ5569)</t>
  </si>
  <si>
    <t>US Large Cap</t>
  </si>
  <si>
    <t>2013 Toyota Corolla (KLM2660)</t>
  </si>
  <si>
    <t>International</t>
  </si>
  <si>
    <t>2005 Gulf Stream Sun Voyager (HEH3760)</t>
  </si>
  <si>
    <t>US Small/Mid Cap</t>
  </si>
  <si>
    <t>Total Vehicle Values</t>
  </si>
  <si>
    <t>2003 Toyota Corolla (KFB5773)</t>
  </si>
  <si>
    <t>Totals</t>
  </si>
  <si>
    <t>2008 Honda Fit (EJV3194)</t>
  </si>
  <si>
    <t>2001 EZGO (KKB6096)</t>
  </si>
  <si>
    <t>Actual</t>
  </si>
  <si>
    <t>Income</t>
  </si>
  <si>
    <t>Needs</t>
  </si>
  <si>
    <t>Wants</t>
  </si>
  <si>
    <t>Savings</t>
  </si>
  <si>
    <t>Lorri Pay</t>
  </si>
  <si>
    <t>Isaac Pay</t>
  </si>
  <si>
    <t>Isaac Guard</t>
  </si>
  <si>
    <t>Monthly Difference</t>
  </si>
  <si>
    <t>Rental</t>
  </si>
  <si>
    <t>Variable Savings</t>
  </si>
  <si>
    <t>2026 PROPOSED BUDGET</t>
  </si>
  <si>
    <t>MONTHLY</t>
  </si>
  <si>
    <t>%</t>
  </si>
  <si>
    <t>ANNUAL</t>
  </si>
  <si>
    <t>WEEKLY</t>
  </si>
  <si>
    <t>TOTALS</t>
  </si>
  <si>
    <t>Gross Pay</t>
  </si>
  <si>
    <t>D</t>
  </si>
  <si>
    <t>Groceries/Household</t>
  </si>
  <si>
    <t>Health/Life Insurance</t>
  </si>
  <si>
    <t>Dining Out</t>
  </si>
  <si>
    <t>Retirement</t>
  </si>
  <si>
    <t>Misc Food</t>
  </si>
  <si>
    <t>Pre-Tax Deductions</t>
  </si>
  <si>
    <t>Gasoline</t>
  </si>
  <si>
    <t>Family Entertainment</t>
  </si>
  <si>
    <t>Taxable Pay</t>
  </si>
  <si>
    <t>Miscellaneous Spending</t>
  </si>
  <si>
    <t>Department Stores/Clothes</t>
  </si>
  <si>
    <t>Federal Tax</t>
  </si>
  <si>
    <t>Alcohol/Bars</t>
  </si>
  <si>
    <t>Ohio Tax</t>
  </si>
  <si>
    <t>Medicare</t>
  </si>
  <si>
    <t>F</t>
  </si>
  <si>
    <t>Social Security</t>
  </si>
  <si>
    <t>EH Roberts</t>
  </si>
  <si>
    <t>FERS Retirement</t>
  </si>
  <si>
    <t>Verizon Wireless</t>
  </si>
  <si>
    <t>Cleveland Tax</t>
  </si>
  <si>
    <t>Spectrum TV/Internet</t>
  </si>
  <si>
    <t>Employee Taxes</t>
  </si>
  <si>
    <t>First Energy</t>
  </si>
  <si>
    <t>Vivint Home Security</t>
  </si>
  <si>
    <t>Combined Take Home</t>
  </si>
  <si>
    <t>Columbia Gas</t>
  </si>
  <si>
    <t>Medical Bills</t>
  </si>
  <si>
    <t>Guard Take Home</t>
  </si>
  <si>
    <t>Planet Fitness</t>
  </si>
  <si>
    <t>Rental Income</t>
  </si>
  <si>
    <t>Lowes Rewards</t>
  </si>
  <si>
    <t>Wells Fargo - Pool</t>
  </si>
  <si>
    <t>Total Take Home</t>
  </si>
  <si>
    <t>Wells Fargo - Deck</t>
  </si>
  <si>
    <t>Massage Envy</t>
  </si>
  <si>
    <t>Streaming/Music</t>
  </si>
  <si>
    <t>ISAAC</t>
  </si>
  <si>
    <t>GM Financial/Toyota</t>
  </si>
  <si>
    <t>PAY PERIOD</t>
  </si>
  <si>
    <t>Ohio Turnpike</t>
  </si>
  <si>
    <t>Water Bill - Main</t>
  </si>
  <si>
    <t>Water Bill - Rental</t>
  </si>
  <si>
    <t>Health Ins</t>
  </si>
  <si>
    <t>R</t>
  </si>
  <si>
    <t>Vehicle Maintenance</t>
  </si>
  <si>
    <t>Car Insurance</t>
  </si>
  <si>
    <t>Rental Garbage</t>
  </si>
  <si>
    <t>Garbage</t>
  </si>
  <si>
    <t>Sanitation - Main</t>
  </si>
  <si>
    <t>Camping/Vacation</t>
  </si>
  <si>
    <t>Home Maintenance</t>
  </si>
  <si>
    <t>Rental Repairs</t>
  </si>
  <si>
    <t>Rental Insurance</t>
  </si>
  <si>
    <t>Rental Property Taxes</t>
  </si>
  <si>
    <t>Rental Sanitation</t>
  </si>
  <si>
    <t>Take Home</t>
  </si>
  <si>
    <t>S</t>
  </si>
  <si>
    <t>Our Savings</t>
  </si>
  <si>
    <t>LORRI</t>
  </si>
  <si>
    <t>GTL</t>
  </si>
  <si>
    <t>Gross Earnings</t>
  </si>
  <si>
    <t>Life Insurance</t>
  </si>
  <si>
    <t>Dental</t>
  </si>
  <si>
    <t>PTOTRDN</t>
  </si>
  <si>
    <t>Month</t>
  </si>
  <si>
    <t>L</t>
  </si>
  <si>
    <t>I</t>
  </si>
  <si>
    <t>P Income</t>
  </si>
  <si>
    <t>A Income</t>
  </si>
  <si>
    <t>Diff</t>
  </si>
  <si>
    <t>% Over</t>
  </si>
  <si>
    <t>P Spending</t>
  </si>
  <si>
    <t>A Spending</t>
  </si>
  <si>
    <t>% Under</t>
  </si>
  <si>
    <t>P Savings</t>
  </si>
  <si>
    <t>A Savings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</si>
  <si>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</si>
  <si>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</si>
  <si>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</si>
  <si>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</si>
  <si>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</si>
  <si>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</si>
  <si>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</si>
  <si>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</si>
  <si>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</si>
  <si>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</si>
  <si>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</si>
  <si>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</si>
  <si>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P Fixed</t>
  </si>
  <si>
    <t>A Fixed</t>
  </si>
  <si>
    <t>P Non-Fixed</t>
  </si>
  <si>
    <t>A Non-Fixed</t>
  </si>
  <si>
    <t>P NMB</t>
  </si>
  <si>
    <t>A NMB</t>
  </si>
  <si>
    <t>Monthly</t>
  </si>
  <si>
    <t xml:space="preserve">% </t>
  </si>
  <si>
    <t>Average</t>
  </si>
  <si>
    <t>Spent</t>
  </si>
  <si>
    <t>Difference</t>
  </si>
  <si>
    <t>Under</t>
  </si>
  <si>
    <t>Budget</t>
  </si>
  <si>
    <t>ID</t>
  </si>
  <si>
    <t>SPEND ACCOUNT</t>
  </si>
  <si>
    <t>Made</t>
  </si>
  <si>
    <t>More</t>
  </si>
  <si>
    <t>Lorri Income</t>
  </si>
  <si>
    <t>Isaac Income</t>
  </si>
  <si>
    <t>Isaac Guard Income</t>
  </si>
  <si>
    <t>Date</t>
  </si>
  <si>
    <t>Description</t>
  </si>
  <si>
    <t>Checking Account Balance</t>
  </si>
  <si>
    <t>PNC (I)</t>
  </si>
  <si>
    <t>PNC (L)</t>
  </si>
  <si>
    <t>Chase (I)</t>
  </si>
  <si>
    <t>Chase (L)</t>
  </si>
  <si>
    <t>#1 (8539)</t>
  </si>
  <si>
    <t>#2 (4990)</t>
  </si>
  <si>
    <t>#3 (5153)</t>
  </si>
  <si>
    <t>#4 (2711)</t>
  </si>
  <si>
    <t>#6 (5411)</t>
  </si>
  <si>
    <t>Available Credit</t>
  </si>
  <si>
    <t>DEBIT</t>
  </si>
  <si>
    <t>CREDIT</t>
  </si>
  <si>
    <t>BALANCE</t>
  </si>
  <si>
    <t>s</t>
  </si>
  <si>
    <t>April Savings</t>
  </si>
  <si>
    <t>r</t>
  </si>
  <si>
    <t>x</t>
  </si>
  <si>
    <t>Sanitation Bill</t>
  </si>
  <si>
    <t>d</t>
  </si>
  <si>
    <t>Transfer to Venmo - Nurses Week Breakfast</t>
  </si>
  <si>
    <t>i</t>
  </si>
  <si>
    <t>Isaac Pay Check</t>
  </si>
  <si>
    <t>Lorri Pay Check</t>
  </si>
  <si>
    <t>f</t>
  </si>
  <si>
    <t>BP Global</t>
  </si>
  <si>
    <t>Friendship</t>
  </si>
  <si>
    <t>Puerto Rico - Cash</t>
  </si>
  <si>
    <t>cash</t>
  </si>
  <si>
    <t>April Rent</t>
  </si>
  <si>
    <t>Amazon Marketplace</t>
  </si>
  <si>
    <t>Chipotle</t>
  </si>
  <si>
    <t>Transfer to Regan</t>
  </si>
  <si>
    <t>Transfer to Julie</t>
  </si>
  <si>
    <t>Heinens Grocery Store</t>
  </si>
  <si>
    <t>Julie State Tax Return</t>
  </si>
  <si>
    <t>Amazon</t>
  </si>
  <si>
    <t>Walmart</t>
  </si>
  <si>
    <t>Lorri Golf Outing</t>
  </si>
  <si>
    <t>Coopershawk</t>
  </si>
  <si>
    <t>Biggby Coffee</t>
  </si>
  <si>
    <t>Speedway</t>
  </si>
  <si>
    <t>ALDI</t>
  </si>
  <si>
    <t>Uber</t>
  </si>
  <si>
    <t>MCO LGC</t>
  </si>
  <si>
    <t>Spectrum</t>
  </si>
  <si>
    <t>Rumpke Waste</t>
  </si>
  <si>
    <t>CashApp - Yasmary</t>
  </si>
  <si>
    <t>Isaac Guard Check</t>
  </si>
  <si>
    <t>Orlando Market</t>
  </si>
  <si>
    <t>Paninis</t>
  </si>
  <si>
    <t>Lorain Smokes and Beverage</t>
  </si>
  <si>
    <t>Target</t>
  </si>
  <si>
    <t>Transfer to Venmo - Raffle Tickets</t>
  </si>
  <si>
    <t>MyClevelandClinic Org</t>
  </si>
  <si>
    <t>Spotify</t>
  </si>
  <si>
    <t>Regan Cash</t>
  </si>
  <si>
    <t>Aramark Cleveland</t>
  </si>
  <si>
    <t>Barrio</t>
  </si>
  <si>
    <t>Mr. Hero</t>
  </si>
  <si>
    <t>ARCO</t>
  </si>
  <si>
    <t>Disney+</t>
  </si>
  <si>
    <t>Sams Club</t>
  </si>
  <si>
    <t>Crepes in the City</t>
  </si>
  <si>
    <t>AppleTV</t>
  </si>
  <si>
    <t>84 Lumber</t>
  </si>
  <si>
    <t>Olive Garden</t>
  </si>
  <si>
    <t>City of Lorain</t>
  </si>
  <si>
    <t>Sheetz</t>
  </si>
  <si>
    <t>xx</t>
  </si>
  <si>
    <t>Columbia Gas - Rental</t>
  </si>
  <si>
    <t>Lorri - Hair</t>
  </si>
  <si>
    <t>Shein</t>
  </si>
  <si>
    <t>Vecchio - Lorri Dentist</t>
  </si>
  <si>
    <t>Claude</t>
  </si>
  <si>
    <t>Harbor Freight</t>
  </si>
  <si>
    <t>Julie Tax Filing</t>
  </si>
  <si>
    <t>Toyota Starter</t>
  </si>
  <si>
    <t>Shop Funds</t>
  </si>
  <si>
    <t>Uber Eats</t>
  </si>
  <si>
    <t>Raising Canes</t>
  </si>
  <si>
    <t>Circle K</t>
  </si>
  <si>
    <t>Dunkin Donuts</t>
  </si>
  <si>
    <t>Laporte Inn</t>
  </si>
  <si>
    <t>Booking.com</t>
  </si>
  <si>
    <t>Pulp</t>
  </si>
  <si>
    <t>Netflix</t>
  </si>
  <si>
    <t>Marcos Pizza</t>
  </si>
  <si>
    <t>Bowling Fees</t>
  </si>
  <si>
    <t>Gulf Oil</t>
  </si>
  <si>
    <t>Mahd House</t>
  </si>
  <si>
    <t>Hotshots Bar &amp; Grill</t>
  </si>
  <si>
    <t>McDonalds</t>
  </si>
  <si>
    <t>SP Med Threads</t>
  </si>
  <si>
    <t>Community West Foundation</t>
  </si>
  <si>
    <t>Lowes Rewards - Kitchen</t>
  </si>
  <si>
    <t>Fairview Convienient</t>
  </si>
  <si>
    <t>Sunoco</t>
  </si>
  <si>
    <t>Bob Evans</t>
  </si>
  <si>
    <t>Golf Outing</t>
  </si>
  <si>
    <t>LOC Citizens</t>
  </si>
  <si>
    <t>Vivint</t>
  </si>
  <si>
    <t>Apples</t>
  </si>
  <si>
    <t>Home Depot</t>
  </si>
  <si>
    <t>Orange Theory</t>
  </si>
  <si>
    <t>Taco Bell</t>
  </si>
  <si>
    <t>Regan Clothes</t>
  </si>
  <si>
    <t>My Corner Bar</t>
  </si>
  <si>
    <t>Transfer to Kids Savings</t>
  </si>
  <si>
    <t>Pandora</t>
  </si>
  <si>
    <t>Hunan King</t>
  </si>
  <si>
    <t>Transfer to Savings</t>
  </si>
  <si>
    <t>Transfer to Venmo - Kim Conners; ParTee Golf</t>
  </si>
  <si>
    <t>Crumbl</t>
  </si>
  <si>
    <t>Dicks Sporting Goods</t>
  </si>
  <si>
    <t>Sweeties Candy</t>
  </si>
  <si>
    <t>Sweeties Soda Shoppe</t>
  </si>
  <si>
    <t>March Rent</t>
  </si>
  <si>
    <t>Wingstop</t>
  </si>
  <si>
    <t>McJames Sports Pub</t>
  </si>
  <si>
    <t>Burger King</t>
  </si>
  <si>
    <t>West Park</t>
  </si>
  <si>
    <t>CCF Parking Services</t>
  </si>
  <si>
    <t>Transfer to Venmo</t>
  </si>
  <si>
    <t>Arbys</t>
  </si>
  <si>
    <t>Cash App - Joe Spencer</t>
  </si>
  <si>
    <t>First Watch</t>
  </si>
  <si>
    <t>Trader Joes</t>
  </si>
  <si>
    <t>Mochinut</t>
  </si>
  <si>
    <t>Night at Races</t>
  </si>
  <si>
    <t>Pull Tabs</t>
  </si>
  <si>
    <t>Julie - Can Insruance</t>
  </si>
  <si>
    <t>Lowes</t>
  </si>
  <si>
    <t>Action Network</t>
  </si>
  <si>
    <t>Northfield Park</t>
  </si>
  <si>
    <t>Amazon Digital Services</t>
  </si>
  <si>
    <t>Disney Plus</t>
  </si>
  <si>
    <t>Don Tequila</t>
  </si>
  <si>
    <t>Apple TV</t>
  </si>
  <si>
    <t xml:space="preserve">Lormet </t>
  </si>
  <si>
    <t>Regan - Cash</t>
  </si>
  <si>
    <t>Applebees</t>
  </si>
  <si>
    <t>Cleveland Clinic - Family Medical</t>
  </si>
  <si>
    <t>Dart Connect</t>
  </si>
  <si>
    <t>February Rent</t>
  </si>
  <si>
    <t>Chick-fil-A</t>
  </si>
  <si>
    <t>Cleveland Maennerchor</t>
  </si>
  <si>
    <t>Kintaro</t>
  </si>
  <si>
    <t>Table Capture</t>
  </si>
  <si>
    <t>ATM Fee Reimbursement</t>
  </si>
  <si>
    <t>Transfer to Venmo - Patti Akins; Retirement Gift</t>
  </si>
  <si>
    <t>Five Guys</t>
  </si>
  <si>
    <t>Cleveland Clinic - Lorri Labs</t>
  </si>
  <si>
    <t>Payment to Chase</t>
  </si>
  <si>
    <t>Cash App - Yasmary; Vacation</t>
  </si>
  <si>
    <t>Wendys</t>
  </si>
  <si>
    <t>G&amp;J Pepsi</t>
  </si>
  <si>
    <t>7-Eleven</t>
  </si>
  <si>
    <t>Cash App - Gabbi</t>
  </si>
  <si>
    <t>Tom - Plate Registration</t>
  </si>
  <si>
    <t>Sanitation</t>
  </si>
  <si>
    <t>DoorDash</t>
  </si>
  <si>
    <t>February Savings</t>
  </si>
  <si>
    <t>Transfer to Venmo - Sarah Ridenour; Dinner</t>
  </si>
  <si>
    <t>Transfer from Venmo</t>
  </si>
  <si>
    <t>Discount Drug Mart</t>
  </si>
  <si>
    <t>ATM Withdrawal</t>
  </si>
  <si>
    <t>EZ Pass</t>
  </si>
  <si>
    <t>X-Golf</t>
  </si>
  <si>
    <t>GetGo</t>
  </si>
  <si>
    <t>Luckys Bar and Grill</t>
  </si>
  <si>
    <t>Julie - Car Insurance</t>
  </si>
  <si>
    <t>Austin Food</t>
  </si>
  <si>
    <t>Transfer from Cash App</t>
  </si>
  <si>
    <t>Red Lantern</t>
  </si>
  <si>
    <t>Transfer to Venmo - Julie</t>
  </si>
  <si>
    <t>Hotel Cleveland</t>
  </si>
  <si>
    <t>Food Court</t>
  </si>
  <si>
    <t>Cash App - Julie</t>
  </si>
  <si>
    <t>Casino/SFTH Drinks</t>
  </si>
  <si>
    <t>Community West Foundation - Raffle Tickets</t>
  </si>
  <si>
    <t>North Ridge Laser Wash</t>
  </si>
  <si>
    <t>Mens Wearhouse</t>
  </si>
  <si>
    <t>Kohls</t>
  </si>
  <si>
    <t>Marcs</t>
  </si>
  <si>
    <t>Checking Interest</t>
  </si>
  <si>
    <t>First Energy - Rental</t>
  </si>
  <si>
    <t>First Energy - Main</t>
  </si>
  <si>
    <t>Smoothie King</t>
  </si>
  <si>
    <t>Venmo - Football Squares</t>
  </si>
  <si>
    <t>Qdoba</t>
  </si>
  <si>
    <t>Vending Machine</t>
  </si>
  <si>
    <t>Lowes - Kitchen Remodel</t>
  </si>
  <si>
    <t>Drug Mart</t>
  </si>
  <si>
    <t>Menards - Kitchen Remodel</t>
  </si>
  <si>
    <t>Shell</t>
  </si>
  <si>
    <t>Venmo - Work Party</t>
  </si>
  <si>
    <t>Meijer</t>
  </si>
  <si>
    <t>Longhorn Steakhouse</t>
  </si>
  <si>
    <t>January Savings</t>
  </si>
  <si>
    <t>Rental Utilities</t>
  </si>
  <si>
    <t>CashApp - Superbowl Squares</t>
  </si>
  <si>
    <t>Frontier Airlines</t>
  </si>
  <si>
    <t>Home Depot - Kitchen Remodel</t>
  </si>
  <si>
    <t>Shotz Bar</t>
  </si>
  <si>
    <t>Transfer to Venmo - Kathleen Chambers;Challenge</t>
  </si>
  <si>
    <t>CashApp - Starbucks</t>
  </si>
  <si>
    <t>CashApp - McDonalds</t>
  </si>
  <si>
    <t>Sorrento</t>
  </si>
  <si>
    <t>Cash from Casino</t>
  </si>
  <si>
    <t>Garretts Mill Diner</t>
  </si>
  <si>
    <t>Accelerated Fitness</t>
  </si>
  <si>
    <t>Guard Hotel</t>
  </si>
  <si>
    <t>Prime Video</t>
  </si>
  <si>
    <t>Fairview Tavern</t>
  </si>
  <si>
    <t>PJ McIntyres</t>
  </si>
  <si>
    <t>Zack Drzik - Oil Change</t>
  </si>
  <si>
    <t>Winking Lizard</t>
  </si>
  <si>
    <t>January Rent</t>
  </si>
  <si>
    <t>Heinens</t>
  </si>
  <si>
    <t>Ohio Lottery</t>
  </si>
  <si>
    <t>Maple Grove</t>
  </si>
  <si>
    <t>Amazon Prime Membership</t>
  </si>
  <si>
    <t>Buffalo Wild Wings</t>
  </si>
  <si>
    <t>Regan Grades</t>
  </si>
  <si>
    <t>AMF Bowling</t>
  </si>
  <si>
    <t>Fat Heads Brewery</t>
  </si>
  <si>
    <t>Dillards</t>
  </si>
  <si>
    <t>Movie Tickets</t>
  </si>
  <si>
    <t>Regal Cinemas</t>
  </si>
  <si>
    <t>Quick Change</t>
  </si>
  <si>
    <t>Cash to Regan</t>
  </si>
  <si>
    <t>Comfort Inn</t>
  </si>
  <si>
    <t>z</t>
  </si>
  <si>
    <t>Starting Checking Balance</t>
  </si>
  <si>
    <t>TOTAL BALANCE</t>
  </si>
  <si>
    <t>SAVINGS</t>
  </si>
  <si>
    <t>CC REWARDS - XMAS</t>
  </si>
  <si>
    <t>DIFF:</t>
  </si>
  <si>
    <t>BAL:</t>
  </si>
  <si>
    <t>SPENT</t>
  </si>
  <si>
    <t>Amount</t>
  </si>
  <si>
    <t>Amount ($25) Per Week</t>
  </si>
  <si>
    <t>Interest ($625)</t>
  </si>
  <si>
    <t>SAVED</t>
  </si>
  <si>
    <t>DATE</t>
  </si>
  <si>
    <t>TOTAL</t>
  </si>
  <si>
    <t>DESCRIPTION</t>
  </si>
  <si>
    <t>April Transfer</t>
  </si>
  <si>
    <t>Lorri CC Rewards</t>
  </si>
  <si>
    <t>Interest Payment</t>
  </si>
  <si>
    <t>84 Lumber - Deck</t>
  </si>
  <si>
    <t>Toyota Corolla Starter</t>
  </si>
  <si>
    <t>Lorri - Columbus</t>
  </si>
  <si>
    <t>Isaac CC Rewards</t>
  </si>
  <si>
    <t>March Savings</t>
  </si>
  <si>
    <t>March Transfer</t>
  </si>
  <si>
    <t>Drew Bachtell - Labor</t>
  </si>
  <si>
    <t>Transaction Fee</t>
  </si>
  <si>
    <t>Hardrock</t>
  </si>
  <si>
    <t>Caesars</t>
  </si>
  <si>
    <t>Fanduel</t>
  </si>
  <si>
    <t>Bet365</t>
  </si>
  <si>
    <t>BetMGM</t>
  </si>
  <si>
    <t>Draftkings</t>
  </si>
  <si>
    <t>Nashville - Julie</t>
  </si>
  <si>
    <t>Puerto Rico - Excursion</t>
  </si>
  <si>
    <t>February Transfer</t>
  </si>
  <si>
    <t>Kitchen Remodel</t>
  </si>
  <si>
    <t>Jack Casino</t>
  </si>
  <si>
    <t>Property Taxes</t>
  </si>
  <si>
    <t>Puerto Rico House/Car</t>
  </si>
  <si>
    <t>Puerto Rico Airfare</t>
  </si>
  <si>
    <t>January Transfer</t>
  </si>
  <si>
    <t>Casino</t>
  </si>
  <si>
    <t>Oil Change - 13 Corolla</t>
  </si>
  <si>
    <t>Nashville</t>
  </si>
  <si>
    <t>Cleveland Clinic - Grocery Reimburse</t>
  </si>
  <si>
    <t>Toyota Rav4 Oil Change</t>
  </si>
  <si>
    <t>Starting Balance</t>
  </si>
  <si>
    <t>Per Month</t>
  </si>
  <si>
    <t>Per Yr</t>
  </si>
  <si>
    <t>per yr</t>
  </si>
  <si>
    <t>Insurance</t>
  </si>
  <si>
    <t>3 mos</t>
  </si>
  <si>
    <t>2 mos</t>
  </si>
  <si>
    <t>Water</t>
  </si>
  <si>
    <t>1 mo</t>
  </si>
  <si>
    <t>Repair Budget</t>
  </si>
  <si>
    <t>Total Cost</t>
  </si>
  <si>
    <t>Monthly Rent</t>
  </si>
  <si>
    <t>Profit</t>
  </si>
  <si>
    <t>ROI</t>
  </si>
  <si>
    <t>Current Salary:</t>
  </si>
  <si>
    <t>Lorri Salary</t>
  </si>
  <si>
    <t>SS Benefits</t>
  </si>
  <si>
    <t>Age 62</t>
  </si>
  <si>
    <t>Age 67</t>
  </si>
  <si>
    <t>Age 70</t>
  </si>
  <si>
    <t>Disability</t>
  </si>
  <si>
    <t>Pensions</t>
  </si>
  <si>
    <t>Annual</t>
  </si>
  <si>
    <t>Retirement Tax</t>
  </si>
  <si>
    <t>Pct Above in Ret:</t>
  </si>
  <si>
    <t>Isaac Salary</t>
  </si>
  <si>
    <t>Lorri</t>
  </si>
  <si>
    <t>FERS</t>
  </si>
  <si>
    <t>Tax Rate</t>
  </si>
  <si>
    <t>Retirement Salary:</t>
  </si>
  <si>
    <t>Guard Salary</t>
  </si>
  <si>
    <t>Isaac</t>
  </si>
  <si>
    <t>Guard</t>
  </si>
  <si>
    <t>Taxes Due</t>
  </si>
  <si>
    <t>Ret Age</t>
  </si>
  <si>
    <t>Act Age</t>
  </si>
  <si>
    <t>Ret Date</t>
  </si>
  <si>
    <t>Annuity Length</t>
  </si>
  <si>
    <t>Zero Balance</t>
  </si>
  <si>
    <t>Zero Bal Age</t>
  </si>
  <si>
    <t>Ret Income</t>
  </si>
  <si>
    <t>Isaac Retirement Age:</t>
  </si>
  <si>
    <t>Disbursement Percent</t>
  </si>
  <si>
    <t>Ret Tax</t>
  </si>
  <si>
    <t>Lorri Retirement Age:</t>
  </si>
  <si>
    <t>Ret Takehome</t>
  </si>
  <si>
    <t>Isaac Age</t>
  </si>
  <si>
    <t>Lorri Age</t>
  </si>
  <si>
    <t>Isaac SS</t>
  </si>
  <si>
    <t>Lorri SS</t>
  </si>
  <si>
    <t>TSP Retirement</t>
  </si>
  <si>
    <t>Clinic Retirement</t>
  </si>
  <si>
    <t>Monthly Target</t>
  </si>
  <si>
    <t>Fixed Monthly</t>
  </si>
  <si>
    <t>From Retirement</t>
  </si>
  <si>
    <t>Isaac Ret Bal</t>
  </si>
  <si>
    <t>Lorri Ret Bal</t>
  </si>
  <si>
    <t>Total Retirement</t>
  </si>
  <si>
    <t>Start Date</t>
  </si>
  <si>
    <t>End Date</t>
  </si>
  <si>
    <t>Total Cont.</t>
  </si>
  <si>
    <t>Current Amt.</t>
  </si>
  <si>
    <t>Annual Growth</t>
  </si>
  <si>
    <t>Double?</t>
  </si>
  <si>
    <t>Overall Growth</t>
  </si>
  <si>
    <t>Civilian Service</t>
  </si>
  <si>
    <t>Uniform Service</t>
  </si>
  <si>
    <t>CC SIP 403(b) Plan</t>
  </si>
  <si>
    <t>Cleveland Clinic IPP 401(a)</t>
  </si>
  <si>
    <t>Qtr Rank</t>
  </si>
  <si>
    <t>Contribution</t>
  </si>
  <si>
    <t>Change In Value</t>
  </si>
  <si>
    <t>End Balance</t>
  </si>
  <si>
    <t>Qtr Ret</t>
  </si>
  <si>
    <t>Missed Cont</t>
  </si>
  <si>
    <t>Total Contribution</t>
  </si>
  <si>
    <t>Fees/Credits</t>
  </si>
  <si>
    <t>Change in Value</t>
  </si>
  <si>
    <t>Employer Cont.</t>
  </si>
  <si>
    <t>Pos Qtr</t>
  </si>
  <si>
    <t>Pos Avg</t>
  </si>
  <si>
    <t>Neg Qtr</t>
  </si>
  <si>
    <t>Neg Avg</t>
  </si>
  <si>
    <t>Q1 Avg</t>
  </si>
  <si>
    <t>Q2 Avg</t>
  </si>
  <si>
    <t>Q3 Avg</t>
  </si>
  <si>
    <t>Q4 Avg</t>
  </si>
  <si>
    <t>Today's Date:</t>
  </si>
  <si>
    <t>Technician TSP</t>
  </si>
  <si>
    <t>Guard TSP</t>
  </si>
  <si>
    <t>Cleveland Clinic</t>
  </si>
  <si>
    <t>Cleveland Clinic Pension</t>
  </si>
  <si>
    <t>Tax Brackets</t>
  </si>
  <si>
    <t>Isaac Ret Date:</t>
  </si>
  <si>
    <t>Low</t>
  </si>
  <si>
    <t>High</t>
  </si>
  <si>
    <t>Salary</t>
  </si>
  <si>
    <t>Tax</t>
  </si>
  <si>
    <t>Isaac Yrs Till Ret:</t>
  </si>
  <si>
    <t>Growth Rate:</t>
  </si>
  <si>
    <t>Lorri Ret Date:</t>
  </si>
  <si>
    <t>Lorri Yrs Till Ret:</t>
  </si>
  <si>
    <t>Total Present Value:</t>
  </si>
  <si>
    <t>Present Value:</t>
  </si>
  <si>
    <t>Total Future Value:</t>
  </si>
  <si>
    <t>Future Value:</t>
  </si>
  <si>
    <t>Tech Salary</t>
  </si>
  <si>
    <t>Clinic Salary</t>
  </si>
  <si>
    <t>Total Salary</t>
  </si>
  <si>
    <t>Lorri Social Security</t>
  </si>
  <si>
    <t>Isaac Social Security</t>
  </si>
  <si>
    <t>Yrs of Service</t>
  </si>
  <si>
    <t>Retirement Goal</t>
  </si>
  <si>
    <t>Age</t>
  </si>
  <si>
    <t>FERS Annual</t>
  </si>
  <si>
    <t>Guard Annual</t>
  </si>
  <si>
    <t>Pension Annual</t>
  </si>
  <si>
    <t>Pct of Takehome</t>
  </si>
  <si>
    <t>FERS Monthly</t>
  </si>
  <si>
    <t>Guard Monthly</t>
  </si>
  <si>
    <t>Pension Monthly</t>
  </si>
  <si>
    <t>Annuity</t>
  </si>
  <si>
    <t>Supplement</t>
  </si>
  <si>
    <t>Starting Principle</t>
  </si>
  <si>
    <t>Annual Growth Rate</t>
  </si>
  <si>
    <t>L Income Rate</t>
  </si>
  <si>
    <t>Annuity Length (Yrs)</t>
  </si>
  <si>
    <t>Year</t>
  </si>
  <si>
    <t>Opening Balance</t>
  </si>
  <si>
    <t>Payments</t>
  </si>
  <si>
    <t>Interest</t>
  </si>
  <si>
    <t>Closing Balance</t>
  </si>
  <si>
    <t>Yr</t>
  </si>
  <si>
    <t>LIRKX</t>
  </si>
  <si>
    <t>Total Pts:</t>
  </si>
  <si>
    <t>Updated on</t>
  </si>
  <si>
    <t>Yrs Serv:</t>
  </si>
  <si>
    <t>Avg Pts</t>
  </si>
  <si>
    <t>Yrs Serv</t>
  </si>
  <si>
    <t>W-2</t>
  </si>
  <si>
    <t>W-3</t>
  </si>
  <si>
    <t>W-4</t>
  </si>
  <si>
    <t>W-5</t>
  </si>
  <si>
    <t>Bas Pay</t>
  </si>
  <si>
    <t>Username</t>
  </si>
  <si>
    <t>Password</t>
  </si>
  <si>
    <t>Pin</t>
  </si>
  <si>
    <t>Web URL</t>
  </si>
  <si>
    <t>1-800-238-8722 (ADT USAA department)</t>
  </si>
  <si>
    <t>ADT</t>
  </si>
  <si>
    <t>isaac.d.martin@gmail.com</t>
  </si>
  <si>
    <t>IDMartin2</t>
  </si>
  <si>
    <t>https://www.myadt.com/</t>
  </si>
  <si>
    <t>Casino Total Rewards</t>
  </si>
  <si>
    <t>idmartin</t>
  </si>
  <si>
    <t>IDMartin11!!</t>
  </si>
  <si>
    <t>Chase</t>
  </si>
  <si>
    <t>idmartin22</t>
  </si>
  <si>
    <t>IDMartin00</t>
  </si>
  <si>
    <t>https://www.chase.com/</t>
  </si>
  <si>
    <t>lorrismith24</t>
  </si>
  <si>
    <t>lorrimartin24</t>
  </si>
  <si>
    <t>martinl11</t>
  </si>
  <si>
    <t>regan22</t>
  </si>
  <si>
    <t>https://lawprod.ccf.org:40201/lawson/portal/</t>
  </si>
  <si>
    <t>LORRI24</t>
  </si>
  <si>
    <t>IDMartin22</t>
  </si>
  <si>
    <t>http://www.columbiagasohio.com</t>
  </si>
  <si>
    <t>IDMartin2431182</t>
  </si>
  <si>
    <t>DirecTV</t>
  </si>
  <si>
    <t>isaac.d.martin2@gmail.com</t>
  </si>
  <si>
    <t>https://www.directv.com/DTVAPP/login/login.jsp?lpos=header</t>
  </si>
  <si>
    <t>Fidelity</t>
  </si>
  <si>
    <t>ReganNoel22</t>
  </si>
  <si>
    <t>https://login.fidelity.com/ftgw/Fas/Fidelity/IspCust/Login/Init</t>
  </si>
  <si>
    <t>United Concordia</t>
  </si>
  <si>
    <t>isaac.martin1</t>
  </si>
  <si>
    <t>LorriSmith2431182!!</t>
  </si>
  <si>
    <t>https://myaccess.dmdc.osd.mil/identitymanagement/authenticate.do?execution=e3s1</t>
  </si>
  <si>
    <t>email</t>
  </si>
  <si>
    <t>IDMartin00))</t>
  </si>
  <si>
    <t>Mypay</t>
  </si>
  <si>
    <t>isaac.martin</t>
  </si>
  <si>
    <t>IDMartin2431182^^^^</t>
  </si>
  <si>
    <t>https://mypay.dfas.mil/mypay.aspx</t>
  </si>
  <si>
    <t>https://signup.netflix.com/Login</t>
  </si>
  <si>
    <t>Ohio Edison</t>
  </si>
  <si>
    <t>https://www.firstenergycorp.com/log_in.html</t>
  </si>
  <si>
    <t>Ohio University</t>
  </si>
  <si>
    <t>lm133410</t>
  </si>
  <si>
    <t>lm0394</t>
  </si>
  <si>
    <t>https://my.ohio.edu/portal/uPortal/render.userLayoutRootNode.uP</t>
  </si>
  <si>
    <t>Regan Cleveland Clinic</t>
  </si>
  <si>
    <t>Scottrade</t>
  </si>
  <si>
    <t>53967781</t>
  </si>
  <si>
    <t>Sirius</t>
  </si>
  <si>
    <t>lorri24!</t>
  </si>
  <si>
    <t>https://care.siriusxm.com/login_view.action</t>
  </si>
  <si>
    <t>Social Security Isaac</t>
  </si>
  <si>
    <t>IDMartin33##</t>
  </si>
  <si>
    <t>https://secure.ssa.gov/RIL/SiView.do</t>
  </si>
  <si>
    <t>Social Security Lorri</t>
  </si>
  <si>
    <t>TaxAct</t>
  </si>
  <si>
    <t>momsreturn</t>
  </si>
  <si>
    <t>48145</t>
  </si>
  <si>
    <t>tpuskarich</t>
  </si>
  <si>
    <t>tomsreturn</t>
  </si>
  <si>
    <t>29548</t>
  </si>
  <si>
    <t xml:space="preserve"> v</t>
  </si>
  <si>
    <t>Tricare Dental</t>
  </si>
  <si>
    <t>lorri24</t>
  </si>
  <si>
    <t>https://epm.highmark.com/cidlogin/loginHTML.html</t>
  </si>
  <si>
    <t>IDMartin2431182!!</t>
  </si>
  <si>
    <t>https://www.tsp.gov/index.shtml</t>
  </si>
  <si>
    <t>Turbo Tax</t>
  </si>
  <si>
    <t>Isaac: 22241</t>
  </si>
  <si>
    <t>Lorri: 24221</t>
  </si>
  <si>
    <t>USAA</t>
  </si>
  <si>
    <t>https://www.usaa.com</t>
  </si>
  <si>
    <t>Verizon</t>
  </si>
  <si>
    <t>http://www.verizonwireless.com/b2c/index.html</t>
  </si>
  <si>
    <t>Water Bill</t>
  </si>
  <si>
    <t>http://secure.cityofelyria.org/Login.aspx</t>
  </si>
  <si>
    <t xml:space="preserve">704943038-001 </t>
  </si>
  <si>
    <t>704943032-002</t>
  </si>
  <si>
    <t>AKO</t>
  </si>
  <si>
    <t>IsaacMartin@@22</t>
  </si>
  <si>
    <t>Fifth Third Bank</t>
  </si>
  <si>
    <t>Republic Services</t>
  </si>
  <si>
    <t>Isaac Credit Karma</t>
  </si>
  <si>
    <t>idmartin22@yahoo.com</t>
  </si>
  <si>
    <t>Binance Google Authenticator</t>
  </si>
  <si>
    <t>YTFECKQ4OXNYJ3AN</t>
  </si>
  <si>
    <t>=F33*F34</t>
  </si>
  <si>
    <t>Electric Price</t>
  </si>
  <si>
    <t>Gas Price</t>
  </si>
  <si>
    <t>Main Home</t>
  </si>
  <si>
    <t>0.0569c</t>
  </si>
  <si>
    <t>Better Buy Energy</t>
  </si>
  <si>
    <t>Ohio Gas &amp; Electric</t>
  </si>
  <si>
    <t>Rental Home</t>
  </si>
  <si>
    <t>0.0818c</t>
  </si>
  <si>
    <t>Account</t>
  </si>
  <si>
    <t>Customer #</t>
  </si>
  <si>
    <t>Company</t>
  </si>
  <si>
    <t>$/KWh</t>
  </si>
  <si>
    <t>Length</t>
  </si>
  <si>
    <t>Date Signed</t>
  </si>
  <si>
    <t>End</t>
  </si>
  <si>
    <t>Main</t>
  </si>
  <si>
    <t>08036702040000657950</t>
  </si>
  <si>
    <t>12mo</t>
  </si>
  <si>
    <t>08036417900000657946</t>
  </si>
  <si>
    <t>1099-DIV</t>
  </si>
  <si>
    <t>Total Ordinary Dividends</t>
  </si>
  <si>
    <t>Total Capital Gains</t>
  </si>
  <si>
    <t>Section 897 Ordinary Dividends</t>
  </si>
  <si>
    <t>Nondividend Distributions</t>
  </si>
  <si>
    <t>Section 199A Dividends</t>
  </si>
  <si>
    <t>Foreign Tax Paid</t>
  </si>
  <si>
    <t>Short Term Proceeds</t>
  </si>
  <si>
    <t>Short Term Cost Basis</t>
  </si>
  <si>
    <t>Wash/Disallowed</t>
  </si>
  <si>
    <t>Net Gain or Loss</t>
  </si>
  <si>
    <t>Long Term Proceeds</t>
  </si>
  <si>
    <t>Long Term Cost Basis</t>
  </si>
  <si>
    <t>Total Gain/Loss</t>
  </si>
  <si>
    <t>5MB92034</t>
  </si>
  <si>
    <t>5MC10290</t>
  </si>
  <si>
    <t>5MC10287</t>
  </si>
  <si>
    <t>FMB92034</t>
  </si>
  <si>
    <t>Consolidated</t>
  </si>
  <si>
    <t>Fund / Asset</t>
  </si>
  <si>
    <t>C Fund</t>
  </si>
  <si>
    <t>S Fund</t>
  </si>
  <si>
    <t>I Fund</t>
  </si>
  <si>
    <t>TSP Uniformed</t>
  </si>
  <si>
    <t>VIIIX</t>
  </si>
  <si>
    <t>Fidelity 403b</t>
  </si>
  <si>
    <t>VTPSX</t>
  </si>
  <si>
    <t>VEMPX</t>
  </si>
  <si>
    <t>Fidelity 401a</t>
  </si>
  <si>
    <t>VTI</t>
  </si>
  <si>
    <t>QQQM</t>
  </si>
  <si>
    <t>AVUV</t>
  </si>
  <si>
    <t>AVDV</t>
  </si>
  <si>
    <t>AVES</t>
  </si>
  <si>
    <t>BTC</t>
  </si>
  <si>
    <t>ETH</t>
  </si>
  <si>
    <t>SOL</t>
  </si>
  <si>
    <t>TAO</t>
  </si>
  <si>
    <t>HYPE</t>
  </si>
  <si>
    <t>LINK</t>
  </si>
  <si>
    <t>XRP</t>
  </si>
  <si>
    <t>Regan Investment</t>
  </si>
  <si>
    <t>VXUS</t>
  </si>
  <si>
    <t>Shares Owned</t>
  </si>
  <si>
    <t>Amazon Kindle</t>
  </si>
  <si>
    <t>Giant Eagle</t>
  </si>
  <si>
    <t>Dollar Tree</t>
  </si>
  <si>
    <t>Famouse Footwear</t>
  </si>
  <si>
    <t>The Winchester - Concert</t>
  </si>
  <si>
    <t>Amazon - Kindle Book</t>
  </si>
  <si>
    <t>Lormet - RAV4</t>
  </si>
  <si>
    <t>Wells Fargo - Deck (Feb 3, 2028)</t>
  </si>
  <si>
    <t>Lowes - Aug 14, 2026</t>
  </si>
  <si>
    <t>Lowes - Dec 15, 2026</t>
  </si>
  <si>
    <t>Lowes - Mar 2027</t>
  </si>
  <si>
    <t>Wells Fargo - Pool (Aug 11, 2030)</t>
  </si>
  <si>
    <t>GM Financial (2 payments left)</t>
  </si>
  <si>
    <t>Trailer Rental - Deck</t>
  </si>
  <si>
    <t>Sun Belt Rentals - Deck</t>
  </si>
  <si>
    <t>Frankenmuth Insurance - Rental</t>
  </si>
  <si>
    <t>Litehouse Pools</t>
  </si>
  <si>
    <t>Little Met Golf Course</t>
  </si>
  <si>
    <t>Home Depot - Deck</t>
  </si>
  <si>
    <t>Consumers Builders Supply - Deck</t>
  </si>
  <si>
    <t>Lowes - Deck</t>
  </si>
  <si>
    <t>Yard House</t>
  </si>
  <si>
    <t>Fleet Feet</t>
  </si>
  <si>
    <t>Subway</t>
  </si>
  <si>
    <t>Cheesecake Factory</t>
  </si>
  <si>
    <t>Digital Media</t>
  </si>
  <si>
    <t>Zachery Drzik - Corolla Oil Change</t>
  </si>
  <si>
    <t>Rav 4 &amp; Corolla Oil Change</t>
  </si>
  <si>
    <t>Deck Materials</t>
  </si>
  <si>
    <t>Pool Maintenance - Chemicals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</si>
</sst>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8" formatCode="&quot;$&quot;#,##0.00_);[Red]\(&quot;$&quot;#,##0.00\)"/>
    <numFmt numFmtId="44" formatCode="_(&quot;$&quot;* #,##0.00_);_(&quot;$&quot;* \(#,##0.00\);_(&quot;$&quot;* &quot;-&quot;??_);_(@_)"/>
    <numFmt numFmtId="164" formatCode="[$-F400]h:mm:ss\ AM/PM"/>
    <numFmt numFmtId="165" formatCode="&quot;$&quot;#,##0.00"/>
    <numFmt numFmtId="166" formatCode="0.0%"/>
    <numFmt numFmtId="167" formatCode="0.0"/>
    <numFmt numFmtId="168" formatCode="0.0000"/>
    <numFmt numFmtId="169" formatCode="0.000"/>
    <numFmt numFmtId="170" formatCode="0.000000000"/>
  </numFmts>
  <fonts count="2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2"/>
      <color theme="1"/>
      <name val="Aptos"/>
      <family val="2"/>
    </font>
    <font>
      <b/>
      <sz val="12"/>
      <color theme="1"/>
      <name val="Aptos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color rgb="FF5A5F6D"/>
      <name val="Quattrocento Sans"/>
    </font>
    <font>
      <sz val="11"/>
      <color theme="1"/>
      <name val="Calibri"/>
      <family val="2"/>
      <scheme val="minor"/>
    </font>
    <font>
      <b/>
      <sz val="22"/>
      <color theme="1"/>
      <name val="Courier New"/>
      <family val="3"/>
    </font>
    <font>
      <sz val="8"/>
      <color theme="1"/>
      <name val="Courier New"/>
      <family val="3"/>
    </font>
    <font>
      <b/>
      <sz val="8"/>
      <color theme="1"/>
      <name val="Courier New"/>
      <family val="3"/>
    </font>
    <font>
      <sz val="9"/>
      <color theme="1"/>
      <name val="Courier New"/>
      <family val="3"/>
    </font>
    <font>
      <sz val="8"/>
      <color theme="1"/>
      <name val="Calibri"/>
      <family val="2"/>
    </font>
    <font>
      <u/>
      <sz val="8"/>
      <color theme="1"/>
      <name val="Courier New"/>
      <family val="3"/>
    </font>
    <font>
      <u/>
      <sz val="11"/>
      <color theme="10"/>
      <name val="Calibri"/>
      <family val="2"/>
    </font>
    <font>
      <u/>
      <sz val="8"/>
      <color theme="1"/>
      <name val="Courier New"/>
      <family val="3"/>
    </font>
    <font>
      <sz val="11"/>
      <color rgb="FF0A0A0A"/>
      <name val="Calibri"/>
      <family val="2"/>
    </font>
    <font>
      <u/>
      <sz val="11"/>
      <color theme="1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D8D8D8"/>
        <bgColor rgb="FFD8D8D8"/>
      </patternFill>
    </fill>
    <fill>
      <patternFill patternType="solid">
        <fgColor rgb="FFE5B8B7"/>
        <bgColor rgb="FFE5B8B7"/>
      </patternFill>
    </fill>
    <fill>
      <patternFill patternType="solid">
        <fgColor rgb="FFD6E3BC"/>
        <bgColor rgb="FFD6E3BC"/>
      </patternFill>
    </fill>
    <fill>
      <patternFill patternType="solid">
        <fgColor rgb="FFBFBFBF"/>
        <bgColor rgb="FFBFBFBF"/>
      </patternFill>
    </fill>
    <fill>
      <patternFill patternType="solid">
        <fgColor rgb="FFFFC000"/>
        <bgColor rgb="FFFFC000"/>
      </patternFill>
    </fill>
    <fill>
      <patternFill patternType="solid">
        <fgColor rgb="FF00B050"/>
        <bgColor rgb="FF00B050"/>
      </patternFill>
    </fill>
    <fill>
      <patternFill patternType="solid">
        <fgColor rgb="FFFABF8F"/>
        <bgColor rgb="FFFABF8F"/>
      </patternFill>
    </fill>
    <fill>
      <patternFill patternType="solid">
        <fgColor rgb="FF938953"/>
        <bgColor rgb="FF938953"/>
      </patternFill>
    </fill>
    <fill>
      <patternFill patternType="solid">
        <fgColor rgb="FFC2D69B"/>
        <bgColor rgb="FFC2D69B"/>
      </patternFill>
    </fill>
    <fill>
      <patternFill patternType="solid">
        <fgColor rgb="FF548DD4"/>
        <bgColor rgb="FF548DD4"/>
      </patternFill>
    </fill>
    <fill>
      <patternFill patternType="solid">
        <fgColor rgb="FFD99594"/>
        <bgColor rgb="FFD99594"/>
      </patternFill>
    </fill>
    <fill>
      <patternFill patternType="solid">
        <fgColor rgb="FFB2A1C7"/>
        <bgColor rgb="FFB2A1C7"/>
      </patternFill>
    </fill>
    <fill>
      <patternFill patternType="solid">
        <fgColor rgb="FF95B3D7"/>
        <bgColor rgb="FF95B3D7"/>
      </patternFill>
    </fill>
    <fill>
      <patternFill patternType="solid">
        <fgColor rgb="FF92CDDC"/>
        <bgColor rgb="FF92CDDC"/>
      </patternFill>
    </fill>
    <fill>
      <patternFill patternType="solid">
        <fgColor rgb="FFFF0000"/>
        <bgColor rgb="FFFF0000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B8CCE4"/>
        <bgColor rgb="FFB8CCE4"/>
      </patternFill>
    </fill>
    <fill>
      <patternFill patternType="solid">
        <fgColor rgb="FFFFFF00"/>
        <bgColor indexed="64"/>
      </patternFill>
    </fill>
  </fills>
  <borders count="53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">
    <xf numFmtId="164" fontId="0" fillId="0" borderId="0"/>
    <xf numFmtId="164" fontId="19" fillId="0" borderId="0" applyNumberFormat="0" applyFill="0" applyBorder="0" applyAlignment="0" applyProtection="0"/>
  </cellStyleXfs>
  <cellXfs count="581">
    <xf numFmtId="164" fontId="0" fillId="0" borderId="0" xfId="0"/>
    <xf numFmtId="164" fontId="2" fillId="0" borderId="0" xfId="0" applyFont="1" applyAlignment="1">
      <alignment vertical="center"/>
    </xf>
    <xf numFmtId="164" fontId="3" fillId="0" borderId="0" xfId="0" applyFont="1" applyAlignment="1">
      <alignment vertical="center"/>
    </xf>
    <xf numFmtId="164" fontId="2" fillId="0" borderId="0" xfId="0" applyFont="1" applyAlignment="1">
      <alignment horizontal="left" vertical="center"/>
    </xf>
    <xf numFmtId="164" fontId="3" fillId="0" borderId="0" xfId="0" applyFont="1" applyAlignment="1">
      <alignment horizontal="left" vertical="center"/>
    </xf>
    <xf numFmtId="164" fontId="6" fillId="0" borderId="4" xfId="0" applyFont="1" applyBorder="1"/>
    <xf numFmtId="44" fontId="6" fillId="0" borderId="5" xfId="0" applyNumberFormat="1" applyFont="1" applyBorder="1"/>
    <xf numFmtId="44" fontId="6" fillId="0" borderId="0" xfId="0" applyNumberFormat="1" applyFont="1"/>
    <xf numFmtId="164" fontId="6" fillId="0" borderId="6" xfId="0" applyFont="1" applyBorder="1" applyAlignment="1">
      <alignment horizontal="left"/>
    </xf>
    <xf numFmtId="165" fontId="6" fillId="0" borderId="7" xfId="0" applyNumberFormat="1" applyFont="1" applyBorder="1" applyAlignment="1">
      <alignment horizontal="center"/>
    </xf>
    <xf numFmtId="164" fontId="6" fillId="0" borderId="8" xfId="0" applyFont="1" applyBorder="1" applyAlignment="1">
      <alignment horizontal="center"/>
    </xf>
    <xf numFmtId="164" fontId="6" fillId="0" borderId="0" xfId="0" applyFont="1" applyAlignment="1">
      <alignment horizontal="center"/>
    </xf>
    <xf numFmtId="9" fontId="6" fillId="0" borderId="0" xfId="0" applyNumberFormat="1" applyFont="1"/>
    <xf numFmtId="164" fontId="6" fillId="0" borderId="9" xfId="0" applyFont="1" applyBorder="1"/>
    <xf numFmtId="44" fontId="6" fillId="0" borderId="10" xfId="0" applyNumberFormat="1" applyFont="1" applyBorder="1"/>
    <xf numFmtId="14" fontId="6" fillId="0" borderId="11" xfId="0" applyNumberFormat="1" applyFont="1" applyBorder="1" applyAlignment="1">
      <alignment horizontal="center"/>
    </xf>
    <xf numFmtId="44" fontId="6" fillId="0" borderId="11" xfId="0" applyNumberFormat="1" applyFont="1" applyBorder="1"/>
    <xf numFmtId="10" fontId="6" fillId="0" borderId="0" xfId="0" applyNumberFormat="1" applyFont="1" applyAlignment="1">
      <alignment horizontal="left"/>
    </xf>
    <xf numFmtId="164" fontId="6" fillId="0" borderId="9" xfId="0" applyFont="1" applyBorder="1" applyAlignment="1">
      <alignment horizontal="left"/>
    </xf>
    <xf numFmtId="9" fontId="6" fillId="0" borderId="10" xfId="0" applyNumberFormat="1" applyFont="1" applyBorder="1" applyAlignment="1">
      <alignment horizontal="center"/>
    </xf>
    <xf numFmtId="10" fontId="6" fillId="0" borderId="11" xfId="0" applyNumberFormat="1" applyFont="1" applyBorder="1" applyAlignment="1">
      <alignment horizontal="center"/>
    </xf>
    <xf numFmtId="164" fontId="6" fillId="0" borderId="12" xfId="0" applyFont="1" applyBorder="1"/>
    <xf numFmtId="44" fontId="6" fillId="0" borderId="13" xfId="0" applyNumberFormat="1" applyFont="1" applyBorder="1"/>
    <xf numFmtId="165" fontId="6" fillId="0" borderId="0" xfId="0" applyNumberFormat="1" applyFont="1"/>
    <xf numFmtId="164" fontId="6" fillId="0" borderId="14" xfId="0" applyFont="1" applyBorder="1" applyAlignment="1">
      <alignment horizontal="left"/>
    </xf>
    <xf numFmtId="165" fontId="6" fillId="0" borderId="0" xfId="0" applyNumberFormat="1" applyFont="1" applyAlignment="1">
      <alignment horizontal="center"/>
    </xf>
    <xf numFmtId="164" fontId="6" fillId="0" borderId="15" xfId="0" applyFont="1" applyBorder="1" applyAlignment="1">
      <alignment horizontal="center"/>
    </xf>
    <xf numFmtId="164" fontId="6" fillId="0" borderId="16" xfId="0" applyFont="1" applyBorder="1"/>
    <xf numFmtId="44" fontId="6" fillId="0" borderId="17" xfId="0" applyNumberFormat="1" applyFont="1" applyBorder="1"/>
    <xf numFmtId="3" fontId="6" fillId="0" borderId="9" xfId="0" applyNumberFormat="1" applyFont="1" applyBorder="1" applyAlignment="1">
      <alignment horizontal="left"/>
    </xf>
    <xf numFmtId="44" fontId="6" fillId="0" borderId="10" xfId="0" applyNumberFormat="1" applyFont="1" applyBorder="1" applyAlignment="1">
      <alignment horizontal="center"/>
    </xf>
    <xf numFmtId="164" fontId="7" fillId="0" borderId="9" xfId="0" applyFont="1" applyBorder="1"/>
    <xf numFmtId="14" fontId="6" fillId="0" borderId="11" xfId="0" applyNumberFormat="1" applyFont="1" applyBorder="1"/>
    <xf numFmtId="44" fontId="6" fillId="0" borderId="18" xfId="0" applyNumberFormat="1" applyFont="1" applyBorder="1"/>
    <xf numFmtId="10" fontId="6" fillId="0" borderId="13" xfId="0" applyNumberFormat="1" applyFont="1" applyBorder="1" applyAlignment="1">
      <alignment horizontal="center"/>
    </xf>
    <xf numFmtId="164" fontId="6" fillId="0" borderId="19" xfId="0" applyFont="1" applyBorder="1"/>
    <xf numFmtId="44" fontId="6" fillId="0" borderId="20" xfId="0" applyNumberFormat="1" applyFont="1" applyBorder="1"/>
    <xf numFmtId="14" fontId="6" fillId="0" borderId="0" xfId="0" applyNumberFormat="1" applyFont="1" applyAlignment="1">
      <alignment horizontal="center"/>
    </xf>
    <xf numFmtId="164" fontId="6" fillId="0" borderId="13" xfId="0" applyFont="1" applyBorder="1"/>
    <xf numFmtId="44" fontId="6" fillId="0" borderId="0" xfId="0" applyNumberFormat="1" applyFont="1" applyAlignment="1">
      <alignment horizontal="center"/>
    </xf>
    <xf numFmtId="44" fontId="6" fillId="0" borderId="11" xfId="0" applyNumberFormat="1" applyFont="1" applyBorder="1" applyAlignment="1">
      <alignment horizontal="center"/>
    </xf>
    <xf numFmtId="164" fontId="6" fillId="0" borderId="21" xfId="0" applyFont="1" applyBorder="1"/>
    <xf numFmtId="44" fontId="6" fillId="0" borderId="22" xfId="0" applyNumberFormat="1" applyFont="1" applyBorder="1"/>
    <xf numFmtId="164" fontId="6" fillId="0" borderId="12" xfId="0" applyFont="1" applyBorder="1" applyAlignment="1">
      <alignment horizontal="left"/>
    </xf>
    <xf numFmtId="44" fontId="6" fillId="0" borderId="18" xfId="0" applyNumberFormat="1" applyFont="1" applyBorder="1" applyAlignment="1">
      <alignment horizontal="center"/>
    </xf>
    <xf numFmtId="44" fontId="6" fillId="0" borderId="13" xfId="0" applyNumberFormat="1" applyFont="1" applyBorder="1" applyAlignment="1">
      <alignment horizontal="center"/>
    </xf>
    <xf numFmtId="0" fontId="6" fillId="0" borderId="0" xfId="0" applyNumberFormat="1" applyFont="1"/>
    <xf numFmtId="164" fontId="6" fillId="0" borderId="10" xfId="0" applyFont="1" applyBorder="1"/>
    <xf numFmtId="44" fontId="6" fillId="0" borderId="23" xfId="0" applyNumberFormat="1" applyFont="1" applyBorder="1"/>
    <xf numFmtId="164" fontId="6" fillId="0" borderId="0" xfId="0" applyFont="1" applyAlignment="1">
      <alignment horizontal="left"/>
    </xf>
    <xf numFmtId="10" fontId="6" fillId="0" borderId="0" xfId="0" applyNumberFormat="1" applyFont="1" applyAlignment="1">
      <alignment horizontal="center"/>
    </xf>
    <xf numFmtId="44" fontId="6" fillId="0" borderId="24" xfId="0" applyNumberFormat="1" applyFont="1" applyBorder="1"/>
    <xf numFmtId="10" fontId="4" fillId="0" borderId="4" xfId="0" applyNumberFormat="1" applyFont="1" applyBorder="1" applyAlignment="1">
      <alignment horizontal="center"/>
    </xf>
    <xf numFmtId="44" fontId="4" fillId="0" borderId="25" xfId="0" applyNumberFormat="1" applyFont="1" applyBorder="1" applyAlignment="1">
      <alignment horizontal="center"/>
    </xf>
    <xf numFmtId="164" fontId="4" fillId="0" borderId="5" xfId="0" applyFont="1" applyBorder="1" applyAlignment="1">
      <alignment horizontal="center"/>
    </xf>
    <xf numFmtId="44" fontId="6" fillId="0" borderId="26" xfId="0" applyNumberFormat="1" applyFont="1" applyBorder="1"/>
    <xf numFmtId="44" fontId="6" fillId="0" borderId="12" xfId="0" applyNumberFormat="1" applyFont="1" applyBorder="1" applyAlignment="1">
      <alignment horizontal="center"/>
    </xf>
    <xf numFmtId="164" fontId="6" fillId="0" borderId="4" xfId="0" applyFont="1" applyBorder="1" applyAlignment="1">
      <alignment horizontal="left"/>
    </xf>
    <xf numFmtId="165" fontId="6" fillId="0" borderId="25" xfId="0" applyNumberFormat="1" applyFont="1" applyBorder="1" applyAlignment="1">
      <alignment horizontal="center"/>
    </xf>
    <xf numFmtId="10" fontId="6" fillId="0" borderId="5" xfId="0" applyNumberFormat="1" applyFont="1" applyBorder="1" applyAlignment="1">
      <alignment horizontal="center"/>
    </xf>
    <xf numFmtId="164" fontId="6" fillId="0" borderId="27" xfId="0" applyFont="1" applyBorder="1"/>
    <xf numFmtId="14" fontId="4" fillId="0" borderId="4" xfId="0" applyNumberFormat="1" applyFont="1" applyBorder="1" applyAlignment="1">
      <alignment horizontal="center"/>
    </xf>
    <xf numFmtId="44" fontId="4" fillId="0" borderId="5" xfId="0" applyNumberFormat="1" applyFont="1" applyBorder="1" applyAlignment="1">
      <alignment horizontal="center"/>
    </xf>
    <xf numFmtId="165" fontId="6" fillId="0" borderId="10" xfId="0" applyNumberFormat="1" applyFont="1" applyBorder="1" applyAlignment="1">
      <alignment horizontal="center"/>
    </xf>
    <xf numFmtId="165" fontId="6" fillId="0" borderId="18" xfId="0" applyNumberFormat="1" applyFont="1" applyBorder="1" applyAlignment="1">
      <alignment horizontal="center"/>
    </xf>
    <xf numFmtId="14" fontId="6" fillId="0" borderId="0" xfId="0" applyNumberFormat="1" applyFont="1"/>
    <xf numFmtId="0" fontId="4" fillId="0" borderId="0" xfId="0" applyNumberFormat="1" applyFont="1"/>
    <xf numFmtId="44" fontId="4" fillId="0" borderId="0" xfId="0" applyNumberFormat="1" applyFont="1"/>
    <xf numFmtId="164" fontId="6" fillId="0" borderId="28" xfId="0" applyFont="1" applyBorder="1"/>
    <xf numFmtId="44" fontId="4" fillId="0" borderId="21" xfId="0" applyNumberFormat="1" applyFont="1" applyBorder="1" applyAlignment="1">
      <alignment horizontal="center"/>
    </xf>
    <xf numFmtId="164" fontId="4" fillId="0" borderId="29" xfId="0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6" fillId="0" borderId="25" xfId="0" applyNumberFormat="1" applyFont="1" applyBorder="1"/>
    <xf numFmtId="10" fontId="6" fillId="0" borderId="25" xfId="0" applyNumberFormat="1" applyFont="1" applyBorder="1" applyAlignment="1">
      <alignment horizontal="center"/>
    </xf>
    <xf numFmtId="164" fontId="6" fillId="0" borderId="5" xfId="0" applyFont="1" applyBorder="1"/>
    <xf numFmtId="44" fontId="6" fillId="0" borderId="19" xfId="0" applyNumberFormat="1" applyFont="1" applyBorder="1"/>
    <xf numFmtId="44" fontId="6" fillId="0" borderId="30" xfId="0" applyNumberFormat="1" applyFont="1" applyBorder="1" applyAlignment="1">
      <alignment horizontal="center"/>
    </xf>
    <xf numFmtId="10" fontId="6" fillId="0" borderId="20" xfId="0" applyNumberFormat="1" applyFont="1" applyBorder="1" applyAlignment="1">
      <alignment horizontal="center"/>
    </xf>
    <xf numFmtId="10" fontId="6" fillId="0" borderId="10" xfId="0" applyNumberFormat="1" applyFont="1" applyBorder="1" applyAlignment="1">
      <alignment horizontal="center"/>
    </xf>
    <xf numFmtId="164" fontId="6" fillId="0" borderId="11" xfId="0" applyFont="1" applyBorder="1"/>
    <xf numFmtId="44" fontId="6" fillId="0" borderId="9" xfId="0" applyNumberFormat="1" applyFont="1" applyBorder="1"/>
    <xf numFmtId="44" fontId="6" fillId="0" borderId="0" xfId="0" applyNumberFormat="1" applyFont="1" applyAlignment="1">
      <alignment horizontal="left"/>
    </xf>
    <xf numFmtId="10" fontId="6" fillId="0" borderId="24" xfId="0" applyNumberFormat="1" applyFont="1" applyBorder="1" applyAlignment="1">
      <alignment horizontal="center"/>
    </xf>
    <xf numFmtId="164" fontId="6" fillId="0" borderId="17" xfId="0" applyFont="1" applyBorder="1"/>
    <xf numFmtId="164" fontId="8" fillId="0" borderId="0" xfId="0" applyFont="1"/>
    <xf numFmtId="44" fontId="6" fillId="0" borderId="12" xfId="0" applyNumberFormat="1" applyFont="1" applyBorder="1"/>
    <xf numFmtId="164" fontId="6" fillId="0" borderId="0" xfId="0" applyFont="1"/>
    <xf numFmtId="44" fontId="6" fillId="0" borderId="29" xfId="0" applyNumberFormat="1" applyFont="1" applyBorder="1"/>
    <xf numFmtId="10" fontId="6" fillId="0" borderId="29" xfId="0" applyNumberFormat="1" applyFont="1" applyBorder="1" applyAlignment="1">
      <alignment horizontal="center"/>
    </xf>
    <xf numFmtId="164" fontId="6" fillId="0" borderId="22" xfId="0" applyFont="1" applyBorder="1"/>
    <xf numFmtId="164" fontId="6" fillId="0" borderId="0" xfId="0" applyFont="1" applyAlignment="1">
      <alignment horizontal="right"/>
    </xf>
    <xf numFmtId="10" fontId="6" fillId="0" borderId="17" xfId="0" applyNumberFormat="1" applyFont="1" applyBorder="1" applyAlignment="1">
      <alignment horizontal="center"/>
    </xf>
    <xf numFmtId="0" fontId="9" fillId="0" borderId="0" xfId="0" applyNumberFormat="1" applyFont="1"/>
    <xf numFmtId="164" fontId="4" fillId="0" borderId="21" xfId="0" applyFont="1" applyBorder="1"/>
    <xf numFmtId="44" fontId="4" fillId="0" borderId="29" xfId="0" applyNumberFormat="1" applyFont="1" applyBorder="1"/>
    <xf numFmtId="9" fontId="4" fillId="0" borderId="22" xfId="0" applyNumberFormat="1" applyFont="1" applyBorder="1" applyAlignment="1">
      <alignment horizontal="center"/>
    </xf>
    <xf numFmtId="164" fontId="6" fillId="2" borderId="4" xfId="0" applyFont="1" applyFill="1" applyBorder="1"/>
    <xf numFmtId="10" fontId="6" fillId="0" borderId="10" xfId="0" applyNumberFormat="1" applyFont="1" applyBorder="1"/>
    <xf numFmtId="164" fontId="6" fillId="2" borderId="9" xfId="0" applyFont="1" applyFill="1" applyBorder="1"/>
    <xf numFmtId="44" fontId="6" fillId="3" borderId="10" xfId="0" applyNumberFormat="1" applyFont="1" applyFill="1" applyBorder="1" applyAlignment="1">
      <alignment horizontal="center"/>
    </xf>
    <xf numFmtId="10" fontId="6" fillId="3" borderId="10" xfId="0" applyNumberFormat="1" applyFont="1" applyFill="1" applyBorder="1" applyAlignment="1">
      <alignment horizontal="center"/>
    </xf>
    <xf numFmtId="44" fontId="6" fillId="4" borderId="10" xfId="0" applyNumberFormat="1" applyFont="1" applyFill="1" applyBorder="1" applyAlignment="1">
      <alignment horizontal="center"/>
    </xf>
    <xf numFmtId="10" fontId="6" fillId="4" borderId="11" xfId="0" applyNumberFormat="1" applyFont="1" applyFill="1" applyBorder="1" applyAlignment="1">
      <alignment horizontal="center"/>
    </xf>
    <xf numFmtId="44" fontId="6" fillId="3" borderId="10" xfId="0" applyNumberFormat="1" applyFont="1" applyFill="1" applyBorder="1"/>
    <xf numFmtId="44" fontId="6" fillId="4" borderId="10" xfId="0" applyNumberFormat="1" applyFont="1" applyFill="1" applyBorder="1"/>
    <xf numFmtId="164" fontId="6" fillId="2" borderId="33" xfId="0" applyFont="1" applyFill="1" applyBorder="1"/>
    <xf numFmtId="44" fontId="6" fillId="3" borderId="34" xfId="0" applyNumberFormat="1" applyFont="1" applyFill="1" applyBorder="1" applyAlignment="1">
      <alignment horizontal="center"/>
    </xf>
    <xf numFmtId="10" fontId="6" fillId="3" borderId="34" xfId="0" applyNumberFormat="1" applyFont="1" applyFill="1" applyBorder="1" applyAlignment="1">
      <alignment horizontal="center"/>
    </xf>
    <xf numFmtId="44" fontId="6" fillId="4" borderId="34" xfId="0" applyNumberFormat="1" applyFont="1" applyFill="1" applyBorder="1" applyAlignment="1">
      <alignment horizontal="center"/>
    </xf>
    <xf numFmtId="10" fontId="6" fillId="4" borderId="35" xfId="0" applyNumberFormat="1" applyFont="1" applyFill="1" applyBorder="1" applyAlignment="1">
      <alignment horizontal="center"/>
    </xf>
    <xf numFmtId="164" fontId="6" fillId="3" borderId="10" xfId="0" applyFont="1" applyFill="1" applyBorder="1" applyAlignment="1">
      <alignment horizontal="center"/>
    </xf>
    <xf numFmtId="44" fontId="6" fillId="3" borderId="25" xfId="0" applyNumberFormat="1" applyFont="1" applyFill="1" applyBorder="1" applyAlignment="1">
      <alignment horizontal="center"/>
    </xf>
    <xf numFmtId="10" fontId="6" fillId="3" borderId="25" xfId="0" applyNumberFormat="1" applyFont="1" applyFill="1" applyBorder="1" applyAlignment="1">
      <alignment horizontal="center"/>
    </xf>
    <xf numFmtId="44" fontId="6" fillId="4" borderId="25" xfId="0" applyNumberFormat="1" applyFont="1" applyFill="1" applyBorder="1" applyAlignment="1">
      <alignment horizontal="center"/>
    </xf>
    <xf numFmtId="10" fontId="6" fillId="4" borderId="5" xfId="0" applyNumberFormat="1" applyFont="1" applyFill="1" applyBorder="1" applyAlignment="1">
      <alignment horizontal="center"/>
    </xf>
    <xf numFmtId="10" fontId="6" fillId="0" borderId="18" xfId="0" applyNumberFormat="1" applyFont="1" applyBorder="1"/>
    <xf numFmtId="164" fontId="6" fillId="2" borderId="12" xfId="0" applyFont="1" applyFill="1" applyBorder="1"/>
    <xf numFmtId="44" fontId="6" fillId="3" borderId="18" xfId="0" applyNumberFormat="1" applyFont="1" applyFill="1" applyBorder="1"/>
    <xf numFmtId="10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/>
    <xf numFmtId="10" fontId="6" fillId="4" borderId="13" xfId="0" applyNumberFormat="1" applyFont="1" applyFill="1" applyBorder="1" applyAlignment="1">
      <alignment horizontal="center"/>
    </xf>
    <xf numFmtId="10" fontId="6" fillId="0" borderId="0" xfId="0" applyNumberFormat="1" applyFont="1"/>
    <xf numFmtId="2" fontId="6" fillId="0" borderId="0" xfId="0" applyNumberFormat="1" applyFont="1"/>
    <xf numFmtId="44" fontId="6" fillId="3" borderId="18" xfId="0" applyNumberFormat="1" applyFont="1" applyFill="1" applyBorder="1" applyAlignment="1">
      <alignment horizontal="center"/>
    </xf>
    <xf numFmtId="44" fontId="6" fillId="4" borderId="18" xfId="0" applyNumberFormat="1" applyFont="1" applyFill="1" applyBorder="1" applyAlignment="1">
      <alignment horizontal="center"/>
    </xf>
    <xf numFmtId="164" fontId="6" fillId="2" borderId="36" xfId="0" applyFont="1" applyFill="1" applyBorder="1"/>
    <xf numFmtId="44" fontId="6" fillId="3" borderId="37" xfId="0" applyNumberFormat="1" applyFont="1" applyFill="1" applyBorder="1" applyAlignment="1">
      <alignment horizontal="center"/>
    </xf>
    <xf numFmtId="10" fontId="6" fillId="3" borderId="37" xfId="0" applyNumberFormat="1" applyFont="1" applyFill="1" applyBorder="1" applyAlignment="1">
      <alignment horizontal="center"/>
    </xf>
    <xf numFmtId="44" fontId="6" fillId="4" borderId="37" xfId="0" applyNumberFormat="1" applyFont="1" applyFill="1" applyBorder="1" applyAlignment="1">
      <alignment horizontal="center"/>
    </xf>
    <xf numFmtId="10" fontId="6" fillId="4" borderId="38" xfId="0" applyNumberFormat="1" applyFont="1" applyFill="1" applyBorder="1" applyAlignment="1">
      <alignment horizontal="center"/>
    </xf>
    <xf numFmtId="164" fontId="11" fillId="0" borderId="0" xfId="0" applyFont="1" applyAlignment="1">
      <alignment vertical="center"/>
    </xf>
    <xf numFmtId="44" fontId="11" fillId="0" borderId="0" xfId="0" applyNumberFormat="1" applyFont="1" applyAlignment="1">
      <alignment vertical="center"/>
    </xf>
    <xf numFmtId="164" fontId="6" fillId="0" borderId="0" xfId="0" applyFont="1" applyAlignment="1">
      <alignment vertical="center"/>
    </xf>
    <xf numFmtId="164" fontId="11" fillId="0" borderId="0" xfId="0" applyFont="1" applyAlignment="1">
      <alignment horizontal="center" vertical="center"/>
    </xf>
    <xf numFmtId="1" fontId="11" fillId="0" borderId="0" xfId="0" applyNumberFormat="1" applyFont="1" applyAlignment="1">
      <alignment horizontal="center" vertical="center"/>
    </xf>
    <xf numFmtId="164" fontId="11" fillId="0" borderId="4" xfId="0" applyFont="1" applyBorder="1" applyAlignment="1">
      <alignment horizontal="center" vertical="center"/>
    </xf>
    <xf numFmtId="164" fontId="11" fillId="0" borderId="25" xfId="0" applyFont="1" applyBorder="1" applyAlignment="1">
      <alignment horizontal="center" vertical="center"/>
    </xf>
    <xf numFmtId="164" fontId="11" fillId="0" borderId="5" xfId="0" applyFont="1" applyBorder="1" applyAlignment="1">
      <alignment horizontal="center" vertical="center"/>
    </xf>
    <xf numFmtId="164" fontId="11" fillId="0" borderId="4" xfId="0" applyFont="1" applyBorder="1" applyAlignment="1">
      <alignment vertical="center"/>
    </xf>
    <xf numFmtId="164" fontId="11" fillId="0" borderId="21" xfId="0" applyFont="1" applyBorder="1" applyAlignment="1">
      <alignment vertical="center"/>
    </xf>
    <xf numFmtId="44" fontId="11" fillId="0" borderId="39" xfId="0" applyNumberFormat="1" applyFont="1" applyBorder="1" applyAlignment="1">
      <alignment horizontal="center" vertical="center"/>
    </xf>
    <xf numFmtId="10" fontId="11" fillId="0" borderId="18" xfId="0" applyNumberFormat="1" applyFont="1" applyBorder="1" applyAlignment="1">
      <alignment horizontal="center" vertical="center"/>
    </xf>
    <xf numFmtId="44" fontId="11" fillId="0" borderId="18" xfId="0" applyNumberFormat="1" applyFont="1" applyBorder="1" applyAlignment="1">
      <alignment horizontal="center" vertical="center"/>
    </xf>
    <xf numFmtId="44" fontId="11" fillId="0" borderId="13" xfId="0" applyNumberFormat="1" applyFont="1" applyBorder="1" applyAlignment="1">
      <alignment horizontal="center" vertical="center"/>
    </xf>
    <xf numFmtId="164" fontId="12" fillId="5" borderId="9" xfId="0" applyFont="1" applyFill="1" applyBorder="1" applyAlignment="1">
      <alignment vertical="center"/>
    </xf>
    <xf numFmtId="44" fontId="12" fillId="5" borderId="10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 vertical="center"/>
    </xf>
    <xf numFmtId="44" fontId="12" fillId="5" borderId="11" xfId="0" applyNumberFormat="1" applyFont="1" applyFill="1" applyBorder="1" applyAlignment="1">
      <alignment horizontal="center" vertical="center"/>
    </xf>
    <xf numFmtId="44" fontId="11" fillId="0" borderId="0" xfId="0" applyNumberFormat="1" applyFont="1" applyAlignment="1">
      <alignment horizontal="center" vertical="center"/>
    </xf>
    <xf numFmtId="10" fontId="11" fillId="0" borderId="0" xfId="0" applyNumberFormat="1" applyFont="1" applyAlignment="1">
      <alignment horizontal="center" vertical="center"/>
    </xf>
    <xf numFmtId="164" fontId="11" fillId="0" borderId="9" xfId="0" applyFont="1" applyBorder="1" applyAlignment="1">
      <alignment vertical="center"/>
    </xf>
    <xf numFmtId="44" fontId="11" fillId="0" borderId="10" xfId="0" applyNumberFormat="1" applyFont="1" applyBorder="1" applyAlignment="1">
      <alignment horizontal="center" vertical="center"/>
    </xf>
    <xf numFmtId="164" fontId="11" fillId="0" borderId="10" xfId="0" applyFont="1" applyBorder="1" applyAlignment="1">
      <alignment horizontal="center" vertical="center"/>
    </xf>
    <xf numFmtId="44" fontId="11" fillId="0" borderId="11" xfId="0" applyNumberFormat="1" applyFont="1" applyBorder="1" applyAlignment="1">
      <alignment horizontal="center" vertical="center"/>
    </xf>
    <xf numFmtId="1" fontId="11" fillId="0" borderId="25" xfId="0" applyNumberFormat="1" applyFont="1" applyBorder="1" applyAlignment="1">
      <alignment horizontal="center" vertical="center"/>
    </xf>
    <xf numFmtId="164" fontId="12" fillId="0" borderId="25" xfId="0" applyFont="1" applyBorder="1" applyAlignment="1">
      <alignment vertical="center"/>
    </xf>
    <xf numFmtId="44" fontId="11" fillId="0" borderId="25" xfId="0" applyNumberFormat="1" applyFont="1" applyBorder="1" applyAlignment="1">
      <alignment horizontal="center" vertical="center"/>
    </xf>
    <xf numFmtId="10" fontId="11" fillId="0" borderId="25" xfId="0" applyNumberFormat="1" applyFont="1" applyBorder="1" applyAlignment="1">
      <alignment horizontal="center" vertical="center"/>
    </xf>
    <xf numFmtId="44" fontId="11" fillId="0" borderId="5" xfId="0" applyNumberFormat="1" applyFont="1" applyBorder="1" applyAlignment="1">
      <alignment horizontal="center" vertical="center"/>
    </xf>
    <xf numFmtId="10" fontId="11" fillId="0" borderId="10" xfId="0" applyNumberFormat="1" applyFont="1" applyBorder="1" applyAlignment="1">
      <alignment horizontal="center" vertical="center"/>
    </xf>
    <xf numFmtId="164" fontId="11" fillId="0" borderId="9" xfId="0" applyFont="1" applyBorder="1" applyAlignment="1">
      <alignment horizontal="center" vertical="center"/>
    </xf>
    <xf numFmtId="1" fontId="11" fillId="0" borderId="10" xfId="0" applyNumberFormat="1" applyFont="1" applyBorder="1" applyAlignment="1">
      <alignment horizontal="center" vertical="center"/>
    </xf>
    <xf numFmtId="164" fontId="12" fillId="0" borderId="10" xfId="0" applyFont="1" applyBorder="1" applyAlignment="1">
      <alignment vertical="center"/>
    </xf>
    <xf numFmtId="10" fontId="12" fillId="5" borderId="10" xfId="0" applyNumberFormat="1" applyFont="1" applyFill="1" applyBorder="1" applyAlignment="1">
      <alignment horizontal="center" vertical="center"/>
    </xf>
    <xf numFmtId="164" fontId="11" fillId="0" borderId="16" xfId="0" applyFont="1" applyBorder="1" applyAlignment="1">
      <alignment horizontal="center" vertical="center"/>
    </xf>
    <xf numFmtId="1" fontId="11" fillId="0" borderId="24" xfId="0" applyNumberFormat="1" applyFont="1" applyBorder="1" applyAlignment="1">
      <alignment horizontal="center" vertical="center"/>
    </xf>
    <xf numFmtId="164" fontId="12" fillId="0" borderId="24" xfId="0" applyFont="1" applyBorder="1" applyAlignment="1">
      <alignment vertical="center"/>
    </xf>
    <xf numFmtId="44" fontId="11" fillId="0" borderId="24" xfId="0" applyNumberFormat="1" applyFont="1" applyBorder="1" applyAlignment="1">
      <alignment horizontal="center" vertical="center"/>
    </xf>
    <xf numFmtId="10" fontId="11" fillId="0" borderId="24" xfId="0" applyNumberFormat="1" applyFont="1" applyBorder="1" applyAlignment="1">
      <alignment horizontal="center" vertical="center"/>
    </xf>
    <xf numFmtId="44" fontId="11" fillId="0" borderId="17" xfId="0" applyNumberFormat="1" applyFont="1" applyBorder="1" applyAlignment="1">
      <alignment horizontal="center" vertical="center"/>
    </xf>
    <xf numFmtId="164" fontId="11" fillId="0" borderId="12" xfId="0" applyFont="1" applyBorder="1" applyAlignment="1">
      <alignment horizontal="center" vertical="center"/>
    </xf>
    <xf numFmtId="1" fontId="11" fillId="0" borderId="18" xfId="0" applyNumberFormat="1" applyFont="1" applyBorder="1" applyAlignment="1">
      <alignment horizontal="center" vertical="center"/>
    </xf>
    <xf numFmtId="164" fontId="12" fillId="0" borderId="18" xfId="0" applyFont="1" applyBorder="1" applyAlignment="1">
      <alignment vertical="center"/>
    </xf>
    <xf numFmtId="164" fontId="12" fillId="0" borderId="0" xfId="0" applyFont="1" applyAlignment="1">
      <alignment vertical="center"/>
    </xf>
    <xf numFmtId="164" fontId="11" fillId="0" borderId="25" xfId="0" applyFont="1" applyBorder="1" applyAlignment="1">
      <alignment vertical="center"/>
    </xf>
    <xf numFmtId="164" fontId="11" fillId="0" borderId="10" xfId="0" applyFont="1" applyBorder="1" applyAlignment="1">
      <alignment vertical="center"/>
    </xf>
    <xf numFmtId="164" fontId="11" fillId="6" borderId="10" xfId="0" applyFont="1" applyFill="1" applyBorder="1" applyAlignment="1">
      <alignment vertical="center"/>
    </xf>
    <xf numFmtId="164" fontId="12" fillId="7" borderId="9" xfId="0" applyFont="1" applyFill="1" applyBorder="1" applyAlignment="1">
      <alignment vertical="center"/>
    </xf>
    <xf numFmtId="44" fontId="12" fillId="7" borderId="10" xfId="0" applyNumberFormat="1" applyFont="1" applyFill="1" applyBorder="1" applyAlignment="1">
      <alignment horizontal="center" vertical="center"/>
    </xf>
    <xf numFmtId="10" fontId="12" fillId="7" borderId="10" xfId="0" applyNumberFormat="1" applyFont="1" applyFill="1" applyBorder="1" applyAlignment="1">
      <alignment horizontal="center" vertical="center"/>
    </xf>
    <xf numFmtId="44" fontId="12" fillId="7" borderId="11" xfId="0" applyNumberFormat="1" applyFont="1" applyFill="1" applyBorder="1" applyAlignment="1">
      <alignment horizontal="center" vertical="center"/>
    </xf>
    <xf numFmtId="164" fontId="12" fillId="7" borderId="12" xfId="0" applyFont="1" applyFill="1" applyBorder="1" applyAlignment="1">
      <alignment vertical="center"/>
    </xf>
    <xf numFmtId="44" fontId="12" fillId="7" borderId="18" xfId="0" applyNumberFormat="1" applyFont="1" applyFill="1" applyBorder="1" applyAlignment="1">
      <alignment horizontal="center" vertical="center"/>
    </xf>
    <xf numFmtId="10" fontId="12" fillId="7" borderId="18" xfId="0" applyNumberFormat="1" applyFont="1" applyFill="1" applyBorder="1" applyAlignment="1">
      <alignment horizontal="center" vertical="center"/>
    </xf>
    <xf numFmtId="44" fontId="12" fillId="7" borderId="13" xfId="0" applyNumberFormat="1" applyFont="1" applyFill="1" applyBorder="1" applyAlignment="1">
      <alignment horizontal="center" vertical="center"/>
    </xf>
    <xf numFmtId="165" fontId="11" fillId="0" borderId="0" xfId="0" applyNumberFormat="1" applyFont="1" applyAlignment="1">
      <alignment vertical="center"/>
    </xf>
    <xf numFmtId="44" fontId="11" fillId="0" borderId="25" xfId="0" applyNumberFormat="1" applyFont="1" applyBorder="1" applyAlignment="1">
      <alignment vertical="center"/>
    </xf>
    <xf numFmtId="164" fontId="11" fillId="0" borderId="5" xfId="0" applyFont="1" applyBorder="1" applyAlignment="1">
      <alignment vertical="center"/>
    </xf>
    <xf numFmtId="164" fontId="11" fillId="0" borderId="11" xfId="0" applyFont="1" applyBorder="1" applyAlignment="1">
      <alignment horizontal="center" vertical="center"/>
    </xf>
    <xf numFmtId="164" fontId="11" fillId="0" borderId="18" xfId="0" applyFont="1" applyBorder="1" applyAlignment="1">
      <alignment vertical="center"/>
    </xf>
    <xf numFmtId="164" fontId="11" fillId="7" borderId="12" xfId="0" applyFont="1" applyFill="1" applyBorder="1" applyAlignment="1">
      <alignment vertical="center"/>
    </xf>
    <xf numFmtId="44" fontId="11" fillId="7" borderId="18" xfId="0" applyNumberFormat="1" applyFont="1" applyFill="1" applyBorder="1" applyAlignment="1">
      <alignment horizontal="center" vertical="center"/>
    </xf>
    <xf numFmtId="10" fontId="11" fillId="7" borderId="18" xfId="0" applyNumberFormat="1" applyFont="1" applyFill="1" applyBorder="1" applyAlignment="1">
      <alignment horizontal="center" vertical="center"/>
    </xf>
    <xf numFmtId="44" fontId="11" fillId="7" borderId="13" xfId="0" applyNumberFormat="1" applyFont="1" applyFill="1" applyBorder="1" applyAlignment="1">
      <alignment horizontal="center" vertical="center"/>
    </xf>
    <xf numFmtId="165" fontId="11" fillId="0" borderId="18" xfId="0" applyNumberFormat="1" applyFont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164" fontId="11" fillId="8" borderId="4" xfId="0" applyFont="1" applyFill="1" applyBorder="1" applyAlignment="1">
      <alignment horizontal="center"/>
    </xf>
    <xf numFmtId="164" fontId="11" fillId="8" borderId="40" xfId="0" applyFont="1" applyFill="1" applyBorder="1" applyAlignment="1">
      <alignment horizontal="center"/>
    </xf>
    <xf numFmtId="164" fontId="11" fillId="8" borderId="5" xfId="0" applyFont="1" applyFill="1" applyBorder="1" applyAlignment="1">
      <alignment horizontal="center"/>
    </xf>
    <xf numFmtId="164" fontId="11" fillId="0" borderId="0" xfId="0" applyFont="1" applyAlignment="1">
      <alignment horizontal="center"/>
    </xf>
    <xf numFmtId="44" fontId="11" fillId="5" borderId="4" xfId="0" applyNumberFormat="1" applyFont="1" applyFill="1" applyBorder="1" applyAlignment="1">
      <alignment horizontal="center"/>
    </xf>
    <xf numFmtId="44" fontId="11" fillId="5" borderId="41" xfId="0" applyNumberFormat="1" applyFont="1" applyFill="1" applyBorder="1" applyAlignment="1">
      <alignment horizontal="center"/>
    </xf>
    <xf numFmtId="44" fontId="11" fillId="5" borderId="25" xfId="0" applyNumberFormat="1" applyFont="1" applyFill="1" applyBorder="1" applyAlignment="1">
      <alignment horizontal="center"/>
    </xf>
    <xf numFmtId="10" fontId="11" fillId="5" borderId="5" xfId="0" applyNumberFormat="1" applyFont="1" applyFill="1" applyBorder="1" applyAlignment="1">
      <alignment horizontal="center"/>
    </xf>
    <xf numFmtId="44" fontId="11" fillId="0" borderId="0" xfId="0" applyNumberFormat="1" applyFont="1" applyAlignment="1">
      <alignment horizontal="center"/>
    </xf>
    <xf numFmtId="44" fontId="11" fillId="9" borderId="4" xfId="0" applyNumberFormat="1" applyFont="1" applyFill="1" applyBorder="1" applyAlignment="1">
      <alignment horizontal="center"/>
    </xf>
    <xf numFmtId="44" fontId="11" fillId="9" borderId="40" xfId="0" applyNumberFormat="1" applyFont="1" applyFill="1" applyBorder="1" applyAlignment="1">
      <alignment horizontal="center"/>
    </xf>
    <xf numFmtId="44" fontId="11" fillId="9" borderId="42" xfId="0" applyNumberFormat="1" applyFont="1" applyFill="1" applyBorder="1" applyAlignment="1">
      <alignment horizontal="center"/>
    </xf>
    <xf numFmtId="10" fontId="11" fillId="9" borderId="5" xfId="0" applyNumberFormat="1" applyFont="1" applyFill="1" applyBorder="1" applyAlignment="1">
      <alignment horizontal="center"/>
    </xf>
    <xf numFmtId="44" fontId="11" fillId="0" borderId="0" xfId="0" applyNumberFormat="1" applyFont="1"/>
    <xf numFmtId="44" fontId="11" fillId="10" borderId="4" xfId="0" applyNumberFormat="1" applyFont="1" applyFill="1" applyBorder="1" applyAlignment="1">
      <alignment horizontal="center"/>
    </xf>
    <xf numFmtId="44" fontId="11" fillId="10" borderId="40" xfId="0" applyNumberFormat="1" applyFont="1" applyFill="1" applyBorder="1" applyAlignment="1">
      <alignment horizontal="center"/>
    </xf>
    <xf numFmtId="44" fontId="11" fillId="10" borderId="5" xfId="0" applyNumberFormat="1" applyFont="1" applyFill="1" applyBorder="1" applyAlignment="1">
      <alignment horizontal="center"/>
    </xf>
    <xf numFmtId="16" fontId="11" fillId="8" borderId="9" xfId="0" applyNumberFormat="1" applyFont="1" applyFill="1" applyBorder="1" applyAlignment="1">
      <alignment horizontal="center"/>
    </xf>
    <xf numFmtId="1" fontId="11" fillId="8" borderId="43" xfId="0" applyNumberFormat="1" applyFont="1" applyFill="1" applyBorder="1" applyAlignment="1">
      <alignment horizontal="center"/>
    </xf>
    <xf numFmtId="1" fontId="11" fillId="8" borderId="11" xfId="0" applyNumberFormat="1" applyFont="1" applyFill="1" applyBorder="1" applyAlignment="1">
      <alignment horizontal="center"/>
    </xf>
    <xf numFmtId="44" fontId="11" fillId="5" borderId="9" xfId="0" applyNumberFormat="1" applyFont="1" applyFill="1" applyBorder="1"/>
    <xf numFmtId="44" fontId="11" fillId="5" borderId="44" xfId="0" applyNumberFormat="1" applyFont="1" applyFill="1" applyBorder="1"/>
    <xf numFmtId="44" fontId="11" fillId="5" borderId="10" xfId="0" applyNumberFormat="1" applyFont="1" applyFill="1" applyBorder="1"/>
    <xf numFmtId="10" fontId="11" fillId="5" borderId="11" xfId="0" applyNumberFormat="1" applyFont="1" applyFill="1" applyBorder="1" applyAlignment="1">
      <alignment horizontal="center"/>
    </xf>
    <xf numFmtId="44" fontId="11" fillId="9" borderId="9" xfId="0" applyNumberFormat="1" applyFont="1" applyFill="1" applyBorder="1" applyAlignment="1">
      <alignment horizontal="center"/>
    </xf>
    <xf numFmtId="44" fontId="11" fillId="9" borderId="43" xfId="0" applyNumberFormat="1" applyFont="1" applyFill="1" applyBorder="1" applyAlignment="1">
      <alignment horizontal="center"/>
    </xf>
    <xf numFmtId="44" fontId="11" fillId="9" borderId="45" xfId="0" applyNumberFormat="1" applyFont="1" applyFill="1" applyBorder="1"/>
    <xf numFmtId="10" fontId="11" fillId="9" borderId="11" xfId="0" applyNumberFormat="1" applyFont="1" applyFill="1" applyBorder="1" applyAlignment="1">
      <alignment horizontal="center"/>
    </xf>
    <xf numFmtId="44" fontId="11" fillId="10" borderId="9" xfId="0" applyNumberFormat="1" applyFont="1" applyFill="1" applyBorder="1"/>
    <xf numFmtId="44" fontId="11" fillId="10" borderId="43" xfId="0" applyNumberFormat="1" applyFont="1" applyFill="1" applyBorder="1"/>
    <xf numFmtId="44" fontId="11" fillId="10" borderId="11" xfId="0" applyNumberFormat="1" applyFont="1" applyFill="1" applyBorder="1"/>
    <xf numFmtId="16" fontId="11" fillId="8" borderId="9" xfId="0" quotePrefix="1" applyNumberFormat="1" applyFont="1" applyFill="1" applyBorder="1" applyAlignment="1">
      <alignment horizontal="center"/>
    </xf>
    <xf numFmtId="164" fontId="11" fillId="8" borderId="9" xfId="0" applyFont="1" applyFill="1" applyBorder="1" applyAlignment="1">
      <alignment horizontal="center"/>
    </xf>
    <xf numFmtId="10" fontId="11" fillId="10" borderId="11" xfId="0" applyNumberFormat="1" applyFont="1" applyFill="1" applyBorder="1" applyAlignment="1">
      <alignment horizontal="center"/>
    </xf>
    <xf numFmtId="44" fontId="11" fillId="11" borderId="4" xfId="0" applyNumberFormat="1" applyFont="1" applyFill="1" applyBorder="1" applyAlignment="1">
      <alignment horizontal="center"/>
    </xf>
    <xf numFmtId="44" fontId="11" fillId="11" borderId="41" xfId="0" applyNumberFormat="1" applyFont="1" applyFill="1" applyBorder="1" applyAlignment="1">
      <alignment horizontal="center"/>
    </xf>
    <xf numFmtId="44" fontId="11" fillId="11" borderId="25" xfId="0" applyNumberFormat="1" applyFont="1" applyFill="1" applyBorder="1" applyAlignment="1">
      <alignment horizontal="center"/>
    </xf>
    <xf numFmtId="10" fontId="11" fillId="11" borderId="5" xfId="0" applyNumberFormat="1" applyFont="1" applyFill="1" applyBorder="1" applyAlignment="1">
      <alignment horizontal="center"/>
    </xf>
    <xf numFmtId="44" fontId="11" fillId="12" borderId="4" xfId="0" applyNumberFormat="1" applyFont="1" applyFill="1" applyBorder="1" applyAlignment="1">
      <alignment horizontal="center"/>
    </xf>
    <xf numFmtId="44" fontId="11" fillId="12" borderId="41" xfId="0" applyNumberFormat="1" applyFont="1" applyFill="1" applyBorder="1" applyAlignment="1">
      <alignment horizontal="center"/>
    </xf>
    <xf numFmtId="44" fontId="11" fillId="12" borderId="25" xfId="0" applyNumberFormat="1" applyFont="1" applyFill="1" applyBorder="1" applyAlignment="1">
      <alignment horizontal="center"/>
    </xf>
    <xf numFmtId="10" fontId="11" fillId="12" borderId="5" xfId="0" applyNumberFormat="1" applyFont="1" applyFill="1" applyBorder="1" applyAlignment="1">
      <alignment horizontal="center"/>
    </xf>
    <xf numFmtId="44" fontId="11" fillId="13" borderId="4" xfId="0" applyNumberFormat="1" applyFont="1" applyFill="1" applyBorder="1" applyAlignment="1">
      <alignment horizontal="center"/>
    </xf>
    <xf numFmtId="44" fontId="11" fillId="13" borderId="40" xfId="0" applyNumberFormat="1" applyFont="1" applyFill="1" applyBorder="1" applyAlignment="1">
      <alignment horizontal="center"/>
    </xf>
    <xf numFmtId="44" fontId="11" fillId="13" borderId="5" xfId="0" applyNumberFormat="1" applyFont="1" applyFill="1" applyBorder="1" applyAlignment="1">
      <alignment horizontal="center"/>
    </xf>
    <xf numFmtId="44" fontId="11" fillId="11" borderId="9" xfId="0" applyNumberFormat="1" applyFont="1" applyFill="1" applyBorder="1"/>
    <xf numFmtId="44" fontId="11" fillId="11" borderId="44" xfId="0" applyNumberFormat="1" applyFont="1" applyFill="1" applyBorder="1"/>
    <xf numFmtId="44" fontId="11" fillId="11" borderId="10" xfId="0" applyNumberFormat="1" applyFont="1" applyFill="1" applyBorder="1"/>
    <xf numFmtId="10" fontId="11" fillId="11" borderId="11" xfId="0" applyNumberFormat="1" applyFont="1" applyFill="1" applyBorder="1" applyAlignment="1">
      <alignment horizontal="center"/>
    </xf>
    <xf numFmtId="44" fontId="11" fillId="12" borderId="9" xfId="0" applyNumberFormat="1" applyFont="1" applyFill="1" applyBorder="1"/>
    <xf numFmtId="44" fontId="11" fillId="12" borderId="44" xfId="0" applyNumberFormat="1" applyFont="1" applyFill="1" applyBorder="1"/>
    <xf numFmtId="44" fontId="11" fillId="12" borderId="10" xfId="0" applyNumberFormat="1" applyFont="1" applyFill="1" applyBorder="1"/>
    <xf numFmtId="10" fontId="11" fillId="12" borderId="11" xfId="0" applyNumberFormat="1" applyFont="1" applyFill="1" applyBorder="1" applyAlignment="1">
      <alignment horizontal="center"/>
    </xf>
    <xf numFmtId="44" fontId="11" fillId="13" borderId="9" xfId="0" applyNumberFormat="1" applyFont="1" applyFill="1" applyBorder="1"/>
    <xf numFmtId="44" fontId="11" fillId="13" borderId="43" xfId="0" applyNumberFormat="1" applyFont="1" applyFill="1" applyBorder="1"/>
    <xf numFmtId="44" fontId="11" fillId="13" borderId="11" xfId="0" applyNumberFormat="1" applyFont="1" applyFill="1" applyBorder="1"/>
    <xf numFmtId="164" fontId="11" fillId="5" borderId="46" xfId="0" applyFont="1" applyFill="1" applyBorder="1"/>
    <xf numFmtId="1" fontId="11" fillId="5" borderId="46" xfId="0" applyNumberFormat="1" applyFont="1" applyFill="1" applyBorder="1"/>
    <xf numFmtId="16" fontId="11" fillId="5" borderId="46" xfId="0" applyNumberFormat="1" applyFont="1" applyFill="1" applyBorder="1" applyAlignment="1">
      <alignment horizontal="left" vertical="center"/>
    </xf>
    <xf numFmtId="16" fontId="11" fillId="5" borderId="46" xfId="0" applyNumberFormat="1" applyFont="1" applyFill="1" applyBorder="1" applyAlignment="1">
      <alignment horizontal="center" vertical="center"/>
    </xf>
    <xf numFmtId="164" fontId="12" fillId="5" borderId="10" xfId="0" applyFont="1" applyFill="1" applyBorder="1" applyAlignment="1">
      <alignment horizontal="center"/>
    </xf>
    <xf numFmtId="10" fontId="12" fillId="5" borderId="10" xfId="0" applyNumberFormat="1" applyFont="1" applyFill="1" applyBorder="1" applyAlignment="1">
      <alignment horizontal="center"/>
    </xf>
    <xf numFmtId="14" fontId="11" fillId="9" borderId="10" xfId="0" applyNumberFormat="1" applyFont="1" applyFill="1" applyBorder="1"/>
    <xf numFmtId="14" fontId="11" fillId="11" borderId="10" xfId="0" applyNumberFormat="1" applyFont="1" applyFill="1" applyBorder="1"/>
    <xf numFmtId="14" fontId="11" fillId="14" borderId="10" xfId="0" applyNumberFormat="1" applyFont="1" applyFill="1" applyBorder="1"/>
    <xf numFmtId="14" fontId="11" fillId="12" borderId="10" xfId="0" applyNumberFormat="1" applyFont="1" applyFill="1" applyBorder="1"/>
    <xf numFmtId="14" fontId="11" fillId="10" borderId="10" xfId="0" applyNumberFormat="1" applyFont="1" applyFill="1" applyBorder="1"/>
    <xf numFmtId="14" fontId="11" fillId="13" borderId="10" xfId="0" applyNumberFormat="1" applyFont="1" applyFill="1" applyBorder="1"/>
    <xf numFmtId="14" fontId="11" fillId="15" borderId="10" xfId="0" applyNumberFormat="1" applyFont="1" applyFill="1" applyBorder="1"/>
    <xf numFmtId="14" fontId="11" fillId="8" borderId="10" xfId="0" applyNumberFormat="1" applyFont="1" applyFill="1" applyBorder="1"/>
    <xf numFmtId="1" fontId="11" fillId="5" borderId="10" xfId="0" applyNumberFormat="1" applyFont="1" applyFill="1" applyBorder="1" applyAlignment="1">
      <alignment horizontal="center"/>
    </xf>
    <xf numFmtId="16" fontId="11" fillId="5" borderId="45" xfId="0" applyNumberFormat="1" applyFont="1" applyFill="1" applyBorder="1" applyAlignment="1">
      <alignment horizontal="left" vertical="center"/>
    </xf>
    <xf numFmtId="16" fontId="11" fillId="5" borderId="45" xfId="0" applyNumberFormat="1" applyFont="1" applyFill="1" applyBorder="1" applyAlignment="1">
      <alignment horizontal="center" vertical="center"/>
    </xf>
    <xf numFmtId="164" fontId="11" fillId="9" borderId="10" xfId="0" applyFont="1" applyFill="1" applyBorder="1" applyAlignment="1">
      <alignment horizontal="center"/>
    </xf>
    <xf numFmtId="164" fontId="11" fillId="11" borderId="10" xfId="0" applyFont="1" applyFill="1" applyBorder="1" applyAlignment="1">
      <alignment horizontal="center"/>
    </xf>
    <xf numFmtId="164" fontId="11" fillId="14" borderId="10" xfId="0" applyFont="1" applyFill="1" applyBorder="1" applyAlignment="1">
      <alignment horizontal="center"/>
    </xf>
    <xf numFmtId="164" fontId="11" fillId="12" borderId="10" xfId="0" applyFont="1" applyFill="1" applyBorder="1" applyAlignment="1">
      <alignment horizontal="center"/>
    </xf>
    <xf numFmtId="164" fontId="11" fillId="10" borderId="10" xfId="0" applyFont="1" applyFill="1" applyBorder="1" applyAlignment="1">
      <alignment horizontal="center"/>
    </xf>
    <xf numFmtId="164" fontId="11" fillId="13" borderId="10" xfId="0" applyFont="1" applyFill="1" applyBorder="1" applyAlignment="1">
      <alignment horizontal="center"/>
    </xf>
    <xf numFmtId="164" fontId="11" fillId="15" borderId="10" xfId="0" applyFont="1" applyFill="1" applyBorder="1" applyAlignment="1">
      <alignment horizontal="center"/>
    </xf>
    <xf numFmtId="164" fontId="11" fillId="8" borderId="10" xfId="0" applyFont="1" applyFill="1" applyBorder="1" applyAlignment="1">
      <alignment horizontal="center"/>
    </xf>
    <xf numFmtId="164" fontId="11" fillId="5" borderId="45" xfId="0" applyFont="1" applyFill="1" applyBorder="1" applyAlignment="1">
      <alignment horizontal="left" vertical="center"/>
    </xf>
    <xf numFmtId="164" fontId="11" fillId="5" borderId="45" xfId="0" applyFont="1" applyFill="1" applyBorder="1" applyAlignment="1">
      <alignment horizontal="center" vertical="center"/>
    </xf>
    <xf numFmtId="44" fontId="12" fillId="5" borderId="10" xfId="0" applyNumberFormat="1" applyFont="1" applyFill="1" applyBorder="1" applyAlignment="1">
      <alignment horizontal="center"/>
    </xf>
    <xf numFmtId="10" fontId="12" fillId="5" borderId="45" xfId="0" applyNumberFormat="1" applyFont="1" applyFill="1" applyBorder="1" applyAlignment="1">
      <alignment horizontal="center"/>
    </xf>
    <xf numFmtId="44" fontId="11" fillId="9" borderId="10" xfId="0" applyNumberFormat="1" applyFont="1" applyFill="1" applyBorder="1"/>
    <xf numFmtId="164" fontId="11" fillId="9" borderId="10" xfId="0" applyFont="1" applyFill="1" applyBorder="1"/>
    <xf numFmtId="164" fontId="11" fillId="11" borderId="10" xfId="0" applyFont="1" applyFill="1" applyBorder="1"/>
    <xf numFmtId="44" fontId="11" fillId="14" borderId="10" xfId="0" applyNumberFormat="1" applyFont="1" applyFill="1" applyBorder="1"/>
    <xf numFmtId="164" fontId="11" fillId="14" borderId="10" xfId="0" applyFont="1" applyFill="1" applyBorder="1"/>
    <xf numFmtId="164" fontId="11" fillId="12" borderId="10" xfId="0" applyFont="1" applyFill="1" applyBorder="1"/>
    <xf numFmtId="44" fontId="11" fillId="10" borderId="10" xfId="0" applyNumberFormat="1" applyFont="1" applyFill="1" applyBorder="1"/>
    <xf numFmtId="164" fontId="11" fillId="10" borderId="10" xfId="0" applyFont="1" applyFill="1" applyBorder="1"/>
    <xf numFmtId="44" fontId="11" fillId="13" borderId="10" xfId="0" applyNumberFormat="1" applyFont="1" applyFill="1" applyBorder="1"/>
    <xf numFmtId="164" fontId="11" fillId="13" borderId="10" xfId="0" applyFont="1" applyFill="1" applyBorder="1"/>
    <xf numFmtId="44" fontId="11" fillId="15" borderId="10" xfId="0" applyNumberFormat="1" applyFont="1" applyFill="1" applyBorder="1"/>
    <xf numFmtId="164" fontId="11" fillId="15" borderId="10" xfId="0" applyFont="1" applyFill="1" applyBorder="1"/>
    <xf numFmtId="44" fontId="11" fillId="8" borderId="10" xfId="0" applyNumberFormat="1" applyFont="1" applyFill="1" applyBorder="1"/>
    <xf numFmtId="164" fontId="11" fillId="8" borderId="10" xfId="0" applyFont="1" applyFill="1" applyBorder="1"/>
    <xf numFmtId="164" fontId="11" fillId="5" borderId="10" xfId="0" applyFont="1" applyFill="1" applyBorder="1" applyAlignment="1">
      <alignment horizontal="center"/>
    </xf>
    <xf numFmtId="10" fontId="11" fillId="5" borderId="10" xfId="0" applyNumberFormat="1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 vertical="center"/>
    </xf>
    <xf numFmtId="44" fontId="11" fillId="5" borderId="45" xfId="0" applyNumberFormat="1" applyFont="1" applyFill="1" applyBorder="1" applyAlignment="1">
      <alignment horizontal="center" vertical="center"/>
    </xf>
    <xf numFmtId="44" fontId="12" fillId="5" borderId="45" xfId="0" applyNumberFormat="1" applyFont="1" applyFill="1" applyBorder="1" applyAlignment="1">
      <alignment horizontal="center"/>
    </xf>
    <xf numFmtId="164" fontId="12" fillId="5" borderId="45" xfId="0" applyFont="1" applyFill="1" applyBorder="1" applyAlignment="1">
      <alignment horizontal="center"/>
    </xf>
    <xf numFmtId="44" fontId="11" fillId="5" borderId="10" xfId="0" applyNumberFormat="1" applyFont="1" applyFill="1" applyBorder="1" applyAlignment="1">
      <alignment horizontal="center" vertical="center"/>
    </xf>
    <xf numFmtId="44" fontId="11" fillId="5" borderId="10" xfId="0" applyNumberFormat="1" applyFont="1" applyFill="1" applyBorder="1" applyAlignment="1">
      <alignment horizontal="left" vertical="center"/>
    </xf>
    <xf numFmtId="1" fontId="11" fillId="0" borderId="0" xfId="0" applyNumberFormat="1" applyFont="1" applyAlignment="1">
      <alignment horizontal="center"/>
    </xf>
    <xf numFmtId="164" fontId="11" fillId="0" borderId="0" xfId="0" applyFont="1" applyAlignment="1">
      <alignment horizontal="left" vertical="center"/>
    </xf>
    <xf numFmtId="164" fontId="11" fillId="0" borderId="0" xfId="0" applyFont="1"/>
    <xf numFmtId="10" fontId="11" fillId="0" borderId="0" xfId="0" applyNumberFormat="1" applyFont="1" applyAlignment="1">
      <alignment horizontal="center"/>
    </xf>
    <xf numFmtId="44" fontId="12" fillId="5" borderId="10" xfId="0" applyNumberFormat="1" applyFont="1" applyFill="1" applyBorder="1"/>
    <xf numFmtId="14" fontId="13" fillId="0" borderId="10" xfId="0" applyNumberFormat="1" applyFont="1" applyBorder="1"/>
    <xf numFmtId="164" fontId="13" fillId="0" borderId="10" xfId="0" applyFont="1" applyBorder="1"/>
    <xf numFmtId="165" fontId="13" fillId="0" borderId="10" xfId="0" applyNumberFormat="1" applyFont="1" applyBorder="1" applyAlignment="1">
      <alignment horizontal="left"/>
    </xf>
    <xf numFmtId="164" fontId="13" fillId="0" borderId="0" xfId="0" applyFont="1"/>
    <xf numFmtId="1" fontId="13" fillId="10" borderId="10" xfId="0" applyNumberFormat="1" applyFont="1" applyFill="1" applyBorder="1" applyAlignment="1">
      <alignment horizontal="center"/>
    </xf>
    <xf numFmtId="44" fontId="13" fillId="10" borderId="10" xfId="0" applyNumberFormat="1" applyFont="1" applyFill="1" applyBorder="1"/>
    <xf numFmtId="164" fontId="13" fillId="13" borderId="10" xfId="0" applyFont="1" applyFill="1" applyBorder="1"/>
    <xf numFmtId="44" fontId="13" fillId="13" borderId="10" xfId="0" applyNumberFormat="1" applyFont="1" applyFill="1" applyBorder="1"/>
    <xf numFmtId="164" fontId="13" fillId="15" borderId="10" xfId="0" applyFont="1" applyFill="1" applyBorder="1"/>
    <xf numFmtId="44" fontId="13" fillId="15" borderId="10" xfId="0" applyNumberFormat="1" applyFont="1" applyFill="1" applyBorder="1"/>
    <xf numFmtId="164" fontId="13" fillId="8" borderId="10" xfId="0" applyFont="1" applyFill="1" applyBorder="1"/>
    <xf numFmtId="44" fontId="13" fillId="8" borderId="10" xfId="0" applyNumberFormat="1" applyFont="1" applyFill="1" applyBorder="1"/>
    <xf numFmtId="164" fontId="13" fillId="9" borderId="10" xfId="0" applyFont="1" applyFill="1" applyBorder="1"/>
    <xf numFmtId="44" fontId="13" fillId="9" borderId="10" xfId="0" applyNumberFormat="1" applyFont="1" applyFill="1" applyBorder="1"/>
    <xf numFmtId="1" fontId="13" fillId="0" borderId="10" xfId="0" applyNumberFormat="1" applyFont="1" applyBorder="1"/>
    <xf numFmtId="2" fontId="13" fillId="0" borderId="10" xfId="0" applyNumberFormat="1" applyFont="1" applyBorder="1"/>
    <xf numFmtId="1" fontId="13" fillId="10" borderId="10" xfId="0" applyNumberFormat="1" applyFont="1" applyFill="1" applyBorder="1"/>
    <xf numFmtId="164" fontId="13" fillId="12" borderId="10" xfId="0" applyFont="1" applyFill="1" applyBorder="1"/>
    <xf numFmtId="44" fontId="13" fillId="12" borderId="10" xfId="0" applyNumberFormat="1" applyFont="1" applyFill="1" applyBorder="1"/>
    <xf numFmtId="1" fontId="13" fillId="10" borderId="46" xfId="0" applyNumberFormat="1" applyFont="1" applyFill="1" applyBorder="1"/>
    <xf numFmtId="44" fontId="13" fillId="10" borderId="46" xfId="0" applyNumberFormat="1" applyFont="1" applyFill="1" applyBorder="1"/>
    <xf numFmtId="164" fontId="13" fillId="13" borderId="46" xfId="0" applyFont="1" applyFill="1" applyBorder="1"/>
    <xf numFmtId="44" fontId="13" fillId="13" borderId="46" xfId="0" applyNumberFormat="1" applyFont="1" applyFill="1" applyBorder="1"/>
    <xf numFmtId="164" fontId="13" fillId="15" borderId="46" xfId="0" applyFont="1" applyFill="1" applyBorder="1"/>
    <xf numFmtId="44" fontId="13" fillId="15" borderId="46" xfId="0" applyNumberFormat="1" applyFont="1" applyFill="1" applyBorder="1"/>
    <xf numFmtId="164" fontId="13" fillId="8" borderId="46" xfId="0" applyFont="1" applyFill="1" applyBorder="1"/>
    <xf numFmtId="44" fontId="13" fillId="8" borderId="46" xfId="0" applyNumberFormat="1" applyFont="1" applyFill="1" applyBorder="1"/>
    <xf numFmtId="164" fontId="13" fillId="12" borderId="46" xfId="0" applyFont="1" applyFill="1" applyBorder="1"/>
    <xf numFmtId="44" fontId="13" fillId="12" borderId="46" xfId="0" applyNumberFormat="1" applyFont="1" applyFill="1" applyBorder="1"/>
    <xf numFmtId="164" fontId="13" fillId="9" borderId="46" xfId="0" applyFont="1" applyFill="1" applyBorder="1"/>
    <xf numFmtId="44" fontId="13" fillId="9" borderId="46" xfId="0" applyNumberFormat="1" applyFont="1" applyFill="1" applyBorder="1"/>
    <xf numFmtId="164" fontId="13" fillId="0" borderId="10" xfId="0" applyFont="1" applyBorder="1" applyAlignment="1">
      <alignment horizontal="center"/>
    </xf>
    <xf numFmtId="1" fontId="13" fillId="0" borderId="10" xfId="0" applyNumberFormat="1" applyFont="1" applyBorder="1" applyAlignment="1">
      <alignment horizontal="center"/>
    </xf>
    <xf numFmtId="44" fontId="13" fillId="0" borderId="24" xfId="0" applyNumberFormat="1" applyFont="1" applyBorder="1" applyAlignment="1">
      <alignment horizontal="center"/>
    </xf>
    <xf numFmtId="44" fontId="13" fillId="0" borderId="10" xfId="0" applyNumberFormat="1" applyFont="1" applyBorder="1" applyAlignment="1">
      <alignment horizontal="center"/>
    </xf>
    <xf numFmtId="165" fontId="13" fillId="0" borderId="10" xfId="0" applyNumberFormat="1" applyFont="1" applyBorder="1"/>
    <xf numFmtId="14" fontId="13" fillId="0" borderId="0" xfId="0" applyNumberFormat="1" applyFont="1"/>
    <xf numFmtId="1" fontId="13" fillId="0" borderId="0" xfId="0" applyNumberFormat="1" applyFont="1" applyAlignment="1">
      <alignment horizontal="center"/>
    </xf>
    <xf numFmtId="44" fontId="13" fillId="0" borderId="0" xfId="0" applyNumberFormat="1" applyFont="1"/>
    <xf numFmtId="164" fontId="13" fillId="16" borderId="10" xfId="0" applyFont="1" applyFill="1" applyBorder="1"/>
    <xf numFmtId="14" fontId="11" fillId="5" borderId="10" xfId="0" applyNumberFormat="1" applyFont="1" applyFill="1" applyBorder="1" applyAlignment="1">
      <alignment horizontal="center"/>
    </xf>
    <xf numFmtId="164" fontId="11" fillId="5" borderId="45" xfId="0" applyFont="1" applyFill="1" applyBorder="1" applyAlignment="1">
      <alignment horizontal="center"/>
    </xf>
    <xf numFmtId="164" fontId="11" fillId="5" borderId="10" xfId="0" applyFont="1" applyFill="1" applyBorder="1"/>
    <xf numFmtId="165" fontId="11" fillId="5" borderId="10" xfId="0" applyNumberFormat="1" applyFont="1" applyFill="1" applyBorder="1" applyAlignment="1">
      <alignment horizontal="center"/>
    </xf>
    <xf numFmtId="165" fontId="11" fillId="4" borderId="44" xfId="0" applyNumberFormat="1" applyFont="1" applyFill="1" applyBorder="1" applyAlignment="1">
      <alignment horizontal="center"/>
    </xf>
    <xf numFmtId="165" fontId="11" fillId="4" borderId="10" xfId="0" applyNumberFormat="1" applyFont="1" applyFill="1" applyBorder="1" applyAlignment="1">
      <alignment horizontal="center"/>
    </xf>
    <xf numFmtId="165" fontId="11" fillId="14" borderId="45" xfId="0" applyNumberFormat="1" applyFont="1" applyFill="1" applyBorder="1" applyAlignment="1">
      <alignment horizontal="center"/>
    </xf>
    <xf numFmtId="165" fontId="11" fillId="14" borderId="10" xfId="0" applyNumberFormat="1" applyFont="1" applyFill="1" applyBorder="1" applyAlignment="1">
      <alignment horizontal="center"/>
    </xf>
    <xf numFmtId="165" fontId="11" fillId="4" borderId="45" xfId="0" applyNumberFormat="1" applyFont="1" applyFill="1" applyBorder="1" applyAlignment="1">
      <alignment horizontal="center"/>
    </xf>
    <xf numFmtId="165" fontId="11" fillId="5" borderId="45" xfId="0" applyNumberFormat="1" applyFont="1" applyFill="1" applyBorder="1" applyAlignment="1">
      <alignment horizontal="center"/>
    </xf>
    <xf numFmtId="164" fontId="11" fillId="5" borderId="10" xfId="0" applyFont="1" applyFill="1" applyBorder="1" applyAlignment="1">
      <alignment horizontal="left"/>
    </xf>
    <xf numFmtId="14" fontId="6" fillId="17" borderId="4" xfId="0" applyNumberFormat="1" applyFont="1" applyFill="1" applyBorder="1" applyAlignment="1">
      <alignment horizontal="left"/>
    </xf>
    <xf numFmtId="165" fontId="6" fillId="1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/>
    <xf numFmtId="165" fontId="6" fillId="7" borderId="42" xfId="0" applyNumberFormat="1" applyFont="1" applyFill="1" applyBorder="1" applyAlignment="1">
      <alignment horizontal="center"/>
    </xf>
    <xf numFmtId="165" fontId="6" fillId="17" borderId="4" xfId="0" applyNumberFormat="1" applyFont="1" applyFill="1" applyBorder="1" applyAlignment="1">
      <alignment horizontal="center"/>
    </xf>
    <xf numFmtId="165" fontId="6" fillId="17" borderId="25" xfId="0" applyNumberFormat="1" applyFont="1" applyFill="1" applyBorder="1" applyAlignment="1">
      <alignment horizontal="center"/>
    </xf>
    <xf numFmtId="14" fontId="6" fillId="17" borderId="9" xfId="0" applyNumberFormat="1" applyFont="1" applyFill="1" applyBorder="1" applyAlignment="1">
      <alignment horizontal="left"/>
    </xf>
    <xf numFmtId="166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/>
    <xf numFmtId="165" fontId="6" fillId="7" borderId="45" xfId="0" applyNumberFormat="1" applyFont="1" applyFill="1" applyBorder="1" applyAlignment="1">
      <alignment horizontal="center"/>
    </xf>
    <xf numFmtId="165" fontId="6" fillId="17" borderId="9" xfId="0" applyNumberFormat="1" applyFont="1" applyFill="1" applyBorder="1" applyAlignment="1">
      <alignment horizontal="center"/>
    </xf>
    <xf numFmtId="165" fontId="6" fillId="7" borderId="10" xfId="0" applyNumberFormat="1" applyFont="1" applyFill="1" applyBorder="1" applyAlignment="1">
      <alignment horizontal="center"/>
    </xf>
    <xf numFmtId="164" fontId="6" fillId="17" borderId="9" xfId="0" applyFont="1" applyFill="1" applyBorder="1" applyAlignment="1">
      <alignment horizontal="center"/>
    </xf>
    <xf numFmtId="165" fontId="6" fillId="17" borderId="10" xfId="0" applyNumberFormat="1" applyFont="1" applyFill="1" applyBorder="1" applyAlignment="1">
      <alignment horizontal="center"/>
    </xf>
    <xf numFmtId="165" fontId="6" fillId="17" borderId="45" xfId="0" applyNumberFormat="1" applyFont="1" applyFill="1" applyBorder="1" applyAlignment="1">
      <alignment horizontal="center"/>
    </xf>
    <xf numFmtId="10" fontId="6" fillId="12" borderId="11" xfId="0" applyNumberFormat="1" applyFont="1" applyFill="1" applyBorder="1" applyAlignment="1">
      <alignment horizontal="center"/>
    </xf>
    <xf numFmtId="14" fontId="6" fillId="17" borderId="12" xfId="0" applyNumberFormat="1" applyFont="1" applyFill="1" applyBorder="1" applyAlignment="1">
      <alignment horizontal="left"/>
    </xf>
    <xf numFmtId="165" fontId="6" fillId="1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/>
    <xf numFmtId="165" fontId="6" fillId="7" borderId="49" xfId="0" applyNumberFormat="1" applyFont="1" applyFill="1" applyBorder="1" applyAlignment="1">
      <alignment horizontal="center"/>
    </xf>
    <xf numFmtId="165" fontId="6" fillId="17" borderId="12" xfId="0" applyNumberFormat="1" applyFont="1" applyFill="1" applyBorder="1" applyAlignment="1">
      <alignment horizontal="center"/>
    </xf>
    <xf numFmtId="165" fontId="6" fillId="7" borderId="18" xfId="0" applyNumberFormat="1" applyFont="1" applyFill="1" applyBorder="1" applyAlignment="1">
      <alignment horizontal="center"/>
    </xf>
    <xf numFmtId="164" fontId="6" fillId="17" borderId="12" xfId="0" applyFont="1" applyFill="1" applyBorder="1" applyAlignment="1">
      <alignment horizontal="center"/>
    </xf>
    <xf numFmtId="165" fontId="6" fillId="17" borderId="18" xfId="0" applyNumberFormat="1" applyFont="1" applyFill="1" applyBorder="1" applyAlignment="1">
      <alignment horizontal="center"/>
    </xf>
    <xf numFmtId="165" fontId="6" fillId="12" borderId="13" xfId="0" applyNumberFormat="1" applyFont="1" applyFill="1" applyBorder="1" applyAlignment="1">
      <alignment horizontal="center"/>
    </xf>
    <xf numFmtId="14" fontId="6" fillId="0" borderId="0" xfId="0" applyNumberFormat="1" applyFont="1" applyAlignment="1">
      <alignment horizontal="left"/>
    </xf>
    <xf numFmtId="164" fontId="6" fillId="17" borderId="25" xfId="0" applyFont="1" applyFill="1" applyBorder="1" applyAlignment="1">
      <alignment horizontal="center"/>
    </xf>
    <xf numFmtId="165" fontId="6" fillId="8" borderId="4" xfId="0" applyNumberFormat="1" applyFont="1" applyFill="1" applyBorder="1" applyAlignment="1">
      <alignment horizontal="center"/>
    </xf>
    <xf numFmtId="165" fontId="6" fillId="8" borderId="5" xfId="0" applyNumberFormat="1" applyFont="1" applyFill="1" applyBorder="1" applyAlignment="1">
      <alignment horizontal="center"/>
    </xf>
    <xf numFmtId="164" fontId="6" fillId="17" borderId="4" xfId="0" applyFont="1" applyFill="1" applyBorder="1"/>
    <xf numFmtId="165" fontId="6" fillId="17" borderId="5" xfId="0" applyNumberFormat="1" applyFont="1" applyFill="1" applyBorder="1" applyAlignment="1">
      <alignment horizontal="center"/>
    </xf>
    <xf numFmtId="167" fontId="6" fillId="7" borderId="10" xfId="0" applyNumberFormat="1" applyFont="1" applyFill="1" applyBorder="1" applyAlignment="1">
      <alignment horizontal="center"/>
    </xf>
    <xf numFmtId="2" fontId="6" fillId="17" borderId="10" xfId="0" applyNumberFormat="1" applyFont="1" applyFill="1" applyBorder="1" applyAlignment="1">
      <alignment horizontal="center"/>
    </xf>
    <xf numFmtId="14" fontId="6" fillId="17" borderId="10" xfId="0" applyNumberFormat="1" applyFont="1" applyFill="1" applyBorder="1" applyAlignment="1">
      <alignment horizontal="center"/>
    </xf>
    <xf numFmtId="2" fontId="6" fillId="17" borderId="45" xfId="0" applyNumberFormat="1" applyFont="1" applyFill="1" applyBorder="1" applyAlignment="1">
      <alignment horizontal="center"/>
    </xf>
    <xf numFmtId="14" fontId="6" fillId="8" borderId="9" xfId="0" applyNumberFormat="1" applyFont="1" applyFill="1" applyBorder="1" applyAlignment="1">
      <alignment horizontal="center"/>
    </xf>
    <xf numFmtId="2" fontId="6" fillId="8" borderId="11" xfId="0" applyNumberFormat="1" applyFont="1" applyFill="1" applyBorder="1" applyAlignment="1">
      <alignment horizontal="center"/>
    </xf>
    <xf numFmtId="164" fontId="6" fillId="17" borderId="9" xfId="0" applyFont="1" applyFill="1" applyBorder="1"/>
    <xf numFmtId="165" fontId="6" fillId="17" borderId="11" xfId="0" applyNumberFormat="1" applyFont="1" applyFill="1" applyBorder="1" applyAlignment="1">
      <alignment horizontal="center"/>
    </xf>
    <xf numFmtId="167" fontId="6" fillId="7" borderId="18" xfId="0" applyNumberFormat="1" applyFont="1" applyFill="1" applyBorder="1" applyAlignment="1">
      <alignment horizontal="center"/>
    </xf>
    <xf numFmtId="2" fontId="6" fillId="17" borderId="18" xfId="0" applyNumberFormat="1" applyFont="1" applyFill="1" applyBorder="1" applyAlignment="1">
      <alignment horizontal="center"/>
    </xf>
    <xf numFmtId="14" fontId="6" fillId="17" borderId="18" xfId="0" applyNumberFormat="1" applyFont="1" applyFill="1" applyBorder="1" applyAlignment="1">
      <alignment horizontal="center"/>
    </xf>
    <xf numFmtId="2" fontId="6" fillId="17" borderId="49" xfId="0" applyNumberFormat="1" applyFont="1" applyFill="1" applyBorder="1" applyAlignment="1">
      <alignment horizontal="center"/>
    </xf>
    <xf numFmtId="14" fontId="6" fillId="8" borderId="12" xfId="0" applyNumberFormat="1" applyFont="1" applyFill="1" applyBorder="1" applyAlignment="1">
      <alignment horizontal="center"/>
    </xf>
    <xf numFmtId="2" fontId="6" fillId="8" borderId="13" xfId="0" applyNumberFormat="1" applyFont="1" applyFill="1" applyBorder="1" applyAlignment="1">
      <alignment horizontal="center"/>
    </xf>
    <xf numFmtId="10" fontId="6" fillId="7" borderId="12" xfId="0" applyNumberFormat="1" applyFont="1" applyFill="1" applyBorder="1" applyAlignment="1">
      <alignment horizontal="center"/>
    </xf>
    <xf numFmtId="10" fontId="6" fillId="7" borderId="13" xfId="0" applyNumberFormat="1" applyFont="1" applyFill="1" applyBorder="1" applyAlignment="1">
      <alignment horizontal="center"/>
    </xf>
    <xf numFmtId="164" fontId="6" fillId="17" borderId="12" xfId="0" applyFont="1" applyFill="1" applyBorder="1"/>
    <xf numFmtId="165" fontId="6" fillId="17" borderId="13" xfId="0" applyNumberFormat="1" applyFont="1" applyFill="1" applyBorder="1" applyAlignment="1">
      <alignment horizontal="center"/>
    </xf>
    <xf numFmtId="2" fontId="6" fillId="0" borderId="0" xfId="0" applyNumberFormat="1" applyFont="1" applyAlignment="1">
      <alignment horizontal="center"/>
    </xf>
    <xf numFmtId="8" fontId="11" fillId="5" borderId="10" xfId="0" applyNumberFormat="1" applyFont="1" applyFill="1" applyBorder="1" applyAlignment="1">
      <alignment horizontal="center"/>
    </xf>
    <xf numFmtId="8" fontId="11" fillId="0" borderId="0" xfId="0" applyNumberFormat="1" applyFont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5" borderId="10" xfId="0" applyNumberFormat="1" applyFont="1" applyFill="1" applyBorder="1" applyAlignment="1">
      <alignment horizontal="center"/>
    </xf>
    <xf numFmtId="14" fontId="11" fillId="0" borderId="0" xfId="0" applyNumberFormat="1" applyFont="1" applyAlignment="1">
      <alignment horizontal="center"/>
    </xf>
    <xf numFmtId="1" fontId="11" fillId="0" borderId="0" xfId="0" applyNumberFormat="1" applyFont="1"/>
    <xf numFmtId="14" fontId="11" fillId="0" borderId="0" xfId="0" applyNumberFormat="1" applyFont="1"/>
    <xf numFmtId="8" fontId="11" fillId="0" borderId="0" xfId="0" applyNumberFormat="1" applyFont="1"/>
    <xf numFmtId="1" fontId="11" fillId="17" borderId="10" xfId="0" applyNumberFormat="1" applyFont="1" applyFill="1" applyBorder="1" applyAlignment="1">
      <alignment horizontal="center"/>
    </xf>
    <xf numFmtId="8" fontId="11" fillId="14" borderId="10" xfId="0" applyNumberFormat="1" applyFont="1" applyFill="1" applyBorder="1" applyAlignment="1">
      <alignment horizontal="center"/>
    </xf>
    <xf numFmtId="8" fontId="11" fillId="3" borderId="10" xfId="0" applyNumberFormat="1" applyFont="1" applyFill="1" applyBorder="1" applyAlignment="1">
      <alignment horizontal="center"/>
    </xf>
    <xf numFmtId="1" fontId="11" fillId="0" borderId="10" xfId="0" applyNumberFormat="1" applyFont="1" applyBorder="1" applyAlignment="1">
      <alignment horizontal="center"/>
    </xf>
    <xf numFmtId="14" fontId="11" fillId="0" borderId="10" xfId="0" applyNumberFormat="1" applyFont="1" applyBorder="1"/>
    <xf numFmtId="10" fontId="11" fillId="14" borderId="10" xfId="0" applyNumberFormat="1" applyFont="1" applyFill="1" applyBorder="1" applyAlignment="1">
      <alignment horizontal="center"/>
    </xf>
    <xf numFmtId="10" fontId="11" fillId="3" borderId="10" xfId="0" applyNumberFormat="1" applyFont="1" applyFill="1" applyBorder="1" applyAlignment="1">
      <alignment horizontal="center"/>
    </xf>
    <xf numFmtId="14" fontId="11" fillId="0" borderId="30" xfId="0" applyNumberFormat="1" applyFont="1" applyBorder="1"/>
    <xf numFmtId="14" fontId="11" fillId="0" borderId="47" xfId="0" applyNumberFormat="1" applyFont="1" applyBorder="1"/>
    <xf numFmtId="14" fontId="11" fillId="0" borderId="24" xfId="0" applyNumberFormat="1" applyFont="1" applyBorder="1"/>
    <xf numFmtId="8" fontId="11" fillId="5" borderId="34" xfId="0" applyNumberFormat="1" applyFont="1" applyFill="1" applyBorder="1" applyAlignment="1">
      <alignment horizontal="center"/>
    </xf>
    <xf numFmtId="165" fontId="11" fillId="5" borderId="34" xfId="0" applyNumberFormat="1" applyFont="1" applyFill="1" applyBorder="1" applyAlignment="1">
      <alignment horizontal="center"/>
    </xf>
    <xf numFmtId="8" fontId="11" fillId="14" borderId="34" xfId="0" applyNumberFormat="1" applyFont="1" applyFill="1" applyBorder="1" applyAlignment="1">
      <alignment horizontal="center"/>
    </xf>
    <xf numFmtId="10" fontId="11" fillId="14" borderId="34" xfId="0" applyNumberFormat="1" applyFont="1" applyFill="1" applyBorder="1" applyAlignment="1">
      <alignment horizontal="center"/>
    </xf>
    <xf numFmtId="8" fontId="11" fillId="3" borderId="34" xfId="0" applyNumberFormat="1" applyFont="1" applyFill="1" applyBorder="1" applyAlignment="1">
      <alignment horizontal="center"/>
    </xf>
    <xf numFmtId="10" fontId="11" fillId="3" borderId="34" xfId="0" applyNumberFormat="1" applyFont="1" applyFill="1" applyBorder="1" applyAlignment="1">
      <alignment horizontal="center"/>
    </xf>
    <xf numFmtId="10" fontId="11" fillId="5" borderId="34" xfId="0" applyNumberFormat="1" applyFont="1" applyFill="1" applyBorder="1" applyAlignment="1">
      <alignment horizontal="center"/>
    </xf>
    <xf numFmtId="1" fontId="11" fillId="0" borderId="10" xfId="0" applyNumberFormat="1" applyFont="1" applyBorder="1"/>
    <xf numFmtId="8" fontId="11" fillId="0" borderId="10" xfId="0" applyNumberFormat="1" applyFont="1" applyBorder="1"/>
    <xf numFmtId="8" fontId="11" fillId="0" borderId="10" xfId="0" applyNumberFormat="1" applyFont="1" applyBorder="1" applyAlignment="1">
      <alignment horizontal="center"/>
    </xf>
    <xf numFmtId="10" fontId="11" fillId="0" borderId="10" xfId="0" applyNumberFormat="1" applyFont="1" applyBorder="1" applyAlignment="1">
      <alignment horizontal="center"/>
    </xf>
    <xf numFmtId="164" fontId="11" fillId="0" borderId="10" xfId="0" applyFont="1" applyBorder="1" applyAlignment="1">
      <alignment horizontal="center"/>
    </xf>
    <xf numFmtId="164" fontId="14" fillId="0" borderId="10" xfId="0" applyFont="1" applyBorder="1"/>
    <xf numFmtId="14" fontId="14" fillId="0" borderId="10" xfId="0" applyNumberFormat="1" applyFont="1" applyBorder="1" applyAlignment="1">
      <alignment horizontal="center"/>
    </xf>
    <xf numFmtId="164" fontId="14" fillId="0" borderId="0" xfId="0" applyFont="1"/>
    <xf numFmtId="10" fontId="14" fillId="0" borderId="4" xfId="0" applyNumberFormat="1" applyFont="1" applyBorder="1" applyAlignment="1">
      <alignment horizontal="center"/>
    </xf>
    <xf numFmtId="165" fontId="14" fillId="0" borderId="25" xfId="0" applyNumberFormat="1" applyFont="1" applyBorder="1" applyAlignment="1">
      <alignment horizontal="center"/>
    </xf>
    <xf numFmtId="165" fontId="14" fillId="0" borderId="5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left"/>
    </xf>
    <xf numFmtId="165" fontId="14" fillId="0" borderId="10" xfId="0" applyNumberFormat="1" applyFont="1" applyBorder="1" applyAlignment="1">
      <alignment horizontal="center"/>
    </xf>
    <xf numFmtId="2" fontId="14" fillId="0" borderId="9" xfId="0" applyNumberFormat="1" applyFont="1" applyBorder="1" applyAlignment="1">
      <alignment horizontal="center"/>
    </xf>
    <xf numFmtId="2" fontId="14" fillId="0" borderId="10" xfId="0" applyNumberFormat="1" applyFont="1" applyBorder="1" applyAlignment="1">
      <alignment horizontal="center"/>
    </xf>
    <xf numFmtId="164" fontId="14" fillId="0" borderId="10" xfId="0" applyFont="1" applyBorder="1" applyAlignment="1">
      <alignment horizontal="center"/>
    </xf>
    <xf numFmtId="164" fontId="14" fillId="0" borderId="11" xfId="0" applyFont="1" applyBorder="1" applyAlignment="1">
      <alignment horizontal="center"/>
    </xf>
    <xf numFmtId="10" fontId="14" fillId="0" borderId="10" xfId="0" applyNumberFormat="1" applyFont="1" applyBorder="1" applyAlignment="1">
      <alignment horizontal="center"/>
    </xf>
    <xf numFmtId="10" fontId="14" fillId="0" borderId="9" xfId="0" applyNumberFormat="1" applyFont="1" applyBorder="1" applyAlignment="1">
      <alignment horizontal="center"/>
    </xf>
    <xf numFmtId="165" fontId="14" fillId="0" borderId="11" xfId="0" applyNumberFormat="1" applyFont="1" applyBorder="1" applyAlignment="1">
      <alignment horizontal="center"/>
    </xf>
    <xf numFmtId="8" fontId="14" fillId="0" borderId="0" xfId="0" applyNumberFormat="1" applyFont="1" applyAlignment="1">
      <alignment horizontal="center"/>
    </xf>
    <xf numFmtId="8" fontId="14" fillId="0" borderId="10" xfId="0" applyNumberFormat="1" applyFont="1" applyBorder="1" applyAlignment="1">
      <alignment horizontal="center"/>
    </xf>
    <xf numFmtId="164" fontId="14" fillId="0" borderId="0" xfId="0" applyFont="1" applyAlignment="1">
      <alignment horizontal="center"/>
    </xf>
    <xf numFmtId="8" fontId="14" fillId="0" borderId="0" xfId="0" applyNumberFormat="1" applyFont="1"/>
    <xf numFmtId="10" fontId="14" fillId="0" borderId="12" xfId="0" applyNumberFormat="1" applyFont="1" applyBorder="1" applyAlignment="1">
      <alignment horizontal="center"/>
    </xf>
    <xf numFmtId="165" fontId="14" fillId="0" borderId="18" xfId="0" applyNumberFormat="1" applyFont="1" applyBorder="1" applyAlignment="1">
      <alignment horizontal="center"/>
    </xf>
    <xf numFmtId="165" fontId="14" fillId="0" borderId="13" xfId="0" applyNumberFormat="1" applyFont="1" applyBorder="1" applyAlignment="1">
      <alignment horizontal="center"/>
    </xf>
    <xf numFmtId="2" fontId="14" fillId="0" borderId="0" xfId="0" applyNumberFormat="1" applyFont="1" applyAlignment="1">
      <alignment horizontal="center"/>
    </xf>
    <xf numFmtId="165" fontId="14" fillId="0" borderId="0" xfId="0" applyNumberFormat="1" applyFont="1" applyAlignment="1">
      <alignment horizontal="center" vertical="center"/>
    </xf>
    <xf numFmtId="164" fontId="14" fillId="0" borderId="0" xfId="0" applyFont="1" applyAlignment="1">
      <alignment horizontal="left"/>
    </xf>
    <xf numFmtId="164" fontId="14" fillId="0" borderId="0" xfId="0" applyFont="1" applyAlignment="1">
      <alignment horizontal="center" vertical="center"/>
    </xf>
    <xf numFmtId="165" fontId="14" fillId="0" borderId="0" xfId="0" applyNumberFormat="1" applyFont="1" applyAlignment="1">
      <alignment horizontal="center"/>
    </xf>
    <xf numFmtId="14" fontId="14" fillId="0" borderId="0" xfId="0" applyNumberFormat="1" applyFont="1" applyAlignment="1">
      <alignment horizontal="center"/>
    </xf>
    <xf numFmtId="165" fontId="14" fillId="0" borderId="0" xfId="0" applyNumberFormat="1" applyFont="1"/>
    <xf numFmtId="9" fontId="14" fillId="0" borderId="0" xfId="0" applyNumberFormat="1" applyFont="1" applyAlignment="1">
      <alignment horizontal="center"/>
    </xf>
    <xf numFmtId="1" fontId="14" fillId="0" borderId="0" xfId="0" applyNumberFormat="1" applyFont="1" applyAlignment="1">
      <alignment horizontal="center"/>
    </xf>
    <xf numFmtId="10" fontId="14" fillId="0" borderId="0" xfId="0" applyNumberFormat="1" applyFont="1" applyAlignment="1">
      <alignment horizontal="center"/>
    </xf>
    <xf numFmtId="165" fontId="14" fillId="18" borderId="46" xfId="0" applyNumberFormat="1" applyFont="1" applyFill="1" applyBorder="1"/>
    <xf numFmtId="10" fontId="14" fillId="0" borderId="0" xfId="0" applyNumberFormat="1" applyFont="1"/>
    <xf numFmtId="40" fontId="14" fillId="0" borderId="0" xfId="0" applyNumberFormat="1" applyFont="1" applyAlignment="1">
      <alignment horizontal="center"/>
    </xf>
    <xf numFmtId="14" fontId="14" fillId="0" borderId="0" xfId="0" applyNumberFormat="1" applyFont="1"/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165" fontId="11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1" fillId="0" borderId="0" xfId="0" applyNumberFormat="1" applyFont="1"/>
    <xf numFmtId="165" fontId="12" fillId="0" borderId="0" xfId="0" applyNumberFormat="1" applyFont="1"/>
    <xf numFmtId="165" fontId="12" fillId="18" borderId="46" xfId="0" applyNumberFormat="1" applyFont="1" applyFill="1" applyBorder="1" applyAlignment="1">
      <alignment horizontal="center"/>
    </xf>
    <xf numFmtId="165" fontId="12" fillId="18" borderId="46" xfId="0" applyNumberFormat="1" applyFont="1" applyFill="1" applyBorder="1"/>
    <xf numFmtId="49" fontId="11" fillId="0" borderId="0" xfId="0" applyNumberFormat="1" applyFont="1"/>
    <xf numFmtId="49" fontId="15" fillId="0" borderId="0" xfId="0" applyNumberFormat="1" applyFont="1"/>
    <xf numFmtId="49" fontId="11" fillId="0" borderId="0" xfId="0" applyNumberFormat="1" applyFont="1" applyAlignment="1">
      <alignment horizontal="left"/>
    </xf>
    <xf numFmtId="49" fontId="16" fillId="0" borderId="0" xfId="0" applyNumberFormat="1" applyFont="1"/>
    <xf numFmtId="164" fontId="17" fillId="0" borderId="0" xfId="0" applyFont="1"/>
    <xf numFmtId="1" fontId="6" fillId="0" borderId="0" xfId="0" applyNumberFormat="1" applyFont="1"/>
    <xf numFmtId="49" fontId="6" fillId="0" borderId="0" xfId="0" applyNumberFormat="1" applyFont="1" applyAlignment="1">
      <alignment horizontal="center"/>
    </xf>
    <xf numFmtId="168" fontId="6" fillId="0" borderId="0" xfId="0" applyNumberFormat="1" applyFont="1" applyAlignment="1">
      <alignment horizontal="center"/>
    </xf>
    <xf numFmtId="169" fontId="6" fillId="0" borderId="0" xfId="0" applyNumberFormat="1" applyFont="1"/>
    <xf numFmtId="168" fontId="6" fillId="0" borderId="0" xfId="0" applyNumberFormat="1" applyFont="1"/>
    <xf numFmtId="49" fontId="18" fillId="0" borderId="0" xfId="0" applyNumberFormat="1" applyFont="1" applyAlignment="1">
      <alignment horizontal="center"/>
    </xf>
    <xf numFmtId="1" fontId="6" fillId="0" borderId="0" xfId="0" applyNumberFormat="1" applyFont="1" applyAlignment="1">
      <alignment horizontal="center"/>
    </xf>
    <xf numFmtId="165" fontId="6" fillId="19" borderId="46" xfId="0" applyNumberFormat="1" applyFont="1" applyFill="1" applyBorder="1" applyAlignment="1">
      <alignment horizontal="center"/>
    </xf>
    <xf numFmtId="165" fontId="6" fillId="4" borderId="46" xfId="0" applyNumberFormat="1" applyFont="1" applyFill="1" applyBorder="1" applyAlignment="1">
      <alignment horizontal="center"/>
    </xf>
    <xf numFmtId="1" fontId="4" fillId="0" borderId="24" xfId="0" applyNumberFormat="1" applyFont="1" applyBorder="1" applyAlignment="1">
      <alignment horizontal="center"/>
    </xf>
    <xf numFmtId="164" fontId="4" fillId="0" borderId="24" xfId="0" applyFont="1" applyBorder="1"/>
    <xf numFmtId="165" fontId="4" fillId="2" borderId="34" xfId="0" applyNumberFormat="1" applyFont="1" applyFill="1" applyBorder="1" applyAlignment="1">
      <alignment horizontal="center"/>
    </xf>
    <xf numFmtId="165" fontId="4" fillId="19" borderId="34" xfId="0" applyNumberFormat="1" applyFont="1" applyFill="1" applyBorder="1" applyAlignment="1">
      <alignment horizontal="center"/>
    </xf>
    <xf numFmtId="165" fontId="4" fillId="4" borderId="34" xfId="0" applyNumberFormat="1" applyFont="1" applyFill="1" applyBorder="1" applyAlignment="1">
      <alignment horizontal="center"/>
    </xf>
    <xf numFmtId="164" fontId="4" fillId="0" borderId="0" xfId="0" applyFont="1"/>
    <xf numFmtId="165" fontId="4" fillId="0" borderId="0" xfId="0" applyNumberFormat="1" applyFont="1"/>
    <xf numFmtId="164" fontId="4" fillId="0" borderId="0" xfId="0" applyFont="1" applyAlignment="1">
      <alignment horizontal="center"/>
    </xf>
    <xf numFmtId="1" fontId="6" fillId="0" borderId="4" xfId="0" applyNumberFormat="1" applyFont="1" applyBorder="1" applyAlignment="1">
      <alignment horizontal="center"/>
    </xf>
    <xf numFmtId="164" fontId="6" fillId="0" borderId="25" xfId="0" applyFont="1" applyBorder="1"/>
    <xf numFmtId="165" fontId="6" fillId="2" borderId="25" xfId="0" applyNumberFormat="1" applyFont="1" applyFill="1" applyBorder="1" applyAlignment="1">
      <alignment horizontal="center"/>
    </xf>
    <xf numFmtId="165" fontId="6" fillId="19" borderId="25" xfId="0" applyNumberFormat="1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5" fontId="6" fillId="4" borderId="5" xfId="0" applyNumberFormat="1" applyFont="1" applyFill="1" applyBorder="1" applyAlignment="1">
      <alignment horizontal="center"/>
    </xf>
    <xf numFmtId="1" fontId="6" fillId="0" borderId="9" xfId="0" applyNumberFormat="1" applyFont="1" applyBorder="1" applyAlignment="1">
      <alignment horizontal="center"/>
    </xf>
    <xf numFmtId="165" fontId="6" fillId="2" borderId="10" xfId="0" applyNumberFormat="1" applyFont="1" applyFill="1" applyBorder="1" applyAlignment="1">
      <alignment horizontal="center"/>
    </xf>
    <xf numFmtId="165" fontId="6" fillId="19" borderId="10" xfId="0" applyNumberFormat="1" applyFont="1" applyFill="1" applyBorder="1" applyAlignment="1">
      <alignment horizontal="center"/>
    </xf>
    <xf numFmtId="165" fontId="6" fillId="4" borderId="10" xfId="0" applyNumberFormat="1" applyFont="1" applyFill="1" applyBorder="1" applyAlignment="1">
      <alignment horizontal="center"/>
    </xf>
    <xf numFmtId="165" fontId="6" fillId="4" borderId="11" xfId="0" applyNumberFormat="1" applyFont="1" applyFill="1" applyBorder="1" applyAlignment="1">
      <alignment horizontal="center"/>
    </xf>
    <xf numFmtId="1" fontId="4" fillId="0" borderId="12" xfId="0" applyNumberFormat="1" applyFont="1" applyBorder="1" applyAlignment="1">
      <alignment horizontal="center"/>
    </xf>
    <xf numFmtId="164" fontId="4" fillId="0" borderId="18" xfId="0" applyFont="1" applyBorder="1"/>
    <xf numFmtId="165" fontId="4" fillId="2" borderId="18" xfId="0" applyNumberFormat="1" applyFont="1" applyFill="1" applyBorder="1" applyAlignment="1">
      <alignment horizontal="center"/>
    </xf>
    <xf numFmtId="165" fontId="4" fillId="19" borderId="18" xfId="0" applyNumberFormat="1" applyFont="1" applyFill="1" applyBorder="1" applyAlignment="1">
      <alignment horizontal="center"/>
    </xf>
    <xf numFmtId="165" fontId="4" fillId="4" borderId="18" xfId="0" applyNumberFormat="1" applyFont="1" applyFill="1" applyBorder="1" applyAlignment="1">
      <alignment horizontal="center"/>
    </xf>
    <xf numFmtId="165" fontId="4" fillId="4" borderId="13" xfId="0" applyNumberFormat="1" applyFont="1" applyFill="1" applyBorder="1" applyAlignment="1">
      <alignment horizontal="center"/>
    </xf>
    <xf numFmtId="165" fontId="4" fillId="7" borderId="46" xfId="0" applyNumberFormat="1" applyFont="1" applyFill="1" applyBorder="1"/>
    <xf numFmtId="165" fontId="6" fillId="2" borderId="46" xfId="0" applyNumberFormat="1" applyFont="1" applyFill="1" applyBorder="1" applyAlignment="1">
      <alignment horizontal="center"/>
    </xf>
    <xf numFmtId="165" fontId="4" fillId="0" borderId="0" xfId="0" applyNumberFormat="1" applyFont="1" applyAlignment="1">
      <alignment horizontal="center"/>
    </xf>
    <xf numFmtId="1" fontId="4" fillId="0" borderId="21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left"/>
    </xf>
    <xf numFmtId="165" fontId="4" fillId="2" borderId="29" xfId="0" applyNumberFormat="1" applyFont="1" applyFill="1" applyBorder="1" applyAlignment="1">
      <alignment horizontal="center"/>
    </xf>
    <xf numFmtId="165" fontId="4" fillId="19" borderId="29" xfId="0" applyNumberFormat="1" applyFont="1" applyFill="1" applyBorder="1" applyAlignment="1">
      <alignment horizontal="center"/>
    </xf>
    <xf numFmtId="165" fontId="4" fillId="4" borderId="29" xfId="0" applyNumberFormat="1" applyFont="1" applyFill="1" applyBorder="1" applyAlignment="1">
      <alignment horizontal="center"/>
    </xf>
    <xf numFmtId="165" fontId="4" fillId="4" borderId="22" xfId="0" applyNumberFormat="1" applyFont="1" applyFill="1" applyBorder="1" applyAlignment="1">
      <alignment horizontal="center"/>
    </xf>
    <xf numFmtId="164" fontId="1" fillId="0" borderId="0" xfId="0" applyFont="1"/>
    <xf numFmtId="44" fontId="13" fillId="0" borderId="34" xfId="0" applyNumberFormat="1" applyFont="1" applyBorder="1" applyAlignment="1">
      <alignment horizontal="center"/>
    </xf>
    <xf numFmtId="170" fontId="1" fillId="0" borderId="0" xfId="0" applyNumberFormat="1" applyFont="1"/>
    <xf numFmtId="170" fontId="0" fillId="0" borderId="0" xfId="0" applyNumberFormat="1"/>
    <xf numFmtId="164" fontId="13" fillId="0" borderId="47" xfId="0" applyFont="1" applyBorder="1" applyAlignment="1">
      <alignment horizontal="center"/>
    </xf>
    <xf numFmtId="0" fontId="5" fillId="0" borderId="26" xfId="0" applyNumberFormat="1" applyFont="1" applyBorder="1"/>
    <xf numFmtId="44" fontId="13" fillId="0" borderId="47" xfId="0" applyNumberFormat="1" applyFont="1" applyBorder="1" applyAlignment="1">
      <alignment horizontal="center"/>
    </xf>
    <xf numFmtId="164" fontId="13" fillId="12" borderId="47" xfId="0" applyFont="1" applyFill="1" applyBorder="1" applyAlignment="1">
      <alignment horizontal="center"/>
    </xf>
    <xf numFmtId="164" fontId="4" fillId="0" borderId="1" xfId="0" applyFont="1" applyBorder="1" applyAlignment="1">
      <alignment horizontal="center"/>
    </xf>
    <xf numFmtId="0" fontId="5" fillId="0" borderId="2" xfId="0" applyNumberFormat="1" applyFont="1" applyBorder="1"/>
    <xf numFmtId="0" fontId="5" fillId="0" borderId="3" xfId="0" applyNumberFormat="1" applyFont="1" applyBorder="1"/>
    <xf numFmtId="164" fontId="6" fillId="0" borderId="1" xfId="0" applyFont="1" applyBorder="1" applyAlignment="1">
      <alignment horizontal="center"/>
    </xf>
    <xf numFmtId="164" fontId="6" fillId="4" borderId="31" xfId="0" applyFont="1" applyFill="1" applyBorder="1" applyAlignment="1">
      <alignment horizontal="center"/>
    </xf>
    <xf numFmtId="44" fontId="6" fillId="3" borderId="31" xfId="0" applyNumberFormat="1" applyFont="1" applyFill="1" applyBorder="1" applyAlignment="1">
      <alignment horizontal="center"/>
    </xf>
    <xf numFmtId="0" fontId="5" fillId="0" borderId="32" xfId="0" applyNumberFormat="1" applyFont="1" applyBorder="1"/>
    <xf numFmtId="44" fontId="6" fillId="0" borderId="31" xfId="0" applyNumberFormat="1" applyFont="1" applyBorder="1" applyAlignment="1">
      <alignment horizontal="center"/>
    </xf>
    <xf numFmtId="164" fontId="6" fillId="0" borderId="31" xfId="0" applyFont="1" applyBorder="1" applyAlignment="1">
      <alignment horizontal="center"/>
    </xf>
    <xf numFmtId="164" fontId="10" fillId="0" borderId="0" xfId="0" applyFont="1" applyAlignment="1">
      <alignment horizontal="center" vertical="center"/>
    </xf>
    <xf numFmtId="164" fontId="0" fillId="0" borderId="0" xfId="0"/>
    <xf numFmtId="164" fontId="11" fillId="5" borderId="47" xfId="0" applyFont="1" applyFill="1" applyBorder="1" applyAlignment="1">
      <alignment horizontal="center"/>
    </xf>
    <xf numFmtId="0" fontId="5" fillId="0" borderId="48" xfId="0" applyNumberFormat="1" applyFont="1" applyBorder="1"/>
    <xf numFmtId="165" fontId="11" fillId="4" borderId="47" xfId="0" applyNumberFormat="1" applyFont="1" applyFill="1" applyBorder="1" applyAlignment="1">
      <alignment horizontal="center"/>
    </xf>
    <xf numFmtId="165" fontId="11" fillId="14" borderId="47" xfId="0" applyNumberFormat="1" applyFont="1" applyFill="1" applyBorder="1" applyAlignment="1">
      <alignment horizontal="center"/>
    </xf>
    <xf numFmtId="165" fontId="6" fillId="17" borderId="1" xfId="0" applyNumberFormat="1" applyFont="1" applyFill="1" applyBorder="1" applyAlignment="1">
      <alignment horizontal="center"/>
    </xf>
    <xf numFmtId="14" fontId="11" fillId="5" borderId="47" xfId="0" applyNumberFormat="1" applyFont="1" applyFill="1" applyBorder="1" applyAlignment="1">
      <alignment horizontal="center"/>
    </xf>
    <xf numFmtId="8" fontId="11" fillId="14" borderId="47" xfId="0" applyNumberFormat="1" applyFont="1" applyFill="1" applyBorder="1" applyAlignment="1">
      <alignment horizontal="center"/>
    </xf>
    <xf numFmtId="8" fontId="11" fillId="3" borderId="47" xfId="0" applyNumberFormat="1" applyFont="1" applyFill="1" applyBorder="1" applyAlignment="1">
      <alignment horizontal="center"/>
    </xf>
    <xf numFmtId="164" fontId="14" fillId="0" borderId="47" xfId="0" applyFont="1" applyBorder="1" applyAlignment="1">
      <alignment horizontal="center"/>
    </xf>
    <xf numFmtId="2" fontId="14" fillId="0" borderId="31" xfId="0" applyNumberFormat="1" applyFont="1" applyBorder="1" applyAlignment="1">
      <alignment horizontal="center"/>
    </xf>
    <xf numFmtId="164" fontId="11" fillId="0" borderId="0" xfId="0" applyFont="1" applyAlignment="1">
      <alignment horizontal="center"/>
    </xf>
    <xf numFmtId="165" fontId="4" fillId="2" borderId="50" xfId="0" applyNumberFormat="1" applyFont="1" applyFill="1" applyBorder="1" applyAlignment="1">
      <alignment horizontal="center"/>
    </xf>
    <xf numFmtId="0" fontId="5" fillId="0" borderId="51" xfId="0" applyNumberFormat="1" applyFont="1" applyBorder="1"/>
    <xf numFmtId="0" fontId="5" fillId="0" borderId="52" xfId="0" applyNumberFormat="1" applyFont="1" applyBorder="1"/>
    <xf numFmtId="164" fontId="7" fillId="0" borderId="33" xfId="0" applyFont="1" applyBorder="1"/>
    <xf numFmtId="44" fontId="6" fillId="0" borderId="34" xfId="0" applyNumberFormat="1" applyFont="1" applyBorder="1"/>
    <xf numFmtId="14" fontId="6" fillId="0" borderId="35" xfId="0" applyNumberFormat="1" applyFont="1" applyBorder="1"/>
    <xf numFmtId="164" fontId="19" fillId="0" borderId="33" xfId="1" applyBorder="1"/>
    <xf numFmtId="164" fontId="19" fillId="0" borderId="9" xfId="1" applyBorder="1"/>
    <xf numFmtId="164" fontId="13" fillId="20" borderId="10" xfId="0" applyFont="1" applyFill="1" applyBorder="1" applyAlignment="1">
      <alignment horizontal="center"/>
    </xf>
    <xf numFmtId="1" fontId="13" fillId="20" borderId="10" xfId="0" applyNumberFormat="1" applyFont="1" applyFill="1" applyBorder="1" applyAlignment="1">
      <alignment horizontal="center"/>
    </xf>
    <xf numFmtId="14" fontId="13" fillId="20" borderId="10" xfId="0" applyNumberFormat="1" applyFont="1" applyFill="1" applyBorder="1"/>
    <xf numFmtId="164" fontId="13" fillId="20" borderId="10" xfId="0" applyFont="1" applyFill="1" applyBorder="1"/>
    <xf numFmtId="44" fontId="13" fillId="20" borderId="24" xfId="0" applyNumberFormat="1" applyFont="1" applyFill="1" applyBorder="1" applyAlignment="1">
      <alignment horizontal="center"/>
    </xf>
    <xf numFmtId="165" fontId="13" fillId="20" borderId="10" xfId="0" applyNumberFormat="1" applyFont="1" applyFill="1" applyBorder="1"/>
    <xf numFmtId="14" fontId="13" fillId="20" borderId="0" xfId="0" applyNumberFormat="1" applyFont="1" applyFill="1"/>
    <xf numFmtId="1" fontId="13" fillId="20" borderId="0" xfId="0" applyNumberFormat="1" applyFont="1" applyFill="1" applyAlignment="1">
      <alignment horizontal="center"/>
    </xf>
    <xf numFmtId="44" fontId="13" fillId="20" borderId="0" xfId="0" applyNumberFormat="1" applyFont="1" applyFill="1"/>
    <xf numFmtId="164" fontId="13" fillId="20" borderId="0" xfId="0" applyFont="1" applyFill="1"/>
    <xf numFmtId="164" fontId="0" fillId="20" borderId="0" xfId="0" applyFill="1"/>
  </cellXfs>
  <cellStyles count="2">
    <cellStyle name="Hyperlink" xfId="1" builtinId="8"/>
    <cellStyle name="Normal" xfId="0" builtinId="0"/>
  </cellStyles>
  <dxfs count="10">
    <dxf>
      <font>
        <color rgb="FFFF0000"/>
      </font>
      <fill>
        <patternFill patternType="none"/>
      </fill>
    </dxf>
    <dxf>
      <font>
        <color rgb="FFFF0000"/>
      </font>
      <fill>
        <patternFill patternType="none"/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ill>
        <patternFill patternType="solid">
          <fgColor rgb="FFB2A1C7"/>
          <bgColor rgb="FFB2A1C7"/>
        </patternFill>
      </fill>
    </dxf>
    <dxf>
      <fill>
        <patternFill patternType="solid">
          <fgColor rgb="FFC2D69B"/>
          <bgColor rgb="FFC2D69B"/>
        </patternFill>
      </fill>
    </dxf>
    <dxf>
      <fill>
        <patternFill patternType="solid">
          <fgColor rgb="FF92CDDC"/>
          <bgColor rgb="FF92CDDC"/>
        </patternFill>
      </fill>
    </dxf>
    <dxf>
      <fill>
        <patternFill patternType="solid">
          <fgColor rgb="FFFABF8F"/>
          <bgColor rgb="FFFABF8F"/>
        </patternFill>
      </fill>
    </dxf>
    <dxf>
      <fill>
        <patternFill patternType="solid">
          <fgColor rgb="FFD99594"/>
          <bgColor rgb="FFD99594"/>
        </patternFill>
      </fill>
    </dxf>
    <dxf>
      <fill>
        <patternFill patternType="solid">
          <fgColor rgb="FF938953"/>
          <bgColor rgb="FF938953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customschemas.google.com/relationships/workbookmetadata" Target="metadata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login.fidelity.com/ftgw/Fas/Fidelity/IspCust/Login/Init" TargetMode="External"/><Relationship Id="rId13" Type="http://schemas.openxmlformats.org/officeDocument/2006/relationships/hyperlink" Target="https://www.wellsfargo.com/" TargetMode="External"/><Relationship Id="rId3" Type="http://schemas.openxmlformats.org/officeDocument/2006/relationships/hyperlink" Target="https://dashboard.m1finance.com/login" TargetMode="External"/><Relationship Id="rId7" Type="http://schemas.openxmlformats.org/officeDocument/2006/relationships/hyperlink" Target="https://login.fidelity.com/ftgw/Fas/Fidelity/IspCust/Login/Init" TargetMode="External"/><Relationship Id="rId12" Type="http://schemas.openxmlformats.org/officeDocument/2006/relationships/hyperlink" Target="https://swivelpay.com/login?institutionId=f2b951bb-bba0-4c8a-bbd4-953565bf1dc0" TargetMode="External"/><Relationship Id="rId2" Type="http://schemas.openxmlformats.org/officeDocument/2006/relationships/hyperlink" Target="https://www.gmfinancial.com/en-us/myaccount/login.html" TargetMode="External"/><Relationship Id="rId1" Type="http://schemas.openxmlformats.org/officeDocument/2006/relationships/hyperlink" Target="https://rocketaccount.com/" TargetMode="External"/><Relationship Id="rId6" Type="http://schemas.openxmlformats.org/officeDocument/2006/relationships/hyperlink" Target="https://secure.tsp.gov/tsp/login.html" TargetMode="External"/><Relationship Id="rId11" Type="http://schemas.openxmlformats.org/officeDocument/2006/relationships/hyperlink" Target="https://www.wellsfargo.com/" TargetMode="External"/><Relationship Id="rId5" Type="http://schemas.openxmlformats.org/officeDocument/2006/relationships/hyperlink" Target="https://secure.tsp.gov/tsp/login.html" TargetMode="External"/><Relationship Id="rId10" Type="http://schemas.openxmlformats.org/officeDocument/2006/relationships/hyperlink" Target="https://www.redfin.com/OH/Elyria/41403-Elmwood-St-44035/home/66327750" TargetMode="External"/><Relationship Id="rId4" Type="http://schemas.openxmlformats.org/officeDocument/2006/relationships/hyperlink" Target="https://dashboard.m1finance.com/login" TargetMode="External"/><Relationship Id="rId9" Type="http://schemas.openxmlformats.org/officeDocument/2006/relationships/hyperlink" Target="https://www.redfin.com/OH/Elyria/41377-Elmwood-St-44035/home/77213055" TargetMode="External"/><Relationship Id="rId14" Type="http://schemas.openxmlformats.org/officeDocument/2006/relationships/hyperlink" Target="https://lowes.syf.com/accounts/login/?token=eyJlbmMiOiJBMjU2Q0JDLUhTNTEyIiwiYWxnIjoiUlNBLU9BRVAtMjU2In0.QMX1ocv4_8-Z4HRw9u2yRJQKCHD69o_RPB7kg4Q2lKOp1QCCW0f7uDpeF6ohl3KVFJcEm7YR6zX3KxjKJxA1oosXYGPEJeOmc9kpbmsjyEgGgAOtNkI4nLs8wpRW8uSfCODPJ2rATyc6Vi-l5EKitRXOSE_Uz7gO31cdTrUgWMbxrADrFCJxu8k3vXXPh-FAQjEG1HDhSfm2pKvkyLLrLdXCBTuX0hSCAXy2kT2hqQmKUF16QYm7X7hex0bDu9hCl-SvikM_zHYQUujGzPl7GzuRvyy58_Uy6pQBUry9VUOtOgvBhy2N-yBxAlIokfw2eScNX8mfnAnDejoAB5vWtw.Hf6mG0pt67bwkBOFA60CKw.5qPcoSE1TmsKXdZXDh-CwF-dSEt5k3UrhSNXKvZWeUpaFNXOyHVtMRaZT1u2E2wj_Y_N7p6X39GzE_9RaDvW0xCePE1PQpleC2PKALAfsdyfcbWdUaa6OFVCJEYU0PYcSwc3ZtzLh_EBSDv9d4T702ILhCNc42PIWlVfHnitC24GoUYtII_u9HUscI0hFU_6NbWo9vz0AWiTm0lC3bemCQlUIzLZqWoTsg5ZTBk9L4tOjZw2iGq05Jlh79caUaO3Ji_9CwjY2E8cdnil-bHb8J7bLNCT7UBvVq3We0bL5FvUcGVE17bPPvPYDX0oq6swPgjHzlwKVKP42QBUR2koifo8GTB_oxcH-sQlwyD1Sfkj1UU0CHSTFx22dbSJOAH3gpt5dtThDRwxd6tU-8eJvTZya-uqsdfWhJgroOivf1ucwyo58ya2cgfOIsoo0oKUVNhhoRbfb5ttAVupWURbSYp3ORdx4V2qEHpPvW7LRPj5f8Y96NX-bJs-lvWCqMPL07YZ-nCyfgSbZdDGKYCMSUqUKGfWtdnpCnT2VicfHsyMD-Rjs7-nxCyAU_ZRIGfT1mHC9chvYRNi8_V0Fuopuo2NmG4vlppC1AX-Trsnz5s5VeM31JbMZIsUZscTWyAwovTz7mOLzytfN5Z4F151KL1aL6a0A_Bl5E35Yc6ojd0k2lbsE9R1OJE4tGRdS3C4TQzjBc86TbspH4QMpUXHJ2ajkTGX-fAyhmcnljNYvzBG1Oc4kCcBdMNfBg9VuiJwgjkIo-UIi3LXNRqF0uMsceA_Ml7G2UgWMf5hGtiBb15hQ6Bufm9cRPJZW48tjFAlNhqrjznLRQ6oDkPN0pMXyW725XD9op5Iwr1BiAWtiCyWh735KNsy0Pb6Mp_FQ0tmM1Qao7pIjFGEQ0kiA4X-GyRg8R4QY5V6ZgnlNpC7LscDRwmayyg8YE-D_8_ANpL-VoEwGQjFYt5NY57g-U25_5WZ8uniWbJqICQcp0F1PfI3NeQg2ORzA9i-AQSPkodYBGMcvIc-RMiiXTjiqzRESh50KSc2fXy_SX4R-t-qBQs.Gl_cHOrgUzbvUoeqxAttTRtxwQ-ql4pErY4QXM4P0wo&amp;ui_locales=en" TargetMode="Externa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hyperlink" Target="https://secure.ssa.gov/RIL/SiView.do" TargetMode="External"/><Relationship Id="rId3" Type="http://schemas.openxmlformats.org/officeDocument/2006/relationships/hyperlink" Target="https://myaccess.dmdc.osd.mil/identitymanagement/authenticate.do?execution=e3s1" TargetMode="External"/><Relationship Id="rId7" Type="http://schemas.openxmlformats.org/officeDocument/2006/relationships/hyperlink" Target="mailto:isaac.d.martin@gmail.com" TargetMode="External"/><Relationship Id="rId2" Type="http://schemas.openxmlformats.org/officeDocument/2006/relationships/hyperlink" Target="mailto:isaac.d.martin@gmail.com" TargetMode="External"/><Relationship Id="rId1" Type="http://schemas.openxmlformats.org/officeDocument/2006/relationships/hyperlink" Target="mailto:isaac.d.martin2@gmail.com" TargetMode="External"/><Relationship Id="rId6" Type="http://schemas.openxmlformats.org/officeDocument/2006/relationships/hyperlink" Target="mailto:isaac.d.martin@gmail.com" TargetMode="External"/><Relationship Id="rId5" Type="http://schemas.openxmlformats.org/officeDocument/2006/relationships/hyperlink" Target="https://www.myedaccount.com/accounts/Login.aspx?c=Yes" TargetMode="External"/><Relationship Id="rId10" Type="http://schemas.openxmlformats.org/officeDocument/2006/relationships/hyperlink" Target="mailto:idmartin22@yahoo.com" TargetMode="External"/><Relationship Id="rId4" Type="http://schemas.openxmlformats.org/officeDocument/2006/relationships/hyperlink" Target="https://www.firstenergycorp.com/log_in.html" TargetMode="External"/><Relationship Id="rId9" Type="http://schemas.openxmlformats.org/officeDocument/2006/relationships/hyperlink" Target="mailto:isaac.d.martin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000"/>
  <sheetViews>
    <sheetView workbookViewId="0"/>
  </sheetViews>
  <sheetFormatPr defaultColWidth="14.44140625" defaultRowHeight="15" customHeight="1" x14ac:dyDescent="0.3"/>
  <cols>
    <col min="1" max="26" width="8.6640625" customWidth="1"/>
  </cols>
  <sheetData>
    <row r="1" spans="1:1" ht="14.25" customHeight="1" x14ac:dyDescent="0.3">
      <c r="A1" s="1" t="s">
        <v>0</v>
      </c>
    </row>
    <row r="2" spans="1:1" ht="14.25" customHeight="1" x14ac:dyDescent="0.3">
      <c r="A2" s="2" t="s">
        <v>1</v>
      </c>
    </row>
    <row r="3" spans="1:1" ht="14.25" customHeight="1" x14ac:dyDescent="0.3">
      <c r="A3" s="2" t="s">
        <v>2</v>
      </c>
    </row>
    <row r="4" spans="1:1" ht="14.25" customHeight="1" x14ac:dyDescent="0.3">
      <c r="A4" s="3" t="s">
        <v>3</v>
      </c>
    </row>
    <row r="5" spans="1:1" ht="14.25" customHeight="1" x14ac:dyDescent="0.3">
      <c r="A5" s="3" t="s">
        <v>4</v>
      </c>
    </row>
    <row r="6" spans="1:1" ht="14.25" customHeight="1" x14ac:dyDescent="0.3">
      <c r="A6" s="3" t="s">
        <v>5</v>
      </c>
    </row>
    <row r="7" spans="1:1" ht="14.25" customHeight="1" x14ac:dyDescent="0.3">
      <c r="A7" s="3" t="s">
        <v>6</v>
      </c>
    </row>
    <row r="8" spans="1:1" ht="14.25" customHeight="1" x14ac:dyDescent="0.3">
      <c r="A8" s="3" t="s">
        <v>7</v>
      </c>
    </row>
    <row r="9" spans="1:1" ht="14.25" customHeight="1" x14ac:dyDescent="0.3">
      <c r="A9" s="3" t="s">
        <v>8</v>
      </c>
    </row>
    <row r="10" spans="1:1" ht="14.25" customHeight="1" x14ac:dyDescent="0.3">
      <c r="A10" s="3" t="s">
        <v>9</v>
      </c>
    </row>
    <row r="11" spans="1:1" ht="14.25" customHeight="1" x14ac:dyDescent="0.3">
      <c r="A11" s="3" t="s">
        <v>10</v>
      </c>
    </row>
    <row r="12" spans="1:1" ht="14.25" customHeight="1" x14ac:dyDescent="0.3">
      <c r="A12" s="3" t="s">
        <v>11</v>
      </c>
    </row>
    <row r="13" spans="1:1" ht="14.25" customHeight="1" x14ac:dyDescent="0.3">
      <c r="A13" s="3" t="s">
        <v>12</v>
      </c>
    </row>
    <row r="14" spans="1:1" ht="14.25" customHeight="1" x14ac:dyDescent="0.3">
      <c r="A14" s="2" t="s">
        <v>13</v>
      </c>
    </row>
    <row r="15" spans="1:1" ht="14.25" customHeight="1" x14ac:dyDescent="0.3">
      <c r="A15" s="3" t="s">
        <v>14</v>
      </c>
    </row>
    <row r="16" spans="1:1" ht="14.25" customHeight="1" x14ac:dyDescent="0.3">
      <c r="A16" s="3" t="s">
        <v>15</v>
      </c>
    </row>
    <row r="17" spans="1:1" ht="14.25" customHeight="1" x14ac:dyDescent="0.3">
      <c r="A17" s="3" t="s">
        <v>16</v>
      </c>
    </row>
    <row r="18" spans="1:1" ht="14.25" customHeight="1" x14ac:dyDescent="0.3">
      <c r="A18" s="3" t="s">
        <v>17</v>
      </c>
    </row>
    <row r="19" spans="1:1" ht="14.25" customHeight="1" x14ac:dyDescent="0.3">
      <c r="A19" s="3" t="s">
        <v>18</v>
      </c>
    </row>
    <row r="20" spans="1:1" ht="14.25" customHeight="1" x14ac:dyDescent="0.3">
      <c r="A20" s="3" t="s">
        <v>19</v>
      </c>
    </row>
    <row r="21" spans="1:1" ht="14.25" customHeight="1" x14ac:dyDescent="0.3">
      <c r="A21" s="2" t="s">
        <v>20</v>
      </c>
    </row>
    <row r="22" spans="1:1" ht="14.25" customHeight="1" x14ac:dyDescent="0.3">
      <c r="A22" s="3" t="s">
        <v>21</v>
      </c>
    </row>
    <row r="23" spans="1:1" ht="14.25" customHeight="1" x14ac:dyDescent="0.3">
      <c r="A23" s="3" t="s">
        <v>22</v>
      </c>
    </row>
    <row r="24" spans="1:1" ht="14.25" customHeight="1" x14ac:dyDescent="0.3">
      <c r="A24" s="3" t="s">
        <v>23</v>
      </c>
    </row>
    <row r="25" spans="1:1" ht="14.25" customHeight="1" x14ac:dyDescent="0.3">
      <c r="A25" s="2" t="s">
        <v>24</v>
      </c>
    </row>
    <row r="26" spans="1:1" ht="14.25" customHeight="1" x14ac:dyDescent="0.3">
      <c r="A26" s="3" t="s">
        <v>25</v>
      </c>
    </row>
    <row r="27" spans="1:1" ht="14.25" customHeight="1" x14ac:dyDescent="0.3">
      <c r="A27" s="3" t="s">
        <v>26</v>
      </c>
    </row>
    <row r="28" spans="1:1" ht="14.25" customHeight="1" x14ac:dyDescent="0.3">
      <c r="A28" s="3" t="s">
        <v>27</v>
      </c>
    </row>
    <row r="29" spans="1:1" ht="14.25" customHeight="1" x14ac:dyDescent="0.3">
      <c r="A29" s="2" t="s">
        <v>28</v>
      </c>
    </row>
    <row r="30" spans="1:1" ht="14.25" customHeight="1" x14ac:dyDescent="0.3">
      <c r="A30" s="4" t="s">
        <v>29</v>
      </c>
    </row>
    <row r="31" spans="1:1" ht="14.25" customHeight="1" x14ac:dyDescent="0.3">
      <c r="A31" s="4" t="s">
        <v>30</v>
      </c>
    </row>
    <row r="32" spans="1:1" ht="14.25" customHeight="1" x14ac:dyDescent="0.3">
      <c r="A32" s="4" t="s">
        <v>31</v>
      </c>
    </row>
    <row r="33" spans="1:1" ht="14.25" customHeight="1" x14ac:dyDescent="0.3">
      <c r="A33" s="4" t="s">
        <v>32</v>
      </c>
    </row>
    <row r="34" spans="1:1" ht="14.25" customHeight="1" x14ac:dyDescent="0.3">
      <c r="A34" s="4" t="s">
        <v>33</v>
      </c>
    </row>
    <row r="35" spans="1:1" ht="14.25" customHeight="1" x14ac:dyDescent="0.3"/>
    <row r="36" spans="1:1" ht="14.25" customHeight="1" x14ac:dyDescent="0.3"/>
    <row r="37" spans="1:1" ht="14.25" customHeight="1" x14ac:dyDescent="0.3"/>
    <row r="38" spans="1:1" ht="14.25" customHeight="1" x14ac:dyDescent="0.3"/>
    <row r="39" spans="1:1" ht="14.25" customHeight="1" x14ac:dyDescent="0.3"/>
    <row r="40" spans="1:1" ht="14.25" customHeight="1" x14ac:dyDescent="0.3"/>
    <row r="41" spans="1:1" ht="14.25" customHeight="1" x14ac:dyDescent="0.3"/>
    <row r="42" spans="1:1" ht="14.25" customHeight="1" x14ac:dyDescent="0.3"/>
    <row r="43" spans="1:1" ht="14.25" customHeight="1" x14ac:dyDescent="0.3"/>
    <row r="44" spans="1:1" ht="14.25" customHeight="1" x14ac:dyDescent="0.3"/>
    <row r="45" spans="1:1" ht="14.25" customHeight="1" x14ac:dyDescent="0.3"/>
    <row r="46" spans="1:1" ht="14.25" customHeight="1" x14ac:dyDescent="0.3"/>
    <row r="47" spans="1:1" ht="14.25" customHeight="1" x14ac:dyDescent="0.3"/>
    <row r="48" spans="1:1" ht="14.25" customHeight="1" x14ac:dyDescent="0.3"/>
    <row r="49" ht="14.25" customHeight="1" x14ac:dyDescent="0.3"/>
    <row r="50" ht="14.25" customHeight="1" x14ac:dyDescent="0.3"/>
    <row r="51" ht="14.25" customHeight="1" x14ac:dyDescent="0.3"/>
    <row r="52" ht="14.25" customHeight="1" x14ac:dyDescent="0.3"/>
    <row r="53" ht="14.25" customHeight="1" x14ac:dyDescent="0.3"/>
    <row r="54" ht="14.25" customHeight="1" x14ac:dyDescent="0.3"/>
    <row r="55" ht="14.25" customHeight="1" x14ac:dyDescent="0.3"/>
    <row r="56" ht="14.25" customHeight="1" x14ac:dyDescent="0.3"/>
    <row r="57" ht="14.25" customHeight="1" x14ac:dyDescent="0.3"/>
    <row r="58" ht="14.25" customHeight="1" x14ac:dyDescent="0.3"/>
    <row r="59" ht="14.25" customHeight="1" x14ac:dyDescent="0.3"/>
    <row r="60" ht="14.25" customHeight="1" x14ac:dyDescent="0.3"/>
    <row r="61" ht="14.25" customHeight="1" x14ac:dyDescent="0.3"/>
    <row r="62" ht="14.25" customHeight="1" x14ac:dyDescent="0.3"/>
    <row r="63" ht="14.25" customHeight="1" x14ac:dyDescent="0.3"/>
    <row r="64" ht="14.25" customHeight="1" x14ac:dyDescent="0.3"/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6B9D-9BD3-4A9B-9AD5-048136FAD479}">
  <dimension ref="A1:C27"/>
  <sheetViews>
    <sheetView workbookViewId="0">
      <selection activeCell="E13" sqref="E13"/>
    </sheetView>
  </sheetViews>
  <sheetFormatPr defaultRowHeight="14.4" x14ac:dyDescent="0.3"/>
  <cols>
    <col min="1" max="1" width="16.77734375" bestFit="1" customWidth="1"/>
    <col min="2" max="2" width="11.6640625" bestFit="1" customWidth="1"/>
    <col min="3" max="3" width="14.6640625" style="535" bestFit="1" customWidth="1"/>
    <col min="4" max="7" width="11.33203125" bestFit="1" customWidth="1"/>
  </cols>
  <sheetData>
    <row r="1" spans="1:3" x14ac:dyDescent="0.3">
      <c r="A1" t="s">
        <v>791</v>
      </c>
      <c r="B1" t="s">
        <v>821</v>
      </c>
      <c r="C1" s="534" t="s">
        <v>845</v>
      </c>
    </row>
    <row r="2" spans="1:3" x14ac:dyDescent="0.3">
      <c r="A2" t="s">
        <v>106</v>
      </c>
      <c r="B2" t="s">
        <v>822</v>
      </c>
      <c r="C2" s="535">
        <v>1975.0252370000001</v>
      </c>
    </row>
    <row r="3" spans="1:3" x14ac:dyDescent="0.3">
      <c r="A3" t="s">
        <v>106</v>
      </c>
      <c r="B3" t="s">
        <v>823</v>
      </c>
      <c r="C3" s="535">
        <v>951.31528000000003</v>
      </c>
    </row>
    <row r="4" spans="1:3" x14ac:dyDescent="0.3">
      <c r="A4" t="s">
        <v>106</v>
      </c>
      <c r="B4" t="s">
        <v>824</v>
      </c>
      <c r="C4" s="535">
        <v>1353.018769</v>
      </c>
    </row>
    <row r="5" spans="1:3" x14ac:dyDescent="0.3">
      <c r="A5" t="s">
        <v>825</v>
      </c>
      <c r="B5" t="s">
        <v>822</v>
      </c>
      <c r="C5" s="535">
        <v>461.22561999999999</v>
      </c>
    </row>
    <row r="6" spans="1:3" x14ac:dyDescent="0.3">
      <c r="A6" t="s">
        <v>825</v>
      </c>
      <c r="B6" t="s">
        <v>823</v>
      </c>
      <c r="C6" s="535">
        <v>733.12704199999996</v>
      </c>
    </row>
    <row r="7" spans="1:3" x14ac:dyDescent="0.3">
      <c r="A7" t="s">
        <v>827</v>
      </c>
      <c r="B7" t="s">
        <v>826</v>
      </c>
      <c r="C7" s="535">
        <v>203.505</v>
      </c>
    </row>
    <row r="8" spans="1:3" x14ac:dyDescent="0.3">
      <c r="A8" t="s">
        <v>827</v>
      </c>
      <c r="B8" t="s">
        <v>828</v>
      </c>
      <c r="C8" s="535">
        <v>1217.0540000000001</v>
      </c>
    </row>
    <row r="9" spans="1:3" x14ac:dyDescent="0.3">
      <c r="A9" t="s">
        <v>827</v>
      </c>
      <c r="B9" t="s">
        <v>829</v>
      </c>
      <c r="C9" s="535">
        <v>138.60499999999999</v>
      </c>
    </row>
    <row r="10" spans="1:3" x14ac:dyDescent="0.3">
      <c r="A10" t="s">
        <v>830</v>
      </c>
      <c r="B10" t="s">
        <v>828</v>
      </c>
      <c r="C10" s="535">
        <v>677.71900000000005</v>
      </c>
    </row>
    <row r="11" spans="1:3" x14ac:dyDescent="0.3">
      <c r="A11" t="s">
        <v>54</v>
      </c>
      <c r="B11" t="s">
        <v>831</v>
      </c>
      <c r="C11" s="535">
        <v>50.346319999999999</v>
      </c>
    </row>
    <row r="12" spans="1:3" x14ac:dyDescent="0.3">
      <c r="A12" t="s">
        <v>54</v>
      </c>
      <c r="B12" t="s">
        <v>832</v>
      </c>
      <c r="C12" s="535">
        <v>32.164059999999999</v>
      </c>
    </row>
    <row r="13" spans="1:3" x14ac:dyDescent="0.3">
      <c r="A13" t="s">
        <v>54</v>
      </c>
      <c r="B13" t="s">
        <v>833</v>
      </c>
      <c r="C13" s="535">
        <v>224.54397</v>
      </c>
    </row>
    <row r="14" spans="1:3" x14ac:dyDescent="0.3">
      <c r="A14" t="s">
        <v>54</v>
      </c>
      <c r="B14" t="s">
        <v>834</v>
      </c>
      <c r="C14" s="535">
        <v>211.67348999999999</v>
      </c>
    </row>
    <row r="15" spans="1:3" x14ac:dyDescent="0.3">
      <c r="A15" t="s">
        <v>54</v>
      </c>
      <c r="B15" t="s">
        <v>835</v>
      </c>
      <c r="C15" s="535">
        <v>204.95385999999999</v>
      </c>
    </row>
    <row r="16" spans="1:3" x14ac:dyDescent="0.3">
      <c r="A16" t="s">
        <v>59</v>
      </c>
      <c r="B16" t="s">
        <v>836</v>
      </c>
      <c r="C16" s="535">
        <v>0.10882</v>
      </c>
    </row>
    <row r="17" spans="1:3" x14ac:dyDescent="0.3">
      <c r="A17" t="s">
        <v>59</v>
      </c>
      <c r="B17" t="s">
        <v>837</v>
      </c>
      <c r="C17" s="535">
        <v>1.6377699999999999</v>
      </c>
    </row>
    <row r="18" spans="1:3" x14ac:dyDescent="0.3">
      <c r="A18" t="s">
        <v>59</v>
      </c>
      <c r="B18" t="s">
        <v>838</v>
      </c>
      <c r="C18" s="535">
        <v>22.54139</v>
      </c>
    </row>
    <row r="19" spans="1:3" x14ac:dyDescent="0.3">
      <c r="A19" t="s">
        <v>59</v>
      </c>
      <c r="B19" t="s">
        <v>839</v>
      </c>
      <c r="C19" s="535">
        <v>5.2892619999999999</v>
      </c>
    </row>
    <row r="20" spans="1:3" x14ac:dyDescent="0.3">
      <c r="A20" t="s">
        <v>59</v>
      </c>
      <c r="B20" t="s">
        <v>840</v>
      </c>
      <c r="C20" s="535">
        <v>32.208689999999997</v>
      </c>
    </row>
    <row r="21" spans="1:3" x14ac:dyDescent="0.3">
      <c r="A21" t="s">
        <v>59</v>
      </c>
      <c r="B21" t="s">
        <v>841</v>
      </c>
      <c r="C21" s="535">
        <v>144.69972000000001</v>
      </c>
    </row>
    <row r="22" spans="1:3" x14ac:dyDescent="0.3">
      <c r="A22" t="s">
        <v>59</v>
      </c>
      <c r="B22" t="s">
        <v>842</v>
      </c>
      <c r="C22" s="535">
        <v>364.74335000000002</v>
      </c>
    </row>
    <row r="23" spans="1:3" x14ac:dyDescent="0.3">
      <c r="A23" s="532" t="s">
        <v>843</v>
      </c>
      <c r="B23" s="532" t="s">
        <v>831</v>
      </c>
      <c r="C23" s="535">
        <v>8.55701</v>
      </c>
    </row>
    <row r="24" spans="1:3" x14ac:dyDescent="0.3">
      <c r="A24" s="532" t="s">
        <v>843</v>
      </c>
      <c r="B24" s="532" t="s">
        <v>833</v>
      </c>
      <c r="C24" s="535">
        <v>25.439640000000001</v>
      </c>
    </row>
    <row r="25" spans="1:3" x14ac:dyDescent="0.3">
      <c r="A25" s="532" t="s">
        <v>843</v>
      </c>
      <c r="B25" s="532" t="s">
        <v>844</v>
      </c>
      <c r="C25" s="535">
        <v>29.35069</v>
      </c>
    </row>
    <row r="26" spans="1:3" x14ac:dyDescent="0.3">
      <c r="A26" s="532" t="s">
        <v>843</v>
      </c>
      <c r="B26" s="532" t="s">
        <v>834</v>
      </c>
      <c r="C26" s="535">
        <v>22.982579999999999</v>
      </c>
    </row>
    <row r="27" spans="1:3" x14ac:dyDescent="0.3">
      <c r="A27" s="532" t="s">
        <v>843</v>
      </c>
      <c r="B27" s="532" t="s">
        <v>835</v>
      </c>
      <c r="C27" s="535">
        <v>18.57837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1000"/>
  <sheetViews>
    <sheetView topLeftCell="A7" zoomScale="80" zoomScaleNormal="80" workbookViewId="0">
      <selection activeCell="F35" sqref="F35"/>
    </sheetView>
  </sheetViews>
  <sheetFormatPr defaultColWidth="14.44140625" defaultRowHeight="15" customHeight="1" x14ac:dyDescent="0.3"/>
  <cols>
    <col min="1" max="1" width="41.33203125" customWidth="1"/>
    <col min="2" max="2" width="14.6640625" customWidth="1"/>
    <col min="3" max="3" width="11.33203125" customWidth="1"/>
    <col min="4" max="4" width="14.6640625" customWidth="1"/>
    <col min="5" max="5" width="31.77734375" bestFit="1" customWidth="1"/>
    <col min="6" max="6" width="19.44140625" customWidth="1"/>
    <col min="7" max="7" width="20" customWidth="1"/>
    <col min="8" max="8" width="13.44140625" customWidth="1"/>
    <col min="9" max="9" width="15.5546875" customWidth="1"/>
    <col min="10" max="10" width="24.33203125" customWidth="1"/>
    <col min="11" max="11" width="13" customWidth="1"/>
    <col min="12" max="12" width="12.33203125" customWidth="1"/>
    <col min="13" max="13" width="14.109375" customWidth="1"/>
    <col min="14" max="14" width="26.5546875" customWidth="1"/>
    <col min="15" max="15" width="14.6640625" customWidth="1"/>
    <col min="16" max="16" width="14.109375" customWidth="1"/>
    <col min="17" max="17" width="7.6640625" customWidth="1"/>
    <col min="18" max="18" width="13.33203125" customWidth="1"/>
    <col min="19" max="26" width="14.109375" customWidth="1"/>
  </cols>
  <sheetData>
    <row r="1" spans="1:18" ht="14.4" x14ac:dyDescent="0.3">
      <c r="A1" s="540" t="s">
        <v>34</v>
      </c>
      <c r="B1" s="541"/>
      <c r="C1" s="542"/>
      <c r="E1" s="5" t="s">
        <v>35</v>
      </c>
      <c r="F1" s="6">
        <f ca="1">SUM($B$7,$B$19,$B$26,$B$31,$B$38)</f>
        <v>1684691.0099999998</v>
      </c>
      <c r="H1" s="7"/>
      <c r="I1" s="7"/>
      <c r="J1" s="8"/>
      <c r="K1" s="9" t="s">
        <v>36</v>
      </c>
      <c r="L1" s="10" t="s">
        <v>37</v>
      </c>
      <c r="N1" s="5" t="s">
        <v>38</v>
      </c>
      <c r="O1" s="6">
        <v>28500</v>
      </c>
      <c r="P1" s="11"/>
      <c r="Q1" s="12">
        <v>0.15</v>
      </c>
    </row>
    <row r="2" spans="1:18" ht="14.4" x14ac:dyDescent="0.3">
      <c r="A2" s="13" t="s">
        <v>39</v>
      </c>
      <c r="B2" s="14">
        <f>'Checking Transaction Log'!G2</f>
        <v>100</v>
      </c>
      <c r="C2" s="15">
        <f t="shared" ref="C2:C6" ca="1" si="0">TODAY()</f>
        <v>46155</v>
      </c>
      <c r="E2" s="13" t="s">
        <v>40</v>
      </c>
      <c r="F2" s="16">
        <f>F14</f>
        <v>184020.32</v>
      </c>
      <c r="H2" s="17"/>
      <c r="J2" s="18" t="s">
        <v>41</v>
      </c>
      <c r="K2" s="19">
        <v>0.75</v>
      </c>
      <c r="L2" s="20">
        <f>K5/(K5+K6)</f>
        <v>0.82559561516504409</v>
      </c>
      <c r="N2" s="21" t="s">
        <v>42</v>
      </c>
      <c r="O2" s="22">
        <f>B12-O1</f>
        <v>-9575</v>
      </c>
      <c r="P2" s="11"/>
      <c r="Q2" s="23" t="s">
        <v>43</v>
      </c>
      <c r="R2" s="23">
        <f ca="1">E20*(1+$Q$1)</f>
        <v>1725771.2934999994</v>
      </c>
    </row>
    <row r="3" spans="1:18" ht="14.4" x14ac:dyDescent="0.3">
      <c r="A3" s="13" t="s">
        <v>44</v>
      </c>
      <c r="B3" s="14">
        <v>0</v>
      </c>
      <c r="C3" s="15">
        <f t="shared" ca="1" si="0"/>
        <v>46155</v>
      </c>
      <c r="E3" s="21" t="s">
        <v>45</v>
      </c>
      <c r="F3" s="22">
        <f ca="1">F1-F2</f>
        <v>1500670.6899999997</v>
      </c>
      <c r="H3" s="17"/>
      <c r="J3" s="18" t="s">
        <v>46</v>
      </c>
      <c r="K3" s="19">
        <v>0.25</v>
      </c>
      <c r="L3" s="20">
        <f>K6/(K5+K6)</f>
        <v>0.17440438483495588</v>
      </c>
      <c r="N3" s="5" t="s">
        <v>47</v>
      </c>
      <c r="O3" s="6">
        <v>67870.080000000002</v>
      </c>
      <c r="P3" s="11"/>
      <c r="Q3" s="23" t="s">
        <v>48</v>
      </c>
      <c r="R3" s="23">
        <f t="shared" ref="R3:R11" ca="1" si="1">R2*(1+$Q$1)</f>
        <v>1984636.9875249993</v>
      </c>
    </row>
    <row r="4" spans="1:18" ht="14.4" x14ac:dyDescent="0.3">
      <c r="A4" s="13" t="s">
        <v>49</v>
      </c>
      <c r="B4" s="14">
        <v>0</v>
      </c>
      <c r="C4" s="15">
        <f t="shared" ca="1" si="0"/>
        <v>46155</v>
      </c>
      <c r="F4" s="7"/>
      <c r="H4" s="17"/>
      <c r="J4" s="24"/>
      <c r="K4" s="25"/>
      <c r="L4" s="26"/>
      <c r="N4" s="27" t="s">
        <v>50</v>
      </c>
      <c r="O4" s="28">
        <f>B10-O3</f>
        <v>21717.099999999991</v>
      </c>
      <c r="P4" s="11"/>
      <c r="Q4" s="23" t="s">
        <v>51</v>
      </c>
      <c r="R4" s="23">
        <f t="shared" ca="1" si="1"/>
        <v>2282332.535653749</v>
      </c>
    </row>
    <row r="5" spans="1:18" ht="14.4" x14ac:dyDescent="0.3">
      <c r="A5" s="13" t="s">
        <v>52</v>
      </c>
      <c r="B5" s="14">
        <f ca="1">'Checking Transaction Log'!G1</f>
        <v>3229.1499999999842</v>
      </c>
      <c r="C5" s="15">
        <f t="shared" ca="1" si="0"/>
        <v>46155</v>
      </c>
      <c r="E5" s="543" t="s">
        <v>53</v>
      </c>
      <c r="F5" s="541"/>
      <c r="G5" s="542"/>
      <c r="H5" s="17"/>
      <c r="J5" s="29" t="s">
        <v>54</v>
      </c>
      <c r="K5" s="30">
        <f>B10</f>
        <v>89587.18</v>
      </c>
      <c r="L5" s="20">
        <f ca="1">K5/F3</f>
        <v>5.9698094056864673E-2</v>
      </c>
      <c r="N5" s="5" t="s">
        <v>55</v>
      </c>
      <c r="O5" s="6"/>
      <c r="P5" s="11"/>
      <c r="Q5" s="23" t="s">
        <v>56</v>
      </c>
      <c r="R5" s="23">
        <f t="shared" ca="1" si="1"/>
        <v>2624682.4160018112</v>
      </c>
    </row>
    <row r="6" spans="1:18" ht="14.4" x14ac:dyDescent="0.3">
      <c r="A6" s="13" t="s">
        <v>57</v>
      </c>
      <c r="B6" s="14">
        <f>'Savings Transaction Log'!A3</f>
        <v>19549.880000000005</v>
      </c>
      <c r="C6" s="15">
        <f t="shared" ca="1" si="0"/>
        <v>46155</v>
      </c>
      <c r="E6" s="31" t="s">
        <v>58</v>
      </c>
      <c r="F6" s="14">
        <v>136201.79</v>
      </c>
      <c r="G6" s="32">
        <v>46155</v>
      </c>
      <c r="H6" s="17"/>
      <c r="J6" s="18" t="s">
        <v>59</v>
      </c>
      <c r="K6" s="30">
        <f>B12</f>
        <v>18925</v>
      </c>
      <c r="L6" s="20">
        <f ca="1">K6/F3</f>
        <v>1.2611027939780715E-2</v>
      </c>
      <c r="N6" s="21" t="s">
        <v>60</v>
      </c>
      <c r="O6" s="22"/>
      <c r="P6" s="11"/>
      <c r="Q6" s="23" t="s">
        <v>61</v>
      </c>
      <c r="R6" s="23">
        <f t="shared" ca="1" si="1"/>
        <v>3018384.7784020826</v>
      </c>
    </row>
    <row r="7" spans="1:18" ht="14.4" x14ac:dyDescent="0.3">
      <c r="A7" s="21" t="s">
        <v>62</v>
      </c>
      <c r="B7" s="33">
        <f ca="1">SUM(B2:B6)</f>
        <v>22879.029999999988</v>
      </c>
      <c r="C7" s="34">
        <f ca="1">B7/F3</f>
        <v>1.5245869831708376E-2</v>
      </c>
      <c r="E7" s="569" t="s">
        <v>852</v>
      </c>
      <c r="F7" s="14">
        <v>18968</v>
      </c>
      <c r="G7" s="32">
        <v>46142</v>
      </c>
      <c r="H7" s="7"/>
      <c r="J7" s="18" t="s">
        <v>64</v>
      </c>
      <c r="K7" s="30">
        <f>IF((B3+B4+B6)&gt;10000,(B3+B4+B6-10000),0)</f>
        <v>9549.8800000000047</v>
      </c>
      <c r="L7" s="26"/>
      <c r="N7" s="35" t="s">
        <v>65</v>
      </c>
      <c r="O7" s="36">
        <f t="shared" ref="O7:O8" si="2">O1+O3+O5</f>
        <v>96370.08</v>
      </c>
      <c r="P7" s="11"/>
      <c r="Q7" s="23" t="s">
        <v>66</v>
      </c>
      <c r="R7" s="23">
        <f t="shared" ca="1" si="1"/>
        <v>3471142.4951623948</v>
      </c>
    </row>
    <row r="8" spans="1:18" ht="14.4" x14ac:dyDescent="0.3">
      <c r="B8" s="7"/>
      <c r="C8" s="37"/>
      <c r="E8" s="31" t="s">
        <v>858</v>
      </c>
      <c r="F8" s="14">
        <v>1245.4000000000001</v>
      </c>
      <c r="G8" s="32">
        <v>46144</v>
      </c>
      <c r="H8" s="7"/>
      <c r="I8" s="7"/>
      <c r="J8" s="18" t="s">
        <v>68</v>
      </c>
      <c r="K8" s="30">
        <f>SUM(K5:K7)</f>
        <v>118062.06</v>
      </c>
      <c r="L8" s="20">
        <f ca="1">K8/F3</f>
        <v>7.8672863264891257E-2</v>
      </c>
      <c r="N8" s="21" t="s">
        <v>69</v>
      </c>
      <c r="O8" s="22">
        <f t="shared" si="2"/>
        <v>12142.099999999991</v>
      </c>
      <c r="P8" s="11"/>
      <c r="Q8" s="23" t="s">
        <v>70</v>
      </c>
      <c r="R8" s="23">
        <f t="shared" ca="1" si="1"/>
        <v>3991813.8694367539</v>
      </c>
    </row>
    <row r="9" spans="1:18" ht="14.4" x14ac:dyDescent="0.3">
      <c r="A9" s="540" t="s">
        <v>71</v>
      </c>
      <c r="B9" s="541"/>
      <c r="C9" s="542"/>
      <c r="E9" s="568" t="s">
        <v>857</v>
      </c>
      <c r="F9" s="566">
        <v>9840</v>
      </c>
      <c r="G9" s="567">
        <v>46155</v>
      </c>
      <c r="H9" s="7"/>
      <c r="I9" s="7"/>
      <c r="J9" s="24"/>
      <c r="K9" s="39" t="s">
        <v>72</v>
      </c>
      <c r="L9" s="26" t="s">
        <v>68</v>
      </c>
      <c r="P9" s="11"/>
      <c r="Q9" s="23" t="s">
        <v>73</v>
      </c>
      <c r="R9" s="23">
        <f t="shared" ca="1" si="1"/>
        <v>4590585.9498522663</v>
      </c>
    </row>
    <row r="10" spans="1:18" ht="14.4" x14ac:dyDescent="0.3">
      <c r="A10" s="31" t="s">
        <v>74</v>
      </c>
      <c r="B10" s="14">
        <v>89587.18</v>
      </c>
      <c r="C10" s="15">
        <v>46144</v>
      </c>
      <c r="D10" s="17"/>
      <c r="E10" s="568" t="s">
        <v>853</v>
      </c>
      <c r="F10" s="566">
        <v>11965.33</v>
      </c>
      <c r="G10" s="567">
        <v>46149</v>
      </c>
      <c r="H10" s="17"/>
      <c r="I10" s="7"/>
      <c r="J10" s="18" t="s">
        <v>54</v>
      </c>
      <c r="K10" s="30">
        <f>(K8*K2)-K5</f>
        <v>-1040.6349999999948</v>
      </c>
      <c r="L10" s="40">
        <f t="shared" ref="L10:L11" si="3">K10+K5</f>
        <v>88546.544999999998</v>
      </c>
      <c r="P10" s="11"/>
      <c r="Q10" s="23" t="s">
        <v>75</v>
      </c>
      <c r="R10" s="23">
        <f t="shared" ca="1" si="1"/>
        <v>5279173.8423301056</v>
      </c>
    </row>
    <row r="11" spans="1:18" ht="14.4" x14ac:dyDescent="0.3">
      <c r="A11" s="31" t="s">
        <v>76</v>
      </c>
      <c r="B11" s="14">
        <v>12181.44</v>
      </c>
      <c r="C11" s="15">
        <v>46144</v>
      </c>
      <c r="D11" s="17"/>
      <c r="E11" s="568" t="s">
        <v>854</v>
      </c>
      <c r="F11" s="566">
        <v>1040.6300000000001</v>
      </c>
      <c r="G11" s="567">
        <v>46155</v>
      </c>
      <c r="H11" s="17"/>
      <c r="I11" s="7"/>
      <c r="J11" s="43" t="s">
        <v>78</v>
      </c>
      <c r="K11" s="44">
        <f>(K8*K3)-K6</f>
        <v>10590.514999999999</v>
      </c>
      <c r="L11" s="45">
        <f t="shared" si="3"/>
        <v>29515.514999999999</v>
      </c>
      <c r="N11" s="46" t="s">
        <v>79</v>
      </c>
      <c r="O11" s="7">
        <v>5258.27</v>
      </c>
      <c r="P11" s="11"/>
      <c r="Q11" s="23" t="s">
        <v>80</v>
      </c>
      <c r="R11" s="23">
        <f t="shared" ca="1" si="1"/>
        <v>6071049.9186796211</v>
      </c>
    </row>
    <row r="12" spans="1:18" ht="14.4" x14ac:dyDescent="0.3">
      <c r="A12" s="47" t="s">
        <v>81</v>
      </c>
      <c r="B12" s="48">
        <v>18925</v>
      </c>
      <c r="C12" s="15">
        <v>46144</v>
      </c>
      <c r="D12" s="17"/>
      <c r="E12" s="565" t="s">
        <v>855</v>
      </c>
      <c r="F12" s="566">
        <v>3944.13</v>
      </c>
      <c r="G12" s="567">
        <v>46155</v>
      </c>
      <c r="I12" s="7"/>
      <c r="J12" s="49"/>
      <c r="K12" s="25"/>
      <c r="L12" s="50">
        <f ca="1">L11/F3</f>
        <v>1.9668215816222814E-2</v>
      </c>
      <c r="N12" s="46" t="s">
        <v>82</v>
      </c>
      <c r="O12" s="7">
        <v>6000</v>
      </c>
      <c r="P12" s="11"/>
      <c r="Q12" s="23"/>
    </row>
    <row r="13" spans="1:18" ht="14.4" x14ac:dyDescent="0.3">
      <c r="A13" s="27"/>
      <c r="B13" s="51"/>
      <c r="C13" s="15"/>
      <c r="D13" s="17"/>
      <c r="E13" s="565" t="s">
        <v>856</v>
      </c>
      <c r="F13" s="566">
        <v>815.04</v>
      </c>
      <c r="G13" s="567">
        <v>46155</v>
      </c>
      <c r="J13" s="49"/>
      <c r="K13" s="25"/>
      <c r="L13" s="11"/>
      <c r="N13" s="46" t="s">
        <v>83</v>
      </c>
      <c r="O13" s="7">
        <v>0</v>
      </c>
      <c r="P13" s="11"/>
      <c r="Q13" s="23"/>
    </row>
    <row r="14" spans="1:18" ht="14.4" x14ac:dyDescent="0.3">
      <c r="A14" s="27"/>
      <c r="B14" s="51"/>
      <c r="C14" s="15"/>
      <c r="D14" s="17"/>
      <c r="E14" s="21" t="s">
        <v>40</v>
      </c>
      <c r="F14" s="33">
        <f>SUM(F6:F13)</f>
        <v>184020.32</v>
      </c>
      <c r="G14" s="38"/>
      <c r="J14" s="49"/>
      <c r="K14" s="25"/>
      <c r="L14" s="11"/>
      <c r="N14" s="46" t="s">
        <v>86</v>
      </c>
      <c r="O14" s="7">
        <f>B18</f>
        <v>0</v>
      </c>
      <c r="P14" s="11"/>
      <c r="Q14" s="23"/>
    </row>
    <row r="15" spans="1:18" ht="14.4" x14ac:dyDescent="0.3">
      <c r="A15" s="47"/>
      <c r="B15" s="55"/>
      <c r="C15" s="15"/>
      <c r="F15" s="7"/>
      <c r="J15" s="57" t="s">
        <v>41</v>
      </c>
      <c r="K15" s="58">
        <f>SUM(B10:B11)</f>
        <v>101768.62</v>
      </c>
      <c r="L15" s="59">
        <f ca="1">K15/F3</f>
        <v>6.7815424581924771E-2</v>
      </c>
      <c r="N15" s="46" t="s">
        <v>87</v>
      </c>
      <c r="O15" s="7">
        <f>O14-O11-O12</f>
        <v>-11258.27</v>
      </c>
      <c r="P15" s="11"/>
      <c r="Q15" s="23"/>
    </row>
    <row r="16" spans="1:18" ht="14.4" x14ac:dyDescent="0.3">
      <c r="A16" s="60"/>
      <c r="B16" s="51"/>
      <c r="C16" s="15"/>
      <c r="E16" s="41" t="s">
        <v>77</v>
      </c>
      <c r="F16" s="42">
        <f ca="1">SUM(B7,B10,B18,B13,B12,B17,B15,B16,B14)</f>
        <v>131391.20999999996</v>
      </c>
      <c r="I16" s="7"/>
      <c r="J16" s="18" t="s">
        <v>46</v>
      </c>
      <c r="K16" s="63">
        <f>B12</f>
        <v>18925</v>
      </c>
      <c r="L16" s="20">
        <f ca="1">K16/F3</f>
        <v>1.2611027939780715E-2</v>
      </c>
      <c r="P16" s="11"/>
      <c r="Q16" s="23"/>
    </row>
    <row r="17" spans="1:17" ht="14.4" x14ac:dyDescent="0.3">
      <c r="A17" s="47"/>
      <c r="B17" s="48"/>
      <c r="C17" s="15"/>
      <c r="E17" s="7"/>
      <c r="I17" s="7"/>
      <c r="J17" s="43" t="s">
        <v>90</v>
      </c>
      <c r="K17" s="64">
        <f>SUM(B13)</f>
        <v>0</v>
      </c>
      <c r="L17" s="34">
        <f ca="1">K17/F3</f>
        <v>0</v>
      </c>
      <c r="P17" s="11"/>
    </row>
    <row r="18" spans="1:17" ht="14.4" x14ac:dyDescent="0.3">
      <c r="A18" s="47"/>
      <c r="B18" s="48"/>
      <c r="C18" s="15"/>
      <c r="E18" s="17"/>
      <c r="G18" s="7"/>
      <c r="I18" s="7"/>
      <c r="J18" s="49"/>
      <c r="K18" s="25"/>
      <c r="L18" s="11"/>
      <c r="N18" s="66" t="s">
        <v>91</v>
      </c>
      <c r="O18" s="67">
        <f>B19+B26+B31-F6</f>
        <v>1454610.19</v>
      </c>
      <c r="P18" s="11"/>
    </row>
    <row r="19" spans="1:17" ht="14.4" x14ac:dyDescent="0.3">
      <c r="A19" s="68" t="s">
        <v>92</v>
      </c>
      <c r="B19" s="33">
        <f>SUM(B10:B18)</f>
        <v>120693.62</v>
      </c>
      <c r="C19" s="34">
        <f ca="1">B19/F3</f>
        <v>8.0426452521705494E-2</v>
      </c>
      <c r="E19" s="52" t="s">
        <v>84</v>
      </c>
      <c r="F19" s="53" t="s">
        <v>85</v>
      </c>
      <c r="G19" s="54" t="s">
        <v>85</v>
      </c>
      <c r="I19" s="7"/>
      <c r="J19" s="49"/>
      <c r="K19" s="25"/>
      <c r="L19" s="11"/>
      <c r="N19" s="5" t="s">
        <v>96</v>
      </c>
      <c r="O19" s="72">
        <f>($B$22+$B$23)*0.5</f>
        <v>275255.95499999996</v>
      </c>
      <c r="P19" s="73">
        <f t="shared" ref="P19:P32" si="4">O19/$O$18</f>
        <v>0.18923004726097786</v>
      </c>
      <c r="Q19" s="74" t="s">
        <v>97</v>
      </c>
    </row>
    <row r="20" spans="1:17" ht="14.4" x14ac:dyDescent="0.3">
      <c r="B20" s="7"/>
      <c r="C20" s="37"/>
      <c r="E20" s="56">
        <f ca="1">F3</f>
        <v>1500670.6899999997</v>
      </c>
      <c r="F20" s="44">
        <f ca="1">E20-E22</f>
        <v>85668.259999999776</v>
      </c>
      <c r="G20" s="34">
        <f ca="1">(E20-E22)/E22</f>
        <v>6.0542835958239151E-2</v>
      </c>
      <c r="I20" s="7"/>
      <c r="J20" s="49" t="s">
        <v>98</v>
      </c>
      <c r="K20" s="25" t="s">
        <v>99</v>
      </c>
      <c r="L20" s="11"/>
      <c r="N20" s="13" t="s">
        <v>100</v>
      </c>
      <c r="O20" s="14">
        <f>($B$24+$B$25)*0.5</f>
        <v>256303.22499999998</v>
      </c>
      <c r="P20" s="78">
        <f t="shared" si="4"/>
        <v>0.17620062526854702</v>
      </c>
      <c r="Q20" s="79" t="s">
        <v>101</v>
      </c>
    </row>
    <row r="21" spans="1:17" ht="15.75" customHeight="1" x14ac:dyDescent="0.3">
      <c r="A21" s="540" t="s">
        <v>102</v>
      </c>
      <c r="B21" s="541"/>
      <c r="C21" s="542"/>
      <c r="E21" s="61">
        <v>46023</v>
      </c>
      <c r="F21" s="62" t="s">
        <v>88</v>
      </c>
      <c r="G21" s="54" t="s">
        <v>89</v>
      </c>
      <c r="I21" s="7"/>
      <c r="J21" s="81">
        <v>2000000</v>
      </c>
      <c r="K21" s="50">
        <f ca="1">1-($E$20/J21)</f>
        <v>0.24966465500000012</v>
      </c>
      <c r="L21" s="11"/>
      <c r="N21" s="27" t="s">
        <v>104</v>
      </c>
      <c r="O21" s="51">
        <f>($B$10+$B$11)*0.25</f>
        <v>25442.154999999999</v>
      </c>
      <c r="P21" s="82">
        <f t="shared" si="4"/>
        <v>1.7490703127825608E-2</v>
      </c>
      <c r="Q21" s="83" t="s">
        <v>105</v>
      </c>
    </row>
    <row r="22" spans="1:17" ht="15.75" customHeight="1" x14ac:dyDescent="0.3">
      <c r="A22" s="31" t="s">
        <v>106</v>
      </c>
      <c r="B22" s="14">
        <f>-'TSP-401K'!H82</f>
        <v>416706.47999999992</v>
      </c>
      <c r="C22" s="15">
        <v>46144</v>
      </c>
      <c r="E22" s="56">
        <v>1415002.43</v>
      </c>
      <c r="F22" s="45">
        <f ca="1">((F20/(C2-E21))*365)+E22</f>
        <v>1651888.1489393932</v>
      </c>
      <c r="G22" s="34">
        <f ca="1">(F22-E22)/E22</f>
        <v>0.1674101145814946</v>
      </c>
      <c r="I22" s="7"/>
      <c r="J22" s="81">
        <v>3000000</v>
      </c>
      <c r="K22" s="50">
        <f ca="1">1-($E$20/J22)</f>
        <v>0.49977643666666671</v>
      </c>
      <c r="L22" s="11"/>
      <c r="N22" s="5" t="s">
        <v>108</v>
      </c>
      <c r="O22" s="72">
        <f>($B$22+$B$23)*0.3</f>
        <v>165153.57299999997</v>
      </c>
      <c r="P22" s="73">
        <f t="shared" si="4"/>
        <v>0.1135380283565867</v>
      </c>
      <c r="Q22" s="74" t="s">
        <v>97</v>
      </c>
    </row>
    <row r="23" spans="1:17" ht="15.75" customHeight="1" x14ac:dyDescent="0.3">
      <c r="A23" s="31" t="s">
        <v>109</v>
      </c>
      <c r="B23" s="14">
        <f>-'TSP-401K'!L82</f>
        <v>133805.42999999996</v>
      </c>
      <c r="C23" s="15">
        <f>C22</f>
        <v>46144</v>
      </c>
      <c r="E23" s="7"/>
      <c r="G23" s="65"/>
      <c r="I23" s="7"/>
      <c r="J23" s="81">
        <v>4000000</v>
      </c>
      <c r="K23" s="50">
        <f ca="1">1-($E$20/J23)</f>
        <v>0.62483232750000006</v>
      </c>
      <c r="L23" s="11"/>
      <c r="N23" s="13" t="s">
        <v>111</v>
      </c>
      <c r="O23" s="14">
        <f>($B$24+$B$25)*0.3</f>
        <v>153781.93499999997</v>
      </c>
      <c r="P23" s="78">
        <f t="shared" si="4"/>
        <v>0.1057203751611282</v>
      </c>
      <c r="Q23" s="79" t="s">
        <v>101</v>
      </c>
    </row>
    <row r="24" spans="1:17" ht="15.75" customHeight="1" x14ac:dyDescent="0.3">
      <c r="A24" s="31" t="s">
        <v>112</v>
      </c>
      <c r="B24" s="14">
        <f>-'TSP-401K'!Q82</f>
        <v>392470.39999999991</v>
      </c>
      <c r="C24" s="15">
        <f>C22</f>
        <v>46144</v>
      </c>
      <c r="E24" s="69" t="s">
        <v>93</v>
      </c>
      <c r="F24" s="70" t="s">
        <v>94</v>
      </c>
      <c r="G24" s="71" t="s">
        <v>95</v>
      </c>
      <c r="I24" s="7"/>
      <c r="J24" s="7">
        <v>5000000</v>
      </c>
      <c r="K24" s="50">
        <f ca="1">1-($E$20/J24)</f>
        <v>0.69986586200000001</v>
      </c>
      <c r="L24" s="11"/>
      <c r="N24" s="13" t="s">
        <v>113</v>
      </c>
      <c r="O24" s="14">
        <f t="shared" ref="O24:O25" si="5">($B$10+$B$11)*0.25</f>
        <v>25442.154999999999</v>
      </c>
      <c r="P24" s="78">
        <f t="shared" si="4"/>
        <v>1.7490703127825608E-2</v>
      </c>
      <c r="Q24" s="79" t="s">
        <v>105</v>
      </c>
    </row>
    <row r="25" spans="1:17" ht="15.75" customHeight="1" x14ac:dyDescent="0.3">
      <c r="A25" s="31" t="s">
        <v>114</v>
      </c>
      <c r="B25" s="14">
        <f>-'TSP-401K'!V82</f>
        <v>120136.05000000005</v>
      </c>
      <c r="C25" s="15">
        <f>C22</f>
        <v>46144</v>
      </c>
      <c r="E25" s="75" t="s">
        <v>34</v>
      </c>
      <c r="F25" s="76">
        <f ca="1">B7</f>
        <v>22879.029999999988</v>
      </c>
      <c r="G25" s="77">
        <f ca="1">F25/SUM($F$25:$F$31)</f>
        <v>1.4970484843501608E-2</v>
      </c>
      <c r="I25" s="7"/>
      <c r="J25" s="84"/>
      <c r="K25" s="25"/>
      <c r="L25" s="11"/>
      <c r="N25" s="27" t="s">
        <v>116</v>
      </c>
      <c r="O25" s="51">
        <f t="shared" si="5"/>
        <v>25442.154999999999</v>
      </c>
      <c r="P25" s="82">
        <f t="shared" si="4"/>
        <v>1.7490703127825608E-2</v>
      </c>
      <c r="Q25" s="83" t="s">
        <v>105</v>
      </c>
    </row>
    <row r="26" spans="1:17" ht="15.75" customHeight="1" x14ac:dyDescent="0.3">
      <c r="A26" s="21" t="s">
        <v>117</v>
      </c>
      <c r="B26" s="33">
        <f>SUM(B22:B25)</f>
        <v>1063118.3599999999</v>
      </c>
      <c r="C26" s="34">
        <f ca="1">B26/F3</f>
        <v>0.7084288159183012</v>
      </c>
      <c r="E26" s="80" t="s">
        <v>103</v>
      </c>
      <c r="F26" s="30">
        <f>(B11)</f>
        <v>12181.44</v>
      </c>
      <c r="G26" s="20">
        <f ca="1">F26/SUM($F$25:$F$31)</f>
        <v>7.9707078006377163E-3</v>
      </c>
      <c r="I26" s="7"/>
      <c r="J26" s="49"/>
      <c r="K26" s="25"/>
      <c r="L26" s="11"/>
      <c r="N26" s="5" t="s">
        <v>119</v>
      </c>
      <c r="O26" s="72">
        <f>($B$22+$B$23)*0.2</f>
        <v>110102.38199999998</v>
      </c>
      <c r="P26" s="73">
        <f t="shared" si="4"/>
        <v>7.5692018904391145E-2</v>
      </c>
      <c r="Q26" s="74" t="s">
        <v>97</v>
      </c>
    </row>
    <row r="27" spans="1:17" ht="15.75" customHeight="1" x14ac:dyDescent="0.3">
      <c r="B27" s="7"/>
      <c r="C27" s="37"/>
      <c r="E27" s="80" t="s">
        <v>107</v>
      </c>
      <c r="F27" s="30">
        <f>B10</f>
        <v>89587.18</v>
      </c>
      <c r="G27" s="20">
        <f ca="1">F27/SUM($F$25:$F$31)</f>
        <v>5.8619771920490116E-2</v>
      </c>
      <c r="I27" s="7"/>
      <c r="J27" s="49"/>
      <c r="K27" s="25"/>
      <c r="L27" s="11"/>
      <c r="N27" s="13" t="s">
        <v>120</v>
      </c>
      <c r="O27" s="14">
        <f>($B$24+$B$25)*0.2</f>
        <v>102521.29</v>
      </c>
      <c r="P27" s="78">
        <f t="shared" si="4"/>
        <v>7.0480250107418818E-2</v>
      </c>
      <c r="Q27" s="79" t="s">
        <v>101</v>
      </c>
    </row>
    <row r="28" spans="1:17" ht="15.75" customHeight="1" x14ac:dyDescent="0.3">
      <c r="A28" s="540" t="s">
        <v>115</v>
      </c>
      <c r="B28" s="541"/>
      <c r="C28" s="542"/>
      <c r="E28" s="80" t="s">
        <v>110</v>
      </c>
      <c r="F28" s="30">
        <f>B12</f>
        <v>18925</v>
      </c>
      <c r="G28" s="20">
        <f ca="1">F28/SUM($F$25:$F$31)</f>
        <v>1.2383235900441061E-2</v>
      </c>
      <c r="I28" s="7"/>
      <c r="J28" s="49"/>
      <c r="K28" s="25"/>
      <c r="L28" s="11"/>
      <c r="N28" s="13" t="s">
        <v>121</v>
      </c>
      <c r="O28" s="14">
        <f t="shared" ref="O28:O29" si="6">($B$10+$B$11)*0.1</f>
        <v>10176.862000000001</v>
      </c>
      <c r="P28" s="78">
        <f t="shared" si="4"/>
        <v>6.9962812511302434E-3</v>
      </c>
      <c r="Q28" s="79" t="s">
        <v>105</v>
      </c>
    </row>
    <row r="29" spans="1:17" ht="15.75" customHeight="1" x14ac:dyDescent="0.3">
      <c r="A29" s="31" t="s">
        <v>122</v>
      </c>
      <c r="B29" s="14">
        <v>315000</v>
      </c>
      <c r="C29" s="15">
        <v>46144</v>
      </c>
      <c r="E29" s="80" t="s">
        <v>102</v>
      </c>
      <c r="F29" s="30">
        <f>B26</f>
        <v>1063118.3599999999</v>
      </c>
      <c r="G29" s="20">
        <f ca="1">F29/SUM($F$25:$F$31)</f>
        <v>0.6956325200512562</v>
      </c>
      <c r="H29" s="86"/>
      <c r="I29" s="7"/>
      <c r="J29" s="49"/>
      <c r="K29" s="25"/>
      <c r="L29" s="11"/>
      <c r="N29" s="27" t="s">
        <v>123</v>
      </c>
      <c r="O29" s="51">
        <f t="shared" si="6"/>
        <v>10176.862000000001</v>
      </c>
      <c r="P29" s="82">
        <f t="shared" si="4"/>
        <v>6.9962812511302434E-3</v>
      </c>
      <c r="Q29" s="83" t="s">
        <v>105</v>
      </c>
    </row>
    <row r="30" spans="1:17" ht="15.75" customHeight="1" x14ac:dyDescent="0.3">
      <c r="A30" s="31" t="s">
        <v>124</v>
      </c>
      <c r="B30" s="14">
        <v>92000</v>
      </c>
      <c r="C30" s="15">
        <v>46144</v>
      </c>
      <c r="E30" s="80" t="s">
        <v>115</v>
      </c>
      <c r="F30" s="30">
        <f>B31-F6</f>
        <v>270798.20999999996</v>
      </c>
      <c r="G30" s="20">
        <f ca="1">F30/SUM($F$25:$F$31)</f>
        <v>0.1771919744172881</v>
      </c>
      <c r="H30" s="86"/>
      <c r="I30" s="7"/>
      <c r="J30" s="49"/>
      <c r="K30" s="25"/>
      <c r="L30" s="11"/>
      <c r="N30" s="5" t="s">
        <v>115</v>
      </c>
      <c r="O30" s="72">
        <f>B31-F6</f>
        <v>270798.20999999996</v>
      </c>
      <c r="P30" s="73">
        <f t="shared" si="4"/>
        <v>0.18616548396378274</v>
      </c>
      <c r="Q30" s="74" t="s">
        <v>125</v>
      </c>
    </row>
    <row r="31" spans="1:17" ht="15.75" customHeight="1" x14ac:dyDescent="0.3">
      <c r="A31" s="21" t="s">
        <v>126</v>
      </c>
      <c r="B31" s="33">
        <f>SUM(B29:B30)</f>
        <v>407000</v>
      </c>
      <c r="C31" s="34">
        <f ca="1">(B31-F6)/F3</f>
        <v>0.18045145534227766</v>
      </c>
      <c r="E31" s="85" t="s">
        <v>118</v>
      </c>
      <c r="F31" s="44">
        <f>B38-F8-F7</f>
        <v>50786.600000000006</v>
      </c>
      <c r="G31" s="34">
        <f ca="1">F31/SUM($F$25:$F$31)</f>
        <v>3.3231305066385212E-2</v>
      </c>
      <c r="I31" s="7"/>
      <c r="J31" s="49"/>
      <c r="K31" s="25"/>
      <c r="L31" s="11"/>
      <c r="N31" s="27" t="s">
        <v>127</v>
      </c>
      <c r="O31" s="51">
        <f>($B$10+$B$11)*0.05</f>
        <v>5088.4310000000005</v>
      </c>
      <c r="P31" s="82">
        <f t="shared" si="4"/>
        <v>3.4981406255651217E-3</v>
      </c>
      <c r="Q31" s="83" t="s">
        <v>105</v>
      </c>
    </row>
    <row r="32" spans="1:17" ht="15" customHeight="1" x14ac:dyDescent="0.3">
      <c r="E32" s="7"/>
      <c r="G32" s="7"/>
      <c r="N32" s="41" t="s">
        <v>46</v>
      </c>
      <c r="O32" s="87">
        <f>B12</f>
        <v>18925</v>
      </c>
      <c r="P32" s="88">
        <f t="shared" si="4"/>
        <v>1.3010358465865002E-2</v>
      </c>
      <c r="Q32" s="89" t="s">
        <v>59</v>
      </c>
    </row>
    <row r="33" spans="1:16" ht="15.75" customHeight="1" x14ac:dyDescent="0.3">
      <c r="A33" s="540" t="s">
        <v>118</v>
      </c>
      <c r="B33" s="541"/>
      <c r="C33" s="542"/>
      <c r="D33" s="11"/>
      <c r="E33" s="7"/>
      <c r="G33" s="7"/>
      <c r="H33" s="11"/>
      <c r="I33" s="39"/>
      <c r="J33" s="86"/>
      <c r="P33" s="11"/>
    </row>
    <row r="34" spans="1:16" ht="15.75" customHeight="1" x14ac:dyDescent="0.3">
      <c r="A34" s="13" t="s">
        <v>128</v>
      </c>
      <c r="B34" s="14">
        <v>17500</v>
      </c>
      <c r="C34" s="15">
        <v>46144</v>
      </c>
      <c r="D34" s="25"/>
      <c r="E34" s="17"/>
      <c r="G34" s="7"/>
      <c r="H34" s="25"/>
      <c r="I34" s="25"/>
      <c r="J34" s="90"/>
      <c r="P34" s="11"/>
    </row>
    <row r="35" spans="1:16" ht="15.75" customHeight="1" x14ac:dyDescent="0.3">
      <c r="A35" s="13" t="s">
        <v>129</v>
      </c>
      <c r="B35" s="14">
        <v>18000</v>
      </c>
      <c r="C35" s="15">
        <v>46144</v>
      </c>
      <c r="D35" s="25"/>
      <c r="E35" s="17"/>
      <c r="F35" s="86"/>
      <c r="G35" s="7"/>
      <c r="H35" s="25"/>
      <c r="I35" s="25"/>
      <c r="J35" s="90"/>
      <c r="N35" s="5" t="s">
        <v>130</v>
      </c>
      <c r="O35" s="72">
        <f>SUM(O19:O21)</f>
        <v>557001.33499999996</v>
      </c>
      <c r="P35" s="59">
        <f t="shared" ref="P35:P39" si="7">O35/$O$18</f>
        <v>0.38292137565735052</v>
      </c>
    </row>
    <row r="36" spans="1:16" ht="15.75" customHeight="1" x14ac:dyDescent="0.3">
      <c r="A36" s="13" t="s">
        <v>131</v>
      </c>
      <c r="B36" s="14">
        <v>5500</v>
      </c>
      <c r="C36" s="15">
        <v>46144</v>
      </c>
      <c r="D36" s="25"/>
      <c r="E36" s="7"/>
      <c r="F36" s="86"/>
      <c r="G36" s="7"/>
      <c r="H36" s="25"/>
      <c r="I36" s="25"/>
      <c r="J36" s="90"/>
      <c r="N36" s="13" t="s">
        <v>132</v>
      </c>
      <c r="O36" s="14">
        <f>SUM(O22:O25)</f>
        <v>369819.81799999997</v>
      </c>
      <c r="P36" s="20">
        <f t="shared" si="7"/>
        <v>0.25423980977336613</v>
      </c>
    </row>
    <row r="37" spans="1:16" ht="15.75" customHeight="1" x14ac:dyDescent="0.3">
      <c r="A37" s="13" t="s">
        <v>133</v>
      </c>
      <c r="B37" s="14">
        <v>30000</v>
      </c>
      <c r="C37" s="15">
        <v>46144</v>
      </c>
      <c r="D37" s="86"/>
      <c r="I37" s="7"/>
      <c r="N37" s="13" t="s">
        <v>134</v>
      </c>
      <c r="O37" s="14">
        <f>SUM(O26:O29)</f>
        <v>232977.39599999995</v>
      </c>
      <c r="P37" s="20">
        <f t="shared" si="7"/>
        <v>0.1601648315140704</v>
      </c>
    </row>
    <row r="38" spans="1:16" ht="15.75" customHeight="1" x14ac:dyDescent="0.3">
      <c r="A38" s="21" t="s">
        <v>135</v>
      </c>
      <c r="B38" s="33">
        <f>SUM(B34:B37)</f>
        <v>71000</v>
      </c>
      <c r="C38" s="34">
        <f ca="1">(B38-F8-F7)/F3</f>
        <v>3.3842601403776346E-2</v>
      </c>
      <c r="D38" s="86"/>
      <c r="E38" s="39"/>
      <c r="F38" s="11"/>
      <c r="G38" s="39"/>
      <c r="I38" s="7"/>
      <c r="N38" s="13" t="s">
        <v>115</v>
      </c>
      <c r="O38" s="14">
        <f>O30+O31</f>
        <v>275886.64099999995</v>
      </c>
      <c r="P38" s="20">
        <f t="shared" si="7"/>
        <v>0.18966362458934785</v>
      </c>
    </row>
    <row r="39" spans="1:16" ht="15" customHeight="1" x14ac:dyDescent="0.3">
      <c r="E39" s="25"/>
      <c r="F39" s="25"/>
      <c r="G39" s="25"/>
      <c r="N39" s="27" t="s">
        <v>46</v>
      </c>
      <c r="O39" s="51">
        <f>O32</f>
        <v>18925</v>
      </c>
      <c r="P39" s="91">
        <f t="shared" si="7"/>
        <v>1.3010358465865002E-2</v>
      </c>
    </row>
    <row r="40" spans="1:16" ht="15" customHeight="1" x14ac:dyDescent="0.3">
      <c r="A40" s="92" t="s">
        <v>136</v>
      </c>
      <c r="E40" s="25"/>
      <c r="F40" s="25"/>
      <c r="G40" s="25"/>
      <c r="N40" s="93" t="s">
        <v>137</v>
      </c>
      <c r="O40" s="94">
        <f t="shared" ref="O40:P40" si="8">SUM(O35:O39)</f>
        <v>1454610.19</v>
      </c>
      <c r="P40" s="95">
        <f t="shared" si="8"/>
        <v>0.99999999999999989</v>
      </c>
    </row>
    <row r="41" spans="1:16" ht="15" customHeight="1" x14ac:dyDescent="0.3">
      <c r="A41" s="92" t="s">
        <v>138</v>
      </c>
      <c r="E41" s="25"/>
      <c r="F41" s="25"/>
      <c r="G41" s="25"/>
      <c r="P41" s="11"/>
    </row>
    <row r="42" spans="1:16" ht="15" customHeight="1" x14ac:dyDescent="0.3">
      <c r="A42" s="92" t="s">
        <v>139</v>
      </c>
      <c r="E42" s="7"/>
      <c r="G42" s="7"/>
      <c r="P42" s="11"/>
    </row>
    <row r="43" spans="1:16" ht="15.75" customHeight="1" x14ac:dyDescent="0.3">
      <c r="E43" s="7"/>
      <c r="G43" s="7"/>
      <c r="P43" s="11"/>
    </row>
    <row r="44" spans="1:16" ht="15.75" customHeight="1" x14ac:dyDescent="0.3">
      <c r="P44" s="11"/>
    </row>
    <row r="45" spans="1:16" ht="15.75" customHeight="1" x14ac:dyDescent="0.3">
      <c r="P45" s="11"/>
    </row>
    <row r="46" spans="1:16" ht="15.75" customHeight="1" x14ac:dyDescent="0.3">
      <c r="P46" s="11"/>
    </row>
    <row r="47" spans="1:16" ht="15.75" customHeight="1" x14ac:dyDescent="0.3">
      <c r="P47" s="11"/>
    </row>
    <row r="48" spans="1:16" ht="15.75" customHeight="1" x14ac:dyDescent="0.3">
      <c r="P48" s="11"/>
    </row>
    <row r="49" spans="16:16" ht="15.75" customHeight="1" x14ac:dyDescent="0.3">
      <c r="P49" s="11"/>
    </row>
    <row r="50" spans="16:16" ht="15.75" customHeight="1" x14ac:dyDescent="0.3">
      <c r="P50" s="11"/>
    </row>
    <row r="51" spans="16:16" ht="15.75" customHeight="1" x14ac:dyDescent="0.3">
      <c r="P51" s="11"/>
    </row>
    <row r="52" spans="16:16" ht="15.75" customHeight="1" x14ac:dyDescent="0.3">
      <c r="P52" s="11"/>
    </row>
    <row r="53" spans="16:16" ht="15.75" customHeight="1" x14ac:dyDescent="0.3">
      <c r="P53" s="11"/>
    </row>
    <row r="54" spans="16:16" ht="15.75" customHeight="1" x14ac:dyDescent="0.3">
      <c r="P54" s="11"/>
    </row>
    <row r="55" spans="16:16" ht="15.75" customHeight="1" x14ac:dyDescent="0.3">
      <c r="P55" s="11"/>
    </row>
    <row r="56" spans="16:16" ht="15.75" customHeight="1" x14ac:dyDescent="0.3">
      <c r="P56" s="11"/>
    </row>
    <row r="57" spans="16:16" ht="15.75" customHeight="1" x14ac:dyDescent="0.3">
      <c r="P57" s="11"/>
    </row>
    <row r="58" spans="16:16" ht="15.75" customHeight="1" x14ac:dyDescent="0.3">
      <c r="P58" s="11"/>
    </row>
    <row r="59" spans="16:16" ht="15.75" customHeight="1" x14ac:dyDescent="0.3">
      <c r="P59" s="11"/>
    </row>
    <row r="60" spans="16:16" ht="15.75" customHeight="1" x14ac:dyDescent="0.3">
      <c r="P60" s="11"/>
    </row>
    <row r="61" spans="16:16" ht="15.75" customHeight="1" x14ac:dyDescent="0.3">
      <c r="P61" s="11"/>
    </row>
    <row r="62" spans="16:16" ht="15.75" customHeight="1" x14ac:dyDescent="0.3">
      <c r="P62" s="11"/>
    </row>
    <row r="63" spans="16:16" ht="15.75" customHeight="1" x14ac:dyDescent="0.3">
      <c r="P63" s="11"/>
    </row>
    <row r="64" spans="16:16" ht="15.75" customHeight="1" x14ac:dyDescent="0.3">
      <c r="P64" s="11"/>
    </row>
    <row r="65" spans="16:16" ht="15.75" customHeight="1" x14ac:dyDescent="0.3">
      <c r="P65" s="11"/>
    </row>
    <row r="66" spans="16:16" ht="15.75" customHeight="1" x14ac:dyDescent="0.3">
      <c r="P66" s="11"/>
    </row>
    <row r="67" spans="16:16" ht="15.75" customHeight="1" x14ac:dyDescent="0.3">
      <c r="P67" s="11"/>
    </row>
    <row r="68" spans="16:16" ht="15.75" customHeight="1" x14ac:dyDescent="0.3">
      <c r="P68" s="11"/>
    </row>
    <row r="69" spans="16:16" ht="15.75" customHeight="1" x14ac:dyDescent="0.3">
      <c r="P69" s="11"/>
    </row>
    <row r="70" spans="16:16" ht="15.75" customHeight="1" x14ac:dyDescent="0.3">
      <c r="P70" s="11"/>
    </row>
    <row r="71" spans="16:16" ht="15.75" customHeight="1" x14ac:dyDescent="0.3">
      <c r="P71" s="11"/>
    </row>
    <row r="72" spans="16:16" ht="15.75" customHeight="1" x14ac:dyDescent="0.3">
      <c r="P72" s="11"/>
    </row>
    <row r="73" spans="16:16" ht="15.75" customHeight="1" x14ac:dyDescent="0.3">
      <c r="P73" s="11"/>
    </row>
    <row r="74" spans="16:16" ht="15.75" customHeight="1" x14ac:dyDescent="0.3">
      <c r="P74" s="11"/>
    </row>
    <row r="75" spans="16:16" ht="15.75" customHeight="1" x14ac:dyDescent="0.3">
      <c r="P75" s="11"/>
    </row>
    <row r="76" spans="16:16" ht="15.75" customHeight="1" x14ac:dyDescent="0.3">
      <c r="P76" s="11"/>
    </row>
    <row r="77" spans="16:16" ht="15.75" customHeight="1" x14ac:dyDescent="0.3">
      <c r="P77" s="11"/>
    </row>
    <row r="78" spans="16:16" ht="15.75" customHeight="1" x14ac:dyDescent="0.3">
      <c r="P78" s="11"/>
    </row>
    <row r="79" spans="16:16" ht="15.75" customHeight="1" x14ac:dyDescent="0.3">
      <c r="P79" s="11"/>
    </row>
    <row r="80" spans="16:16" ht="15.75" customHeight="1" x14ac:dyDescent="0.3">
      <c r="P80" s="11"/>
    </row>
    <row r="81" spans="16:16" ht="15.75" customHeight="1" x14ac:dyDescent="0.3">
      <c r="P81" s="11"/>
    </row>
    <row r="82" spans="16:16" ht="15.75" customHeight="1" x14ac:dyDescent="0.3">
      <c r="P82" s="11"/>
    </row>
    <row r="83" spans="16:16" ht="15.75" customHeight="1" x14ac:dyDescent="0.3">
      <c r="P83" s="11"/>
    </row>
    <row r="84" spans="16:16" ht="15.75" customHeight="1" x14ac:dyDescent="0.3">
      <c r="P84" s="11"/>
    </row>
    <row r="85" spans="16:16" ht="15.75" customHeight="1" x14ac:dyDescent="0.3">
      <c r="P85" s="11"/>
    </row>
    <row r="86" spans="16:16" ht="15.75" customHeight="1" x14ac:dyDescent="0.3">
      <c r="P86" s="11"/>
    </row>
    <row r="87" spans="16:16" ht="15.75" customHeight="1" x14ac:dyDescent="0.3">
      <c r="P87" s="11"/>
    </row>
    <row r="88" spans="16:16" ht="15.75" customHeight="1" x14ac:dyDescent="0.3">
      <c r="P88" s="11"/>
    </row>
    <row r="89" spans="16:16" ht="15.75" customHeight="1" x14ac:dyDescent="0.3">
      <c r="P89" s="11"/>
    </row>
    <row r="90" spans="16:16" ht="15.75" customHeight="1" x14ac:dyDescent="0.3">
      <c r="P90" s="11"/>
    </row>
    <row r="91" spans="16:16" ht="15.75" customHeight="1" x14ac:dyDescent="0.3">
      <c r="P91" s="11"/>
    </row>
    <row r="92" spans="16:16" ht="15.75" customHeight="1" x14ac:dyDescent="0.3">
      <c r="P92" s="11"/>
    </row>
    <row r="93" spans="16:16" ht="15.75" customHeight="1" x14ac:dyDescent="0.3">
      <c r="P93" s="11"/>
    </row>
    <row r="94" spans="16:16" ht="15.75" customHeight="1" x14ac:dyDescent="0.3">
      <c r="P94" s="11"/>
    </row>
    <row r="95" spans="16:16" ht="15.75" customHeight="1" x14ac:dyDescent="0.3">
      <c r="P95" s="11"/>
    </row>
    <row r="96" spans="16:16" ht="15.75" customHeight="1" x14ac:dyDescent="0.3">
      <c r="P96" s="11"/>
    </row>
    <row r="97" spans="16:16" ht="15.75" customHeight="1" x14ac:dyDescent="0.3">
      <c r="P97" s="11"/>
    </row>
    <row r="98" spans="16:16" ht="15.75" customHeight="1" x14ac:dyDescent="0.3">
      <c r="P98" s="11"/>
    </row>
    <row r="99" spans="16:16" ht="15.75" customHeight="1" x14ac:dyDescent="0.3">
      <c r="P99" s="11"/>
    </row>
    <row r="100" spans="16:16" ht="15.75" customHeight="1" x14ac:dyDescent="0.3">
      <c r="P100" s="11"/>
    </row>
    <row r="101" spans="16:16" ht="15.75" customHeight="1" x14ac:dyDescent="0.3">
      <c r="P101" s="11"/>
    </row>
    <row r="102" spans="16:16" ht="15.75" customHeight="1" x14ac:dyDescent="0.3">
      <c r="P102" s="11"/>
    </row>
    <row r="103" spans="16:16" ht="15.75" customHeight="1" x14ac:dyDescent="0.3">
      <c r="P103" s="11"/>
    </row>
    <row r="104" spans="16:16" ht="15.75" customHeight="1" x14ac:dyDescent="0.3">
      <c r="P104" s="11"/>
    </row>
    <row r="105" spans="16:16" ht="15.75" customHeight="1" x14ac:dyDescent="0.3">
      <c r="P105" s="11"/>
    </row>
    <row r="106" spans="16:16" ht="15.75" customHeight="1" x14ac:dyDescent="0.3">
      <c r="P106" s="11"/>
    </row>
    <row r="107" spans="16:16" ht="15.75" customHeight="1" x14ac:dyDescent="0.3">
      <c r="P107" s="11"/>
    </row>
    <row r="108" spans="16:16" ht="15.75" customHeight="1" x14ac:dyDescent="0.3">
      <c r="P108" s="11"/>
    </row>
    <row r="109" spans="16:16" ht="15.75" customHeight="1" x14ac:dyDescent="0.3">
      <c r="P109" s="11"/>
    </row>
    <row r="110" spans="16:16" ht="15.75" customHeight="1" x14ac:dyDescent="0.3">
      <c r="P110" s="11"/>
    </row>
    <row r="111" spans="16:16" ht="15.75" customHeight="1" x14ac:dyDescent="0.3">
      <c r="P111" s="11"/>
    </row>
    <row r="112" spans="16:16" ht="15.75" customHeight="1" x14ac:dyDescent="0.3">
      <c r="P112" s="11"/>
    </row>
    <row r="113" spans="16:16" ht="15.75" customHeight="1" x14ac:dyDescent="0.3">
      <c r="P113" s="11"/>
    </row>
    <row r="114" spans="16:16" ht="15.75" customHeight="1" x14ac:dyDescent="0.3">
      <c r="P114" s="11"/>
    </row>
    <row r="115" spans="16:16" ht="15.75" customHeight="1" x14ac:dyDescent="0.3">
      <c r="P115" s="11"/>
    </row>
    <row r="116" spans="16:16" ht="15.75" customHeight="1" x14ac:dyDescent="0.3">
      <c r="P116" s="11"/>
    </row>
    <row r="117" spans="16:16" ht="15.75" customHeight="1" x14ac:dyDescent="0.3">
      <c r="P117" s="11"/>
    </row>
    <row r="118" spans="16:16" ht="15.75" customHeight="1" x14ac:dyDescent="0.3">
      <c r="P118" s="11"/>
    </row>
    <row r="119" spans="16:16" ht="15.75" customHeight="1" x14ac:dyDescent="0.3">
      <c r="P119" s="11"/>
    </row>
    <row r="120" spans="16:16" ht="15.75" customHeight="1" x14ac:dyDescent="0.3">
      <c r="P120" s="11"/>
    </row>
    <row r="121" spans="16:16" ht="15.75" customHeight="1" x14ac:dyDescent="0.3">
      <c r="P121" s="11"/>
    </row>
    <row r="122" spans="16:16" ht="15.75" customHeight="1" x14ac:dyDescent="0.3">
      <c r="P122" s="11"/>
    </row>
    <row r="123" spans="16:16" ht="15.75" customHeight="1" x14ac:dyDescent="0.3">
      <c r="P123" s="11"/>
    </row>
    <row r="124" spans="16:16" ht="15.75" customHeight="1" x14ac:dyDescent="0.3">
      <c r="P124" s="11"/>
    </row>
    <row r="125" spans="16:16" ht="15.75" customHeight="1" x14ac:dyDescent="0.3">
      <c r="P125" s="11"/>
    </row>
    <row r="126" spans="16:16" ht="15.75" customHeight="1" x14ac:dyDescent="0.3">
      <c r="P126" s="11"/>
    </row>
    <row r="127" spans="16:16" ht="15.75" customHeight="1" x14ac:dyDescent="0.3">
      <c r="P127" s="11"/>
    </row>
    <row r="128" spans="16:16" ht="15.75" customHeight="1" x14ac:dyDescent="0.3">
      <c r="P128" s="11"/>
    </row>
    <row r="129" spans="16:16" ht="15.75" customHeight="1" x14ac:dyDescent="0.3">
      <c r="P129" s="11"/>
    </row>
    <row r="130" spans="16:16" ht="15.75" customHeight="1" x14ac:dyDescent="0.3">
      <c r="P130" s="11"/>
    </row>
    <row r="131" spans="16:16" ht="15.75" customHeight="1" x14ac:dyDescent="0.3">
      <c r="P131" s="11"/>
    </row>
    <row r="132" spans="16:16" ht="15.75" customHeight="1" x14ac:dyDescent="0.3">
      <c r="P132" s="11"/>
    </row>
    <row r="133" spans="16:16" ht="15.75" customHeight="1" x14ac:dyDescent="0.3">
      <c r="P133" s="11"/>
    </row>
    <row r="134" spans="16:16" ht="15.75" customHeight="1" x14ac:dyDescent="0.3">
      <c r="P134" s="11"/>
    </row>
    <row r="135" spans="16:16" ht="15.75" customHeight="1" x14ac:dyDescent="0.3">
      <c r="P135" s="11"/>
    </row>
    <row r="136" spans="16:16" ht="15.75" customHeight="1" x14ac:dyDescent="0.3">
      <c r="P136" s="11"/>
    </row>
    <row r="137" spans="16:16" ht="15.75" customHeight="1" x14ac:dyDescent="0.3">
      <c r="P137" s="11"/>
    </row>
    <row r="138" spans="16:16" ht="15.75" customHeight="1" x14ac:dyDescent="0.3">
      <c r="P138" s="11"/>
    </row>
    <row r="139" spans="16:16" ht="15.75" customHeight="1" x14ac:dyDescent="0.3">
      <c r="P139" s="11"/>
    </row>
    <row r="140" spans="16:16" ht="15.75" customHeight="1" x14ac:dyDescent="0.3">
      <c r="P140" s="11"/>
    </row>
    <row r="141" spans="16:16" ht="15.75" customHeight="1" x14ac:dyDescent="0.3">
      <c r="P141" s="11"/>
    </row>
    <row r="142" spans="16:16" ht="15.75" customHeight="1" x14ac:dyDescent="0.3">
      <c r="P142" s="11"/>
    </row>
    <row r="143" spans="16:16" ht="15.75" customHeight="1" x14ac:dyDescent="0.3">
      <c r="P143" s="11"/>
    </row>
    <row r="144" spans="16:16" ht="15.75" customHeight="1" x14ac:dyDescent="0.3">
      <c r="P144" s="11"/>
    </row>
    <row r="145" spans="16:16" ht="15.75" customHeight="1" x14ac:dyDescent="0.3">
      <c r="P145" s="11"/>
    </row>
    <row r="146" spans="16:16" ht="15.75" customHeight="1" x14ac:dyDescent="0.3">
      <c r="P146" s="11"/>
    </row>
    <row r="147" spans="16:16" ht="15.75" customHeight="1" x14ac:dyDescent="0.3">
      <c r="P147" s="11"/>
    </row>
    <row r="148" spans="16:16" ht="15.75" customHeight="1" x14ac:dyDescent="0.3">
      <c r="P148" s="11"/>
    </row>
    <row r="149" spans="16:16" ht="15.75" customHeight="1" x14ac:dyDescent="0.3">
      <c r="P149" s="11"/>
    </row>
    <row r="150" spans="16:16" ht="15.75" customHeight="1" x14ac:dyDescent="0.3">
      <c r="P150" s="11"/>
    </row>
    <row r="151" spans="16:16" ht="15.75" customHeight="1" x14ac:dyDescent="0.3">
      <c r="P151" s="11"/>
    </row>
    <row r="152" spans="16:16" ht="15.75" customHeight="1" x14ac:dyDescent="0.3">
      <c r="P152" s="11"/>
    </row>
    <row r="153" spans="16:16" ht="15.75" customHeight="1" x14ac:dyDescent="0.3">
      <c r="P153" s="11"/>
    </row>
    <row r="154" spans="16:16" ht="15.75" customHeight="1" x14ac:dyDescent="0.3">
      <c r="P154" s="11"/>
    </row>
    <row r="155" spans="16:16" ht="15.75" customHeight="1" x14ac:dyDescent="0.3">
      <c r="P155" s="11"/>
    </row>
    <row r="156" spans="16:16" ht="15.75" customHeight="1" x14ac:dyDescent="0.3">
      <c r="P156" s="11"/>
    </row>
    <row r="157" spans="16:16" ht="15.75" customHeight="1" x14ac:dyDescent="0.3">
      <c r="P157" s="11"/>
    </row>
    <row r="158" spans="16:16" ht="15.75" customHeight="1" x14ac:dyDescent="0.3">
      <c r="P158" s="11"/>
    </row>
    <row r="159" spans="16:16" ht="15.75" customHeight="1" x14ac:dyDescent="0.3">
      <c r="P159" s="11"/>
    </row>
    <row r="160" spans="16:16" ht="15.75" customHeight="1" x14ac:dyDescent="0.3">
      <c r="P160" s="11"/>
    </row>
    <row r="161" spans="16:16" ht="15.75" customHeight="1" x14ac:dyDescent="0.3">
      <c r="P161" s="11"/>
    </row>
    <row r="162" spans="16:16" ht="15.75" customHeight="1" x14ac:dyDescent="0.3">
      <c r="P162" s="11"/>
    </row>
    <row r="163" spans="16:16" ht="15.75" customHeight="1" x14ac:dyDescent="0.3">
      <c r="P163" s="11"/>
    </row>
    <row r="164" spans="16:16" ht="15.75" customHeight="1" x14ac:dyDescent="0.3">
      <c r="P164" s="11"/>
    </row>
    <row r="165" spans="16:16" ht="15.75" customHeight="1" x14ac:dyDescent="0.3">
      <c r="P165" s="11"/>
    </row>
    <row r="166" spans="16:16" ht="15.75" customHeight="1" x14ac:dyDescent="0.3">
      <c r="P166" s="11"/>
    </row>
    <row r="167" spans="16:16" ht="15.75" customHeight="1" x14ac:dyDescent="0.3">
      <c r="P167" s="11"/>
    </row>
    <row r="168" spans="16:16" ht="15.75" customHeight="1" x14ac:dyDescent="0.3">
      <c r="P168" s="11"/>
    </row>
    <row r="169" spans="16:16" ht="15.75" customHeight="1" x14ac:dyDescent="0.3">
      <c r="P169" s="11"/>
    </row>
    <row r="170" spans="16:16" ht="15.75" customHeight="1" x14ac:dyDescent="0.3">
      <c r="P170" s="11"/>
    </row>
    <row r="171" spans="16:16" ht="15.75" customHeight="1" x14ac:dyDescent="0.3">
      <c r="P171" s="11"/>
    </row>
    <row r="172" spans="16:16" ht="15.75" customHeight="1" x14ac:dyDescent="0.3">
      <c r="P172" s="11"/>
    </row>
    <row r="173" spans="16:16" ht="15.75" customHeight="1" x14ac:dyDescent="0.3">
      <c r="P173" s="11"/>
    </row>
    <row r="174" spans="16:16" ht="15.75" customHeight="1" x14ac:dyDescent="0.3">
      <c r="P174" s="11"/>
    </row>
    <row r="175" spans="16:16" ht="15.75" customHeight="1" x14ac:dyDescent="0.3">
      <c r="P175" s="11"/>
    </row>
    <row r="176" spans="16:16" ht="15.75" customHeight="1" x14ac:dyDescent="0.3">
      <c r="P176" s="11"/>
    </row>
    <row r="177" spans="16:16" ht="15.75" customHeight="1" x14ac:dyDescent="0.3">
      <c r="P177" s="11"/>
    </row>
    <row r="178" spans="16:16" ht="15.75" customHeight="1" x14ac:dyDescent="0.3">
      <c r="P178" s="11"/>
    </row>
    <row r="179" spans="16:16" ht="15.75" customHeight="1" x14ac:dyDescent="0.3">
      <c r="P179" s="11"/>
    </row>
    <row r="180" spans="16:16" ht="15.75" customHeight="1" x14ac:dyDescent="0.3">
      <c r="P180" s="11"/>
    </row>
    <row r="181" spans="16:16" ht="15.75" customHeight="1" x14ac:dyDescent="0.3">
      <c r="P181" s="11"/>
    </row>
    <row r="182" spans="16:16" ht="15.75" customHeight="1" x14ac:dyDescent="0.3">
      <c r="P182" s="11"/>
    </row>
    <row r="183" spans="16:16" ht="15.75" customHeight="1" x14ac:dyDescent="0.3">
      <c r="P183" s="11"/>
    </row>
    <row r="184" spans="16:16" ht="15.75" customHeight="1" x14ac:dyDescent="0.3">
      <c r="P184" s="11"/>
    </row>
    <row r="185" spans="16:16" ht="15.75" customHeight="1" x14ac:dyDescent="0.3">
      <c r="P185" s="11"/>
    </row>
    <row r="186" spans="16:16" ht="15.75" customHeight="1" x14ac:dyDescent="0.3">
      <c r="P186" s="11"/>
    </row>
    <row r="187" spans="16:16" ht="15.75" customHeight="1" x14ac:dyDescent="0.3">
      <c r="P187" s="11"/>
    </row>
    <row r="188" spans="16:16" ht="15.75" customHeight="1" x14ac:dyDescent="0.3">
      <c r="P188" s="11"/>
    </row>
    <row r="189" spans="16:16" ht="15.75" customHeight="1" x14ac:dyDescent="0.3">
      <c r="P189" s="11"/>
    </row>
    <row r="190" spans="16:16" ht="15.75" customHeight="1" x14ac:dyDescent="0.3">
      <c r="P190" s="11"/>
    </row>
    <row r="191" spans="16:16" ht="15.75" customHeight="1" x14ac:dyDescent="0.3">
      <c r="P191" s="11"/>
    </row>
    <row r="192" spans="16:16" ht="15.75" customHeight="1" x14ac:dyDescent="0.3">
      <c r="P192" s="11"/>
    </row>
    <row r="193" spans="16:16" ht="15.75" customHeight="1" x14ac:dyDescent="0.3">
      <c r="P193" s="11"/>
    </row>
    <row r="194" spans="16:16" ht="15.75" customHeight="1" x14ac:dyDescent="0.3">
      <c r="P194" s="11"/>
    </row>
    <row r="195" spans="16:16" ht="15.75" customHeight="1" x14ac:dyDescent="0.3">
      <c r="P195" s="11"/>
    </row>
    <row r="196" spans="16:16" ht="15.75" customHeight="1" x14ac:dyDescent="0.3">
      <c r="P196" s="11"/>
    </row>
    <row r="197" spans="16:16" ht="15.75" customHeight="1" x14ac:dyDescent="0.3">
      <c r="P197" s="11"/>
    </row>
    <row r="198" spans="16:16" ht="15.75" customHeight="1" x14ac:dyDescent="0.3">
      <c r="P198" s="11"/>
    </row>
    <row r="199" spans="16:16" ht="15.75" customHeight="1" x14ac:dyDescent="0.3">
      <c r="P199" s="11"/>
    </row>
    <row r="200" spans="16:16" ht="15.75" customHeight="1" x14ac:dyDescent="0.3">
      <c r="P200" s="11"/>
    </row>
    <row r="201" spans="16:16" ht="15.75" customHeight="1" x14ac:dyDescent="0.3">
      <c r="P201" s="11"/>
    </row>
    <row r="202" spans="16:16" ht="15.75" customHeight="1" x14ac:dyDescent="0.3">
      <c r="P202" s="11"/>
    </row>
    <row r="203" spans="16:16" ht="15.75" customHeight="1" x14ac:dyDescent="0.3">
      <c r="P203" s="11"/>
    </row>
    <row r="204" spans="16:16" ht="15.75" customHeight="1" x14ac:dyDescent="0.3">
      <c r="P204" s="11"/>
    </row>
    <row r="205" spans="16:16" ht="15.75" customHeight="1" x14ac:dyDescent="0.3">
      <c r="P205" s="11"/>
    </row>
    <row r="206" spans="16:16" ht="15.75" customHeight="1" x14ac:dyDescent="0.3">
      <c r="P206" s="11"/>
    </row>
    <row r="207" spans="16:16" ht="15.75" customHeight="1" x14ac:dyDescent="0.3">
      <c r="P207" s="11"/>
    </row>
    <row r="208" spans="16:16" ht="15.75" customHeight="1" x14ac:dyDescent="0.3">
      <c r="P208" s="11"/>
    </row>
    <row r="209" spans="16:16" ht="15.75" customHeight="1" x14ac:dyDescent="0.3">
      <c r="P209" s="11"/>
    </row>
    <row r="210" spans="16:16" ht="15.75" customHeight="1" x14ac:dyDescent="0.3">
      <c r="P210" s="11"/>
    </row>
    <row r="211" spans="16:16" ht="15.75" customHeight="1" x14ac:dyDescent="0.3">
      <c r="P211" s="11"/>
    </row>
    <row r="212" spans="16:16" ht="15.75" customHeight="1" x14ac:dyDescent="0.3">
      <c r="P212" s="11"/>
    </row>
    <row r="213" spans="16:16" ht="15.75" customHeight="1" x14ac:dyDescent="0.3">
      <c r="P213" s="11"/>
    </row>
    <row r="214" spans="16:16" ht="15.75" customHeight="1" x14ac:dyDescent="0.3">
      <c r="P214" s="11"/>
    </row>
    <row r="215" spans="16:16" ht="15.75" customHeight="1" x14ac:dyDescent="0.3">
      <c r="P215" s="11"/>
    </row>
    <row r="216" spans="16:16" ht="15.75" customHeight="1" x14ac:dyDescent="0.3">
      <c r="P216" s="11"/>
    </row>
    <row r="217" spans="16:16" ht="15.75" customHeight="1" x14ac:dyDescent="0.3">
      <c r="P217" s="11"/>
    </row>
    <row r="218" spans="16:16" ht="15.75" customHeight="1" x14ac:dyDescent="0.3">
      <c r="P218" s="11"/>
    </row>
    <row r="219" spans="16:16" ht="15.75" customHeight="1" x14ac:dyDescent="0.3">
      <c r="P219" s="11"/>
    </row>
    <row r="220" spans="16:16" ht="15.75" customHeight="1" x14ac:dyDescent="0.3">
      <c r="P220" s="11"/>
    </row>
    <row r="221" spans="16:16" ht="15.75" customHeight="1" x14ac:dyDescent="0.3">
      <c r="P221" s="11"/>
    </row>
    <row r="222" spans="16:16" ht="15.75" customHeight="1" x14ac:dyDescent="0.3">
      <c r="P222" s="11"/>
    </row>
    <row r="223" spans="16:16" ht="15.75" customHeight="1" x14ac:dyDescent="0.3">
      <c r="P223" s="11"/>
    </row>
    <row r="224" spans="16:16" ht="15.75" customHeight="1" x14ac:dyDescent="0.3">
      <c r="P224" s="11"/>
    </row>
    <row r="225" spans="16:16" ht="15.75" customHeight="1" x14ac:dyDescent="0.3">
      <c r="P225" s="11"/>
    </row>
    <row r="226" spans="16:16" ht="15.75" customHeight="1" x14ac:dyDescent="0.3">
      <c r="P226" s="11"/>
    </row>
    <row r="227" spans="16:16" ht="15.75" customHeight="1" x14ac:dyDescent="0.3">
      <c r="P227" s="11"/>
    </row>
    <row r="228" spans="16:16" ht="15.75" customHeight="1" x14ac:dyDescent="0.3">
      <c r="P228" s="11"/>
    </row>
    <row r="229" spans="16:16" ht="15.75" customHeight="1" x14ac:dyDescent="0.3">
      <c r="P229" s="11"/>
    </row>
    <row r="230" spans="16:16" ht="15.75" customHeight="1" x14ac:dyDescent="0.3">
      <c r="P230" s="11"/>
    </row>
    <row r="231" spans="16:16" ht="15.75" customHeight="1" x14ac:dyDescent="0.3">
      <c r="P231" s="11"/>
    </row>
    <row r="232" spans="16:16" ht="15.75" customHeight="1" x14ac:dyDescent="0.3">
      <c r="P232" s="11"/>
    </row>
    <row r="233" spans="16:16" ht="15.75" customHeight="1" x14ac:dyDescent="0.3">
      <c r="P233" s="11"/>
    </row>
    <row r="234" spans="16:16" ht="15.75" customHeight="1" x14ac:dyDescent="0.3">
      <c r="P234" s="11"/>
    </row>
    <row r="235" spans="16:16" ht="15.75" customHeight="1" x14ac:dyDescent="0.3">
      <c r="P235" s="11"/>
    </row>
    <row r="236" spans="16:16" ht="15.75" customHeight="1" x14ac:dyDescent="0.3">
      <c r="P236" s="11"/>
    </row>
    <row r="237" spans="16:16" ht="15.75" customHeight="1" x14ac:dyDescent="0.3">
      <c r="P237" s="11"/>
    </row>
    <row r="238" spans="16:16" ht="15.75" customHeight="1" x14ac:dyDescent="0.3">
      <c r="P238" s="11"/>
    </row>
    <row r="239" spans="16:16" ht="15.75" customHeight="1" x14ac:dyDescent="0.3">
      <c r="P239" s="11"/>
    </row>
    <row r="240" spans="16:16" ht="15.75" customHeight="1" x14ac:dyDescent="0.3">
      <c r="P240" s="11"/>
    </row>
    <row r="241" spans="16:16" ht="15.75" customHeight="1" x14ac:dyDescent="0.3">
      <c r="P241" s="11"/>
    </row>
    <row r="242" spans="16:16" ht="15.75" customHeight="1" x14ac:dyDescent="0.3">
      <c r="P242" s="11"/>
    </row>
    <row r="243" spans="16:16" ht="15.75" customHeight="1" x14ac:dyDescent="0.3">
      <c r="P243" s="11"/>
    </row>
    <row r="244" spans="16:16" ht="15.75" customHeight="1" x14ac:dyDescent="0.3">
      <c r="P244" s="11"/>
    </row>
    <row r="245" spans="16:16" ht="15.75" customHeight="1" x14ac:dyDescent="0.3">
      <c r="P245" s="11"/>
    </row>
    <row r="246" spans="16:16" ht="15.75" customHeight="1" x14ac:dyDescent="0.3">
      <c r="P246" s="11"/>
    </row>
    <row r="247" spans="16:16" ht="15.75" customHeight="1" x14ac:dyDescent="0.3">
      <c r="P247" s="11"/>
    </row>
    <row r="248" spans="16:16" ht="15.75" customHeight="1" x14ac:dyDescent="0.3">
      <c r="P248" s="11"/>
    </row>
    <row r="249" spans="16:16" ht="15.75" customHeight="1" x14ac:dyDescent="0.3">
      <c r="P249" s="11"/>
    </row>
    <row r="250" spans="16:16" ht="15.75" customHeight="1" x14ac:dyDescent="0.3">
      <c r="P250" s="11"/>
    </row>
    <row r="251" spans="16:16" ht="15.75" customHeight="1" x14ac:dyDescent="0.3">
      <c r="P251" s="11"/>
    </row>
    <row r="252" spans="16:16" ht="15.75" customHeight="1" x14ac:dyDescent="0.3">
      <c r="P252" s="11"/>
    </row>
    <row r="253" spans="16:16" ht="15.75" customHeight="1" x14ac:dyDescent="0.3">
      <c r="P253" s="11"/>
    </row>
    <row r="254" spans="16:16" ht="15.75" customHeight="1" x14ac:dyDescent="0.3">
      <c r="P254" s="11"/>
    </row>
    <row r="255" spans="16:16" ht="15.75" customHeight="1" x14ac:dyDescent="0.3">
      <c r="P255" s="11"/>
    </row>
    <row r="256" spans="16:16" ht="15.75" customHeight="1" x14ac:dyDescent="0.3">
      <c r="P256" s="11"/>
    </row>
    <row r="257" spans="16:16" ht="15.75" customHeight="1" x14ac:dyDescent="0.3">
      <c r="P257" s="11"/>
    </row>
    <row r="258" spans="16:16" ht="15.75" customHeight="1" x14ac:dyDescent="0.3">
      <c r="P258" s="11"/>
    </row>
    <row r="259" spans="16:16" ht="15.75" customHeight="1" x14ac:dyDescent="0.3">
      <c r="P259" s="11"/>
    </row>
    <row r="260" spans="16:16" ht="15.75" customHeight="1" x14ac:dyDescent="0.3">
      <c r="P260" s="11"/>
    </row>
    <row r="261" spans="16:16" ht="15.75" customHeight="1" x14ac:dyDescent="0.3">
      <c r="P261" s="11"/>
    </row>
    <row r="262" spans="16:16" ht="15.75" customHeight="1" x14ac:dyDescent="0.3">
      <c r="P262" s="11"/>
    </row>
    <row r="263" spans="16:16" ht="15.75" customHeight="1" x14ac:dyDescent="0.3">
      <c r="P263" s="11"/>
    </row>
    <row r="264" spans="16:16" ht="15.75" customHeight="1" x14ac:dyDescent="0.3">
      <c r="P264" s="11"/>
    </row>
    <row r="265" spans="16:16" ht="15.75" customHeight="1" x14ac:dyDescent="0.3">
      <c r="P265" s="11"/>
    </row>
    <row r="266" spans="16:16" ht="15.75" customHeight="1" x14ac:dyDescent="0.3">
      <c r="P266" s="11"/>
    </row>
    <row r="267" spans="16:16" ht="15.75" customHeight="1" x14ac:dyDescent="0.3">
      <c r="P267" s="11"/>
    </row>
    <row r="268" spans="16:16" ht="15.75" customHeight="1" x14ac:dyDescent="0.3">
      <c r="P268" s="11"/>
    </row>
    <row r="269" spans="16:16" ht="15.75" customHeight="1" x14ac:dyDescent="0.3">
      <c r="P269" s="11"/>
    </row>
    <row r="270" spans="16:16" ht="15.75" customHeight="1" x14ac:dyDescent="0.3">
      <c r="P270" s="11"/>
    </row>
    <row r="271" spans="16:16" ht="15.75" customHeight="1" x14ac:dyDescent="0.3">
      <c r="P271" s="11"/>
    </row>
    <row r="272" spans="16:16" ht="15.75" customHeight="1" x14ac:dyDescent="0.3">
      <c r="P272" s="11"/>
    </row>
    <row r="273" spans="16:16" ht="15.75" customHeight="1" x14ac:dyDescent="0.3">
      <c r="P273" s="11"/>
    </row>
    <row r="274" spans="16:16" ht="15.75" customHeight="1" x14ac:dyDescent="0.3">
      <c r="P274" s="11"/>
    </row>
    <row r="275" spans="16:16" ht="15.75" customHeight="1" x14ac:dyDescent="0.3">
      <c r="P275" s="11"/>
    </row>
    <row r="276" spans="16:16" ht="15.75" customHeight="1" x14ac:dyDescent="0.3">
      <c r="P276" s="11"/>
    </row>
    <row r="277" spans="16:16" ht="15.75" customHeight="1" x14ac:dyDescent="0.3">
      <c r="P277" s="11"/>
    </row>
    <row r="278" spans="16:16" ht="15.75" customHeight="1" x14ac:dyDescent="0.3">
      <c r="P278" s="11"/>
    </row>
    <row r="279" spans="16:16" ht="15.75" customHeight="1" x14ac:dyDescent="0.3">
      <c r="P279" s="11"/>
    </row>
    <row r="280" spans="16:16" ht="15.75" customHeight="1" x14ac:dyDescent="0.3">
      <c r="P280" s="11"/>
    </row>
    <row r="281" spans="16:16" ht="15.75" customHeight="1" x14ac:dyDescent="0.3">
      <c r="P281" s="11"/>
    </row>
    <row r="282" spans="16:16" ht="15.75" customHeight="1" x14ac:dyDescent="0.3">
      <c r="P282" s="11"/>
    </row>
    <row r="283" spans="16:16" ht="15.75" customHeight="1" x14ac:dyDescent="0.3">
      <c r="P283" s="11"/>
    </row>
    <row r="284" spans="16:16" ht="15.75" customHeight="1" x14ac:dyDescent="0.3">
      <c r="P284" s="11"/>
    </row>
    <row r="285" spans="16:16" ht="15.75" customHeight="1" x14ac:dyDescent="0.3">
      <c r="P285" s="11"/>
    </row>
    <row r="286" spans="16:16" ht="15.75" customHeight="1" x14ac:dyDescent="0.3">
      <c r="P286" s="11"/>
    </row>
    <row r="287" spans="16:16" ht="15.75" customHeight="1" x14ac:dyDescent="0.3">
      <c r="P287" s="11"/>
    </row>
    <row r="288" spans="16:16" ht="15.75" customHeight="1" x14ac:dyDescent="0.3">
      <c r="P288" s="11"/>
    </row>
    <row r="289" spans="16:16" ht="15.75" customHeight="1" x14ac:dyDescent="0.3">
      <c r="P289" s="11"/>
    </row>
    <row r="290" spans="16:16" ht="15.75" customHeight="1" x14ac:dyDescent="0.3">
      <c r="P290" s="11"/>
    </row>
    <row r="291" spans="16:16" ht="15.75" customHeight="1" x14ac:dyDescent="0.3">
      <c r="P291" s="11"/>
    </row>
    <row r="292" spans="16:16" ht="15.75" customHeight="1" x14ac:dyDescent="0.3">
      <c r="P292" s="11"/>
    </row>
    <row r="293" spans="16:16" ht="15.75" customHeight="1" x14ac:dyDescent="0.3">
      <c r="P293" s="11"/>
    </row>
    <row r="294" spans="16:16" ht="15.75" customHeight="1" x14ac:dyDescent="0.3">
      <c r="P294" s="11"/>
    </row>
    <row r="295" spans="16:16" ht="15.75" customHeight="1" x14ac:dyDescent="0.3">
      <c r="P295" s="11"/>
    </row>
    <row r="296" spans="16:16" ht="15.75" customHeight="1" x14ac:dyDescent="0.3">
      <c r="P296" s="11"/>
    </row>
    <row r="297" spans="16:16" ht="15.75" customHeight="1" x14ac:dyDescent="0.3">
      <c r="P297" s="11"/>
    </row>
    <row r="298" spans="16:16" ht="15.75" customHeight="1" x14ac:dyDescent="0.3">
      <c r="P298" s="11"/>
    </row>
    <row r="299" spans="16:16" ht="15.75" customHeight="1" x14ac:dyDescent="0.3">
      <c r="P299" s="11"/>
    </row>
    <row r="300" spans="16:16" ht="15.75" customHeight="1" x14ac:dyDescent="0.3">
      <c r="P300" s="11"/>
    </row>
    <row r="301" spans="16:16" ht="15.75" customHeight="1" x14ac:dyDescent="0.3">
      <c r="P301" s="11"/>
    </row>
    <row r="302" spans="16:16" ht="15.75" customHeight="1" x14ac:dyDescent="0.3">
      <c r="P302" s="11"/>
    </row>
    <row r="303" spans="16:16" ht="15.75" customHeight="1" x14ac:dyDescent="0.3">
      <c r="P303" s="11"/>
    </row>
    <row r="304" spans="16:16" ht="15.75" customHeight="1" x14ac:dyDescent="0.3">
      <c r="P304" s="11"/>
    </row>
    <row r="305" spans="16:16" ht="15.75" customHeight="1" x14ac:dyDescent="0.3">
      <c r="P305" s="11"/>
    </row>
    <row r="306" spans="16:16" ht="15.75" customHeight="1" x14ac:dyDescent="0.3">
      <c r="P306" s="11"/>
    </row>
    <row r="307" spans="16:16" ht="15.75" customHeight="1" x14ac:dyDescent="0.3">
      <c r="P307" s="11"/>
    </row>
    <row r="308" spans="16:16" ht="15.75" customHeight="1" x14ac:dyDescent="0.3">
      <c r="P308" s="11"/>
    </row>
    <row r="309" spans="16:16" ht="15.75" customHeight="1" x14ac:dyDescent="0.3">
      <c r="P309" s="11"/>
    </row>
    <row r="310" spans="16:16" ht="15.75" customHeight="1" x14ac:dyDescent="0.3">
      <c r="P310" s="11"/>
    </row>
    <row r="311" spans="16:16" ht="15.75" customHeight="1" x14ac:dyDescent="0.3">
      <c r="P311" s="11"/>
    </row>
    <row r="312" spans="16:16" ht="15.75" customHeight="1" x14ac:dyDescent="0.3">
      <c r="P312" s="11"/>
    </row>
    <row r="313" spans="16:16" ht="15.75" customHeight="1" x14ac:dyDescent="0.3">
      <c r="P313" s="11"/>
    </row>
    <row r="314" spans="16:16" ht="15.75" customHeight="1" x14ac:dyDescent="0.3">
      <c r="P314" s="11"/>
    </row>
    <row r="315" spans="16:16" ht="15.75" customHeight="1" x14ac:dyDescent="0.3">
      <c r="P315" s="11"/>
    </row>
    <row r="316" spans="16:16" ht="15.75" customHeight="1" x14ac:dyDescent="0.3">
      <c r="P316" s="11"/>
    </row>
    <row r="317" spans="16:16" ht="15.75" customHeight="1" x14ac:dyDescent="0.3">
      <c r="P317" s="11"/>
    </row>
    <row r="318" spans="16:16" ht="15.75" customHeight="1" x14ac:dyDescent="0.3">
      <c r="P318" s="11"/>
    </row>
    <row r="319" spans="16:16" ht="15.75" customHeight="1" x14ac:dyDescent="0.3">
      <c r="P319" s="11"/>
    </row>
    <row r="320" spans="16:16" ht="15.75" customHeight="1" x14ac:dyDescent="0.3">
      <c r="P320" s="11"/>
    </row>
    <row r="321" spans="16:16" ht="15.75" customHeight="1" x14ac:dyDescent="0.3">
      <c r="P321" s="11"/>
    </row>
    <row r="322" spans="16:16" ht="15.75" customHeight="1" x14ac:dyDescent="0.3">
      <c r="P322" s="11"/>
    </row>
    <row r="323" spans="16:16" ht="15.75" customHeight="1" x14ac:dyDescent="0.3">
      <c r="P323" s="11"/>
    </row>
    <row r="324" spans="16:16" ht="15.75" customHeight="1" x14ac:dyDescent="0.3">
      <c r="P324" s="11"/>
    </row>
    <row r="325" spans="16:16" ht="15.75" customHeight="1" x14ac:dyDescent="0.3">
      <c r="P325" s="11"/>
    </row>
    <row r="326" spans="16:16" ht="15.75" customHeight="1" x14ac:dyDescent="0.3">
      <c r="P326" s="11"/>
    </row>
    <row r="327" spans="16:16" ht="15.75" customHeight="1" x14ac:dyDescent="0.3">
      <c r="P327" s="11"/>
    </row>
    <row r="328" spans="16:16" ht="15.75" customHeight="1" x14ac:dyDescent="0.3">
      <c r="P328" s="11"/>
    </row>
    <row r="329" spans="16:16" ht="15.75" customHeight="1" x14ac:dyDescent="0.3">
      <c r="P329" s="11"/>
    </row>
    <row r="330" spans="16:16" ht="15.75" customHeight="1" x14ac:dyDescent="0.3">
      <c r="P330" s="11"/>
    </row>
    <row r="331" spans="16:16" ht="15.75" customHeight="1" x14ac:dyDescent="0.3">
      <c r="P331" s="11"/>
    </row>
    <row r="332" spans="16:16" ht="15.75" customHeight="1" x14ac:dyDescent="0.3">
      <c r="P332" s="11"/>
    </row>
    <row r="333" spans="16:16" ht="15.75" customHeight="1" x14ac:dyDescent="0.3">
      <c r="P333" s="11"/>
    </row>
    <row r="334" spans="16:16" ht="15.75" customHeight="1" x14ac:dyDescent="0.3">
      <c r="P334" s="11"/>
    </row>
    <row r="335" spans="16:16" ht="15.75" customHeight="1" x14ac:dyDescent="0.3">
      <c r="P335" s="11"/>
    </row>
    <row r="336" spans="16:16" ht="15.75" customHeight="1" x14ac:dyDescent="0.3">
      <c r="P336" s="11"/>
    </row>
    <row r="337" spans="16:16" ht="15.75" customHeight="1" x14ac:dyDescent="0.3">
      <c r="P337" s="11"/>
    </row>
    <row r="338" spans="16:16" ht="15.75" customHeight="1" x14ac:dyDescent="0.3">
      <c r="P338" s="11"/>
    </row>
    <row r="339" spans="16:16" ht="15.75" customHeight="1" x14ac:dyDescent="0.3">
      <c r="P339" s="11"/>
    </row>
    <row r="340" spans="16:16" ht="15.75" customHeight="1" x14ac:dyDescent="0.3">
      <c r="P340" s="11"/>
    </row>
    <row r="341" spans="16:16" ht="15.75" customHeight="1" x14ac:dyDescent="0.3">
      <c r="P341" s="11"/>
    </row>
    <row r="342" spans="16:16" ht="15.75" customHeight="1" x14ac:dyDescent="0.3">
      <c r="P342" s="11"/>
    </row>
    <row r="343" spans="16:16" ht="15.75" customHeight="1" x14ac:dyDescent="0.3">
      <c r="P343" s="11"/>
    </row>
    <row r="344" spans="16:16" ht="15.75" customHeight="1" x14ac:dyDescent="0.3">
      <c r="P344" s="11"/>
    </row>
    <row r="345" spans="16:16" ht="15.75" customHeight="1" x14ac:dyDescent="0.3">
      <c r="P345" s="11"/>
    </row>
    <row r="346" spans="16:16" ht="15.75" customHeight="1" x14ac:dyDescent="0.3">
      <c r="P346" s="11"/>
    </row>
    <row r="347" spans="16:16" ht="15.75" customHeight="1" x14ac:dyDescent="0.3">
      <c r="P347" s="11"/>
    </row>
    <row r="348" spans="16:16" ht="15.75" customHeight="1" x14ac:dyDescent="0.3">
      <c r="P348" s="11"/>
    </row>
    <row r="349" spans="16:16" ht="15.75" customHeight="1" x14ac:dyDescent="0.3">
      <c r="P349" s="11"/>
    </row>
    <row r="350" spans="16:16" ht="15.75" customHeight="1" x14ac:dyDescent="0.3">
      <c r="P350" s="11"/>
    </row>
    <row r="351" spans="16:16" ht="15.75" customHeight="1" x14ac:dyDescent="0.3">
      <c r="P351" s="11"/>
    </row>
    <row r="352" spans="16:16" ht="15.75" customHeight="1" x14ac:dyDescent="0.3">
      <c r="P352" s="11"/>
    </row>
    <row r="353" spans="16:16" ht="15.75" customHeight="1" x14ac:dyDescent="0.3">
      <c r="P353" s="11"/>
    </row>
    <row r="354" spans="16:16" ht="15.75" customHeight="1" x14ac:dyDescent="0.3">
      <c r="P354" s="11"/>
    </row>
    <row r="355" spans="16:16" ht="15.75" customHeight="1" x14ac:dyDescent="0.3">
      <c r="P355" s="11"/>
    </row>
    <row r="356" spans="16:16" ht="15.75" customHeight="1" x14ac:dyDescent="0.3">
      <c r="P356" s="11"/>
    </row>
    <row r="357" spans="16:16" ht="15.75" customHeight="1" x14ac:dyDescent="0.3">
      <c r="P357" s="11"/>
    </row>
    <row r="358" spans="16:16" ht="15.75" customHeight="1" x14ac:dyDescent="0.3">
      <c r="P358" s="11"/>
    </row>
    <row r="359" spans="16:16" ht="15.75" customHeight="1" x14ac:dyDescent="0.3">
      <c r="P359" s="11"/>
    </row>
    <row r="360" spans="16:16" ht="15.75" customHeight="1" x14ac:dyDescent="0.3">
      <c r="P360" s="11"/>
    </row>
    <row r="361" spans="16:16" ht="15.75" customHeight="1" x14ac:dyDescent="0.3">
      <c r="P361" s="11"/>
    </row>
    <row r="362" spans="16:16" ht="15.75" customHeight="1" x14ac:dyDescent="0.3">
      <c r="P362" s="11"/>
    </row>
    <row r="363" spans="16:16" ht="15.75" customHeight="1" x14ac:dyDescent="0.3">
      <c r="P363" s="11"/>
    </row>
    <row r="364" spans="16:16" ht="15.75" customHeight="1" x14ac:dyDescent="0.3">
      <c r="P364" s="11"/>
    </row>
    <row r="365" spans="16:16" ht="15.75" customHeight="1" x14ac:dyDescent="0.3">
      <c r="P365" s="11"/>
    </row>
    <row r="366" spans="16:16" ht="15.75" customHeight="1" x14ac:dyDescent="0.3">
      <c r="P366" s="11"/>
    </row>
    <row r="367" spans="16:16" ht="15.75" customHeight="1" x14ac:dyDescent="0.3">
      <c r="P367" s="11"/>
    </row>
    <row r="368" spans="16:16" ht="15.75" customHeight="1" x14ac:dyDescent="0.3">
      <c r="P368" s="11"/>
    </row>
    <row r="369" spans="16:16" ht="15.75" customHeight="1" x14ac:dyDescent="0.3">
      <c r="P369" s="11"/>
    </row>
    <row r="370" spans="16:16" ht="15.75" customHeight="1" x14ac:dyDescent="0.3">
      <c r="P370" s="11"/>
    </row>
    <row r="371" spans="16:16" ht="15.75" customHeight="1" x14ac:dyDescent="0.3">
      <c r="P371" s="11"/>
    </row>
    <row r="372" spans="16:16" ht="15.75" customHeight="1" x14ac:dyDescent="0.3">
      <c r="P372" s="11"/>
    </row>
    <row r="373" spans="16:16" ht="15.75" customHeight="1" x14ac:dyDescent="0.3">
      <c r="P373" s="11"/>
    </row>
    <row r="374" spans="16:16" ht="15.75" customHeight="1" x14ac:dyDescent="0.3">
      <c r="P374" s="11"/>
    </row>
    <row r="375" spans="16:16" ht="15.75" customHeight="1" x14ac:dyDescent="0.3">
      <c r="P375" s="11"/>
    </row>
    <row r="376" spans="16:16" ht="15.75" customHeight="1" x14ac:dyDescent="0.3">
      <c r="P376" s="11"/>
    </row>
    <row r="377" spans="16:16" ht="15.75" customHeight="1" x14ac:dyDescent="0.3">
      <c r="P377" s="11"/>
    </row>
    <row r="378" spans="16:16" ht="15.75" customHeight="1" x14ac:dyDescent="0.3">
      <c r="P378" s="11"/>
    </row>
    <row r="379" spans="16:16" ht="15.75" customHeight="1" x14ac:dyDescent="0.3">
      <c r="P379" s="11"/>
    </row>
    <row r="380" spans="16:16" ht="15.75" customHeight="1" x14ac:dyDescent="0.3">
      <c r="P380" s="11"/>
    </row>
    <row r="381" spans="16:16" ht="15.75" customHeight="1" x14ac:dyDescent="0.3">
      <c r="P381" s="11"/>
    </row>
    <row r="382" spans="16:16" ht="15.75" customHeight="1" x14ac:dyDescent="0.3">
      <c r="P382" s="11"/>
    </row>
    <row r="383" spans="16:16" ht="15.75" customHeight="1" x14ac:dyDescent="0.3">
      <c r="P383" s="11"/>
    </row>
    <row r="384" spans="16:16" ht="15.75" customHeight="1" x14ac:dyDescent="0.3">
      <c r="P384" s="11"/>
    </row>
    <row r="385" spans="16:16" ht="15.75" customHeight="1" x14ac:dyDescent="0.3">
      <c r="P385" s="11"/>
    </row>
    <row r="386" spans="16:16" ht="15.75" customHeight="1" x14ac:dyDescent="0.3">
      <c r="P386" s="11"/>
    </row>
    <row r="387" spans="16:16" ht="15.75" customHeight="1" x14ac:dyDescent="0.3">
      <c r="P387" s="11"/>
    </row>
    <row r="388" spans="16:16" ht="15.75" customHeight="1" x14ac:dyDescent="0.3">
      <c r="P388" s="11"/>
    </row>
    <row r="389" spans="16:16" ht="15.75" customHeight="1" x14ac:dyDescent="0.3">
      <c r="P389" s="11"/>
    </row>
    <row r="390" spans="16:16" ht="15.75" customHeight="1" x14ac:dyDescent="0.3">
      <c r="P390" s="11"/>
    </row>
    <row r="391" spans="16:16" ht="15.75" customHeight="1" x14ac:dyDescent="0.3">
      <c r="P391" s="11"/>
    </row>
    <row r="392" spans="16:16" ht="15.75" customHeight="1" x14ac:dyDescent="0.3">
      <c r="P392" s="11"/>
    </row>
    <row r="393" spans="16:16" ht="15.75" customHeight="1" x14ac:dyDescent="0.3">
      <c r="P393" s="11"/>
    </row>
    <row r="394" spans="16:16" ht="15.75" customHeight="1" x14ac:dyDescent="0.3">
      <c r="P394" s="11"/>
    </row>
    <row r="395" spans="16:16" ht="15.75" customHeight="1" x14ac:dyDescent="0.3">
      <c r="P395" s="11"/>
    </row>
    <row r="396" spans="16:16" ht="15.75" customHeight="1" x14ac:dyDescent="0.3">
      <c r="P396" s="11"/>
    </row>
    <row r="397" spans="16:16" ht="15.75" customHeight="1" x14ac:dyDescent="0.3">
      <c r="P397" s="11"/>
    </row>
    <row r="398" spans="16:16" ht="15.75" customHeight="1" x14ac:dyDescent="0.3">
      <c r="P398" s="11"/>
    </row>
    <row r="399" spans="16:16" ht="15.75" customHeight="1" x14ac:dyDescent="0.3">
      <c r="P399" s="11"/>
    </row>
    <row r="400" spans="16:16" ht="15.75" customHeight="1" x14ac:dyDescent="0.3">
      <c r="P400" s="11"/>
    </row>
    <row r="401" spans="16:16" ht="15.75" customHeight="1" x14ac:dyDescent="0.3">
      <c r="P401" s="11"/>
    </row>
    <row r="402" spans="16:16" ht="15.75" customHeight="1" x14ac:dyDescent="0.3">
      <c r="P402" s="11"/>
    </row>
    <row r="403" spans="16:16" ht="15.75" customHeight="1" x14ac:dyDescent="0.3">
      <c r="P403" s="11"/>
    </row>
    <row r="404" spans="16:16" ht="15.75" customHeight="1" x14ac:dyDescent="0.3">
      <c r="P404" s="11"/>
    </row>
    <row r="405" spans="16:16" ht="15.75" customHeight="1" x14ac:dyDescent="0.3">
      <c r="P405" s="11"/>
    </row>
    <row r="406" spans="16:16" ht="15.75" customHeight="1" x14ac:dyDescent="0.3">
      <c r="P406" s="11"/>
    </row>
    <row r="407" spans="16:16" ht="15.75" customHeight="1" x14ac:dyDescent="0.3">
      <c r="P407" s="11"/>
    </row>
    <row r="408" spans="16:16" ht="15.75" customHeight="1" x14ac:dyDescent="0.3">
      <c r="P408" s="11"/>
    </row>
    <row r="409" spans="16:16" ht="15.75" customHeight="1" x14ac:dyDescent="0.3">
      <c r="P409" s="11"/>
    </row>
    <row r="410" spans="16:16" ht="15.75" customHeight="1" x14ac:dyDescent="0.3">
      <c r="P410" s="11"/>
    </row>
    <row r="411" spans="16:16" ht="15.75" customHeight="1" x14ac:dyDescent="0.3">
      <c r="P411" s="11"/>
    </row>
    <row r="412" spans="16:16" ht="15.75" customHeight="1" x14ac:dyDescent="0.3">
      <c r="P412" s="11"/>
    </row>
    <row r="413" spans="16:16" ht="15.75" customHeight="1" x14ac:dyDescent="0.3">
      <c r="P413" s="11"/>
    </row>
    <row r="414" spans="16:16" ht="15.75" customHeight="1" x14ac:dyDescent="0.3">
      <c r="P414" s="11"/>
    </row>
    <row r="415" spans="16:16" ht="15.75" customHeight="1" x14ac:dyDescent="0.3">
      <c r="P415" s="11"/>
    </row>
    <row r="416" spans="16:16" ht="15.75" customHeight="1" x14ac:dyDescent="0.3">
      <c r="P416" s="11"/>
    </row>
    <row r="417" spans="16:16" ht="15.75" customHeight="1" x14ac:dyDescent="0.3">
      <c r="P417" s="11"/>
    </row>
    <row r="418" spans="16:16" ht="15.75" customHeight="1" x14ac:dyDescent="0.3">
      <c r="P418" s="11"/>
    </row>
    <row r="419" spans="16:16" ht="15.75" customHeight="1" x14ac:dyDescent="0.3">
      <c r="P419" s="11"/>
    </row>
    <row r="420" spans="16:16" ht="15.75" customHeight="1" x14ac:dyDescent="0.3">
      <c r="P420" s="11"/>
    </row>
    <row r="421" spans="16:16" ht="15.75" customHeight="1" x14ac:dyDescent="0.3">
      <c r="P421" s="11"/>
    </row>
    <row r="422" spans="16:16" ht="15.75" customHeight="1" x14ac:dyDescent="0.3">
      <c r="P422" s="11"/>
    </row>
    <row r="423" spans="16:16" ht="15.75" customHeight="1" x14ac:dyDescent="0.3">
      <c r="P423" s="11"/>
    </row>
    <row r="424" spans="16:16" ht="15.75" customHeight="1" x14ac:dyDescent="0.3">
      <c r="P424" s="11"/>
    </row>
    <row r="425" spans="16:16" ht="15.75" customHeight="1" x14ac:dyDescent="0.3">
      <c r="P425" s="11"/>
    </row>
    <row r="426" spans="16:16" ht="15.75" customHeight="1" x14ac:dyDescent="0.3">
      <c r="P426" s="11"/>
    </row>
    <row r="427" spans="16:16" ht="15.75" customHeight="1" x14ac:dyDescent="0.3">
      <c r="P427" s="11"/>
    </row>
    <row r="428" spans="16:16" ht="15.75" customHeight="1" x14ac:dyDescent="0.3">
      <c r="P428" s="11"/>
    </row>
    <row r="429" spans="16:16" ht="15.75" customHeight="1" x14ac:dyDescent="0.3">
      <c r="P429" s="11"/>
    </row>
    <row r="430" spans="16:16" ht="15.75" customHeight="1" x14ac:dyDescent="0.3">
      <c r="P430" s="11"/>
    </row>
    <row r="431" spans="16:16" ht="15.75" customHeight="1" x14ac:dyDescent="0.3">
      <c r="P431" s="11"/>
    </row>
    <row r="432" spans="16:16" ht="15.75" customHeight="1" x14ac:dyDescent="0.3">
      <c r="P432" s="11"/>
    </row>
    <row r="433" spans="16:16" ht="15.75" customHeight="1" x14ac:dyDescent="0.3">
      <c r="P433" s="11"/>
    </row>
    <row r="434" spans="16:16" ht="15.75" customHeight="1" x14ac:dyDescent="0.3">
      <c r="P434" s="11"/>
    </row>
    <row r="435" spans="16:16" ht="15.75" customHeight="1" x14ac:dyDescent="0.3">
      <c r="P435" s="11"/>
    </row>
    <row r="436" spans="16:16" ht="15.75" customHeight="1" x14ac:dyDescent="0.3">
      <c r="P436" s="11"/>
    </row>
    <row r="437" spans="16:16" ht="15.75" customHeight="1" x14ac:dyDescent="0.3">
      <c r="P437" s="11"/>
    </row>
    <row r="438" spans="16:16" ht="15.75" customHeight="1" x14ac:dyDescent="0.3">
      <c r="P438" s="11"/>
    </row>
    <row r="439" spans="16:16" ht="15.75" customHeight="1" x14ac:dyDescent="0.3">
      <c r="P439" s="11"/>
    </row>
    <row r="440" spans="16:16" ht="15.75" customHeight="1" x14ac:dyDescent="0.3">
      <c r="P440" s="11"/>
    </row>
    <row r="441" spans="16:16" ht="15.75" customHeight="1" x14ac:dyDescent="0.3">
      <c r="P441" s="11"/>
    </row>
    <row r="442" spans="16:16" ht="15.75" customHeight="1" x14ac:dyDescent="0.3">
      <c r="P442" s="11"/>
    </row>
    <row r="443" spans="16:16" ht="15.75" customHeight="1" x14ac:dyDescent="0.3">
      <c r="P443" s="11"/>
    </row>
    <row r="444" spans="16:16" ht="15.75" customHeight="1" x14ac:dyDescent="0.3">
      <c r="P444" s="11"/>
    </row>
    <row r="445" spans="16:16" ht="15.75" customHeight="1" x14ac:dyDescent="0.3">
      <c r="P445" s="11"/>
    </row>
    <row r="446" spans="16:16" ht="15.75" customHeight="1" x14ac:dyDescent="0.3">
      <c r="P446" s="11"/>
    </row>
    <row r="447" spans="16:16" ht="15.75" customHeight="1" x14ac:dyDescent="0.3">
      <c r="P447" s="11"/>
    </row>
    <row r="448" spans="16:16" ht="15.75" customHeight="1" x14ac:dyDescent="0.3">
      <c r="P448" s="11"/>
    </row>
    <row r="449" spans="16:16" ht="15.75" customHeight="1" x14ac:dyDescent="0.3">
      <c r="P449" s="11"/>
    </row>
    <row r="450" spans="16:16" ht="15.75" customHeight="1" x14ac:dyDescent="0.3">
      <c r="P450" s="11"/>
    </row>
    <row r="451" spans="16:16" ht="15.75" customHeight="1" x14ac:dyDescent="0.3">
      <c r="P451" s="11"/>
    </row>
    <row r="452" spans="16:16" ht="15.75" customHeight="1" x14ac:dyDescent="0.3">
      <c r="P452" s="11"/>
    </row>
    <row r="453" spans="16:16" ht="15.75" customHeight="1" x14ac:dyDescent="0.3">
      <c r="P453" s="11"/>
    </row>
    <row r="454" spans="16:16" ht="15.75" customHeight="1" x14ac:dyDescent="0.3">
      <c r="P454" s="11"/>
    </row>
    <row r="455" spans="16:16" ht="15.75" customHeight="1" x14ac:dyDescent="0.3">
      <c r="P455" s="11"/>
    </row>
    <row r="456" spans="16:16" ht="15.75" customHeight="1" x14ac:dyDescent="0.3">
      <c r="P456" s="11"/>
    </row>
    <row r="457" spans="16:16" ht="15.75" customHeight="1" x14ac:dyDescent="0.3">
      <c r="P457" s="11"/>
    </row>
    <row r="458" spans="16:16" ht="15.75" customHeight="1" x14ac:dyDescent="0.3">
      <c r="P458" s="11"/>
    </row>
    <row r="459" spans="16:16" ht="15.75" customHeight="1" x14ac:dyDescent="0.3">
      <c r="P459" s="11"/>
    </row>
    <row r="460" spans="16:16" ht="15.75" customHeight="1" x14ac:dyDescent="0.3">
      <c r="P460" s="11"/>
    </row>
    <row r="461" spans="16:16" ht="15.75" customHeight="1" x14ac:dyDescent="0.3">
      <c r="P461" s="11"/>
    </row>
    <row r="462" spans="16:16" ht="15.75" customHeight="1" x14ac:dyDescent="0.3">
      <c r="P462" s="11"/>
    </row>
    <row r="463" spans="16:16" ht="15.75" customHeight="1" x14ac:dyDescent="0.3">
      <c r="P463" s="11"/>
    </row>
    <row r="464" spans="16:16" ht="15.75" customHeight="1" x14ac:dyDescent="0.3">
      <c r="P464" s="11"/>
    </row>
    <row r="465" spans="16:16" ht="15.75" customHeight="1" x14ac:dyDescent="0.3">
      <c r="P465" s="11"/>
    </row>
    <row r="466" spans="16:16" ht="15.75" customHeight="1" x14ac:dyDescent="0.3">
      <c r="P466" s="11"/>
    </row>
    <row r="467" spans="16:16" ht="15.75" customHeight="1" x14ac:dyDescent="0.3">
      <c r="P467" s="11"/>
    </row>
    <row r="468" spans="16:16" ht="15.75" customHeight="1" x14ac:dyDescent="0.3">
      <c r="P468" s="11"/>
    </row>
    <row r="469" spans="16:16" ht="15.75" customHeight="1" x14ac:dyDescent="0.3">
      <c r="P469" s="11"/>
    </row>
    <row r="470" spans="16:16" ht="15.75" customHeight="1" x14ac:dyDescent="0.3">
      <c r="P470" s="11"/>
    </row>
    <row r="471" spans="16:16" ht="15.75" customHeight="1" x14ac:dyDescent="0.3">
      <c r="P471" s="11"/>
    </row>
    <row r="472" spans="16:16" ht="15.75" customHeight="1" x14ac:dyDescent="0.3">
      <c r="P472" s="11"/>
    </row>
    <row r="473" spans="16:16" ht="15.75" customHeight="1" x14ac:dyDescent="0.3">
      <c r="P473" s="11"/>
    </row>
    <row r="474" spans="16:16" ht="15.75" customHeight="1" x14ac:dyDescent="0.3">
      <c r="P474" s="11"/>
    </row>
    <row r="475" spans="16:16" ht="15.75" customHeight="1" x14ac:dyDescent="0.3">
      <c r="P475" s="11"/>
    </row>
    <row r="476" spans="16:16" ht="15.75" customHeight="1" x14ac:dyDescent="0.3">
      <c r="P476" s="11"/>
    </row>
    <row r="477" spans="16:16" ht="15.75" customHeight="1" x14ac:dyDescent="0.3">
      <c r="P477" s="11"/>
    </row>
    <row r="478" spans="16:16" ht="15.75" customHeight="1" x14ac:dyDescent="0.3">
      <c r="P478" s="11"/>
    </row>
    <row r="479" spans="16:16" ht="15.75" customHeight="1" x14ac:dyDescent="0.3">
      <c r="P479" s="11"/>
    </row>
    <row r="480" spans="16:16" ht="15.75" customHeight="1" x14ac:dyDescent="0.3">
      <c r="P480" s="11"/>
    </row>
    <row r="481" spans="16:16" ht="15.75" customHeight="1" x14ac:dyDescent="0.3">
      <c r="P481" s="11"/>
    </row>
    <row r="482" spans="16:16" ht="15.75" customHeight="1" x14ac:dyDescent="0.3">
      <c r="P482" s="11"/>
    </row>
    <row r="483" spans="16:16" ht="15.75" customHeight="1" x14ac:dyDescent="0.3">
      <c r="P483" s="11"/>
    </row>
    <row r="484" spans="16:16" ht="15.75" customHeight="1" x14ac:dyDescent="0.3">
      <c r="P484" s="11"/>
    </row>
    <row r="485" spans="16:16" ht="15.75" customHeight="1" x14ac:dyDescent="0.3">
      <c r="P485" s="11"/>
    </row>
    <row r="486" spans="16:16" ht="15.75" customHeight="1" x14ac:dyDescent="0.3">
      <c r="P486" s="11"/>
    </row>
    <row r="487" spans="16:16" ht="15.75" customHeight="1" x14ac:dyDescent="0.3">
      <c r="P487" s="11"/>
    </row>
    <row r="488" spans="16:16" ht="15.75" customHeight="1" x14ac:dyDescent="0.3">
      <c r="P488" s="11"/>
    </row>
    <row r="489" spans="16:16" ht="15.75" customHeight="1" x14ac:dyDescent="0.3">
      <c r="P489" s="11"/>
    </row>
    <row r="490" spans="16:16" ht="15.75" customHeight="1" x14ac:dyDescent="0.3">
      <c r="P490" s="11"/>
    </row>
    <row r="491" spans="16:16" ht="15.75" customHeight="1" x14ac:dyDescent="0.3">
      <c r="P491" s="11"/>
    </row>
    <row r="492" spans="16:16" ht="15.75" customHeight="1" x14ac:dyDescent="0.3">
      <c r="P492" s="11"/>
    </row>
    <row r="493" spans="16:16" ht="15.75" customHeight="1" x14ac:dyDescent="0.3">
      <c r="P493" s="11"/>
    </row>
    <row r="494" spans="16:16" ht="15.75" customHeight="1" x14ac:dyDescent="0.3">
      <c r="P494" s="11"/>
    </row>
    <row r="495" spans="16:16" ht="15.75" customHeight="1" x14ac:dyDescent="0.3">
      <c r="P495" s="11"/>
    </row>
    <row r="496" spans="16:16" ht="15.75" customHeight="1" x14ac:dyDescent="0.3">
      <c r="P496" s="11"/>
    </row>
    <row r="497" spans="16:16" ht="15.75" customHeight="1" x14ac:dyDescent="0.3">
      <c r="P497" s="11"/>
    </row>
    <row r="498" spans="16:16" ht="15.75" customHeight="1" x14ac:dyDescent="0.3">
      <c r="P498" s="11"/>
    </row>
    <row r="499" spans="16:16" ht="15.75" customHeight="1" x14ac:dyDescent="0.3">
      <c r="P499" s="11"/>
    </row>
    <row r="500" spans="16:16" ht="15.75" customHeight="1" x14ac:dyDescent="0.3">
      <c r="P500" s="11"/>
    </row>
    <row r="501" spans="16:16" ht="15.75" customHeight="1" x14ac:dyDescent="0.3">
      <c r="P501" s="11"/>
    </row>
    <row r="502" spans="16:16" ht="15.75" customHeight="1" x14ac:dyDescent="0.3">
      <c r="P502" s="11"/>
    </row>
    <row r="503" spans="16:16" ht="15.75" customHeight="1" x14ac:dyDescent="0.3">
      <c r="P503" s="11"/>
    </row>
    <row r="504" spans="16:16" ht="15.75" customHeight="1" x14ac:dyDescent="0.3">
      <c r="P504" s="11"/>
    </row>
    <row r="505" spans="16:16" ht="15.75" customHeight="1" x14ac:dyDescent="0.3">
      <c r="P505" s="11"/>
    </row>
    <row r="506" spans="16:16" ht="15.75" customHeight="1" x14ac:dyDescent="0.3">
      <c r="P506" s="11"/>
    </row>
    <row r="507" spans="16:16" ht="15.75" customHeight="1" x14ac:dyDescent="0.3">
      <c r="P507" s="11"/>
    </row>
    <row r="508" spans="16:16" ht="15.75" customHeight="1" x14ac:dyDescent="0.3">
      <c r="P508" s="11"/>
    </row>
    <row r="509" spans="16:16" ht="15.75" customHeight="1" x14ac:dyDescent="0.3">
      <c r="P509" s="11"/>
    </row>
    <row r="510" spans="16:16" ht="15.75" customHeight="1" x14ac:dyDescent="0.3">
      <c r="P510" s="11"/>
    </row>
    <row r="511" spans="16:16" ht="15.75" customHeight="1" x14ac:dyDescent="0.3">
      <c r="P511" s="11"/>
    </row>
    <row r="512" spans="16:16" ht="15.75" customHeight="1" x14ac:dyDescent="0.3">
      <c r="P512" s="11"/>
    </row>
    <row r="513" spans="16:16" ht="15.75" customHeight="1" x14ac:dyDescent="0.3">
      <c r="P513" s="11"/>
    </row>
    <row r="514" spans="16:16" ht="15.75" customHeight="1" x14ac:dyDescent="0.3">
      <c r="P514" s="11"/>
    </row>
    <row r="515" spans="16:16" ht="15.75" customHeight="1" x14ac:dyDescent="0.3">
      <c r="P515" s="11"/>
    </row>
    <row r="516" spans="16:16" ht="15.75" customHeight="1" x14ac:dyDescent="0.3">
      <c r="P516" s="11"/>
    </row>
    <row r="517" spans="16:16" ht="15.75" customHeight="1" x14ac:dyDescent="0.3">
      <c r="P517" s="11"/>
    </row>
    <row r="518" spans="16:16" ht="15.75" customHeight="1" x14ac:dyDescent="0.3">
      <c r="P518" s="11"/>
    </row>
    <row r="519" spans="16:16" ht="15.75" customHeight="1" x14ac:dyDescent="0.3">
      <c r="P519" s="11"/>
    </row>
    <row r="520" spans="16:16" ht="15.75" customHeight="1" x14ac:dyDescent="0.3">
      <c r="P520" s="11"/>
    </row>
    <row r="521" spans="16:16" ht="15.75" customHeight="1" x14ac:dyDescent="0.3">
      <c r="P521" s="11"/>
    </row>
    <row r="522" spans="16:16" ht="15.75" customHeight="1" x14ac:dyDescent="0.3">
      <c r="P522" s="11"/>
    </row>
    <row r="523" spans="16:16" ht="15.75" customHeight="1" x14ac:dyDescent="0.3">
      <c r="P523" s="11"/>
    </row>
    <row r="524" spans="16:16" ht="15.75" customHeight="1" x14ac:dyDescent="0.3">
      <c r="P524" s="11"/>
    </row>
    <row r="525" spans="16:16" ht="15.75" customHeight="1" x14ac:dyDescent="0.3">
      <c r="P525" s="11"/>
    </row>
    <row r="526" spans="16:16" ht="15.75" customHeight="1" x14ac:dyDescent="0.3">
      <c r="P526" s="11"/>
    </row>
    <row r="527" spans="16:16" ht="15.75" customHeight="1" x14ac:dyDescent="0.3">
      <c r="P527" s="11"/>
    </row>
    <row r="528" spans="16:16" ht="15.75" customHeight="1" x14ac:dyDescent="0.3">
      <c r="P528" s="11"/>
    </row>
    <row r="529" spans="16:16" ht="15.75" customHeight="1" x14ac:dyDescent="0.3">
      <c r="P529" s="11"/>
    </row>
    <row r="530" spans="16:16" ht="15.75" customHeight="1" x14ac:dyDescent="0.3">
      <c r="P530" s="11"/>
    </row>
    <row r="531" spans="16:16" ht="15.75" customHeight="1" x14ac:dyDescent="0.3">
      <c r="P531" s="11"/>
    </row>
    <row r="532" spans="16:16" ht="15.75" customHeight="1" x14ac:dyDescent="0.3">
      <c r="P532" s="11"/>
    </row>
    <row r="533" spans="16:16" ht="15.75" customHeight="1" x14ac:dyDescent="0.3">
      <c r="P533" s="11"/>
    </row>
    <row r="534" spans="16:16" ht="15.75" customHeight="1" x14ac:dyDescent="0.3">
      <c r="P534" s="11"/>
    </row>
    <row r="535" spans="16:16" ht="15.75" customHeight="1" x14ac:dyDescent="0.3">
      <c r="P535" s="11"/>
    </row>
    <row r="536" spans="16:16" ht="15.75" customHeight="1" x14ac:dyDescent="0.3">
      <c r="P536" s="11"/>
    </row>
    <row r="537" spans="16:16" ht="15.75" customHeight="1" x14ac:dyDescent="0.3">
      <c r="P537" s="11"/>
    </row>
    <row r="538" spans="16:16" ht="15.75" customHeight="1" x14ac:dyDescent="0.3">
      <c r="P538" s="11"/>
    </row>
    <row r="539" spans="16:16" ht="15.75" customHeight="1" x14ac:dyDescent="0.3">
      <c r="P539" s="11"/>
    </row>
    <row r="540" spans="16:16" ht="15.75" customHeight="1" x14ac:dyDescent="0.3">
      <c r="P540" s="11"/>
    </row>
    <row r="541" spans="16:16" ht="15.75" customHeight="1" x14ac:dyDescent="0.3">
      <c r="P541" s="11"/>
    </row>
    <row r="542" spans="16:16" ht="15.75" customHeight="1" x14ac:dyDescent="0.3">
      <c r="P542" s="11"/>
    </row>
    <row r="543" spans="16:16" ht="15.75" customHeight="1" x14ac:dyDescent="0.3">
      <c r="P543" s="11"/>
    </row>
    <row r="544" spans="16:16" ht="15.75" customHeight="1" x14ac:dyDescent="0.3">
      <c r="P544" s="11"/>
    </row>
    <row r="545" spans="16:16" ht="15.75" customHeight="1" x14ac:dyDescent="0.3">
      <c r="P545" s="11"/>
    </row>
    <row r="546" spans="16:16" ht="15.75" customHeight="1" x14ac:dyDescent="0.3">
      <c r="P546" s="11"/>
    </row>
    <row r="547" spans="16:16" ht="15.75" customHeight="1" x14ac:dyDescent="0.3">
      <c r="P547" s="11"/>
    </row>
    <row r="548" spans="16:16" ht="15.75" customHeight="1" x14ac:dyDescent="0.3">
      <c r="P548" s="11"/>
    </row>
    <row r="549" spans="16:16" ht="15.75" customHeight="1" x14ac:dyDescent="0.3">
      <c r="P549" s="11"/>
    </row>
    <row r="550" spans="16:16" ht="15.75" customHeight="1" x14ac:dyDescent="0.3">
      <c r="P550" s="11"/>
    </row>
    <row r="551" spans="16:16" ht="15.75" customHeight="1" x14ac:dyDescent="0.3">
      <c r="P551" s="11"/>
    </row>
    <row r="552" spans="16:16" ht="15.75" customHeight="1" x14ac:dyDescent="0.3">
      <c r="P552" s="11"/>
    </row>
    <row r="553" spans="16:16" ht="15.75" customHeight="1" x14ac:dyDescent="0.3">
      <c r="P553" s="11"/>
    </row>
    <row r="554" spans="16:16" ht="15.75" customHeight="1" x14ac:dyDescent="0.3">
      <c r="P554" s="11"/>
    </row>
    <row r="555" spans="16:16" ht="15.75" customHeight="1" x14ac:dyDescent="0.3">
      <c r="P555" s="11"/>
    </row>
    <row r="556" spans="16:16" ht="15.75" customHeight="1" x14ac:dyDescent="0.3">
      <c r="P556" s="11"/>
    </row>
    <row r="557" spans="16:16" ht="15.75" customHeight="1" x14ac:dyDescent="0.3">
      <c r="P557" s="11"/>
    </row>
    <row r="558" spans="16:16" ht="15.75" customHeight="1" x14ac:dyDescent="0.3">
      <c r="P558" s="11"/>
    </row>
    <row r="559" spans="16:16" ht="15.75" customHeight="1" x14ac:dyDescent="0.3">
      <c r="P559" s="11"/>
    </row>
    <row r="560" spans="16:16" ht="15.75" customHeight="1" x14ac:dyDescent="0.3">
      <c r="P560" s="11"/>
    </row>
    <row r="561" spans="16:16" ht="15.75" customHeight="1" x14ac:dyDescent="0.3">
      <c r="P561" s="11"/>
    </row>
    <row r="562" spans="16:16" ht="15.75" customHeight="1" x14ac:dyDescent="0.3">
      <c r="P562" s="11"/>
    </row>
    <row r="563" spans="16:16" ht="15.75" customHeight="1" x14ac:dyDescent="0.3">
      <c r="P563" s="11"/>
    </row>
    <row r="564" spans="16:16" ht="15.75" customHeight="1" x14ac:dyDescent="0.3">
      <c r="P564" s="11"/>
    </row>
    <row r="565" spans="16:16" ht="15.75" customHeight="1" x14ac:dyDescent="0.3">
      <c r="P565" s="11"/>
    </row>
    <row r="566" spans="16:16" ht="15.75" customHeight="1" x14ac:dyDescent="0.3">
      <c r="P566" s="11"/>
    </row>
    <row r="567" spans="16:16" ht="15.75" customHeight="1" x14ac:dyDescent="0.3">
      <c r="P567" s="11"/>
    </row>
    <row r="568" spans="16:16" ht="15.75" customHeight="1" x14ac:dyDescent="0.3">
      <c r="P568" s="11"/>
    </row>
    <row r="569" spans="16:16" ht="15.75" customHeight="1" x14ac:dyDescent="0.3">
      <c r="P569" s="11"/>
    </row>
    <row r="570" spans="16:16" ht="15.75" customHeight="1" x14ac:dyDescent="0.3">
      <c r="P570" s="11"/>
    </row>
    <row r="571" spans="16:16" ht="15.75" customHeight="1" x14ac:dyDescent="0.3">
      <c r="P571" s="11"/>
    </row>
    <row r="572" spans="16:16" ht="15.75" customHeight="1" x14ac:dyDescent="0.3">
      <c r="P572" s="11"/>
    </row>
    <row r="573" spans="16:16" ht="15.75" customHeight="1" x14ac:dyDescent="0.3">
      <c r="P573" s="11"/>
    </row>
    <row r="574" spans="16:16" ht="15.75" customHeight="1" x14ac:dyDescent="0.3">
      <c r="P574" s="11"/>
    </row>
    <row r="575" spans="16:16" ht="15.75" customHeight="1" x14ac:dyDescent="0.3">
      <c r="P575" s="11"/>
    </row>
    <row r="576" spans="16:16" ht="15.75" customHeight="1" x14ac:dyDescent="0.3">
      <c r="P576" s="11"/>
    </row>
    <row r="577" spans="16:16" ht="15.75" customHeight="1" x14ac:dyDescent="0.3">
      <c r="P577" s="11"/>
    </row>
    <row r="578" spans="16:16" ht="15.75" customHeight="1" x14ac:dyDescent="0.3">
      <c r="P578" s="11"/>
    </row>
    <row r="579" spans="16:16" ht="15.75" customHeight="1" x14ac:dyDescent="0.3">
      <c r="P579" s="11"/>
    </row>
    <row r="580" spans="16:16" ht="15.75" customHeight="1" x14ac:dyDescent="0.3">
      <c r="P580" s="11"/>
    </row>
    <row r="581" spans="16:16" ht="15.75" customHeight="1" x14ac:dyDescent="0.3">
      <c r="P581" s="11"/>
    </row>
    <row r="582" spans="16:16" ht="15.75" customHeight="1" x14ac:dyDescent="0.3">
      <c r="P582" s="11"/>
    </row>
    <row r="583" spans="16:16" ht="15.75" customHeight="1" x14ac:dyDescent="0.3">
      <c r="P583" s="11"/>
    </row>
    <row r="584" spans="16:16" ht="15.75" customHeight="1" x14ac:dyDescent="0.3">
      <c r="P584" s="11"/>
    </row>
    <row r="585" spans="16:16" ht="15.75" customHeight="1" x14ac:dyDescent="0.3">
      <c r="P585" s="11"/>
    </row>
    <row r="586" spans="16:16" ht="15.75" customHeight="1" x14ac:dyDescent="0.3">
      <c r="P586" s="11"/>
    </row>
    <row r="587" spans="16:16" ht="15.75" customHeight="1" x14ac:dyDescent="0.3">
      <c r="P587" s="11"/>
    </row>
    <row r="588" spans="16:16" ht="15.75" customHeight="1" x14ac:dyDescent="0.3">
      <c r="P588" s="11"/>
    </row>
    <row r="589" spans="16:16" ht="15.75" customHeight="1" x14ac:dyDescent="0.3">
      <c r="P589" s="11"/>
    </row>
    <row r="590" spans="16:16" ht="15.75" customHeight="1" x14ac:dyDescent="0.3">
      <c r="P590" s="11"/>
    </row>
    <row r="591" spans="16:16" ht="15.75" customHeight="1" x14ac:dyDescent="0.3">
      <c r="P591" s="11"/>
    </row>
    <row r="592" spans="16:16" ht="15.75" customHeight="1" x14ac:dyDescent="0.3">
      <c r="P592" s="11"/>
    </row>
    <row r="593" spans="16:16" ht="15.75" customHeight="1" x14ac:dyDescent="0.3">
      <c r="P593" s="11"/>
    </row>
    <row r="594" spans="16:16" ht="15.75" customHeight="1" x14ac:dyDescent="0.3">
      <c r="P594" s="11"/>
    </row>
    <row r="595" spans="16:16" ht="15.75" customHeight="1" x14ac:dyDescent="0.3">
      <c r="P595" s="11"/>
    </row>
    <row r="596" spans="16:16" ht="15.75" customHeight="1" x14ac:dyDescent="0.3">
      <c r="P596" s="11"/>
    </row>
    <row r="597" spans="16:16" ht="15.75" customHeight="1" x14ac:dyDescent="0.3">
      <c r="P597" s="11"/>
    </row>
    <row r="598" spans="16:16" ht="15.75" customHeight="1" x14ac:dyDescent="0.3">
      <c r="P598" s="11"/>
    </row>
    <row r="599" spans="16:16" ht="15.75" customHeight="1" x14ac:dyDescent="0.3">
      <c r="P599" s="11"/>
    </row>
    <row r="600" spans="16:16" ht="15.75" customHeight="1" x14ac:dyDescent="0.3">
      <c r="P600" s="11"/>
    </row>
    <row r="601" spans="16:16" ht="15.75" customHeight="1" x14ac:dyDescent="0.3">
      <c r="P601" s="11"/>
    </row>
    <row r="602" spans="16:16" ht="15.75" customHeight="1" x14ac:dyDescent="0.3">
      <c r="P602" s="11"/>
    </row>
    <row r="603" spans="16:16" ht="15.75" customHeight="1" x14ac:dyDescent="0.3">
      <c r="P603" s="11"/>
    </row>
    <row r="604" spans="16:16" ht="15.75" customHeight="1" x14ac:dyDescent="0.3">
      <c r="P604" s="11"/>
    </row>
    <row r="605" spans="16:16" ht="15.75" customHeight="1" x14ac:dyDescent="0.3">
      <c r="P605" s="11"/>
    </row>
    <row r="606" spans="16:16" ht="15.75" customHeight="1" x14ac:dyDescent="0.3">
      <c r="P606" s="11"/>
    </row>
    <row r="607" spans="16:16" ht="15.75" customHeight="1" x14ac:dyDescent="0.3">
      <c r="P607" s="11"/>
    </row>
    <row r="608" spans="16:16" ht="15.75" customHeight="1" x14ac:dyDescent="0.3">
      <c r="P608" s="11"/>
    </row>
    <row r="609" spans="16:16" ht="15.75" customHeight="1" x14ac:dyDescent="0.3">
      <c r="P609" s="11"/>
    </row>
    <row r="610" spans="16:16" ht="15.75" customHeight="1" x14ac:dyDescent="0.3">
      <c r="P610" s="11"/>
    </row>
    <row r="611" spans="16:16" ht="15.75" customHeight="1" x14ac:dyDescent="0.3">
      <c r="P611" s="11"/>
    </row>
    <row r="612" spans="16:16" ht="15.75" customHeight="1" x14ac:dyDescent="0.3">
      <c r="P612" s="11"/>
    </row>
    <row r="613" spans="16:16" ht="15.75" customHeight="1" x14ac:dyDescent="0.3">
      <c r="P613" s="11"/>
    </row>
    <row r="614" spans="16:16" ht="15.75" customHeight="1" x14ac:dyDescent="0.3">
      <c r="P614" s="11"/>
    </row>
    <row r="615" spans="16:16" ht="15.75" customHeight="1" x14ac:dyDescent="0.3">
      <c r="P615" s="11"/>
    </row>
    <row r="616" spans="16:16" ht="15.75" customHeight="1" x14ac:dyDescent="0.3">
      <c r="P616" s="11"/>
    </row>
    <row r="617" spans="16:16" ht="15.75" customHeight="1" x14ac:dyDescent="0.3">
      <c r="P617" s="11"/>
    </row>
    <row r="618" spans="16:16" ht="15.75" customHeight="1" x14ac:dyDescent="0.3">
      <c r="P618" s="11"/>
    </row>
    <row r="619" spans="16:16" ht="15.75" customHeight="1" x14ac:dyDescent="0.3">
      <c r="P619" s="11"/>
    </row>
    <row r="620" spans="16:16" ht="15.75" customHeight="1" x14ac:dyDescent="0.3">
      <c r="P620" s="11"/>
    </row>
    <row r="621" spans="16:16" ht="15.75" customHeight="1" x14ac:dyDescent="0.3">
      <c r="P621" s="11"/>
    </row>
    <row r="622" spans="16:16" ht="15.75" customHeight="1" x14ac:dyDescent="0.3">
      <c r="P622" s="11"/>
    </row>
    <row r="623" spans="16:16" ht="15.75" customHeight="1" x14ac:dyDescent="0.3">
      <c r="P623" s="11"/>
    </row>
    <row r="624" spans="16:16" ht="15.75" customHeight="1" x14ac:dyDescent="0.3">
      <c r="P624" s="11"/>
    </row>
    <row r="625" spans="16:16" ht="15.75" customHeight="1" x14ac:dyDescent="0.3">
      <c r="P625" s="11"/>
    </row>
    <row r="626" spans="16:16" ht="15.75" customHeight="1" x14ac:dyDescent="0.3">
      <c r="P626" s="11"/>
    </row>
    <row r="627" spans="16:16" ht="15.75" customHeight="1" x14ac:dyDescent="0.3">
      <c r="P627" s="11"/>
    </row>
    <row r="628" spans="16:16" ht="15.75" customHeight="1" x14ac:dyDescent="0.3">
      <c r="P628" s="11"/>
    </row>
    <row r="629" spans="16:16" ht="15.75" customHeight="1" x14ac:dyDescent="0.3">
      <c r="P629" s="11"/>
    </row>
    <row r="630" spans="16:16" ht="15.75" customHeight="1" x14ac:dyDescent="0.3">
      <c r="P630" s="11"/>
    </row>
    <row r="631" spans="16:16" ht="15.75" customHeight="1" x14ac:dyDescent="0.3">
      <c r="P631" s="11"/>
    </row>
    <row r="632" spans="16:16" ht="15.75" customHeight="1" x14ac:dyDescent="0.3">
      <c r="P632" s="11"/>
    </row>
    <row r="633" spans="16:16" ht="15.75" customHeight="1" x14ac:dyDescent="0.3">
      <c r="P633" s="11"/>
    </row>
    <row r="634" spans="16:16" ht="15.75" customHeight="1" x14ac:dyDescent="0.3">
      <c r="P634" s="11"/>
    </row>
    <row r="635" spans="16:16" ht="15.75" customHeight="1" x14ac:dyDescent="0.3">
      <c r="P635" s="11"/>
    </row>
    <row r="636" spans="16:16" ht="15.75" customHeight="1" x14ac:dyDescent="0.3">
      <c r="P636" s="11"/>
    </row>
    <row r="637" spans="16:16" ht="15.75" customHeight="1" x14ac:dyDescent="0.3">
      <c r="P637" s="11"/>
    </row>
    <row r="638" spans="16:16" ht="15.75" customHeight="1" x14ac:dyDescent="0.3">
      <c r="P638" s="11"/>
    </row>
    <row r="639" spans="16:16" ht="15.75" customHeight="1" x14ac:dyDescent="0.3">
      <c r="P639" s="11"/>
    </row>
    <row r="640" spans="16:16" ht="15.75" customHeight="1" x14ac:dyDescent="0.3">
      <c r="P640" s="11"/>
    </row>
    <row r="641" spans="16:16" ht="15.75" customHeight="1" x14ac:dyDescent="0.3">
      <c r="P641" s="11"/>
    </row>
    <row r="642" spans="16:16" ht="15.75" customHeight="1" x14ac:dyDescent="0.3">
      <c r="P642" s="11"/>
    </row>
    <row r="643" spans="16:16" ht="15.75" customHeight="1" x14ac:dyDescent="0.3">
      <c r="P643" s="11"/>
    </row>
    <row r="644" spans="16:16" ht="15.75" customHeight="1" x14ac:dyDescent="0.3">
      <c r="P644" s="11"/>
    </row>
    <row r="645" spans="16:16" ht="15.75" customHeight="1" x14ac:dyDescent="0.3">
      <c r="P645" s="11"/>
    </row>
    <row r="646" spans="16:16" ht="15.75" customHeight="1" x14ac:dyDescent="0.3">
      <c r="P646" s="11"/>
    </row>
    <row r="647" spans="16:16" ht="15.75" customHeight="1" x14ac:dyDescent="0.3">
      <c r="P647" s="11"/>
    </row>
    <row r="648" spans="16:16" ht="15.75" customHeight="1" x14ac:dyDescent="0.3">
      <c r="P648" s="11"/>
    </row>
    <row r="649" spans="16:16" ht="15.75" customHeight="1" x14ac:dyDescent="0.3">
      <c r="P649" s="11"/>
    </row>
    <row r="650" spans="16:16" ht="15.75" customHeight="1" x14ac:dyDescent="0.3">
      <c r="P650" s="11"/>
    </row>
    <row r="651" spans="16:16" ht="15.75" customHeight="1" x14ac:dyDescent="0.3">
      <c r="P651" s="11"/>
    </row>
    <row r="652" spans="16:16" ht="15.75" customHeight="1" x14ac:dyDescent="0.3">
      <c r="P652" s="11"/>
    </row>
    <row r="653" spans="16:16" ht="15.75" customHeight="1" x14ac:dyDescent="0.3">
      <c r="P653" s="11"/>
    </row>
    <row r="654" spans="16:16" ht="15.75" customHeight="1" x14ac:dyDescent="0.3">
      <c r="P654" s="11"/>
    </row>
    <row r="655" spans="16:16" ht="15.75" customHeight="1" x14ac:dyDescent="0.3">
      <c r="P655" s="11"/>
    </row>
    <row r="656" spans="16:16" ht="15.75" customHeight="1" x14ac:dyDescent="0.3">
      <c r="P656" s="11"/>
    </row>
    <row r="657" spans="16:16" ht="15.75" customHeight="1" x14ac:dyDescent="0.3">
      <c r="P657" s="11"/>
    </row>
    <row r="658" spans="16:16" ht="15.75" customHeight="1" x14ac:dyDescent="0.3">
      <c r="P658" s="11"/>
    </row>
    <row r="659" spans="16:16" ht="15.75" customHeight="1" x14ac:dyDescent="0.3">
      <c r="P659" s="11"/>
    </row>
    <row r="660" spans="16:16" ht="15.75" customHeight="1" x14ac:dyDescent="0.3">
      <c r="P660" s="11"/>
    </row>
    <row r="661" spans="16:16" ht="15.75" customHeight="1" x14ac:dyDescent="0.3">
      <c r="P661" s="11"/>
    </row>
    <row r="662" spans="16:16" ht="15.75" customHeight="1" x14ac:dyDescent="0.3">
      <c r="P662" s="11"/>
    </row>
    <row r="663" spans="16:16" ht="15.75" customHeight="1" x14ac:dyDescent="0.3">
      <c r="P663" s="11"/>
    </row>
    <row r="664" spans="16:16" ht="15.75" customHeight="1" x14ac:dyDescent="0.3">
      <c r="P664" s="11"/>
    </row>
    <row r="665" spans="16:16" ht="15.75" customHeight="1" x14ac:dyDescent="0.3">
      <c r="P665" s="11"/>
    </row>
    <row r="666" spans="16:16" ht="15.75" customHeight="1" x14ac:dyDescent="0.3">
      <c r="P666" s="11"/>
    </row>
    <row r="667" spans="16:16" ht="15.75" customHeight="1" x14ac:dyDescent="0.3">
      <c r="P667" s="11"/>
    </row>
    <row r="668" spans="16:16" ht="15.75" customHeight="1" x14ac:dyDescent="0.3">
      <c r="P668" s="11"/>
    </row>
    <row r="669" spans="16:16" ht="15.75" customHeight="1" x14ac:dyDescent="0.3">
      <c r="P669" s="11"/>
    </row>
    <row r="670" spans="16:16" ht="15.75" customHeight="1" x14ac:dyDescent="0.3">
      <c r="P670" s="11"/>
    </row>
    <row r="671" spans="16:16" ht="15.75" customHeight="1" x14ac:dyDescent="0.3">
      <c r="P671" s="11"/>
    </row>
    <row r="672" spans="16:16" ht="15.75" customHeight="1" x14ac:dyDescent="0.3">
      <c r="P672" s="11"/>
    </row>
    <row r="673" spans="16:16" ht="15.75" customHeight="1" x14ac:dyDescent="0.3">
      <c r="P673" s="11"/>
    </row>
    <row r="674" spans="16:16" ht="15.75" customHeight="1" x14ac:dyDescent="0.3">
      <c r="P674" s="11"/>
    </row>
    <row r="675" spans="16:16" ht="15.75" customHeight="1" x14ac:dyDescent="0.3">
      <c r="P675" s="11"/>
    </row>
    <row r="676" spans="16:16" ht="15.75" customHeight="1" x14ac:dyDescent="0.3">
      <c r="P676" s="11"/>
    </row>
    <row r="677" spans="16:16" ht="15.75" customHeight="1" x14ac:dyDescent="0.3">
      <c r="P677" s="11"/>
    </row>
    <row r="678" spans="16:16" ht="15.75" customHeight="1" x14ac:dyDescent="0.3">
      <c r="P678" s="11"/>
    </row>
    <row r="679" spans="16:16" ht="15.75" customHeight="1" x14ac:dyDescent="0.3">
      <c r="P679" s="11"/>
    </row>
    <row r="680" spans="16:16" ht="15.75" customHeight="1" x14ac:dyDescent="0.3">
      <c r="P680" s="11"/>
    </row>
    <row r="681" spans="16:16" ht="15.75" customHeight="1" x14ac:dyDescent="0.3">
      <c r="P681" s="11"/>
    </row>
    <row r="682" spans="16:16" ht="15.75" customHeight="1" x14ac:dyDescent="0.3">
      <c r="P682" s="11"/>
    </row>
    <row r="683" spans="16:16" ht="15.75" customHeight="1" x14ac:dyDescent="0.3">
      <c r="P683" s="11"/>
    </row>
    <row r="684" spans="16:16" ht="15.75" customHeight="1" x14ac:dyDescent="0.3">
      <c r="P684" s="11"/>
    </row>
    <row r="685" spans="16:16" ht="15.75" customHeight="1" x14ac:dyDescent="0.3">
      <c r="P685" s="11"/>
    </row>
    <row r="686" spans="16:16" ht="15.75" customHeight="1" x14ac:dyDescent="0.3">
      <c r="P686" s="11"/>
    </row>
    <row r="687" spans="16:16" ht="15.75" customHeight="1" x14ac:dyDescent="0.3">
      <c r="P687" s="11"/>
    </row>
    <row r="688" spans="16:16" ht="15.75" customHeight="1" x14ac:dyDescent="0.3">
      <c r="P688" s="11"/>
    </row>
    <row r="689" spans="16:16" ht="15.75" customHeight="1" x14ac:dyDescent="0.3">
      <c r="P689" s="11"/>
    </row>
    <row r="690" spans="16:16" ht="15.75" customHeight="1" x14ac:dyDescent="0.3">
      <c r="P690" s="11"/>
    </row>
    <row r="691" spans="16:16" ht="15.75" customHeight="1" x14ac:dyDescent="0.3">
      <c r="P691" s="11"/>
    </row>
    <row r="692" spans="16:16" ht="15.75" customHeight="1" x14ac:dyDescent="0.3">
      <c r="P692" s="11"/>
    </row>
    <row r="693" spans="16:16" ht="15.75" customHeight="1" x14ac:dyDescent="0.3">
      <c r="P693" s="11"/>
    </row>
    <row r="694" spans="16:16" ht="15.75" customHeight="1" x14ac:dyDescent="0.3">
      <c r="P694" s="11"/>
    </row>
    <row r="695" spans="16:16" ht="15.75" customHeight="1" x14ac:dyDescent="0.3">
      <c r="P695" s="11"/>
    </row>
    <row r="696" spans="16:16" ht="15.75" customHeight="1" x14ac:dyDescent="0.3">
      <c r="P696" s="11"/>
    </row>
    <row r="697" spans="16:16" ht="15.75" customHeight="1" x14ac:dyDescent="0.3">
      <c r="P697" s="11"/>
    </row>
    <row r="698" spans="16:16" ht="15.75" customHeight="1" x14ac:dyDescent="0.3">
      <c r="P698" s="11"/>
    </row>
    <row r="699" spans="16:16" ht="15.75" customHeight="1" x14ac:dyDescent="0.3">
      <c r="P699" s="11"/>
    </row>
    <row r="700" spans="16:16" ht="15.75" customHeight="1" x14ac:dyDescent="0.3">
      <c r="P700" s="11"/>
    </row>
    <row r="701" spans="16:16" ht="15.75" customHeight="1" x14ac:dyDescent="0.3">
      <c r="P701" s="11"/>
    </row>
    <row r="702" spans="16:16" ht="15.75" customHeight="1" x14ac:dyDescent="0.3">
      <c r="P702" s="11"/>
    </row>
    <row r="703" spans="16:16" ht="15.75" customHeight="1" x14ac:dyDescent="0.3">
      <c r="P703" s="11"/>
    </row>
    <row r="704" spans="16:16" ht="15.75" customHeight="1" x14ac:dyDescent="0.3">
      <c r="P704" s="11"/>
    </row>
    <row r="705" spans="16:16" ht="15.75" customHeight="1" x14ac:dyDescent="0.3">
      <c r="P705" s="11"/>
    </row>
    <row r="706" spans="16:16" ht="15.75" customHeight="1" x14ac:dyDescent="0.3">
      <c r="P706" s="11"/>
    </row>
    <row r="707" spans="16:16" ht="15.75" customHeight="1" x14ac:dyDescent="0.3">
      <c r="P707" s="11"/>
    </row>
    <row r="708" spans="16:16" ht="15.75" customHeight="1" x14ac:dyDescent="0.3">
      <c r="P708" s="11"/>
    </row>
    <row r="709" spans="16:16" ht="15.75" customHeight="1" x14ac:dyDescent="0.3">
      <c r="P709" s="11"/>
    </row>
    <row r="710" spans="16:16" ht="15.75" customHeight="1" x14ac:dyDescent="0.3">
      <c r="P710" s="11"/>
    </row>
    <row r="711" spans="16:16" ht="15.75" customHeight="1" x14ac:dyDescent="0.3">
      <c r="P711" s="11"/>
    </row>
    <row r="712" spans="16:16" ht="15.75" customHeight="1" x14ac:dyDescent="0.3">
      <c r="P712" s="11"/>
    </row>
    <row r="713" spans="16:16" ht="15.75" customHeight="1" x14ac:dyDescent="0.3">
      <c r="P713" s="11"/>
    </row>
    <row r="714" spans="16:16" ht="15.75" customHeight="1" x14ac:dyDescent="0.3">
      <c r="P714" s="11"/>
    </row>
    <row r="715" spans="16:16" ht="15.75" customHeight="1" x14ac:dyDescent="0.3">
      <c r="P715" s="11"/>
    </row>
    <row r="716" spans="16:16" ht="15.75" customHeight="1" x14ac:dyDescent="0.3">
      <c r="P716" s="11"/>
    </row>
    <row r="717" spans="16:16" ht="15.75" customHeight="1" x14ac:dyDescent="0.3">
      <c r="P717" s="11"/>
    </row>
    <row r="718" spans="16:16" ht="15.75" customHeight="1" x14ac:dyDescent="0.3">
      <c r="P718" s="11"/>
    </row>
    <row r="719" spans="16:16" ht="15.75" customHeight="1" x14ac:dyDescent="0.3">
      <c r="P719" s="11"/>
    </row>
    <row r="720" spans="16:16" ht="15.75" customHeight="1" x14ac:dyDescent="0.3">
      <c r="P720" s="11"/>
    </row>
    <row r="721" spans="16:16" ht="15.75" customHeight="1" x14ac:dyDescent="0.3">
      <c r="P721" s="11"/>
    </row>
    <row r="722" spans="16:16" ht="15.75" customHeight="1" x14ac:dyDescent="0.3">
      <c r="P722" s="11"/>
    </row>
    <row r="723" spans="16:16" ht="15.75" customHeight="1" x14ac:dyDescent="0.3">
      <c r="P723" s="11"/>
    </row>
    <row r="724" spans="16:16" ht="15.75" customHeight="1" x14ac:dyDescent="0.3">
      <c r="P724" s="11"/>
    </row>
    <row r="725" spans="16:16" ht="15.75" customHeight="1" x14ac:dyDescent="0.3">
      <c r="P725" s="11"/>
    </row>
    <row r="726" spans="16:16" ht="15.75" customHeight="1" x14ac:dyDescent="0.3">
      <c r="P726" s="11"/>
    </row>
    <row r="727" spans="16:16" ht="15.75" customHeight="1" x14ac:dyDescent="0.3">
      <c r="P727" s="11"/>
    </row>
    <row r="728" spans="16:16" ht="15.75" customHeight="1" x14ac:dyDescent="0.3">
      <c r="P728" s="11"/>
    </row>
    <row r="729" spans="16:16" ht="15.75" customHeight="1" x14ac:dyDescent="0.3">
      <c r="P729" s="11"/>
    </row>
    <row r="730" spans="16:16" ht="15.75" customHeight="1" x14ac:dyDescent="0.3">
      <c r="P730" s="11"/>
    </row>
    <row r="731" spans="16:16" ht="15.75" customHeight="1" x14ac:dyDescent="0.3">
      <c r="P731" s="11"/>
    </row>
    <row r="732" spans="16:16" ht="15.75" customHeight="1" x14ac:dyDescent="0.3">
      <c r="P732" s="11"/>
    </row>
    <row r="733" spans="16:16" ht="15.75" customHeight="1" x14ac:dyDescent="0.3">
      <c r="P733" s="11"/>
    </row>
    <row r="734" spans="16:16" ht="15.75" customHeight="1" x14ac:dyDescent="0.3">
      <c r="P734" s="11"/>
    </row>
    <row r="735" spans="16:16" ht="15.75" customHeight="1" x14ac:dyDescent="0.3">
      <c r="P735" s="11"/>
    </row>
    <row r="736" spans="16:16" ht="15.75" customHeight="1" x14ac:dyDescent="0.3">
      <c r="P736" s="11"/>
    </row>
    <row r="737" spans="16:16" ht="15.75" customHeight="1" x14ac:dyDescent="0.3">
      <c r="P737" s="11"/>
    </row>
    <row r="738" spans="16:16" ht="15.75" customHeight="1" x14ac:dyDescent="0.3">
      <c r="P738" s="11"/>
    </row>
    <row r="739" spans="16:16" ht="15.75" customHeight="1" x14ac:dyDescent="0.3">
      <c r="P739" s="11"/>
    </row>
    <row r="740" spans="16:16" ht="15.75" customHeight="1" x14ac:dyDescent="0.3">
      <c r="P740" s="11"/>
    </row>
    <row r="741" spans="16:16" ht="15.75" customHeight="1" x14ac:dyDescent="0.3">
      <c r="P741" s="11"/>
    </row>
    <row r="742" spans="16:16" ht="15.75" customHeight="1" x14ac:dyDescent="0.3">
      <c r="P742" s="11"/>
    </row>
    <row r="743" spans="16:16" ht="15.75" customHeight="1" x14ac:dyDescent="0.3">
      <c r="P743" s="11"/>
    </row>
    <row r="744" spans="16:16" ht="15.75" customHeight="1" x14ac:dyDescent="0.3">
      <c r="P744" s="11"/>
    </row>
    <row r="745" spans="16:16" ht="15.75" customHeight="1" x14ac:dyDescent="0.3">
      <c r="P745" s="11"/>
    </row>
    <row r="746" spans="16:16" ht="15.75" customHeight="1" x14ac:dyDescent="0.3">
      <c r="P746" s="11"/>
    </row>
    <row r="747" spans="16:16" ht="15.75" customHeight="1" x14ac:dyDescent="0.3">
      <c r="P747" s="11"/>
    </row>
    <row r="748" spans="16:16" ht="15.75" customHeight="1" x14ac:dyDescent="0.3">
      <c r="P748" s="11"/>
    </row>
    <row r="749" spans="16:16" ht="15.75" customHeight="1" x14ac:dyDescent="0.3">
      <c r="P749" s="11"/>
    </row>
    <row r="750" spans="16:16" ht="15.75" customHeight="1" x14ac:dyDescent="0.3">
      <c r="P750" s="11"/>
    </row>
    <row r="751" spans="16:16" ht="15.75" customHeight="1" x14ac:dyDescent="0.3">
      <c r="P751" s="11"/>
    </row>
    <row r="752" spans="16:16" ht="15.75" customHeight="1" x14ac:dyDescent="0.3">
      <c r="P752" s="11"/>
    </row>
    <row r="753" spans="16:16" ht="15.75" customHeight="1" x14ac:dyDescent="0.3">
      <c r="P753" s="11"/>
    </row>
    <row r="754" spans="16:16" ht="15.75" customHeight="1" x14ac:dyDescent="0.3">
      <c r="P754" s="11"/>
    </row>
    <row r="755" spans="16:16" ht="15.75" customHeight="1" x14ac:dyDescent="0.3">
      <c r="P755" s="11"/>
    </row>
    <row r="756" spans="16:16" ht="15.75" customHeight="1" x14ac:dyDescent="0.3">
      <c r="P756" s="11"/>
    </row>
    <row r="757" spans="16:16" ht="15.75" customHeight="1" x14ac:dyDescent="0.3">
      <c r="P757" s="11"/>
    </row>
    <row r="758" spans="16:16" ht="15.75" customHeight="1" x14ac:dyDescent="0.3">
      <c r="P758" s="11"/>
    </row>
    <row r="759" spans="16:16" ht="15.75" customHeight="1" x14ac:dyDescent="0.3">
      <c r="P759" s="11"/>
    </row>
    <row r="760" spans="16:16" ht="15.75" customHeight="1" x14ac:dyDescent="0.3">
      <c r="P760" s="11"/>
    </row>
    <row r="761" spans="16:16" ht="15.75" customHeight="1" x14ac:dyDescent="0.3">
      <c r="P761" s="11"/>
    </row>
    <row r="762" spans="16:16" ht="15.75" customHeight="1" x14ac:dyDescent="0.3">
      <c r="P762" s="11"/>
    </row>
    <row r="763" spans="16:16" ht="15.75" customHeight="1" x14ac:dyDescent="0.3">
      <c r="P763" s="11"/>
    </row>
    <row r="764" spans="16:16" ht="15.75" customHeight="1" x14ac:dyDescent="0.3">
      <c r="P764" s="11"/>
    </row>
    <row r="765" spans="16:16" ht="15.75" customHeight="1" x14ac:dyDescent="0.3">
      <c r="P765" s="11"/>
    </row>
    <row r="766" spans="16:16" ht="15.75" customHeight="1" x14ac:dyDescent="0.3">
      <c r="P766" s="11"/>
    </row>
    <row r="767" spans="16:16" ht="15.75" customHeight="1" x14ac:dyDescent="0.3">
      <c r="P767" s="11"/>
    </row>
    <row r="768" spans="16:16" ht="15.75" customHeight="1" x14ac:dyDescent="0.3">
      <c r="P768" s="11"/>
    </row>
    <row r="769" spans="16:16" ht="15.75" customHeight="1" x14ac:dyDescent="0.3">
      <c r="P769" s="11"/>
    </row>
    <row r="770" spans="16:16" ht="15.75" customHeight="1" x14ac:dyDescent="0.3">
      <c r="P770" s="11"/>
    </row>
    <row r="771" spans="16:16" ht="15.75" customHeight="1" x14ac:dyDescent="0.3">
      <c r="P771" s="11"/>
    </row>
    <row r="772" spans="16:16" ht="15.75" customHeight="1" x14ac:dyDescent="0.3">
      <c r="P772" s="11"/>
    </row>
    <row r="773" spans="16:16" ht="15.75" customHeight="1" x14ac:dyDescent="0.3">
      <c r="P773" s="11"/>
    </row>
    <row r="774" spans="16:16" ht="15.75" customHeight="1" x14ac:dyDescent="0.3">
      <c r="P774" s="11"/>
    </row>
    <row r="775" spans="16:16" ht="15.75" customHeight="1" x14ac:dyDescent="0.3">
      <c r="P775" s="11"/>
    </row>
    <row r="776" spans="16:16" ht="15.75" customHeight="1" x14ac:dyDescent="0.3">
      <c r="P776" s="11"/>
    </row>
    <row r="777" spans="16:16" ht="15.75" customHeight="1" x14ac:dyDescent="0.3">
      <c r="P777" s="11"/>
    </row>
    <row r="778" spans="16:16" ht="15.75" customHeight="1" x14ac:dyDescent="0.3">
      <c r="P778" s="11"/>
    </row>
    <row r="779" spans="16:16" ht="15.75" customHeight="1" x14ac:dyDescent="0.3">
      <c r="P779" s="11"/>
    </row>
    <row r="780" spans="16:16" ht="15.75" customHeight="1" x14ac:dyDescent="0.3">
      <c r="P780" s="11"/>
    </row>
    <row r="781" spans="16:16" ht="15.75" customHeight="1" x14ac:dyDescent="0.3">
      <c r="P781" s="11"/>
    </row>
    <row r="782" spans="16:16" ht="15.75" customHeight="1" x14ac:dyDescent="0.3">
      <c r="P782" s="11"/>
    </row>
    <row r="783" spans="16:16" ht="15.75" customHeight="1" x14ac:dyDescent="0.3">
      <c r="P783" s="11"/>
    </row>
    <row r="784" spans="16:16" ht="15.75" customHeight="1" x14ac:dyDescent="0.3">
      <c r="P784" s="11"/>
    </row>
    <row r="785" spans="16:16" ht="15.75" customHeight="1" x14ac:dyDescent="0.3">
      <c r="P785" s="11"/>
    </row>
    <row r="786" spans="16:16" ht="15.75" customHeight="1" x14ac:dyDescent="0.3">
      <c r="P786" s="11"/>
    </row>
    <row r="787" spans="16:16" ht="15.75" customHeight="1" x14ac:dyDescent="0.3">
      <c r="P787" s="11"/>
    </row>
    <row r="788" spans="16:16" ht="15.75" customHeight="1" x14ac:dyDescent="0.3">
      <c r="P788" s="11"/>
    </row>
    <row r="789" spans="16:16" ht="15.75" customHeight="1" x14ac:dyDescent="0.3">
      <c r="P789" s="11"/>
    </row>
    <row r="790" spans="16:16" ht="15.75" customHeight="1" x14ac:dyDescent="0.3">
      <c r="P790" s="11"/>
    </row>
    <row r="791" spans="16:16" ht="15.75" customHeight="1" x14ac:dyDescent="0.3">
      <c r="P791" s="11"/>
    </row>
    <row r="792" spans="16:16" ht="15.75" customHeight="1" x14ac:dyDescent="0.3">
      <c r="P792" s="11"/>
    </row>
    <row r="793" spans="16:16" ht="15.75" customHeight="1" x14ac:dyDescent="0.3">
      <c r="P793" s="11"/>
    </row>
    <row r="794" spans="16:16" ht="15.75" customHeight="1" x14ac:dyDescent="0.3">
      <c r="P794" s="11"/>
    </row>
    <row r="795" spans="16:16" ht="15.75" customHeight="1" x14ac:dyDescent="0.3">
      <c r="P795" s="11"/>
    </row>
    <row r="796" spans="16:16" ht="15.75" customHeight="1" x14ac:dyDescent="0.3">
      <c r="P796" s="11"/>
    </row>
    <row r="797" spans="16:16" ht="15.75" customHeight="1" x14ac:dyDescent="0.3">
      <c r="P797" s="11"/>
    </row>
    <row r="798" spans="16:16" ht="15.75" customHeight="1" x14ac:dyDescent="0.3">
      <c r="P798" s="11"/>
    </row>
    <row r="799" spans="16:16" ht="15.75" customHeight="1" x14ac:dyDescent="0.3">
      <c r="P799" s="11"/>
    </row>
    <row r="800" spans="16:16" ht="15.75" customHeight="1" x14ac:dyDescent="0.3">
      <c r="P800" s="11"/>
    </row>
    <row r="801" spans="16:16" ht="15.75" customHeight="1" x14ac:dyDescent="0.3">
      <c r="P801" s="11"/>
    </row>
    <row r="802" spans="16:16" ht="15.75" customHeight="1" x14ac:dyDescent="0.3">
      <c r="P802" s="11"/>
    </row>
    <row r="803" spans="16:16" ht="15.75" customHeight="1" x14ac:dyDescent="0.3">
      <c r="P803" s="11"/>
    </row>
    <row r="804" spans="16:16" ht="15.75" customHeight="1" x14ac:dyDescent="0.3">
      <c r="P804" s="11"/>
    </row>
    <row r="805" spans="16:16" ht="15.75" customHeight="1" x14ac:dyDescent="0.3">
      <c r="P805" s="11"/>
    </row>
    <row r="806" spans="16:16" ht="15.75" customHeight="1" x14ac:dyDescent="0.3">
      <c r="P806" s="11"/>
    </row>
    <row r="807" spans="16:16" ht="15.75" customHeight="1" x14ac:dyDescent="0.3">
      <c r="P807" s="11"/>
    </row>
    <row r="808" spans="16:16" ht="15.75" customHeight="1" x14ac:dyDescent="0.3">
      <c r="P808" s="11"/>
    </row>
    <row r="809" spans="16:16" ht="15.75" customHeight="1" x14ac:dyDescent="0.3">
      <c r="P809" s="11"/>
    </row>
    <row r="810" spans="16:16" ht="15.75" customHeight="1" x14ac:dyDescent="0.3">
      <c r="P810" s="11"/>
    </row>
    <row r="811" spans="16:16" ht="15.75" customHeight="1" x14ac:dyDescent="0.3">
      <c r="P811" s="11"/>
    </row>
    <row r="812" spans="16:16" ht="15.75" customHeight="1" x14ac:dyDescent="0.3">
      <c r="P812" s="11"/>
    </row>
    <row r="813" spans="16:16" ht="15.75" customHeight="1" x14ac:dyDescent="0.3">
      <c r="P813" s="11"/>
    </row>
    <row r="814" spans="16:16" ht="15.75" customHeight="1" x14ac:dyDescent="0.3">
      <c r="P814" s="11"/>
    </row>
    <row r="815" spans="16:16" ht="15.75" customHeight="1" x14ac:dyDescent="0.3">
      <c r="P815" s="11"/>
    </row>
    <row r="816" spans="16:16" ht="15.75" customHeight="1" x14ac:dyDescent="0.3">
      <c r="P816" s="11"/>
    </row>
    <row r="817" spans="16:16" ht="15.75" customHeight="1" x14ac:dyDescent="0.3">
      <c r="P817" s="11"/>
    </row>
    <row r="818" spans="16:16" ht="15.75" customHeight="1" x14ac:dyDescent="0.3">
      <c r="P818" s="11"/>
    </row>
    <row r="819" spans="16:16" ht="15.75" customHeight="1" x14ac:dyDescent="0.3">
      <c r="P819" s="11"/>
    </row>
    <row r="820" spans="16:16" ht="15.75" customHeight="1" x14ac:dyDescent="0.3">
      <c r="P820" s="11"/>
    </row>
    <row r="821" spans="16:16" ht="15.75" customHeight="1" x14ac:dyDescent="0.3">
      <c r="P821" s="11"/>
    </row>
    <row r="822" spans="16:16" ht="15.75" customHeight="1" x14ac:dyDescent="0.3">
      <c r="P822" s="11"/>
    </row>
    <row r="823" spans="16:16" ht="15.75" customHeight="1" x14ac:dyDescent="0.3">
      <c r="P823" s="11"/>
    </row>
    <row r="824" spans="16:16" ht="15.75" customHeight="1" x14ac:dyDescent="0.3">
      <c r="P824" s="11"/>
    </row>
    <row r="825" spans="16:16" ht="15.75" customHeight="1" x14ac:dyDescent="0.3">
      <c r="P825" s="11"/>
    </row>
    <row r="826" spans="16:16" ht="15.75" customHeight="1" x14ac:dyDescent="0.3">
      <c r="P826" s="11"/>
    </row>
    <row r="827" spans="16:16" ht="15.75" customHeight="1" x14ac:dyDescent="0.3">
      <c r="P827" s="11"/>
    </row>
    <row r="828" spans="16:16" ht="15.75" customHeight="1" x14ac:dyDescent="0.3">
      <c r="P828" s="11"/>
    </row>
    <row r="829" spans="16:16" ht="15.75" customHeight="1" x14ac:dyDescent="0.3">
      <c r="P829" s="11"/>
    </row>
    <row r="830" spans="16:16" ht="15.75" customHeight="1" x14ac:dyDescent="0.3">
      <c r="P830" s="11"/>
    </row>
    <row r="831" spans="16:16" ht="15.75" customHeight="1" x14ac:dyDescent="0.3">
      <c r="P831" s="11"/>
    </row>
    <row r="832" spans="16:16" ht="15.75" customHeight="1" x14ac:dyDescent="0.3">
      <c r="P832" s="11"/>
    </row>
    <row r="833" spans="16:16" ht="15.75" customHeight="1" x14ac:dyDescent="0.3">
      <c r="P833" s="11"/>
    </row>
    <row r="834" spans="16:16" ht="15.75" customHeight="1" x14ac:dyDescent="0.3">
      <c r="P834" s="11"/>
    </row>
    <row r="835" spans="16:16" ht="15.75" customHeight="1" x14ac:dyDescent="0.3">
      <c r="P835" s="11"/>
    </row>
    <row r="836" spans="16:16" ht="15.75" customHeight="1" x14ac:dyDescent="0.3">
      <c r="P836" s="11"/>
    </row>
    <row r="837" spans="16:16" ht="15.75" customHeight="1" x14ac:dyDescent="0.3">
      <c r="P837" s="11"/>
    </row>
    <row r="838" spans="16:16" ht="15.75" customHeight="1" x14ac:dyDescent="0.3">
      <c r="P838" s="11"/>
    </row>
    <row r="839" spans="16:16" ht="15.75" customHeight="1" x14ac:dyDescent="0.3">
      <c r="P839" s="11"/>
    </row>
    <row r="840" spans="16:16" ht="15.75" customHeight="1" x14ac:dyDescent="0.3">
      <c r="P840" s="11"/>
    </row>
    <row r="841" spans="16:16" ht="15.75" customHeight="1" x14ac:dyDescent="0.3">
      <c r="P841" s="11"/>
    </row>
    <row r="842" spans="16:16" ht="15.75" customHeight="1" x14ac:dyDescent="0.3">
      <c r="P842" s="11"/>
    </row>
    <row r="843" spans="16:16" ht="15.75" customHeight="1" x14ac:dyDescent="0.3">
      <c r="P843" s="11"/>
    </row>
    <row r="844" spans="16:16" ht="15.75" customHeight="1" x14ac:dyDescent="0.3">
      <c r="P844" s="11"/>
    </row>
    <row r="845" spans="16:16" ht="15.75" customHeight="1" x14ac:dyDescent="0.3">
      <c r="P845" s="11"/>
    </row>
    <row r="846" spans="16:16" ht="15.75" customHeight="1" x14ac:dyDescent="0.3">
      <c r="P846" s="11"/>
    </row>
    <row r="847" spans="16:16" ht="15.75" customHeight="1" x14ac:dyDescent="0.3">
      <c r="P847" s="11"/>
    </row>
    <row r="848" spans="16:16" ht="15.75" customHeight="1" x14ac:dyDescent="0.3">
      <c r="P848" s="11"/>
    </row>
    <row r="849" spans="16:16" ht="15.75" customHeight="1" x14ac:dyDescent="0.3">
      <c r="P849" s="11"/>
    </row>
    <row r="850" spans="16:16" ht="15.75" customHeight="1" x14ac:dyDescent="0.3">
      <c r="P850" s="11"/>
    </row>
    <row r="851" spans="16:16" ht="15.75" customHeight="1" x14ac:dyDescent="0.3">
      <c r="P851" s="11"/>
    </row>
    <row r="852" spans="16:16" ht="15.75" customHeight="1" x14ac:dyDescent="0.3">
      <c r="P852" s="11"/>
    </row>
    <row r="853" spans="16:16" ht="15.75" customHeight="1" x14ac:dyDescent="0.3">
      <c r="P853" s="11"/>
    </row>
    <row r="854" spans="16:16" ht="15.75" customHeight="1" x14ac:dyDescent="0.3">
      <c r="P854" s="11"/>
    </row>
    <row r="855" spans="16:16" ht="15.75" customHeight="1" x14ac:dyDescent="0.3">
      <c r="P855" s="11"/>
    </row>
    <row r="856" spans="16:16" ht="15.75" customHeight="1" x14ac:dyDescent="0.3">
      <c r="P856" s="11"/>
    </row>
    <row r="857" spans="16:16" ht="15.75" customHeight="1" x14ac:dyDescent="0.3">
      <c r="P857" s="11"/>
    </row>
    <row r="858" spans="16:16" ht="15.75" customHeight="1" x14ac:dyDescent="0.3">
      <c r="P858" s="11"/>
    </row>
    <row r="859" spans="16:16" ht="15.75" customHeight="1" x14ac:dyDescent="0.3">
      <c r="P859" s="11"/>
    </row>
    <row r="860" spans="16:16" ht="15.75" customHeight="1" x14ac:dyDescent="0.3">
      <c r="P860" s="11"/>
    </row>
    <row r="861" spans="16:16" ht="15.75" customHeight="1" x14ac:dyDescent="0.3">
      <c r="P861" s="11"/>
    </row>
    <row r="862" spans="16:16" ht="15.75" customHeight="1" x14ac:dyDescent="0.3">
      <c r="P862" s="11"/>
    </row>
    <row r="863" spans="16:16" ht="15.75" customHeight="1" x14ac:dyDescent="0.3">
      <c r="P863" s="11"/>
    </row>
    <row r="864" spans="16:16" ht="15.75" customHeight="1" x14ac:dyDescent="0.3">
      <c r="P864" s="11"/>
    </row>
    <row r="865" spans="16:16" ht="15.75" customHeight="1" x14ac:dyDescent="0.3">
      <c r="P865" s="11"/>
    </row>
    <row r="866" spans="16:16" ht="15.75" customHeight="1" x14ac:dyDescent="0.3">
      <c r="P866" s="11"/>
    </row>
    <row r="867" spans="16:16" ht="15.75" customHeight="1" x14ac:dyDescent="0.3">
      <c r="P867" s="11"/>
    </row>
    <row r="868" spans="16:16" ht="15.75" customHeight="1" x14ac:dyDescent="0.3">
      <c r="P868" s="11"/>
    </row>
    <row r="869" spans="16:16" ht="15.75" customHeight="1" x14ac:dyDescent="0.3">
      <c r="P869" s="11"/>
    </row>
    <row r="870" spans="16:16" ht="15.75" customHeight="1" x14ac:dyDescent="0.3">
      <c r="P870" s="11"/>
    </row>
    <row r="871" spans="16:16" ht="15.75" customHeight="1" x14ac:dyDescent="0.3">
      <c r="P871" s="11"/>
    </row>
    <row r="872" spans="16:16" ht="15.75" customHeight="1" x14ac:dyDescent="0.3">
      <c r="P872" s="11"/>
    </row>
    <row r="873" spans="16:16" ht="15.75" customHeight="1" x14ac:dyDescent="0.3">
      <c r="P873" s="11"/>
    </row>
    <row r="874" spans="16:16" ht="15.75" customHeight="1" x14ac:dyDescent="0.3">
      <c r="P874" s="11"/>
    </row>
    <row r="875" spans="16:16" ht="15.75" customHeight="1" x14ac:dyDescent="0.3">
      <c r="P875" s="11"/>
    </row>
    <row r="876" spans="16:16" ht="15.75" customHeight="1" x14ac:dyDescent="0.3">
      <c r="P876" s="11"/>
    </row>
    <row r="877" spans="16:16" ht="15.75" customHeight="1" x14ac:dyDescent="0.3">
      <c r="P877" s="11"/>
    </row>
    <row r="878" spans="16:16" ht="15.75" customHeight="1" x14ac:dyDescent="0.3">
      <c r="P878" s="11"/>
    </row>
    <row r="879" spans="16:16" ht="15.75" customHeight="1" x14ac:dyDescent="0.3">
      <c r="P879" s="11"/>
    </row>
    <row r="880" spans="16:16" ht="15.75" customHeight="1" x14ac:dyDescent="0.3">
      <c r="P880" s="11"/>
    </row>
    <row r="881" spans="16:16" ht="15.75" customHeight="1" x14ac:dyDescent="0.3">
      <c r="P881" s="11"/>
    </row>
    <row r="882" spans="16:16" ht="15.75" customHeight="1" x14ac:dyDescent="0.3">
      <c r="P882" s="11"/>
    </row>
    <row r="883" spans="16:16" ht="15.75" customHeight="1" x14ac:dyDescent="0.3">
      <c r="P883" s="11"/>
    </row>
    <row r="884" spans="16:16" ht="15.75" customHeight="1" x14ac:dyDescent="0.3">
      <c r="P884" s="11"/>
    </row>
    <row r="885" spans="16:16" ht="15.75" customHeight="1" x14ac:dyDescent="0.3">
      <c r="P885" s="11"/>
    </row>
    <row r="886" spans="16:16" ht="15.75" customHeight="1" x14ac:dyDescent="0.3">
      <c r="P886" s="11"/>
    </row>
    <row r="887" spans="16:16" ht="15.75" customHeight="1" x14ac:dyDescent="0.3">
      <c r="P887" s="11"/>
    </row>
    <row r="888" spans="16:16" ht="15.75" customHeight="1" x14ac:dyDescent="0.3">
      <c r="P888" s="11"/>
    </row>
    <row r="889" spans="16:16" ht="15.75" customHeight="1" x14ac:dyDescent="0.3">
      <c r="P889" s="11"/>
    </row>
    <row r="890" spans="16:16" ht="15.75" customHeight="1" x14ac:dyDescent="0.3">
      <c r="P890" s="11"/>
    </row>
    <row r="891" spans="16:16" ht="15.75" customHeight="1" x14ac:dyDescent="0.3">
      <c r="P891" s="11"/>
    </row>
    <row r="892" spans="16:16" ht="15.75" customHeight="1" x14ac:dyDescent="0.3">
      <c r="P892" s="11"/>
    </row>
    <row r="893" spans="16:16" ht="15.75" customHeight="1" x14ac:dyDescent="0.3">
      <c r="P893" s="11"/>
    </row>
    <row r="894" spans="16:16" ht="15.75" customHeight="1" x14ac:dyDescent="0.3">
      <c r="P894" s="11"/>
    </row>
    <row r="895" spans="16:16" ht="15.75" customHeight="1" x14ac:dyDescent="0.3">
      <c r="P895" s="11"/>
    </row>
    <row r="896" spans="16:16" ht="15.75" customHeight="1" x14ac:dyDescent="0.3">
      <c r="P896" s="11"/>
    </row>
    <row r="897" spans="16:16" ht="15.75" customHeight="1" x14ac:dyDescent="0.3">
      <c r="P897" s="11"/>
    </row>
    <row r="898" spans="16:16" ht="15.75" customHeight="1" x14ac:dyDescent="0.3">
      <c r="P898" s="11"/>
    </row>
    <row r="899" spans="16:16" ht="15.75" customHeight="1" x14ac:dyDescent="0.3">
      <c r="P899" s="11"/>
    </row>
    <row r="900" spans="16:16" ht="15.75" customHeight="1" x14ac:dyDescent="0.3">
      <c r="P900" s="11"/>
    </row>
    <row r="901" spans="16:16" ht="15.75" customHeight="1" x14ac:dyDescent="0.3">
      <c r="P901" s="11"/>
    </row>
    <row r="902" spans="16:16" ht="15.75" customHeight="1" x14ac:dyDescent="0.3">
      <c r="P902" s="11"/>
    </row>
    <row r="903" spans="16:16" ht="15.75" customHeight="1" x14ac:dyDescent="0.3">
      <c r="P903" s="11"/>
    </row>
    <row r="904" spans="16:16" ht="15.75" customHeight="1" x14ac:dyDescent="0.3">
      <c r="P904" s="11"/>
    </row>
    <row r="905" spans="16:16" ht="15.75" customHeight="1" x14ac:dyDescent="0.3">
      <c r="P905" s="11"/>
    </row>
    <row r="906" spans="16:16" ht="15.75" customHeight="1" x14ac:dyDescent="0.3">
      <c r="P906" s="11"/>
    </row>
    <row r="907" spans="16:16" ht="15.75" customHeight="1" x14ac:dyDescent="0.3">
      <c r="P907" s="11"/>
    </row>
    <row r="908" spans="16:16" ht="15.75" customHeight="1" x14ac:dyDescent="0.3">
      <c r="P908" s="11"/>
    </row>
    <row r="909" spans="16:16" ht="15.75" customHeight="1" x14ac:dyDescent="0.3">
      <c r="P909" s="11"/>
    </row>
    <row r="910" spans="16:16" ht="15.75" customHeight="1" x14ac:dyDescent="0.3">
      <c r="P910" s="11"/>
    </row>
    <row r="911" spans="16:16" ht="15.75" customHeight="1" x14ac:dyDescent="0.3">
      <c r="P911" s="11"/>
    </row>
    <row r="912" spans="16:16" ht="15.75" customHeight="1" x14ac:dyDescent="0.3">
      <c r="P912" s="11"/>
    </row>
    <row r="913" spans="16:16" ht="15.75" customHeight="1" x14ac:dyDescent="0.3">
      <c r="P913" s="11"/>
    </row>
    <row r="914" spans="16:16" ht="15.75" customHeight="1" x14ac:dyDescent="0.3">
      <c r="P914" s="11"/>
    </row>
    <row r="915" spans="16:16" ht="15.75" customHeight="1" x14ac:dyDescent="0.3">
      <c r="P915" s="11"/>
    </row>
    <row r="916" spans="16:16" ht="15.75" customHeight="1" x14ac:dyDescent="0.3">
      <c r="P916" s="11"/>
    </row>
    <row r="917" spans="16:16" ht="15.75" customHeight="1" x14ac:dyDescent="0.3">
      <c r="P917" s="11"/>
    </row>
    <row r="918" spans="16:16" ht="15.75" customHeight="1" x14ac:dyDescent="0.3">
      <c r="P918" s="11"/>
    </row>
    <row r="919" spans="16:16" ht="15.75" customHeight="1" x14ac:dyDescent="0.3">
      <c r="P919" s="11"/>
    </row>
    <row r="920" spans="16:16" ht="15.75" customHeight="1" x14ac:dyDescent="0.3">
      <c r="P920" s="11"/>
    </row>
    <row r="921" spans="16:16" ht="15.75" customHeight="1" x14ac:dyDescent="0.3">
      <c r="P921" s="11"/>
    </row>
    <row r="922" spans="16:16" ht="15.75" customHeight="1" x14ac:dyDescent="0.3">
      <c r="P922" s="11"/>
    </row>
    <row r="923" spans="16:16" ht="15.75" customHeight="1" x14ac:dyDescent="0.3">
      <c r="P923" s="11"/>
    </row>
    <row r="924" spans="16:16" ht="15.75" customHeight="1" x14ac:dyDescent="0.3">
      <c r="P924" s="11"/>
    </row>
    <row r="925" spans="16:16" ht="15.75" customHeight="1" x14ac:dyDescent="0.3">
      <c r="P925" s="11"/>
    </row>
    <row r="926" spans="16:16" ht="15.75" customHeight="1" x14ac:dyDescent="0.3">
      <c r="P926" s="11"/>
    </row>
    <row r="927" spans="16:16" ht="15.75" customHeight="1" x14ac:dyDescent="0.3">
      <c r="P927" s="11"/>
    </row>
    <row r="928" spans="16:16" ht="15.75" customHeight="1" x14ac:dyDescent="0.3">
      <c r="P928" s="11"/>
    </row>
    <row r="929" spans="16:16" ht="15.75" customHeight="1" x14ac:dyDescent="0.3">
      <c r="P929" s="11"/>
    </row>
    <row r="930" spans="16:16" ht="15.75" customHeight="1" x14ac:dyDescent="0.3">
      <c r="P930" s="11"/>
    </row>
    <row r="931" spans="16:16" ht="15.75" customHeight="1" x14ac:dyDescent="0.3">
      <c r="P931" s="11"/>
    </row>
    <row r="932" spans="16:16" ht="15.75" customHeight="1" x14ac:dyDescent="0.3">
      <c r="P932" s="11"/>
    </row>
    <row r="933" spans="16:16" ht="15.75" customHeight="1" x14ac:dyDescent="0.3">
      <c r="P933" s="11"/>
    </row>
    <row r="934" spans="16:16" ht="15.75" customHeight="1" x14ac:dyDescent="0.3">
      <c r="P934" s="11"/>
    </row>
    <row r="935" spans="16:16" ht="15.75" customHeight="1" x14ac:dyDescent="0.3">
      <c r="P935" s="11"/>
    </row>
    <row r="936" spans="16:16" ht="15.75" customHeight="1" x14ac:dyDescent="0.3">
      <c r="P936" s="11"/>
    </row>
    <row r="937" spans="16:16" ht="15.75" customHeight="1" x14ac:dyDescent="0.3">
      <c r="P937" s="11"/>
    </row>
    <row r="938" spans="16:16" ht="15.75" customHeight="1" x14ac:dyDescent="0.3">
      <c r="P938" s="11"/>
    </row>
    <row r="939" spans="16:16" ht="15.75" customHeight="1" x14ac:dyDescent="0.3">
      <c r="P939" s="11"/>
    </row>
    <row r="940" spans="16:16" ht="15.75" customHeight="1" x14ac:dyDescent="0.3">
      <c r="P940" s="11"/>
    </row>
    <row r="941" spans="16:16" ht="15.75" customHeight="1" x14ac:dyDescent="0.3">
      <c r="P941" s="11"/>
    </row>
    <row r="942" spans="16:16" ht="15.75" customHeight="1" x14ac:dyDescent="0.3">
      <c r="P942" s="11"/>
    </row>
    <row r="943" spans="16:16" ht="15.75" customHeight="1" x14ac:dyDescent="0.3">
      <c r="P943" s="11"/>
    </row>
    <row r="944" spans="16:16" ht="15.75" customHeight="1" x14ac:dyDescent="0.3">
      <c r="P944" s="11"/>
    </row>
    <row r="945" spans="16:16" ht="15.75" customHeight="1" x14ac:dyDescent="0.3">
      <c r="P945" s="11"/>
    </row>
    <row r="946" spans="16:16" ht="15.75" customHeight="1" x14ac:dyDescent="0.3">
      <c r="P946" s="11"/>
    </row>
    <row r="947" spans="16:16" ht="15.75" customHeight="1" x14ac:dyDescent="0.3">
      <c r="P947" s="11"/>
    </row>
    <row r="948" spans="16:16" ht="15.75" customHeight="1" x14ac:dyDescent="0.3">
      <c r="P948" s="11"/>
    </row>
    <row r="949" spans="16:16" ht="15.75" customHeight="1" x14ac:dyDescent="0.3">
      <c r="P949" s="11"/>
    </row>
    <row r="950" spans="16:16" ht="15.75" customHeight="1" x14ac:dyDescent="0.3">
      <c r="P950" s="11"/>
    </row>
    <row r="951" spans="16:16" ht="15.75" customHeight="1" x14ac:dyDescent="0.3">
      <c r="P951" s="11"/>
    </row>
    <row r="952" spans="16:16" ht="15.75" customHeight="1" x14ac:dyDescent="0.3">
      <c r="P952" s="11"/>
    </row>
    <row r="953" spans="16:16" ht="15.75" customHeight="1" x14ac:dyDescent="0.3">
      <c r="P953" s="11"/>
    </row>
    <row r="954" spans="16:16" ht="15.75" customHeight="1" x14ac:dyDescent="0.3">
      <c r="P954" s="11"/>
    </row>
    <row r="955" spans="16:16" ht="15.75" customHeight="1" x14ac:dyDescent="0.3">
      <c r="P955" s="11"/>
    </row>
    <row r="956" spans="16:16" ht="15.75" customHeight="1" x14ac:dyDescent="0.3">
      <c r="P956" s="11"/>
    </row>
    <row r="957" spans="16:16" ht="15.75" customHeight="1" x14ac:dyDescent="0.3">
      <c r="P957" s="11"/>
    </row>
    <row r="958" spans="16:16" ht="15.75" customHeight="1" x14ac:dyDescent="0.3">
      <c r="P958" s="11"/>
    </row>
    <row r="959" spans="16:16" ht="15.75" customHeight="1" x14ac:dyDescent="0.3">
      <c r="P959" s="11"/>
    </row>
    <row r="960" spans="16:16" ht="15.75" customHeight="1" x14ac:dyDescent="0.3">
      <c r="P960" s="11"/>
    </row>
    <row r="961" spans="16:16" ht="15.75" customHeight="1" x14ac:dyDescent="0.3">
      <c r="P961" s="11"/>
    </row>
    <row r="962" spans="16:16" ht="15.75" customHeight="1" x14ac:dyDescent="0.3">
      <c r="P962" s="11"/>
    </row>
    <row r="963" spans="16:16" ht="15.75" customHeight="1" x14ac:dyDescent="0.3">
      <c r="P963" s="11"/>
    </row>
    <row r="964" spans="16:16" ht="15.75" customHeight="1" x14ac:dyDescent="0.3">
      <c r="P964" s="11"/>
    </row>
    <row r="965" spans="16:16" ht="15.75" customHeight="1" x14ac:dyDescent="0.3">
      <c r="P965" s="11"/>
    </row>
    <row r="966" spans="16:16" ht="15.75" customHeight="1" x14ac:dyDescent="0.3">
      <c r="P966" s="11"/>
    </row>
    <row r="967" spans="16:16" ht="15.75" customHeight="1" x14ac:dyDescent="0.3">
      <c r="P967" s="11"/>
    </row>
    <row r="968" spans="16:16" ht="15.75" customHeight="1" x14ac:dyDescent="0.3">
      <c r="P968" s="11"/>
    </row>
    <row r="969" spans="16:16" ht="15.75" customHeight="1" x14ac:dyDescent="0.3">
      <c r="P969" s="11"/>
    </row>
    <row r="970" spans="16:16" ht="15.75" customHeight="1" x14ac:dyDescent="0.3">
      <c r="P970" s="11"/>
    </row>
    <row r="971" spans="16:16" ht="15.75" customHeight="1" x14ac:dyDescent="0.3">
      <c r="P971" s="11"/>
    </row>
    <row r="972" spans="16:16" ht="15.75" customHeight="1" x14ac:dyDescent="0.3">
      <c r="P972" s="11"/>
    </row>
    <row r="973" spans="16:16" ht="15.75" customHeight="1" x14ac:dyDescent="0.3">
      <c r="P973" s="11"/>
    </row>
    <row r="974" spans="16:16" ht="15.75" customHeight="1" x14ac:dyDescent="0.3">
      <c r="P974" s="11"/>
    </row>
    <row r="975" spans="16:16" ht="15.75" customHeight="1" x14ac:dyDescent="0.3">
      <c r="P975" s="11"/>
    </row>
    <row r="976" spans="16:16" ht="15.75" customHeight="1" x14ac:dyDescent="0.3">
      <c r="P976" s="11"/>
    </row>
    <row r="977" spans="16:16" ht="15.75" customHeight="1" x14ac:dyDescent="0.3">
      <c r="P977" s="11"/>
    </row>
    <row r="978" spans="16:16" ht="15.75" customHeight="1" x14ac:dyDescent="0.3">
      <c r="P978" s="11"/>
    </row>
    <row r="979" spans="16:16" ht="15.75" customHeight="1" x14ac:dyDescent="0.3">
      <c r="P979" s="11"/>
    </row>
    <row r="980" spans="16:16" ht="15.75" customHeight="1" x14ac:dyDescent="0.3">
      <c r="P980" s="11"/>
    </row>
    <row r="981" spans="16:16" ht="15.75" customHeight="1" x14ac:dyDescent="0.3">
      <c r="P981" s="11"/>
    </row>
    <row r="982" spans="16:16" ht="15.75" customHeight="1" x14ac:dyDescent="0.3">
      <c r="P982" s="11"/>
    </row>
    <row r="983" spans="16:16" ht="15.75" customHeight="1" x14ac:dyDescent="0.3">
      <c r="P983" s="11"/>
    </row>
    <row r="984" spans="16:16" ht="15.75" customHeight="1" x14ac:dyDescent="0.3">
      <c r="P984" s="11"/>
    </row>
    <row r="985" spans="16:16" ht="15.75" customHeight="1" x14ac:dyDescent="0.3">
      <c r="P985" s="11"/>
    </row>
    <row r="986" spans="16:16" ht="15.75" customHeight="1" x14ac:dyDescent="0.3">
      <c r="P986" s="11"/>
    </row>
    <row r="987" spans="16:16" ht="15.75" customHeight="1" x14ac:dyDescent="0.3">
      <c r="P987" s="11"/>
    </row>
    <row r="988" spans="16:16" ht="15.75" customHeight="1" x14ac:dyDescent="0.3">
      <c r="P988" s="11"/>
    </row>
    <row r="989" spans="16:16" ht="15.75" customHeight="1" x14ac:dyDescent="0.3">
      <c r="P989" s="11"/>
    </row>
    <row r="990" spans="16:16" ht="15.75" customHeight="1" x14ac:dyDescent="0.3">
      <c r="P990" s="11"/>
    </row>
    <row r="991" spans="16:16" ht="15.75" customHeight="1" x14ac:dyDescent="0.3">
      <c r="P991" s="11"/>
    </row>
    <row r="992" spans="16:16" ht="15.75" customHeight="1" x14ac:dyDescent="0.3">
      <c r="P992" s="11"/>
    </row>
    <row r="993" spans="16:16" ht="15.75" customHeight="1" x14ac:dyDescent="0.3">
      <c r="P993" s="11"/>
    </row>
    <row r="994" spans="16:16" ht="15.75" customHeight="1" x14ac:dyDescent="0.3">
      <c r="P994" s="11"/>
    </row>
    <row r="995" spans="16:16" ht="15.75" customHeight="1" x14ac:dyDescent="0.3">
      <c r="P995" s="11"/>
    </row>
    <row r="996" spans="16:16" ht="15.75" customHeight="1" x14ac:dyDescent="0.3">
      <c r="P996" s="11"/>
    </row>
    <row r="997" spans="16:16" ht="15.75" customHeight="1" x14ac:dyDescent="0.3">
      <c r="P997" s="11"/>
    </row>
    <row r="998" spans="16:16" ht="15.75" customHeight="1" x14ac:dyDescent="0.3">
      <c r="P998" s="11"/>
    </row>
    <row r="999" spans="16:16" ht="15.75" customHeight="1" x14ac:dyDescent="0.3">
      <c r="P999" s="11"/>
    </row>
    <row r="1000" spans="16:16" ht="15.75" customHeight="1" x14ac:dyDescent="0.3">
      <c r="P1000" s="11"/>
    </row>
  </sheetData>
  <mergeCells count="6">
    <mergeCell ref="A33:C33"/>
    <mergeCell ref="A1:C1"/>
    <mergeCell ref="E5:G5"/>
    <mergeCell ref="A9:C9"/>
    <mergeCell ref="A21:C21"/>
    <mergeCell ref="A28:C28"/>
  </mergeCells>
  <hyperlinks>
    <hyperlink ref="E6" r:id="rId1" xr:uid="{00000000-0004-0000-0100-000000000000}"/>
    <hyperlink ref="E8" r:id="rId2" display="GM Financial" xr:uid="{00000000-0004-0000-0100-000001000000}"/>
    <hyperlink ref="A10" r:id="rId3" xr:uid="{00000000-0004-0000-0100-000002000000}"/>
    <hyperlink ref="A11" r:id="rId4" xr:uid="{00000000-0004-0000-0100-000003000000}"/>
    <hyperlink ref="A22" r:id="rId5" xr:uid="{00000000-0004-0000-0100-000004000000}"/>
    <hyperlink ref="A23" r:id="rId6" xr:uid="{00000000-0004-0000-0100-000005000000}"/>
    <hyperlink ref="A24" r:id="rId7" xr:uid="{00000000-0004-0000-0100-000006000000}"/>
    <hyperlink ref="A25" r:id="rId8" xr:uid="{00000000-0004-0000-0100-000007000000}"/>
    <hyperlink ref="A29" r:id="rId9" xr:uid="{00000000-0004-0000-0100-000008000000}"/>
    <hyperlink ref="A30" r:id="rId10" xr:uid="{00000000-0004-0000-0100-000009000000}"/>
    <hyperlink ref="E9" r:id="rId11" display="Wells Fargo - Pool" xr:uid="{447F31EB-DDF6-4407-9696-065E03C7FE91}"/>
    <hyperlink ref="E7" r:id="rId12" display="Lormet" xr:uid="{115BBF13-F01D-41E6-B0EF-46A6ACD8A052}"/>
    <hyperlink ref="E10" r:id="rId13" display="Wells Fargo - Deck" xr:uid="{176CD373-BD22-41C1-83E4-FE88E9626C26}"/>
    <hyperlink ref="E11" r:id="rId14" xr:uid="{BD51C313-7641-4E5E-8F0C-3820B93045B1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000"/>
  <sheetViews>
    <sheetView zoomScale="90" zoomScaleNormal="90" workbookViewId="0">
      <selection activeCell="S18" sqref="S18"/>
    </sheetView>
  </sheetViews>
  <sheetFormatPr defaultColWidth="14.44140625" defaultRowHeight="15" customHeight="1" x14ac:dyDescent="0.3"/>
  <cols>
    <col min="1" max="1" width="12.88671875" customWidth="1"/>
    <col min="2" max="2" width="13.44140625" customWidth="1"/>
    <col min="3" max="3" width="7.6640625" customWidth="1"/>
    <col min="4" max="4" width="13.44140625" customWidth="1"/>
    <col min="5" max="5" width="8.6640625" customWidth="1"/>
    <col min="6" max="6" width="7.33203125" customWidth="1"/>
    <col min="7" max="7" width="25.88671875" customWidth="1"/>
    <col min="8" max="8" width="12.33203125" customWidth="1"/>
    <col min="9" max="9" width="7.6640625" customWidth="1"/>
    <col min="10" max="10" width="12.33203125" customWidth="1"/>
    <col min="11" max="11" width="8.44140625" customWidth="1"/>
    <col min="12" max="12" width="8.6640625" customWidth="1"/>
    <col min="13" max="13" width="28.44140625" customWidth="1"/>
    <col min="14" max="14" width="12.33203125" customWidth="1"/>
    <col min="15" max="15" width="7.6640625" customWidth="1"/>
    <col min="16" max="16" width="12.33203125" customWidth="1"/>
    <col min="17" max="17" width="8.44140625" customWidth="1"/>
    <col min="18" max="18" width="8.6640625" customWidth="1"/>
    <col min="19" max="19" width="22.6640625" customWidth="1"/>
    <col min="20" max="20" width="12.33203125" customWidth="1"/>
    <col min="21" max="21" width="7.6640625" customWidth="1"/>
    <col min="22" max="22" width="12.44140625" customWidth="1"/>
    <col min="23" max="23" width="9.44140625" customWidth="1"/>
  </cols>
  <sheetData>
    <row r="1" spans="1:23" ht="14.4" x14ac:dyDescent="0.3">
      <c r="A1" s="5"/>
      <c r="B1" s="547" t="s">
        <v>36</v>
      </c>
      <c r="C1" s="546"/>
      <c r="D1" s="548" t="s">
        <v>140</v>
      </c>
      <c r="E1" s="542"/>
      <c r="G1" s="96"/>
      <c r="H1" s="545" t="s">
        <v>36</v>
      </c>
      <c r="I1" s="546"/>
      <c r="J1" s="544" t="s">
        <v>140</v>
      </c>
      <c r="K1" s="542"/>
      <c r="M1" s="96"/>
      <c r="N1" s="545" t="s">
        <v>36</v>
      </c>
      <c r="O1" s="546"/>
      <c r="P1" s="544" t="s">
        <v>140</v>
      </c>
      <c r="Q1" s="542"/>
      <c r="S1" s="96"/>
      <c r="T1" s="545" t="s">
        <v>36</v>
      </c>
      <c r="U1" s="546"/>
      <c r="V1" s="544" t="s">
        <v>140</v>
      </c>
      <c r="W1" s="542"/>
    </row>
    <row r="2" spans="1:23" ht="14.4" x14ac:dyDescent="0.3">
      <c r="A2" s="13" t="s">
        <v>141</v>
      </c>
      <c r="B2" s="14">
        <f>SUM(B4:B7)</f>
        <v>204806.20206191996</v>
      </c>
      <c r="C2" s="97"/>
      <c r="D2" s="30">
        <f>SUM(D4:D7)</f>
        <v>68101.94</v>
      </c>
      <c r="E2" s="20"/>
      <c r="G2" s="98" t="s">
        <v>142</v>
      </c>
      <c r="H2" s="99">
        <f>SUM(H4:H24)</f>
        <v>92820</v>
      </c>
      <c r="I2" s="100">
        <f>H2/B2</f>
        <v>0.4532089314948447</v>
      </c>
      <c r="J2" s="101">
        <f>SUM(J4:J24)</f>
        <v>39280.74</v>
      </c>
      <c r="K2" s="102">
        <f>J2/D2</f>
        <v>0.57679326022136812</v>
      </c>
      <c r="M2" s="98" t="s">
        <v>143</v>
      </c>
      <c r="N2" s="99">
        <f>SUM(N4:N20)</f>
        <v>63180</v>
      </c>
      <c r="O2" s="100">
        <f>N2/B2</f>
        <v>0.30848675168976825</v>
      </c>
      <c r="P2" s="101">
        <f>SUM(P4:P20)</f>
        <v>24570.42</v>
      </c>
      <c r="Q2" s="102">
        <f>P2/D2</f>
        <v>0.36078884096400188</v>
      </c>
      <c r="S2" s="98" t="s">
        <v>144</v>
      </c>
      <c r="T2" s="103">
        <f>SUM(T4:T7)</f>
        <v>48806.202061919961</v>
      </c>
      <c r="U2" s="100">
        <f>T2/B2</f>
        <v>0.23830431681538711</v>
      </c>
      <c r="V2" s="104">
        <f>SUM(V4:V7)</f>
        <v>4250.7800000000043</v>
      </c>
      <c r="W2" s="102">
        <f>V2/D2</f>
        <v>6.2417898814630009E-2</v>
      </c>
    </row>
    <row r="3" spans="1:23" ht="14.4" x14ac:dyDescent="0.3">
      <c r="A3" s="13"/>
      <c r="B3" s="14"/>
      <c r="C3" s="97"/>
      <c r="D3" s="30"/>
      <c r="E3" s="20"/>
      <c r="G3" s="105"/>
      <c r="H3" s="106"/>
      <c r="I3" s="107"/>
      <c r="J3" s="108"/>
      <c r="K3" s="109"/>
      <c r="M3" s="105"/>
      <c r="N3" s="106"/>
      <c r="O3" s="107"/>
      <c r="P3" s="108"/>
      <c r="Q3" s="109"/>
      <c r="S3" s="98"/>
      <c r="T3" s="103"/>
      <c r="U3" s="110"/>
      <c r="V3" s="104"/>
      <c r="W3" s="102"/>
    </row>
    <row r="4" spans="1:23" ht="14.4" x14ac:dyDescent="0.3">
      <c r="A4" s="13" t="s">
        <v>145</v>
      </c>
      <c r="B4" s="14">
        <f>'Proposed Budget'!N68</f>
        <v>110347.83093191999</v>
      </c>
      <c r="C4" s="97">
        <f t="shared" ref="C4:C7" si="0">B4/$B$2</f>
        <v>0.53879145172839071</v>
      </c>
      <c r="D4" s="30">
        <f>'Monthly Breakdown'!E49</f>
        <v>35488.33</v>
      </c>
      <c r="E4" s="20">
        <f t="shared" ref="E4:E7" si="1">D4/$D$2</f>
        <v>0.52110600667176299</v>
      </c>
      <c r="G4" s="96" t="str">
        <f>'Proposed Budget'!C14</f>
        <v>Rocket Mortgage</v>
      </c>
      <c r="H4" s="111">
        <f>'Proposed Budget'!F14</f>
        <v>15420</v>
      </c>
      <c r="I4" s="112">
        <f t="shared" ref="I4:I24" si="2">H4/$B$2</f>
        <v>7.5290688684017504E-2</v>
      </c>
      <c r="J4" s="113">
        <f>'Monthly Breakdown'!E14</f>
        <v>6357.7999999999993</v>
      </c>
      <c r="K4" s="114">
        <f t="shared" ref="K4:K24" si="3">J4/$D$2</f>
        <v>9.3357105539137342E-2</v>
      </c>
      <c r="M4" s="96" t="str">
        <f>'Proposed Budget'!C6</f>
        <v>Dining Out</v>
      </c>
      <c r="N4" s="111">
        <f>'Proposed Budget'!F6</f>
        <v>14400</v>
      </c>
      <c r="O4" s="112">
        <f t="shared" ref="O4:O19" si="4">N4/$B$2</f>
        <v>7.0310370755502727E-2</v>
      </c>
      <c r="P4" s="113">
        <f>'Monthly Breakdown'!E6</f>
        <v>4748.8899999999994</v>
      </c>
      <c r="Q4" s="114">
        <f t="shared" ref="Q4:Q19" si="5">P4/$D$2</f>
        <v>6.973208105378495E-2</v>
      </c>
      <c r="S4" s="98" t="str">
        <f>'Proposed Budget'!C46</f>
        <v>Our Savings</v>
      </c>
      <c r="T4" s="103">
        <f>'Proposed Budget'!F46</f>
        <v>48206.202061919961</v>
      </c>
      <c r="U4" s="100">
        <f t="shared" ref="U4:U5" si="6">T4/$B$2</f>
        <v>0.23537471803390783</v>
      </c>
      <c r="V4" s="104">
        <f>'Monthly Breakdown'!E46</f>
        <v>16885.949999999997</v>
      </c>
      <c r="W4" s="102">
        <f t="shared" ref="W4:W7" si="7">V4/$D$2</f>
        <v>0.24795108626861431</v>
      </c>
    </row>
    <row r="5" spans="1:23" ht="14.4" x14ac:dyDescent="0.3">
      <c r="A5" s="13" t="s">
        <v>146</v>
      </c>
      <c r="B5" s="14">
        <f>'Proposed Budget'!N44</f>
        <v>71858.371129999985</v>
      </c>
      <c r="C5" s="97">
        <f t="shared" si="0"/>
        <v>0.35086032750255641</v>
      </c>
      <c r="D5" s="30">
        <f>'Monthly Breakdown'!E50</f>
        <v>25454.5</v>
      </c>
      <c r="E5" s="20">
        <f t="shared" si="1"/>
        <v>0.37377055631601686</v>
      </c>
      <c r="G5" s="98" t="str">
        <f>'Proposed Budget'!C5</f>
        <v>Groceries/Household</v>
      </c>
      <c r="H5" s="99">
        <f>'Proposed Budget'!F5</f>
        <v>14400</v>
      </c>
      <c r="I5" s="100">
        <f t="shared" si="2"/>
        <v>7.0310370755502727E-2</v>
      </c>
      <c r="J5" s="101">
        <f>'Monthly Breakdown'!E5</f>
        <v>5220.51</v>
      </c>
      <c r="K5" s="102">
        <f t="shared" si="3"/>
        <v>7.6657287589751488E-2</v>
      </c>
      <c r="M5" s="98" t="str">
        <f>'Proposed Budget'!C9</f>
        <v>Family Entertainment</v>
      </c>
      <c r="N5" s="99">
        <f>'Proposed Budget'!F9</f>
        <v>8400</v>
      </c>
      <c r="O5" s="100">
        <f t="shared" si="4"/>
        <v>4.1014382940709929E-2</v>
      </c>
      <c r="P5" s="101">
        <f>'Monthly Breakdown'!E9</f>
        <v>3782.82</v>
      </c>
      <c r="Q5" s="102">
        <f t="shared" si="5"/>
        <v>5.5546435241051871E-2</v>
      </c>
      <c r="S5" s="98" t="str">
        <f>'Proposed Budget'!C45</f>
        <v>Kids Savings</v>
      </c>
      <c r="T5" s="103">
        <f>'Proposed Budget'!F45</f>
        <v>600</v>
      </c>
      <c r="U5" s="100">
        <f t="shared" si="6"/>
        <v>2.9295987814792804E-3</v>
      </c>
      <c r="V5" s="104">
        <f>'Monthly Breakdown'!E45</f>
        <v>250</v>
      </c>
      <c r="W5" s="102">
        <f t="shared" si="7"/>
        <v>3.6709673762597658E-3</v>
      </c>
    </row>
    <row r="6" spans="1:23" ht="14.4" x14ac:dyDescent="0.3">
      <c r="A6" s="13" t="s">
        <v>147</v>
      </c>
      <c r="B6" s="14">
        <f>'Proposed Budget'!J21</f>
        <v>13000</v>
      </c>
      <c r="C6" s="97">
        <f t="shared" si="0"/>
        <v>6.3474640265384408E-2</v>
      </c>
      <c r="D6" s="30">
        <f>'Monthly Breakdown'!E51</f>
        <v>4209.1100000000006</v>
      </c>
      <c r="E6" s="20">
        <f t="shared" si="1"/>
        <v>6.1806021972354977E-2</v>
      </c>
      <c r="G6" s="98" t="str">
        <f>'Proposed Budget'!C28</f>
        <v>GM Financial/Toyota</v>
      </c>
      <c r="H6" s="99">
        <f>'Proposed Budget'!F28</f>
        <v>14400</v>
      </c>
      <c r="I6" s="100">
        <f t="shared" si="2"/>
        <v>7.0310370755502727E-2</v>
      </c>
      <c r="J6" s="101">
        <f>'Monthly Breakdown'!E28</f>
        <v>4721.3600000000006</v>
      </c>
      <c r="K6" s="102">
        <f t="shared" si="3"/>
        <v>6.9327834126311244E-2</v>
      </c>
      <c r="M6" s="98" t="str">
        <f>'Proposed Budget'!C12</f>
        <v>Alcohol/Bars</v>
      </c>
      <c r="N6" s="99">
        <f>'Proposed Budget'!F12</f>
        <v>8400</v>
      </c>
      <c r="O6" s="100">
        <f t="shared" si="4"/>
        <v>4.1014382940709929E-2</v>
      </c>
      <c r="P6" s="101">
        <f>'Monthly Breakdown'!E12</f>
        <v>3116.29</v>
      </c>
      <c r="Q6" s="102">
        <f t="shared" si="5"/>
        <v>4.5759195699858181E-2</v>
      </c>
      <c r="S6" s="98" t="s">
        <v>148</v>
      </c>
      <c r="T6" s="103"/>
      <c r="U6" s="100"/>
      <c r="V6" s="104">
        <f>'Budget Breakdown'!T16</f>
        <v>-4511.5799999999945</v>
      </c>
      <c r="W6" s="102">
        <f t="shared" si="7"/>
        <v>-6.6247451981544053E-2</v>
      </c>
    </row>
    <row r="7" spans="1:23" ht="14.4" x14ac:dyDescent="0.3">
      <c r="A7" s="21" t="s">
        <v>149</v>
      </c>
      <c r="B7" s="33">
        <f>'Proposed Budget'!J22</f>
        <v>9600</v>
      </c>
      <c r="C7" s="115">
        <f t="shared" si="0"/>
        <v>4.6873580503668487E-2</v>
      </c>
      <c r="D7" s="44">
        <f>'Monthly Breakdown'!E52</f>
        <v>2950</v>
      </c>
      <c r="E7" s="34">
        <f t="shared" si="1"/>
        <v>4.3317415039865234E-2</v>
      </c>
      <c r="G7" s="98" t="str">
        <f>'Proposed Budget'!C10</f>
        <v>Miscellaneous Spending</v>
      </c>
      <c r="H7" s="99">
        <f>'Proposed Budget'!F10</f>
        <v>10800</v>
      </c>
      <c r="I7" s="100">
        <f t="shared" si="2"/>
        <v>5.2732778066627045E-2</v>
      </c>
      <c r="J7" s="101">
        <f>'Monthly Breakdown'!E10</f>
        <v>3323.6100000000006</v>
      </c>
      <c r="K7" s="102">
        <f t="shared" si="3"/>
        <v>4.8803455525642886E-2</v>
      </c>
      <c r="M7" s="98" t="str">
        <f>'Proposed Budget'!C38</f>
        <v>Camping/Vacation</v>
      </c>
      <c r="N7" s="99">
        <f>'Proposed Budget'!F38</f>
        <v>4800</v>
      </c>
      <c r="O7" s="100">
        <f t="shared" si="4"/>
        <v>2.3436790251834243E-2</v>
      </c>
      <c r="P7" s="101">
        <f>'Savings Transaction Log'!R5</f>
        <v>3824.78</v>
      </c>
      <c r="Q7" s="102">
        <f t="shared" si="5"/>
        <v>5.6162570405483309E-2</v>
      </c>
      <c r="S7" s="116" t="s">
        <v>150</v>
      </c>
      <c r="T7" s="117"/>
      <c r="U7" s="118"/>
      <c r="V7" s="119">
        <f>'Savings Transaction Log'!I2+'Savings Transaction Log'!K2+'Savings Transaction Log'!M2+'Savings Transaction Log'!O2+'Savings Transaction Log'!Q2+'Savings Transaction Log'!S2+'Savings Transaction Log'!U2+'Savings Transaction Log'!W2+'Savings Transaction Log'!Y2+'Savings Transaction Log'!AA2+'Savings Transaction Log'!AC2</f>
        <v>-8373.5899999999983</v>
      </c>
      <c r="W7" s="120">
        <f t="shared" si="7"/>
        <v>-0.12295670284870003</v>
      </c>
    </row>
    <row r="8" spans="1:23" ht="14.4" x14ac:dyDescent="0.3">
      <c r="B8" s="7"/>
      <c r="C8" s="121"/>
      <c r="D8" s="39"/>
      <c r="E8" s="50"/>
      <c r="G8" s="98" t="str">
        <f>'Proposed Budget'!C8</f>
        <v>Gasoline</v>
      </c>
      <c r="H8" s="99">
        <f>'Proposed Budget'!F8</f>
        <v>7200</v>
      </c>
      <c r="I8" s="100">
        <f t="shared" si="2"/>
        <v>3.5155185377751363E-2</v>
      </c>
      <c r="J8" s="101">
        <f>'Monthly Breakdown'!E8</f>
        <v>2723.3599999999997</v>
      </c>
      <c r="K8" s="102">
        <f t="shared" si="3"/>
        <v>3.9989462855243178E-2</v>
      </c>
      <c r="M8" s="98" t="str">
        <f>'Proposed Budget'!C11</f>
        <v>Department Stores/Clothes</v>
      </c>
      <c r="N8" s="99">
        <f>'Proposed Budget'!F11</f>
        <v>4200</v>
      </c>
      <c r="O8" s="100">
        <f t="shared" si="4"/>
        <v>2.0507191470354964E-2</v>
      </c>
      <c r="P8" s="101">
        <f>'Monthly Breakdown'!E11</f>
        <v>2024.2800000000002</v>
      </c>
      <c r="Q8" s="102">
        <f t="shared" si="5"/>
        <v>2.9724263361660477E-2</v>
      </c>
      <c r="T8" s="7"/>
      <c r="U8" s="11"/>
      <c r="V8" s="7"/>
      <c r="W8" s="50"/>
    </row>
    <row r="9" spans="1:23" ht="14.4" x14ac:dyDescent="0.3">
      <c r="D9" s="39"/>
      <c r="E9" s="50"/>
      <c r="G9" s="98" t="str">
        <f>'Proposed Budget'!C23</f>
        <v>Lowes Rewards</v>
      </c>
      <c r="H9" s="99">
        <f>'Proposed Budget'!F23</f>
        <v>4800</v>
      </c>
      <c r="I9" s="100">
        <f t="shared" si="2"/>
        <v>2.3436790251834243E-2</v>
      </c>
      <c r="J9" s="101">
        <f>'Monthly Breakdown'!E23</f>
        <v>2000</v>
      </c>
      <c r="K9" s="102">
        <f t="shared" si="3"/>
        <v>2.9367739010078126E-2</v>
      </c>
      <c r="M9" s="98" t="str">
        <f>'Proposed Budget'!C16</f>
        <v>Verizon Wireless</v>
      </c>
      <c r="N9" s="99">
        <f>'Proposed Budget'!F16</f>
        <v>3240</v>
      </c>
      <c r="O9" s="100">
        <f t="shared" si="4"/>
        <v>1.5819833419988116E-2</v>
      </c>
      <c r="P9" s="101">
        <f>'Monthly Breakdown'!E16</f>
        <v>1284.69</v>
      </c>
      <c r="Q9" s="102">
        <f t="shared" si="5"/>
        <v>1.8864220314428633E-2</v>
      </c>
      <c r="T9" s="7"/>
      <c r="U9" s="11"/>
      <c r="V9" s="7"/>
      <c r="W9" s="50"/>
    </row>
    <row r="10" spans="1:23" ht="14.4" x14ac:dyDescent="0.3">
      <c r="A10" s="65"/>
      <c r="D10" s="39"/>
      <c r="E10" s="50"/>
      <c r="G10" s="98" t="str">
        <f>'Proposed Budget'!C39</f>
        <v>Home Maintenance</v>
      </c>
      <c r="H10" s="99">
        <f>'Proposed Budget'!F39</f>
        <v>4500</v>
      </c>
      <c r="I10" s="100">
        <f t="shared" si="2"/>
        <v>2.1971990861094602E-2</v>
      </c>
      <c r="J10" s="101">
        <f>'Savings Transaction Log'!T5</f>
        <v>9617.66</v>
      </c>
      <c r="K10" s="102">
        <f t="shared" si="3"/>
        <v>0.14122446438383399</v>
      </c>
      <c r="M10" s="98" t="str">
        <f>'Proposed Budget'!C17</f>
        <v>Spectrum TV/Internet</v>
      </c>
      <c r="N10" s="99">
        <f>'Proposed Budget'!F17</f>
        <v>2460</v>
      </c>
      <c r="O10" s="100">
        <f t="shared" si="4"/>
        <v>1.201135500406505E-2</v>
      </c>
      <c r="P10" s="101">
        <f>'Monthly Breakdown'!E17</f>
        <v>828.51</v>
      </c>
      <c r="Q10" s="102">
        <f t="shared" si="5"/>
        <v>1.2165732723619914E-2</v>
      </c>
      <c r="T10" s="7"/>
      <c r="U10" s="11"/>
      <c r="V10" s="7"/>
      <c r="W10" s="50"/>
    </row>
    <row r="11" spans="1:23" ht="14.4" x14ac:dyDescent="0.3">
      <c r="A11" s="65"/>
      <c r="D11" s="39"/>
      <c r="E11" s="50"/>
      <c r="G11" s="98" t="str">
        <f>'Proposed Budget'!C33</f>
        <v>Vehicle Maintenance</v>
      </c>
      <c r="H11" s="99">
        <f>'Proposed Budget'!F33</f>
        <v>4200</v>
      </c>
      <c r="I11" s="100">
        <f t="shared" si="2"/>
        <v>2.0507191470354964E-2</v>
      </c>
      <c r="J11" s="101">
        <f>'Savings Transaction Log'!H5</f>
        <v>529.04999999999995</v>
      </c>
      <c r="K11" s="102">
        <f t="shared" si="3"/>
        <v>7.7685011616409156E-3</v>
      </c>
      <c r="M11" s="98" t="str">
        <f>'Proposed Budget'!C24</f>
        <v>Wells Fargo - Pool</v>
      </c>
      <c r="N11" s="99">
        <f>'Proposed Budget'!F24</f>
        <v>2400</v>
      </c>
      <c r="O11" s="100">
        <f t="shared" si="4"/>
        <v>1.1718395125917122E-2</v>
      </c>
      <c r="P11" s="101">
        <f>'Monthly Breakdown'!E24</f>
        <v>1000</v>
      </c>
      <c r="Q11" s="102">
        <f t="shared" si="5"/>
        <v>1.4683869505039063E-2</v>
      </c>
      <c r="T11" s="7"/>
      <c r="U11" s="11"/>
      <c r="V11" s="7"/>
      <c r="W11" s="50"/>
    </row>
    <row r="12" spans="1:23" ht="14.4" x14ac:dyDescent="0.3">
      <c r="D12" s="39"/>
      <c r="E12" s="50"/>
      <c r="G12" s="98" t="str">
        <f>'Proposed Budget'!C34</f>
        <v>Car Insurance</v>
      </c>
      <c r="H12" s="99">
        <f>'Proposed Budget'!F34</f>
        <v>3840</v>
      </c>
      <c r="I12" s="100">
        <f t="shared" si="2"/>
        <v>1.8749432201467395E-2</v>
      </c>
      <c r="J12" s="101">
        <f>'Savings Transaction Log'!J5</f>
        <v>0</v>
      </c>
      <c r="K12" s="102">
        <f t="shared" si="3"/>
        <v>0</v>
      </c>
      <c r="M12" s="98" t="str">
        <f>'Proposed Budget'!C7</f>
        <v>Misc Food</v>
      </c>
      <c r="N12" s="99">
        <f>'Proposed Budget'!F7</f>
        <v>1800</v>
      </c>
      <c r="O12" s="100">
        <f t="shared" si="4"/>
        <v>8.7887963444378409E-3</v>
      </c>
      <c r="P12" s="101">
        <f>'Monthly Breakdown'!E7</f>
        <v>588.16999999999996</v>
      </c>
      <c r="Q12" s="102">
        <f t="shared" si="5"/>
        <v>8.6366115267788243E-3</v>
      </c>
      <c r="T12" s="7"/>
      <c r="U12" s="11"/>
      <c r="V12" s="7"/>
      <c r="W12" s="50"/>
    </row>
    <row r="13" spans="1:23" ht="14.4" x14ac:dyDescent="0.3">
      <c r="A13" s="122"/>
      <c r="D13" s="39"/>
      <c r="E13" s="50"/>
      <c r="G13" s="98" t="str">
        <f>'Proposed Budget'!C18</f>
        <v>First Energy</v>
      </c>
      <c r="H13" s="99">
        <f>'Proposed Budget'!F18</f>
        <v>2160</v>
      </c>
      <c r="I13" s="100">
        <f t="shared" si="2"/>
        <v>1.0546555613325409E-2</v>
      </c>
      <c r="J13" s="101">
        <f>'Monthly Breakdown'!E18</f>
        <v>688.86000000000013</v>
      </c>
      <c r="K13" s="102">
        <f t="shared" si="3"/>
        <v>1.0115130347241211E-2</v>
      </c>
      <c r="M13" s="98" t="str">
        <f>'Proposed Budget'!C19</f>
        <v>Vivint Home Security</v>
      </c>
      <c r="N13" s="99">
        <f>'Proposed Budget'!F19</f>
        <v>1680</v>
      </c>
      <c r="O13" s="100">
        <f t="shared" si="4"/>
        <v>8.2028765881419843E-3</v>
      </c>
      <c r="P13" s="101">
        <f>'Monthly Breakdown'!E19</f>
        <v>680.06999999999994</v>
      </c>
      <c r="Q13" s="102">
        <f t="shared" si="5"/>
        <v>9.9860591342919146E-3</v>
      </c>
      <c r="T13" s="7"/>
      <c r="U13" s="11"/>
      <c r="V13" s="7"/>
      <c r="W13" s="50"/>
    </row>
    <row r="14" spans="1:23" ht="14.4" x14ac:dyDescent="0.3">
      <c r="D14" s="39"/>
      <c r="E14" s="50"/>
      <c r="G14" s="98" t="str">
        <f>'Proposed Budget'!C29</f>
        <v>Ohio Turnpike</v>
      </c>
      <c r="H14" s="99">
        <f>'Proposed Budget'!F29</f>
        <v>1440</v>
      </c>
      <c r="I14" s="100">
        <f t="shared" si="2"/>
        <v>7.031037075550273E-3</v>
      </c>
      <c r="J14" s="101">
        <f>'Monthly Breakdown'!E29</f>
        <v>443.73999999999995</v>
      </c>
      <c r="K14" s="102">
        <f t="shared" si="3"/>
        <v>6.5158202541660331E-3</v>
      </c>
      <c r="M14" s="98" t="str">
        <f>'Proposed Budget'!C27</f>
        <v>Streaming/Music</v>
      </c>
      <c r="N14" s="99">
        <f>'Proposed Budget'!F27</f>
        <v>1200</v>
      </c>
      <c r="O14" s="100">
        <f t="shared" si="4"/>
        <v>5.8591975629585609E-3</v>
      </c>
      <c r="P14" s="101">
        <f>'Monthly Breakdown'!E27</f>
        <v>496.02</v>
      </c>
      <c r="Q14" s="102">
        <f t="shared" si="5"/>
        <v>7.283492951889476E-3</v>
      </c>
      <c r="T14" s="7"/>
      <c r="U14" s="11"/>
      <c r="V14" s="7"/>
      <c r="W14" s="50"/>
    </row>
    <row r="15" spans="1:23" ht="14.4" x14ac:dyDescent="0.3">
      <c r="D15" s="39"/>
      <c r="E15" s="50"/>
      <c r="G15" s="98" t="str">
        <f>'Proposed Budget'!C20</f>
        <v>Columbia Gas</v>
      </c>
      <c r="H15" s="99">
        <f>'Proposed Budget'!F20</f>
        <v>1200</v>
      </c>
      <c r="I15" s="100">
        <f t="shared" si="2"/>
        <v>5.8591975629585609E-3</v>
      </c>
      <c r="J15" s="101">
        <f>'Monthly Breakdown'!E20</f>
        <v>626.88</v>
      </c>
      <c r="K15" s="102">
        <f t="shared" si="3"/>
        <v>9.2050241153188873E-3</v>
      </c>
      <c r="M15" s="98" t="str">
        <f>'Proposed Budget'!C26</f>
        <v>Massage Envy</v>
      </c>
      <c r="N15" s="99">
        <f>'Proposed Budget'!F26</f>
        <v>1020</v>
      </c>
      <c r="O15" s="100">
        <f t="shared" si="4"/>
        <v>4.9803179285147769E-3</v>
      </c>
      <c r="P15" s="101">
        <f>'Monthly Breakdown'!E26</f>
        <v>401.05999999999995</v>
      </c>
      <c r="Q15" s="102">
        <f t="shared" si="5"/>
        <v>5.8891127036909659E-3</v>
      </c>
      <c r="T15" s="7"/>
      <c r="U15" s="11"/>
      <c r="V15" s="7"/>
      <c r="W15" s="50"/>
    </row>
    <row r="16" spans="1:23" ht="14.4" x14ac:dyDescent="0.3">
      <c r="D16" s="39"/>
      <c r="E16" s="50"/>
      <c r="G16" s="98" t="str">
        <f>'Proposed Budget'!C30</f>
        <v>Water Bill - Main</v>
      </c>
      <c r="H16" s="99">
        <f>'Proposed Budget'!F30</f>
        <v>900</v>
      </c>
      <c r="I16" s="100">
        <f t="shared" si="2"/>
        <v>4.3943981722189204E-3</v>
      </c>
      <c r="J16" s="101">
        <f>'Monthly Breakdown'!E30</f>
        <v>353.85</v>
      </c>
      <c r="K16" s="102">
        <f t="shared" si="3"/>
        <v>5.1958872243580726E-3</v>
      </c>
      <c r="M16" s="98" t="str">
        <f>'Proposed Budget'!C22</f>
        <v>Planet Fitness</v>
      </c>
      <c r="N16" s="99">
        <f>'Proposed Budget'!F22</f>
        <v>1740</v>
      </c>
      <c r="O16" s="100">
        <f t="shared" si="4"/>
        <v>8.4958364662899126E-3</v>
      </c>
      <c r="P16" s="101">
        <f>'Monthly Breakdown'!E22</f>
        <v>888.18000000000006</v>
      </c>
      <c r="Q16" s="102">
        <f t="shared" si="5"/>
        <v>1.3041919216985595E-2</v>
      </c>
      <c r="T16" s="7"/>
      <c r="U16" s="11"/>
      <c r="V16" s="7"/>
      <c r="W16" s="50"/>
    </row>
    <row r="17" spans="7:17" ht="14.4" x14ac:dyDescent="0.3">
      <c r="G17" s="98" t="str">
        <f>'Proposed Budget'!C37</f>
        <v>Sanitation - Main</v>
      </c>
      <c r="H17" s="99">
        <f>'Proposed Budget'!F37</f>
        <v>540</v>
      </c>
      <c r="I17" s="100">
        <f t="shared" si="2"/>
        <v>2.6366389033313522E-3</v>
      </c>
      <c r="J17" s="101">
        <f>'Savings Transaction Log'!P5</f>
        <v>185.64</v>
      </c>
      <c r="K17" s="102">
        <f t="shared" si="3"/>
        <v>2.7259135349154513E-3</v>
      </c>
      <c r="M17" s="98" t="str">
        <f>'Proposed Budget'!C15</f>
        <v>EH Roberts</v>
      </c>
      <c r="N17" s="99">
        <f>'Proposed Budget'!F15</f>
        <v>240</v>
      </c>
      <c r="O17" s="100">
        <f t="shared" si="4"/>
        <v>1.1718395125917122E-3</v>
      </c>
      <c r="P17" s="101">
        <f>'Monthly Breakdown'!E15</f>
        <v>71.599999999999994</v>
      </c>
      <c r="Q17" s="102">
        <f t="shared" si="5"/>
        <v>1.0513650565607969E-3</v>
      </c>
    </row>
    <row r="18" spans="7:17" ht="14.4" x14ac:dyDescent="0.3">
      <c r="G18" s="116" t="str">
        <f>'Proposed Budget'!C36</f>
        <v>Garbage</v>
      </c>
      <c r="H18" s="123">
        <f>'Proposed Budget'!F36</f>
        <v>300</v>
      </c>
      <c r="I18" s="118">
        <f t="shared" si="2"/>
        <v>1.4647993907396402E-3</v>
      </c>
      <c r="J18" s="124">
        <f>'Savings Transaction Log'!N5</f>
        <v>126.96000000000001</v>
      </c>
      <c r="K18" s="120">
        <f t="shared" si="3"/>
        <v>1.8642640723597595E-3</v>
      </c>
      <c r="M18" s="98" t="str">
        <f>'Proposed Budget'!C21</f>
        <v>Medical Bills</v>
      </c>
      <c r="N18" s="99">
        <f>'Proposed Budget'!F21</f>
        <v>0</v>
      </c>
      <c r="O18" s="100">
        <f t="shared" si="4"/>
        <v>0</v>
      </c>
      <c r="P18" s="101">
        <f>'Monthly Breakdown'!E21</f>
        <v>835.06</v>
      </c>
      <c r="Q18" s="102">
        <f t="shared" si="5"/>
        <v>1.2261912068877919E-2</v>
      </c>
    </row>
    <row r="19" spans="7:17" ht="14.4" x14ac:dyDescent="0.3">
      <c r="G19" s="125" t="str">
        <f>'Proposed Budget'!C42</f>
        <v>Rental Property Taxes</v>
      </c>
      <c r="H19" s="126">
        <f>'Proposed Budget'!F42</f>
        <v>2760</v>
      </c>
      <c r="I19" s="127">
        <f t="shared" si="2"/>
        <v>1.347615439480469E-2</v>
      </c>
      <c r="J19" s="128">
        <f>'Savings Transaction Log'!Z5</f>
        <v>1276.4000000000001</v>
      </c>
      <c r="K19" s="129">
        <f t="shared" si="3"/>
        <v>1.8742491036231861E-2</v>
      </c>
      <c r="M19" s="116" t="str">
        <f>'Proposed Budget'!C25</f>
        <v>Wells Fargo - Deck</v>
      </c>
      <c r="N19" s="123">
        <f>'Proposed Budget'!F25</f>
        <v>7200</v>
      </c>
      <c r="O19" s="118">
        <f t="shared" si="4"/>
        <v>3.5155185377751363E-2</v>
      </c>
      <c r="P19" s="124">
        <f>'Monthly Breakdown'!E25</f>
        <v>0</v>
      </c>
      <c r="Q19" s="120">
        <f t="shared" si="5"/>
        <v>0</v>
      </c>
    </row>
    <row r="20" spans="7:17" ht="14.4" x14ac:dyDescent="0.3">
      <c r="G20" s="98" t="str">
        <f>'Proposed Budget'!C40</f>
        <v>Rental Repairs</v>
      </c>
      <c r="H20" s="99">
        <f>'Proposed Budget'!F40</f>
        <v>1200</v>
      </c>
      <c r="I20" s="100">
        <f t="shared" si="2"/>
        <v>5.8591975629585609E-3</v>
      </c>
      <c r="J20" s="101">
        <f>'Savings Transaction Log'!V5</f>
        <v>0</v>
      </c>
      <c r="K20" s="102">
        <f t="shared" si="3"/>
        <v>0</v>
      </c>
      <c r="N20" s="11"/>
      <c r="O20" s="11"/>
      <c r="P20" s="11"/>
      <c r="Q20" s="11"/>
    </row>
    <row r="21" spans="7:17" ht="15.75" customHeight="1" x14ac:dyDescent="0.3">
      <c r="G21" s="98" t="str">
        <f>'Proposed Budget'!C41</f>
        <v>Rental Insurance</v>
      </c>
      <c r="H21" s="99">
        <f>'Proposed Budget'!F41</f>
        <v>1020</v>
      </c>
      <c r="I21" s="100">
        <f t="shared" si="2"/>
        <v>4.9803179285147769E-3</v>
      </c>
      <c r="J21" s="101">
        <f>'Savings Transaction Log'!X5</f>
        <v>500.5</v>
      </c>
      <c r="K21" s="102">
        <f t="shared" si="3"/>
        <v>7.349276687272051E-3</v>
      </c>
      <c r="N21" s="39"/>
      <c r="O21" s="50"/>
      <c r="P21" s="39"/>
      <c r="Q21" s="50"/>
    </row>
    <row r="22" spans="7:17" ht="15.75" customHeight="1" x14ac:dyDescent="0.3">
      <c r="G22" s="98" t="str">
        <f>'Proposed Budget'!C31</f>
        <v>Water Bill - Rental</v>
      </c>
      <c r="H22" s="99">
        <f>'Proposed Budget'!F31</f>
        <v>900</v>
      </c>
      <c r="I22" s="100">
        <f t="shared" si="2"/>
        <v>4.3943981722189204E-3</v>
      </c>
      <c r="J22" s="101">
        <f>'Monthly Breakdown'!E31</f>
        <v>271.96000000000004</v>
      </c>
      <c r="K22" s="102">
        <f t="shared" si="3"/>
        <v>3.9934251505904239E-3</v>
      </c>
      <c r="N22" s="39"/>
      <c r="O22" s="50"/>
      <c r="P22" s="39"/>
      <c r="Q22" s="50"/>
    </row>
    <row r="23" spans="7:17" ht="15.75" customHeight="1" x14ac:dyDescent="0.3">
      <c r="G23" s="98" t="str">
        <f>'Proposed Budget'!C43</f>
        <v>Rental Sanitation</v>
      </c>
      <c r="H23" s="99">
        <f>'Proposed Budget'!F43</f>
        <v>540</v>
      </c>
      <c r="I23" s="100">
        <f t="shared" si="2"/>
        <v>2.6366389033313522E-3</v>
      </c>
      <c r="J23" s="101">
        <f>'Savings Transaction Log'!AB5</f>
        <v>185.64</v>
      </c>
      <c r="K23" s="102">
        <f t="shared" si="3"/>
        <v>2.7259135349154513E-3</v>
      </c>
      <c r="N23" s="39"/>
      <c r="O23" s="11"/>
      <c r="P23" s="39"/>
      <c r="Q23" s="50"/>
    </row>
    <row r="24" spans="7:17" ht="15.75" customHeight="1" x14ac:dyDescent="0.3">
      <c r="G24" s="116" t="str">
        <f>'Proposed Budget'!C35</f>
        <v>Rental Garbage</v>
      </c>
      <c r="H24" s="123">
        <f>'Proposed Budget'!F35</f>
        <v>300</v>
      </c>
      <c r="I24" s="118">
        <f t="shared" si="2"/>
        <v>1.4647993907396402E-3</v>
      </c>
      <c r="J24" s="124">
        <f>'Savings Transaction Log'!L5</f>
        <v>126.96000000000001</v>
      </c>
      <c r="K24" s="120">
        <f t="shared" si="3"/>
        <v>1.8642640723597595E-3</v>
      </c>
      <c r="N24" s="39"/>
      <c r="O24" s="11"/>
      <c r="P24" s="39"/>
      <c r="Q24" s="50"/>
    </row>
    <row r="25" spans="7:17" ht="15.75" customHeight="1" x14ac:dyDescent="0.3">
      <c r="N25" s="11"/>
      <c r="O25" s="11"/>
      <c r="P25" s="11"/>
      <c r="Q25" s="11"/>
    </row>
    <row r="26" spans="7:17" ht="15.75" customHeight="1" x14ac:dyDescent="0.3">
      <c r="N26" s="11"/>
      <c r="O26" s="11"/>
      <c r="P26" s="11"/>
      <c r="Q26" s="11"/>
    </row>
    <row r="27" spans="7:17" ht="15.75" customHeight="1" x14ac:dyDescent="0.3">
      <c r="N27" s="11"/>
      <c r="O27" s="11"/>
      <c r="P27" s="11"/>
      <c r="Q27" s="11"/>
    </row>
    <row r="28" spans="7:17" ht="15.75" customHeight="1" x14ac:dyDescent="0.3">
      <c r="N28" s="11"/>
      <c r="O28" s="11"/>
      <c r="P28" s="11"/>
      <c r="Q28" s="11"/>
    </row>
    <row r="29" spans="7:17" ht="15.75" customHeight="1" x14ac:dyDescent="0.3">
      <c r="N29" s="11"/>
      <c r="O29" s="11"/>
      <c r="P29" s="11"/>
      <c r="Q29" s="11"/>
    </row>
    <row r="30" spans="7:17" ht="15.75" customHeight="1" x14ac:dyDescent="0.3">
      <c r="N30" s="11"/>
      <c r="O30" s="11"/>
      <c r="P30" s="11"/>
      <c r="Q30" s="11"/>
    </row>
    <row r="31" spans="7:17" ht="15.75" customHeight="1" x14ac:dyDescent="0.3">
      <c r="N31" s="11"/>
      <c r="O31" s="11"/>
      <c r="P31" s="11"/>
      <c r="Q31" s="11"/>
    </row>
    <row r="32" spans="7:17" ht="15.75" customHeight="1" x14ac:dyDescent="0.3">
      <c r="N32" s="11"/>
      <c r="O32" s="11"/>
      <c r="P32" s="11"/>
      <c r="Q32" s="11"/>
    </row>
    <row r="33" spans="14:17" ht="15.75" customHeight="1" x14ac:dyDescent="0.3">
      <c r="N33" s="11"/>
      <c r="O33" s="11"/>
      <c r="P33" s="11"/>
      <c r="Q33" s="11"/>
    </row>
    <row r="34" spans="14:17" ht="15.75" customHeight="1" x14ac:dyDescent="0.3">
      <c r="N34" s="11"/>
      <c r="O34" s="11"/>
      <c r="P34" s="11"/>
      <c r="Q34" s="11"/>
    </row>
    <row r="35" spans="14:17" ht="15.75" customHeight="1" x14ac:dyDescent="0.3">
      <c r="N35" s="11"/>
      <c r="O35" s="11"/>
      <c r="P35" s="11"/>
      <c r="Q35" s="11"/>
    </row>
    <row r="36" spans="14:17" ht="15.75" customHeight="1" x14ac:dyDescent="0.3">
      <c r="N36" s="11"/>
      <c r="O36" s="11"/>
      <c r="P36" s="11"/>
      <c r="Q36" s="11"/>
    </row>
    <row r="37" spans="14:17" ht="15.75" customHeight="1" x14ac:dyDescent="0.3">
      <c r="N37" s="11"/>
      <c r="O37" s="11"/>
      <c r="P37" s="11"/>
      <c r="Q37" s="11"/>
    </row>
    <row r="38" spans="14:17" ht="15.75" customHeight="1" x14ac:dyDescent="0.3">
      <c r="N38" s="11"/>
      <c r="O38" s="11"/>
      <c r="P38" s="11"/>
      <c r="Q38" s="11"/>
    </row>
    <row r="39" spans="14:17" ht="15.75" customHeight="1" x14ac:dyDescent="0.3">
      <c r="N39" s="11"/>
      <c r="O39" s="11"/>
      <c r="P39" s="11"/>
      <c r="Q39" s="11"/>
    </row>
    <row r="40" spans="14:17" ht="15.75" customHeight="1" x14ac:dyDescent="0.3">
      <c r="N40" s="11"/>
      <c r="O40" s="11"/>
      <c r="P40" s="11"/>
      <c r="Q40" s="11"/>
    </row>
    <row r="41" spans="14:17" ht="15.75" customHeight="1" x14ac:dyDescent="0.3">
      <c r="N41" s="11"/>
      <c r="O41" s="11"/>
      <c r="P41" s="11"/>
      <c r="Q41" s="11"/>
    </row>
    <row r="42" spans="14:17" ht="15.75" customHeight="1" x14ac:dyDescent="0.3">
      <c r="N42" s="11"/>
      <c r="O42" s="11"/>
      <c r="P42" s="11"/>
      <c r="Q42" s="11"/>
    </row>
    <row r="43" spans="14:17" ht="15.75" customHeight="1" x14ac:dyDescent="0.3">
      <c r="N43" s="11"/>
      <c r="O43" s="11"/>
      <c r="P43" s="11"/>
      <c r="Q43" s="11"/>
    </row>
    <row r="44" spans="14:17" ht="15.75" customHeight="1" x14ac:dyDescent="0.3">
      <c r="N44" s="11"/>
      <c r="O44" s="11"/>
      <c r="P44" s="11"/>
      <c r="Q44" s="11"/>
    </row>
    <row r="45" spans="14:17" ht="15.75" customHeight="1" x14ac:dyDescent="0.3">
      <c r="N45" s="11"/>
      <c r="O45" s="11"/>
      <c r="P45" s="11"/>
      <c r="Q45" s="11"/>
    </row>
    <row r="46" spans="14:17" ht="15.75" customHeight="1" x14ac:dyDescent="0.3">
      <c r="N46" s="11"/>
      <c r="O46" s="11"/>
      <c r="P46" s="11"/>
      <c r="Q46" s="11"/>
    </row>
    <row r="47" spans="14:17" ht="15.75" customHeight="1" x14ac:dyDescent="0.3">
      <c r="N47" s="11"/>
      <c r="O47" s="11"/>
      <c r="P47" s="11"/>
      <c r="Q47" s="11"/>
    </row>
    <row r="48" spans="14:17" ht="15.75" customHeight="1" x14ac:dyDescent="0.3">
      <c r="N48" s="11"/>
      <c r="O48" s="11"/>
      <c r="P48" s="11"/>
      <c r="Q48" s="11"/>
    </row>
    <row r="49" spans="14:17" ht="15.75" customHeight="1" x14ac:dyDescent="0.3">
      <c r="N49" s="11"/>
      <c r="O49" s="11"/>
      <c r="P49" s="11"/>
      <c r="Q49" s="11"/>
    </row>
    <row r="50" spans="14:17" ht="15.75" customHeight="1" x14ac:dyDescent="0.3">
      <c r="N50" s="11"/>
      <c r="O50" s="11"/>
      <c r="P50" s="11"/>
      <c r="Q50" s="11"/>
    </row>
    <row r="51" spans="14:17" ht="15.75" customHeight="1" x14ac:dyDescent="0.3">
      <c r="N51" s="11"/>
      <c r="O51" s="11"/>
      <c r="P51" s="11"/>
      <c r="Q51" s="11"/>
    </row>
    <row r="52" spans="14:17" ht="15.75" customHeight="1" x14ac:dyDescent="0.3">
      <c r="N52" s="11"/>
      <c r="O52" s="11"/>
      <c r="P52" s="11"/>
      <c r="Q52" s="11"/>
    </row>
    <row r="53" spans="14:17" ht="15.75" customHeight="1" x14ac:dyDescent="0.3">
      <c r="N53" s="11"/>
      <c r="O53" s="11"/>
      <c r="P53" s="11"/>
      <c r="Q53" s="11"/>
    </row>
    <row r="54" spans="14:17" ht="15.75" customHeight="1" x14ac:dyDescent="0.3">
      <c r="N54" s="11"/>
      <c r="O54" s="11"/>
      <c r="P54" s="11"/>
      <c r="Q54" s="11"/>
    </row>
    <row r="55" spans="14:17" ht="15.75" customHeight="1" x14ac:dyDescent="0.3">
      <c r="N55" s="11"/>
      <c r="O55" s="11"/>
      <c r="P55" s="11"/>
      <c r="Q55" s="11"/>
    </row>
    <row r="56" spans="14:17" ht="15.75" customHeight="1" x14ac:dyDescent="0.3">
      <c r="N56" s="11"/>
      <c r="O56" s="11"/>
      <c r="P56" s="11"/>
      <c r="Q56" s="11"/>
    </row>
    <row r="57" spans="14:17" ht="15.75" customHeight="1" x14ac:dyDescent="0.3">
      <c r="N57" s="11"/>
      <c r="O57" s="11"/>
      <c r="P57" s="11"/>
      <c r="Q57" s="11"/>
    </row>
    <row r="58" spans="14:17" ht="15.75" customHeight="1" x14ac:dyDescent="0.3">
      <c r="N58" s="11"/>
      <c r="O58" s="11"/>
      <c r="P58" s="11"/>
      <c r="Q58" s="11"/>
    </row>
    <row r="59" spans="14:17" ht="15.75" customHeight="1" x14ac:dyDescent="0.3">
      <c r="N59" s="11"/>
      <c r="O59" s="11"/>
      <c r="P59" s="11"/>
      <c r="Q59" s="11"/>
    </row>
    <row r="60" spans="14:17" ht="15.75" customHeight="1" x14ac:dyDescent="0.3">
      <c r="N60" s="11"/>
      <c r="O60" s="11"/>
      <c r="P60" s="11"/>
      <c r="Q60" s="11"/>
    </row>
    <row r="61" spans="14:17" ht="15.75" customHeight="1" x14ac:dyDescent="0.3">
      <c r="N61" s="11"/>
      <c r="O61" s="11"/>
      <c r="P61" s="11"/>
      <c r="Q61" s="11"/>
    </row>
    <row r="62" spans="14:17" ht="15.75" customHeight="1" x14ac:dyDescent="0.3">
      <c r="N62" s="11"/>
      <c r="O62" s="11"/>
      <c r="P62" s="11"/>
      <c r="Q62" s="11"/>
    </row>
    <row r="63" spans="14:17" ht="15.75" customHeight="1" x14ac:dyDescent="0.3">
      <c r="N63" s="11"/>
      <c r="O63" s="11"/>
      <c r="P63" s="11"/>
      <c r="Q63" s="11"/>
    </row>
    <row r="64" spans="14:17" ht="15.75" customHeight="1" x14ac:dyDescent="0.3">
      <c r="N64" s="11"/>
      <c r="O64" s="11"/>
      <c r="P64" s="11"/>
      <c r="Q64" s="11"/>
    </row>
    <row r="65" spans="14:17" ht="15.75" customHeight="1" x14ac:dyDescent="0.3">
      <c r="N65" s="11"/>
      <c r="O65" s="11"/>
      <c r="P65" s="11"/>
      <c r="Q65" s="11"/>
    </row>
    <row r="66" spans="14:17" ht="15.75" customHeight="1" x14ac:dyDescent="0.3">
      <c r="N66" s="11"/>
      <c r="O66" s="11"/>
      <c r="P66" s="11"/>
      <c r="Q66" s="11"/>
    </row>
    <row r="67" spans="14:17" ht="15.75" customHeight="1" x14ac:dyDescent="0.3">
      <c r="N67" s="11"/>
      <c r="O67" s="11"/>
      <c r="P67" s="11"/>
      <c r="Q67" s="11"/>
    </row>
    <row r="68" spans="14:17" ht="15.75" customHeight="1" x14ac:dyDescent="0.3">
      <c r="N68" s="11"/>
      <c r="O68" s="11"/>
      <c r="P68" s="11"/>
      <c r="Q68" s="11"/>
    </row>
    <row r="69" spans="14:17" ht="15.75" customHeight="1" x14ac:dyDescent="0.3">
      <c r="N69" s="11"/>
      <c r="O69" s="11"/>
      <c r="P69" s="11"/>
      <c r="Q69" s="11"/>
    </row>
    <row r="70" spans="14:17" ht="15.75" customHeight="1" x14ac:dyDescent="0.3">
      <c r="N70" s="11"/>
      <c r="O70" s="11"/>
      <c r="P70" s="11"/>
      <c r="Q70" s="11"/>
    </row>
    <row r="71" spans="14:17" ht="15.75" customHeight="1" x14ac:dyDescent="0.3">
      <c r="N71" s="11"/>
      <c r="O71" s="11"/>
      <c r="P71" s="11"/>
      <c r="Q71" s="11"/>
    </row>
    <row r="72" spans="14:17" ht="15.75" customHeight="1" x14ac:dyDescent="0.3">
      <c r="N72" s="11"/>
      <c r="O72" s="11"/>
      <c r="P72" s="11"/>
      <c r="Q72" s="11"/>
    </row>
    <row r="73" spans="14:17" ht="15.75" customHeight="1" x14ac:dyDescent="0.3">
      <c r="N73" s="11"/>
      <c r="O73" s="11"/>
      <c r="P73" s="11"/>
      <c r="Q73" s="11"/>
    </row>
    <row r="74" spans="14:17" ht="15.75" customHeight="1" x14ac:dyDescent="0.3">
      <c r="N74" s="11"/>
      <c r="O74" s="11"/>
      <c r="P74" s="11"/>
      <c r="Q74" s="11"/>
    </row>
    <row r="75" spans="14:17" ht="15.75" customHeight="1" x14ac:dyDescent="0.3">
      <c r="N75" s="11"/>
      <c r="O75" s="11"/>
      <c r="P75" s="11"/>
      <c r="Q75" s="11"/>
    </row>
    <row r="76" spans="14:17" ht="15.75" customHeight="1" x14ac:dyDescent="0.3">
      <c r="N76" s="11"/>
      <c r="O76" s="11"/>
      <c r="P76" s="11"/>
      <c r="Q76" s="11"/>
    </row>
    <row r="77" spans="14:17" ht="15.75" customHeight="1" x14ac:dyDescent="0.3">
      <c r="N77" s="11"/>
      <c r="O77" s="11"/>
      <c r="P77" s="11"/>
      <c r="Q77" s="11"/>
    </row>
    <row r="78" spans="14:17" ht="15.75" customHeight="1" x14ac:dyDescent="0.3">
      <c r="N78" s="11"/>
      <c r="O78" s="11"/>
      <c r="P78" s="11"/>
      <c r="Q78" s="11"/>
    </row>
    <row r="79" spans="14:17" ht="15.75" customHeight="1" x14ac:dyDescent="0.3">
      <c r="N79" s="11"/>
      <c r="O79" s="11"/>
      <c r="P79" s="11"/>
      <c r="Q79" s="11"/>
    </row>
    <row r="80" spans="14:17" ht="15.75" customHeight="1" x14ac:dyDescent="0.3">
      <c r="N80" s="11"/>
      <c r="O80" s="11"/>
      <c r="P80" s="11"/>
      <c r="Q80" s="11"/>
    </row>
    <row r="81" spans="14:17" ht="15.75" customHeight="1" x14ac:dyDescent="0.3">
      <c r="N81" s="11"/>
      <c r="O81" s="11"/>
      <c r="P81" s="11"/>
      <c r="Q81" s="11"/>
    </row>
    <row r="82" spans="14:17" ht="15.75" customHeight="1" x14ac:dyDescent="0.3">
      <c r="N82" s="11"/>
      <c r="O82" s="11"/>
      <c r="P82" s="11"/>
      <c r="Q82" s="11"/>
    </row>
    <row r="83" spans="14:17" ht="15.75" customHeight="1" x14ac:dyDescent="0.3">
      <c r="N83" s="11"/>
      <c r="O83" s="11"/>
      <c r="P83" s="11"/>
      <c r="Q83" s="11"/>
    </row>
    <row r="84" spans="14:17" ht="15.75" customHeight="1" x14ac:dyDescent="0.3">
      <c r="N84" s="11"/>
      <c r="O84" s="11"/>
      <c r="P84" s="11"/>
      <c r="Q84" s="11"/>
    </row>
    <row r="85" spans="14:17" ht="15.75" customHeight="1" x14ac:dyDescent="0.3">
      <c r="N85" s="11"/>
      <c r="O85" s="11"/>
      <c r="P85" s="11"/>
      <c r="Q85" s="11"/>
    </row>
    <row r="86" spans="14:17" ht="15.75" customHeight="1" x14ac:dyDescent="0.3">
      <c r="N86" s="11"/>
      <c r="O86" s="11"/>
      <c r="P86" s="11"/>
      <c r="Q86" s="11"/>
    </row>
    <row r="87" spans="14:17" ht="15.75" customHeight="1" x14ac:dyDescent="0.3">
      <c r="N87" s="11"/>
      <c r="O87" s="11"/>
      <c r="P87" s="11"/>
      <c r="Q87" s="11"/>
    </row>
    <row r="88" spans="14:17" ht="15.75" customHeight="1" x14ac:dyDescent="0.3">
      <c r="N88" s="11"/>
      <c r="O88" s="11"/>
      <c r="P88" s="11"/>
      <c r="Q88" s="11"/>
    </row>
    <row r="89" spans="14:17" ht="15.75" customHeight="1" x14ac:dyDescent="0.3">
      <c r="N89" s="11"/>
      <c r="O89" s="11"/>
      <c r="P89" s="11"/>
      <c r="Q89" s="11"/>
    </row>
    <row r="90" spans="14:17" ht="15.75" customHeight="1" x14ac:dyDescent="0.3">
      <c r="N90" s="11"/>
      <c r="O90" s="11"/>
      <c r="P90" s="11"/>
      <c r="Q90" s="11"/>
    </row>
    <row r="91" spans="14:17" ht="15.75" customHeight="1" x14ac:dyDescent="0.3">
      <c r="N91" s="11"/>
      <c r="O91" s="11"/>
      <c r="P91" s="11"/>
      <c r="Q91" s="11"/>
    </row>
    <row r="92" spans="14:17" ht="15.75" customHeight="1" x14ac:dyDescent="0.3">
      <c r="N92" s="11"/>
      <c r="O92" s="11"/>
      <c r="P92" s="11"/>
      <c r="Q92" s="11"/>
    </row>
    <row r="93" spans="14:17" ht="15.75" customHeight="1" x14ac:dyDescent="0.3">
      <c r="N93" s="11"/>
      <c r="O93" s="11"/>
      <c r="P93" s="11"/>
      <c r="Q93" s="11"/>
    </row>
    <row r="94" spans="14:17" ht="15.75" customHeight="1" x14ac:dyDescent="0.3">
      <c r="N94" s="11"/>
      <c r="O94" s="11"/>
      <c r="P94" s="11"/>
      <c r="Q94" s="11"/>
    </row>
    <row r="95" spans="14:17" ht="15.75" customHeight="1" x14ac:dyDescent="0.3">
      <c r="N95" s="11"/>
      <c r="O95" s="11"/>
      <c r="P95" s="11"/>
      <c r="Q95" s="11"/>
    </row>
    <row r="96" spans="14:17" ht="15.75" customHeight="1" x14ac:dyDescent="0.3">
      <c r="N96" s="11"/>
      <c r="O96" s="11"/>
      <c r="P96" s="11"/>
      <c r="Q96" s="11"/>
    </row>
    <row r="97" spans="14:17" ht="15.75" customHeight="1" x14ac:dyDescent="0.3">
      <c r="N97" s="11"/>
      <c r="O97" s="11"/>
      <c r="P97" s="11"/>
      <c r="Q97" s="11"/>
    </row>
    <row r="98" spans="14:17" ht="15.75" customHeight="1" x14ac:dyDescent="0.3">
      <c r="N98" s="11"/>
      <c r="O98" s="11"/>
      <c r="P98" s="11"/>
      <c r="Q98" s="11"/>
    </row>
    <row r="99" spans="14:17" ht="15.75" customHeight="1" x14ac:dyDescent="0.3">
      <c r="N99" s="11"/>
      <c r="O99" s="11"/>
      <c r="P99" s="11"/>
      <c r="Q99" s="11"/>
    </row>
    <row r="100" spans="14:17" ht="15.75" customHeight="1" x14ac:dyDescent="0.3">
      <c r="N100" s="11"/>
      <c r="O100" s="11"/>
      <c r="P100" s="11"/>
      <c r="Q100" s="11"/>
    </row>
    <row r="101" spans="14:17" ht="15.75" customHeight="1" x14ac:dyDescent="0.3">
      <c r="N101" s="11"/>
      <c r="O101" s="11"/>
      <c r="P101" s="11"/>
      <c r="Q101" s="11"/>
    </row>
    <row r="102" spans="14:17" ht="15.75" customHeight="1" x14ac:dyDescent="0.3">
      <c r="N102" s="11"/>
      <c r="O102" s="11"/>
      <c r="P102" s="11"/>
      <c r="Q102" s="11"/>
    </row>
    <row r="103" spans="14:17" ht="15.75" customHeight="1" x14ac:dyDescent="0.3">
      <c r="N103" s="11"/>
      <c r="O103" s="11"/>
      <c r="P103" s="11"/>
      <c r="Q103" s="11"/>
    </row>
    <row r="104" spans="14:17" ht="15.75" customHeight="1" x14ac:dyDescent="0.3">
      <c r="N104" s="11"/>
      <c r="O104" s="11"/>
      <c r="P104" s="11"/>
      <c r="Q104" s="11"/>
    </row>
    <row r="105" spans="14:17" ht="15.75" customHeight="1" x14ac:dyDescent="0.3">
      <c r="N105" s="11"/>
      <c r="O105" s="11"/>
      <c r="P105" s="11"/>
      <c r="Q105" s="11"/>
    </row>
    <row r="106" spans="14:17" ht="15.75" customHeight="1" x14ac:dyDescent="0.3">
      <c r="N106" s="11"/>
      <c r="O106" s="11"/>
      <c r="P106" s="11"/>
      <c r="Q106" s="11"/>
    </row>
    <row r="107" spans="14:17" ht="15.75" customHeight="1" x14ac:dyDescent="0.3">
      <c r="N107" s="11"/>
      <c r="O107" s="11"/>
      <c r="P107" s="11"/>
      <c r="Q107" s="11"/>
    </row>
    <row r="108" spans="14:17" ht="15.75" customHeight="1" x14ac:dyDescent="0.3">
      <c r="N108" s="11"/>
      <c r="O108" s="11"/>
      <c r="P108" s="11"/>
      <c r="Q108" s="11"/>
    </row>
    <row r="109" spans="14:17" ht="15.75" customHeight="1" x14ac:dyDescent="0.3">
      <c r="N109" s="11"/>
      <c r="O109" s="11"/>
      <c r="P109" s="11"/>
      <c r="Q109" s="11"/>
    </row>
    <row r="110" spans="14:17" ht="15.75" customHeight="1" x14ac:dyDescent="0.3">
      <c r="N110" s="11"/>
      <c r="O110" s="11"/>
      <c r="P110" s="11"/>
      <c r="Q110" s="11"/>
    </row>
    <row r="111" spans="14:17" ht="15.75" customHeight="1" x14ac:dyDescent="0.3">
      <c r="N111" s="11"/>
      <c r="O111" s="11"/>
      <c r="P111" s="11"/>
      <c r="Q111" s="11"/>
    </row>
    <row r="112" spans="14:17" ht="15.75" customHeight="1" x14ac:dyDescent="0.3">
      <c r="N112" s="11"/>
      <c r="O112" s="11"/>
      <c r="P112" s="11"/>
      <c r="Q112" s="11"/>
    </row>
    <row r="113" spans="14:17" ht="15.75" customHeight="1" x14ac:dyDescent="0.3">
      <c r="N113" s="11"/>
      <c r="O113" s="11"/>
      <c r="P113" s="11"/>
      <c r="Q113" s="11"/>
    </row>
    <row r="114" spans="14:17" ht="15.75" customHeight="1" x14ac:dyDescent="0.3">
      <c r="N114" s="11"/>
      <c r="O114" s="11"/>
      <c r="P114" s="11"/>
      <c r="Q114" s="11"/>
    </row>
    <row r="115" spans="14:17" ht="15.75" customHeight="1" x14ac:dyDescent="0.3">
      <c r="N115" s="11"/>
      <c r="O115" s="11"/>
      <c r="P115" s="11"/>
      <c r="Q115" s="11"/>
    </row>
    <row r="116" spans="14:17" ht="15.75" customHeight="1" x14ac:dyDescent="0.3">
      <c r="N116" s="11"/>
      <c r="O116" s="11"/>
      <c r="P116" s="11"/>
      <c r="Q116" s="11"/>
    </row>
    <row r="117" spans="14:17" ht="15.75" customHeight="1" x14ac:dyDescent="0.3">
      <c r="N117" s="11"/>
      <c r="O117" s="11"/>
      <c r="P117" s="11"/>
      <c r="Q117" s="11"/>
    </row>
    <row r="118" spans="14:17" ht="15.75" customHeight="1" x14ac:dyDescent="0.3">
      <c r="N118" s="11"/>
      <c r="O118" s="11"/>
      <c r="P118" s="11"/>
      <c r="Q118" s="11"/>
    </row>
    <row r="119" spans="14:17" ht="15.75" customHeight="1" x14ac:dyDescent="0.3">
      <c r="N119" s="11"/>
      <c r="O119" s="11"/>
      <c r="P119" s="11"/>
      <c r="Q119" s="11"/>
    </row>
    <row r="120" spans="14:17" ht="15.75" customHeight="1" x14ac:dyDescent="0.3">
      <c r="N120" s="11"/>
      <c r="O120" s="11"/>
      <c r="P120" s="11"/>
      <c r="Q120" s="11"/>
    </row>
    <row r="121" spans="14:17" ht="15.75" customHeight="1" x14ac:dyDescent="0.3">
      <c r="N121" s="11"/>
      <c r="O121" s="11"/>
      <c r="P121" s="11"/>
      <c r="Q121" s="11"/>
    </row>
    <row r="122" spans="14:17" ht="15.75" customHeight="1" x14ac:dyDescent="0.3">
      <c r="N122" s="11"/>
      <c r="O122" s="11"/>
      <c r="P122" s="11"/>
      <c r="Q122" s="11"/>
    </row>
    <row r="123" spans="14:17" ht="15.75" customHeight="1" x14ac:dyDescent="0.3">
      <c r="N123" s="11"/>
      <c r="O123" s="11"/>
      <c r="P123" s="11"/>
      <c r="Q123" s="11"/>
    </row>
    <row r="124" spans="14:17" ht="15.75" customHeight="1" x14ac:dyDescent="0.3">
      <c r="N124" s="11"/>
      <c r="O124" s="11"/>
      <c r="P124" s="11"/>
      <c r="Q124" s="11"/>
    </row>
    <row r="125" spans="14:17" ht="15.75" customHeight="1" x14ac:dyDescent="0.3">
      <c r="N125" s="11"/>
      <c r="O125" s="11"/>
      <c r="P125" s="11"/>
      <c r="Q125" s="11"/>
    </row>
    <row r="126" spans="14:17" ht="15.75" customHeight="1" x14ac:dyDescent="0.3">
      <c r="N126" s="11"/>
      <c r="O126" s="11"/>
      <c r="P126" s="11"/>
      <c r="Q126" s="11"/>
    </row>
    <row r="127" spans="14:17" ht="15.75" customHeight="1" x14ac:dyDescent="0.3">
      <c r="N127" s="11"/>
      <c r="O127" s="11"/>
      <c r="P127" s="11"/>
      <c r="Q127" s="11"/>
    </row>
    <row r="128" spans="14:17" ht="15.75" customHeight="1" x14ac:dyDescent="0.3">
      <c r="N128" s="11"/>
      <c r="O128" s="11"/>
      <c r="P128" s="11"/>
      <c r="Q128" s="11"/>
    </row>
    <row r="129" spans="14:17" ht="15.75" customHeight="1" x14ac:dyDescent="0.3">
      <c r="N129" s="11"/>
      <c r="O129" s="11"/>
      <c r="P129" s="11"/>
      <c r="Q129" s="11"/>
    </row>
    <row r="130" spans="14:17" ht="15.75" customHeight="1" x14ac:dyDescent="0.3">
      <c r="N130" s="11"/>
      <c r="O130" s="11"/>
      <c r="P130" s="11"/>
      <c r="Q130" s="11"/>
    </row>
    <row r="131" spans="14:17" ht="15.75" customHeight="1" x14ac:dyDescent="0.3">
      <c r="N131" s="11"/>
      <c r="O131" s="11"/>
      <c r="P131" s="11"/>
      <c r="Q131" s="11"/>
    </row>
    <row r="132" spans="14:17" ht="15.75" customHeight="1" x14ac:dyDescent="0.3">
      <c r="N132" s="11"/>
      <c r="O132" s="11"/>
      <c r="P132" s="11"/>
      <c r="Q132" s="11"/>
    </row>
    <row r="133" spans="14:17" ht="15.75" customHeight="1" x14ac:dyDescent="0.3">
      <c r="N133" s="11"/>
      <c r="O133" s="11"/>
      <c r="P133" s="11"/>
      <c r="Q133" s="11"/>
    </row>
    <row r="134" spans="14:17" ht="15.75" customHeight="1" x14ac:dyDescent="0.3">
      <c r="N134" s="11"/>
      <c r="O134" s="11"/>
      <c r="P134" s="11"/>
      <c r="Q134" s="11"/>
    </row>
    <row r="135" spans="14:17" ht="15.75" customHeight="1" x14ac:dyDescent="0.3">
      <c r="N135" s="11"/>
      <c r="O135" s="11"/>
      <c r="P135" s="11"/>
      <c r="Q135" s="11"/>
    </row>
    <row r="136" spans="14:17" ht="15.75" customHeight="1" x14ac:dyDescent="0.3">
      <c r="N136" s="11"/>
      <c r="O136" s="11"/>
      <c r="P136" s="11"/>
      <c r="Q136" s="11"/>
    </row>
    <row r="137" spans="14:17" ht="15.75" customHeight="1" x14ac:dyDescent="0.3">
      <c r="N137" s="11"/>
      <c r="O137" s="11"/>
      <c r="P137" s="11"/>
      <c r="Q137" s="11"/>
    </row>
    <row r="138" spans="14:17" ht="15.75" customHeight="1" x14ac:dyDescent="0.3">
      <c r="N138" s="11"/>
      <c r="O138" s="11"/>
      <c r="P138" s="11"/>
      <c r="Q138" s="11"/>
    </row>
    <row r="139" spans="14:17" ht="15.75" customHeight="1" x14ac:dyDescent="0.3">
      <c r="N139" s="11"/>
      <c r="O139" s="11"/>
      <c r="P139" s="11"/>
      <c r="Q139" s="11"/>
    </row>
    <row r="140" spans="14:17" ht="15.75" customHeight="1" x14ac:dyDescent="0.3">
      <c r="N140" s="11"/>
      <c r="O140" s="11"/>
      <c r="P140" s="11"/>
      <c r="Q140" s="11"/>
    </row>
    <row r="141" spans="14:17" ht="15.75" customHeight="1" x14ac:dyDescent="0.3">
      <c r="N141" s="11"/>
      <c r="O141" s="11"/>
      <c r="P141" s="11"/>
      <c r="Q141" s="11"/>
    </row>
    <row r="142" spans="14:17" ht="15.75" customHeight="1" x14ac:dyDescent="0.3">
      <c r="N142" s="11"/>
      <c r="O142" s="11"/>
      <c r="P142" s="11"/>
      <c r="Q142" s="11"/>
    </row>
    <row r="143" spans="14:17" ht="15.75" customHeight="1" x14ac:dyDescent="0.3">
      <c r="N143" s="11"/>
      <c r="O143" s="11"/>
      <c r="P143" s="11"/>
      <c r="Q143" s="11"/>
    </row>
    <row r="144" spans="14:17" ht="15.75" customHeight="1" x14ac:dyDescent="0.3">
      <c r="N144" s="11"/>
      <c r="O144" s="11"/>
      <c r="P144" s="11"/>
      <c r="Q144" s="11"/>
    </row>
    <row r="145" spans="14:17" ht="15.75" customHeight="1" x14ac:dyDescent="0.3">
      <c r="N145" s="11"/>
      <c r="O145" s="11"/>
      <c r="P145" s="11"/>
      <c r="Q145" s="11"/>
    </row>
    <row r="146" spans="14:17" ht="15.75" customHeight="1" x14ac:dyDescent="0.3">
      <c r="N146" s="11"/>
      <c r="O146" s="11"/>
      <c r="P146" s="11"/>
      <c r="Q146" s="11"/>
    </row>
    <row r="147" spans="14:17" ht="15.75" customHeight="1" x14ac:dyDescent="0.3">
      <c r="N147" s="11"/>
      <c r="O147" s="11"/>
      <c r="P147" s="11"/>
      <c r="Q147" s="11"/>
    </row>
    <row r="148" spans="14:17" ht="15.75" customHeight="1" x14ac:dyDescent="0.3">
      <c r="N148" s="11"/>
      <c r="O148" s="11"/>
      <c r="P148" s="11"/>
      <c r="Q148" s="11"/>
    </row>
    <row r="149" spans="14:17" ht="15.75" customHeight="1" x14ac:dyDescent="0.3">
      <c r="N149" s="11"/>
      <c r="O149" s="11"/>
      <c r="P149" s="11"/>
      <c r="Q149" s="11"/>
    </row>
    <row r="150" spans="14:17" ht="15.75" customHeight="1" x14ac:dyDescent="0.3">
      <c r="N150" s="11"/>
      <c r="O150" s="11"/>
      <c r="P150" s="11"/>
      <c r="Q150" s="11"/>
    </row>
    <row r="151" spans="14:17" ht="15.75" customHeight="1" x14ac:dyDescent="0.3">
      <c r="N151" s="11"/>
      <c r="O151" s="11"/>
      <c r="P151" s="11"/>
      <c r="Q151" s="11"/>
    </row>
    <row r="152" spans="14:17" ht="15.75" customHeight="1" x14ac:dyDescent="0.3">
      <c r="N152" s="11"/>
      <c r="O152" s="11"/>
      <c r="P152" s="11"/>
      <c r="Q152" s="11"/>
    </row>
    <row r="153" spans="14:17" ht="15.75" customHeight="1" x14ac:dyDescent="0.3">
      <c r="N153" s="11"/>
      <c r="O153" s="11"/>
      <c r="P153" s="11"/>
      <c r="Q153" s="11"/>
    </row>
    <row r="154" spans="14:17" ht="15.75" customHeight="1" x14ac:dyDescent="0.3">
      <c r="N154" s="11"/>
      <c r="O154" s="11"/>
      <c r="P154" s="11"/>
      <c r="Q154" s="11"/>
    </row>
    <row r="155" spans="14:17" ht="15.75" customHeight="1" x14ac:dyDescent="0.3">
      <c r="N155" s="11"/>
      <c r="O155" s="11"/>
      <c r="P155" s="11"/>
      <c r="Q155" s="11"/>
    </row>
    <row r="156" spans="14:17" ht="15.75" customHeight="1" x14ac:dyDescent="0.3">
      <c r="N156" s="11"/>
      <c r="O156" s="11"/>
      <c r="P156" s="11"/>
      <c r="Q156" s="11"/>
    </row>
    <row r="157" spans="14:17" ht="15.75" customHeight="1" x14ac:dyDescent="0.3">
      <c r="N157" s="11"/>
      <c r="O157" s="11"/>
      <c r="P157" s="11"/>
      <c r="Q157" s="11"/>
    </row>
    <row r="158" spans="14:17" ht="15.75" customHeight="1" x14ac:dyDescent="0.3">
      <c r="N158" s="11"/>
      <c r="O158" s="11"/>
      <c r="P158" s="11"/>
      <c r="Q158" s="11"/>
    </row>
    <row r="159" spans="14:17" ht="15.75" customHeight="1" x14ac:dyDescent="0.3">
      <c r="N159" s="11"/>
      <c r="O159" s="11"/>
      <c r="P159" s="11"/>
      <c r="Q159" s="11"/>
    </row>
    <row r="160" spans="14:17" ht="15.75" customHeight="1" x14ac:dyDescent="0.3">
      <c r="N160" s="11"/>
      <c r="O160" s="11"/>
      <c r="P160" s="11"/>
      <c r="Q160" s="11"/>
    </row>
    <row r="161" spans="14:17" ht="15.75" customHeight="1" x14ac:dyDescent="0.3">
      <c r="N161" s="11"/>
      <c r="O161" s="11"/>
      <c r="P161" s="11"/>
      <c r="Q161" s="11"/>
    </row>
    <row r="162" spans="14:17" ht="15.75" customHeight="1" x14ac:dyDescent="0.3">
      <c r="N162" s="11"/>
      <c r="O162" s="11"/>
      <c r="P162" s="11"/>
      <c r="Q162" s="11"/>
    </row>
    <row r="163" spans="14:17" ht="15.75" customHeight="1" x14ac:dyDescent="0.3">
      <c r="N163" s="11"/>
      <c r="O163" s="11"/>
      <c r="P163" s="11"/>
      <c r="Q163" s="11"/>
    </row>
    <row r="164" spans="14:17" ht="15.75" customHeight="1" x14ac:dyDescent="0.3">
      <c r="N164" s="11"/>
      <c r="O164" s="11"/>
      <c r="P164" s="11"/>
      <c r="Q164" s="11"/>
    </row>
    <row r="165" spans="14:17" ht="15.75" customHeight="1" x14ac:dyDescent="0.3">
      <c r="N165" s="11"/>
      <c r="O165" s="11"/>
      <c r="P165" s="11"/>
      <c r="Q165" s="11"/>
    </row>
    <row r="166" spans="14:17" ht="15.75" customHeight="1" x14ac:dyDescent="0.3">
      <c r="N166" s="11"/>
      <c r="O166" s="11"/>
      <c r="P166" s="11"/>
      <c r="Q166" s="11"/>
    </row>
    <row r="167" spans="14:17" ht="15.75" customHeight="1" x14ac:dyDescent="0.3">
      <c r="N167" s="11"/>
      <c r="O167" s="11"/>
      <c r="P167" s="11"/>
      <c r="Q167" s="11"/>
    </row>
    <row r="168" spans="14:17" ht="15.75" customHeight="1" x14ac:dyDescent="0.3">
      <c r="N168" s="11"/>
      <c r="O168" s="11"/>
      <c r="P168" s="11"/>
      <c r="Q168" s="11"/>
    </row>
    <row r="169" spans="14:17" ht="15.75" customHeight="1" x14ac:dyDescent="0.3">
      <c r="N169" s="11"/>
      <c r="O169" s="11"/>
      <c r="P169" s="11"/>
      <c r="Q169" s="11"/>
    </row>
    <row r="170" spans="14:17" ht="15.75" customHeight="1" x14ac:dyDescent="0.3">
      <c r="N170" s="11"/>
      <c r="O170" s="11"/>
      <c r="P170" s="11"/>
      <c r="Q170" s="11"/>
    </row>
    <row r="171" spans="14:17" ht="15.75" customHeight="1" x14ac:dyDescent="0.3">
      <c r="N171" s="11"/>
      <c r="O171" s="11"/>
      <c r="P171" s="11"/>
      <c r="Q171" s="11"/>
    </row>
    <row r="172" spans="14:17" ht="15.75" customHeight="1" x14ac:dyDescent="0.3">
      <c r="N172" s="11"/>
      <c r="O172" s="11"/>
      <c r="P172" s="11"/>
      <c r="Q172" s="11"/>
    </row>
    <row r="173" spans="14:17" ht="15.75" customHeight="1" x14ac:dyDescent="0.3">
      <c r="N173" s="11"/>
      <c r="O173" s="11"/>
      <c r="P173" s="11"/>
      <c r="Q173" s="11"/>
    </row>
    <row r="174" spans="14:17" ht="15.75" customHeight="1" x14ac:dyDescent="0.3">
      <c r="N174" s="11"/>
      <c r="O174" s="11"/>
      <c r="P174" s="11"/>
      <c r="Q174" s="11"/>
    </row>
    <row r="175" spans="14:17" ht="15.75" customHeight="1" x14ac:dyDescent="0.3">
      <c r="N175" s="11"/>
      <c r="O175" s="11"/>
      <c r="P175" s="11"/>
      <c r="Q175" s="11"/>
    </row>
    <row r="176" spans="14:17" ht="15.75" customHeight="1" x14ac:dyDescent="0.3">
      <c r="N176" s="11"/>
      <c r="O176" s="11"/>
      <c r="P176" s="11"/>
      <c r="Q176" s="11"/>
    </row>
    <row r="177" spans="14:17" ht="15.75" customHeight="1" x14ac:dyDescent="0.3">
      <c r="N177" s="11"/>
      <c r="O177" s="11"/>
      <c r="P177" s="11"/>
      <c r="Q177" s="11"/>
    </row>
    <row r="178" spans="14:17" ht="15.75" customHeight="1" x14ac:dyDescent="0.3">
      <c r="N178" s="11"/>
      <c r="O178" s="11"/>
      <c r="P178" s="11"/>
      <c r="Q178" s="11"/>
    </row>
    <row r="179" spans="14:17" ht="15.75" customHeight="1" x14ac:dyDescent="0.3">
      <c r="N179" s="11"/>
      <c r="O179" s="11"/>
      <c r="P179" s="11"/>
      <c r="Q179" s="11"/>
    </row>
    <row r="180" spans="14:17" ht="15.75" customHeight="1" x14ac:dyDescent="0.3">
      <c r="N180" s="11"/>
      <c r="O180" s="11"/>
      <c r="P180" s="11"/>
      <c r="Q180" s="11"/>
    </row>
    <row r="181" spans="14:17" ht="15.75" customHeight="1" x14ac:dyDescent="0.3">
      <c r="N181" s="11"/>
      <c r="O181" s="11"/>
      <c r="P181" s="11"/>
      <c r="Q181" s="11"/>
    </row>
    <row r="182" spans="14:17" ht="15.75" customHeight="1" x14ac:dyDescent="0.3">
      <c r="N182" s="11"/>
      <c r="O182" s="11"/>
      <c r="P182" s="11"/>
      <c r="Q182" s="11"/>
    </row>
    <row r="183" spans="14:17" ht="15.75" customHeight="1" x14ac:dyDescent="0.3">
      <c r="N183" s="11"/>
      <c r="O183" s="11"/>
      <c r="P183" s="11"/>
      <c r="Q183" s="11"/>
    </row>
    <row r="184" spans="14:17" ht="15.75" customHeight="1" x14ac:dyDescent="0.3">
      <c r="N184" s="11"/>
      <c r="O184" s="11"/>
      <c r="P184" s="11"/>
      <c r="Q184" s="11"/>
    </row>
    <row r="185" spans="14:17" ht="15.75" customHeight="1" x14ac:dyDescent="0.3">
      <c r="N185" s="11"/>
      <c r="O185" s="11"/>
      <c r="P185" s="11"/>
      <c r="Q185" s="11"/>
    </row>
    <row r="186" spans="14:17" ht="15.75" customHeight="1" x14ac:dyDescent="0.3">
      <c r="N186" s="11"/>
      <c r="O186" s="11"/>
      <c r="P186" s="11"/>
      <c r="Q186" s="11"/>
    </row>
    <row r="187" spans="14:17" ht="15.75" customHeight="1" x14ac:dyDescent="0.3">
      <c r="N187" s="11"/>
      <c r="O187" s="11"/>
      <c r="P187" s="11"/>
      <c r="Q187" s="11"/>
    </row>
    <row r="188" spans="14:17" ht="15.75" customHeight="1" x14ac:dyDescent="0.3">
      <c r="N188" s="11"/>
      <c r="O188" s="11"/>
      <c r="P188" s="11"/>
      <c r="Q188" s="11"/>
    </row>
    <row r="189" spans="14:17" ht="15.75" customHeight="1" x14ac:dyDescent="0.3">
      <c r="N189" s="11"/>
      <c r="O189" s="11"/>
      <c r="P189" s="11"/>
      <c r="Q189" s="11"/>
    </row>
    <row r="190" spans="14:17" ht="15.75" customHeight="1" x14ac:dyDescent="0.3">
      <c r="N190" s="11"/>
      <c r="O190" s="11"/>
      <c r="P190" s="11"/>
      <c r="Q190" s="11"/>
    </row>
    <row r="191" spans="14:17" ht="15.75" customHeight="1" x14ac:dyDescent="0.3">
      <c r="N191" s="11"/>
      <c r="O191" s="11"/>
      <c r="P191" s="11"/>
      <c r="Q191" s="11"/>
    </row>
    <row r="192" spans="14:17" ht="15.75" customHeight="1" x14ac:dyDescent="0.3">
      <c r="N192" s="11"/>
      <c r="O192" s="11"/>
      <c r="P192" s="11"/>
      <c r="Q192" s="11"/>
    </row>
    <row r="193" spans="14:17" ht="15.75" customHeight="1" x14ac:dyDescent="0.3">
      <c r="N193" s="11"/>
      <c r="O193" s="11"/>
      <c r="P193" s="11"/>
      <c r="Q193" s="11"/>
    </row>
    <row r="194" spans="14:17" ht="15.75" customHeight="1" x14ac:dyDescent="0.3">
      <c r="N194" s="11"/>
      <c r="O194" s="11"/>
      <c r="P194" s="11"/>
      <c r="Q194" s="11"/>
    </row>
    <row r="195" spans="14:17" ht="15.75" customHeight="1" x14ac:dyDescent="0.3">
      <c r="N195" s="11"/>
      <c r="O195" s="11"/>
      <c r="P195" s="11"/>
      <c r="Q195" s="11"/>
    </row>
    <row r="196" spans="14:17" ht="15.75" customHeight="1" x14ac:dyDescent="0.3">
      <c r="N196" s="11"/>
      <c r="O196" s="11"/>
      <c r="P196" s="11"/>
      <c r="Q196" s="11"/>
    </row>
    <row r="197" spans="14:17" ht="15.75" customHeight="1" x14ac:dyDescent="0.3">
      <c r="N197" s="11"/>
      <c r="O197" s="11"/>
      <c r="P197" s="11"/>
      <c r="Q197" s="11"/>
    </row>
    <row r="198" spans="14:17" ht="15.75" customHeight="1" x14ac:dyDescent="0.3">
      <c r="N198" s="11"/>
      <c r="O198" s="11"/>
      <c r="P198" s="11"/>
      <c r="Q198" s="11"/>
    </row>
    <row r="199" spans="14:17" ht="15.75" customHeight="1" x14ac:dyDescent="0.3">
      <c r="N199" s="11"/>
      <c r="O199" s="11"/>
      <c r="P199" s="11"/>
      <c r="Q199" s="11"/>
    </row>
    <row r="200" spans="14:17" ht="15.75" customHeight="1" x14ac:dyDescent="0.3">
      <c r="N200" s="11"/>
      <c r="O200" s="11"/>
      <c r="P200" s="11"/>
      <c r="Q200" s="11"/>
    </row>
    <row r="201" spans="14:17" ht="15.75" customHeight="1" x14ac:dyDescent="0.3">
      <c r="N201" s="11"/>
      <c r="O201" s="11"/>
      <c r="P201" s="11"/>
      <c r="Q201" s="11"/>
    </row>
    <row r="202" spans="14:17" ht="15.75" customHeight="1" x14ac:dyDescent="0.3">
      <c r="N202" s="11"/>
      <c r="O202" s="11"/>
      <c r="P202" s="11"/>
      <c r="Q202" s="11"/>
    </row>
    <row r="203" spans="14:17" ht="15.75" customHeight="1" x14ac:dyDescent="0.3">
      <c r="N203" s="11"/>
      <c r="O203" s="11"/>
      <c r="P203" s="11"/>
      <c r="Q203" s="11"/>
    </row>
    <row r="204" spans="14:17" ht="15.75" customHeight="1" x14ac:dyDescent="0.3">
      <c r="N204" s="11"/>
      <c r="O204" s="11"/>
      <c r="P204" s="11"/>
      <c r="Q204" s="11"/>
    </row>
    <row r="205" spans="14:17" ht="15.75" customHeight="1" x14ac:dyDescent="0.3">
      <c r="N205" s="11"/>
      <c r="O205" s="11"/>
      <c r="P205" s="11"/>
      <c r="Q205" s="11"/>
    </row>
    <row r="206" spans="14:17" ht="15.75" customHeight="1" x14ac:dyDescent="0.3">
      <c r="N206" s="11"/>
      <c r="O206" s="11"/>
      <c r="P206" s="11"/>
      <c r="Q206" s="11"/>
    </row>
    <row r="207" spans="14:17" ht="15.75" customHeight="1" x14ac:dyDescent="0.3">
      <c r="N207" s="11"/>
      <c r="O207" s="11"/>
      <c r="P207" s="11"/>
      <c r="Q207" s="11"/>
    </row>
    <row r="208" spans="14:17" ht="15.75" customHeight="1" x14ac:dyDescent="0.3">
      <c r="N208" s="11"/>
      <c r="O208" s="11"/>
      <c r="P208" s="11"/>
      <c r="Q208" s="11"/>
    </row>
    <row r="209" spans="14:17" ht="15.75" customHeight="1" x14ac:dyDescent="0.3">
      <c r="N209" s="11"/>
      <c r="O209" s="11"/>
      <c r="P209" s="11"/>
      <c r="Q209" s="11"/>
    </row>
    <row r="210" spans="14:17" ht="15.75" customHeight="1" x14ac:dyDescent="0.3">
      <c r="N210" s="11"/>
      <c r="O210" s="11"/>
      <c r="P210" s="11"/>
      <c r="Q210" s="11"/>
    </row>
    <row r="211" spans="14:17" ht="15.75" customHeight="1" x14ac:dyDescent="0.3">
      <c r="N211" s="11"/>
      <c r="O211" s="11"/>
      <c r="P211" s="11"/>
      <c r="Q211" s="11"/>
    </row>
    <row r="212" spans="14:17" ht="15.75" customHeight="1" x14ac:dyDescent="0.3">
      <c r="N212" s="11"/>
      <c r="O212" s="11"/>
      <c r="P212" s="11"/>
      <c r="Q212" s="11"/>
    </row>
    <row r="213" spans="14:17" ht="15.75" customHeight="1" x14ac:dyDescent="0.3">
      <c r="N213" s="11"/>
      <c r="O213" s="11"/>
      <c r="P213" s="11"/>
      <c r="Q213" s="11"/>
    </row>
    <row r="214" spans="14:17" ht="15.75" customHeight="1" x14ac:dyDescent="0.3">
      <c r="N214" s="11"/>
      <c r="O214" s="11"/>
      <c r="P214" s="11"/>
      <c r="Q214" s="11"/>
    </row>
    <row r="215" spans="14:17" ht="15.75" customHeight="1" x14ac:dyDescent="0.3">
      <c r="N215" s="11"/>
      <c r="O215" s="11"/>
      <c r="P215" s="11"/>
      <c r="Q215" s="11"/>
    </row>
    <row r="216" spans="14:17" ht="15.75" customHeight="1" x14ac:dyDescent="0.3">
      <c r="N216" s="11"/>
      <c r="O216" s="11"/>
      <c r="P216" s="11"/>
      <c r="Q216" s="11"/>
    </row>
    <row r="217" spans="14:17" ht="15.75" customHeight="1" x14ac:dyDescent="0.3">
      <c r="N217" s="11"/>
      <c r="O217" s="11"/>
      <c r="P217" s="11"/>
      <c r="Q217" s="11"/>
    </row>
    <row r="218" spans="14:17" ht="15.75" customHeight="1" x14ac:dyDescent="0.3">
      <c r="N218" s="11"/>
      <c r="O218" s="11"/>
      <c r="P218" s="11"/>
      <c r="Q218" s="11"/>
    </row>
    <row r="219" spans="14:17" ht="15.75" customHeight="1" x14ac:dyDescent="0.3">
      <c r="N219" s="11"/>
      <c r="O219" s="11"/>
      <c r="P219" s="11"/>
      <c r="Q219" s="11"/>
    </row>
    <row r="220" spans="14:17" ht="15.75" customHeight="1" x14ac:dyDescent="0.3">
      <c r="N220" s="11"/>
      <c r="O220" s="11"/>
      <c r="P220" s="11"/>
      <c r="Q220" s="11"/>
    </row>
    <row r="221" spans="14:17" ht="15.75" customHeight="1" x14ac:dyDescent="0.3">
      <c r="N221" s="11"/>
      <c r="O221" s="11"/>
      <c r="P221" s="11"/>
      <c r="Q221" s="11"/>
    </row>
    <row r="222" spans="14:17" ht="15.75" customHeight="1" x14ac:dyDescent="0.3">
      <c r="N222" s="11"/>
      <c r="O222" s="11"/>
      <c r="P222" s="11"/>
      <c r="Q222" s="11"/>
    </row>
    <row r="223" spans="14:17" ht="15.75" customHeight="1" x14ac:dyDescent="0.3">
      <c r="N223" s="11"/>
      <c r="O223" s="11"/>
      <c r="P223" s="11"/>
      <c r="Q223" s="11"/>
    </row>
    <row r="224" spans="14:17" ht="15.75" customHeight="1" x14ac:dyDescent="0.3">
      <c r="N224" s="11"/>
      <c r="O224" s="11"/>
      <c r="P224" s="11"/>
      <c r="Q224" s="11"/>
    </row>
    <row r="225" spans="14:17" ht="15.75" customHeight="1" x14ac:dyDescent="0.3">
      <c r="N225" s="11"/>
      <c r="O225" s="11"/>
      <c r="P225" s="11"/>
      <c r="Q225" s="11"/>
    </row>
    <row r="226" spans="14:17" ht="15.75" customHeight="1" x14ac:dyDescent="0.3">
      <c r="N226" s="11"/>
      <c r="O226" s="11"/>
      <c r="P226" s="11"/>
      <c r="Q226" s="11"/>
    </row>
    <row r="227" spans="14:17" ht="15.75" customHeight="1" x14ac:dyDescent="0.3">
      <c r="N227" s="11"/>
      <c r="O227" s="11"/>
      <c r="P227" s="11"/>
      <c r="Q227" s="11"/>
    </row>
    <row r="228" spans="14:17" ht="15.75" customHeight="1" x14ac:dyDescent="0.3">
      <c r="N228" s="11"/>
      <c r="O228" s="11"/>
      <c r="P228" s="11"/>
      <c r="Q228" s="11"/>
    </row>
    <row r="229" spans="14:17" ht="15.75" customHeight="1" x14ac:dyDescent="0.3">
      <c r="N229" s="11"/>
      <c r="O229" s="11"/>
      <c r="P229" s="11"/>
      <c r="Q229" s="11"/>
    </row>
    <row r="230" spans="14:17" ht="15.75" customHeight="1" x14ac:dyDescent="0.3">
      <c r="N230" s="11"/>
      <c r="O230" s="11"/>
      <c r="P230" s="11"/>
      <c r="Q230" s="11"/>
    </row>
    <row r="231" spans="14:17" ht="15.75" customHeight="1" x14ac:dyDescent="0.3">
      <c r="N231" s="11"/>
      <c r="O231" s="11"/>
      <c r="P231" s="11"/>
      <c r="Q231" s="11"/>
    </row>
    <row r="232" spans="14:17" ht="15.75" customHeight="1" x14ac:dyDescent="0.3">
      <c r="N232" s="11"/>
      <c r="O232" s="11"/>
      <c r="P232" s="11"/>
      <c r="Q232" s="11"/>
    </row>
    <row r="233" spans="14:17" ht="15.75" customHeight="1" x14ac:dyDescent="0.3">
      <c r="N233" s="11"/>
      <c r="O233" s="11"/>
      <c r="P233" s="11"/>
      <c r="Q233" s="11"/>
    </row>
    <row r="234" spans="14:17" ht="15.75" customHeight="1" x14ac:dyDescent="0.3">
      <c r="N234" s="11"/>
      <c r="O234" s="11"/>
      <c r="P234" s="11"/>
      <c r="Q234" s="11"/>
    </row>
    <row r="235" spans="14:17" ht="15.75" customHeight="1" x14ac:dyDescent="0.3">
      <c r="N235" s="11"/>
      <c r="O235" s="11"/>
      <c r="P235" s="11"/>
      <c r="Q235" s="11"/>
    </row>
    <row r="236" spans="14:17" ht="15.75" customHeight="1" x14ac:dyDescent="0.3">
      <c r="N236" s="11"/>
      <c r="O236" s="11"/>
      <c r="P236" s="11"/>
      <c r="Q236" s="11"/>
    </row>
    <row r="237" spans="14:17" ht="15.75" customHeight="1" x14ac:dyDescent="0.3">
      <c r="N237" s="11"/>
      <c r="O237" s="11"/>
      <c r="P237" s="11"/>
      <c r="Q237" s="11"/>
    </row>
    <row r="238" spans="14:17" ht="15.75" customHeight="1" x14ac:dyDescent="0.3">
      <c r="N238" s="11"/>
      <c r="O238" s="11"/>
      <c r="P238" s="11"/>
      <c r="Q238" s="11"/>
    </row>
    <row r="239" spans="14:17" ht="15.75" customHeight="1" x14ac:dyDescent="0.3">
      <c r="N239" s="11"/>
      <c r="O239" s="11"/>
      <c r="P239" s="11"/>
      <c r="Q239" s="11"/>
    </row>
    <row r="240" spans="14:17" ht="15.75" customHeight="1" x14ac:dyDescent="0.3">
      <c r="N240" s="11"/>
      <c r="O240" s="11"/>
      <c r="P240" s="11"/>
      <c r="Q240" s="11"/>
    </row>
    <row r="241" spans="14:17" ht="15.75" customHeight="1" x14ac:dyDescent="0.3">
      <c r="N241" s="11"/>
      <c r="O241" s="11"/>
      <c r="P241" s="11"/>
      <c r="Q241" s="11"/>
    </row>
    <row r="242" spans="14:17" ht="15.75" customHeight="1" x14ac:dyDescent="0.3">
      <c r="N242" s="11"/>
      <c r="O242" s="11"/>
      <c r="P242" s="11"/>
      <c r="Q242" s="11"/>
    </row>
    <row r="243" spans="14:17" ht="15.75" customHeight="1" x14ac:dyDescent="0.3">
      <c r="N243" s="11"/>
      <c r="O243" s="11"/>
      <c r="P243" s="11"/>
      <c r="Q243" s="11"/>
    </row>
    <row r="244" spans="14:17" ht="15.75" customHeight="1" x14ac:dyDescent="0.3">
      <c r="N244" s="11"/>
      <c r="O244" s="11"/>
      <c r="P244" s="11"/>
      <c r="Q244" s="11"/>
    </row>
    <row r="245" spans="14:17" ht="15.75" customHeight="1" x14ac:dyDescent="0.3">
      <c r="N245" s="11"/>
      <c r="O245" s="11"/>
      <c r="P245" s="11"/>
      <c r="Q245" s="11"/>
    </row>
    <row r="246" spans="14:17" ht="15.75" customHeight="1" x14ac:dyDescent="0.3">
      <c r="N246" s="11"/>
      <c r="O246" s="11"/>
      <c r="P246" s="11"/>
      <c r="Q246" s="11"/>
    </row>
    <row r="247" spans="14:17" ht="15.75" customHeight="1" x14ac:dyDescent="0.3">
      <c r="N247" s="11"/>
      <c r="O247" s="11"/>
      <c r="P247" s="11"/>
      <c r="Q247" s="11"/>
    </row>
    <row r="248" spans="14:17" ht="15.75" customHeight="1" x14ac:dyDescent="0.3">
      <c r="N248" s="11"/>
      <c r="O248" s="11"/>
      <c r="P248" s="11"/>
      <c r="Q248" s="11"/>
    </row>
    <row r="249" spans="14:17" ht="15.75" customHeight="1" x14ac:dyDescent="0.3">
      <c r="N249" s="11"/>
      <c r="O249" s="11"/>
      <c r="P249" s="11"/>
      <c r="Q249" s="11"/>
    </row>
    <row r="250" spans="14:17" ht="15.75" customHeight="1" x14ac:dyDescent="0.3">
      <c r="N250" s="11"/>
      <c r="O250" s="11"/>
      <c r="P250" s="11"/>
      <c r="Q250" s="11"/>
    </row>
    <row r="251" spans="14:17" ht="15.75" customHeight="1" x14ac:dyDescent="0.3">
      <c r="N251" s="11"/>
      <c r="O251" s="11"/>
      <c r="P251" s="11"/>
      <c r="Q251" s="11"/>
    </row>
    <row r="252" spans="14:17" ht="15.75" customHeight="1" x14ac:dyDescent="0.3">
      <c r="N252" s="11"/>
      <c r="O252" s="11"/>
      <c r="P252" s="11"/>
      <c r="Q252" s="11"/>
    </row>
    <row r="253" spans="14:17" ht="15.75" customHeight="1" x14ac:dyDescent="0.3">
      <c r="N253" s="11"/>
      <c r="O253" s="11"/>
      <c r="P253" s="11"/>
      <c r="Q253" s="11"/>
    </row>
    <row r="254" spans="14:17" ht="15.75" customHeight="1" x14ac:dyDescent="0.3">
      <c r="N254" s="11"/>
      <c r="O254" s="11"/>
      <c r="P254" s="11"/>
      <c r="Q254" s="11"/>
    </row>
    <row r="255" spans="14:17" ht="15.75" customHeight="1" x14ac:dyDescent="0.3">
      <c r="N255" s="11"/>
      <c r="O255" s="11"/>
      <c r="P255" s="11"/>
      <c r="Q255" s="11"/>
    </row>
    <row r="256" spans="14:17" ht="15.75" customHeight="1" x14ac:dyDescent="0.3">
      <c r="N256" s="11"/>
      <c r="O256" s="11"/>
      <c r="P256" s="11"/>
      <c r="Q256" s="11"/>
    </row>
    <row r="257" spans="14:17" ht="15.75" customHeight="1" x14ac:dyDescent="0.3">
      <c r="N257" s="11"/>
      <c r="O257" s="11"/>
      <c r="P257" s="11"/>
      <c r="Q257" s="11"/>
    </row>
    <row r="258" spans="14:17" ht="15.75" customHeight="1" x14ac:dyDescent="0.3">
      <c r="N258" s="11"/>
      <c r="O258" s="11"/>
      <c r="P258" s="11"/>
      <c r="Q258" s="11"/>
    </row>
    <row r="259" spans="14:17" ht="15.75" customHeight="1" x14ac:dyDescent="0.3">
      <c r="N259" s="11"/>
      <c r="O259" s="11"/>
      <c r="P259" s="11"/>
      <c r="Q259" s="11"/>
    </row>
    <row r="260" spans="14:17" ht="15.75" customHeight="1" x14ac:dyDescent="0.3">
      <c r="N260" s="11"/>
      <c r="O260" s="11"/>
      <c r="P260" s="11"/>
      <c r="Q260" s="11"/>
    </row>
    <row r="261" spans="14:17" ht="15.75" customHeight="1" x14ac:dyDescent="0.3">
      <c r="N261" s="11"/>
      <c r="O261" s="11"/>
      <c r="P261" s="11"/>
      <c r="Q261" s="11"/>
    </row>
    <row r="262" spans="14:17" ht="15.75" customHeight="1" x14ac:dyDescent="0.3">
      <c r="N262" s="11"/>
      <c r="O262" s="11"/>
      <c r="P262" s="11"/>
      <c r="Q262" s="11"/>
    </row>
    <row r="263" spans="14:17" ht="15.75" customHeight="1" x14ac:dyDescent="0.3">
      <c r="N263" s="11"/>
      <c r="O263" s="11"/>
      <c r="P263" s="11"/>
      <c r="Q263" s="11"/>
    </row>
    <row r="264" spans="14:17" ht="15.75" customHeight="1" x14ac:dyDescent="0.3">
      <c r="N264" s="11"/>
      <c r="O264" s="11"/>
      <c r="P264" s="11"/>
      <c r="Q264" s="11"/>
    </row>
    <row r="265" spans="14:17" ht="15.75" customHeight="1" x14ac:dyDescent="0.3">
      <c r="N265" s="11"/>
      <c r="O265" s="11"/>
      <c r="P265" s="11"/>
      <c r="Q265" s="11"/>
    </row>
    <row r="266" spans="14:17" ht="15.75" customHeight="1" x14ac:dyDescent="0.3">
      <c r="N266" s="11"/>
      <c r="O266" s="11"/>
      <c r="P266" s="11"/>
      <c r="Q266" s="11"/>
    </row>
    <row r="267" spans="14:17" ht="15.75" customHeight="1" x14ac:dyDescent="0.3">
      <c r="N267" s="11"/>
      <c r="O267" s="11"/>
      <c r="P267" s="11"/>
      <c r="Q267" s="11"/>
    </row>
    <row r="268" spans="14:17" ht="15.75" customHeight="1" x14ac:dyDescent="0.3">
      <c r="N268" s="11"/>
      <c r="O268" s="11"/>
      <c r="P268" s="11"/>
      <c r="Q268" s="11"/>
    </row>
    <row r="269" spans="14:17" ht="15.75" customHeight="1" x14ac:dyDescent="0.3">
      <c r="N269" s="11"/>
      <c r="O269" s="11"/>
      <c r="P269" s="11"/>
      <c r="Q269" s="11"/>
    </row>
    <row r="270" spans="14:17" ht="15.75" customHeight="1" x14ac:dyDescent="0.3">
      <c r="N270" s="11"/>
      <c r="O270" s="11"/>
      <c r="P270" s="11"/>
      <c r="Q270" s="11"/>
    </row>
    <row r="271" spans="14:17" ht="15.75" customHeight="1" x14ac:dyDescent="0.3">
      <c r="N271" s="11"/>
      <c r="O271" s="11"/>
      <c r="P271" s="11"/>
      <c r="Q271" s="11"/>
    </row>
    <row r="272" spans="14:17" ht="15.75" customHeight="1" x14ac:dyDescent="0.3">
      <c r="N272" s="11"/>
      <c r="O272" s="11"/>
      <c r="P272" s="11"/>
      <c r="Q272" s="11"/>
    </row>
    <row r="273" spans="14:17" ht="15.75" customHeight="1" x14ac:dyDescent="0.3">
      <c r="N273" s="11"/>
      <c r="O273" s="11"/>
      <c r="P273" s="11"/>
      <c r="Q273" s="11"/>
    </row>
    <row r="274" spans="14:17" ht="15.75" customHeight="1" x14ac:dyDescent="0.3">
      <c r="N274" s="11"/>
      <c r="O274" s="11"/>
      <c r="P274" s="11"/>
      <c r="Q274" s="11"/>
    </row>
    <row r="275" spans="14:17" ht="15.75" customHeight="1" x14ac:dyDescent="0.3">
      <c r="N275" s="11"/>
      <c r="O275" s="11"/>
      <c r="P275" s="11"/>
      <c r="Q275" s="11"/>
    </row>
    <row r="276" spans="14:17" ht="15.75" customHeight="1" x14ac:dyDescent="0.3">
      <c r="N276" s="11"/>
      <c r="O276" s="11"/>
      <c r="P276" s="11"/>
      <c r="Q276" s="11"/>
    </row>
    <row r="277" spans="14:17" ht="15.75" customHeight="1" x14ac:dyDescent="0.3">
      <c r="N277" s="11"/>
      <c r="O277" s="11"/>
      <c r="P277" s="11"/>
      <c r="Q277" s="11"/>
    </row>
    <row r="278" spans="14:17" ht="15.75" customHeight="1" x14ac:dyDescent="0.3">
      <c r="N278" s="11"/>
      <c r="O278" s="11"/>
      <c r="P278" s="11"/>
      <c r="Q278" s="11"/>
    </row>
    <row r="279" spans="14:17" ht="15.75" customHeight="1" x14ac:dyDescent="0.3">
      <c r="N279" s="11"/>
      <c r="O279" s="11"/>
      <c r="P279" s="11"/>
      <c r="Q279" s="11"/>
    </row>
    <row r="280" spans="14:17" ht="15.75" customHeight="1" x14ac:dyDescent="0.3">
      <c r="N280" s="11"/>
      <c r="O280" s="11"/>
      <c r="P280" s="11"/>
      <c r="Q280" s="11"/>
    </row>
    <row r="281" spans="14:17" ht="15.75" customHeight="1" x14ac:dyDescent="0.3">
      <c r="N281" s="11"/>
      <c r="O281" s="11"/>
      <c r="P281" s="11"/>
      <c r="Q281" s="11"/>
    </row>
    <row r="282" spans="14:17" ht="15.75" customHeight="1" x14ac:dyDescent="0.3">
      <c r="N282" s="11"/>
      <c r="O282" s="11"/>
      <c r="P282" s="11"/>
      <c r="Q282" s="11"/>
    </row>
    <row r="283" spans="14:17" ht="15.75" customHeight="1" x14ac:dyDescent="0.3">
      <c r="N283" s="11"/>
      <c r="O283" s="11"/>
      <c r="P283" s="11"/>
      <c r="Q283" s="11"/>
    </row>
    <row r="284" spans="14:17" ht="15.75" customHeight="1" x14ac:dyDescent="0.3">
      <c r="N284" s="11"/>
      <c r="O284" s="11"/>
      <c r="P284" s="11"/>
      <c r="Q284" s="11"/>
    </row>
    <row r="285" spans="14:17" ht="15.75" customHeight="1" x14ac:dyDescent="0.3">
      <c r="N285" s="11"/>
      <c r="O285" s="11"/>
      <c r="P285" s="11"/>
      <c r="Q285" s="11"/>
    </row>
    <row r="286" spans="14:17" ht="15.75" customHeight="1" x14ac:dyDescent="0.3">
      <c r="N286" s="11"/>
      <c r="O286" s="11"/>
      <c r="P286" s="11"/>
      <c r="Q286" s="11"/>
    </row>
    <row r="287" spans="14:17" ht="15.75" customHeight="1" x14ac:dyDescent="0.3">
      <c r="N287" s="11"/>
      <c r="O287" s="11"/>
      <c r="P287" s="11"/>
      <c r="Q287" s="11"/>
    </row>
    <row r="288" spans="14:17" ht="15.75" customHeight="1" x14ac:dyDescent="0.3">
      <c r="N288" s="11"/>
      <c r="O288" s="11"/>
      <c r="P288" s="11"/>
      <c r="Q288" s="11"/>
    </row>
    <row r="289" spans="14:17" ht="15.75" customHeight="1" x14ac:dyDescent="0.3">
      <c r="N289" s="11"/>
      <c r="O289" s="11"/>
      <c r="P289" s="11"/>
      <c r="Q289" s="11"/>
    </row>
    <row r="290" spans="14:17" ht="15.75" customHeight="1" x14ac:dyDescent="0.3">
      <c r="N290" s="11"/>
      <c r="O290" s="11"/>
      <c r="P290" s="11"/>
      <c r="Q290" s="11"/>
    </row>
    <row r="291" spans="14:17" ht="15.75" customHeight="1" x14ac:dyDescent="0.3">
      <c r="N291" s="11"/>
      <c r="O291" s="11"/>
      <c r="P291" s="11"/>
      <c r="Q291" s="11"/>
    </row>
    <row r="292" spans="14:17" ht="15.75" customHeight="1" x14ac:dyDescent="0.3">
      <c r="N292" s="11"/>
      <c r="O292" s="11"/>
      <c r="P292" s="11"/>
      <c r="Q292" s="11"/>
    </row>
    <row r="293" spans="14:17" ht="15.75" customHeight="1" x14ac:dyDescent="0.3">
      <c r="N293" s="11"/>
      <c r="O293" s="11"/>
      <c r="P293" s="11"/>
      <c r="Q293" s="11"/>
    </row>
    <row r="294" spans="14:17" ht="15.75" customHeight="1" x14ac:dyDescent="0.3">
      <c r="N294" s="11"/>
      <c r="O294" s="11"/>
      <c r="P294" s="11"/>
      <c r="Q294" s="11"/>
    </row>
    <row r="295" spans="14:17" ht="15.75" customHeight="1" x14ac:dyDescent="0.3">
      <c r="N295" s="11"/>
      <c r="O295" s="11"/>
      <c r="P295" s="11"/>
      <c r="Q295" s="11"/>
    </row>
    <row r="296" spans="14:17" ht="15.75" customHeight="1" x14ac:dyDescent="0.3">
      <c r="N296" s="11"/>
      <c r="O296" s="11"/>
      <c r="P296" s="11"/>
      <c r="Q296" s="11"/>
    </row>
    <row r="297" spans="14:17" ht="15.75" customHeight="1" x14ac:dyDescent="0.3">
      <c r="N297" s="11"/>
      <c r="O297" s="11"/>
      <c r="P297" s="11"/>
      <c r="Q297" s="11"/>
    </row>
    <row r="298" spans="14:17" ht="15.75" customHeight="1" x14ac:dyDescent="0.3">
      <c r="N298" s="11"/>
      <c r="O298" s="11"/>
      <c r="P298" s="11"/>
      <c r="Q298" s="11"/>
    </row>
    <row r="299" spans="14:17" ht="15.75" customHeight="1" x14ac:dyDescent="0.3">
      <c r="N299" s="11"/>
      <c r="O299" s="11"/>
      <c r="P299" s="11"/>
      <c r="Q299" s="11"/>
    </row>
    <row r="300" spans="14:17" ht="15.75" customHeight="1" x14ac:dyDescent="0.3">
      <c r="N300" s="11"/>
      <c r="O300" s="11"/>
      <c r="P300" s="11"/>
      <c r="Q300" s="11"/>
    </row>
    <row r="301" spans="14:17" ht="15.75" customHeight="1" x14ac:dyDescent="0.3">
      <c r="N301" s="11"/>
      <c r="O301" s="11"/>
      <c r="P301" s="11"/>
      <c r="Q301" s="11"/>
    </row>
    <row r="302" spans="14:17" ht="15.75" customHeight="1" x14ac:dyDescent="0.3">
      <c r="N302" s="11"/>
      <c r="O302" s="11"/>
      <c r="P302" s="11"/>
      <c r="Q302" s="11"/>
    </row>
    <row r="303" spans="14:17" ht="15.75" customHeight="1" x14ac:dyDescent="0.3">
      <c r="N303" s="11"/>
      <c r="O303" s="11"/>
      <c r="P303" s="11"/>
      <c r="Q303" s="11"/>
    </row>
    <row r="304" spans="14:17" ht="15.75" customHeight="1" x14ac:dyDescent="0.3">
      <c r="N304" s="11"/>
      <c r="O304" s="11"/>
      <c r="P304" s="11"/>
      <c r="Q304" s="11"/>
    </row>
    <row r="305" spans="14:17" ht="15.75" customHeight="1" x14ac:dyDescent="0.3">
      <c r="N305" s="11"/>
      <c r="O305" s="11"/>
      <c r="P305" s="11"/>
      <c r="Q305" s="11"/>
    </row>
    <row r="306" spans="14:17" ht="15.75" customHeight="1" x14ac:dyDescent="0.3">
      <c r="N306" s="11"/>
      <c r="O306" s="11"/>
      <c r="P306" s="11"/>
      <c r="Q306" s="11"/>
    </row>
    <row r="307" spans="14:17" ht="15.75" customHeight="1" x14ac:dyDescent="0.3">
      <c r="N307" s="11"/>
      <c r="O307" s="11"/>
      <c r="P307" s="11"/>
      <c r="Q307" s="11"/>
    </row>
    <row r="308" spans="14:17" ht="15.75" customHeight="1" x14ac:dyDescent="0.3">
      <c r="N308" s="11"/>
      <c r="O308" s="11"/>
      <c r="P308" s="11"/>
      <c r="Q308" s="11"/>
    </row>
    <row r="309" spans="14:17" ht="15.75" customHeight="1" x14ac:dyDescent="0.3">
      <c r="N309" s="11"/>
      <c r="O309" s="11"/>
      <c r="P309" s="11"/>
      <c r="Q309" s="11"/>
    </row>
    <row r="310" spans="14:17" ht="15.75" customHeight="1" x14ac:dyDescent="0.3">
      <c r="N310" s="11"/>
      <c r="O310" s="11"/>
      <c r="P310" s="11"/>
      <c r="Q310" s="11"/>
    </row>
    <row r="311" spans="14:17" ht="15.75" customHeight="1" x14ac:dyDescent="0.3">
      <c r="N311" s="11"/>
      <c r="O311" s="11"/>
      <c r="P311" s="11"/>
      <c r="Q311" s="11"/>
    </row>
    <row r="312" spans="14:17" ht="15.75" customHeight="1" x14ac:dyDescent="0.3">
      <c r="N312" s="11"/>
      <c r="O312" s="11"/>
      <c r="P312" s="11"/>
      <c r="Q312" s="11"/>
    </row>
    <row r="313" spans="14:17" ht="15.75" customHeight="1" x14ac:dyDescent="0.3">
      <c r="N313" s="11"/>
      <c r="O313" s="11"/>
      <c r="P313" s="11"/>
      <c r="Q313" s="11"/>
    </row>
    <row r="314" spans="14:17" ht="15.75" customHeight="1" x14ac:dyDescent="0.3">
      <c r="N314" s="11"/>
      <c r="O314" s="11"/>
      <c r="P314" s="11"/>
      <c r="Q314" s="11"/>
    </row>
    <row r="315" spans="14:17" ht="15.75" customHeight="1" x14ac:dyDescent="0.3">
      <c r="N315" s="11"/>
      <c r="O315" s="11"/>
      <c r="P315" s="11"/>
      <c r="Q315" s="11"/>
    </row>
    <row r="316" spans="14:17" ht="15.75" customHeight="1" x14ac:dyDescent="0.3">
      <c r="N316" s="11"/>
      <c r="O316" s="11"/>
      <c r="P316" s="11"/>
      <c r="Q316" s="11"/>
    </row>
    <row r="317" spans="14:17" ht="15.75" customHeight="1" x14ac:dyDescent="0.3">
      <c r="N317" s="11"/>
      <c r="O317" s="11"/>
      <c r="P317" s="11"/>
      <c r="Q317" s="11"/>
    </row>
    <row r="318" spans="14:17" ht="15.75" customHeight="1" x14ac:dyDescent="0.3">
      <c r="N318" s="11"/>
      <c r="O318" s="11"/>
      <c r="P318" s="11"/>
      <c r="Q318" s="11"/>
    </row>
    <row r="319" spans="14:17" ht="15.75" customHeight="1" x14ac:dyDescent="0.3">
      <c r="N319" s="11"/>
      <c r="O319" s="11"/>
      <c r="P319" s="11"/>
      <c r="Q319" s="11"/>
    </row>
    <row r="320" spans="14:17" ht="15.75" customHeight="1" x14ac:dyDescent="0.3">
      <c r="N320" s="11"/>
      <c r="O320" s="11"/>
      <c r="P320" s="11"/>
      <c r="Q320" s="11"/>
    </row>
    <row r="321" spans="14:17" ht="15.75" customHeight="1" x14ac:dyDescent="0.3">
      <c r="N321" s="11"/>
      <c r="O321" s="11"/>
      <c r="P321" s="11"/>
      <c r="Q321" s="11"/>
    </row>
    <row r="322" spans="14:17" ht="15.75" customHeight="1" x14ac:dyDescent="0.3">
      <c r="N322" s="11"/>
      <c r="O322" s="11"/>
      <c r="P322" s="11"/>
      <c r="Q322" s="11"/>
    </row>
    <row r="323" spans="14:17" ht="15.75" customHeight="1" x14ac:dyDescent="0.3">
      <c r="N323" s="11"/>
      <c r="O323" s="11"/>
      <c r="P323" s="11"/>
      <c r="Q323" s="11"/>
    </row>
    <row r="324" spans="14:17" ht="15.75" customHeight="1" x14ac:dyDescent="0.3">
      <c r="N324" s="11"/>
      <c r="O324" s="11"/>
      <c r="P324" s="11"/>
      <c r="Q324" s="11"/>
    </row>
    <row r="325" spans="14:17" ht="15.75" customHeight="1" x14ac:dyDescent="0.3">
      <c r="N325" s="11"/>
      <c r="O325" s="11"/>
      <c r="P325" s="11"/>
      <c r="Q325" s="11"/>
    </row>
    <row r="326" spans="14:17" ht="15.75" customHeight="1" x14ac:dyDescent="0.3">
      <c r="N326" s="11"/>
      <c r="O326" s="11"/>
      <c r="P326" s="11"/>
      <c r="Q326" s="11"/>
    </row>
    <row r="327" spans="14:17" ht="15.75" customHeight="1" x14ac:dyDescent="0.3">
      <c r="N327" s="11"/>
      <c r="O327" s="11"/>
      <c r="P327" s="11"/>
      <c r="Q327" s="11"/>
    </row>
    <row r="328" spans="14:17" ht="15.75" customHeight="1" x14ac:dyDescent="0.3">
      <c r="N328" s="11"/>
      <c r="O328" s="11"/>
      <c r="P328" s="11"/>
      <c r="Q328" s="11"/>
    </row>
    <row r="329" spans="14:17" ht="15.75" customHeight="1" x14ac:dyDescent="0.3">
      <c r="N329" s="11"/>
      <c r="O329" s="11"/>
      <c r="P329" s="11"/>
      <c r="Q329" s="11"/>
    </row>
    <row r="330" spans="14:17" ht="15.75" customHeight="1" x14ac:dyDescent="0.3">
      <c r="N330" s="11"/>
      <c r="O330" s="11"/>
      <c r="P330" s="11"/>
      <c r="Q330" s="11"/>
    </row>
    <row r="331" spans="14:17" ht="15.75" customHeight="1" x14ac:dyDescent="0.3">
      <c r="N331" s="11"/>
      <c r="O331" s="11"/>
      <c r="P331" s="11"/>
      <c r="Q331" s="11"/>
    </row>
    <row r="332" spans="14:17" ht="15.75" customHeight="1" x14ac:dyDescent="0.3">
      <c r="N332" s="11"/>
      <c r="O332" s="11"/>
      <c r="P332" s="11"/>
      <c r="Q332" s="11"/>
    </row>
    <row r="333" spans="14:17" ht="15.75" customHeight="1" x14ac:dyDescent="0.3">
      <c r="N333" s="11"/>
      <c r="O333" s="11"/>
      <c r="P333" s="11"/>
      <c r="Q333" s="11"/>
    </row>
    <row r="334" spans="14:17" ht="15.75" customHeight="1" x14ac:dyDescent="0.3">
      <c r="N334" s="11"/>
      <c r="O334" s="11"/>
      <c r="P334" s="11"/>
      <c r="Q334" s="11"/>
    </row>
    <row r="335" spans="14:17" ht="15.75" customHeight="1" x14ac:dyDescent="0.3">
      <c r="N335" s="11"/>
      <c r="O335" s="11"/>
      <c r="P335" s="11"/>
      <c r="Q335" s="11"/>
    </row>
    <row r="336" spans="14:17" ht="15.75" customHeight="1" x14ac:dyDescent="0.3">
      <c r="N336" s="11"/>
      <c r="O336" s="11"/>
      <c r="P336" s="11"/>
      <c r="Q336" s="11"/>
    </row>
    <row r="337" spans="14:17" ht="15.75" customHeight="1" x14ac:dyDescent="0.3">
      <c r="N337" s="11"/>
      <c r="O337" s="11"/>
      <c r="P337" s="11"/>
      <c r="Q337" s="11"/>
    </row>
    <row r="338" spans="14:17" ht="15.75" customHeight="1" x14ac:dyDescent="0.3">
      <c r="N338" s="11"/>
      <c r="O338" s="11"/>
      <c r="P338" s="11"/>
      <c r="Q338" s="11"/>
    </row>
    <row r="339" spans="14:17" ht="15.75" customHeight="1" x14ac:dyDescent="0.3">
      <c r="N339" s="11"/>
      <c r="O339" s="11"/>
      <c r="P339" s="11"/>
      <c r="Q339" s="11"/>
    </row>
    <row r="340" spans="14:17" ht="15.75" customHeight="1" x14ac:dyDescent="0.3">
      <c r="N340" s="11"/>
      <c r="O340" s="11"/>
      <c r="P340" s="11"/>
      <c r="Q340" s="11"/>
    </row>
    <row r="341" spans="14:17" ht="15.75" customHeight="1" x14ac:dyDescent="0.3">
      <c r="N341" s="11"/>
      <c r="O341" s="11"/>
      <c r="P341" s="11"/>
      <c r="Q341" s="11"/>
    </row>
    <row r="342" spans="14:17" ht="15.75" customHeight="1" x14ac:dyDescent="0.3">
      <c r="N342" s="11"/>
      <c r="O342" s="11"/>
      <c r="P342" s="11"/>
      <c r="Q342" s="11"/>
    </row>
    <row r="343" spans="14:17" ht="15.75" customHeight="1" x14ac:dyDescent="0.3">
      <c r="N343" s="11"/>
      <c r="O343" s="11"/>
      <c r="P343" s="11"/>
      <c r="Q343" s="11"/>
    </row>
    <row r="344" spans="14:17" ht="15.75" customHeight="1" x14ac:dyDescent="0.3">
      <c r="N344" s="11"/>
      <c r="O344" s="11"/>
      <c r="P344" s="11"/>
      <c r="Q344" s="11"/>
    </row>
    <row r="345" spans="14:17" ht="15.75" customHeight="1" x14ac:dyDescent="0.3">
      <c r="N345" s="11"/>
      <c r="O345" s="11"/>
      <c r="P345" s="11"/>
      <c r="Q345" s="11"/>
    </row>
    <row r="346" spans="14:17" ht="15.75" customHeight="1" x14ac:dyDescent="0.3">
      <c r="N346" s="11"/>
      <c r="O346" s="11"/>
      <c r="P346" s="11"/>
      <c r="Q346" s="11"/>
    </row>
    <row r="347" spans="14:17" ht="15.75" customHeight="1" x14ac:dyDescent="0.3">
      <c r="N347" s="11"/>
      <c r="O347" s="11"/>
      <c r="P347" s="11"/>
      <c r="Q347" s="11"/>
    </row>
    <row r="348" spans="14:17" ht="15.75" customHeight="1" x14ac:dyDescent="0.3">
      <c r="N348" s="11"/>
      <c r="O348" s="11"/>
      <c r="P348" s="11"/>
      <c r="Q348" s="11"/>
    </row>
    <row r="349" spans="14:17" ht="15.75" customHeight="1" x14ac:dyDescent="0.3">
      <c r="N349" s="11"/>
      <c r="O349" s="11"/>
      <c r="P349" s="11"/>
      <c r="Q349" s="11"/>
    </row>
    <row r="350" spans="14:17" ht="15.75" customHeight="1" x14ac:dyDescent="0.3">
      <c r="N350" s="11"/>
      <c r="O350" s="11"/>
      <c r="P350" s="11"/>
      <c r="Q350" s="11"/>
    </row>
    <row r="351" spans="14:17" ht="15.75" customHeight="1" x14ac:dyDescent="0.3">
      <c r="N351" s="11"/>
      <c r="O351" s="11"/>
      <c r="P351" s="11"/>
      <c r="Q351" s="11"/>
    </row>
    <row r="352" spans="14:17" ht="15.75" customHeight="1" x14ac:dyDescent="0.3">
      <c r="N352" s="11"/>
      <c r="O352" s="11"/>
      <c r="P352" s="11"/>
      <c r="Q352" s="11"/>
    </row>
    <row r="353" spans="14:17" ht="15.75" customHeight="1" x14ac:dyDescent="0.3">
      <c r="N353" s="11"/>
      <c r="O353" s="11"/>
      <c r="P353" s="11"/>
      <c r="Q353" s="11"/>
    </row>
    <row r="354" spans="14:17" ht="15.75" customHeight="1" x14ac:dyDescent="0.3">
      <c r="N354" s="11"/>
      <c r="O354" s="11"/>
      <c r="P354" s="11"/>
      <c r="Q354" s="11"/>
    </row>
    <row r="355" spans="14:17" ht="15.75" customHeight="1" x14ac:dyDescent="0.3">
      <c r="N355" s="11"/>
      <c r="O355" s="11"/>
      <c r="P355" s="11"/>
      <c r="Q355" s="11"/>
    </row>
    <row r="356" spans="14:17" ht="15.75" customHeight="1" x14ac:dyDescent="0.3">
      <c r="N356" s="11"/>
      <c r="O356" s="11"/>
      <c r="P356" s="11"/>
      <c r="Q356" s="11"/>
    </row>
    <row r="357" spans="14:17" ht="15.75" customHeight="1" x14ac:dyDescent="0.3">
      <c r="N357" s="11"/>
      <c r="O357" s="11"/>
      <c r="P357" s="11"/>
      <c r="Q357" s="11"/>
    </row>
    <row r="358" spans="14:17" ht="15.75" customHeight="1" x14ac:dyDescent="0.3">
      <c r="N358" s="11"/>
      <c r="O358" s="11"/>
      <c r="P358" s="11"/>
      <c r="Q358" s="11"/>
    </row>
    <row r="359" spans="14:17" ht="15.75" customHeight="1" x14ac:dyDescent="0.3">
      <c r="N359" s="11"/>
      <c r="O359" s="11"/>
      <c r="P359" s="11"/>
      <c r="Q359" s="11"/>
    </row>
    <row r="360" spans="14:17" ht="15.75" customHeight="1" x14ac:dyDescent="0.3">
      <c r="N360" s="11"/>
      <c r="O360" s="11"/>
      <c r="P360" s="11"/>
      <c r="Q360" s="11"/>
    </row>
    <row r="361" spans="14:17" ht="15.75" customHeight="1" x14ac:dyDescent="0.3">
      <c r="N361" s="11"/>
      <c r="O361" s="11"/>
      <c r="P361" s="11"/>
      <c r="Q361" s="11"/>
    </row>
    <row r="362" spans="14:17" ht="15.75" customHeight="1" x14ac:dyDescent="0.3">
      <c r="N362" s="11"/>
      <c r="O362" s="11"/>
      <c r="P362" s="11"/>
      <c r="Q362" s="11"/>
    </row>
    <row r="363" spans="14:17" ht="15.75" customHeight="1" x14ac:dyDescent="0.3">
      <c r="N363" s="11"/>
      <c r="O363" s="11"/>
      <c r="P363" s="11"/>
      <c r="Q363" s="11"/>
    </row>
    <row r="364" spans="14:17" ht="15.75" customHeight="1" x14ac:dyDescent="0.3">
      <c r="N364" s="11"/>
      <c r="O364" s="11"/>
      <c r="P364" s="11"/>
      <c r="Q364" s="11"/>
    </row>
    <row r="365" spans="14:17" ht="15.75" customHeight="1" x14ac:dyDescent="0.3">
      <c r="N365" s="11"/>
      <c r="O365" s="11"/>
      <c r="P365" s="11"/>
      <c r="Q365" s="11"/>
    </row>
    <row r="366" spans="14:17" ht="15.75" customHeight="1" x14ac:dyDescent="0.3">
      <c r="N366" s="11"/>
      <c r="O366" s="11"/>
      <c r="P366" s="11"/>
      <c r="Q366" s="11"/>
    </row>
    <row r="367" spans="14:17" ht="15.75" customHeight="1" x14ac:dyDescent="0.3">
      <c r="N367" s="11"/>
      <c r="O367" s="11"/>
      <c r="P367" s="11"/>
      <c r="Q367" s="11"/>
    </row>
    <row r="368" spans="14:17" ht="15.75" customHeight="1" x14ac:dyDescent="0.3">
      <c r="N368" s="11"/>
      <c r="O368" s="11"/>
      <c r="P368" s="11"/>
      <c r="Q368" s="11"/>
    </row>
    <row r="369" spans="14:17" ht="15.75" customHeight="1" x14ac:dyDescent="0.3">
      <c r="N369" s="11"/>
      <c r="O369" s="11"/>
      <c r="P369" s="11"/>
      <c r="Q369" s="11"/>
    </row>
    <row r="370" spans="14:17" ht="15.75" customHeight="1" x14ac:dyDescent="0.3">
      <c r="N370" s="11"/>
      <c r="O370" s="11"/>
      <c r="P370" s="11"/>
      <c r="Q370" s="11"/>
    </row>
    <row r="371" spans="14:17" ht="15.75" customHeight="1" x14ac:dyDescent="0.3">
      <c r="N371" s="11"/>
      <c r="O371" s="11"/>
      <c r="P371" s="11"/>
      <c r="Q371" s="11"/>
    </row>
    <row r="372" spans="14:17" ht="15.75" customHeight="1" x14ac:dyDescent="0.3">
      <c r="N372" s="11"/>
      <c r="O372" s="11"/>
      <c r="P372" s="11"/>
      <c r="Q372" s="11"/>
    </row>
    <row r="373" spans="14:17" ht="15.75" customHeight="1" x14ac:dyDescent="0.3">
      <c r="N373" s="11"/>
      <c r="O373" s="11"/>
      <c r="P373" s="11"/>
      <c r="Q373" s="11"/>
    </row>
    <row r="374" spans="14:17" ht="15.75" customHeight="1" x14ac:dyDescent="0.3">
      <c r="N374" s="11"/>
      <c r="O374" s="11"/>
      <c r="P374" s="11"/>
      <c r="Q374" s="11"/>
    </row>
    <row r="375" spans="14:17" ht="15.75" customHeight="1" x14ac:dyDescent="0.3">
      <c r="N375" s="11"/>
      <c r="O375" s="11"/>
      <c r="P375" s="11"/>
      <c r="Q375" s="11"/>
    </row>
    <row r="376" spans="14:17" ht="15.75" customHeight="1" x14ac:dyDescent="0.3">
      <c r="N376" s="11"/>
      <c r="O376" s="11"/>
      <c r="P376" s="11"/>
      <c r="Q376" s="11"/>
    </row>
    <row r="377" spans="14:17" ht="15.75" customHeight="1" x14ac:dyDescent="0.3">
      <c r="N377" s="11"/>
      <c r="O377" s="11"/>
      <c r="P377" s="11"/>
      <c r="Q377" s="11"/>
    </row>
    <row r="378" spans="14:17" ht="15.75" customHeight="1" x14ac:dyDescent="0.3">
      <c r="N378" s="11"/>
      <c r="O378" s="11"/>
      <c r="P378" s="11"/>
      <c r="Q378" s="11"/>
    </row>
    <row r="379" spans="14:17" ht="15.75" customHeight="1" x14ac:dyDescent="0.3">
      <c r="N379" s="11"/>
      <c r="O379" s="11"/>
      <c r="P379" s="11"/>
      <c r="Q379" s="11"/>
    </row>
    <row r="380" spans="14:17" ht="15.75" customHeight="1" x14ac:dyDescent="0.3">
      <c r="N380" s="11"/>
      <c r="O380" s="11"/>
      <c r="P380" s="11"/>
      <c r="Q380" s="11"/>
    </row>
    <row r="381" spans="14:17" ht="15.75" customHeight="1" x14ac:dyDescent="0.3">
      <c r="N381" s="11"/>
      <c r="O381" s="11"/>
      <c r="P381" s="11"/>
      <c r="Q381" s="11"/>
    </row>
    <row r="382" spans="14:17" ht="15.75" customHeight="1" x14ac:dyDescent="0.3">
      <c r="N382" s="11"/>
      <c r="O382" s="11"/>
      <c r="P382" s="11"/>
      <c r="Q382" s="11"/>
    </row>
    <row r="383" spans="14:17" ht="15.75" customHeight="1" x14ac:dyDescent="0.3">
      <c r="N383" s="11"/>
      <c r="O383" s="11"/>
      <c r="P383" s="11"/>
      <c r="Q383" s="11"/>
    </row>
    <row r="384" spans="14:17" ht="15.75" customHeight="1" x14ac:dyDescent="0.3">
      <c r="N384" s="11"/>
      <c r="O384" s="11"/>
      <c r="P384" s="11"/>
      <c r="Q384" s="11"/>
    </row>
    <row r="385" spans="14:17" ht="15.75" customHeight="1" x14ac:dyDescent="0.3">
      <c r="N385" s="11"/>
      <c r="O385" s="11"/>
      <c r="P385" s="11"/>
      <c r="Q385" s="11"/>
    </row>
    <row r="386" spans="14:17" ht="15.75" customHeight="1" x14ac:dyDescent="0.3">
      <c r="N386" s="11"/>
      <c r="O386" s="11"/>
      <c r="P386" s="11"/>
      <c r="Q386" s="11"/>
    </row>
    <row r="387" spans="14:17" ht="15.75" customHeight="1" x14ac:dyDescent="0.3">
      <c r="N387" s="11"/>
      <c r="O387" s="11"/>
      <c r="P387" s="11"/>
      <c r="Q387" s="11"/>
    </row>
    <row r="388" spans="14:17" ht="15.75" customHeight="1" x14ac:dyDescent="0.3">
      <c r="N388" s="11"/>
      <c r="O388" s="11"/>
      <c r="P388" s="11"/>
      <c r="Q388" s="11"/>
    </row>
    <row r="389" spans="14:17" ht="15.75" customHeight="1" x14ac:dyDescent="0.3">
      <c r="N389" s="11"/>
      <c r="O389" s="11"/>
      <c r="P389" s="11"/>
      <c r="Q389" s="11"/>
    </row>
    <row r="390" spans="14:17" ht="15.75" customHeight="1" x14ac:dyDescent="0.3">
      <c r="N390" s="11"/>
      <c r="O390" s="11"/>
      <c r="P390" s="11"/>
      <c r="Q390" s="11"/>
    </row>
    <row r="391" spans="14:17" ht="15.75" customHeight="1" x14ac:dyDescent="0.3">
      <c r="N391" s="11"/>
      <c r="O391" s="11"/>
      <c r="P391" s="11"/>
      <c r="Q391" s="11"/>
    </row>
    <row r="392" spans="14:17" ht="15.75" customHeight="1" x14ac:dyDescent="0.3">
      <c r="N392" s="11"/>
      <c r="O392" s="11"/>
      <c r="P392" s="11"/>
      <c r="Q392" s="11"/>
    </row>
    <row r="393" spans="14:17" ht="15.75" customHeight="1" x14ac:dyDescent="0.3">
      <c r="N393" s="11"/>
      <c r="O393" s="11"/>
      <c r="P393" s="11"/>
      <c r="Q393" s="11"/>
    </row>
    <row r="394" spans="14:17" ht="15.75" customHeight="1" x14ac:dyDescent="0.3">
      <c r="N394" s="11"/>
      <c r="O394" s="11"/>
      <c r="P394" s="11"/>
      <c r="Q394" s="11"/>
    </row>
    <row r="395" spans="14:17" ht="15.75" customHeight="1" x14ac:dyDescent="0.3">
      <c r="N395" s="11"/>
      <c r="O395" s="11"/>
      <c r="P395" s="11"/>
      <c r="Q395" s="11"/>
    </row>
    <row r="396" spans="14:17" ht="15.75" customHeight="1" x14ac:dyDescent="0.3">
      <c r="N396" s="11"/>
      <c r="O396" s="11"/>
      <c r="P396" s="11"/>
      <c r="Q396" s="11"/>
    </row>
    <row r="397" spans="14:17" ht="15.75" customHeight="1" x14ac:dyDescent="0.3">
      <c r="N397" s="11"/>
      <c r="O397" s="11"/>
      <c r="P397" s="11"/>
      <c r="Q397" s="11"/>
    </row>
    <row r="398" spans="14:17" ht="15.75" customHeight="1" x14ac:dyDescent="0.3">
      <c r="N398" s="11"/>
      <c r="O398" s="11"/>
      <c r="P398" s="11"/>
      <c r="Q398" s="11"/>
    </row>
    <row r="399" spans="14:17" ht="15.75" customHeight="1" x14ac:dyDescent="0.3">
      <c r="N399" s="11"/>
      <c r="O399" s="11"/>
      <c r="P399" s="11"/>
      <c r="Q399" s="11"/>
    </row>
    <row r="400" spans="14:17" ht="15.75" customHeight="1" x14ac:dyDescent="0.3">
      <c r="N400" s="11"/>
      <c r="O400" s="11"/>
      <c r="P400" s="11"/>
      <c r="Q400" s="11"/>
    </row>
    <row r="401" spans="14:17" ht="15.75" customHeight="1" x14ac:dyDescent="0.3">
      <c r="N401" s="11"/>
      <c r="O401" s="11"/>
      <c r="P401" s="11"/>
      <c r="Q401" s="11"/>
    </row>
    <row r="402" spans="14:17" ht="15.75" customHeight="1" x14ac:dyDescent="0.3">
      <c r="N402" s="11"/>
      <c r="O402" s="11"/>
      <c r="P402" s="11"/>
      <c r="Q402" s="11"/>
    </row>
    <row r="403" spans="14:17" ht="15.75" customHeight="1" x14ac:dyDescent="0.3">
      <c r="N403" s="11"/>
      <c r="O403" s="11"/>
      <c r="P403" s="11"/>
      <c r="Q403" s="11"/>
    </row>
    <row r="404" spans="14:17" ht="15.75" customHeight="1" x14ac:dyDescent="0.3">
      <c r="N404" s="11"/>
      <c r="O404" s="11"/>
      <c r="P404" s="11"/>
      <c r="Q404" s="11"/>
    </row>
    <row r="405" spans="14:17" ht="15.75" customHeight="1" x14ac:dyDescent="0.3">
      <c r="N405" s="11"/>
      <c r="O405" s="11"/>
      <c r="P405" s="11"/>
      <c r="Q405" s="11"/>
    </row>
    <row r="406" spans="14:17" ht="15.75" customHeight="1" x14ac:dyDescent="0.3">
      <c r="N406" s="11"/>
      <c r="O406" s="11"/>
      <c r="P406" s="11"/>
      <c r="Q406" s="11"/>
    </row>
    <row r="407" spans="14:17" ht="15.75" customHeight="1" x14ac:dyDescent="0.3">
      <c r="N407" s="11"/>
      <c r="O407" s="11"/>
      <c r="P407" s="11"/>
      <c r="Q407" s="11"/>
    </row>
    <row r="408" spans="14:17" ht="15.75" customHeight="1" x14ac:dyDescent="0.3">
      <c r="N408" s="11"/>
      <c r="O408" s="11"/>
      <c r="P408" s="11"/>
      <c r="Q408" s="11"/>
    </row>
    <row r="409" spans="14:17" ht="15.75" customHeight="1" x14ac:dyDescent="0.3">
      <c r="N409" s="11"/>
      <c r="O409" s="11"/>
      <c r="P409" s="11"/>
      <c r="Q409" s="11"/>
    </row>
    <row r="410" spans="14:17" ht="15.75" customHeight="1" x14ac:dyDescent="0.3">
      <c r="N410" s="11"/>
      <c r="O410" s="11"/>
      <c r="P410" s="11"/>
      <c r="Q410" s="11"/>
    </row>
    <row r="411" spans="14:17" ht="15.75" customHeight="1" x14ac:dyDescent="0.3">
      <c r="N411" s="11"/>
      <c r="O411" s="11"/>
      <c r="P411" s="11"/>
      <c r="Q411" s="11"/>
    </row>
    <row r="412" spans="14:17" ht="15.75" customHeight="1" x14ac:dyDescent="0.3">
      <c r="N412" s="11"/>
      <c r="O412" s="11"/>
      <c r="P412" s="11"/>
      <c r="Q412" s="11"/>
    </row>
    <row r="413" spans="14:17" ht="15.75" customHeight="1" x14ac:dyDescent="0.3">
      <c r="N413" s="11"/>
      <c r="O413" s="11"/>
      <c r="P413" s="11"/>
      <c r="Q413" s="11"/>
    </row>
    <row r="414" spans="14:17" ht="15.75" customHeight="1" x14ac:dyDescent="0.3">
      <c r="N414" s="11"/>
      <c r="O414" s="11"/>
      <c r="P414" s="11"/>
      <c r="Q414" s="11"/>
    </row>
    <row r="415" spans="14:17" ht="15.75" customHeight="1" x14ac:dyDescent="0.3">
      <c r="N415" s="11"/>
      <c r="O415" s="11"/>
      <c r="P415" s="11"/>
      <c r="Q415" s="11"/>
    </row>
    <row r="416" spans="14:17" ht="15.75" customHeight="1" x14ac:dyDescent="0.3">
      <c r="N416" s="11"/>
      <c r="O416" s="11"/>
      <c r="P416" s="11"/>
      <c r="Q416" s="11"/>
    </row>
    <row r="417" spans="14:17" ht="15.75" customHeight="1" x14ac:dyDescent="0.3">
      <c r="N417" s="11"/>
      <c r="O417" s="11"/>
      <c r="P417" s="11"/>
      <c r="Q417" s="11"/>
    </row>
    <row r="418" spans="14:17" ht="15.75" customHeight="1" x14ac:dyDescent="0.3">
      <c r="N418" s="11"/>
      <c r="O418" s="11"/>
      <c r="P418" s="11"/>
      <c r="Q418" s="11"/>
    </row>
    <row r="419" spans="14:17" ht="15.75" customHeight="1" x14ac:dyDescent="0.3">
      <c r="N419" s="11"/>
      <c r="O419" s="11"/>
      <c r="P419" s="11"/>
      <c r="Q419" s="11"/>
    </row>
    <row r="420" spans="14:17" ht="15.75" customHeight="1" x14ac:dyDescent="0.3">
      <c r="N420" s="11"/>
      <c r="O420" s="11"/>
      <c r="P420" s="11"/>
      <c r="Q420" s="11"/>
    </row>
    <row r="421" spans="14:17" ht="15.75" customHeight="1" x14ac:dyDescent="0.3">
      <c r="N421" s="11"/>
      <c r="O421" s="11"/>
      <c r="P421" s="11"/>
      <c r="Q421" s="11"/>
    </row>
    <row r="422" spans="14:17" ht="15.75" customHeight="1" x14ac:dyDescent="0.3">
      <c r="N422" s="11"/>
      <c r="O422" s="11"/>
      <c r="P422" s="11"/>
      <c r="Q422" s="11"/>
    </row>
    <row r="423" spans="14:17" ht="15.75" customHeight="1" x14ac:dyDescent="0.3">
      <c r="N423" s="11"/>
      <c r="O423" s="11"/>
      <c r="P423" s="11"/>
      <c r="Q423" s="11"/>
    </row>
    <row r="424" spans="14:17" ht="15.75" customHeight="1" x14ac:dyDescent="0.3">
      <c r="N424" s="11"/>
      <c r="O424" s="11"/>
      <c r="P424" s="11"/>
      <c r="Q424" s="11"/>
    </row>
    <row r="425" spans="14:17" ht="15.75" customHeight="1" x14ac:dyDescent="0.3">
      <c r="N425" s="11"/>
      <c r="O425" s="11"/>
      <c r="P425" s="11"/>
      <c r="Q425" s="11"/>
    </row>
    <row r="426" spans="14:17" ht="15.75" customHeight="1" x14ac:dyDescent="0.3">
      <c r="N426" s="11"/>
      <c r="O426" s="11"/>
      <c r="P426" s="11"/>
      <c r="Q426" s="11"/>
    </row>
    <row r="427" spans="14:17" ht="15.75" customHeight="1" x14ac:dyDescent="0.3">
      <c r="N427" s="11"/>
      <c r="O427" s="11"/>
      <c r="P427" s="11"/>
      <c r="Q427" s="11"/>
    </row>
    <row r="428" spans="14:17" ht="15.75" customHeight="1" x14ac:dyDescent="0.3">
      <c r="N428" s="11"/>
      <c r="O428" s="11"/>
      <c r="P428" s="11"/>
      <c r="Q428" s="11"/>
    </row>
    <row r="429" spans="14:17" ht="15.75" customHeight="1" x14ac:dyDescent="0.3">
      <c r="N429" s="11"/>
      <c r="O429" s="11"/>
      <c r="P429" s="11"/>
      <c r="Q429" s="11"/>
    </row>
    <row r="430" spans="14:17" ht="15.75" customHeight="1" x14ac:dyDescent="0.3">
      <c r="N430" s="11"/>
      <c r="O430" s="11"/>
      <c r="P430" s="11"/>
      <c r="Q430" s="11"/>
    </row>
    <row r="431" spans="14:17" ht="15.75" customHeight="1" x14ac:dyDescent="0.3">
      <c r="N431" s="11"/>
      <c r="O431" s="11"/>
      <c r="P431" s="11"/>
      <c r="Q431" s="11"/>
    </row>
    <row r="432" spans="14:17" ht="15.75" customHeight="1" x14ac:dyDescent="0.3">
      <c r="N432" s="11"/>
      <c r="O432" s="11"/>
      <c r="P432" s="11"/>
      <c r="Q432" s="11"/>
    </row>
    <row r="433" spans="14:17" ht="15.75" customHeight="1" x14ac:dyDescent="0.3">
      <c r="N433" s="11"/>
      <c r="O433" s="11"/>
      <c r="P433" s="11"/>
      <c r="Q433" s="11"/>
    </row>
    <row r="434" spans="14:17" ht="15.75" customHeight="1" x14ac:dyDescent="0.3">
      <c r="N434" s="11"/>
      <c r="O434" s="11"/>
      <c r="P434" s="11"/>
      <c r="Q434" s="11"/>
    </row>
    <row r="435" spans="14:17" ht="15.75" customHeight="1" x14ac:dyDescent="0.3">
      <c r="N435" s="11"/>
      <c r="O435" s="11"/>
      <c r="P435" s="11"/>
      <c r="Q435" s="11"/>
    </row>
    <row r="436" spans="14:17" ht="15.75" customHeight="1" x14ac:dyDescent="0.3">
      <c r="N436" s="11"/>
      <c r="O436" s="11"/>
      <c r="P436" s="11"/>
      <c r="Q436" s="11"/>
    </row>
    <row r="437" spans="14:17" ht="15.75" customHeight="1" x14ac:dyDescent="0.3">
      <c r="N437" s="11"/>
      <c r="O437" s="11"/>
      <c r="P437" s="11"/>
      <c r="Q437" s="11"/>
    </row>
    <row r="438" spans="14:17" ht="15.75" customHeight="1" x14ac:dyDescent="0.3">
      <c r="N438" s="11"/>
      <c r="O438" s="11"/>
      <c r="P438" s="11"/>
      <c r="Q438" s="11"/>
    </row>
    <row r="439" spans="14:17" ht="15.75" customHeight="1" x14ac:dyDescent="0.3">
      <c r="N439" s="11"/>
      <c r="O439" s="11"/>
      <c r="P439" s="11"/>
      <c r="Q439" s="11"/>
    </row>
    <row r="440" spans="14:17" ht="15.75" customHeight="1" x14ac:dyDescent="0.3">
      <c r="N440" s="11"/>
      <c r="O440" s="11"/>
      <c r="P440" s="11"/>
      <c r="Q440" s="11"/>
    </row>
    <row r="441" spans="14:17" ht="15.75" customHeight="1" x14ac:dyDescent="0.3">
      <c r="N441" s="11"/>
      <c r="O441" s="11"/>
      <c r="P441" s="11"/>
      <c r="Q441" s="11"/>
    </row>
    <row r="442" spans="14:17" ht="15.75" customHeight="1" x14ac:dyDescent="0.3">
      <c r="N442" s="11"/>
      <c r="O442" s="11"/>
      <c r="P442" s="11"/>
      <c r="Q442" s="11"/>
    </row>
    <row r="443" spans="14:17" ht="15.75" customHeight="1" x14ac:dyDescent="0.3">
      <c r="N443" s="11"/>
      <c r="O443" s="11"/>
      <c r="P443" s="11"/>
      <c r="Q443" s="11"/>
    </row>
    <row r="444" spans="14:17" ht="15.75" customHeight="1" x14ac:dyDescent="0.3">
      <c r="N444" s="11"/>
      <c r="O444" s="11"/>
      <c r="P444" s="11"/>
      <c r="Q444" s="11"/>
    </row>
    <row r="445" spans="14:17" ht="15.75" customHeight="1" x14ac:dyDescent="0.3">
      <c r="N445" s="11"/>
      <c r="O445" s="11"/>
      <c r="P445" s="11"/>
      <c r="Q445" s="11"/>
    </row>
    <row r="446" spans="14:17" ht="15.75" customHeight="1" x14ac:dyDescent="0.3">
      <c r="N446" s="11"/>
      <c r="O446" s="11"/>
      <c r="P446" s="11"/>
      <c r="Q446" s="11"/>
    </row>
    <row r="447" spans="14:17" ht="15.75" customHeight="1" x14ac:dyDescent="0.3">
      <c r="N447" s="11"/>
      <c r="O447" s="11"/>
      <c r="P447" s="11"/>
      <c r="Q447" s="11"/>
    </row>
    <row r="448" spans="14:17" ht="15.75" customHeight="1" x14ac:dyDescent="0.3">
      <c r="N448" s="11"/>
      <c r="O448" s="11"/>
      <c r="P448" s="11"/>
      <c r="Q448" s="11"/>
    </row>
    <row r="449" spans="14:17" ht="15.75" customHeight="1" x14ac:dyDescent="0.3">
      <c r="N449" s="11"/>
      <c r="O449" s="11"/>
      <c r="P449" s="11"/>
      <c r="Q449" s="11"/>
    </row>
    <row r="450" spans="14:17" ht="15.75" customHeight="1" x14ac:dyDescent="0.3">
      <c r="N450" s="11"/>
      <c r="O450" s="11"/>
      <c r="P450" s="11"/>
      <c r="Q450" s="11"/>
    </row>
    <row r="451" spans="14:17" ht="15.75" customHeight="1" x14ac:dyDescent="0.3">
      <c r="N451" s="11"/>
      <c r="O451" s="11"/>
      <c r="P451" s="11"/>
      <c r="Q451" s="11"/>
    </row>
    <row r="452" spans="14:17" ht="15.75" customHeight="1" x14ac:dyDescent="0.3">
      <c r="N452" s="11"/>
      <c r="O452" s="11"/>
      <c r="P452" s="11"/>
      <c r="Q452" s="11"/>
    </row>
    <row r="453" spans="14:17" ht="15.75" customHeight="1" x14ac:dyDescent="0.3">
      <c r="N453" s="11"/>
      <c r="O453" s="11"/>
      <c r="P453" s="11"/>
      <c r="Q453" s="11"/>
    </row>
    <row r="454" spans="14:17" ht="15.75" customHeight="1" x14ac:dyDescent="0.3">
      <c r="N454" s="11"/>
      <c r="O454" s="11"/>
      <c r="P454" s="11"/>
      <c r="Q454" s="11"/>
    </row>
    <row r="455" spans="14:17" ht="15.75" customHeight="1" x14ac:dyDescent="0.3">
      <c r="N455" s="11"/>
      <c r="O455" s="11"/>
      <c r="P455" s="11"/>
      <c r="Q455" s="11"/>
    </row>
    <row r="456" spans="14:17" ht="15.75" customHeight="1" x14ac:dyDescent="0.3">
      <c r="N456" s="11"/>
      <c r="O456" s="11"/>
      <c r="P456" s="11"/>
      <c r="Q456" s="11"/>
    </row>
    <row r="457" spans="14:17" ht="15.75" customHeight="1" x14ac:dyDescent="0.3">
      <c r="N457" s="11"/>
      <c r="O457" s="11"/>
      <c r="P457" s="11"/>
      <c r="Q457" s="11"/>
    </row>
    <row r="458" spans="14:17" ht="15.75" customHeight="1" x14ac:dyDescent="0.3">
      <c r="N458" s="11"/>
      <c r="O458" s="11"/>
      <c r="P458" s="11"/>
      <c r="Q458" s="11"/>
    </row>
    <row r="459" spans="14:17" ht="15.75" customHeight="1" x14ac:dyDescent="0.3">
      <c r="N459" s="11"/>
      <c r="O459" s="11"/>
      <c r="P459" s="11"/>
      <c r="Q459" s="11"/>
    </row>
    <row r="460" spans="14:17" ht="15.75" customHeight="1" x14ac:dyDescent="0.3">
      <c r="N460" s="11"/>
      <c r="O460" s="11"/>
      <c r="P460" s="11"/>
      <c r="Q460" s="11"/>
    </row>
    <row r="461" spans="14:17" ht="15.75" customHeight="1" x14ac:dyDescent="0.3">
      <c r="N461" s="11"/>
      <c r="O461" s="11"/>
      <c r="P461" s="11"/>
      <c r="Q461" s="11"/>
    </row>
    <row r="462" spans="14:17" ht="15.75" customHeight="1" x14ac:dyDescent="0.3">
      <c r="N462" s="11"/>
      <c r="O462" s="11"/>
      <c r="P462" s="11"/>
      <c r="Q462" s="11"/>
    </row>
    <row r="463" spans="14:17" ht="15.75" customHeight="1" x14ac:dyDescent="0.3">
      <c r="N463" s="11"/>
      <c r="O463" s="11"/>
      <c r="P463" s="11"/>
      <c r="Q463" s="11"/>
    </row>
    <row r="464" spans="14:17" ht="15.75" customHeight="1" x14ac:dyDescent="0.3">
      <c r="N464" s="11"/>
      <c r="O464" s="11"/>
      <c r="P464" s="11"/>
      <c r="Q464" s="11"/>
    </row>
    <row r="465" spans="14:17" ht="15.75" customHeight="1" x14ac:dyDescent="0.3">
      <c r="N465" s="11"/>
      <c r="O465" s="11"/>
      <c r="P465" s="11"/>
      <c r="Q465" s="11"/>
    </row>
    <row r="466" spans="14:17" ht="15.75" customHeight="1" x14ac:dyDescent="0.3">
      <c r="N466" s="11"/>
      <c r="O466" s="11"/>
      <c r="P466" s="11"/>
      <c r="Q466" s="11"/>
    </row>
    <row r="467" spans="14:17" ht="15.75" customHeight="1" x14ac:dyDescent="0.3">
      <c r="N467" s="11"/>
      <c r="O467" s="11"/>
      <c r="P467" s="11"/>
      <c r="Q467" s="11"/>
    </row>
    <row r="468" spans="14:17" ht="15.75" customHeight="1" x14ac:dyDescent="0.3">
      <c r="N468" s="11"/>
      <c r="O468" s="11"/>
      <c r="P468" s="11"/>
      <c r="Q468" s="11"/>
    </row>
    <row r="469" spans="14:17" ht="15.75" customHeight="1" x14ac:dyDescent="0.3">
      <c r="N469" s="11"/>
      <c r="O469" s="11"/>
      <c r="P469" s="11"/>
      <c r="Q469" s="11"/>
    </row>
    <row r="470" spans="14:17" ht="15.75" customHeight="1" x14ac:dyDescent="0.3">
      <c r="N470" s="11"/>
      <c r="O470" s="11"/>
      <c r="P470" s="11"/>
      <c r="Q470" s="11"/>
    </row>
    <row r="471" spans="14:17" ht="15.75" customHeight="1" x14ac:dyDescent="0.3">
      <c r="N471" s="11"/>
      <c r="O471" s="11"/>
      <c r="P471" s="11"/>
      <c r="Q471" s="11"/>
    </row>
    <row r="472" spans="14:17" ht="15.75" customHeight="1" x14ac:dyDescent="0.3">
      <c r="N472" s="11"/>
      <c r="O472" s="11"/>
      <c r="P472" s="11"/>
      <c r="Q472" s="11"/>
    </row>
    <row r="473" spans="14:17" ht="15.75" customHeight="1" x14ac:dyDescent="0.3">
      <c r="N473" s="11"/>
      <c r="O473" s="11"/>
      <c r="P473" s="11"/>
      <c r="Q473" s="11"/>
    </row>
    <row r="474" spans="14:17" ht="15.75" customHeight="1" x14ac:dyDescent="0.3">
      <c r="N474" s="11"/>
      <c r="O474" s="11"/>
      <c r="P474" s="11"/>
      <c r="Q474" s="11"/>
    </row>
    <row r="475" spans="14:17" ht="15.75" customHeight="1" x14ac:dyDescent="0.3">
      <c r="N475" s="11"/>
      <c r="O475" s="11"/>
      <c r="P475" s="11"/>
      <c r="Q475" s="11"/>
    </row>
    <row r="476" spans="14:17" ht="15.75" customHeight="1" x14ac:dyDescent="0.3">
      <c r="N476" s="11"/>
      <c r="O476" s="11"/>
      <c r="P476" s="11"/>
      <c r="Q476" s="11"/>
    </row>
    <row r="477" spans="14:17" ht="15.75" customHeight="1" x14ac:dyDescent="0.3">
      <c r="N477" s="11"/>
      <c r="O477" s="11"/>
      <c r="P477" s="11"/>
      <c r="Q477" s="11"/>
    </row>
    <row r="478" spans="14:17" ht="15.75" customHeight="1" x14ac:dyDescent="0.3">
      <c r="N478" s="11"/>
      <c r="O478" s="11"/>
      <c r="P478" s="11"/>
      <c r="Q478" s="11"/>
    </row>
    <row r="479" spans="14:17" ht="15.75" customHeight="1" x14ac:dyDescent="0.3">
      <c r="N479" s="11"/>
      <c r="O479" s="11"/>
      <c r="P479" s="11"/>
      <c r="Q479" s="11"/>
    </row>
    <row r="480" spans="14:17" ht="15.75" customHeight="1" x14ac:dyDescent="0.3">
      <c r="N480" s="11"/>
      <c r="O480" s="11"/>
      <c r="P480" s="11"/>
      <c r="Q480" s="11"/>
    </row>
    <row r="481" spans="14:17" ht="15.75" customHeight="1" x14ac:dyDescent="0.3">
      <c r="N481" s="11"/>
      <c r="O481" s="11"/>
      <c r="P481" s="11"/>
      <c r="Q481" s="11"/>
    </row>
    <row r="482" spans="14:17" ht="15.75" customHeight="1" x14ac:dyDescent="0.3">
      <c r="N482" s="11"/>
      <c r="O482" s="11"/>
      <c r="P482" s="11"/>
      <c r="Q482" s="11"/>
    </row>
    <row r="483" spans="14:17" ht="15.75" customHeight="1" x14ac:dyDescent="0.3">
      <c r="N483" s="11"/>
      <c r="O483" s="11"/>
      <c r="P483" s="11"/>
      <c r="Q483" s="11"/>
    </row>
    <row r="484" spans="14:17" ht="15.75" customHeight="1" x14ac:dyDescent="0.3">
      <c r="N484" s="11"/>
      <c r="O484" s="11"/>
      <c r="P484" s="11"/>
      <c r="Q484" s="11"/>
    </row>
    <row r="485" spans="14:17" ht="15.75" customHeight="1" x14ac:dyDescent="0.3">
      <c r="N485" s="11"/>
      <c r="O485" s="11"/>
      <c r="P485" s="11"/>
      <c r="Q485" s="11"/>
    </row>
    <row r="486" spans="14:17" ht="15.75" customHeight="1" x14ac:dyDescent="0.3">
      <c r="N486" s="11"/>
      <c r="O486" s="11"/>
      <c r="P486" s="11"/>
      <c r="Q486" s="11"/>
    </row>
    <row r="487" spans="14:17" ht="15.75" customHeight="1" x14ac:dyDescent="0.3">
      <c r="N487" s="11"/>
      <c r="O487" s="11"/>
      <c r="P487" s="11"/>
      <c r="Q487" s="11"/>
    </row>
    <row r="488" spans="14:17" ht="15.75" customHeight="1" x14ac:dyDescent="0.3">
      <c r="N488" s="11"/>
      <c r="O488" s="11"/>
      <c r="P488" s="11"/>
      <c r="Q488" s="11"/>
    </row>
    <row r="489" spans="14:17" ht="15.75" customHeight="1" x14ac:dyDescent="0.3">
      <c r="N489" s="11"/>
      <c r="O489" s="11"/>
      <c r="P489" s="11"/>
      <c r="Q489" s="11"/>
    </row>
    <row r="490" spans="14:17" ht="15.75" customHeight="1" x14ac:dyDescent="0.3">
      <c r="N490" s="11"/>
      <c r="O490" s="11"/>
      <c r="P490" s="11"/>
      <c r="Q490" s="11"/>
    </row>
    <row r="491" spans="14:17" ht="15.75" customHeight="1" x14ac:dyDescent="0.3">
      <c r="N491" s="11"/>
      <c r="O491" s="11"/>
      <c r="P491" s="11"/>
      <c r="Q491" s="11"/>
    </row>
    <row r="492" spans="14:17" ht="15.75" customHeight="1" x14ac:dyDescent="0.3">
      <c r="N492" s="11"/>
      <c r="O492" s="11"/>
      <c r="P492" s="11"/>
      <c r="Q492" s="11"/>
    </row>
    <row r="493" spans="14:17" ht="15.75" customHeight="1" x14ac:dyDescent="0.3">
      <c r="N493" s="11"/>
      <c r="O493" s="11"/>
      <c r="P493" s="11"/>
      <c r="Q493" s="11"/>
    </row>
    <row r="494" spans="14:17" ht="15.75" customHeight="1" x14ac:dyDescent="0.3">
      <c r="N494" s="11"/>
      <c r="O494" s="11"/>
      <c r="P494" s="11"/>
      <c r="Q494" s="11"/>
    </row>
    <row r="495" spans="14:17" ht="15.75" customHeight="1" x14ac:dyDescent="0.3">
      <c r="N495" s="11"/>
      <c r="O495" s="11"/>
      <c r="P495" s="11"/>
      <c r="Q495" s="11"/>
    </row>
    <row r="496" spans="14:17" ht="15.75" customHeight="1" x14ac:dyDescent="0.3">
      <c r="N496" s="11"/>
      <c r="O496" s="11"/>
      <c r="P496" s="11"/>
      <c r="Q496" s="11"/>
    </row>
    <row r="497" spans="14:17" ht="15.75" customHeight="1" x14ac:dyDescent="0.3">
      <c r="N497" s="11"/>
      <c r="O497" s="11"/>
      <c r="P497" s="11"/>
      <c r="Q497" s="11"/>
    </row>
    <row r="498" spans="14:17" ht="15.75" customHeight="1" x14ac:dyDescent="0.3">
      <c r="N498" s="11"/>
      <c r="O498" s="11"/>
      <c r="P498" s="11"/>
      <c r="Q498" s="11"/>
    </row>
    <row r="499" spans="14:17" ht="15.75" customHeight="1" x14ac:dyDescent="0.3">
      <c r="N499" s="11"/>
      <c r="O499" s="11"/>
      <c r="P499" s="11"/>
      <c r="Q499" s="11"/>
    </row>
    <row r="500" spans="14:17" ht="15.75" customHeight="1" x14ac:dyDescent="0.3">
      <c r="N500" s="11"/>
      <c r="O500" s="11"/>
      <c r="P500" s="11"/>
      <c r="Q500" s="11"/>
    </row>
    <row r="501" spans="14:17" ht="15.75" customHeight="1" x14ac:dyDescent="0.3">
      <c r="N501" s="11"/>
      <c r="O501" s="11"/>
      <c r="P501" s="11"/>
      <c r="Q501" s="11"/>
    </row>
    <row r="502" spans="14:17" ht="15.75" customHeight="1" x14ac:dyDescent="0.3">
      <c r="N502" s="11"/>
      <c r="O502" s="11"/>
      <c r="P502" s="11"/>
      <c r="Q502" s="11"/>
    </row>
    <row r="503" spans="14:17" ht="15.75" customHeight="1" x14ac:dyDescent="0.3">
      <c r="N503" s="11"/>
      <c r="O503" s="11"/>
      <c r="P503" s="11"/>
      <c r="Q503" s="11"/>
    </row>
    <row r="504" spans="14:17" ht="15.75" customHeight="1" x14ac:dyDescent="0.3">
      <c r="N504" s="11"/>
      <c r="O504" s="11"/>
      <c r="P504" s="11"/>
      <c r="Q504" s="11"/>
    </row>
    <row r="505" spans="14:17" ht="15.75" customHeight="1" x14ac:dyDescent="0.3">
      <c r="N505" s="11"/>
      <c r="O505" s="11"/>
      <c r="P505" s="11"/>
      <c r="Q505" s="11"/>
    </row>
    <row r="506" spans="14:17" ht="15.75" customHeight="1" x14ac:dyDescent="0.3">
      <c r="N506" s="11"/>
      <c r="O506" s="11"/>
      <c r="P506" s="11"/>
      <c r="Q506" s="11"/>
    </row>
    <row r="507" spans="14:17" ht="15.75" customHeight="1" x14ac:dyDescent="0.3">
      <c r="N507" s="11"/>
      <c r="O507" s="11"/>
      <c r="P507" s="11"/>
      <c r="Q507" s="11"/>
    </row>
    <row r="508" spans="14:17" ht="15.75" customHeight="1" x14ac:dyDescent="0.3">
      <c r="N508" s="11"/>
      <c r="O508" s="11"/>
      <c r="P508" s="11"/>
      <c r="Q508" s="11"/>
    </row>
    <row r="509" spans="14:17" ht="15.75" customHeight="1" x14ac:dyDescent="0.3">
      <c r="N509" s="11"/>
      <c r="O509" s="11"/>
      <c r="P509" s="11"/>
      <c r="Q509" s="11"/>
    </row>
    <row r="510" spans="14:17" ht="15.75" customHeight="1" x14ac:dyDescent="0.3">
      <c r="N510" s="11"/>
      <c r="O510" s="11"/>
      <c r="P510" s="11"/>
      <c r="Q510" s="11"/>
    </row>
    <row r="511" spans="14:17" ht="15.75" customHeight="1" x14ac:dyDescent="0.3">
      <c r="N511" s="11"/>
      <c r="O511" s="11"/>
      <c r="P511" s="11"/>
      <c r="Q511" s="11"/>
    </row>
    <row r="512" spans="14:17" ht="15.75" customHeight="1" x14ac:dyDescent="0.3">
      <c r="N512" s="11"/>
      <c r="O512" s="11"/>
      <c r="P512" s="11"/>
      <c r="Q512" s="11"/>
    </row>
    <row r="513" spans="14:17" ht="15.75" customHeight="1" x14ac:dyDescent="0.3">
      <c r="N513" s="11"/>
      <c r="O513" s="11"/>
      <c r="P513" s="11"/>
      <c r="Q513" s="11"/>
    </row>
    <row r="514" spans="14:17" ht="15.75" customHeight="1" x14ac:dyDescent="0.3">
      <c r="N514" s="11"/>
      <c r="O514" s="11"/>
      <c r="P514" s="11"/>
      <c r="Q514" s="11"/>
    </row>
    <row r="515" spans="14:17" ht="15.75" customHeight="1" x14ac:dyDescent="0.3">
      <c r="N515" s="11"/>
      <c r="O515" s="11"/>
      <c r="P515" s="11"/>
      <c r="Q515" s="11"/>
    </row>
    <row r="516" spans="14:17" ht="15.75" customHeight="1" x14ac:dyDescent="0.3">
      <c r="N516" s="11"/>
      <c r="O516" s="11"/>
      <c r="P516" s="11"/>
      <c r="Q516" s="11"/>
    </row>
    <row r="517" spans="14:17" ht="15.75" customHeight="1" x14ac:dyDescent="0.3">
      <c r="N517" s="11"/>
      <c r="O517" s="11"/>
      <c r="P517" s="11"/>
      <c r="Q517" s="11"/>
    </row>
    <row r="518" spans="14:17" ht="15.75" customHeight="1" x14ac:dyDescent="0.3">
      <c r="N518" s="11"/>
      <c r="O518" s="11"/>
      <c r="P518" s="11"/>
      <c r="Q518" s="11"/>
    </row>
    <row r="519" spans="14:17" ht="15.75" customHeight="1" x14ac:dyDescent="0.3">
      <c r="N519" s="11"/>
      <c r="O519" s="11"/>
      <c r="P519" s="11"/>
      <c r="Q519" s="11"/>
    </row>
    <row r="520" spans="14:17" ht="15.75" customHeight="1" x14ac:dyDescent="0.3">
      <c r="N520" s="11"/>
      <c r="O520" s="11"/>
      <c r="P520" s="11"/>
      <c r="Q520" s="11"/>
    </row>
    <row r="521" spans="14:17" ht="15.75" customHeight="1" x14ac:dyDescent="0.3">
      <c r="N521" s="11"/>
      <c r="O521" s="11"/>
      <c r="P521" s="11"/>
      <c r="Q521" s="11"/>
    </row>
    <row r="522" spans="14:17" ht="15.75" customHeight="1" x14ac:dyDescent="0.3">
      <c r="N522" s="11"/>
      <c r="O522" s="11"/>
      <c r="P522" s="11"/>
      <c r="Q522" s="11"/>
    </row>
    <row r="523" spans="14:17" ht="15.75" customHeight="1" x14ac:dyDescent="0.3">
      <c r="N523" s="11"/>
      <c r="O523" s="11"/>
      <c r="P523" s="11"/>
      <c r="Q523" s="11"/>
    </row>
    <row r="524" spans="14:17" ht="15.75" customHeight="1" x14ac:dyDescent="0.3">
      <c r="N524" s="11"/>
      <c r="O524" s="11"/>
      <c r="P524" s="11"/>
      <c r="Q524" s="11"/>
    </row>
    <row r="525" spans="14:17" ht="15.75" customHeight="1" x14ac:dyDescent="0.3">
      <c r="N525" s="11"/>
      <c r="O525" s="11"/>
      <c r="P525" s="11"/>
      <c r="Q525" s="11"/>
    </row>
    <row r="526" spans="14:17" ht="15.75" customHeight="1" x14ac:dyDescent="0.3">
      <c r="N526" s="11"/>
      <c r="O526" s="11"/>
      <c r="P526" s="11"/>
      <c r="Q526" s="11"/>
    </row>
    <row r="527" spans="14:17" ht="15.75" customHeight="1" x14ac:dyDescent="0.3">
      <c r="N527" s="11"/>
      <c r="O527" s="11"/>
      <c r="P527" s="11"/>
      <c r="Q527" s="11"/>
    </row>
    <row r="528" spans="14:17" ht="15.75" customHeight="1" x14ac:dyDescent="0.3">
      <c r="N528" s="11"/>
      <c r="O528" s="11"/>
      <c r="P528" s="11"/>
      <c r="Q528" s="11"/>
    </row>
    <row r="529" spans="14:17" ht="15.75" customHeight="1" x14ac:dyDescent="0.3">
      <c r="N529" s="11"/>
      <c r="O529" s="11"/>
      <c r="P529" s="11"/>
      <c r="Q529" s="11"/>
    </row>
    <row r="530" spans="14:17" ht="15.75" customHeight="1" x14ac:dyDescent="0.3">
      <c r="N530" s="11"/>
      <c r="O530" s="11"/>
      <c r="P530" s="11"/>
      <c r="Q530" s="11"/>
    </row>
    <row r="531" spans="14:17" ht="15.75" customHeight="1" x14ac:dyDescent="0.3">
      <c r="N531" s="11"/>
      <c r="O531" s="11"/>
      <c r="P531" s="11"/>
      <c r="Q531" s="11"/>
    </row>
    <row r="532" spans="14:17" ht="15.75" customHeight="1" x14ac:dyDescent="0.3">
      <c r="N532" s="11"/>
      <c r="O532" s="11"/>
      <c r="P532" s="11"/>
      <c r="Q532" s="11"/>
    </row>
    <row r="533" spans="14:17" ht="15.75" customHeight="1" x14ac:dyDescent="0.3">
      <c r="N533" s="11"/>
      <c r="O533" s="11"/>
      <c r="P533" s="11"/>
      <c r="Q533" s="11"/>
    </row>
    <row r="534" spans="14:17" ht="15.75" customHeight="1" x14ac:dyDescent="0.3">
      <c r="N534" s="11"/>
      <c r="O534" s="11"/>
      <c r="P534" s="11"/>
      <c r="Q534" s="11"/>
    </row>
    <row r="535" spans="14:17" ht="15.75" customHeight="1" x14ac:dyDescent="0.3">
      <c r="N535" s="11"/>
      <c r="O535" s="11"/>
      <c r="P535" s="11"/>
      <c r="Q535" s="11"/>
    </row>
    <row r="536" spans="14:17" ht="15.75" customHeight="1" x14ac:dyDescent="0.3">
      <c r="N536" s="11"/>
      <c r="O536" s="11"/>
      <c r="P536" s="11"/>
      <c r="Q536" s="11"/>
    </row>
    <row r="537" spans="14:17" ht="15.75" customHeight="1" x14ac:dyDescent="0.3">
      <c r="N537" s="11"/>
      <c r="O537" s="11"/>
      <c r="P537" s="11"/>
      <c r="Q537" s="11"/>
    </row>
    <row r="538" spans="14:17" ht="15.75" customHeight="1" x14ac:dyDescent="0.3">
      <c r="N538" s="11"/>
      <c r="O538" s="11"/>
      <c r="P538" s="11"/>
      <c r="Q538" s="11"/>
    </row>
    <row r="539" spans="14:17" ht="15.75" customHeight="1" x14ac:dyDescent="0.3">
      <c r="N539" s="11"/>
      <c r="O539" s="11"/>
      <c r="P539" s="11"/>
      <c r="Q539" s="11"/>
    </row>
    <row r="540" spans="14:17" ht="15.75" customHeight="1" x14ac:dyDescent="0.3">
      <c r="N540" s="11"/>
      <c r="O540" s="11"/>
      <c r="P540" s="11"/>
      <c r="Q540" s="11"/>
    </row>
    <row r="541" spans="14:17" ht="15.75" customHeight="1" x14ac:dyDescent="0.3">
      <c r="N541" s="11"/>
      <c r="O541" s="11"/>
      <c r="P541" s="11"/>
      <c r="Q541" s="11"/>
    </row>
    <row r="542" spans="14:17" ht="15.75" customHeight="1" x14ac:dyDescent="0.3">
      <c r="N542" s="11"/>
      <c r="O542" s="11"/>
      <c r="P542" s="11"/>
      <c r="Q542" s="11"/>
    </row>
    <row r="543" spans="14:17" ht="15.75" customHeight="1" x14ac:dyDescent="0.3">
      <c r="N543" s="11"/>
      <c r="O543" s="11"/>
      <c r="P543" s="11"/>
      <c r="Q543" s="11"/>
    </row>
    <row r="544" spans="14:17" ht="15.75" customHeight="1" x14ac:dyDescent="0.3">
      <c r="N544" s="11"/>
      <c r="O544" s="11"/>
      <c r="P544" s="11"/>
      <c r="Q544" s="11"/>
    </row>
    <row r="545" spans="14:17" ht="15.75" customHeight="1" x14ac:dyDescent="0.3">
      <c r="N545" s="11"/>
      <c r="O545" s="11"/>
      <c r="P545" s="11"/>
      <c r="Q545" s="11"/>
    </row>
    <row r="546" spans="14:17" ht="15.75" customHeight="1" x14ac:dyDescent="0.3">
      <c r="N546" s="11"/>
      <c r="O546" s="11"/>
      <c r="P546" s="11"/>
      <c r="Q546" s="11"/>
    </row>
    <row r="547" spans="14:17" ht="15.75" customHeight="1" x14ac:dyDescent="0.3">
      <c r="N547" s="11"/>
      <c r="O547" s="11"/>
      <c r="P547" s="11"/>
      <c r="Q547" s="11"/>
    </row>
    <row r="548" spans="14:17" ht="15.75" customHeight="1" x14ac:dyDescent="0.3">
      <c r="N548" s="11"/>
      <c r="O548" s="11"/>
      <c r="P548" s="11"/>
      <c r="Q548" s="11"/>
    </row>
    <row r="549" spans="14:17" ht="15.75" customHeight="1" x14ac:dyDescent="0.3">
      <c r="N549" s="11"/>
      <c r="O549" s="11"/>
      <c r="P549" s="11"/>
      <c r="Q549" s="11"/>
    </row>
    <row r="550" spans="14:17" ht="15.75" customHeight="1" x14ac:dyDescent="0.3">
      <c r="N550" s="11"/>
      <c r="O550" s="11"/>
      <c r="P550" s="11"/>
      <c r="Q550" s="11"/>
    </row>
    <row r="551" spans="14:17" ht="15.75" customHeight="1" x14ac:dyDescent="0.3">
      <c r="N551" s="11"/>
      <c r="O551" s="11"/>
      <c r="P551" s="11"/>
      <c r="Q551" s="11"/>
    </row>
    <row r="552" spans="14:17" ht="15.75" customHeight="1" x14ac:dyDescent="0.3">
      <c r="N552" s="11"/>
      <c r="O552" s="11"/>
      <c r="P552" s="11"/>
      <c r="Q552" s="11"/>
    </row>
    <row r="553" spans="14:17" ht="15.75" customHeight="1" x14ac:dyDescent="0.3">
      <c r="N553" s="11"/>
      <c r="O553" s="11"/>
      <c r="P553" s="11"/>
      <c r="Q553" s="11"/>
    </row>
    <row r="554" spans="14:17" ht="15.75" customHeight="1" x14ac:dyDescent="0.3">
      <c r="N554" s="11"/>
      <c r="O554" s="11"/>
      <c r="P554" s="11"/>
      <c r="Q554" s="11"/>
    </row>
    <row r="555" spans="14:17" ht="15.75" customHeight="1" x14ac:dyDescent="0.3">
      <c r="N555" s="11"/>
      <c r="O555" s="11"/>
      <c r="P555" s="11"/>
      <c r="Q555" s="11"/>
    </row>
    <row r="556" spans="14:17" ht="15.75" customHeight="1" x14ac:dyDescent="0.3">
      <c r="N556" s="11"/>
      <c r="O556" s="11"/>
      <c r="P556" s="11"/>
      <c r="Q556" s="11"/>
    </row>
    <row r="557" spans="14:17" ht="15.75" customHeight="1" x14ac:dyDescent="0.3">
      <c r="N557" s="11"/>
      <c r="O557" s="11"/>
      <c r="P557" s="11"/>
      <c r="Q557" s="11"/>
    </row>
    <row r="558" spans="14:17" ht="15.75" customHeight="1" x14ac:dyDescent="0.3">
      <c r="N558" s="11"/>
      <c r="O558" s="11"/>
      <c r="P558" s="11"/>
      <c r="Q558" s="11"/>
    </row>
    <row r="559" spans="14:17" ht="15.75" customHeight="1" x14ac:dyDescent="0.3">
      <c r="N559" s="11"/>
      <c r="O559" s="11"/>
      <c r="P559" s="11"/>
      <c r="Q559" s="11"/>
    </row>
    <row r="560" spans="14:17" ht="15.75" customHeight="1" x14ac:dyDescent="0.3">
      <c r="N560" s="11"/>
      <c r="O560" s="11"/>
      <c r="P560" s="11"/>
      <c r="Q560" s="11"/>
    </row>
    <row r="561" spans="14:17" ht="15.75" customHeight="1" x14ac:dyDescent="0.3">
      <c r="N561" s="11"/>
      <c r="O561" s="11"/>
      <c r="P561" s="11"/>
      <c r="Q561" s="11"/>
    </row>
    <row r="562" spans="14:17" ht="15.75" customHeight="1" x14ac:dyDescent="0.3">
      <c r="N562" s="11"/>
      <c r="O562" s="11"/>
      <c r="P562" s="11"/>
      <c r="Q562" s="11"/>
    </row>
    <row r="563" spans="14:17" ht="15.75" customHeight="1" x14ac:dyDescent="0.3">
      <c r="N563" s="11"/>
      <c r="O563" s="11"/>
      <c r="P563" s="11"/>
      <c r="Q563" s="11"/>
    </row>
    <row r="564" spans="14:17" ht="15.75" customHeight="1" x14ac:dyDescent="0.3">
      <c r="N564" s="11"/>
      <c r="O564" s="11"/>
      <c r="P564" s="11"/>
      <c r="Q564" s="11"/>
    </row>
    <row r="565" spans="14:17" ht="15.75" customHeight="1" x14ac:dyDescent="0.3">
      <c r="N565" s="11"/>
      <c r="O565" s="11"/>
      <c r="P565" s="11"/>
      <c r="Q565" s="11"/>
    </row>
    <row r="566" spans="14:17" ht="15.75" customHeight="1" x14ac:dyDescent="0.3">
      <c r="N566" s="11"/>
      <c r="O566" s="11"/>
      <c r="P566" s="11"/>
      <c r="Q566" s="11"/>
    </row>
    <row r="567" spans="14:17" ht="15.75" customHeight="1" x14ac:dyDescent="0.3">
      <c r="N567" s="11"/>
      <c r="O567" s="11"/>
      <c r="P567" s="11"/>
      <c r="Q567" s="11"/>
    </row>
    <row r="568" spans="14:17" ht="15.75" customHeight="1" x14ac:dyDescent="0.3">
      <c r="N568" s="11"/>
      <c r="O568" s="11"/>
      <c r="P568" s="11"/>
      <c r="Q568" s="11"/>
    </row>
    <row r="569" spans="14:17" ht="15.75" customHeight="1" x14ac:dyDescent="0.3">
      <c r="N569" s="11"/>
      <c r="O569" s="11"/>
      <c r="P569" s="11"/>
      <c r="Q569" s="11"/>
    </row>
    <row r="570" spans="14:17" ht="15.75" customHeight="1" x14ac:dyDescent="0.3">
      <c r="N570" s="11"/>
      <c r="O570" s="11"/>
      <c r="P570" s="11"/>
      <c r="Q570" s="11"/>
    </row>
    <row r="571" spans="14:17" ht="15.75" customHeight="1" x14ac:dyDescent="0.3">
      <c r="N571" s="11"/>
      <c r="O571" s="11"/>
      <c r="P571" s="11"/>
      <c r="Q571" s="11"/>
    </row>
    <row r="572" spans="14:17" ht="15.75" customHeight="1" x14ac:dyDescent="0.3">
      <c r="N572" s="11"/>
      <c r="O572" s="11"/>
      <c r="P572" s="11"/>
      <c r="Q572" s="11"/>
    </row>
    <row r="573" spans="14:17" ht="15.75" customHeight="1" x14ac:dyDescent="0.3">
      <c r="N573" s="11"/>
      <c r="O573" s="11"/>
      <c r="P573" s="11"/>
      <c r="Q573" s="11"/>
    </row>
    <row r="574" spans="14:17" ht="15.75" customHeight="1" x14ac:dyDescent="0.3">
      <c r="N574" s="11"/>
      <c r="O574" s="11"/>
      <c r="P574" s="11"/>
      <c r="Q574" s="11"/>
    </row>
    <row r="575" spans="14:17" ht="15.75" customHeight="1" x14ac:dyDescent="0.3">
      <c r="N575" s="11"/>
      <c r="O575" s="11"/>
      <c r="P575" s="11"/>
      <c r="Q575" s="11"/>
    </row>
    <row r="576" spans="14:17" ht="15.75" customHeight="1" x14ac:dyDescent="0.3">
      <c r="N576" s="11"/>
      <c r="O576" s="11"/>
      <c r="P576" s="11"/>
      <c r="Q576" s="11"/>
    </row>
    <row r="577" spans="14:17" ht="15.75" customHeight="1" x14ac:dyDescent="0.3">
      <c r="N577" s="11"/>
      <c r="O577" s="11"/>
      <c r="P577" s="11"/>
      <c r="Q577" s="11"/>
    </row>
    <row r="578" spans="14:17" ht="15.75" customHeight="1" x14ac:dyDescent="0.3">
      <c r="N578" s="11"/>
      <c r="O578" s="11"/>
      <c r="P578" s="11"/>
      <c r="Q578" s="11"/>
    </row>
    <row r="579" spans="14:17" ht="15.75" customHeight="1" x14ac:dyDescent="0.3">
      <c r="N579" s="11"/>
      <c r="O579" s="11"/>
      <c r="P579" s="11"/>
      <c r="Q579" s="11"/>
    </row>
    <row r="580" spans="14:17" ht="15.75" customHeight="1" x14ac:dyDescent="0.3">
      <c r="N580" s="11"/>
      <c r="O580" s="11"/>
      <c r="P580" s="11"/>
      <c r="Q580" s="11"/>
    </row>
    <row r="581" spans="14:17" ht="15.75" customHeight="1" x14ac:dyDescent="0.3">
      <c r="N581" s="11"/>
      <c r="O581" s="11"/>
      <c r="P581" s="11"/>
      <c r="Q581" s="11"/>
    </row>
    <row r="582" spans="14:17" ht="15.75" customHeight="1" x14ac:dyDescent="0.3">
      <c r="N582" s="11"/>
      <c r="O582" s="11"/>
      <c r="P582" s="11"/>
      <c r="Q582" s="11"/>
    </row>
    <row r="583" spans="14:17" ht="15.75" customHeight="1" x14ac:dyDescent="0.3">
      <c r="N583" s="11"/>
      <c r="O583" s="11"/>
      <c r="P583" s="11"/>
      <c r="Q583" s="11"/>
    </row>
    <row r="584" spans="14:17" ht="15.75" customHeight="1" x14ac:dyDescent="0.3">
      <c r="N584" s="11"/>
      <c r="O584" s="11"/>
      <c r="P584" s="11"/>
      <c r="Q584" s="11"/>
    </row>
    <row r="585" spans="14:17" ht="15.75" customHeight="1" x14ac:dyDescent="0.3">
      <c r="N585" s="11"/>
      <c r="O585" s="11"/>
      <c r="P585" s="11"/>
      <c r="Q585" s="11"/>
    </row>
    <row r="586" spans="14:17" ht="15.75" customHeight="1" x14ac:dyDescent="0.3">
      <c r="N586" s="11"/>
      <c r="O586" s="11"/>
      <c r="P586" s="11"/>
      <c r="Q586" s="11"/>
    </row>
    <row r="587" spans="14:17" ht="15.75" customHeight="1" x14ac:dyDescent="0.3">
      <c r="N587" s="11"/>
      <c r="O587" s="11"/>
      <c r="P587" s="11"/>
      <c r="Q587" s="11"/>
    </row>
    <row r="588" spans="14:17" ht="15.75" customHeight="1" x14ac:dyDescent="0.3">
      <c r="N588" s="11"/>
      <c r="O588" s="11"/>
      <c r="P588" s="11"/>
      <c r="Q588" s="11"/>
    </row>
    <row r="589" spans="14:17" ht="15.75" customHeight="1" x14ac:dyDescent="0.3">
      <c r="N589" s="11"/>
      <c r="O589" s="11"/>
      <c r="P589" s="11"/>
      <c r="Q589" s="11"/>
    </row>
    <row r="590" spans="14:17" ht="15.75" customHeight="1" x14ac:dyDescent="0.3">
      <c r="N590" s="11"/>
      <c r="O590" s="11"/>
      <c r="P590" s="11"/>
      <c r="Q590" s="11"/>
    </row>
    <row r="591" spans="14:17" ht="15.75" customHeight="1" x14ac:dyDescent="0.3">
      <c r="N591" s="11"/>
      <c r="O591" s="11"/>
      <c r="P591" s="11"/>
      <c r="Q591" s="11"/>
    </row>
    <row r="592" spans="14:17" ht="15.75" customHeight="1" x14ac:dyDescent="0.3">
      <c r="N592" s="11"/>
      <c r="O592" s="11"/>
      <c r="P592" s="11"/>
      <c r="Q592" s="11"/>
    </row>
    <row r="593" spans="14:17" ht="15.75" customHeight="1" x14ac:dyDescent="0.3">
      <c r="N593" s="11"/>
      <c r="O593" s="11"/>
      <c r="P593" s="11"/>
      <c r="Q593" s="11"/>
    </row>
    <row r="594" spans="14:17" ht="15.75" customHeight="1" x14ac:dyDescent="0.3">
      <c r="N594" s="11"/>
      <c r="O594" s="11"/>
      <c r="P594" s="11"/>
      <c r="Q594" s="11"/>
    </row>
    <row r="595" spans="14:17" ht="15.75" customHeight="1" x14ac:dyDescent="0.3">
      <c r="N595" s="11"/>
      <c r="O595" s="11"/>
      <c r="P595" s="11"/>
      <c r="Q595" s="11"/>
    </row>
    <row r="596" spans="14:17" ht="15.75" customHeight="1" x14ac:dyDescent="0.3">
      <c r="N596" s="11"/>
      <c r="O596" s="11"/>
      <c r="P596" s="11"/>
      <c r="Q596" s="11"/>
    </row>
    <row r="597" spans="14:17" ht="15.75" customHeight="1" x14ac:dyDescent="0.3">
      <c r="N597" s="11"/>
      <c r="O597" s="11"/>
      <c r="P597" s="11"/>
      <c r="Q597" s="11"/>
    </row>
    <row r="598" spans="14:17" ht="15.75" customHeight="1" x14ac:dyDescent="0.3">
      <c r="N598" s="11"/>
      <c r="O598" s="11"/>
      <c r="P598" s="11"/>
      <c r="Q598" s="11"/>
    </row>
    <row r="599" spans="14:17" ht="15.75" customHeight="1" x14ac:dyDescent="0.3">
      <c r="N599" s="11"/>
      <c r="O599" s="11"/>
      <c r="P599" s="11"/>
      <c r="Q599" s="11"/>
    </row>
    <row r="600" spans="14:17" ht="15.75" customHeight="1" x14ac:dyDescent="0.3">
      <c r="N600" s="11"/>
      <c r="O600" s="11"/>
      <c r="P600" s="11"/>
      <c r="Q600" s="11"/>
    </row>
    <row r="601" spans="14:17" ht="15.75" customHeight="1" x14ac:dyDescent="0.3">
      <c r="N601" s="11"/>
      <c r="O601" s="11"/>
      <c r="P601" s="11"/>
      <c r="Q601" s="11"/>
    </row>
    <row r="602" spans="14:17" ht="15.75" customHeight="1" x14ac:dyDescent="0.3">
      <c r="N602" s="11"/>
      <c r="O602" s="11"/>
      <c r="P602" s="11"/>
      <c r="Q602" s="11"/>
    </row>
    <row r="603" spans="14:17" ht="15.75" customHeight="1" x14ac:dyDescent="0.3">
      <c r="N603" s="11"/>
      <c r="O603" s="11"/>
      <c r="P603" s="11"/>
      <c r="Q603" s="11"/>
    </row>
    <row r="604" spans="14:17" ht="15.75" customHeight="1" x14ac:dyDescent="0.3">
      <c r="N604" s="11"/>
      <c r="O604" s="11"/>
      <c r="P604" s="11"/>
      <c r="Q604" s="11"/>
    </row>
    <row r="605" spans="14:17" ht="15.75" customHeight="1" x14ac:dyDescent="0.3">
      <c r="N605" s="11"/>
      <c r="O605" s="11"/>
      <c r="P605" s="11"/>
      <c r="Q605" s="11"/>
    </row>
    <row r="606" spans="14:17" ht="15.75" customHeight="1" x14ac:dyDescent="0.3">
      <c r="N606" s="11"/>
      <c r="O606" s="11"/>
      <c r="P606" s="11"/>
      <c r="Q606" s="11"/>
    </row>
    <row r="607" spans="14:17" ht="15.75" customHeight="1" x14ac:dyDescent="0.3">
      <c r="N607" s="11"/>
      <c r="O607" s="11"/>
      <c r="P607" s="11"/>
      <c r="Q607" s="11"/>
    </row>
    <row r="608" spans="14:17" ht="15.75" customHeight="1" x14ac:dyDescent="0.3">
      <c r="N608" s="11"/>
      <c r="O608" s="11"/>
      <c r="P608" s="11"/>
      <c r="Q608" s="11"/>
    </row>
    <row r="609" spans="14:17" ht="15.75" customHeight="1" x14ac:dyDescent="0.3">
      <c r="N609" s="11"/>
      <c r="O609" s="11"/>
      <c r="P609" s="11"/>
      <c r="Q609" s="11"/>
    </row>
    <row r="610" spans="14:17" ht="15.75" customHeight="1" x14ac:dyDescent="0.3">
      <c r="N610" s="11"/>
      <c r="O610" s="11"/>
      <c r="P610" s="11"/>
      <c r="Q610" s="11"/>
    </row>
    <row r="611" spans="14:17" ht="15.75" customHeight="1" x14ac:dyDescent="0.3">
      <c r="N611" s="11"/>
      <c r="O611" s="11"/>
      <c r="P611" s="11"/>
      <c r="Q611" s="11"/>
    </row>
    <row r="612" spans="14:17" ht="15.75" customHeight="1" x14ac:dyDescent="0.3">
      <c r="N612" s="11"/>
      <c r="O612" s="11"/>
      <c r="P612" s="11"/>
      <c r="Q612" s="11"/>
    </row>
    <row r="613" spans="14:17" ht="15.75" customHeight="1" x14ac:dyDescent="0.3">
      <c r="N613" s="11"/>
      <c r="O613" s="11"/>
      <c r="P613" s="11"/>
      <c r="Q613" s="11"/>
    </row>
    <row r="614" spans="14:17" ht="15.75" customHeight="1" x14ac:dyDescent="0.3">
      <c r="N614" s="11"/>
      <c r="O614" s="11"/>
      <c r="P614" s="11"/>
      <c r="Q614" s="11"/>
    </row>
    <row r="615" spans="14:17" ht="15.75" customHeight="1" x14ac:dyDescent="0.3">
      <c r="N615" s="11"/>
      <c r="O615" s="11"/>
      <c r="P615" s="11"/>
      <c r="Q615" s="11"/>
    </row>
    <row r="616" spans="14:17" ht="15.75" customHeight="1" x14ac:dyDescent="0.3">
      <c r="N616" s="11"/>
      <c r="O616" s="11"/>
      <c r="P616" s="11"/>
      <c r="Q616" s="11"/>
    </row>
    <row r="617" spans="14:17" ht="15.75" customHeight="1" x14ac:dyDescent="0.3">
      <c r="N617" s="11"/>
      <c r="O617" s="11"/>
      <c r="P617" s="11"/>
      <c r="Q617" s="11"/>
    </row>
    <row r="618" spans="14:17" ht="15.75" customHeight="1" x14ac:dyDescent="0.3">
      <c r="N618" s="11"/>
      <c r="O618" s="11"/>
      <c r="P618" s="11"/>
      <c r="Q618" s="11"/>
    </row>
    <row r="619" spans="14:17" ht="15.75" customHeight="1" x14ac:dyDescent="0.3">
      <c r="N619" s="11"/>
      <c r="O619" s="11"/>
      <c r="P619" s="11"/>
      <c r="Q619" s="11"/>
    </row>
    <row r="620" spans="14:17" ht="15.75" customHeight="1" x14ac:dyDescent="0.3">
      <c r="N620" s="11"/>
      <c r="O620" s="11"/>
      <c r="P620" s="11"/>
      <c r="Q620" s="11"/>
    </row>
    <row r="621" spans="14:17" ht="15.75" customHeight="1" x14ac:dyDescent="0.3">
      <c r="N621" s="11"/>
      <c r="O621" s="11"/>
      <c r="P621" s="11"/>
      <c r="Q621" s="11"/>
    </row>
    <row r="622" spans="14:17" ht="15.75" customHeight="1" x14ac:dyDescent="0.3">
      <c r="N622" s="11"/>
      <c r="O622" s="11"/>
      <c r="P622" s="11"/>
      <c r="Q622" s="11"/>
    </row>
    <row r="623" spans="14:17" ht="15.75" customHeight="1" x14ac:dyDescent="0.3">
      <c r="N623" s="11"/>
      <c r="O623" s="11"/>
      <c r="P623" s="11"/>
      <c r="Q623" s="11"/>
    </row>
    <row r="624" spans="14:17" ht="15.75" customHeight="1" x14ac:dyDescent="0.3">
      <c r="N624" s="11"/>
      <c r="O624" s="11"/>
      <c r="P624" s="11"/>
      <c r="Q624" s="11"/>
    </row>
    <row r="625" spans="14:17" ht="15.75" customHeight="1" x14ac:dyDescent="0.3">
      <c r="N625" s="11"/>
      <c r="O625" s="11"/>
      <c r="P625" s="11"/>
      <c r="Q625" s="11"/>
    </row>
    <row r="626" spans="14:17" ht="15.75" customHeight="1" x14ac:dyDescent="0.3">
      <c r="N626" s="11"/>
      <c r="O626" s="11"/>
      <c r="P626" s="11"/>
      <c r="Q626" s="11"/>
    </row>
    <row r="627" spans="14:17" ht="15.75" customHeight="1" x14ac:dyDescent="0.3">
      <c r="N627" s="11"/>
      <c r="O627" s="11"/>
      <c r="P627" s="11"/>
      <c r="Q627" s="11"/>
    </row>
    <row r="628" spans="14:17" ht="15.75" customHeight="1" x14ac:dyDescent="0.3">
      <c r="N628" s="11"/>
      <c r="O628" s="11"/>
      <c r="P628" s="11"/>
      <c r="Q628" s="11"/>
    </row>
    <row r="629" spans="14:17" ht="15.75" customHeight="1" x14ac:dyDescent="0.3">
      <c r="N629" s="11"/>
      <c r="O629" s="11"/>
      <c r="P629" s="11"/>
      <c r="Q629" s="11"/>
    </row>
    <row r="630" spans="14:17" ht="15.75" customHeight="1" x14ac:dyDescent="0.3">
      <c r="N630" s="11"/>
      <c r="O630" s="11"/>
      <c r="P630" s="11"/>
      <c r="Q630" s="11"/>
    </row>
    <row r="631" spans="14:17" ht="15.75" customHeight="1" x14ac:dyDescent="0.3">
      <c r="N631" s="11"/>
      <c r="O631" s="11"/>
      <c r="P631" s="11"/>
      <c r="Q631" s="11"/>
    </row>
    <row r="632" spans="14:17" ht="15.75" customHeight="1" x14ac:dyDescent="0.3">
      <c r="N632" s="11"/>
      <c r="O632" s="11"/>
      <c r="P632" s="11"/>
      <c r="Q632" s="11"/>
    </row>
    <row r="633" spans="14:17" ht="15.75" customHeight="1" x14ac:dyDescent="0.3">
      <c r="N633" s="11"/>
      <c r="O633" s="11"/>
      <c r="P633" s="11"/>
      <c r="Q633" s="11"/>
    </row>
    <row r="634" spans="14:17" ht="15.75" customHeight="1" x14ac:dyDescent="0.3">
      <c r="N634" s="11"/>
      <c r="O634" s="11"/>
      <c r="P634" s="11"/>
      <c r="Q634" s="11"/>
    </row>
    <row r="635" spans="14:17" ht="15.75" customHeight="1" x14ac:dyDescent="0.3">
      <c r="N635" s="11"/>
      <c r="O635" s="11"/>
      <c r="P635" s="11"/>
      <c r="Q635" s="11"/>
    </row>
    <row r="636" spans="14:17" ht="15.75" customHeight="1" x14ac:dyDescent="0.3">
      <c r="N636" s="11"/>
      <c r="O636" s="11"/>
      <c r="P636" s="11"/>
      <c r="Q636" s="11"/>
    </row>
    <row r="637" spans="14:17" ht="15.75" customHeight="1" x14ac:dyDescent="0.3">
      <c r="N637" s="11"/>
      <c r="O637" s="11"/>
      <c r="P637" s="11"/>
      <c r="Q637" s="11"/>
    </row>
    <row r="638" spans="14:17" ht="15.75" customHeight="1" x14ac:dyDescent="0.3">
      <c r="N638" s="11"/>
      <c r="O638" s="11"/>
      <c r="P638" s="11"/>
      <c r="Q638" s="11"/>
    </row>
    <row r="639" spans="14:17" ht="15.75" customHeight="1" x14ac:dyDescent="0.3">
      <c r="N639" s="11"/>
      <c r="O639" s="11"/>
      <c r="P639" s="11"/>
      <c r="Q639" s="11"/>
    </row>
    <row r="640" spans="14:17" ht="15.75" customHeight="1" x14ac:dyDescent="0.3">
      <c r="N640" s="11"/>
      <c r="O640" s="11"/>
      <c r="P640" s="11"/>
      <c r="Q640" s="11"/>
    </row>
    <row r="641" spans="14:17" ht="15.75" customHeight="1" x14ac:dyDescent="0.3">
      <c r="N641" s="11"/>
      <c r="O641" s="11"/>
      <c r="P641" s="11"/>
      <c r="Q641" s="11"/>
    </row>
    <row r="642" spans="14:17" ht="15.75" customHeight="1" x14ac:dyDescent="0.3">
      <c r="N642" s="11"/>
      <c r="O642" s="11"/>
      <c r="P642" s="11"/>
      <c r="Q642" s="11"/>
    </row>
    <row r="643" spans="14:17" ht="15.75" customHeight="1" x14ac:dyDescent="0.3">
      <c r="N643" s="11"/>
      <c r="O643" s="11"/>
      <c r="P643" s="11"/>
      <c r="Q643" s="11"/>
    </row>
    <row r="644" spans="14:17" ht="15.75" customHeight="1" x14ac:dyDescent="0.3">
      <c r="N644" s="11"/>
      <c r="O644" s="11"/>
      <c r="P644" s="11"/>
      <c r="Q644" s="11"/>
    </row>
    <row r="645" spans="14:17" ht="15.75" customHeight="1" x14ac:dyDescent="0.3">
      <c r="N645" s="11"/>
      <c r="O645" s="11"/>
      <c r="P645" s="11"/>
      <c r="Q645" s="11"/>
    </row>
    <row r="646" spans="14:17" ht="15.75" customHeight="1" x14ac:dyDescent="0.3">
      <c r="N646" s="11"/>
      <c r="O646" s="11"/>
      <c r="P646" s="11"/>
      <c r="Q646" s="11"/>
    </row>
    <row r="647" spans="14:17" ht="15.75" customHeight="1" x14ac:dyDescent="0.3">
      <c r="N647" s="11"/>
      <c r="O647" s="11"/>
      <c r="P647" s="11"/>
      <c r="Q647" s="11"/>
    </row>
    <row r="648" spans="14:17" ht="15.75" customHeight="1" x14ac:dyDescent="0.3">
      <c r="N648" s="11"/>
      <c r="O648" s="11"/>
      <c r="P648" s="11"/>
      <c r="Q648" s="11"/>
    </row>
    <row r="649" spans="14:17" ht="15.75" customHeight="1" x14ac:dyDescent="0.3">
      <c r="N649" s="11"/>
      <c r="O649" s="11"/>
      <c r="P649" s="11"/>
      <c r="Q649" s="11"/>
    </row>
    <row r="650" spans="14:17" ht="15.75" customHeight="1" x14ac:dyDescent="0.3">
      <c r="N650" s="11"/>
      <c r="O650" s="11"/>
      <c r="P650" s="11"/>
      <c r="Q650" s="11"/>
    </row>
    <row r="651" spans="14:17" ht="15.75" customHeight="1" x14ac:dyDescent="0.3">
      <c r="N651" s="11"/>
      <c r="O651" s="11"/>
      <c r="P651" s="11"/>
      <c r="Q651" s="11"/>
    </row>
    <row r="652" spans="14:17" ht="15.75" customHeight="1" x14ac:dyDescent="0.3">
      <c r="N652" s="11"/>
      <c r="O652" s="11"/>
      <c r="P652" s="11"/>
      <c r="Q652" s="11"/>
    </row>
    <row r="653" spans="14:17" ht="15.75" customHeight="1" x14ac:dyDescent="0.3">
      <c r="N653" s="11"/>
      <c r="O653" s="11"/>
      <c r="P653" s="11"/>
      <c r="Q653" s="11"/>
    </row>
    <row r="654" spans="14:17" ht="15.75" customHeight="1" x14ac:dyDescent="0.3">
      <c r="N654" s="11"/>
      <c r="O654" s="11"/>
      <c r="P654" s="11"/>
      <c r="Q654" s="11"/>
    </row>
    <row r="655" spans="14:17" ht="15.75" customHeight="1" x14ac:dyDescent="0.3">
      <c r="N655" s="11"/>
      <c r="O655" s="11"/>
      <c r="P655" s="11"/>
      <c r="Q655" s="11"/>
    </row>
    <row r="656" spans="14:17" ht="15.75" customHeight="1" x14ac:dyDescent="0.3">
      <c r="N656" s="11"/>
      <c r="O656" s="11"/>
      <c r="P656" s="11"/>
      <c r="Q656" s="11"/>
    </row>
    <row r="657" spans="14:17" ht="15.75" customHeight="1" x14ac:dyDescent="0.3">
      <c r="N657" s="11"/>
      <c r="O657" s="11"/>
      <c r="P657" s="11"/>
      <c r="Q657" s="11"/>
    </row>
    <row r="658" spans="14:17" ht="15.75" customHeight="1" x14ac:dyDescent="0.3">
      <c r="N658" s="11"/>
      <c r="O658" s="11"/>
      <c r="P658" s="11"/>
      <c r="Q658" s="11"/>
    </row>
    <row r="659" spans="14:17" ht="15.75" customHeight="1" x14ac:dyDescent="0.3">
      <c r="N659" s="11"/>
      <c r="O659" s="11"/>
      <c r="P659" s="11"/>
      <c r="Q659" s="11"/>
    </row>
    <row r="660" spans="14:17" ht="15.75" customHeight="1" x14ac:dyDescent="0.3">
      <c r="N660" s="11"/>
      <c r="O660" s="11"/>
      <c r="P660" s="11"/>
      <c r="Q660" s="11"/>
    </row>
    <row r="661" spans="14:17" ht="15.75" customHeight="1" x14ac:dyDescent="0.3">
      <c r="N661" s="11"/>
      <c r="O661" s="11"/>
      <c r="P661" s="11"/>
      <c r="Q661" s="11"/>
    </row>
    <row r="662" spans="14:17" ht="15.75" customHeight="1" x14ac:dyDescent="0.3">
      <c r="N662" s="11"/>
      <c r="O662" s="11"/>
      <c r="P662" s="11"/>
      <c r="Q662" s="11"/>
    </row>
    <row r="663" spans="14:17" ht="15.75" customHeight="1" x14ac:dyDescent="0.3">
      <c r="N663" s="11"/>
      <c r="O663" s="11"/>
      <c r="P663" s="11"/>
      <c r="Q663" s="11"/>
    </row>
    <row r="664" spans="14:17" ht="15.75" customHeight="1" x14ac:dyDescent="0.3">
      <c r="N664" s="11"/>
      <c r="O664" s="11"/>
      <c r="P664" s="11"/>
      <c r="Q664" s="11"/>
    </row>
    <row r="665" spans="14:17" ht="15.75" customHeight="1" x14ac:dyDescent="0.3">
      <c r="N665" s="11"/>
      <c r="O665" s="11"/>
      <c r="P665" s="11"/>
      <c r="Q665" s="11"/>
    </row>
    <row r="666" spans="14:17" ht="15.75" customHeight="1" x14ac:dyDescent="0.3">
      <c r="N666" s="11"/>
      <c r="O666" s="11"/>
      <c r="P666" s="11"/>
      <c r="Q666" s="11"/>
    </row>
    <row r="667" spans="14:17" ht="15.75" customHeight="1" x14ac:dyDescent="0.3">
      <c r="N667" s="11"/>
      <c r="O667" s="11"/>
      <c r="P667" s="11"/>
      <c r="Q667" s="11"/>
    </row>
    <row r="668" spans="14:17" ht="15.75" customHeight="1" x14ac:dyDescent="0.3">
      <c r="N668" s="11"/>
      <c r="O668" s="11"/>
      <c r="P668" s="11"/>
      <c r="Q668" s="11"/>
    </row>
    <row r="669" spans="14:17" ht="15.75" customHeight="1" x14ac:dyDescent="0.3">
      <c r="N669" s="11"/>
      <c r="O669" s="11"/>
      <c r="P669" s="11"/>
      <c r="Q669" s="11"/>
    </row>
    <row r="670" spans="14:17" ht="15.75" customHeight="1" x14ac:dyDescent="0.3">
      <c r="N670" s="11"/>
      <c r="O670" s="11"/>
      <c r="P670" s="11"/>
      <c r="Q670" s="11"/>
    </row>
    <row r="671" spans="14:17" ht="15.75" customHeight="1" x14ac:dyDescent="0.3">
      <c r="N671" s="11"/>
      <c r="O671" s="11"/>
      <c r="P671" s="11"/>
      <c r="Q671" s="11"/>
    </row>
    <row r="672" spans="14:17" ht="15.75" customHeight="1" x14ac:dyDescent="0.3">
      <c r="N672" s="11"/>
      <c r="O672" s="11"/>
      <c r="P672" s="11"/>
      <c r="Q672" s="11"/>
    </row>
    <row r="673" spans="14:17" ht="15.75" customHeight="1" x14ac:dyDescent="0.3">
      <c r="N673" s="11"/>
      <c r="O673" s="11"/>
      <c r="P673" s="11"/>
      <c r="Q673" s="11"/>
    </row>
    <row r="674" spans="14:17" ht="15.75" customHeight="1" x14ac:dyDescent="0.3">
      <c r="N674" s="11"/>
      <c r="O674" s="11"/>
      <c r="P674" s="11"/>
      <c r="Q674" s="11"/>
    </row>
    <row r="675" spans="14:17" ht="15.75" customHeight="1" x14ac:dyDescent="0.3">
      <c r="N675" s="11"/>
      <c r="O675" s="11"/>
      <c r="P675" s="11"/>
      <c r="Q675" s="11"/>
    </row>
    <row r="676" spans="14:17" ht="15.75" customHeight="1" x14ac:dyDescent="0.3">
      <c r="N676" s="11"/>
      <c r="O676" s="11"/>
      <c r="P676" s="11"/>
      <c r="Q676" s="11"/>
    </row>
    <row r="677" spans="14:17" ht="15.75" customHeight="1" x14ac:dyDescent="0.3">
      <c r="N677" s="11"/>
      <c r="O677" s="11"/>
      <c r="P677" s="11"/>
      <c r="Q677" s="11"/>
    </row>
    <row r="678" spans="14:17" ht="15.75" customHeight="1" x14ac:dyDescent="0.3">
      <c r="N678" s="11"/>
      <c r="O678" s="11"/>
      <c r="P678" s="11"/>
      <c r="Q678" s="11"/>
    </row>
    <row r="679" spans="14:17" ht="15.75" customHeight="1" x14ac:dyDescent="0.3">
      <c r="N679" s="11"/>
      <c r="O679" s="11"/>
      <c r="P679" s="11"/>
      <c r="Q679" s="11"/>
    </row>
    <row r="680" spans="14:17" ht="15.75" customHeight="1" x14ac:dyDescent="0.3">
      <c r="N680" s="11"/>
      <c r="O680" s="11"/>
      <c r="P680" s="11"/>
      <c r="Q680" s="11"/>
    </row>
    <row r="681" spans="14:17" ht="15.75" customHeight="1" x14ac:dyDescent="0.3">
      <c r="N681" s="11"/>
      <c r="O681" s="11"/>
      <c r="P681" s="11"/>
      <c r="Q681" s="11"/>
    </row>
    <row r="682" spans="14:17" ht="15.75" customHeight="1" x14ac:dyDescent="0.3">
      <c r="N682" s="11"/>
      <c r="O682" s="11"/>
      <c r="P682" s="11"/>
      <c r="Q682" s="11"/>
    </row>
    <row r="683" spans="14:17" ht="15.75" customHeight="1" x14ac:dyDescent="0.3">
      <c r="N683" s="11"/>
      <c r="O683" s="11"/>
      <c r="P683" s="11"/>
      <c r="Q683" s="11"/>
    </row>
    <row r="684" spans="14:17" ht="15.75" customHeight="1" x14ac:dyDescent="0.3">
      <c r="N684" s="11"/>
      <c r="O684" s="11"/>
      <c r="P684" s="11"/>
      <c r="Q684" s="11"/>
    </row>
    <row r="685" spans="14:17" ht="15.75" customHeight="1" x14ac:dyDescent="0.3">
      <c r="N685" s="11"/>
      <c r="O685" s="11"/>
      <c r="P685" s="11"/>
      <c r="Q685" s="11"/>
    </row>
    <row r="686" spans="14:17" ht="15.75" customHeight="1" x14ac:dyDescent="0.3">
      <c r="N686" s="11"/>
      <c r="O686" s="11"/>
      <c r="P686" s="11"/>
      <c r="Q686" s="11"/>
    </row>
    <row r="687" spans="14:17" ht="15.75" customHeight="1" x14ac:dyDescent="0.3">
      <c r="N687" s="11"/>
      <c r="O687" s="11"/>
      <c r="P687" s="11"/>
      <c r="Q687" s="11"/>
    </row>
    <row r="688" spans="14:17" ht="15.75" customHeight="1" x14ac:dyDescent="0.3">
      <c r="N688" s="11"/>
      <c r="O688" s="11"/>
      <c r="P688" s="11"/>
      <c r="Q688" s="11"/>
    </row>
    <row r="689" spans="14:17" ht="15.75" customHeight="1" x14ac:dyDescent="0.3">
      <c r="N689" s="11"/>
      <c r="O689" s="11"/>
      <c r="P689" s="11"/>
      <c r="Q689" s="11"/>
    </row>
    <row r="690" spans="14:17" ht="15.75" customHeight="1" x14ac:dyDescent="0.3">
      <c r="N690" s="11"/>
      <c r="O690" s="11"/>
      <c r="P690" s="11"/>
      <c r="Q690" s="11"/>
    </row>
    <row r="691" spans="14:17" ht="15.75" customHeight="1" x14ac:dyDescent="0.3">
      <c r="N691" s="11"/>
      <c r="O691" s="11"/>
      <c r="P691" s="11"/>
      <c r="Q691" s="11"/>
    </row>
    <row r="692" spans="14:17" ht="15.75" customHeight="1" x14ac:dyDescent="0.3">
      <c r="N692" s="11"/>
      <c r="O692" s="11"/>
      <c r="P692" s="11"/>
      <c r="Q692" s="11"/>
    </row>
    <row r="693" spans="14:17" ht="15.75" customHeight="1" x14ac:dyDescent="0.3">
      <c r="N693" s="11"/>
      <c r="O693" s="11"/>
      <c r="P693" s="11"/>
      <c r="Q693" s="11"/>
    </row>
    <row r="694" spans="14:17" ht="15.75" customHeight="1" x14ac:dyDescent="0.3">
      <c r="N694" s="11"/>
      <c r="O694" s="11"/>
      <c r="P694" s="11"/>
      <c r="Q694" s="11"/>
    </row>
    <row r="695" spans="14:17" ht="15.75" customHeight="1" x14ac:dyDescent="0.3">
      <c r="N695" s="11"/>
      <c r="O695" s="11"/>
      <c r="P695" s="11"/>
      <c r="Q695" s="11"/>
    </row>
    <row r="696" spans="14:17" ht="15.75" customHeight="1" x14ac:dyDescent="0.3">
      <c r="N696" s="11"/>
      <c r="O696" s="11"/>
      <c r="P696" s="11"/>
      <c r="Q696" s="11"/>
    </row>
    <row r="697" spans="14:17" ht="15.75" customHeight="1" x14ac:dyDescent="0.3">
      <c r="N697" s="11"/>
      <c r="O697" s="11"/>
      <c r="P697" s="11"/>
      <c r="Q697" s="11"/>
    </row>
    <row r="698" spans="14:17" ht="15.75" customHeight="1" x14ac:dyDescent="0.3">
      <c r="N698" s="11"/>
      <c r="O698" s="11"/>
      <c r="P698" s="11"/>
      <c r="Q698" s="11"/>
    </row>
    <row r="699" spans="14:17" ht="15.75" customHeight="1" x14ac:dyDescent="0.3">
      <c r="N699" s="11"/>
      <c r="O699" s="11"/>
      <c r="P699" s="11"/>
      <c r="Q699" s="11"/>
    </row>
    <row r="700" spans="14:17" ht="15.75" customHeight="1" x14ac:dyDescent="0.3">
      <c r="N700" s="11"/>
      <c r="O700" s="11"/>
      <c r="P700" s="11"/>
      <c r="Q700" s="11"/>
    </row>
    <row r="701" spans="14:17" ht="15.75" customHeight="1" x14ac:dyDescent="0.3">
      <c r="N701" s="11"/>
      <c r="O701" s="11"/>
      <c r="P701" s="11"/>
      <c r="Q701" s="11"/>
    </row>
    <row r="702" spans="14:17" ht="15.75" customHeight="1" x14ac:dyDescent="0.3">
      <c r="N702" s="11"/>
      <c r="O702" s="11"/>
      <c r="P702" s="11"/>
      <c r="Q702" s="11"/>
    </row>
    <row r="703" spans="14:17" ht="15.75" customHeight="1" x14ac:dyDescent="0.3">
      <c r="N703" s="11"/>
      <c r="O703" s="11"/>
      <c r="P703" s="11"/>
      <c r="Q703" s="11"/>
    </row>
    <row r="704" spans="14:17" ht="15.75" customHeight="1" x14ac:dyDescent="0.3">
      <c r="N704" s="11"/>
      <c r="O704" s="11"/>
      <c r="P704" s="11"/>
      <c r="Q704" s="11"/>
    </row>
    <row r="705" spans="14:17" ht="15.75" customHeight="1" x14ac:dyDescent="0.3">
      <c r="N705" s="11"/>
      <c r="O705" s="11"/>
      <c r="P705" s="11"/>
      <c r="Q705" s="11"/>
    </row>
    <row r="706" spans="14:17" ht="15.75" customHeight="1" x14ac:dyDescent="0.3">
      <c r="N706" s="11"/>
      <c r="O706" s="11"/>
      <c r="P706" s="11"/>
      <c r="Q706" s="11"/>
    </row>
    <row r="707" spans="14:17" ht="15.75" customHeight="1" x14ac:dyDescent="0.3">
      <c r="N707" s="11"/>
      <c r="O707" s="11"/>
      <c r="P707" s="11"/>
      <c r="Q707" s="11"/>
    </row>
    <row r="708" spans="14:17" ht="15.75" customHeight="1" x14ac:dyDescent="0.3">
      <c r="N708" s="11"/>
      <c r="O708" s="11"/>
      <c r="P708" s="11"/>
      <c r="Q708" s="11"/>
    </row>
    <row r="709" spans="14:17" ht="15.75" customHeight="1" x14ac:dyDescent="0.3">
      <c r="N709" s="11"/>
      <c r="O709" s="11"/>
      <c r="P709" s="11"/>
      <c r="Q709" s="11"/>
    </row>
    <row r="710" spans="14:17" ht="15.75" customHeight="1" x14ac:dyDescent="0.3">
      <c r="N710" s="11"/>
      <c r="O710" s="11"/>
      <c r="P710" s="11"/>
      <c r="Q710" s="11"/>
    </row>
    <row r="711" spans="14:17" ht="15.75" customHeight="1" x14ac:dyDescent="0.3">
      <c r="N711" s="11"/>
      <c r="O711" s="11"/>
      <c r="P711" s="11"/>
      <c r="Q711" s="11"/>
    </row>
    <row r="712" spans="14:17" ht="15.75" customHeight="1" x14ac:dyDescent="0.3">
      <c r="N712" s="11"/>
      <c r="O712" s="11"/>
      <c r="P712" s="11"/>
      <c r="Q712" s="11"/>
    </row>
    <row r="713" spans="14:17" ht="15.75" customHeight="1" x14ac:dyDescent="0.3">
      <c r="N713" s="11"/>
      <c r="O713" s="11"/>
      <c r="P713" s="11"/>
      <c r="Q713" s="11"/>
    </row>
    <row r="714" spans="14:17" ht="15.75" customHeight="1" x14ac:dyDescent="0.3">
      <c r="N714" s="11"/>
      <c r="O714" s="11"/>
      <c r="P714" s="11"/>
      <c r="Q714" s="11"/>
    </row>
    <row r="715" spans="14:17" ht="15.75" customHeight="1" x14ac:dyDescent="0.3">
      <c r="N715" s="11"/>
      <c r="O715" s="11"/>
      <c r="P715" s="11"/>
      <c r="Q715" s="11"/>
    </row>
    <row r="716" spans="14:17" ht="15.75" customHeight="1" x14ac:dyDescent="0.3">
      <c r="N716" s="11"/>
      <c r="O716" s="11"/>
      <c r="P716" s="11"/>
      <c r="Q716" s="11"/>
    </row>
    <row r="717" spans="14:17" ht="15.75" customHeight="1" x14ac:dyDescent="0.3">
      <c r="N717" s="11"/>
      <c r="O717" s="11"/>
      <c r="P717" s="11"/>
      <c r="Q717" s="11"/>
    </row>
    <row r="718" spans="14:17" ht="15.75" customHeight="1" x14ac:dyDescent="0.3">
      <c r="N718" s="11"/>
      <c r="O718" s="11"/>
      <c r="P718" s="11"/>
      <c r="Q718" s="11"/>
    </row>
    <row r="719" spans="14:17" ht="15.75" customHeight="1" x14ac:dyDescent="0.3">
      <c r="N719" s="11"/>
      <c r="O719" s="11"/>
      <c r="P719" s="11"/>
      <c r="Q719" s="11"/>
    </row>
    <row r="720" spans="14:17" ht="15.75" customHeight="1" x14ac:dyDescent="0.3">
      <c r="N720" s="11"/>
      <c r="O720" s="11"/>
      <c r="P720" s="11"/>
      <c r="Q720" s="11"/>
    </row>
    <row r="721" spans="14:17" ht="15.75" customHeight="1" x14ac:dyDescent="0.3">
      <c r="N721" s="11"/>
      <c r="O721" s="11"/>
      <c r="P721" s="11"/>
      <c r="Q721" s="11"/>
    </row>
    <row r="722" spans="14:17" ht="15.75" customHeight="1" x14ac:dyDescent="0.3">
      <c r="N722" s="11"/>
      <c r="O722" s="11"/>
      <c r="P722" s="11"/>
      <c r="Q722" s="11"/>
    </row>
    <row r="723" spans="14:17" ht="15.75" customHeight="1" x14ac:dyDescent="0.3">
      <c r="N723" s="11"/>
      <c r="O723" s="11"/>
      <c r="P723" s="11"/>
      <c r="Q723" s="11"/>
    </row>
    <row r="724" spans="14:17" ht="15.75" customHeight="1" x14ac:dyDescent="0.3">
      <c r="N724" s="11"/>
      <c r="O724" s="11"/>
      <c r="P724" s="11"/>
      <c r="Q724" s="11"/>
    </row>
    <row r="725" spans="14:17" ht="15.75" customHeight="1" x14ac:dyDescent="0.3">
      <c r="N725" s="11"/>
      <c r="O725" s="11"/>
      <c r="P725" s="11"/>
      <c r="Q725" s="11"/>
    </row>
    <row r="726" spans="14:17" ht="15.75" customHeight="1" x14ac:dyDescent="0.3">
      <c r="N726" s="11"/>
      <c r="O726" s="11"/>
      <c r="P726" s="11"/>
      <c r="Q726" s="11"/>
    </row>
    <row r="727" spans="14:17" ht="15.75" customHeight="1" x14ac:dyDescent="0.3">
      <c r="N727" s="11"/>
      <c r="O727" s="11"/>
      <c r="P727" s="11"/>
      <c r="Q727" s="11"/>
    </row>
    <row r="728" spans="14:17" ht="15.75" customHeight="1" x14ac:dyDescent="0.3">
      <c r="N728" s="11"/>
      <c r="O728" s="11"/>
      <c r="P728" s="11"/>
      <c r="Q728" s="11"/>
    </row>
    <row r="729" spans="14:17" ht="15.75" customHeight="1" x14ac:dyDescent="0.3">
      <c r="N729" s="11"/>
      <c r="O729" s="11"/>
      <c r="P729" s="11"/>
      <c r="Q729" s="11"/>
    </row>
    <row r="730" spans="14:17" ht="15.75" customHeight="1" x14ac:dyDescent="0.3">
      <c r="N730" s="11"/>
      <c r="O730" s="11"/>
      <c r="P730" s="11"/>
      <c r="Q730" s="11"/>
    </row>
    <row r="731" spans="14:17" ht="15.75" customHeight="1" x14ac:dyDescent="0.3">
      <c r="N731" s="11"/>
      <c r="O731" s="11"/>
      <c r="P731" s="11"/>
      <c r="Q731" s="11"/>
    </row>
    <row r="732" spans="14:17" ht="15.75" customHeight="1" x14ac:dyDescent="0.3">
      <c r="N732" s="11"/>
      <c r="O732" s="11"/>
      <c r="P732" s="11"/>
      <c r="Q732" s="11"/>
    </row>
    <row r="733" spans="14:17" ht="15.75" customHeight="1" x14ac:dyDescent="0.3">
      <c r="N733" s="11"/>
      <c r="O733" s="11"/>
      <c r="P733" s="11"/>
      <c r="Q733" s="11"/>
    </row>
    <row r="734" spans="14:17" ht="15.75" customHeight="1" x14ac:dyDescent="0.3">
      <c r="N734" s="11"/>
      <c r="O734" s="11"/>
      <c r="P734" s="11"/>
      <c r="Q734" s="11"/>
    </row>
    <row r="735" spans="14:17" ht="15.75" customHeight="1" x14ac:dyDescent="0.3">
      <c r="N735" s="11"/>
      <c r="O735" s="11"/>
      <c r="P735" s="11"/>
      <c r="Q735" s="11"/>
    </row>
    <row r="736" spans="14:17" ht="15.75" customHeight="1" x14ac:dyDescent="0.3">
      <c r="N736" s="11"/>
      <c r="O736" s="11"/>
      <c r="P736" s="11"/>
      <c r="Q736" s="11"/>
    </row>
    <row r="737" spans="14:17" ht="15.75" customHeight="1" x14ac:dyDescent="0.3">
      <c r="N737" s="11"/>
      <c r="O737" s="11"/>
      <c r="P737" s="11"/>
      <c r="Q737" s="11"/>
    </row>
    <row r="738" spans="14:17" ht="15.75" customHeight="1" x14ac:dyDescent="0.3">
      <c r="N738" s="11"/>
      <c r="O738" s="11"/>
      <c r="P738" s="11"/>
      <c r="Q738" s="11"/>
    </row>
    <row r="739" spans="14:17" ht="15.75" customHeight="1" x14ac:dyDescent="0.3">
      <c r="N739" s="11"/>
      <c r="O739" s="11"/>
      <c r="P739" s="11"/>
      <c r="Q739" s="11"/>
    </row>
    <row r="740" spans="14:17" ht="15.75" customHeight="1" x14ac:dyDescent="0.3">
      <c r="N740" s="11"/>
      <c r="O740" s="11"/>
      <c r="P740" s="11"/>
      <c r="Q740" s="11"/>
    </row>
    <row r="741" spans="14:17" ht="15.75" customHeight="1" x14ac:dyDescent="0.3">
      <c r="N741" s="11"/>
      <c r="O741" s="11"/>
      <c r="P741" s="11"/>
      <c r="Q741" s="11"/>
    </row>
    <row r="742" spans="14:17" ht="15.75" customHeight="1" x14ac:dyDescent="0.3">
      <c r="N742" s="11"/>
      <c r="O742" s="11"/>
      <c r="P742" s="11"/>
      <c r="Q742" s="11"/>
    </row>
    <row r="743" spans="14:17" ht="15.75" customHeight="1" x14ac:dyDescent="0.3">
      <c r="N743" s="11"/>
      <c r="O743" s="11"/>
      <c r="P743" s="11"/>
      <c r="Q743" s="11"/>
    </row>
    <row r="744" spans="14:17" ht="15.75" customHeight="1" x14ac:dyDescent="0.3">
      <c r="N744" s="11"/>
      <c r="O744" s="11"/>
      <c r="P744" s="11"/>
      <c r="Q744" s="11"/>
    </row>
    <row r="745" spans="14:17" ht="15.75" customHeight="1" x14ac:dyDescent="0.3">
      <c r="N745" s="11"/>
      <c r="O745" s="11"/>
      <c r="P745" s="11"/>
      <c r="Q745" s="11"/>
    </row>
    <row r="746" spans="14:17" ht="15.75" customHeight="1" x14ac:dyDescent="0.3">
      <c r="N746" s="11"/>
      <c r="O746" s="11"/>
      <c r="P746" s="11"/>
      <c r="Q746" s="11"/>
    </row>
    <row r="747" spans="14:17" ht="15.75" customHeight="1" x14ac:dyDescent="0.3">
      <c r="N747" s="11"/>
      <c r="O747" s="11"/>
      <c r="P747" s="11"/>
      <c r="Q747" s="11"/>
    </row>
    <row r="748" spans="14:17" ht="15.75" customHeight="1" x14ac:dyDescent="0.3">
      <c r="N748" s="11"/>
      <c r="O748" s="11"/>
      <c r="P748" s="11"/>
      <c r="Q748" s="11"/>
    </row>
    <row r="749" spans="14:17" ht="15.75" customHeight="1" x14ac:dyDescent="0.3">
      <c r="N749" s="11"/>
      <c r="O749" s="11"/>
      <c r="P749" s="11"/>
      <c r="Q749" s="11"/>
    </row>
    <row r="750" spans="14:17" ht="15.75" customHeight="1" x14ac:dyDescent="0.3">
      <c r="N750" s="11"/>
      <c r="O750" s="11"/>
      <c r="P750" s="11"/>
      <c r="Q750" s="11"/>
    </row>
    <row r="751" spans="14:17" ht="15.75" customHeight="1" x14ac:dyDescent="0.3">
      <c r="N751" s="11"/>
      <c r="O751" s="11"/>
      <c r="P751" s="11"/>
      <c r="Q751" s="11"/>
    </row>
    <row r="752" spans="14:17" ht="15.75" customHeight="1" x14ac:dyDescent="0.3">
      <c r="N752" s="11"/>
      <c r="O752" s="11"/>
      <c r="P752" s="11"/>
      <c r="Q752" s="11"/>
    </row>
    <row r="753" spans="14:17" ht="15.75" customHeight="1" x14ac:dyDescent="0.3">
      <c r="N753" s="11"/>
      <c r="O753" s="11"/>
      <c r="P753" s="11"/>
      <c r="Q753" s="11"/>
    </row>
    <row r="754" spans="14:17" ht="15.75" customHeight="1" x14ac:dyDescent="0.3">
      <c r="N754" s="11"/>
      <c r="O754" s="11"/>
      <c r="P754" s="11"/>
      <c r="Q754" s="11"/>
    </row>
    <row r="755" spans="14:17" ht="15.75" customHeight="1" x14ac:dyDescent="0.3">
      <c r="N755" s="11"/>
      <c r="O755" s="11"/>
      <c r="P755" s="11"/>
      <c r="Q755" s="11"/>
    </row>
    <row r="756" spans="14:17" ht="15.75" customHeight="1" x14ac:dyDescent="0.3">
      <c r="N756" s="11"/>
      <c r="O756" s="11"/>
      <c r="P756" s="11"/>
      <c r="Q756" s="11"/>
    </row>
    <row r="757" spans="14:17" ht="15.75" customHeight="1" x14ac:dyDescent="0.3">
      <c r="N757" s="11"/>
      <c r="O757" s="11"/>
      <c r="P757" s="11"/>
      <c r="Q757" s="11"/>
    </row>
    <row r="758" spans="14:17" ht="15.75" customHeight="1" x14ac:dyDescent="0.3">
      <c r="N758" s="11"/>
      <c r="O758" s="11"/>
      <c r="P758" s="11"/>
      <c r="Q758" s="11"/>
    </row>
    <row r="759" spans="14:17" ht="15.75" customHeight="1" x14ac:dyDescent="0.3">
      <c r="N759" s="11"/>
      <c r="O759" s="11"/>
      <c r="P759" s="11"/>
      <c r="Q759" s="11"/>
    </row>
    <row r="760" spans="14:17" ht="15.75" customHeight="1" x14ac:dyDescent="0.3">
      <c r="N760" s="11"/>
      <c r="O760" s="11"/>
      <c r="P760" s="11"/>
      <c r="Q760" s="11"/>
    </row>
    <row r="761" spans="14:17" ht="15.75" customHeight="1" x14ac:dyDescent="0.3">
      <c r="N761" s="11"/>
      <c r="O761" s="11"/>
      <c r="P761" s="11"/>
      <c r="Q761" s="11"/>
    </row>
    <row r="762" spans="14:17" ht="15.75" customHeight="1" x14ac:dyDescent="0.3">
      <c r="N762" s="11"/>
      <c r="O762" s="11"/>
      <c r="P762" s="11"/>
      <c r="Q762" s="11"/>
    </row>
    <row r="763" spans="14:17" ht="15.75" customHeight="1" x14ac:dyDescent="0.3">
      <c r="N763" s="11"/>
      <c r="O763" s="11"/>
      <c r="P763" s="11"/>
      <c r="Q763" s="11"/>
    </row>
    <row r="764" spans="14:17" ht="15.75" customHeight="1" x14ac:dyDescent="0.3">
      <c r="N764" s="11"/>
      <c r="O764" s="11"/>
      <c r="P764" s="11"/>
      <c r="Q764" s="11"/>
    </row>
    <row r="765" spans="14:17" ht="15.75" customHeight="1" x14ac:dyDescent="0.3">
      <c r="N765" s="11"/>
      <c r="O765" s="11"/>
      <c r="P765" s="11"/>
      <c r="Q765" s="11"/>
    </row>
    <row r="766" spans="14:17" ht="15.75" customHeight="1" x14ac:dyDescent="0.3">
      <c r="N766" s="11"/>
      <c r="O766" s="11"/>
      <c r="P766" s="11"/>
      <c r="Q766" s="11"/>
    </row>
    <row r="767" spans="14:17" ht="15.75" customHeight="1" x14ac:dyDescent="0.3">
      <c r="N767" s="11"/>
      <c r="O767" s="11"/>
      <c r="P767" s="11"/>
      <c r="Q767" s="11"/>
    </row>
    <row r="768" spans="14:17" ht="15.75" customHeight="1" x14ac:dyDescent="0.3">
      <c r="N768" s="11"/>
      <c r="O768" s="11"/>
      <c r="P768" s="11"/>
      <c r="Q768" s="11"/>
    </row>
    <row r="769" spans="14:17" ht="15.75" customHeight="1" x14ac:dyDescent="0.3">
      <c r="N769" s="11"/>
      <c r="O769" s="11"/>
      <c r="P769" s="11"/>
      <c r="Q769" s="11"/>
    </row>
    <row r="770" spans="14:17" ht="15.75" customHeight="1" x14ac:dyDescent="0.3">
      <c r="N770" s="11"/>
      <c r="O770" s="11"/>
      <c r="P770" s="11"/>
      <c r="Q770" s="11"/>
    </row>
    <row r="771" spans="14:17" ht="15.75" customHeight="1" x14ac:dyDescent="0.3">
      <c r="N771" s="11"/>
      <c r="O771" s="11"/>
      <c r="P771" s="11"/>
      <c r="Q771" s="11"/>
    </row>
    <row r="772" spans="14:17" ht="15.75" customHeight="1" x14ac:dyDescent="0.3">
      <c r="N772" s="11"/>
      <c r="O772" s="11"/>
      <c r="P772" s="11"/>
      <c r="Q772" s="11"/>
    </row>
    <row r="773" spans="14:17" ht="15.75" customHeight="1" x14ac:dyDescent="0.3">
      <c r="N773" s="11"/>
      <c r="O773" s="11"/>
      <c r="P773" s="11"/>
      <c r="Q773" s="11"/>
    </row>
    <row r="774" spans="14:17" ht="15.75" customHeight="1" x14ac:dyDescent="0.3">
      <c r="N774" s="11"/>
      <c r="O774" s="11"/>
      <c r="P774" s="11"/>
      <c r="Q774" s="11"/>
    </row>
    <row r="775" spans="14:17" ht="15.75" customHeight="1" x14ac:dyDescent="0.3">
      <c r="N775" s="11"/>
      <c r="O775" s="11"/>
      <c r="P775" s="11"/>
      <c r="Q775" s="11"/>
    </row>
    <row r="776" spans="14:17" ht="15.75" customHeight="1" x14ac:dyDescent="0.3">
      <c r="N776" s="11"/>
      <c r="O776" s="11"/>
      <c r="P776" s="11"/>
      <c r="Q776" s="11"/>
    </row>
    <row r="777" spans="14:17" ht="15.75" customHeight="1" x14ac:dyDescent="0.3">
      <c r="N777" s="11"/>
      <c r="O777" s="11"/>
      <c r="P777" s="11"/>
      <c r="Q777" s="11"/>
    </row>
    <row r="778" spans="14:17" ht="15.75" customHeight="1" x14ac:dyDescent="0.3">
      <c r="N778" s="11"/>
      <c r="O778" s="11"/>
      <c r="P778" s="11"/>
      <c r="Q778" s="11"/>
    </row>
    <row r="779" spans="14:17" ht="15.75" customHeight="1" x14ac:dyDescent="0.3">
      <c r="N779" s="11"/>
      <c r="O779" s="11"/>
      <c r="P779" s="11"/>
      <c r="Q779" s="11"/>
    </row>
    <row r="780" spans="14:17" ht="15.75" customHeight="1" x14ac:dyDescent="0.3">
      <c r="N780" s="11"/>
      <c r="O780" s="11"/>
      <c r="P780" s="11"/>
      <c r="Q780" s="11"/>
    </row>
    <row r="781" spans="14:17" ht="15.75" customHeight="1" x14ac:dyDescent="0.3">
      <c r="N781" s="11"/>
      <c r="O781" s="11"/>
      <c r="P781" s="11"/>
      <c r="Q781" s="11"/>
    </row>
    <row r="782" spans="14:17" ht="15.75" customHeight="1" x14ac:dyDescent="0.3">
      <c r="N782" s="11"/>
      <c r="O782" s="11"/>
      <c r="P782" s="11"/>
      <c r="Q782" s="11"/>
    </row>
    <row r="783" spans="14:17" ht="15.75" customHeight="1" x14ac:dyDescent="0.3">
      <c r="N783" s="11"/>
      <c r="O783" s="11"/>
      <c r="P783" s="11"/>
      <c r="Q783" s="11"/>
    </row>
    <row r="784" spans="14:17" ht="15.75" customHeight="1" x14ac:dyDescent="0.3">
      <c r="N784" s="11"/>
      <c r="O784" s="11"/>
      <c r="P784" s="11"/>
      <c r="Q784" s="11"/>
    </row>
    <row r="785" spans="14:17" ht="15.75" customHeight="1" x14ac:dyDescent="0.3">
      <c r="N785" s="11"/>
      <c r="O785" s="11"/>
      <c r="P785" s="11"/>
      <c r="Q785" s="11"/>
    </row>
    <row r="786" spans="14:17" ht="15.75" customHeight="1" x14ac:dyDescent="0.3">
      <c r="N786" s="11"/>
      <c r="O786" s="11"/>
      <c r="P786" s="11"/>
      <c r="Q786" s="11"/>
    </row>
    <row r="787" spans="14:17" ht="15.75" customHeight="1" x14ac:dyDescent="0.3">
      <c r="N787" s="11"/>
      <c r="O787" s="11"/>
      <c r="P787" s="11"/>
      <c r="Q787" s="11"/>
    </row>
    <row r="788" spans="14:17" ht="15.75" customHeight="1" x14ac:dyDescent="0.3">
      <c r="N788" s="11"/>
      <c r="O788" s="11"/>
      <c r="P788" s="11"/>
      <c r="Q788" s="11"/>
    </row>
    <row r="789" spans="14:17" ht="15.75" customHeight="1" x14ac:dyDescent="0.3">
      <c r="N789" s="11"/>
      <c r="O789" s="11"/>
      <c r="P789" s="11"/>
      <c r="Q789" s="11"/>
    </row>
    <row r="790" spans="14:17" ht="15.75" customHeight="1" x14ac:dyDescent="0.3">
      <c r="N790" s="11"/>
      <c r="O790" s="11"/>
      <c r="P790" s="11"/>
      <c r="Q790" s="11"/>
    </row>
    <row r="791" spans="14:17" ht="15.75" customHeight="1" x14ac:dyDescent="0.3">
      <c r="N791" s="11"/>
      <c r="O791" s="11"/>
      <c r="P791" s="11"/>
      <c r="Q791" s="11"/>
    </row>
    <row r="792" spans="14:17" ht="15.75" customHeight="1" x14ac:dyDescent="0.3">
      <c r="N792" s="11"/>
      <c r="O792" s="11"/>
      <c r="P792" s="11"/>
      <c r="Q792" s="11"/>
    </row>
    <row r="793" spans="14:17" ht="15.75" customHeight="1" x14ac:dyDescent="0.3">
      <c r="N793" s="11"/>
      <c r="O793" s="11"/>
      <c r="P793" s="11"/>
      <c r="Q793" s="11"/>
    </row>
    <row r="794" spans="14:17" ht="15.75" customHeight="1" x14ac:dyDescent="0.3">
      <c r="N794" s="11"/>
      <c r="O794" s="11"/>
      <c r="P794" s="11"/>
      <c r="Q794" s="11"/>
    </row>
    <row r="795" spans="14:17" ht="15.75" customHeight="1" x14ac:dyDescent="0.3">
      <c r="N795" s="11"/>
      <c r="O795" s="11"/>
      <c r="P795" s="11"/>
      <c r="Q795" s="11"/>
    </row>
    <row r="796" spans="14:17" ht="15.75" customHeight="1" x14ac:dyDescent="0.3">
      <c r="N796" s="11"/>
      <c r="O796" s="11"/>
      <c r="P796" s="11"/>
      <c r="Q796" s="11"/>
    </row>
    <row r="797" spans="14:17" ht="15.75" customHeight="1" x14ac:dyDescent="0.3">
      <c r="N797" s="11"/>
      <c r="O797" s="11"/>
      <c r="P797" s="11"/>
      <c r="Q797" s="11"/>
    </row>
    <row r="798" spans="14:17" ht="15.75" customHeight="1" x14ac:dyDescent="0.3">
      <c r="N798" s="11"/>
      <c r="O798" s="11"/>
      <c r="P798" s="11"/>
      <c r="Q798" s="11"/>
    </row>
    <row r="799" spans="14:17" ht="15.75" customHeight="1" x14ac:dyDescent="0.3">
      <c r="N799" s="11"/>
      <c r="O799" s="11"/>
      <c r="P799" s="11"/>
      <c r="Q799" s="11"/>
    </row>
    <row r="800" spans="14:17" ht="15.75" customHeight="1" x14ac:dyDescent="0.3">
      <c r="N800" s="11"/>
      <c r="O800" s="11"/>
      <c r="P800" s="11"/>
      <c r="Q800" s="11"/>
    </row>
    <row r="801" spans="14:17" ht="15.75" customHeight="1" x14ac:dyDescent="0.3">
      <c r="N801" s="11"/>
      <c r="O801" s="11"/>
      <c r="P801" s="11"/>
      <c r="Q801" s="11"/>
    </row>
    <row r="802" spans="14:17" ht="15.75" customHeight="1" x14ac:dyDescent="0.3">
      <c r="N802" s="11"/>
      <c r="O802" s="11"/>
      <c r="P802" s="11"/>
      <c r="Q802" s="11"/>
    </row>
    <row r="803" spans="14:17" ht="15.75" customHeight="1" x14ac:dyDescent="0.3">
      <c r="N803" s="11"/>
      <c r="O803" s="11"/>
      <c r="P803" s="11"/>
      <c r="Q803" s="11"/>
    </row>
    <row r="804" spans="14:17" ht="15.75" customHeight="1" x14ac:dyDescent="0.3">
      <c r="N804" s="11"/>
      <c r="O804" s="11"/>
      <c r="P804" s="11"/>
      <c r="Q804" s="11"/>
    </row>
    <row r="805" spans="14:17" ht="15.75" customHeight="1" x14ac:dyDescent="0.3">
      <c r="N805" s="11"/>
      <c r="O805" s="11"/>
      <c r="P805" s="11"/>
      <c r="Q805" s="11"/>
    </row>
    <row r="806" spans="14:17" ht="15.75" customHeight="1" x14ac:dyDescent="0.3">
      <c r="N806" s="11"/>
      <c r="O806" s="11"/>
      <c r="P806" s="11"/>
      <c r="Q806" s="11"/>
    </row>
    <row r="807" spans="14:17" ht="15.75" customHeight="1" x14ac:dyDescent="0.3">
      <c r="N807" s="11"/>
      <c r="O807" s="11"/>
      <c r="P807" s="11"/>
      <c r="Q807" s="11"/>
    </row>
    <row r="808" spans="14:17" ht="15.75" customHeight="1" x14ac:dyDescent="0.3">
      <c r="N808" s="11"/>
      <c r="O808" s="11"/>
      <c r="P808" s="11"/>
      <c r="Q808" s="11"/>
    </row>
    <row r="809" spans="14:17" ht="15.75" customHeight="1" x14ac:dyDescent="0.3">
      <c r="N809" s="11"/>
      <c r="O809" s="11"/>
      <c r="P809" s="11"/>
      <c r="Q809" s="11"/>
    </row>
    <row r="810" spans="14:17" ht="15.75" customHeight="1" x14ac:dyDescent="0.3">
      <c r="N810" s="11"/>
      <c r="O810" s="11"/>
      <c r="P810" s="11"/>
      <c r="Q810" s="11"/>
    </row>
    <row r="811" spans="14:17" ht="15.75" customHeight="1" x14ac:dyDescent="0.3">
      <c r="N811" s="11"/>
      <c r="O811" s="11"/>
      <c r="P811" s="11"/>
      <c r="Q811" s="11"/>
    </row>
    <row r="812" spans="14:17" ht="15.75" customHeight="1" x14ac:dyDescent="0.3">
      <c r="N812" s="11"/>
      <c r="O812" s="11"/>
      <c r="P812" s="11"/>
      <c r="Q812" s="11"/>
    </row>
    <row r="813" spans="14:17" ht="15.75" customHeight="1" x14ac:dyDescent="0.3">
      <c r="N813" s="11"/>
      <c r="O813" s="11"/>
      <c r="P813" s="11"/>
      <c r="Q813" s="11"/>
    </row>
    <row r="814" spans="14:17" ht="15.75" customHeight="1" x14ac:dyDescent="0.3">
      <c r="N814" s="11"/>
      <c r="O814" s="11"/>
      <c r="P814" s="11"/>
      <c r="Q814" s="11"/>
    </row>
    <row r="815" spans="14:17" ht="15.75" customHeight="1" x14ac:dyDescent="0.3">
      <c r="N815" s="11"/>
      <c r="O815" s="11"/>
      <c r="P815" s="11"/>
      <c r="Q815" s="11"/>
    </row>
    <row r="816" spans="14:17" ht="15.75" customHeight="1" x14ac:dyDescent="0.3">
      <c r="N816" s="11"/>
      <c r="O816" s="11"/>
      <c r="P816" s="11"/>
      <c r="Q816" s="11"/>
    </row>
    <row r="817" spans="14:17" ht="15.75" customHeight="1" x14ac:dyDescent="0.3">
      <c r="N817" s="11"/>
      <c r="O817" s="11"/>
      <c r="P817" s="11"/>
      <c r="Q817" s="11"/>
    </row>
    <row r="818" spans="14:17" ht="15.75" customHeight="1" x14ac:dyDescent="0.3">
      <c r="N818" s="11"/>
      <c r="O818" s="11"/>
      <c r="P818" s="11"/>
      <c r="Q818" s="11"/>
    </row>
    <row r="819" spans="14:17" ht="15.75" customHeight="1" x14ac:dyDescent="0.3">
      <c r="N819" s="11"/>
      <c r="O819" s="11"/>
      <c r="P819" s="11"/>
      <c r="Q819" s="11"/>
    </row>
    <row r="820" spans="14:17" ht="15.75" customHeight="1" x14ac:dyDescent="0.3">
      <c r="N820" s="11"/>
      <c r="O820" s="11"/>
      <c r="P820" s="11"/>
      <c r="Q820" s="11"/>
    </row>
    <row r="821" spans="14:17" ht="15.75" customHeight="1" x14ac:dyDescent="0.3">
      <c r="N821" s="11"/>
      <c r="O821" s="11"/>
      <c r="P821" s="11"/>
      <c r="Q821" s="11"/>
    </row>
    <row r="822" spans="14:17" ht="15.75" customHeight="1" x14ac:dyDescent="0.3">
      <c r="N822" s="11"/>
      <c r="O822" s="11"/>
      <c r="P822" s="11"/>
      <c r="Q822" s="11"/>
    </row>
    <row r="823" spans="14:17" ht="15.75" customHeight="1" x14ac:dyDescent="0.3">
      <c r="N823" s="11"/>
      <c r="O823" s="11"/>
      <c r="P823" s="11"/>
      <c r="Q823" s="11"/>
    </row>
    <row r="824" spans="14:17" ht="15.75" customHeight="1" x14ac:dyDescent="0.3">
      <c r="N824" s="11"/>
      <c r="O824" s="11"/>
      <c r="P824" s="11"/>
      <c r="Q824" s="11"/>
    </row>
    <row r="825" spans="14:17" ht="15.75" customHeight="1" x14ac:dyDescent="0.3">
      <c r="N825" s="11"/>
      <c r="O825" s="11"/>
      <c r="P825" s="11"/>
      <c r="Q825" s="11"/>
    </row>
    <row r="826" spans="14:17" ht="15.75" customHeight="1" x14ac:dyDescent="0.3">
      <c r="N826" s="11"/>
      <c r="O826" s="11"/>
      <c r="P826" s="11"/>
      <c r="Q826" s="11"/>
    </row>
    <row r="827" spans="14:17" ht="15.75" customHeight="1" x14ac:dyDescent="0.3">
      <c r="N827" s="11"/>
      <c r="O827" s="11"/>
      <c r="P827" s="11"/>
      <c r="Q827" s="11"/>
    </row>
    <row r="828" spans="14:17" ht="15.75" customHeight="1" x14ac:dyDescent="0.3">
      <c r="N828" s="11"/>
      <c r="O828" s="11"/>
      <c r="P828" s="11"/>
      <c r="Q828" s="11"/>
    </row>
    <row r="829" spans="14:17" ht="15.75" customHeight="1" x14ac:dyDescent="0.3">
      <c r="N829" s="11"/>
      <c r="O829" s="11"/>
      <c r="P829" s="11"/>
      <c r="Q829" s="11"/>
    </row>
    <row r="830" spans="14:17" ht="15.75" customHeight="1" x14ac:dyDescent="0.3">
      <c r="N830" s="11"/>
      <c r="O830" s="11"/>
      <c r="P830" s="11"/>
      <c r="Q830" s="11"/>
    </row>
    <row r="831" spans="14:17" ht="15.75" customHeight="1" x14ac:dyDescent="0.3">
      <c r="N831" s="11"/>
      <c r="O831" s="11"/>
      <c r="P831" s="11"/>
      <c r="Q831" s="11"/>
    </row>
    <row r="832" spans="14:17" ht="15.75" customHeight="1" x14ac:dyDescent="0.3">
      <c r="N832" s="11"/>
      <c r="O832" s="11"/>
      <c r="P832" s="11"/>
      <c r="Q832" s="11"/>
    </row>
    <row r="833" spans="14:17" ht="15.75" customHeight="1" x14ac:dyDescent="0.3">
      <c r="N833" s="11"/>
      <c r="O833" s="11"/>
      <c r="P833" s="11"/>
      <c r="Q833" s="11"/>
    </row>
    <row r="834" spans="14:17" ht="15.75" customHeight="1" x14ac:dyDescent="0.3">
      <c r="N834" s="11"/>
      <c r="O834" s="11"/>
      <c r="P834" s="11"/>
      <c r="Q834" s="11"/>
    </row>
    <row r="835" spans="14:17" ht="15.75" customHeight="1" x14ac:dyDescent="0.3">
      <c r="N835" s="11"/>
      <c r="O835" s="11"/>
      <c r="P835" s="11"/>
      <c r="Q835" s="11"/>
    </row>
    <row r="836" spans="14:17" ht="15.75" customHeight="1" x14ac:dyDescent="0.3">
      <c r="N836" s="11"/>
      <c r="O836" s="11"/>
      <c r="P836" s="11"/>
      <c r="Q836" s="11"/>
    </row>
    <row r="837" spans="14:17" ht="15.75" customHeight="1" x14ac:dyDescent="0.3">
      <c r="N837" s="11"/>
      <c r="O837" s="11"/>
      <c r="P837" s="11"/>
      <c r="Q837" s="11"/>
    </row>
    <row r="838" spans="14:17" ht="15.75" customHeight="1" x14ac:dyDescent="0.3">
      <c r="N838" s="11"/>
      <c r="O838" s="11"/>
      <c r="P838" s="11"/>
      <c r="Q838" s="11"/>
    </row>
    <row r="839" spans="14:17" ht="15.75" customHeight="1" x14ac:dyDescent="0.3">
      <c r="N839" s="11"/>
      <c r="O839" s="11"/>
      <c r="P839" s="11"/>
      <c r="Q839" s="11"/>
    </row>
    <row r="840" spans="14:17" ht="15.75" customHeight="1" x14ac:dyDescent="0.3">
      <c r="N840" s="11"/>
      <c r="O840" s="11"/>
      <c r="P840" s="11"/>
      <c r="Q840" s="11"/>
    </row>
    <row r="841" spans="14:17" ht="15.75" customHeight="1" x14ac:dyDescent="0.3">
      <c r="N841" s="11"/>
      <c r="O841" s="11"/>
      <c r="P841" s="11"/>
      <c r="Q841" s="11"/>
    </row>
    <row r="842" spans="14:17" ht="15.75" customHeight="1" x14ac:dyDescent="0.3">
      <c r="N842" s="11"/>
      <c r="O842" s="11"/>
      <c r="P842" s="11"/>
      <c r="Q842" s="11"/>
    </row>
    <row r="843" spans="14:17" ht="15.75" customHeight="1" x14ac:dyDescent="0.3">
      <c r="N843" s="11"/>
      <c r="O843" s="11"/>
      <c r="P843" s="11"/>
      <c r="Q843" s="11"/>
    </row>
    <row r="844" spans="14:17" ht="15.75" customHeight="1" x14ac:dyDescent="0.3">
      <c r="N844" s="11"/>
      <c r="O844" s="11"/>
      <c r="P844" s="11"/>
      <c r="Q844" s="11"/>
    </row>
    <row r="845" spans="14:17" ht="15.75" customHeight="1" x14ac:dyDescent="0.3">
      <c r="N845" s="11"/>
      <c r="O845" s="11"/>
      <c r="P845" s="11"/>
      <c r="Q845" s="11"/>
    </row>
    <row r="846" spans="14:17" ht="15.75" customHeight="1" x14ac:dyDescent="0.3">
      <c r="N846" s="11"/>
      <c r="O846" s="11"/>
      <c r="P846" s="11"/>
      <c r="Q846" s="11"/>
    </row>
    <row r="847" spans="14:17" ht="15.75" customHeight="1" x14ac:dyDescent="0.3">
      <c r="N847" s="11"/>
      <c r="O847" s="11"/>
      <c r="P847" s="11"/>
      <c r="Q847" s="11"/>
    </row>
    <row r="848" spans="14:17" ht="15.75" customHeight="1" x14ac:dyDescent="0.3">
      <c r="N848" s="11"/>
      <c r="O848" s="11"/>
      <c r="P848" s="11"/>
      <c r="Q848" s="11"/>
    </row>
    <row r="849" spans="14:17" ht="15.75" customHeight="1" x14ac:dyDescent="0.3">
      <c r="N849" s="11"/>
      <c r="O849" s="11"/>
      <c r="P849" s="11"/>
      <c r="Q849" s="11"/>
    </row>
    <row r="850" spans="14:17" ht="15.75" customHeight="1" x14ac:dyDescent="0.3">
      <c r="N850" s="11"/>
      <c r="O850" s="11"/>
      <c r="P850" s="11"/>
      <c r="Q850" s="11"/>
    </row>
    <row r="851" spans="14:17" ht="15.75" customHeight="1" x14ac:dyDescent="0.3">
      <c r="N851" s="11"/>
      <c r="O851" s="11"/>
      <c r="P851" s="11"/>
      <c r="Q851" s="11"/>
    </row>
    <row r="852" spans="14:17" ht="15.75" customHeight="1" x14ac:dyDescent="0.3">
      <c r="N852" s="11"/>
      <c r="O852" s="11"/>
      <c r="P852" s="11"/>
      <c r="Q852" s="11"/>
    </row>
    <row r="853" spans="14:17" ht="15.75" customHeight="1" x14ac:dyDescent="0.3">
      <c r="N853" s="11"/>
      <c r="O853" s="11"/>
      <c r="P853" s="11"/>
      <c r="Q853" s="11"/>
    </row>
    <row r="854" spans="14:17" ht="15.75" customHeight="1" x14ac:dyDescent="0.3">
      <c r="N854" s="11"/>
      <c r="O854" s="11"/>
      <c r="P854" s="11"/>
      <c r="Q854" s="11"/>
    </row>
    <row r="855" spans="14:17" ht="15.75" customHeight="1" x14ac:dyDescent="0.3">
      <c r="N855" s="11"/>
      <c r="O855" s="11"/>
      <c r="P855" s="11"/>
      <c r="Q855" s="11"/>
    </row>
    <row r="856" spans="14:17" ht="15.75" customHeight="1" x14ac:dyDescent="0.3">
      <c r="N856" s="11"/>
      <c r="O856" s="11"/>
      <c r="P856" s="11"/>
      <c r="Q856" s="11"/>
    </row>
    <row r="857" spans="14:17" ht="15.75" customHeight="1" x14ac:dyDescent="0.3">
      <c r="N857" s="11"/>
      <c r="O857" s="11"/>
      <c r="P857" s="11"/>
      <c r="Q857" s="11"/>
    </row>
    <row r="858" spans="14:17" ht="15.75" customHeight="1" x14ac:dyDescent="0.3">
      <c r="N858" s="11"/>
      <c r="O858" s="11"/>
      <c r="P858" s="11"/>
      <c r="Q858" s="11"/>
    </row>
    <row r="859" spans="14:17" ht="15.75" customHeight="1" x14ac:dyDescent="0.3">
      <c r="N859" s="11"/>
      <c r="O859" s="11"/>
      <c r="P859" s="11"/>
      <c r="Q859" s="11"/>
    </row>
    <row r="860" spans="14:17" ht="15.75" customHeight="1" x14ac:dyDescent="0.3">
      <c r="N860" s="11"/>
      <c r="O860" s="11"/>
      <c r="P860" s="11"/>
      <c r="Q860" s="11"/>
    </row>
    <row r="861" spans="14:17" ht="15.75" customHeight="1" x14ac:dyDescent="0.3">
      <c r="N861" s="11"/>
      <c r="O861" s="11"/>
      <c r="P861" s="11"/>
      <c r="Q861" s="11"/>
    </row>
    <row r="862" spans="14:17" ht="15.75" customHeight="1" x14ac:dyDescent="0.3">
      <c r="N862" s="11"/>
      <c r="O862" s="11"/>
      <c r="P862" s="11"/>
      <c r="Q862" s="11"/>
    </row>
    <row r="863" spans="14:17" ht="15.75" customHeight="1" x14ac:dyDescent="0.3">
      <c r="N863" s="11"/>
      <c r="O863" s="11"/>
      <c r="P863" s="11"/>
      <c r="Q863" s="11"/>
    </row>
    <row r="864" spans="14:17" ht="15.75" customHeight="1" x14ac:dyDescent="0.3">
      <c r="N864" s="11"/>
      <c r="O864" s="11"/>
      <c r="P864" s="11"/>
      <c r="Q864" s="11"/>
    </row>
    <row r="865" spans="14:17" ht="15.75" customHeight="1" x14ac:dyDescent="0.3">
      <c r="N865" s="11"/>
      <c r="O865" s="11"/>
      <c r="P865" s="11"/>
      <c r="Q865" s="11"/>
    </row>
    <row r="866" spans="14:17" ht="15.75" customHeight="1" x14ac:dyDescent="0.3">
      <c r="N866" s="11"/>
      <c r="O866" s="11"/>
      <c r="P866" s="11"/>
      <c r="Q866" s="11"/>
    </row>
    <row r="867" spans="14:17" ht="15.75" customHeight="1" x14ac:dyDescent="0.3">
      <c r="N867" s="11"/>
      <c r="O867" s="11"/>
      <c r="P867" s="11"/>
      <c r="Q867" s="11"/>
    </row>
    <row r="868" spans="14:17" ht="15.75" customHeight="1" x14ac:dyDescent="0.3">
      <c r="N868" s="11"/>
      <c r="O868" s="11"/>
      <c r="P868" s="11"/>
      <c r="Q868" s="11"/>
    </row>
    <row r="869" spans="14:17" ht="15.75" customHeight="1" x14ac:dyDescent="0.3">
      <c r="N869" s="11"/>
      <c r="O869" s="11"/>
      <c r="P869" s="11"/>
      <c r="Q869" s="11"/>
    </row>
    <row r="870" spans="14:17" ht="15.75" customHeight="1" x14ac:dyDescent="0.3">
      <c r="N870" s="11"/>
      <c r="O870" s="11"/>
      <c r="P870" s="11"/>
      <c r="Q870" s="11"/>
    </row>
    <row r="871" spans="14:17" ht="15.75" customHeight="1" x14ac:dyDescent="0.3">
      <c r="N871" s="11"/>
      <c r="O871" s="11"/>
      <c r="P871" s="11"/>
      <c r="Q871" s="11"/>
    </row>
    <row r="872" spans="14:17" ht="15.75" customHeight="1" x14ac:dyDescent="0.3">
      <c r="N872" s="11"/>
      <c r="O872" s="11"/>
      <c r="P872" s="11"/>
      <c r="Q872" s="11"/>
    </row>
    <row r="873" spans="14:17" ht="15.75" customHeight="1" x14ac:dyDescent="0.3">
      <c r="N873" s="11"/>
      <c r="O873" s="11"/>
      <c r="P873" s="11"/>
      <c r="Q873" s="11"/>
    </row>
    <row r="874" spans="14:17" ht="15.75" customHeight="1" x14ac:dyDescent="0.3">
      <c r="N874" s="11"/>
      <c r="O874" s="11"/>
      <c r="P874" s="11"/>
      <c r="Q874" s="11"/>
    </row>
    <row r="875" spans="14:17" ht="15.75" customHeight="1" x14ac:dyDescent="0.3">
      <c r="N875" s="11"/>
      <c r="O875" s="11"/>
      <c r="P875" s="11"/>
      <c r="Q875" s="11"/>
    </row>
    <row r="876" spans="14:17" ht="15.75" customHeight="1" x14ac:dyDescent="0.3">
      <c r="N876" s="11"/>
      <c r="O876" s="11"/>
      <c r="P876" s="11"/>
      <c r="Q876" s="11"/>
    </row>
    <row r="877" spans="14:17" ht="15.75" customHeight="1" x14ac:dyDescent="0.3">
      <c r="N877" s="11"/>
      <c r="O877" s="11"/>
      <c r="P877" s="11"/>
      <c r="Q877" s="11"/>
    </row>
    <row r="878" spans="14:17" ht="15.75" customHeight="1" x14ac:dyDescent="0.3">
      <c r="N878" s="11"/>
      <c r="O878" s="11"/>
      <c r="P878" s="11"/>
      <c r="Q878" s="11"/>
    </row>
    <row r="879" spans="14:17" ht="15.75" customHeight="1" x14ac:dyDescent="0.3">
      <c r="N879" s="11"/>
      <c r="O879" s="11"/>
      <c r="P879" s="11"/>
      <c r="Q879" s="11"/>
    </row>
    <row r="880" spans="14:17" ht="15.75" customHeight="1" x14ac:dyDescent="0.3">
      <c r="N880" s="11"/>
      <c r="O880" s="11"/>
      <c r="P880" s="11"/>
      <c r="Q880" s="11"/>
    </row>
    <row r="881" spans="14:17" ht="15.75" customHeight="1" x14ac:dyDescent="0.3">
      <c r="N881" s="11"/>
      <c r="O881" s="11"/>
      <c r="P881" s="11"/>
      <c r="Q881" s="11"/>
    </row>
    <row r="882" spans="14:17" ht="15.75" customHeight="1" x14ac:dyDescent="0.3">
      <c r="N882" s="11"/>
      <c r="O882" s="11"/>
      <c r="P882" s="11"/>
      <c r="Q882" s="11"/>
    </row>
    <row r="883" spans="14:17" ht="15.75" customHeight="1" x14ac:dyDescent="0.3">
      <c r="N883" s="11"/>
      <c r="O883" s="11"/>
      <c r="P883" s="11"/>
      <c r="Q883" s="11"/>
    </row>
    <row r="884" spans="14:17" ht="15.75" customHeight="1" x14ac:dyDescent="0.3">
      <c r="N884" s="11"/>
      <c r="O884" s="11"/>
      <c r="P884" s="11"/>
      <c r="Q884" s="11"/>
    </row>
    <row r="885" spans="14:17" ht="15.75" customHeight="1" x14ac:dyDescent="0.3">
      <c r="N885" s="11"/>
      <c r="O885" s="11"/>
      <c r="P885" s="11"/>
      <c r="Q885" s="11"/>
    </row>
    <row r="886" spans="14:17" ht="15.75" customHeight="1" x14ac:dyDescent="0.3">
      <c r="N886" s="11"/>
      <c r="O886" s="11"/>
      <c r="P886" s="11"/>
      <c r="Q886" s="11"/>
    </row>
    <row r="887" spans="14:17" ht="15.75" customHeight="1" x14ac:dyDescent="0.3">
      <c r="N887" s="11"/>
      <c r="O887" s="11"/>
      <c r="P887" s="11"/>
      <c r="Q887" s="11"/>
    </row>
    <row r="888" spans="14:17" ht="15.75" customHeight="1" x14ac:dyDescent="0.3">
      <c r="N888" s="11"/>
      <c r="O888" s="11"/>
      <c r="P888" s="11"/>
      <c r="Q888" s="11"/>
    </row>
    <row r="889" spans="14:17" ht="15.75" customHeight="1" x14ac:dyDescent="0.3">
      <c r="N889" s="11"/>
      <c r="O889" s="11"/>
      <c r="P889" s="11"/>
      <c r="Q889" s="11"/>
    </row>
    <row r="890" spans="14:17" ht="15.75" customHeight="1" x14ac:dyDescent="0.3">
      <c r="N890" s="11"/>
      <c r="O890" s="11"/>
      <c r="P890" s="11"/>
      <c r="Q890" s="11"/>
    </row>
    <row r="891" spans="14:17" ht="15.75" customHeight="1" x14ac:dyDescent="0.3">
      <c r="N891" s="11"/>
      <c r="O891" s="11"/>
      <c r="P891" s="11"/>
      <c r="Q891" s="11"/>
    </row>
    <row r="892" spans="14:17" ht="15.75" customHeight="1" x14ac:dyDescent="0.3">
      <c r="N892" s="11"/>
      <c r="O892" s="11"/>
      <c r="P892" s="11"/>
      <c r="Q892" s="11"/>
    </row>
    <row r="893" spans="14:17" ht="15.75" customHeight="1" x14ac:dyDescent="0.3">
      <c r="N893" s="11"/>
      <c r="O893" s="11"/>
      <c r="P893" s="11"/>
      <c r="Q893" s="11"/>
    </row>
    <row r="894" spans="14:17" ht="15.75" customHeight="1" x14ac:dyDescent="0.3">
      <c r="N894" s="11"/>
      <c r="O894" s="11"/>
      <c r="P894" s="11"/>
      <c r="Q894" s="11"/>
    </row>
    <row r="895" spans="14:17" ht="15.75" customHeight="1" x14ac:dyDescent="0.3">
      <c r="N895" s="11"/>
      <c r="O895" s="11"/>
      <c r="P895" s="11"/>
      <c r="Q895" s="11"/>
    </row>
    <row r="896" spans="14:17" ht="15.75" customHeight="1" x14ac:dyDescent="0.3">
      <c r="N896" s="11"/>
      <c r="O896" s="11"/>
      <c r="P896" s="11"/>
      <c r="Q896" s="11"/>
    </row>
    <row r="897" spans="14:17" ht="15.75" customHeight="1" x14ac:dyDescent="0.3">
      <c r="N897" s="11"/>
      <c r="O897" s="11"/>
      <c r="P897" s="11"/>
      <c r="Q897" s="11"/>
    </row>
    <row r="898" spans="14:17" ht="15.75" customHeight="1" x14ac:dyDescent="0.3">
      <c r="N898" s="11"/>
      <c r="O898" s="11"/>
      <c r="P898" s="11"/>
      <c r="Q898" s="11"/>
    </row>
    <row r="899" spans="14:17" ht="15.75" customHeight="1" x14ac:dyDescent="0.3">
      <c r="N899" s="11"/>
      <c r="O899" s="11"/>
      <c r="P899" s="11"/>
      <c r="Q899" s="11"/>
    </row>
    <row r="900" spans="14:17" ht="15.75" customHeight="1" x14ac:dyDescent="0.3">
      <c r="N900" s="11"/>
      <c r="O900" s="11"/>
      <c r="P900" s="11"/>
      <c r="Q900" s="11"/>
    </row>
    <row r="901" spans="14:17" ht="15.75" customHeight="1" x14ac:dyDescent="0.3">
      <c r="N901" s="11"/>
      <c r="O901" s="11"/>
      <c r="P901" s="11"/>
      <c r="Q901" s="11"/>
    </row>
    <row r="902" spans="14:17" ht="15.75" customHeight="1" x14ac:dyDescent="0.3">
      <c r="N902" s="11"/>
      <c r="O902" s="11"/>
      <c r="P902" s="11"/>
      <c r="Q902" s="11"/>
    </row>
    <row r="903" spans="14:17" ht="15.75" customHeight="1" x14ac:dyDescent="0.3">
      <c r="N903" s="11"/>
      <c r="O903" s="11"/>
      <c r="P903" s="11"/>
      <c r="Q903" s="11"/>
    </row>
    <row r="904" spans="14:17" ht="15.75" customHeight="1" x14ac:dyDescent="0.3">
      <c r="N904" s="11"/>
      <c r="O904" s="11"/>
      <c r="P904" s="11"/>
      <c r="Q904" s="11"/>
    </row>
    <row r="905" spans="14:17" ht="15.75" customHeight="1" x14ac:dyDescent="0.3">
      <c r="N905" s="11"/>
      <c r="O905" s="11"/>
      <c r="P905" s="11"/>
      <c r="Q905" s="11"/>
    </row>
    <row r="906" spans="14:17" ht="15.75" customHeight="1" x14ac:dyDescent="0.3">
      <c r="N906" s="11"/>
      <c r="O906" s="11"/>
      <c r="P906" s="11"/>
      <c r="Q906" s="11"/>
    </row>
    <row r="907" spans="14:17" ht="15.75" customHeight="1" x14ac:dyDescent="0.3">
      <c r="N907" s="11"/>
      <c r="O907" s="11"/>
      <c r="P907" s="11"/>
      <c r="Q907" s="11"/>
    </row>
    <row r="908" spans="14:17" ht="15.75" customHeight="1" x14ac:dyDescent="0.3">
      <c r="N908" s="11"/>
      <c r="O908" s="11"/>
      <c r="P908" s="11"/>
      <c r="Q908" s="11"/>
    </row>
    <row r="909" spans="14:17" ht="15.75" customHeight="1" x14ac:dyDescent="0.3">
      <c r="N909" s="11"/>
      <c r="O909" s="11"/>
      <c r="P909" s="11"/>
      <c r="Q909" s="11"/>
    </row>
    <row r="910" spans="14:17" ht="15.75" customHeight="1" x14ac:dyDescent="0.3">
      <c r="N910" s="11"/>
      <c r="O910" s="11"/>
      <c r="P910" s="11"/>
      <c r="Q910" s="11"/>
    </row>
    <row r="911" spans="14:17" ht="15.75" customHeight="1" x14ac:dyDescent="0.3">
      <c r="N911" s="11"/>
      <c r="O911" s="11"/>
      <c r="P911" s="11"/>
      <c r="Q911" s="11"/>
    </row>
    <row r="912" spans="14:17" ht="15.75" customHeight="1" x14ac:dyDescent="0.3">
      <c r="N912" s="11"/>
      <c r="O912" s="11"/>
      <c r="P912" s="11"/>
      <c r="Q912" s="11"/>
    </row>
    <row r="913" spans="14:17" ht="15.75" customHeight="1" x14ac:dyDescent="0.3">
      <c r="N913" s="11"/>
      <c r="O913" s="11"/>
      <c r="P913" s="11"/>
      <c r="Q913" s="11"/>
    </row>
    <row r="914" spans="14:17" ht="15.75" customHeight="1" x14ac:dyDescent="0.3">
      <c r="N914" s="11"/>
      <c r="O914" s="11"/>
      <c r="P914" s="11"/>
      <c r="Q914" s="11"/>
    </row>
    <row r="915" spans="14:17" ht="15.75" customHeight="1" x14ac:dyDescent="0.3">
      <c r="N915" s="11"/>
      <c r="O915" s="11"/>
      <c r="P915" s="11"/>
      <c r="Q915" s="11"/>
    </row>
    <row r="916" spans="14:17" ht="15.75" customHeight="1" x14ac:dyDescent="0.3">
      <c r="N916" s="11"/>
      <c r="O916" s="11"/>
      <c r="P916" s="11"/>
      <c r="Q916" s="11"/>
    </row>
    <row r="917" spans="14:17" ht="15.75" customHeight="1" x14ac:dyDescent="0.3">
      <c r="N917" s="11"/>
      <c r="O917" s="11"/>
      <c r="P917" s="11"/>
      <c r="Q917" s="11"/>
    </row>
    <row r="918" spans="14:17" ht="15.75" customHeight="1" x14ac:dyDescent="0.3">
      <c r="N918" s="11"/>
      <c r="O918" s="11"/>
      <c r="P918" s="11"/>
      <c r="Q918" s="11"/>
    </row>
    <row r="919" spans="14:17" ht="15.75" customHeight="1" x14ac:dyDescent="0.3">
      <c r="N919" s="11"/>
      <c r="O919" s="11"/>
      <c r="P919" s="11"/>
      <c r="Q919" s="11"/>
    </row>
    <row r="920" spans="14:17" ht="15.75" customHeight="1" x14ac:dyDescent="0.3">
      <c r="N920" s="11"/>
      <c r="O920" s="11"/>
      <c r="P920" s="11"/>
      <c r="Q920" s="11"/>
    </row>
    <row r="921" spans="14:17" ht="15.75" customHeight="1" x14ac:dyDescent="0.3">
      <c r="N921" s="11"/>
      <c r="O921" s="11"/>
      <c r="P921" s="11"/>
      <c r="Q921" s="11"/>
    </row>
    <row r="922" spans="14:17" ht="15.75" customHeight="1" x14ac:dyDescent="0.3">
      <c r="N922" s="11"/>
      <c r="O922" s="11"/>
      <c r="P922" s="11"/>
      <c r="Q922" s="11"/>
    </row>
    <row r="923" spans="14:17" ht="15.75" customHeight="1" x14ac:dyDescent="0.3">
      <c r="N923" s="11"/>
      <c r="O923" s="11"/>
      <c r="P923" s="11"/>
      <c r="Q923" s="11"/>
    </row>
    <row r="924" spans="14:17" ht="15.75" customHeight="1" x14ac:dyDescent="0.3">
      <c r="N924" s="11"/>
      <c r="O924" s="11"/>
      <c r="P924" s="11"/>
      <c r="Q924" s="11"/>
    </row>
    <row r="925" spans="14:17" ht="15.75" customHeight="1" x14ac:dyDescent="0.3">
      <c r="N925" s="11"/>
      <c r="O925" s="11"/>
      <c r="P925" s="11"/>
      <c r="Q925" s="11"/>
    </row>
    <row r="926" spans="14:17" ht="15.75" customHeight="1" x14ac:dyDescent="0.3">
      <c r="N926" s="11"/>
      <c r="O926" s="11"/>
      <c r="P926" s="11"/>
      <c r="Q926" s="11"/>
    </row>
    <row r="927" spans="14:17" ht="15.75" customHeight="1" x14ac:dyDescent="0.3">
      <c r="N927" s="11"/>
      <c r="O927" s="11"/>
      <c r="P927" s="11"/>
      <c r="Q927" s="11"/>
    </row>
    <row r="928" spans="14:17" ht="15.75" customHeight="1" x14ac:dyDescent="0.3">
      <c r="N928" s="11"/>
      <c r="O928" s="11"/>
      <c r="P928" s="11"/>
      <c r="Q928" s="11"/>
    </row>
    <row r="929" spans="14:17" ht="15.75" customHeight="1" x14ac:dyDescent="0.3">
      <c r="N929" s="11"/>
      <c r="O929" s="11"/>
      <c r="P929" s="11"/>
      <c r="Q929" s="11"/>
    </row>
    <row r="930" spans="14:17" ht="15.75" customHeight="1" x14ac:dyDescent="0.3">
      <c r="N930" s="11"/>
      <c r="O930" s="11"/>
      <c r="P930" s="11"/>
      <c r="Q930" s="11"/>
    </row>
    <row r="931" spans="14:17" ht="15.75" customHeight="1" x14ac:dyDescent="0.3">
      <c r="N931" s="11"/>
      <c r="O931" s="11"/>
      <c r="P931" s="11"/>
      <c r="Q931" s="11"/>
    </row>
    <row r="932" spans="14:17" ht="15.75" customHeight="1" x14ac:dyDescent="0.3">
      <c r="N932" s="11"/>
      <c r="O932" s="11"/>
      <c r="P932" s="11"/>
      <c r="Q932" s="11"/>
    </row>
    <row r="933" spans="14:17" ht="15.75" customHeight="1" x14ac:dyDescent="0.3">
      <c r="N933" s="11"/>
      <c r="O933" s="11"/>
      <c r="P933" s="11"/>
      <c r="Q933" s="11"/>
    </row>
    <row r="934" spans="14:17" ht="15.75" customHeight="1" x14ac:dyDescent="0.3">
      <c r="N934" s="11"/>
      <c r="O934" s="11"/>
      <c r="P934" s="11"/>
      <c r="Q934" s="11"/>
    </row>
    <row r="935" spans="14:17" ht="15.75" customHeight="1" x14ac:dyDescent="0.3">
      <c r="N935" s="11"/>
      <c r="O935" s="11"/>
      <c r="P935" s="11"/>
      <c r="Q935" s="11"/>
    </row>
    <row r="936" spans="14:17" ht="15.75" customHeight="1" x14ac:dyDescent="0.3">
      <c r="N936" s="11"/>
      <c r="O936" s="11"/>
      <c r="P936" s="11"/>
      <c r="Q936" s="11"/>
    </row>
    <row r="937" spans="14:17" ht="15.75" customHeight="1" x14ac:dyDescent="0.3">
      <c r="N937" s="11"/>
      <c r="O937" s="11"/>
      <c r="P937" s="11"/>
      <c r="Q937" s="11"/>
    </row>
    <row r="938" spans="14:17" ht="15.75" customHeight="1" x14ac:dyDescent="0.3">
      <c r="N938" s="11"/>
      <c r="O938" s="11"/>
      <c r="P938" s="11"/>
      <c r="Q938" s="11"/>
    </row>
    <row r="939" spans="14:17" ht="15.75" customHeight="1" x14ac:dyDescent="0.3">
      <c r="N939" s="11"/>
      <c r="O939" s="11"/>
      <c r="P939" s="11"/>
      <c r="Q939" s="11"/>
    </row>
    <row r="940" spans="14:17" ht="15.75" customHeight="1" x14ac:dyDescent="0.3">
      <c r="N940" s="11"/>
      <c r="O940" s="11"/>
      <c r="P940" s="11"/>
      <c r="Q940" s="11"/>
    </row>
    <row r="941" spans="14:17" ht="15.75" customHeight="1" x14ac:dyDescent="0.3">
      <c r="N941" s="11"/>
      <c r="O941" s="11"/>
      <c r="P941" s="11"/>
      <c r="Q941" s="11"/>
    </row>
    <row r="942" spans="14:17" ht="15.75" customHeight="1" x14ac:dyDescent="0.3">
      <c r="N942" s="11"/>
      <c r="O942" s="11"/>
      <c r="P942" s="11"/>
      <c r="Q942" s="11"/>
    </row>
    <row r="943" spans="14:17" ht="15.75" customHeight="1" x14ac:dyDescent="0.3">
      <c r="N943" s="11"/>
      <c r="O943" s="11"/>
      <c r="P943" s="11"/>
      <c r="Q943" s="11"/>
    </row>
    <row r="944" spans="14:17" ht="15.75" customHeight="1" x14ac:dyDescent="0.3">
      <c r="N944" s="11"/>
      <c r="O944" s="11"/>
      <c r="P944" s="11"/>
      <c r="Q944" s="11"/>
    </row>
    <row r="945" spans="14:17" ht="15.75" customHeight="1" x14ac:dyDescent="0.3">
      <c r="N945" s="11"/>
      <c r="O945" s="11"/>
      <c r="P945" s="11"/>
      <c r="Q945" s="11"/>
    </row>
    <row r="946" spans="14:17" ht="15.75" customHeight="1" x14ac:dyDescent="0.3">
      <c r="N946" s="11"/>
      <c r="O946" s="11"/>
      <c r="P946" s="11"/>
      <c r="Q946" s="11"/>
    </row>
    <row r="947" spans="14:17" ht="15.75" customHeight="1" x14ac:dyDescent="0.3">
      <c r="N947" s="11"/>
      <c r="O947" s="11"/>
      <c r="P947" s="11"/>
      <c r="Q947" s="11"/>
    </row>
    <row r="948" spans="14:17" ht="15.75" customHeight="1" x14ac:dyDescent="0.3">
      <c r="N948" s="11"/>
      <c r="O948" s="11"/>
      <c r="P948" s="11"/>
      <c r="Q948" s="11"/>
    </row>
    <row r="949" spans="14:17" ht="15.75" customHeight="1" x14ac:dyDescent="0.3">
      <c r="N949" s="11"/>
      <c r="O949" s="11"/>
      <c r="P949" s="11"/>
      <c r="Q949" s="11"/>
    </row>
    <row r="950" spans="14:17" ht="15.75" customHeight="1" x14ac:dyDescent="0.3">
      <c r="N950" s="11"/>
      <c r="O950" s="11"/>
      <c r="P950" s="11"/>
      <c r="Q950" s="11"/>
    </row>
    <row r="951" spans="14:17" ht="15.75" customHeight="1" x14ac:dyDescent="0.3">
      <c r="N951" s="11"/>
      <c r="O951" s="11"/>
      <c r="P951" s="11"/>
      <c r="Q951" s="11"/>
    </row>
    <row r="952" spans="14:17" ht="15.75" customHeight="1" x14ac:dyDescent="0.3">
      <c r="N952" s="11"/>
      <c r="O952" s="11"/>
      <c r="P952" s="11"/>
      <c r="Q952" s="11"/>
    </row>
    <row r="953" spans="14:17" ht="15.75" customHeight="1" x14ac:dyDescent="0.3">
      <c r="N953" s="11"/>
      <c r="O953" s="11"/>
      <c r="P953" s="11"/>
      <c r="Q953" s="11"/>
    </row>
    <row r="954" spans="14:17" ht="15.75" customHeight="1" x14ac:dyDescent="0.3">
      <c r="N954" s="11"/>
      <c r="O954" s="11"/>
      <c r="P954" s="11"/>
      <c r="Q954" s="11"/>
    </row>
    <row r="955" spans="14:17" ht="15.75" customHeight="1" x14ac:dyDescent="0.3">
      <c r="N955" s="11"/>
      <c r="O955" s="11"/>
      <c r="P955" s="11"/>
      <c r="Q955" s="11"/>
    </row>
    <row r="956" spans="14:17" ht="15.75" customHeight="1" x14ac:dyDescent="0.3">
      <c r="N956" s="11"/>
      <c r="O956" s="11"/>
      <c r="P956" s="11"/>
      <c r="Q956" s="11"/>
    </row>
    <row r="957" spans="14:17" ht="15.75" customHeight="1" x14ac:dyDescent="0.3">
      <c r="N957" s="11"/>
      <c r="O957" s="11"/>
      <c r="P957" s="11"/>
      <c r="Q957" s="11"/>
    </row>
    <row r="958" spans="14:17" ht="15.75" customHeight="1" x14ac:dyDescent="0.3">
      <c r="N958" s="11"/>
      <c r="O958" s="11"/>
      <c r="P958" s="11"/>
      <c r="Q958" s="11"/>
    </row>
    <row r="959" spans="14:17" ht="15.75" customHeight="1" x14ac:dyDescent="0.3">
      <c r="N959" s="11"/>
      <c r="O959" s="11"/>
      <c r="P959" s="11"/>
      <c r="Q959" s="11"/>
    </row>
    <row r="960" spans="14:17" ht="15.75" customHeight="1" x14ac:dyDescent="0.3">
      <c r="N960" s="11"/>
      <c r="O960" s="11"/>
      <c r="P960" s="11"/>
      <c r="Q960" s="11"/>
    </row>
    <row r="961" spans="14:17" ht="15.75" customHeight="1" x14ac:dyDescent="0.3">
      <c r="N961" s="11"/>
      <c r="O961" s="11"/>
      <c r="P961" s="11"/>
      <c r="Q961" s="11"/>
    </row>
    <row r="962" spans="14:17" ht="15.75" customHeight="1" x14ac:dyDescent="0.3">
      <c r="N962" s="11"/>
      <c r="O962" s="11"/>
      <c r="P962" s="11"/>
      <c r="Q962" s="11"/>
    </row>
    <row r="963" spans="14:17" ht="15.75" customHeight="1" x14ac:dyDescent="0.3">
      <c r="N963" s="11"/>
      <c r="O963" s="11"/>
      <c r="P963" s="11"/>
      <c r="Q963" s="11"/>
    </row>
    <row r="964" spans="14:17" ht="15.75" customHeight="1" x14ac:dyDescent="0.3">
      <c r="N964" s="11"/>
      <c r="O964" s="11"/>
      <c r="P964" s="11"/>
      <c r="Q964" s="11"/>
    </row>
    <row r="965" spans="14:17" ht="15.75" customHeight="1" x14ac:dyDescent="0.3">
      <c r="N965" s="11"/>
      <c r="O965" s="11"/>
      <c r="P965" s="11"/>
      <c r="Q965" s="11"/>
    </row>
    <row r="966" spans="14:17" ht="15.75" customHeight="1" x14ac:dyDescent="0.3">
      <c r="N966" s="11"/>
      <c r="O966" s="11"/>
      <c r="P966" s="11"/>
      <c r="Q966" s="11"/>
    </row>
    <row r="967" spans="14:17" ht="15.75" customHeight="1" x14ac:dyDescent="0.3">
      <c r="N967" s="11"/>
      <c r="O967" s="11"/>
      <c r="P967" s="11"/>
      <c r="Q967" s="11"/>
    </row>
    <row r="968" spans="14:17" ht="15.75" customHeight="1" x14ac:dyDescent="0.3">
      <c r="N968" s="11"/>
      <c r="O968" s="11"/>
      <c r="P968" s="11"/>
      <c r="Q968" s="11"/>
    </row>
    <row r="969" spans="14:17" ht="15.75" customHeight="1" x14ac:dyDescent="0.3">
      <c r="N969" s="11"/>
      <c r="O969" s="11"/>
      <c r="P969" s="11"/>
      <c r="Q969" s="11"/>
    </row>
    <row r="970" spans="14:17" ht="15.75" customHeight="1" x14ac:dyDescent="0.3">
      <c r="N970" s="11"/>
      <c r="O970" s="11"/>
      <c r="P970" s="11"/>
      <c r="Q970" s="11"/>
    </row>
    <row r="971" spans="14:17" ht="15.75" customHeight="1" x14ac:dyDescent="0.3">
      <c r="N971" s="11"/>
      <c r="O971" s="11"/>
      <c r="P971" s="11"/>
      <c r="Q971" s="11"/>
    </row>
    <row r="972" spans="14:17" ht="15.75" customHeight="1" x14ac:dyDescent="0.3">
      <c r="N972" s="11"/>
      <c r="O972" s="11"/>
      <c r="P972" s="11"/>
      <c r="Q972" s="11"/>
    </row>
    <row r="973" spans="14:17" ht="15.75" customHeight="1" x14ac:dyDescent="0.3">
      <c r="N973" s="11"/>
      <c r="O973" s="11"/>
      <c r="P973" s="11"/>
      <c r="Q973" s="11"/>
    </row>
    <row r="974" spans="14:17" ht="15.75" customHeight="1" x14ac:dyDescent="0.3">
      <c r="N974" s="11"/>
      <c r="O974" s="11"/>
      <c r="P974" s="11"/>
      <c r="Q974" s="11"/>
    </row>
    <row r="975" spans="14:17" ht="15.75" customHeight="1" x14ac:dyDescent="0.3">
      <c r="N975" s="11"/>
      <c r="O975" s="11"/>
      <c r="P975" s="11"/>
      <c r="Q975" s="11"/>
    </row>
    <row r="976" spans="14:17" ht="15.75" customHeight="1" x14ac:dyDescent="0.3">
      <c r="N976" s="11"/>
      <c r="O976" s="11"/>
      <c r="P976" s="11"/>
      <c r="Q976" s="11"/>
    </row>
    <row r="977" spans="14:17" ht="15.75" customHeight="1" x14ac:dyDescent="0.3">
      <c r="N977" s="11"/>
      <c r="O977" s="11"/>
      <c r="P977" s="11"/>
      <c r="Q977" s="11"/>
    </row>
    <row r="978" spans="14:17" ht="15.75" customHeight="1" x14ac:dyDescent="0.3">
      <c r="N978" s="11"/>
      <c r="O978" s="11"/>
      <c r="P978" s="11"/>
      <c r="Q978" s="11"/>
    </row>
    <row r="979" spans="14:17" ht="15.75" customHeight="1" x14ac:dyDescent="0.3">
      <c r="N979" s="11"/>
      <c r="O979" s="11"/>
      <c r="P979" s="11"/>
      <c r="Q979" s="11"/>
    </row>
    <row r="980" spans="14:17" ht="15.75" customHeight="1" x14ac:dyDescent="0.3">
      <c r="N980" s="11"/>
      <c r="O980" s="11"/>
      <c r="P980" s="11"/>
      <c r="Q980" s="11"/>
    </row>
    <row r="981" spans="14:17" ht="15.75" customHeight="1" x14ac:dyDescent="0.3">
      <c r="N981" s="11"/>
      <c r="O981" s="11"/>
      <c r="P981" s="11"/>
      <c r="Q981" s="11"/>
    </row>
    <row r="982" spans="14:17" ht="15.75" customHeight="1" x14ac:dyDescent="0.3">
      <c r="N982" s="11"/>
      <c r="O982" s="11"/>
      <c r="P982" s="11"/>
      <c r="Q982" s="11"/>
    </row>
    <row r="983" spans="14:17" ht="15.75" customHeight="1" x14ac:dyDescent="0.3">
      <c r="N983" s="11"/>
      <c r="O983" s="11"/>
      <c r="P983" s="11"/>
      <c r="Q983" s="11"/>
    </row>
    <row r="984" spans="14:17" ht="15.75" customHeight="1" x14ac:dyDescent="0.3">
      <c r="N984" s="11"/>
      <c r="O984" s="11"/>
      <c r="P984" s="11"/>
      <c r="Q984" s="11"/>
    </row>
    <row r="985" spans="14:17" ht="15.75" customHeight="1" x14ac:dyDescent="0.3">
      <c r="N985" s="11"/>
      <c r="O985" s="11"/>
      <c r="P985" s="11"/>
      <c r="Q985" s="11"/>
    </row>
    <row r="986" spans="14:17" ht="15.75" customHeight="1" x14ac:dyDescent="0.3">
      <c r="N986" s="11"/>
      <c r="O986" s="11"/>
      <c r="P986" s="11"/>
      <c r="Q986" s="11"/>
    </row>
    <row r="987" spans="14:17" ht="15.75" customHeight="1" x14ac:dyDescent="0.3">
      <c r="N987" s="11"/>
      <c r="O987" s="11"/>
      <c r="P987" s="11"/>
      <c r="Q987" s="11"/>
    </row>
    <row r="988" spans="14:17" ht="15.75" customHeight="1" x14ac:dyDescent="0.3">
      <c r="N988" s="11"/>
      <c r="O988" s="11"/>
      <c r="P988" s="11"/>
      <c r="Q988" s="11"/>
    </row>
    <row r="989" spans="14:17" ht="15.75" customHeight="1" x14ac:dyDescent="0.3">
      <c r="N989" s="11"/>
      <c r="O989" s="11"/>
      <c r="P989" s="11"/>
      <c r="Q989" s="11"/>
    </row>
    <row r="990" spans="14:17" ht="15.75" customHeight="1" x14ac:dyDescent="0.3">
      <c r="N990" s="11"/>
      <c r="O990" s="11"/>
      <c r="P990" s="11"/>
      <c r="Q990" s="11"/>
    </row>
    <row r="991" spans="14:17" ht="15.75" customHeight="1" x14ac:dyDescent="0.3">
      <c r="N991" s="11"/>
      <c r="O991" s="11"/>
      <c r="P991" s="11"/>
      <c r="Q991" s="11"/>
    </row>
    <row r="992" spans="14:17" ht="15.75" customHeight="1" x14ac:dyDescent="0.3">
      <c r="N992" s="11"/>
      <c r="O992" s="11"/>
      <c r="P992" s="11"/>
      <c r="Q992" s="11"/>
    </row>
    <row r="993" spans="14:17" ht="15.75" customHeight="1" x14ac:dyDescent="0.3">
      <c r="N993" s="11"/>
      <c r="O993" s="11"/>
      <c r="P993" s="11"/>
      <c r="Q993" s="11"/>
    </row>
    <row r="994" spans="14:17" ht="15.75" customHeight="1" x14ac:dyDescent="0.3">
      <c r="N994" s="11"/>
      <c r="O994" s="11"/>
      <c r="P994" s="11"/>
      <c r="Q994" s="11"/>
    </row>
    <row r="995" spans="14:17" ht="15.75" customHeight="1" x14ac:dyDescent="0.3">
      <c r="N995" s="11"/>
      <c r="O995" s="11"/>
      <c r="P995" s="11"/>
      <c r="Q995" s="11"/>
    </row>
    <row r="996" spans="14:17" ht="15.75" customHeight="1" x14ac:dyDescent="0.3">
      <c r="N996" s="11"/>
      <c r="O996" s="11"/>
      <c r="P996" s="11"/>
      <c r="Q996" s="11"/>
    </row>
    <row r="997" spans="14:17" ht="15.75" customHeight="1" x14ac:dyDescent="0.3">
      <c r="N997" s="11"/>
      <c r="O997" s="11"/>
      <c r="P997" s="11"/>
      <c r="Q997" s="11"/>
    </row>
    <row r="998" spans="14:17" ht="15.75" customHeight="1" x14ac:dyDescent="0.3">
      <c r="N998" s="11"/>
      <c r="O998" s="11"/>
      <c r="P998" s="11"/>
      <c r="Q998" s="11"/>
    </row>
    <row r="999" spans="14:17" ht="15.75" customHeight="1" x14ac:dyDescent="0.3">
      <c r="N999" s="11"/>
      <c r="O999" s="11"/>
      <c r="P999" s="11"/>
      <c r="Q999" s="11"/>
    </row>
    <row r="1000" spans="14:17" ht="15.75" customHeight="1" x14ac:dyDescent="0.3">
      <c r="N1000" s="11"/>
      <c r="O1000" s="11"/>
      <c r="P1000" s="11"/>
      <c r="Q1000" s="11"/>
    </row>
  </sheetData>
  <mergeCells count="8">
    <mergeCell ref="P1:Q1"/>
    <mergeCell ref="T1:U1"/>
    <mergeCell ref="V1:W1"/>
    <mergeCell ref="B1:C1"/>
    <mergeCell ref="D1:E1"/>
    <mergeCell ref="H1:I1"/>
    <mergeCell ref="J1:K1"/>
    <mergeCell ref="N1:O1"/>
  </mergeCells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Z1000"/>
  <sheetViews>
    <sheetView workbookViewId="0">
      <selection activeCell="F39" sqref="F39"/>
    </sheetView>
  </sheetViews>
  <sheetFormatPr defaultColWidth="14.44140625" defaultRowHeight="15" customHeight="1" x14ac:dyDescent="0.3"/>
  <cols>
    <col min="1" max="1" width="2" customWidth="1"/>
    <col min="2" max="2" width="3" customWidth="1"/>
    <col min="3" max="3" width="26.5546875" customWidth="1"/>
    <col min="4" max="4" width="13.109375" customWidth="1"/>
    <col min="5" max="5" width="8" customWidth="1"/>
    <col min="6" max="6" width="14.109375" customWidth="1"/>
    <col min="7" max="7" width="12" customWidth="1"/>
    <col min="8" max="8" width="1.6640625" customWidth="1"/>
    <col min="9" max="9" width="22.44140625" customWidth="1"/>
    <col min="10" max="10" width="14.109375" customWidth="1"/>
    <col min="11" max="11" width="8" customWidth="1"/>
    <col min="12" max="12" width="14.109375" customWidth="1"/>
    <col min="13" max="13" width="13.109375" customWidth="1"/>
    <col min="14" max="14" width="18.33203125" customWidth="1"/>
    <col min="15" max="15" width="13.109375" customWidth="1"/>
  </cols>
  <sheetData>
    <row r="1" spans="1:26" ht="11.25" customHeight="1" x14ac:dyDescent="0.3">
      <c r="A1" s="549" t="s">
        <v>151</v>
      </c>
      <c r="B1" s="550"/>
      <c r="C1" s="550"/>
      <c r="D1" s="550"/>
      <c r="E1" s="550"/>
      <c r="F1" s="550"/>
      <c r="G1" s="550"/>
      <c r="H1" s="550"/>
      <c r="I1" s="550"/>
      <c r="J1" s="550"/>
      <c r="K1" s="550"/>
      <c r="L1" s="550"/>
      <c r="M1" s="550"/>
      <c r="N1" s="130"/>
      <c r="O1" s="131"/>
      <c r="P1" s="132"/>
      <c r="Q1" s="132"/>
      <c r="R1" s="132"/>
      <c r="S1" s="132"/>
      <c r="T1" s="132"/>
      <c r="U1" s="132"/>
      <c r="V1" s="132"/>
      <c r="W1" s="132"/>
      <c r="X1" s="132"/>
      <c r="Y1" s="132"/>
      <c r="Z1" s="132"/>
    </row>
    <row r="2" spans="1:26" ht="11.25" customHeight="1" x14ac:dyDescent="0.3">
      <c r="A2" s="133"/>
      <c r="B2" s="134"/>
      <c r="C2" s="130"/>
      <c r="D2" s="135" t="s">
        <v>152</v>
      </c>
      <c r="E2" s="136" t="s">
        <v>153</v>
      </c>
      <c r="F2" s="136" t="s">
        <v>154</v>
      </c>
      <c r="G2" s="137" t="s">
        <v>155</v>
      </c>
      <c r="H2" s="130"/>
      <c r="I2" s="138"/>
      <c r="J2" s="136" t="s">
        <v>154</v>
      </c>
      <c r="K2" s="136" t="s">
        <v>153</v>
      </c>
      <c r="L2" s="137" t="s">
        <v>152</v>
      </c>
      <c r="M2" s="133"/>
      <c r="N2" s="130"/>
      <c r="O2" s="131"/>
      <c r="P2" s="132"/>
      <c r="Q2" s="132"/>
      <c r="R2" s="132"/>
      <c r="S2" s="132"/>
      <c r="T2" s="132"/>
      <c r="U2" s="132"/>
      <c r="V2" s="132"/>
      <c r="W2" s="132"/>
      <c r="X2" s="132"/>
      <c r="Y2" s="132"/>
      <c r="Z2" s="132"/>
    </row>
    <row r="3" spans="1:26" ht="11.25" customHeight="1" x14ac:dyDescent="0.3">
      <c r="A3" s="133"/>
      <c r="B3" s="134"/>
      <c r="C3" s="139" t="s">
        <v>156</v>
      </c>
      <c r="D3" s="140">
        <f t="shared" ref="D3:F3" si="0">SUM(D5:D61)</f>
        <v>17067.183505159996</v>
      </c>
      <c r="E3" s="141">
        <f t="shared" si="0"/>
        <v>1</v>
      </c>
      <c r="F3" s="142">
        <f t="shared" si="0"/>
        <v>204806.20206191996</v>
      </c>
      <c r="G3" s="143">
        <f>F3/52</f>
        <v>3938.5808088830763</v>
      </c>
      <c r="H3" s="130"/>
      <c r="I3" s="144" t="s">
        <v>157</v>
      </c>
      <c r="J3" s="145">
        <f>L29+L49</f>
        <v>276499.56874399999</v>
      </c>
      <c r="K3" s="146"/>
      <c r="L3" s="147">
        <f>J3/12</f>
        <v>23041.630728666667</v>
      </c>
      <c r="M3" s="133"/>
      <c r="N3" s="130"/>
      <c r="O3" s="131"/>
      <c r="P3" s="132"/>
      <c r="Q3" s="132"/>
      <c r="R3" s="132"/>
      <c r="S3" s="132"/>
      <c r="T3" s="132"/>
      <c r="U3" s="132"/>
      <c r="V3" s="132"/>
      <c r="W3" s="132"/>
      <c r="X3" s="132"/>
      <c r="Y3" s="132"/>
      <c r="Z3" s="132"/>
    </row>
    <row r="4" spans="1:26" ht="11.25" customHeight="1" x14ac:dyDescent="0.3">
      <c r="A4" s="133"/>
      <c r="B4" s="134"/>
      <c r="C4" s="130"/>
      <c r="D4" s="148"/>
      <c r="E4" s="149"/>
      <c r="F4" s="148"/>
      <c r="G4" s="148"/>
      <c r="H4" s="130"/>
      <c r="I4" s="150"/>
      <c r="J4" s="151"/>
      <c r="K4" s="152"/>
      <c r="L4" s="153"/>
      <c r="M4" s="133"/>
      <c r="N4" s="130"/>
      <c r="O4" s="131"/>
      <c r="P4" s="132"/>
      <c r="Q4" s="132"/>
      <c r="R4" s="132"/>
      <c r="S4" s="132"/>
      <c r="T4" s="132"/>
      <c r="U4" s="132"/>
      <c r="V4" s="132"/>
      <c r="W4" s="132"/>
      <c r="X4" s="132"/>
      <c r="Y4" s="132"/>
      <c r="Z4" s="132"/>
    </row>
    <row r="5" spans="1:26" ht="11.25" customHeight="1" x14ac:dyDescent="0.3">
      <c r="A5" s="135" t="s">
        <v>158</v>
      </c>
      <c r="B5" s="154">
        <v>1</v>
      </c>
      <c r="C5" s="155" t="s">
        <v>159</v>
      </c>
      <c r="D5" s="156">
        <v>1200</v>
      </c>
      <c r="E5" s="157">
        <f t="shared" ref="E5:E12" si="1">D5/$O$24</f>
        <v>7.0310370755502741E-2</v>
      </c>
      <c r="F5" s="156">
        <f t="shared" ref="F5:F12" si="2">D5*12</f>
        <v>14400</v>
      </c>
      <c r="G5" s="158">
        <f t="shared" ref="G5:G12" si="3">F5/52</f>
        <v>276.92307692307691</v>
      </c>
      <c r="H5" s="130"/>
      <c r="I5" s="150" t="s">
        <v>160</v>
      </c>
      <c r="J5" s="151">
        <f>L31+L53+L54+L55</f>
        <v>4120.8999999999996</v>
      </c>
      <c r="K5" s="159">
        <f>J5/J3</f>
        <v>1.4903820713787E-2</v>
      </c>
      <c r="L5" s="153">
        <f t="shared" ref="L5:L6" si="4">J5/12</f>
        <v>343.4083333333333</v>
      </c>
      <c r="M5" s="133"/>
      <c r="N5" s="130"/>
      <c r="O5" s="131"/>
      <c r="P5" s="132"/>
      <c r="Q5" s="132"/>
      <c r="R5" s="132"/>
      <c r="S5" s="132"/>
      <c r="T5" s="132"/>
      <c r="U5" s="132"/>
      <c r="V5" s="132"/>
      <c r="W5" s="132"/>
      <c r="X5" s="132"/>
      <c r="Y5" s="132"/>
      <c r="Z5" s="132"/>
    </row>
    <row r="6" spans="1:26" ht="11.25" customHeight="1" x14ac:dyDescent="0.3">
      <c r="A6" s="160" t="s">
        <v>158</v>
      </c>
      <c r="B6" s="161">
        <v>2</v>
      </c>
      <c r="C6" s="162" t="s">
        <v>161</v>
      </c>
      <c r="D6" s="151">
        <v>1200</v>
      </c>
      <c r="E6" s="159">
        <f t="shared" si="1"/>
        <v>7.0310370755502741E-2</v>
      </c>
      <c r="F6" s="151">
        <f t="shared" si="2"/>
        <v>14400</v>
      </c>
      <c r="G6" s="153">
        <f t="shared" si="3"/>
        <v>276.92307692307691</v>
      </c>
      <c r="H6" s="130"/>
      <c r="I6" s="150" t="s">
        <v>162</v>
      </c>
      <c r="J6" s="151">
        <f>L32+L56</f>
        <v>17269.97781208</v>
      </c>
      <c r="K6" s="159">
        <f>J6/J3</f>
        <v>6.2459330010997557E-2</v>
      </c>
      <c r="L6" s="153">
        <f t="shared" si="4"/>
        <v>1439.1648176733333</v>
      </c>
      <c r="M6" s="133"/>
      <c r="N6" s="130"/>
      <c r="O6" s="131"/>
      <c r="P6" s="132"/>
      <c r="Q6" s="132"/>
      <c r="R6" s="132"/>
      <c r="S6" s="132"/>
      <c r="T6" s="132"/>
      <c r="U6" s="132"/>
      <c r="V6" s="132"/>
      <c r="W6" s="132"/>
      <c r="X6" s="132"/>
      <c r="Y6" s="132"/>
      <c r="Z6" s="132"/>
    </row>
    <row r="7" spans="1:26" ht="11.25" customHeight="1" x14ac:dyDescent="0.3">
      <c r="A7" s="160" t="s">
        <v>158</v>
      </c>
      <c r="B7" s="161">
        <v>3</v>
      </c>
      <c r="C7" s="162" t="s">
        <v>163</v>
      </c>
      <c r="D7" s="151">
        <v>150</v>
      </c>
      <c r="E7" s="159">
        <f t="shared" si="1"/>
        <v>8.7887963444378426E-3</v>
      </c>
      <c r="F7" s="151">
        <f t="shared" si="2"/>
        <v>1800</v>
      </c>
      <c r="G7" s="153">
        <f t="shared" si="3"/>
        <v>34.615384615384613</v>
      </c>
      <c r="H7" s="130"/>
      <c r="I7" s="144" t="s">
        <v>164</v>
      </c>
      <c r="J7" s="145">
        <f>SUM(J5:J6)</f>
        <v>21390.877812079998</v>
      </c>
      <c r="K7" s="163">
        <f>J7/J3</f>
        <v>7.7363150724784543E-2</v>
      </c>
      <c r="L7" s="147">
        <f>SUM(L5:L6)</f>
        <v>1782.5731510066666</v>
      </c>
      <c r="M7" s="133"/>
      <c r="N7" s="130"/>
      <c r="O7" s="131"/>
      <c r="P7" s="132"/>
      <c r="Q7" s="132"/>
      <c r="R7" s="132"/>
      <c r="S7" s="132"/>
      <c r="T7" s="132"/>
      <c r="U7" s="132"/>
      <c r="V7" s="132"/>
      <c r="W7" s="132"/>
      <c r="X7" s="132"/>
      <c r="Y7" s="132"/>
      <c r="Z7" s="132"/>
    </row>
    <row r="8" spans="1:26" ht="11.25" customHeight="1" x14ac:dyDescent="0.3">
      <c r="A8" s="160" t="s">
        <v>158</v>
      </c>
      <c r="B8" s="161">
        <v>4</v>
      </c>
      <c r="C8" s="162" t="s">
        <v>165</v>
      </c>
      <c r="D8" s="151">
        <v>600</v>
      </c>
      <c r="E8" s="159">
        <f t="shared" si="1"/>
        <v>3.515518537775137E-2</v>
      </c>
      <c r="F8" s="151">
        <f t="shared" si="2"/>
        <v>7200</v>
      </c>
      <c r="G8" s="153">
        <f t="shared" si="3"/>
        <v>138.46153846153845</v>
      </c>
      <c r="H8" s="130"/>
      <c r="I8" s="150"/>
      <c r="J8" s="152"/>
      <c r="K8" s="159"/>
      <c r="L8" s="153"/>
      <c r="M8" s="133"/>
      <c r="N8" s="130"/>
      <c r="O8" s="131"/>
      <c r="P8" s="132"/>
      <c r="Q8" s="132"/>
      <c r="R8" s="132"/>
      <c r="S8" s="132"/>
      <c r="T8" s="132"/>
      <c r="U8" s="132"/>
      <c r="V8" s="132"/>
      <c r="W8" s="132"/>
      <c r="X8" s="132"/>
      <c r="Y8" s="132"/>
      <c r="Z8" s="132"/>
    </row>
    <row r="9" spans="1:26" ht="11.25" customHeight="1" x14ac:dyDescent="0.3">
      <c r="A9" s="160" t="s">
        <v>158</v>
      </c>
      <c r="B9" s="161">
        <v>5</v>
      </c>
      <c r="C9" s="162" t="s">
        <v>166</v>
      </c>
      <c r="D9" s="151">
        <v>700</v>
      </c>
      <c r="E9" s="159">
        <f t="shared" si="1"/>
        <v>4.1014382940709929E-2</v>
      </c>
      <c r="F9" s="151">
        <f t="shared" si="2"/>
        <v>8400</v>
      </c>
      <c r="G9" s="153">
        <f t="shared" si="3"/>
        <v>161.53846153846155</v>
      </c>
      <c r="H9" s="130"/>
      <c r="I9" s="144" t="s">
        <v>167</v>
      </c>
      <c r="J9" s="145">
        <f>L35+L59</f>
        <v>255924.69093192002</v>
      </c>
      <c r="K9" s="163"/>
      <c r="L9" s="147">
        <f>J9/12</f>
        <v>21327.057577660002</v>
      </c>
      <c r="M9" s="148"/>
      <c r="N9" s="130"/>
      <c r="O9" s="131"/>
      <c r="P9" s="132"/>
      <c r="Q9" s="132"/>
      <c r="R9" s="132"/>
      <c r="S9" s="132"/>
      <c r="T9" s="132"/>
      <c r="U9" s="132"/>
      <c r="V9" s="132"/>
      <c r="W9" s="132"/>
      <c r="X9" s="132"/>
      <c r="Y9" s="132"/>
      <c r="Z9" s="132"/>
    </row>
    <row r="10" spans="1:26" ht="11.25" customHeight="1" x14ac:dyDescent="0.3">
      <c r="A10" s="160" t="s">
        <v>158</v>
      </c>
      <c r="B10" s="161">
        <v>6</v>
      </c>
      <c r="C10" s="162" t="s">
        <v>168</v>
      </c>
      <c r="D10" s="151">
        <v>900</v>
      </c>
      <c r="E10" s="159">
        <f t="shared" si="1"/>
        <v>5.2732778066627052E-2</v>
      </c>
      <c r="F10" s="151">
        <f t="shared" si="2"/>
        <v>10800</v>
      </c>
      <c r="G10" s="153">
        <f t="shared" si="3"/>
        <v>207.69230769230768</v>
      </c>
      <c r="H10" s="130"/>
      <c r="I10" s="150"/>
      <c r="J10" s="151"/>
      <c r="K10" s="159"/>
      <c r="L10" s="153"/>
      <c r="M10" s="148"/>
      <c r="N10" s="130"/>
      <c r="O10" s="131"/>
      <c r="P10" s="132"/>
      <c r="Q10" s="132"/>
      <c r="R10" s="132"/>
      <c r="S10" s="132"/>
      <c r="T10" s="132"/>
      <c r="U10" s="132"/>
      <c r="V10" s="132"/>
      <c r="W10" s="132"/>
      <c r="X10" s="132"/>
      <c r="Y10" s="132"/>
      <c r="Z10" s="132"/>
    </row>
    <row r="11" spans="1:26" ht="11.25" customHeight="1" x14ac:dyDescent="0.3">
      <c r="A11" s="164" t="s">
        <v>158</v>
      </c>
      <c r="B11" s="165">
        <v>7</v>
      </c>
      <c r="C11" s="166" t="s">
        <v>169</v>
      </c>
      <c r="D11" s="167">
        <v>350</v>
      </c>
      <c r="E11" s="168">
        <f t="shared" si="1"/>
        <v>2.0507191470354964E-2</v>
      </c>
      <c r="F11" s="167">
        <f t="shared" si="2"/>
        <v>4200</v>
      </c>
      <c r="G11" s="169">
        <f t="shared" si="3"/>
        <v>80.769230769230774</v>
      </c>
      <c r="H11" s="130"/>
      <c r="I11" s="150" t="s">
        <v>170</v>
      </c>
      <c r="J11" s="151">
        <f t="shared" ref="J11:J14" si="5">L37+L61</f>
        <v>39427.360000000001</v>
      </c>
      <c r="K11" s="159">
        <f>J11/J9</f>
        <v>0.15405844530447552</v>
      </c>
      <c r="L11" s="153">
        <f t="shared" ref="L11:L16" si="6">J11/12</f>
        <v>3285.6133333333332</v>
      </c>
      <c r="M11" s="133"/>
      <c r="N11" s="130"/>
      <c r="O11" s="131"/>
      <c r="P11" s="132"/>
      <c r="Q11" s="132"/>
      <c r="R11" s="132"/>
      <c r="S11" s="132"/>
      <c r="T11" s="132"/>
      <c r="U11" s="132"/>
      <c r="V11" s="132"/>
      <c r="W11" s="132"/>
      <c r="X11" s="132"/>
      <c r="Y11" s="132"/>
      <c r="Z11" s="132"/>
    </row>
    <row r="12" spans="1:26" ht="11.25" customHeight="1" x14ac:dyDescent="0.3">
      <c r="A12" s="170" t="s">
        <v>158</v>
      </c>
      <c r="B12" s="171">
        <v>8</v>
      </c>
      <c r="C12" s="172" t="s">
        <v>171</v>
      </c>
      <c r="D12" s="142">
        <v>700</v>
      </c>
      <c r="E12" s="141">
        <f t="shared" si="1"/>
        <v>4.1014382940709929E-2</v>
      </c>
      <c r="F12" s="142">
        <f t="shared" si="2"/>
        <v>8400</v>
      </c>
      <c r="G12" s="143">
        <f t="shared" si="3"/>
        <v>161.53846153846155</v>
      </c>
      <c r="H12" s="130"/>
      <c r="I12" s="150" t="s">
        <v>172</v>
      </c>
      <c r="J12" s="151">
        <f t="shared" si="5"/>
        <v>7415.6</v>
      </c>
      <c r="K12" s="159">
        <f>J12/J9</f>
        <v>2.8975711460261823E-2</v>
      </c>
      <c r="L12" s="153">
        <f t="shared" si="6"/>
        <v>617.9666666666667</v>
      </c>
      <c r="M12" s="133"/>
      <c r="N12" s="130"/>
      <c r="O12" s="131"/>
      <c r="P12" s="132"/>
      <c r="Q12" s="132"/>
      <c r="R12" s="132"/>
      <c r="S12" s="132"/>
      <c r="T12" s="132"/>
      <c r="U12" s="132"/>
      <c r="V12" s="132"/>
      <c r="W12" s="132"/>
      <c r="X12" s="132"/>
      <c r="Y12" s="132"/>
      <c r="Z12" s="132"/>
    </row>
    <row r="13" spans="1:26" ht="11.25" customHeight="1" x14ac:dyDescent="0.3">
      <c r="A13" s="133"/>
      <c r="B13" s="134"/>
      <c r="C13" s="173"/>
      <c r="D13" s="148"/>
      <c r="E13" s="149"/>
      <c r="F13" s="148"/>
      <c r="G13" s="148"/>
      <c r="H13" s="130"/>
      <c r="I13" s="150" t="s">
        <v>173</v>
      </c>
      <c r="J13" s="151">
        <f t="shared" si="5"/>
        <v>3961.26451</v>
      </c>
      <c r="K13" s="159">
        <f>J13/(J9+J6)</f>
        <v>1.4499787013457225E-2</v>
      </c>
      <c r="L13" s="153">
        <f t="shared" si="6"/>
        <v>330.10537583333331</v>
      </c>
      <c r="M13" s="133"/>
      <c r="N13" s="130"/>
      <c r="O13" s="131"/>
      <c r="P13" s="132"/>
      <c r="Q13" s="132"/>
      <c r="R13" s="132"/>
      <c r="S13" s="132"/>
      <c r="T13" s="132"/>
      <c r="U13" s="132"/>
      <c r="V13" s="132"/>
      <c r="W13" s="132"/>
      <c r="X13" s="132"/>
      <c r="Y13" s="132"/>
      <c r="Z13" s="132"/>
    </row>
    <row r="14" spans="1:26" ht="11.25" customHeight="1" x14ac:dyDescent="0.3">
      <c r="A14" s="135" t="s">
        <v>174</v>
      </c>
      <c r="B14" s="154">
        <v>9</v>
      </c>
      <c r="C14" s="174" t="s">
        <v>58</v>
      </c>
      <c r="D14" s="156">
        <v>1285</v>
      </c>
      <c r="E14" s="157">
        <f t="shared" ref="E14:E31" si="7">D14/$O$24</f>
        <v>7.5290688684017518E-2</v>
      </c>
      <c r="F14" s="156">
        <f t="shared" ref="F14:F31" si="8">D14*12</f>
        <v>15420</v>
      </c>
      <c r="G14" s="158">
        <f t="shared" ref="G14:G31" si="9">F14/52</f>
        <v>296.53846153846155</v>
      </c>
      <c r="H14" s="130"/>
      <c r="I14" s="150" t="s">
        <v>175</v>
      </c>
      <c r="J14" s="151">
        <f t="shared" si="5"/>
        <v>16938.027560000002</v>
      </c>
      <c r="K14" s="159">
        <f>J14/(J9+J6)</f>
        <v>6.1999846621721456E-2</v>
      </c>
      <c r="L14" s="153">
        <f t="shared" si="6"/>
        <v>1411.5022966666668</v>
      </c>
      <c r="M14" s="133"/>
      <c r="N14" s="130"/>
      <c r="O14" s="131"/>
      <c r="P14" s="132"/>
      <c r="Q14" s="132"/>
      <c r="R14" s="132"/>
      <c r="S14" s="132"/>
      <c r="T14" s="132"/>
      <c r="U14" s="132"/>
      <c r="V14" s="132"/>
      <c r="W14" s="132"/>
      <c r="X14" s="132"/>
      <c r="Y14" s="132"/>
      <c r="Z14" s="132"/>
    </row>
    <row r="15" spans="1:26" ht="11.25" customHeight="1" x14ac:dyDescent="0.3">
      <c r="A15" s="160" t="s">
        <v>174</v>
      </c>
      <c r="B15" s="161">
        <v>10</v>
      </c>
      <c r="C15" s="175" t="s">
        <v>176</v>
      </c>
      <c r="D15" s="151">
        <v>20</v>
      </c>
      <c r="E15" s="159">
        <f t="shared" si="7"/>
        <v>1.1718395125917122E-3</v>
      </c>
      <c r="F15" s="151">
        <f t="shared" si="8"/>
        <v>240</v>
      </c>
      <c r="G15" s="153">
        <f t="shared" si="9"/>
        <v>4.615384615384615</v>
      </c>
      <c r="H15" s="130"/>
      <c r="I15" s="150" t="s">
        <v>177</v>
      </c>
      <c r="J15" s="151">
        <f>L41</f>
        <v>833.99680000000001</v>
      </c>
      <c r="K15" s="159">
        <f>J15/J3</f>
        <v>3.0162679956009793E-3</v>
      </c>
      <c r="L15" s="153">
        <f t="shared" si="6"/>
        <v>69.499733333333339</v>
      </c>
      <c r="M15" s="133"/>
      <c r="N15" s="130"/>
      <c r="O15" s="131"/>
      <c r="P15" s="132"/>
      <c r="Q15" s="132"/>
      <c r="R15" s="132"/>
      <c r="S15" s="132"/>
      <c r="T15" s="132"/>
      <c r="U15" s="132"/>
      <c r="V15" s="132"/>
      <c r="W15" s="132"/>
      <c r="X15" s="132"/>
      <c r="Y15" s="132"/>
      <c r="Z15" s="132"/>
    </row>
    <row r="16" spans="1:26" ht="11.25" customHeight="1" x14ac:dyDescent="0.3">
      <c r="A16" s="160" t="s">
        <v>174</v>
      </c>
      <c r="B16" s="161">
        <v>11</v>
      </c>
      <c r="C16" s="175" t="s">
        <v>178</v>
      </c>
      <c r="D16" s="151">
        <v>270</v>
      </c>
      <c r="E16" s="159">
        <f t="shared" si="7"/>
        <v>1.5819833419988116E-2</v>
      </c>
      <c r="F16" s="151">
        <f t="shared" si="8"/>
        <v>3240</v>
      </c>
      <c r="G16" s="153">
        <f t="shared" si="9"/>
        <v>62.307692307692307</v>
      </c>
      <c r="H16" s="130"/>
      <c r="I16" s="150" t="s">
        <v>179</v>
      </c>
      <c r="J16" s="151">
        <f>L65</f>
        <v>4326.24</v>
      </c>
      <c r="K16" s="159">
        <f>J16/J9</f>
        <v>1.6904347854232039E-2</v>
      </c>
      <c r="L16" s="153">
        <f t="shared" si="6"/>
        <v>360.52</v>
      </c>
      <c r="M16" s="133"/>
      <c r="N16" s="130"/>
      <c r="O16" s="131"/>
      <c r="P16" s="132"/>
      <c r="Q16" s="132"/>
      <c r="R16" s="132"/>
      <c r="S16" s="132"/>
      <c r="T16" s="132"/>
      <c r="U16" s="132"/>
      <c r="V16" s="132"/>
      <c r="W16" s="132"/>
      <c r="X16" s="132"/>
      <c r="Y16" s="132"/>
      <c r="Z16" s="132"/>
    </row>
    <row r="17" spans="1:26" ht="11.25" customHeight="1" x14ac:dyDescent="0.3">
      <c r="A17" s="160" t="s">
        <v>174</v>
      </c>
      <c r="B17" s="161">
        <v>12</v>
      </c>
      <c r="C17" s="162" t="s">
        <v>180</v>
      </c>
      <c r="D17" s="151">
        <v>205</v>
      </c>
      <c r="E17" s="159">
        <f t="shared" si="7"/>
        <v>1.201135500406505E-2</v>
      </c>
      <c r="F17" s="151">
        <f t="shared" si="8"/>
        <v>2460</v>
      </c>
      <c r="G17" s="153">
        <f t="shared" si="9"/>
        <v>47.307692307692307</v>
      </c>
      <c r="H17" s="130"/>
      <c r="I17" s="144" t="s">
        <v>181</v>
      </c>
      <c r="J17" s="145">
        <f>SUM(J11:J16)</f>
        <v>72902.488870000001</v>
      </c>
      <c r="K17" s="163">
        <f>J17/J3</f>
        <v>0.26366221546442098</v>
      </c>
      <c r="L17" s="147">
        <f>SUM(L11:L16)</f>
        <v>6075.2074058333328</v>
      </c>
      <c r="M17" s="133"/>
      <c r="N17" s="130"/>
      <c r="O17" s="131"/>
      <c r="P17" s="132"/>
      <c r="Q17" s="132"/>
      <c r="R17" s="132"/>
      <c r="S17" s="132"/>
      <c r="T17" s="132"/>
      <c r="U17" s="132"/>
      <c r="V17" s="132"/>
      <c r="W17" s="132"/>
      <c r="X17" s="132"/>
      <c r="Y17" s="132"/>
      <c r="Z17" s="132"/>
    </row>
    <row r="18" spans="1:26" ht="11.25" customHeight="1" x14ac:dyDescent="0.3">
      <c r="A18" s="160" t="s">
        <v>174</v>
      </c>
      <c r="B18" s="161">
        <v>13</v>
      </c>
      <c r="C18" s="162" t="s">
        <v>182</v>
      </c>
      <c r="D18" s="151">
        <v>180</v>
      </c>
      <c r="E18" s="159">
        <f t="shared" si="7"/>
        <v>1.054655561332541E-2</v>
      </c>
      <c r="F18" s="151">
        <f t="shared" si="8"/>
        <v>2160</v>
      </c>
      <c r="G18" s="153">
        <f t="shared" si="9"/>
        <v>41.53846153846154</v>
      </c>
      <c r="H18" s="130"/>
      <c r="I18" s="150"/>
      <c r="J18" s="151"/>
      <c r="K18" s="159"/>
      <c r="L18" s="153"/>
      <c r="M18" s="133"/>
      <c r="N18" s="130"/>
      <c r="O18" s="131"/>
      <c r="P18" s="132"/>
      <c r="Q18" s="132"/>
      <c r="R18" s="132"/>
      <c r="S18" s="132"/>
      <c r="T18" s="132"/>
      <c r="U18" s="132"/>
      <c r="V18" s="132"/>
      <c r="W18" s="132"/>
      <c r="X18" s="132"/>
      <c r="Y18" s="132"/>
      <c r="Z18" s="132"/>
    </row>
    <row r="19" spans="1:26" ht="11.25" customHeight="1" x14ac:dyDescent="0.3">
      <c r="A19" s="160" t="s">
        <v>174</v>
      </c>
      <c r="B19" s="161">
        <v>14</v>
      </c>
      <c r="C19" s="176" t="s">
        <v>183</v>
      </c>
      <c r="D19" s="151">
        <v>140</v>
      </c>
      <c r="E19" s="159">
        <f t="shared" si="7"/>
        <v>8.2028765881419861E-3</v>
      </c>
      <c r="F19" s="151">
        <f t="shared" si="8"/>
        <v>1680</v>
      </c>
      <c r="G19" s="153">
        <f t="shared" si="9"/>
        <v>32.307692307692307</v>
      </c>
      <c r="H19" s="130"/>
      <c r="I19" s="177" t="s">
        <v>184</v>
      </c>
      <c r="J19" s="178">
        <f>L44+L68</f>
        <v>182206.20206191996</v>
      </c>
      <c r="K19" s="179">
        <f>J19/J3</f>
        <v>0.65897463381079435</v>
      </c>
      <c r="L19" s="180"/>
      <c r="M19" s="133"/>
      <c r="N19" s="130"/>
      <c r="O19" s="131"/>
      <c r="P19" s="132"/>
      <c r="Q19" s="132"/>
      <c r="R19" s="132"/>
      <c r="S19" s="132"/>
      <c r="T19" s="132"/>
      <c r="U19" s="132"/>
      <c r="V19" s="132"/>
      <c r="W19" s="132"/>
      <c r="X19" s="132"/>
      <c r="Y19" s="132"/>
      <c r="Z19" s="132"/>
    </row>
    <row r="20" spans="1:26" ht="11.25" customHeight="1" x14ac:dyDescent="0.3">
      <c r="A20" s="160" t="s">
        <v>174</v>
      </c>
      <c r="B20" s="161">
        <v>15</v>
      </c>
      <c r="C20" s="162" t="s">
        <v>185</v>
      </c>
      <c r="D20" s="151">
        <v>100</v>
      </c>
      <c r="E20" s="159">
        <f t="shared" si="7"/>
        <v>5.8591975629585609E-3</v>
      </c>
      <c r="F20" s="151">
        <f t="shared" si="8"/>
        <v>1200</v>
      </c>
      <c r="G20" s="153">
        <f t="shared" si="9"/>
        <v>23.076923076923077</v>
      </c>
      <c r="H20" s="130"/>
      <c r="I20" s="150"/>
      <c r="J20" s="151"/>
      <c r="K20" s="159"/>
      <c r="L20" s="153"/>
      <c r="M20" s="133"/>
      <c r="N20" s="130"/>
      <c r="O20" s="131"/>
      <c r="P20" s="132"/>
      <c r="Q20" s="132"/>
      <c r="R20" s="132"/>
      <c r="S20" s="132"/>
      <c r="T20" s="132"/>
      <c r="U20" s="132"/>
      <c r="V20" s="132"/>
      <c r="W20" s="132"/>
      <c r="X20" s="132"/>
      <c r="Y20" s="132"/>
      <c r="Z20" s="132"/>
    </row>
    <row r="21" spans="1:26" ht="11.25" customHeight="1" x14ac:dyDescent="0.3">
      <c r="A21" s="160" t="s">
        <v>174</v>
      </c>
      <c r="B21" s="161">
        <v>16</v>
      </c>
      <c r="C21" s="175" t="s">
        <v>186</v>
      </c>
      <c r="D21" s="151">
        <v>0</v>
      </c>
      <c r="E21" s="159">
        <f t="shared" si="7"/>
        <v>0</v>
      </c>
      <c r="F21" s="151">
        <f t="shared" si="8"/>
        <v>0</v>
      </c>
      <c r="G21" s="153">
        <f t="shared" si="9"/>
        <v>0</v>
      </c>
      <c r="H21" s="130"/>
      <c r="I21" s="150" t="s">
        <v>187</v>
      </c>
      <c r="J21" s="151">
        <v>13000</v>
      </c>
      <c r="K21" s="159"/>
      <c r="L21" s="153">
        <f t="shared" ref="L21:L22" si="10">J21/12</f>
        <v>1083.3333333333333</v>
      </c>
      <c r="M21" s="133"/>
      <c r="N21" s="130"/>
      <c r="O21" s="131"/>
      <c r="P21" s="132"/>
      <c r="Q21" s="132"/>
      <c r="R21" s="132"/>
      <c r="S21" s="132"/>
      <c r="T21" s="132"/>
      <c r="U21" s="132"/>
      <c r="V21" s="132"/>
      <c r="W21" s="132"/>
      <c r="X21" s="132"/>
      <c r="Y21" s="132"/>
      <c r="Z21" s="132"/>
    </row>
    <row r="22" spans="1:26" ht="11.25" customHeight="1" x14ac:dyDescent="0.3">
      <c r="A22" s="160" t="s">
        <v>174</v>
      </c>
      <c r="B22" s="161">
        <v>17</v>
      </c>
      <c r="C22" s="162" t="s">
        <v>188</v>
      </c>
      <c r="D22" s="151">
        <v>145</v>
      </c>
      <c r="E22" s="159">
        <f t="shared" si="7"/>
        <v>8.4958364662899143E-3</v>
      </c>
      <c r="F22" s="151">
        <f t="shared" si="8"/>
        <v>1740</v>
      </c>
      <c r="G22" s="153">
        <f t="shared" si="9"/>
        <v>33.46153846153846</v>
      </c>
      <c r="H22" s="130"/>
      <c r="I22" s="150" t="s">
        <v>189</v>
      </c>
      <c r="J22" s="151">
        <v>9600</v>
      </c>
      <c r="K22" s="159"/>
      <c r="L22" s="153">
        <f t="shared" si="10"/>
        <v>800</v>
      </c>
      <c r="M22" s="148">
        <f>L22-D31-D35-D40-D41-D42-D43</f>
        <v>240</v>
      </c>
      <c r="N22" s="131">
        <f>M22*12</f>
        <v>2880</v>
      </c>
      <c r="O22" s="131"/>
      <c r="P22" s="132"/>
      <c r="Q22" s="132"/>
      <c r="R22" s="132"/>
      <c r="S22" s="132"/>
      <c r="T22" s="132"/>
      <c r="U22" s="132"/>
      <c r="V22" s="132"/>
      <c r="W22" s="132"/>
      <c r="X22" s="132"/>
      <c r="Y22" s="132"/>
      <c r="Z22" s="132"/>
    </row>
    <row r="23" spans="1:26" ht="11.25" customHeight="1" x14ac:dyDescent="0.3">
      <c r="A23" s="160" t="s">
        <v>174</v>
      </c>
      <c r="B23" s="161">
        <v>18</v>
      </c>
      <c r="C23" s="176" t="s">
        <v>190</v>
      </c>
      <c r="D23" s="151">
        <v>400</v>
      </c>
      <c r="E23" s="159">
        <f t="shared" si="7"/>
        <v>2.3436790251834243E-2</v>
      </c>
      <c r="F23" s="151">
        <f t="shared" si="8"/>
        <v>4800</v>
      </c>
      <c r="G23" s="153">
        <f t="shared" si="9"/>
        <v>92.307692307692307</v>
      </c>
      <c r="H23" s="130"/>
      <c r="I23" s="150"/>
      <c r="J23" s="152"/>
      <c r="K23" s="152"/>
      <c r="L23" s="153"/>
      <c r="M23" s="133"/>
      <c r="N23" s="130"/>
      <c r="O23" s="131"/>
      <c r="P23" s="132"/>
      <c r="Q23" s="132"/>
      <c r="R23" s="132"/>
      <c r="S23" s="132"/>
      <c r="T23" s="132"/>
      <c r="U23" s="132"/>
      <c r="V23" s="132"/>
      <c r="W23" s="132"/>
      <c r="X23" s="132"/>
      <c r="Y23" s="132"/>
      <c r="Z23" s="132"/>
    </row>
    <row r="24" spans="1:26" ht="11.25" customHeight="1" x14ac:dyDescent="0.3">
      <c r="A24" s="160" t="s">
        <v>174</v>
      </c>
      <c r="B24" s="161">
        <v>19</v>
      </c>
      <c r="C24" s="176" t="s">
        <v>191</v>
      </c>
      <c r="D24" s="151">
        <v>200</v>
      </c>
      <c r="E24" s="159">
        <f t="shared" si="7"/>
        <v>1.1718395125917122E-2</v>
      </c>
      <c r="F24" s="151">
        <f t="shared" si="8"/>
        <v>2400</v>
      </c>
      <c r="G24" s="153">
        <f t="shared" si="9"/>
        <v>46.153846153846153</v>
      </c>
      <c r="H24" s="130"/>
      <c r="I24" s="181" t="s">
        <v>192</v>
      </c>
      <c r="J24" s="182">
        <f>J19+J22+J21</f>
        <v>204806.20206191996</v>
      </c>
      <c r="K24" s="183">
        <f>(J24+J6)/J3</f>
        <v>0.80317007683875097</v>
      </c>
      <c r="L24" s="184">
        <f>J24/12</f>
        <v>17067.183505159996</v>
      </c>
      <c r="M24" s="133"/>
      <c r="N24" s="185">
        <f>J21+J22+N44+N68</f>
        <v>204806.20206191996</v>
      </c>
      <c r="O24" s="131">
        <f>N24/12</f>
        <v>17067.183505159996</v>
      </c>
      <c r="P24" s="132"/>
      <c r="Q24" s="132"/>
      <c r="R24" s="132"/>
      <c r="S24" s="132"/>
      <c r="T24" s="132"/>
      <c r="U24" s="132"/>
      <c r="V24" s="132"/>
      <c r="W24" s="132"/>
      <c r="X24" s="132"/>
      <c r="Y24" s="132"/>
      <c r="Z24" s="132"/>
    </row>
    <row r="25" spans="1:26" ht="11.25" customHeight="1" x14ac:dyDescent="0.3">
      <c r="A25" s="160" t="s">
        <v>174</v>
      </c>
      <c r="B25" s="161">
        <v>20</v>
      </c>
      <c r="C25" s="176" t="s">
        <v>193</v>
      </c>
      <c r="D25" s="151">
        <v>600</v>
      </c>
      <c r="E25" s="159">
        <f t="shared" si="7"/>
        <v>3.515518537775137E-2</v>
      </c>
      <c r="F25" s="151">
        <f t="shared" si="8"/>
        <v>7200</v>
      </c>
      <c r="G25" s="153">
        <f t="shared" si="9"/>
        <v>138.46153846153845</v>
      </c>
      <c r="H25" s="130"/>
      <c r="I25" s="130"/>
      <c r="J25" s="148"/>
      <c r="K25" s="149"/>
      <c r="L25" s="148"/>
      <c r="M25" s="133"/>
      <c r="N25" s="130"/>
      <c r="O25" s="131"/>
      <c r="P25" s="132"/>
      <c r="Q25" s="132"/>
      <c r="R25" s="132"/>
      <c r="S25" s="132"/>
      <c r="T25" s="132"/>
      <c r="U25" s="132"/>
      <c r="V25" s="132"/>
      <c r="W25" s="132"/>
      <c r="X25" s="132"/>
      <c r="Y25" s="132"/>
      <c r="Z25" s="132"/>
    </row>
    <row r="26" spans="1:26" ht="11.25" customHeight="1" x14ac:dyDescent="0.3">
      <c r="A26" s="160" t="s">
        <v>174</v>
      </c>
      <c r="B26" s="161">
        <v>21</v>
      </c>
      <c r="C26" s="175" t="s">
        <v>194</v>
      </c>
      <c r="D26" s="151">
        <v>85</v>
      </c>
      <c r="E26" s="159">
        <f t="shared" si="7"/>
        <v>4.9803179285147769E-3</v>
      </c>
      <c r="F26" s="151">
        <f t="shared" si="8"/>
        <v>1020</v>
      </c>
      <c r="G26" s="153">
        <f t="shared" si="9"/>
        <v>19.615384615384617</v>
      </c>
      <c r="H26" s="130"/>
      <c r="I26" s="130"/>
      <c r="J26" s="148"/>
      <c r="K26" s="149"/>
      <c r="L26" s="148"/>
      <c r="M26" s="133"/>
      <c r="N26" s="130"/>
      <c r="O26" s="131"/>
      <c r="P26" s="132"/>
      <c r="Q26" s="132"/>
      <c r="R26" s="132"/>
      <c r="S26" s="132"/>
      <c r="T26" s="132"/>
      <c r="U26" s="132"/>
      <c r="V26" s="132"/>
      <c r="W26" s="132"/>
      <c r="X26" s="132"/>
      <c r="Y26" s="132"/>
      <c r="Z26" s="132"/>
    </row>
    <row r="27" spans="1:26" ht="11.25" customHeight="1" x14ac:dyDescent="0.3">
      <c r="A27" s="160" t="s">
        <v>174</v>
      </c>
      <c r="B27" s="161">
        <v>22</v>
      </c>
      <c r="C27" s="175" t="s">
        <v>195</v>
      </c>
      <c r="D27" s="151">
        <v>100</v>
      </c>
      <c r="E27" s="159">
        <f t="shared" si="7"/>
        <v>5.8591975629585609E-3</v>
      </c>
      <c r="F27" s="151">
        <f t="shared" si="8"/>
        <v>1200</v>
      </c>
      <c r="G27" s="153">
        <f t="shared" si="9"/>
        <v>23.076923076923077</v>
      </c>
      <c r="H27" s="130"/>
      <c r="I27" s="138" t="s">
        <v>196</v>
      </c>
      <c r="J27" s="186">
        <v>50.12</v>
      </c>
      <c r="K27" s="174"/>
      <c r="L27" s="174"/>
      <c r="M27" s="187"/>
      <c r="N27" s="130"/>
      <c r="O27" s="131"/>
      <c r="P27" s="132"/>
      <c r="Q27" s="132"/>
      <c r="R27" s="132"/>
      <c r="S27" s="132"/>
      <c r="T27" s="132"/>
      <c r="U27" s="132"/>
      <c r="V27" s="132"/>
      <c r="W27" s="132"/>
      <c r="X27" s="132"/>
      <c r="Y27" s="132"/>
      <c r="Z27" s="132"/>
    </row>
    <row r="28" spans="1:26" ht="11.25" customHeight="1" x14ac:dyDescent="0.3">
      <c r="A28" s="160" t="s">
        <v>174</v>
      </c>
      <c r="B28" s="161">
        <v>23</v>
      </c>
      <c r="C28" s="176" t="s">
        <v>197</v>
      </c>
      <c r="D28" s="151">
        <v>1200</v>
      </c>
      <c r="E28" s="159">
        <f t="shared" si="7"/>
        <v>7.0310370755502741E-2</v>
      </c>
      <c r="F28" s="151">
        <f t="shared" si="8"/>
        <v>14400</v>
      </c>
      <c r="G28" s="153">
        <f t="shared" si="9"/>
        <v>276.92307692307691</v>
      </c>
      <c r="H28" s="130"/>
      <c r="I28" s="150"/>
      <c r="J28" s="152" t="s">
        <v>198</v>
      </c>
      <c r="K28" s="152" t="s">
        <v>153</v>
      </c>
      <c r="L28" s="152" t="s">
        <v>154</v>
      </c>
      <c r="M28" s="188" t="s">
        <v>152</v>
      </c>
      <c r="N28" s="130"/>
      <c r="O28" s="131"/>
      <c r="P28" s="132"/>
      <c r="Q28" s="132"/>
      <c r="R28" s="132"/>
      <c r="S28" s="132"/>
      <c r="T28" s="132"/>
      <c r="U28" s="132"/>
      <c r="V28" s="132"/>
      <c r="W28" s="132"/>
      <c r="X28" s="132"/>
      <c r="Y28" s="132"/>
      <c r="Z28" s="132"/>
    </row>
    <row r="29" spans="1:26" ht="11.25" customHeight="1" x14ac:dyDescent="0.3">
      <c r="A29" s="160" t="s">
        <v>174</v>
      </c>
      <c r="B29" s="161">
        <v>24</v>
      </c>
      <c r="C29" s="175" t="s">
        <v>199</v>
      </c>
      <c r="D29" s="151">
        <v>120</v>
      </c>
      <c r="E29" s="159">
        <f t="shared" si="7"/>
        <v>7.031037075550273E-3</v>
      </c>
      <c r="F29" s="151">
        <f t="shared" si="8"/>
        <v>1440</v>
      </c>
      <c r="G29" s="153">
        <f t="shared" si="9"/>
        <v>27.692307692307693</v>
      </c>
      <c r="H29" s="130"/>
      <c r="I29" s="144" t="s">
        <v>157</v>
      </c>
      <c r="J29" s="145">
        <f>J27*80</f>
        <v>4009.6</v>
      </c>
      <c r="K29" s="146"/>
      <c r="L29" s="145">
        <f>J29*26</f>
        <v>104249.59999999999</v>
      </c>
      <c r="M29" s="147">
        <f>L29/12</f>
        <v>8687.4666666666653</v>
      </c>
      <c r="N29" s="130"/>
      <c r="O29" s="131"/>
      <c r="P29" s="132"/>
      <c r="Q29" s="132"/>
      <c r="R29" s="132"/>
      <c r="S29" s="132"/>
      <c r="T29" s="132"/>
      <c r="U29" s="132"/>
      <c r="V29" s="132"/>
      <c r="W29" s="132"/>
      <c r="X29" s="132"/>
      <c r="Y29" s="132"/>
      <c r="Z29" s="132"/>
    </row>
    <row r="30" spans="1:26" ht="11.25" customHeight="1" x14ac:dyDescent="0.3">
      <c r="A30" s="160" t="s">
        <v>174</v>
      </c>
      <c r="B30" s="161">
        <v>42</v>
      </c>
      <c r="C30" s="175" t="s">
        <v>200</v>
      </c>
      <c r="D30" s="151">
        <v>75</v>
      </c>
      <c r="E30" s="159">
        <f t="shared" si="7"/>
        <v>4.3943981722189213E-3</v>
      </c>
      <c r="F30" s="151">
        <f t="shared" si="8"/>
        <v>900</v>
      </c>
      <c r="G30" s="153">
        <f t="shared" si="9"/>
        <v>17.307692307692307</v>
      </c>
      <c r="H30" s="130"/>
      <c r="I30" s="150"/>
      <c r="J30" s="151"/>
      <c r="K30" s="152"/>
      <c r="L30" s="151"/>
      <c r="M30" s="153"/>
      <c r="N30" s="130"/>
      <c r="O30" s="131"/>
      <c r="P30" s="132"/>
      <c r="Q30" s="132"/>
      <c r="R30" s="132"/>
      <c r="S30" s="132"/>
      <c r="T30" s="132"/>
      <c r="U30" s="132"/>
      <c r="V30" s="132"/>
      <c r="W30" s="132"/>
      <c r="X30" s="132"/>
      <c r="Y30" s="132"/>
      <c r="Z30" s="132"/>
    </row>
    <row r="31" spans="1:26" ht="11.25" customHeight="1" x14ac:dyDescent="0.3">
      <c r="A31" s="170" t="s">
        <v>174</v>
      </c>
      <c r="B31" s="171">
        <v>43</v>
      </c>
      <c r="C31" s="189" t="s">
        <v>201</v>
      </c>
      <c r="D31" s="142">
        <v>75</v>
      </c>
      <c r="E31" s="141">
        <f t="shared" si="7"/>
        <v>4.3943981722189213E-3</v>
      </c>
      <c r="F31" s="142">
        <f t="shared" si="8"/>
        <v>900</v>
      </c>
      <c r="G31" s="143">
        <f t="shared" si="9"/>
        <v>17.307692307692307</v>
      </c>
      <c r="H31" s="130"/>
      <c r="I31" s="150" t="s">
        <v>202</v>
      </c>
      <c r="J31" s="151">
        <v>157.97</v>
      </c>
      <c r="K31" s="159">
        <f>J31/J29</f>
        <v>3.9397944932162809E-2</v>
      </c>
      <c r="L31" s="151">
        <f t="shared" ref="L31:L32" si="11">J31*26</f>
        <v>4107.22</v>
      </c>
      <c r="M31" s="153">
        <f t="shared" ref="M31:M32" si="12">L31/12</f>
        <v>342.26833333333337</v>
      </c>
      <c r="N31" s="130"/>
      <c r="O31" s="131"/>
      <c r="P31" s="132"/>
      <c r="Q31" s="132"/>
      <c r="R31" s="132"/>
      <c r="S31" s="132"/>
      <c r="T31" s="132"/>
      <c r="U31" s="132"/>
      <c r="V31" s="132"/>
      <c r="W31" s="132"/>
      <c r="X31" s="132"/>
      <c r="Y31" s="132"/>
      <c r="Z31" s="132"/>
    </row>
    <row r="32" spans="1:26" ht="11.25" customHeight="1" x14ac:dyDescent="0.3">
      <c r="A32" s="133"/>
      <c r="B32" s="134"/>
      <c r="C32" s="130"/>
      <c r="D32" s="148"/>
      <c r="E32" s="149"/>
      <c r="F32" s="148"/>
      <c r="G32" s="148"/>
      <c r="H32" s="130"/>
      <c r="I32" s="150" t="s">
        <v>97</v>
      </c>
      <c r="J32" s="151">
        <f>K32*J29</f>
        <v>200.48000000000002</v>
      </c>
      <c r="K32" s="159">
        <v>0.05</v>
      </c>
      <c r="L32" s="151">
        <f t="shared" si="11"/>
        <v>5212.4800000000005</v>
      </c>
      <c r="M32" s="153">
        <f t="shared" si="12"/>
        <v>434.37333333333339</v>
      </c>
      <c r="N32" s="130"/>
      <c r="O32" s="131"/>
      <c r="P32" s="132"/>
      <c r="Q32" s="132"/>
      <c r="R32" s="132"/>
      <c r="S32" s="132"/>
      <c r="T32" s="132"/>
      <c r="U32" s="132"/>
      <c r="V32" s="132"/>
      <c r="W32" s="132"/>
      <c r="X32" s="132"/>
      <c r="Y32" s="132"/>
      <c r="Z32" s="132"/>
    </row>
    <row r="33" spans="1:26" ht="11.25" customHeight="1" x14ac:dyDescent="0.3">
      <c r="A33" s="135" t="s">
        <v>203</v>
      </c>
      <c r="B33" s="154">
        <v>25</v>
      </c>
      <c r="C33" s="155" t="s">
        <v>204</v>
      </c>
      <c r="D33" s="156">
        <v>350</v>
      </c>
      <c r="E33" s="157">
        <f t="shared" ref="E33:E43" si="13">D33/$O$24</f>
        <v>2.0507191470354964E-2</v>
      </c>
      <c r="F33" s="156">
        <f t="shared" ref="F33:F43" si="14">D33*12</f>
        <v>4200</v>
      </c>
      <c r="G33" s="158">
        <f t="shared" ref="G33:G43" si="15">F33/52</f>
        <v>80.769230769230774</v>
      </c>
      <c r="H33" s="130"/>
      <c r="I33" s="144" t="s">
        <v>164</v>
      </c>
      <c r="J33" s="145">
        <f>SUM(J31:J32)</f>
        <v>358.45000000000005</v>
      </c>
      <c r="K33" s="163"/>
      <c r="L33" s="145"/>
      <c r="M33" s="147"/>
      <c r="N33" s="130"/>
      <c r="O33" s="131"/>
      <c r="P33" s="132"/>
      <c r="Q33" s="132"/>
      <c r="R33" s="132"/>
      <c r="S33" s="132"/>
      <c r="T33" s="132"/>
      <c r="U33" s="132"/>
      <c r="V33" s="132"/>
      <c r="W33" s="132"/>
      <c r="X33" s="132"/>
      <c r="Y33" s="132"/>
      <c r="Z33" s="132"/>
    </row>
    <row r="34" spans="1:26" ht="11.25" customHeight="1" x14ac:dyDescent="0.3">
      <c r="A34" s="160" t="s">
        <v>203</v>
      </c>
      <c r="B34" s="161">
        <v>26</v>
      </c>
      <c r="C34" s="175" t="s">
        <v>205</v>
      </c>
      <c r="D34" s="151">
        <v>320</v>
      </c>
      <c r="E34" s="159">
        <f t="shared" si="13"/>
        <v>1.8749432201467395E-2</v>
      </c>
      <c r="F34" s="151">
        <f t="shared" si="14"/>
        <v>3840</v>
      </c>
      <c r="G34" s="153">
        <f t="shared" si="15"/>
        <v>73.84615384615384</v>
      </c>
      <c r="H34" s="130"/>
      <c r="I34" s="150"/>
      <c r="J34" s="151"/>
      <c r="K34" s="159"/>
      <c r="L34" s="151"/>
      <c r="M34" s="153"/>
      <c r="N34" s="130"/>
      <c r="O34" s="131"/>
      <c r="P34" s="132"/>
      <c r="Q34" s="132"/>
      <c r="R34" s="132"/>
      <c r="S34" s="132"/>
      <c r="T34" s="132"/>
      <c r="U34" s="132"/>
      <c r="V34" s="132"/>
      <c r="W34" s="132"/>
      <c r="X34" s="132"/>
      <c r="Y34" s="132"/>
      <c r="Z34" s="132"/>
    </row>
    <row r="35" spans="1:26" ht="11.25" customHeight="1" x14ac:dyDescent="0.3">
      <c r="A35" s="160" t="s">
        <v>203</v>
      </c>
      <c r="B35" s="161">
        <v>27</v>
      </c>
      <c r="C35" s="175" t="s">
        <v>206</v>
      </c>
      <c r="D35" s="151">
        <v>25</v>
      </c>
      <c r="E35" s="159">
        <f t="shared" si="13"/>
        <v>1.4647993907396402E-3</v>
      </c>
      <c r="F35" s="151">
        <f t="shared" si="14"/>
        <v>300</v>
      </c>
      <c r="G35" s="153">
        <f t="shared" si="15"/>
        <v>5.7692307692307692</v>
      </c>
      <c r="H35" s="130"/>
      <c r="I35" s="144" t="s">
        <v>167</v>
      </c>
      <c r="J35" s="145">
        <f>J29+J30-J31-J32</f>
        <v>3651.15</v>
      </c>
      <c r="K35" s="163">
        <f>J35/J29</f>
        <v>0.9106020550678372</v>
      </c>
      <c r="L35" s="145">
        <f>J35*26</f>
        <v>94929.900000000009</v>
      </c>
      <c r="M35" s="147">
        <f>L35/12</f>
        <v>7910.8250000000007</v>
      </c>
      <c r="N35" s="130"/>
      <c r="O35" s="131"/>
      <c r="P35" s="132"/>
      <c r="Q35" s="132"/>
      <c r="R35" s="132"/>
      <c r="S35" s="132"/>
      <c r="T35" s="132"/>
      <c r="U35" s="132"/>
      <c r="V35" s="132"/>
      <c r="W35" s="132"/>
      <c r="X35" s="132"/>
      <c r="Y35" s="132"/>
      <c r="Z35" s="132"/>
    </row>
    <row r="36" spans="1:26" ht="11.25" customHeight="1" x14ac:dyDescent="0.3">
      <c r="A36" s="160" t="s">
        <v>203</v>
      </c>
      <c r="B36" s="161">
        <v>28</v>
      </c>
      <c r="C36" s="175" t="s">
        <v>207</v>
      </c>
      <c r="D36" s="151">
        <v>25</v>
      </c>
      <c r="E36" s="159">
        <f t="shared" si="13"/>
        <v>1.4647993907396402E-3</v>
      </c>
      <c r="F36" s="151">
        <f t="shared" si="14"/>
        <v>300</v>
      </c>
      <c r="G36" s="153">
        <f t="shared" si="15"/>
        <v>5.7692307692307692</v>
      </c>
      <c r="H36" s="130"/>
      <c r="I36" s="150"/>
      <c r="J36" s="151"/>
      <c r="K36" s="159"/>
      <c r="L36" s="151"/>
      <c r="M36" s="153"/>
      <c r="N36" s="130"/>
      <c r="O36" s="131"/>
      <c r="P36" s="132"/>
      <c r="Q36" s="132"/>
      <c r="R36" s="132"/>
      <c r="S36" s="132"/>
      <c r="T36" s="132"/>
      <c r="U36" s="132"/>
      <c r="V36" s="132"/>
      <c r="W36" s="132"/>
      <c r="X36" s="132"/>
      <c r="Y36" s="132"/>
      <c r="Z36" s="132"/>
    </row>
    <row r="37" spans="1:26" ht="11.25" customHeight="1" x14ac:dyDescent="0.3">
      <c r="A37" s="160" t="s">
        <v>203</v>
      </c>
      <c r="B37" s="161">
        <v>29</v>
      </c>
      <c r="C37" s="175" t="s">
        <v>208</v>
      </c>
      <c r="D37" s="151">
        <v>45</v>
      </c>
      <c r="E37" s="159">
        <f t="shared" si="13"/>
        <v>2.6366389033313526E-3</v>
      </c>
      <c r="F37" s="151">
        <f t="shared" si="14"/>
        <v>540</v>
      </c>
      <c r="G37" s="153">
        <f t="shared" si="15"/>
        <v>10.384615384615385</v>
      </c>
      <c r="H37" s="130"/>
      <c r="I37" s="150" t="s">
        <v>170</v>
      </c>
      <c r="J37" s="151">
        <v>463.64</v>
      </c>
      <c r="K37" s="159">
        <f>J37/J35</f>
        <v>0.12698464867233611</v>
      </c>
      <c r="L37" s="151">
        <f t="shared" ref="L37:L41" si="16">J37*26</f>
        <v>12054.64</v>
      </c>
      <c r="M37" s="153">
        <f t="shared" ref="M37:M41" si="17">L37/12</f>
        <v>1004.5533333333333</v>
      </c>
      <c r="N37" s="130"/>
      <c r="O37" s="131"/>
      <c r="P37" s="132"/>
      <c r="Q37" s="132"/>
      <c r="R37" s="132"/>
      <c r="S37" s="132"/>
      <c r="T37" s="132"/>
      <c r="U37" s="132"/>
      <c r="V37" s="132"/>
      <c r="W37" s="132"/>
      <c r="X37" s="132"/>
      <c r="Y37" s="132"/>
      <c r="Z37" s="132"/>
    </row>
    <row r="38" spans="1:26" ht="11.25" customHeight="1" x14ac:dyDescent="0.3">
      <c r="A38" s="160" t="s">
        <v>203</v>
      </c>
      <c r="B38" s="161">
        <v>30</v>
      </c>
      <c r="C38" s="175" t="s">
        <v>209</v>
      </c>
      <c r="D38" s="151">
        <v>400</v>
      </c>
      <c r="E38" s="159">
        <f t="shared" si="13"/>
        <v>2.3436790251834243E-2</v>
      </c>
      <c r="F38" s="151">
        <f t="shared" si="14"/>
        <v>4800</v>
      </c>
      <c r="G38" s="153">
        <f t="shared" si="15"/>
        <v>92.307692307692307</v>
      </c>
      <c r="H38" s="130"/>
      <c r="I38" s="150" t="s">
        <v>172</v>
      </c>
      <c r="J38" s="151">
        <v>97</v>
      </c>
      <c r="K38" s="159">
        <f>J38/J35</f>
        <v>2.6566972049902084E-2</v>
      </c>
      <c r="L38" s="151">
        <f t="shared" si="16"/>
        <v>2522</v>
      </c>
      <c r="M38" s="153">
        <f t="shared" si="17"/>
        <v>210.16666666666666</v>
      </c>
      <c r="N38" s="130"/>
      <c r="O38" s="131"/>
      <c r="P38" s="132"/>
      <c r="Q38" s="132"/>
      <c r="R38" s="132"/>
      <c r="S38" s="132"/>
      <c r="T38" s="132"/>
      <c r="U38" s="132"/>
      <c r="V38" s="132"/>
      <c r="W38" s="132"/>
      <c r="X38" s="132"/>
      <c r="Y38" s="132"/>
      <c r="Z38" s="132"/>
    </row>
    <row r="39" spans="1:26" ht="11.25" customHeight="1" x14ac:dyDescent="0.3">
      <c r="A39" s="160" t="s">
        <v>203</v>
      </c>
      <c r="B39" s="161">
        <v>31</v>
      </c>
      <c r="C39" s="175" t="s">
        <v>210</v>
      </c>
      <c r="D39" s="151">
        <v>375</v>
      </c>
      <c r="E39" s="159">
        <f t="shared" si="13"/>
        <v>2.1971990861094606E-2</v>
      </c>
      <c r="F39" s="151">
        <f t="shared" si="14"/>
        <v>4500</v>
      </c>
      <c r="G39" s="153">
        <f t="shared" si="15"/>
        <v>86.538461538461533</v>
      </c>
      <c r="H39" s="130"/>
      <c r="I39" s="150" t="s">
        <v>173</v>
      </c>
      <c r="J39" s="151">
        <f>(J35+J32)*K39</f>
        <v>55.848635000000002</v>
      </c>
      <c r="K39" s="159">
        <v>1.4500000000000001E-2</v>
      </c>
      <c r="L39" s="151">
        <f t="shared" si="16"/>
        <v>1452.0645100000002</v>
      </c>
      <c r="M39" s="153">
        <f t="shared" si="17"/>
        <v>121.00537583333335</v>
      </c>
      <c r="N39" s="130"/>
      <c r="O39" s="131"/>
      <c r="P39" s="132"/>
      <c r="Q39" s="132"/>
      <c r="R39" s="132"/>
      <c r="S39" s="132"/>
      <c r="T39" s="132"/>
      <c r="U39" s="132"/>
      <c r="V39" s="132"/>
      <c r="W39" s="132"/>
      <c r="X39" s="132"/>
      <c r="Y39" s="132"/>
      <c r="Z39" s="132"/>
    </row>
    <row r="40" spans="1:26" ht="11.25" customHeight="1" x14ac:dyDescent="0.3">
      <c r="A40" s="160" t="s">
        <v>203</v>
      </c>
      <c r="B40" s="161">
        <v>32</v>
      </c>
      <c r="C40" s="175" t="s">
        <v>211</v>
      </c>
      <c r="D40" s="151">
        <v>100</v>
      </c>
      <c r="E40" s="159">
        <f t="shared" si="13"/>
        <v>5.8591975629585609E-3</v>
      </c>
      <c r="F40" s="151">
        <f t="shared" si="14"/>
        <v>1200</v>
      </c>
      <c r="G40" s="153">
        <f t="shared" si="15"/>
        <v>23.076923076923077</v>
      </c>
      <c r="H40" s="130"/>
      <c r="I40" s="150" t="s">
        <v>175</v>
      </c>
      <c r="J40" s="151">
        <f>(J35+J32)*K40</f>
        <v>238.80106000000001</v>
      </c>
      <c r="K40" s="159">
        <v>6.2E-2</v>
      </c>
      <c r="L40" s="151">
        <f t="shared" si="16"/>
        <v>6208.8275599999997</v>
      </c>
      <c r="M40" s="153">
        <f t="shared" si="17"/>
        <v>517.40229666666664</v>
      </c>
      <c r="N40" s="130"/>
      <c r="O40" s="131"/>
      <c r="P40" s="132"/>
      <c r="Q40" s="132"/>
      <c r="R40" s="132"/>
      <c r="S40" s="132"/>
      <c r="T40" s="132"/>
      <c r="U40" s="132"/>
      <c r="V40" s="132"/>
      <c r="W40" s="132"/>
      <c r="X40" s="132"/>
      <c r="Y40" s="132"/>
      <c r="Z40" s="132"/>
    </row>
    <row r="41" spans="1:26" ht="11.25" customHeight="1" x14ac:dyDescent="0.3">
      <c r="A41" s="160" t="s">
        <v>203</v>
      </c>
      <c r="B41" s="161">
        <v>33</v>
      </c>
      <c r="C41" s="175" t="s">
        <v>212</v>
      </c>
      <c r="D41" s="151">
        <v>85</v>
      </c>
      <c r="E41" s="159">
        <f t="shared" si="13"/>
        <v>4.9803179285147769E-3</v>
      </c>
      <c r="F41" s="151">
        <f t="shared" si="14"/>
        <v>1020</v>
      </c>
      <c r="G41" s="153">
        <f t="shared" si="15"/>
        <v>19.615384615384617</v>
      </c>
      <c r="H41" s="130"/>
      <c r="I41" s="150" t="s">
        <v>177</v>
      </c>
      <c r="J41" s="151">
        <f>K41*J29</f>
        <v>32.076799999999999</v>
      </c>
      <c r="K41" s="159">
        <v>8.0000000000000002E-3</v>
      </c>
      <c r="L41" s="151">
        <f t="shared" si="16"/>
        <v>833.99680000000001</v>
      </c>
      <c r="M41" s="153">
        <f t="shared" si="17"/>
        <v>69.499733333333339</v>
      </c>
      <c r="N41" s="130"/>
      <c r="O41" s="133"/>
      <c r="P41" s="132"/>
      <c r="Q41" s="132"/>
      <c r="R41" s="132"/>
      <c r="S41" s="132"/>
      <c r="T41" s="132"/>
      <c r="U41" s="132"/>
      <c r="V41" s="132"/>
      <c r="W41" s="132"/>
      <c r="X41" s="132"/>
      <c r="Y41" s="132"/>
      <c r="Z41" s="132"/>
    </row>
    <row r="42" spans="1:26" ht="11.25" customHeight="1" x14ac:dyDescent="0.3">
      <c r="A42" s="160" t="s">
        <v>203</v>
      </c>
      <c r="B42" s="161">
        <v>34</v>
      </c>
      <c r="C42" s="175" t="s">
        <v>213</v>
      </c>
      <c r="D42" s="151">
        <v>230</v>
      </c>
      <c r="E42" s="159">
        <f t="shared" si="13"/>
        <v>1.3476154394804691E-2</v>
      </c>
      <c r="F42" s="151">
        <f t="shared" si="14"/>
        <v>2760</v>
      </c>
      <c r="G42" s="153">
        <f t="shared" si="15"/>
        <v>53.07692307692308</v>
      </c>
      <c r="H42" s="130"/>
      <c r="I42" s="144" t="s">
        <v>181</v>
      </c>
      <c r="J42" s="145">
        <f>SUM(J37:J41)</f>
        <v>887.36649499999999</v>
      </c>
      <c r="K42" s="163">
        <f>J42/J29</f>
        <v>0.22131047860135675</v>
      </c>
      <c r="L42" s="145"/>
      <c r="M42" s="147"/>
      <c r="N42" s="130"/>
      <c r="O42" s="133"/>
      <c r="P42" s="132"/>
      <c r="Q42" s="132"/>
      <c r="R42" s="132"/>
      <c r="S42" s="132"/>
      <c r="T42" s="132"/>
      <c r="U42" s="132"/>
      <c r="V42" s="132"/>
      <c r="W42" s="132"/>
      <c r="X42" s="132"/>
      <c r="Y42" s="132"/>
      <c r="Z42" s="132"/>
    </row>
    <row r="43" spans="1:26" ht="11.25" customHeight="1" x14ac:dyDescent="0.3">
      <c r="A43" s="170" t="s">
        <v>203</v>
      </c>
      <c r="B43" s="171">
        <v>35</v>
      </c>
      <c r="C43" s="189" t="s">
        <v>214</v>
      </c>
      <c r="D43" s="142">
        <v>45</v>
      </c>
      <c r="E43" s="141">
        <f t="shared" si="13"/>
        <v>2.6366389033313526E-3</v>
      </c>
      <c r="F43" s="142">
        <f t="shared" si="14"/>
        <v>540</v>
      </c>
      <c r="G43" s="143">
        <f t="shared" si="15"/>
        <v>10.384615384615385</v>
      </c>
      <c r="H43" s="130"/>
      <c r="I43" s="150"/>
      <c r="J43" s="151"/>
      <c r="K43" s="159"/>
      <c r="L43" s="151"/>
      <c r="M43" s="153"/>
      <c r="N43" s="130"/>
      <c r="O43" s="133"/>
      <c r="P43" s="132"/>
      <c r="Q43" s="132"/>
      <c r="R43" s="132"/>
      <c r="S43" s="132"/>
      <c r="T43" s="132"/>
      <c r="U43" s="132"/>
      <c r="V43" s="132"/>
      <c r="W43" s="132"/>
      <c r="X43" s="132"/>
      <c r="Y43" s="132"/>
      <c r="Z43" s="132"/>
    </row>
    <row r="44" spans="1:26" ht="11.25" customHeight="1" x14ac:dyDescent="0.3">
      <c r="A44" s="133"/>
      <c r="B44" s="134"/>
      <c r="C44" s="130"/>
      <c r="D44" s="133"/>
      <c r="E44" s="148"/>
      <c r="F44" s="148"/>
      <c r="G44" s="148"/>
      <c r="H44" s="130"/>
      <c r="I44" s="190" t="s">
        <v>215</v>
      </c>
      <c r="J44" s="191">
        <f>J29-J33-J42</f>
        <v>2763.7835049999994</v>
      </c>
      <c r="K44" s="192">
        <f>(J44+J32)/J29</f>
        <v>0.73929157646648036</v>
      </c>
      <c r="L44" s="191">
        <f>J44*26</f>
        <v>71858.371129999985</v>
      </c>
      <c r="M44" s="193">
        <f>L44/12</f>
        <v>5988.1975941666651</v>
      </c>
      <c r="N44" s="185">
        <f>L44</f>
        <v>71858.371129999985</v>
      </c>
      <c r="O44" s="131">
        <f>N44/26</f>
        <v>2763.7835049999994</v>
      </c>
      <c r="P44" s="132"/>
      <c r="Q44" s="132"/>
      <c r="R44" s="132"/>
      <c r="S44" s="132"/>
      <c r="T44" s="132"/>
      <c r="U44" s="132"/>
      <c r="V44" s="132"/>
      <c r="W44" s="132"/>
      <c r="X44" s="132"/>
      <c r="Y44" s="132"/>
      <c r="Z44" s="132"/>
    </row>
    <row r="45" spans="1:26" ht="11.25" customHeight="1" x14ac:dyDescent="0.3">
      <c r="A45" s="135" t="s">
        <v>216</v>
      </c>
      <c r="B45" s="154">
        <v>36</v>
      </c>
      <c r="C45" s="174" t="s">
        <v>103</v>
      </c>
      <c r="D45" s="156">
        <f t="shared" ref="D45:D46" si="18">F45/12</f>
        <v>50</v>
      </c>
      <c r="E45" s="157">
        <f t="shared" ref="E45:E46" si="19">D45/$O$24</f>
        <v>2.9295987814792804E-3</v>
      </c>
      <c r="F45" s="156">
        <f>50*12</f>
        <v>600</v>
      </c>
      <c r="G45" s="158">
        <f t="shared" ref="G45:G46" si="20">F45/52</f>
        <v>11.538461538461538</v>
      </c>
      <c r="H45" s="130"/>
      <c r="I45" s="130"/>
      <c r="J45" s="133"/>
      <c r="K45" s="133"/>
      <c r="L45" s="133"/>
      <c r="M45" s="148"/>
      <c r="N45" s="130"/>
      <c r="O45" s="131"/>
      <c r="P45" s="132"/>
      <c r="Q45" s="132"/>
      <c r="R45" s="132"/>
      <c r="S45" s="132"/>
      <c r="T45" s="132"/>
      <c r="U45" s="132"/>
      <c r="V45" s="132"/>
      <c r="W45" s="132"/>
      <c r="X45" s="132"/>
      <c r="Y45" s="132"/>
      <c r="Z45" s="132"/>
    </row>
    <row r="46" spans="1:26" ht="11.25" customHeight="1" x14ac:dyDescent="0.3">
      <c r="A46" s="170" t="s">
        <v>216</v>
      </c>
      <c r="B46" s="171">
        <v>37</v>
      </c>
      <c r="C46" s="189" t="s">
        <v>217</v>
      </c>
      <c r="D46" s="142">
        <f t="shared" si="18"/>
        <v>4017.1835051599969</v>
      </c>
      <c r="E46" s="141">
        <f t="shared" si="19"/>
        <v>0.23537471803390783</v>
      </c>
      <c r="F46" s="194">
        <f>(N24-SUM(F5:F45))</f>
        <v>48206.202061919961</v>
      </c>
      <c r="G46" s="143">
        <f t="shared" si="20"/>
        <v>927.04234734461465</v>
      </c>
      <c r="H46" s="130"/>
      <c r="I46" s="130"/>
      <c r="J46" s="133"/>
      <c r="K46" s="133"/>
      <c r="L46" s="133"/>
      <c r="M46" s="148"/>
      <c r="N46" s="130"/>
      <c r="O46" s="131"/>
      <c r="P46" s="132"/>
      <c r="Q46" s="132"/>
      <c r="R46" s="132"/>
      <c r="S46" s="132"/>
      <c r="T46" s="132"/>
      <c r="U46" s="132"/>
      <c r="V46" s="132"/>
      <c r="W46" s="132"/>
      <c r="X46" s="132"/>
      <c r="Y46" s="132"/>
      <c r="Z46" s="132"/>
    </row>
    <row r="47" spans="1:26" ht="11.25" customHeight="1" x14ac:dyDescent="0.3">
      <c r="A47" s="133"/>
      <c r="B47" s="134"/>
      <c r="C47" s="130"/>
      <c r="D47" s="148"/>
      <c r="E47" s="149"/>
      <c r="F47" s="148"/>
      <c r="G47" s="148"/>
      <c r="H47" s="130"/>
      <c r="I47" s="138" t="s">
        <v>218</v>
      </c>
      <c r="J47" s="186">
        <v>82.809299999999993</v>
      </c>
      <c r="K47" s="174"/>
      <c r="L47" s="174"/>
      <c r="M47" s="187"/>
      <c r="N47" s="130"/>
      <c r="O47" s="131"/>
      <c r="P47" s="132"/>
      <c r="Q47" s="132"/>
      <c r="R47" s="132"/>
      <c r="S47" s="132"/>
      <c r="T47" s="132"/>
      <c r="U47" s="132"/>
      <c r="V47" s="132"/>
      <c r="W47" s="132"/>
      <c r="X47" s="132"/>
      <c r="Y47" s="132"/>
      <c r="Z47" s="132"/>
    </row>
    <row r="48" spans="1:26" ht="11.25" customHeight="1" x14ac:dyDescent="0.3">
      <c r="A48" s="133"/>
      <c r="B48" s="134"/>
      <c r="C48" s="130"/>
      <c r="D48" s="133"/>
      <c r="E48" s="133"/>
      <c r="F48" s="133"/>
      <c r="G48" s="133"/>
      <c r="H48" s="130"/>
      <c r="I48" s="150"/>
      <c r="J48" s="152" t="s">
        <v>198</v>
      </c>
      <c r="K48" s="152" t="s">
        <v>153</v>
      </c>
      <c r="L48" s="152" t="s">
        <v>154</v>
      </c>
      <c r="M48" s="188" t="s">
        <v>152</v>
      </c>
      <c r="N48" s="130"/>
      <c r="O48" s="131"/>
      <c r="P48" s="132"/>
      <c r="Q48" s="132"/>
      <c r="R48" s="132"/>
      <c r="S48" s="132"/>
      <c r="T48" s="132"/>
      <c r="U48" s="132"/>
      <c r="V48" s="132"/>
      <c r="W48" s="132"/>
      <c r="X48" s="132"/>
      <c r="Y48" s="132"/>
      <c r="Z48" s="132"/>
    </row>
    <row r="49" spans="1:26" ht="11.25" customHeight="1" x14ac:dyDescent="0.3">
      <c r="A49" s="133"/>
      <c r="B49" s="134"/>
      <c r="C49" s="130"/>
      <c r="D49" s="133"/>
      <c r="E49" s="133"/>
      <c r="F49" s="133"/>
      <c r="G49" s="133"/>
      <c r="H49" s="130"/>
      <c r="I49" s="150" t="s">
        <v>157</v>
      </c>
      <c r="J49" s="151">
        <f>J47*86.67</f>
        <v>7177.0820309999999</v>
      </c>
      <c r="K49" s="152"/>
      <c r="L49" s="151">
        <f>J49*24</f>
        <v>172249.96874400001</v>
      </c>
      <c r="M49" s="153">
        <f>L49/12</f>
        <v>14354.164062000002</v>
      </c>
      <c r="N49" s="130"/>
      <c r="O49" s="131"/>
      <c r="P49" s="132"/>
      <c r="Q49" s="132"/>
      <c r="R49" s="132"/>
      <c r="S49" s="132"/>
      <c r="T49" s="132"/>
      <c r="U49" s="132"/>
      <c r="V49" s="132"/>
      <c r="W49" s="132"/>
      <c r="X49" s="132"/>
      <c r="Y49" s="132"/>
      <c r="Z49" s="132"/>
    </row>
    <row r="50" spans="1:26" ht="11.25" customHeight="1" x14ac:dyDescent="0.3">
      <c r="A50" s="133"/>
      <c r="B50" s="134"/>
      <c r="C50" s="130"/>
      <c r="D50" s="133"/>
      <c r="E50" s="133"/>
      <c r="F50" s="133"/>
      <c r="G50" s="133"/>
      <c r="H50" s="130"/>
      <c r="I50" s="150" t="s">
        <v>219</v>
      </c>
      <c r="J50" s="151">
        <v>34</v>
      </c>
      <c r="K50" s="152"/>
      <c r="L50" s="151"/>
      <c r="M50" s="153"/>
      <c r="N50" s="130"/>
      <c r="O50" s="131"/>
      <c r="P50" s="132"/>
      <c r="Q50" s="132"/>
      <c r="R50" s="132"/>
      <c r="S50" s="132"/>
      <c r="T50" s="132"/>
      <c r="U50" s="132"/>
      <c r="V50" s="132"/>
      <c r="W50" s="132"/>
      <c r="X50" s="132"/>
      <c r="Y50" s="132"/>
      <c r="Z50" s="132"/>
    </row>
    <row r="51" spans="1:26" ht="11.25" customHeight="1" x14ac:dyDescent="0.3">
      <c r="A51" s="133"/>
      <c r="B51" s="134"/>
      <c r="C51" s="130"/>
      <c r="D51" s="133"/>
      <c r="E51" s="133"/>
      <c r="F51" s="133"/>
      <c r="G51" s="133"/>
      <c r="H51" s="130"/>
      <c r="I51" s="144" t="s">
        <v>220</v>
      </c>
      <c r="J51" s="145">
        <f>J49+J50</f>
        <v>7211.0820309999999</v>
      </c>
      <c r="K51" s="146"/>
      <c r="L51" s="145"/>
      <c r="M51" s="147"/>
      <c r="N51" s="130"/>
      <c r="O51" s="131"/>
      <c r="P51" s="132"/>
      <c r="Q51" s="132"/>
      <c r="R51" s="132"/>
      <c r="S51" s="132"/>
      <c r="T51" s="132"/>
      <c r="U51" s="132"/>
      <c r="V51" s="132"/>
      <c r="W51" s="132"/>
      <c r="X51" s="132"/>
      <c r="Y51" s="132"/>
      <c r="Z51" s="132"/>
    </row>
    <row r="52" spans="1:26" ht="11.25" customHeight="1" x14ac:dyDescent="0.3">
      <c r="A52" s="133"/>
      <c r="B52" s="134"/>
      <c r="C52" s="130"/>
      <c r="D52" s="195"/>
      <c r="E52" s="133"/>
      <c r="F52" s="133"/>
      <c r="G52" s="133"/>
      <c r="H52" s="130"/>
      <c r="I52" s="150"/>
      <c r="J52" s="151"/>
      <c r="K52" s="152"/>
      <c r="L52" s="151"/>
      <c r="M52" s="153"/>
      <c r="N52" s="130"/>
      <c r="O52" s="131"/>
      <c r="P52" s="132"/>
      <c r="Q52" s="132"/>
      <c r="R52" s="132"/>
      <c r="S52" s="132"/>
      <c r="T52" s="132"/>
      <c r="U52" s="132"/>
      <c r="V52" s="132"/>
      <c r="W52" s="132"/>
      <c r="X52" s="132"/>
      <c r="Y52" s="132"/>
      <c r="Z52" s="132"/>
    </row>
    <row r="53" spans="1:26" ht="11.25" customHeight="1" x14ac:dyDescent="0.3">
      <c r="A53" s="132"/>
      <c r="B53" s="132"/>
      <c r="C53" s="132"/>
      <c r="D53" s="132"/>
      <c r="E53" s="132"/>
      <c r="F53" s="132"/>
      <c r="G53" s="132"/>
      <c r="H53" s="132"/>
      <c r="I53" s="150" t="s">
        <v>221</v>
      </c>
      <c r="J53" s="151">
        <v>9.0500000000000007</v>
      </c>
      <c r="K53" s="159">
        <f>J53/J49</f>
        <v>1.2609581388244274E-3</v>
      </c>
      <c r="L53" s="151">
        <f t="shared" ref="L53:L56" si="21">J53*24</f>
        <v>217.20000000000002</v>
      </c>
      <c r="M53" s="153">
        <f t="shared" ref="M53:M56" si="22">L53/12</f>
        <v>18.100000000000001</v>
      </c>
      <c r="N53" s="130"/>
      <c r="O53" s="131"/>
      <c r="P53" s="132"/>
      <c r="Q53" s="132"/>
      <c r="R53" s="132"/>
      <c r="S53" s="132"/>
      <c r="T53" s="132"/>
      <c r="U53" s="132"/>
      <c r="V53" s="132"/>
      <c r="W53" s="132"/>
      <c r="X53" s="132"/>
      <c r="Y53" s="132"/>
      <c r="Z53" s="132"/>
    </row>
    <row r="54" spans="1:26" ht="11.25" customHeight="1" x14ac:dyDescent="0.3">
      <c r="A54" s="132"/>
      <c r="B54" s="132"/>
      <c r="C54" s="132"/>
      <c r="D54" s="132"/>
      <c r="E54" s="132"/>
      <c r="F54" s="132"/>
      <c r="G54" s="132"/>
      <c r="H54" s="132"/>
      <c r="I54" s="150" t="s">
        <v>222</v>
      </c>
      <c r="J54" s="151">
        <v>23.67</v>
      </c>
      <c r="K54" s="159">
        <f>J54/J49</f>
        <v>3.2979976956877561E-3</v>
      </c>
      <c r="L54" s="151">
        <f t="shared" si="21"/>
        <v>568.08000000000004</v>
      </c>
      <c r="M54" s="153">
        <f t="shared" si="22"/>
        <v>47.34</v>
      </c>
      <c r="N54" s="130"/>
      <c r="O54" s="131"/>
      <c r="P54" s="132"/>
      <c r="Q54" s="132"/>
      <c r="R54" s="132"/>
      <c r="S54" s="132"/>
      <c r="T54" s="132"/>
      <c r="U54" s="132"/>
      <c r="V54" s="132"/>
      <c r="W54" s="132"/>
      <c r="X54" s="132"/>
      <c r="Y54" s="132"/>
      <c r="Z54" s="132"/>
    </row>
    <row r="55" spans="1:26" ht="11.25" customHeight="1" x14ac:dyDescent="0.3">
      <c r="A55" s="132"/>
      <c r="B55" s="132"/>
      <c r="C55" s="132"/>
      <c r="D55" s="132"/>
      <c r="E55" s="132"/>
      <c r="F55" s="132"/>
      <c r="G55" s="132"/>
      <c r="H55" s="132"/>
      <c r="I55" s="150" t="s">
        <v>223</v>
      </c>
      <c r="J55" s="151">
        <v>-32.15</v>
      </c>
      <c r="K55" s="159">
        <f>J55/J49</f>
        <v>-4.4795363716248985E-3</v>
      </c>
      <c r="L55" s="151">
        <f t="shared" si="21"/>
        <v>-771.59999999999991</v>
      </c>
      <c r="M55" s="153">
        <f t="shared" si="22"/>
        <v>-64.3</v>
      </c>
      <c r="N55" s="130"/>
      <c r="O55" s="131"/>
      <c r="P55" s="132"/>
      <c r="Q55" s="132"/>
      <c r="R55" s="132"/>
      <c r="S55" s="132"/>
      <c r="T55" s="132"/>
      <c r="U55" s="132"/>
      <c r="V55" s="132"/>
      <c r="W55" s="132"/>
      <c r="X55" s="132"/>
      <c r="Y55" s="132"/>
      <c r="Z55" s="132"/>
    </row>
    <row r="56" spans="1:26" ht="11.25" customHeight="1" x14ac:dyDescent="0.3">
      <c r="A56" s="132"/>
      <c r="B56" s="132"/>
      <c r="C56" s="132"/>
      <c r="D56" s="132"/>
      <c r="E56" s="132"/>
      <c r="F56" s="132"/>
      <c r="G56" s="132"/>
      <c r="H56" s="132"/>
      <c r="I56" s="150" t="s">
        <v>162</v>
      </c>
      <c r="J56" s="151">
        <f>J49*K56</f>
        <v>502.39574217000006</v>
      </c>
      <c r="K56" s="159">
        <v>7.0000000000000007E-2</v>
      </c>
      <c r="L56" s="151">
        <f t="shared" si="21"/>
        <v>12057.497812080001</v>
      </c>
      <c r="M56" s="153">
        <f t="shared" si="22"/>
        <v>1004.79148434</v>
      </c>
      <c r="N56" s="130"/>
      <c r="O56" s="131"/>
      <c r="P56" s="132"/>
      <c r="Q56" s="132"/>
      <c r="R56" s="132"/>
      <c r="S56" s="132"/>
      <c r="T56" s="132"/>
      <c r="U56" s="132"/>
      <c r="V56" s="132"/>
      <c r="W56" s="132"/>
      <c r="X56" s="132"/>
      <c r="Y56" s="132"/>
      <c r="Z56" s="132"/>
    </row>
    <row r="57" spans="1:26" ht="11.25" customHeight="1" x14ac:dyDescent="0.3">
      <c r="A57" s="132"/>
      <c r="B57" s="132"/>
      <c r="C57" s="132"/>
      <c r="D57" s="132"/>
      <c r="E57" s="132"/>
      <c r="F57" s="132"/>
      <c r="G57" s="132"/>
      <c r="H57" s="132"/>
      <c r="I57" s="144" t="s">
        <v>164</v>
      </c>
      <c r="J57" s="145">
        <f>SUM(J53:J56)</f>
        <v>502.96574217000006</v>
      </c>
      <c r="K57" s="146"/>
      <c r="L57" s="145"/>
      <c r="M57" s="147"/>
      <c r="N57" s="131"/>
      <c r="O57" s="131"/>
      <c r="P57" s="132"/>
      <c r="Q57" s="132"/>
      <c r="R57" s="132"/>
      <c r="S57" s="132"/>
      <c r="T57" s="132"/>
      <c r="U57" s="132"/>
      <c r="V57" s="132"/>
      <c r="W57" s="132"/>
      <c r="X57" s="132"/>
      <c r="Y57" s="132"/>
      <c r="Z57" s="132"/>
    </row>
    <row r="58" spans="1:26" ht="11.25" customHeight="1" x14ac:dyDescent="0.3">
      <c r="A58" s="132"/>
      <c r="B58" s="132"/>
      <c r="C58" s="132"/>
      <c r="D58" s="132"/>
      <c r="E58" s="132"/>
      <c r="F58" s="132"/>
      <c r="G58" s="132"/>
      <c r="H58" s="132"/>
      <c r="I58" s="150"/>
      <c r="J58" s="151"/>
      <c r="K58" s="152"/>
      <c r="L58" s="151"/>
      <c r="M58" s="153"/>
      <c r="N58" s="131"/>
      <c r="O58" s="131"/>
      <c r="P58" s="132"/>
      <c r="Q58" s="132"/>
      <c r="R58" s="132"/>
      <c r="S58" s="132"/>
      <c r="T58" s="132"/>
      <c r="U58" s="132"/>
      <c r="V58" s="132"/>
      <c r="W58" s="132"/>
      <c r="X58" s="132"/>
      <c r="Y58" s="132"/>
      <c r="Z58" s="132"/>
    </row>
    <row r="59" spans="1:26" ht="11.25" customHeight="1" x14ac:dyDescent="0.3">
      <c r="A59" s="132"/>
      <c r="B59" s="132"/>
      <c r="C59" s="132"/>
      <c r="D59" s="132"/>
      <c r="E59" s="132"/>
      <c r="F59" s="132"/>
      <c r="G59" s="132"/>
      <c r="H59" s="132"/>
      <c r="I59" s="144" t="s">
        <v>167</v>
      </c>
      <c r="J59" s="145">
        <f>J51-J57</f>
        <v>6708.1162888299996</v>
      </c>
      <c r="K59" s="146"/>
      <c r="L59" s="145">
        <f>J59*24</f>
        <v>160994.79093192</v>
      </c>
      <c r="M59" s="147">
        <f>L59/12</f>
        <v>13416.232577659999</v>
      </c>
      <c r="N59" s="130"/>
      <c r="O59" s="131"/>
      <c r="P59" s="132"/>
      <c r="Q59" s="132"/>
      <c r="R59" s="132"/>
      <c r="S59" s="132"/>
      <c r="T59" s="132"/>
      <c r="U59" s="132"/>
      <c r="V59" s="132"/>
      <c r="W59" s="132"/>
      <c r="X59" s="132"/>
      <c r="Y59" s="132"/>
      <c r="Z59" s="132"/>
    </row>
    <row r="60" spans="1:26" ht="11.25" customHeight="1" x14ac:dyDescent="0.3">
      <c r="A60" s="132"/>
      <c r="B60" s="132"/>
      <c r="C60" s="132"/>
      <c r="D60" s="132"/>
      <c r="E60" s="132"/>
      <c r="F60" s="132"/>
      <c r="G60" s="132"/>
      <c r="H60" s="132"/>
      <c r="I60" s="150"/>
      <c r="J60" s="151"/>
      <c r="K60" s="152"/>
      <c r="L60" s="151"/>
      <c r="M60" s="153"/>
      <c r="N60" s="130"/>
      <c r="O60" s="131"/>
      <c r="P60" s="132"/>
      <c r="Q60" s="132"/>
      <c r="R60" s="132"/>
      <c r="S60" s="132"/>
      <c r="T60" s="132"/>
      <c r="U60" s="132"/>
      <c r="V60" s="132"/>
      <c r="W60" s="132"/>
      <c r="X60" s="132"/>
      <c r="Y60" s="132"/>
      <c r="Z60" s="132"/>
    </row>
    <row r="61" spans="1:26" ht="11.25" customHeight="1" x14ac:dyDescent="0.3">
      <c r="A61" s="132"/>
      <c r="B61" s="132"/>
      <c r="C61" s="132"/>
      <c r="D61" s="132"/>
      <c r="E61" s="132"/>
      <c r="F61" s="132"/>
      <c r="G61" s="132"/>
      <c r="H61" s="132"/>
      <c r="I61" s="150" t="s">
        <v>170</v>
      </c>
      <c r="J61" s="151">
        <v>1140.53</v>
      </c>
      <c r="K61" s="159">
        <f>J61/J59</f>
        <v>0.17002239539274985</v>
      </c>
      <c r="L61" s="151">
        <f t="shared" ref="L61:L65" si="23">J61*24</f>
        <v>27372.720000000001</v>
      </c>
      <c r="M61" s="153">
        <f t="shared" ref="M61:M65" si="24">L61/12</f>
        <v>2281.06</v>
      </c>
      <c r="N61" s="130"/>
      <c r="O61" s="131"/>
      <c r="P61" s="132"/>
      <c r="Q61" s="132"/>
      <c r="R61" s="132"/>
      <c r="S61" s="132"/>
      <c r="T61" s="132"/>
      <c r="U61" s="132"/>
      <c r="V61" s="132"/>
      <c r="W61" s="132"/>
      <c r="X61" s="132"/>
      <c r="Y61" s="132"/>
      <c r="Z61" s="132"/>
    </row>
    <row r="62" spans="1:26" ht="11.25" customHeight="1" x14ac:dyDescent="0.3">
      <c r="A62" s="132"/>
      <c r="B62" s="132"/>
      <c r="C62" s="132"/>
      <c r="D62" s="132"/>
      <c r="E62" s="132"/>
      <c r="F62" s="132"/>
      <c r="G62" s="132"/>
      <c r="H62" s="132"/>
      <c r="I62" s="150" t="s">
        <v>172</v>
      </c>
      <c r="J62" s="151">
        <v>203.9</v>
      </c>
      <c r="K62" s="159">
        <f>J62/J59</f>
        <v>3.0396014502539783E-2</v>
      </c>
      <c r="L62" s="151">
        <f t="shared" si="23"/>
        <v>4893.6000000000004</v>
      </c>
      <c r="M62" s="153">
        <f t="shared" si="24"/>
        <v>407.8</v>
      </c>
      <c r="N62" s="130"/>
      <c r="O62" s="131"/>
      <c r="P62" s="132"/>
      <c r="Q62" s="132"/>
      <c r="R62" s="132"/>
      <c r="S62" s="132"/>
      <c r="T62" s="132"/>
      <c r="U62" s="132"/>
      <c r="V62" s="132"/>
      <c r="W62" s="132"/>
      <c r="X62" s="132"/>
      <c r="Y62" s="132"/>
      <c r="Z62" s="132"/>
    </row>
    <row r="63" spans="1:26" ht="11.25" customHeight="1" x14ac:dyDescent="0.3">
      <c r="A63" s="132"/>
      <c r="B63" s="132"/>
      <c r="C63" s="132"/>
      <c r="D63" s="132"/>
      <c r="E63" s="132"/>
      <c r="F63" s="132"/>
      <c r="G63" s="132"/>
      <c r="H63" s="132"/>
      <c r="I63" s="150" t="s">
        <v>173</v>
      </c>
      <c r="J63" s="151">
        <v>104.55</v>
      </c>
      <c r="K63" s="159">
        <f>J63/J51</f>
        <v>1.4498517635847984E-2</v>
      </c>
      <c r="L63" s="151">
        <f t="shared" si="23"/>
        <v>2509.1999999999998</v>
      </c>
      <c r="M63" s="153">
        <f t="shared" si="24"/>
        <v>209.1</v>
      </c>
      <c r="N63" s="130"/>
      <c r="O63" s="131"/>
      <c r="P63" s="132"/>
      <c r="Q63" s="132"/>
      <c r="R63" s="132"/>
      <c r="S63" s="132"/>
      <c r="T63" s="132"/>
      <c r="U63" s="132"/>
      <c r="V63" s="132"/>
      <c r="W63" s="132"/>
      <c r="X63" s="132"/>
      <c r="Y63" s="132"/>
      <c r="Z63" s="132"/>
    </row>
    <row r="64" spans="1:26" ht="11.25" customHeight="1" x14ac:dyDescent="0.3">
      <c r="A64" s="132"/>
      <c r="B64" s="132"/>
      <c r="C64" s="132"/>
      <c r="D64" s="132"/>
      <c r="E64" s="132"/>
      <c r="F64" s="132"/>
      <c r="G64" s="132"/>
      <c r="H64" s="132"/>
      <c r="I64" s="150" t="s">
        <v>175</v>
      </c>
      <c r="J64" s="151">
        <v>447.05</v>
      </c>
      <c r="K64" s="159">
        <f>J64/J51</f>
        <v>6.1994857093312691E-2</v>
      </c>
      <c r="L64" s="151">
        <f t="shared" si="23"/>
        <v>10729.2</v>
      </c>
      <c r="M64" s="153">
        <f t="shared" si="24"/>
        <v>894.1</v>
      </c>
      <c r="N64" s="130"/>
      <c r="O64" s="131"/>
      <c r="P64" s="132"/>
      <c r="Q64" s="132"/>
      <c r="R64" s="132"/>
      <c r="S64" s="132"/>
      <c r="T64" s="132"/>
      <c r="U64" s="132"/>
      <c r="V64" s="132"/>
      <c r="W64" s="132"/>
      <c r="X64" s="132"/>
      <c r="Y64" s="132"/>
      <c r="Z64" s="132"/>
    </row>
    <row r="65" spans="1:26" ht="11.25" customHeight="1" x14ac:dyDescent="0.3">
      <c r="A65" s="132"/>
      <c r="B65" s="132"/>
      <c r="C65" s="132"/>
      <c r="D65" s="132"/>
      <c r="E65" s="132"/>
      <c r="F65" s="132"/>
      <c r="G65" s="132"/>
      <c r="H65" s="132"/>
      <c r="I65" s="150" t="s">
        <v>179</v>
      </c>
      <c r="J65" s="151">
        <v>180.26</v>
      </c>
      <c r="K65" s="159">
        <f>J65/J51</f>
        <v>2.4997635476211932E-2</v>
      </c>
      <c r="L65" s="151">
        <f t="shared" si="23"/>
        <v>4326.24</v>
      </c>
      <c r="M65" s="153">
        <f t="shared" si="24"/>
        <v>360.52</v>
      </c>
      <c r="N65" s="130"/>
      <c r="O65" s="131"/>
      <c r="P65" s="132"/>
      <c r="Q65" s="132"/>
      <c r="R65" s="132"/>
      <c r="S65" s="132"/>
      <c r="T65" s="132"/>
      <c r="U65" s="132"/>
      <c r="V65" s="132"/>
      <c r="W65" s="132"/>
      <c r="X65" s="132"/>
      <c r="Y65" s="132"/>
      <c r="Z65" s="132"/>
    </row>
    <row r="66" spans="1:26" ht="11.25" customHeight="1" x14ac:dyDescent="0.3">
      <c r="A66" s="132"/>
      <c r="B66" s="132"/>
      <c r="C66" s="132"/>
      <c r="D66" s="132"/>
      <c r="E66" s="132"/>
      <c r="F66" s="132"/>
      <c r="G66" s="132"/>
      <c r="H66" s="132"/>
      <c r="I66" s="144" t="s">
        <v>181</v>
      </c>
      <c r="J66" s="145">
        <f>SUM(J61:J65)</f>
        <v>2076.29</v>
      </c>
      <c r="K66" s="163">
        <f>J66/J49</f>
        <v>0.28929445017235028</v>
      </c>
      <c r="L66" s="145"/>
      <c r="M66" s="147"/>
      <c r="N66" s="130"/>
      <c r="O66" s="131"/>
      <c r="P66" s="132"/>
      <c r="Q66" s="132"/>
      <c r="R66" s="132"/>
      <c r="S66" s="132"/>
      <c r="T66" s="132"/>
      <c r="U66" s="132"/>
      <c r="V66" s="132"/>
      <c r="W66" s="132"/>
      <c r="X66" s="132"/>
      <c r="Y66" s="132"/>
      <c r="Z66" s="132"/>
    </row>
    <row r="67" spans="1:26" ht="11.25" customHeight="1" x14ac:dyDescent="0.3">
      <c r="A67" s="132"/>
      <c r="B67" s="132"/>
      <c r="C67" s="132"/>
      <c r="D67" s="132"/>
      <c r="E67" s="132"/>
      <c r="F67" s="132"/>
      <c r="G67" s="132"/>
      <c r="H67" s="132"/>
      <c r="I67" s="150"/>
      <c r="J67" s="151"/>
      <c r="K67" s="152"/>
      <c r="L67" s="151"/>
      <c r="M67" s="153"/>
      <c r="N67" s="130"/>
      <c r="O67" s="131"/>
      <c r="P67" s="132"/>
      <c r="Q67" s="132"/>
      <c r="R67" s="132"/>
      <c r="S67" s="132"/>
      <c r="T67" s="132"/>
      <c r="U67" s="132"/>
      <c r="V67" s="132"/>
      <c r="W67" s="132"/>
      <c r="X67" s="132"/>
      <c r="Y67" s="132"/>
      <c r="Z67" s="132"/>
    </row>
    <row r="68" spans="1:26" ht="11.25" customHeight="1" x14ac:dyDescent="0.3">
      <c r="A68" s="132"/>
      <c r="B68" s="132"/>
      <c r="C68" s="132"/>
      <c r="D68" s="132"/>
      <c r="E68" s="132"/>
      <c r="F68" s="132"/>
      <c r="G68" s="132"/>
      <c r="H68" s="132"/>
      <c r="I68" s="190" t="s">
        <v>215</v>
      </c>
      <c r="J68" s="191">
        <f>J49-J57-J66</f>
        <v>4597.8262888299996</v>
      </c>
      <c r="K68" s="192">
        <f>(J68+J56)/J49</f>
        <v>0.71062613036476241</v>
      </c>
      <c r="L68" s="191">
        <f>J68*24</f>
        <v>110347.83093191999</v>
      </c>
      <c r="M68" s="193">
        <f>L68/12</f>
        <v>9195.6525776599992</v>
      </c>
      <c r="N68" s="185">
        <f>L68</f>
        <v>110347.83093191999</v>
      </c>
      <c r="O68" s="131">
        <f>N68/24</f>
        <v>4597.8262888299996</v>
      </c>
      <c r="P68" s="132"/>
      <c r="Q68" s="132"/>
      <c r="R68" s="132"/>
      <c r="S68" s="132"/>
      <c r="T68" s="132"/>
      <c r="U68" s="132"/>
      <c r="V68" s="132"/>
      <c r="W68" s="132"/>
      <c r="X68" s="132"/>
      <c r="Y68" s="132"/>
      <c r="Z68" s="132"/>
    </row>
    <row r="69" spans="1:26" ht="11.25" customHeight="1" x14ac:dyDescent="0.3">
      <c r="A69" s="132"/>
      <c r="B69" s="132"/>
      <c r="C69" s="132"/>
      <c r="D69" s="132"/>
      <c r="E69" s="132"/>
      <c r="F69" s="132"/>
      <c r="G69" s="132"/>
      <c r="H69" s="132"/>
      <c r="I69" s="132"/>
      <c r="J69" s="132"/>
      <c r="K69" s="132"/>
      <c r="L69" s="132"/>
      <c r="M69" s="132"/>
      <c r="N69" s="132"/>
      <c r="O69" s="132"/>
      <c r="P69" s="132"/>
      <c r="Q69" s="132"/>
      <c r="R69" s="132"/>
      <c r="S69" s="132"/>
      <c r="T69" s="132"/>
      <c r="U69" s="132"/>
      <c r="V69" s="132"/>
      <c r="W69" s="132"/>
      <c r="X69" s="132"/>
      <c r="Y69" s="132"/>
      <c r="Z69" s="132"/>
    </row>
    <row r="70" spans="1:26" ht="11.25" customHeight="1" x14ac:dyDescent="0.3">
      <c r="A70" s="132"/>
      <c r="B70" s="132"/>
      <c r="C70" s="132"/>
      <c r="D70" s="132"/>
      <c r="E70" s="132"/>
      <c r="F70" s="132"/>
      <c r="G70" s="132"/>
      <c r="H70" s="132"/>
      <c r="I70" s="132"/>
      <c r="J70" s="132"/>
      <c r="K70" s="132"/>
      <c r="L70" s="132"/>
      <c r="M70" s="132"/>
      <c r="N70" s="132"/>
      <c r="O70" s="132"/>
      <c r="P70" s="132"/>
      <c r="Q70" s="132"/>
      <c r="R70" s="132"/>
      <c r="S70" s="132"/>
      <c r="T70" s="132"/>
      <c r="U70" s="132"/>
      <c r="V70" s="132"/>
      <c r="W70" s="132"/>
      <c r="X70" s="132"/>
      <c r="Y70" s="132"/>
      <c r="Z70" s="132"/>
    </row>
    <row r="71" spans="1:26" ht="11.25" customHeight="1" x14ac:dyDescent="0.3">
      <c r="A71" s="132"/>
      <c r="B71" s="132"/>
      <c r="C71" s="132"/>
      <c r="D71" s="132"/>
      <c r="E71" s="132"/>
      <c r="F71" s="132"/>
      <c r="G71" s="132"/>
      <c r="H71" s="132"/>
      <c r="I71" s="132"/>
      <c r="J71" s="132"/>
      <c r="K71" s="132"/>
      <c r="L71" s="132"/>
      <c r="M71" s="132"/>
      <c r="N71" s="132"/>
      <c r="O71" s="132"/>
      <c r="P71" s="132"/>
      <c r="Q71" s="132"/>
      <c r="R71" s="132"/>
      <c r="S71" s="132"/>
      <c r="T71" s="132"/>
      <c r="U71" s="132"/>
      <c r="V71" s="132"/>
      <c r="W71" s="132"/>
      <c r="X71" s="132"/>
      <c r="Y71" s="132"/>
      <c r="Z71" s="132"/>
    </row>
    <row r="72" spans="1:26" ht="11.25" customHeight="1" x14ac:dyDescent="0.3">
      <c r="A72" s="132"/>
      <c r="B72" s="132"/>
      <c r="C72" s="132"/>
      <c r="D72" s="132"/>
      <c r="E72" s="132"/>
      <c r="F72" s="132"/>
      <c r="G72" s="132"/>
      <c r="H72" s="132"/>
      <c r="I72" s="132"/>
      <c r="J72" s="132"/>
      <c r="K72" s="132"/>
      <c r="L72" s="132"/>
      <c r="M72" s="132"/>
      <c r="N72" s="132"/>
      <c r="O72" s="132"/>
      <c r="P72" s="132"/>
      <c r="Q72" s="132"/>
      <c r="R72" s="132"/>
      <c r="S72" s="132"/>
      <c r="T72" s="132"/>
      <c r="U72" s="132"/>
      <c r="V72" s="132"/>
      <c r="W72" s="132"/>
      <c r="X72" s="132"/>
      <c r="Y72" s="132"/>
      <c r="Z72" s="132"/>
    </row>
    <row r="73" spans="1:26" ht="11.25" customHeight="1" x14ac:dyDescent="0.3">
      <c r="A73" s="132"/>
      <c r="B73" s="132"/>
      <c r="C73" s="132"/>
      <c r="D73" s="132"/>
      <c r="E73" s="132"/>
      <c r="F73" s="132"/>
      <c r="G73" s="132"/>
      <c r="H73" s="132"/>
      <c r="I73" s="132"/>
      <c r="J73" s="132"/>
      <c r="K73" s="132"/>
      <c r="L73" s="132"/>
      <c r="M73" s="132"/>
      <c r="N73" s="132"/>
      <c r="O73" s="132"/>
      <c r="P73" s="132"/>
      <c r="Q73" s="132"/>
      <c r="R73" s="132"/>
      <c r="S73" s="132"/>
      <c r="T73" s="132"/>
      <c r="U73" s="132"/>
      <c r="V73" s="132"/>
      <c r="W73" s="132"/>
      <c r="X73" s="132"/>
      <c r="Y73" s="132"/>
      <c r="Z73" s="132"/>
    </row>
    <row r="74" spans="1:26" ht="11.25" customHeight="1" x14ac:dyDescent="0.3">
      <c r="A74" s="132"/>
      <c r="B74" s="132"/>
      <c r="C74" s="132"/>
      <c r="D74" s="132"/>
      <c r="E74" s="132"/>
      <c r="F74" s="132"/>
      <c r="G74" s="132"/>
      <c r="H74" s="132"/>
      <c r="I74" s="132"/>
      <c r="J74" s="132"/>
      <c r="K74" s="132"/>
      <c r="L74" s="132"/>
      <c r="M74" s="132"/>
      <c r="N74" s="132"/>
      <c r="O74" s="132"/>
      <c r="P74" s="132"/>
      <c r="Q74" s="132"/>
      <c r="R74" s="132"/>
      <c r="S74" s="132"/>
      <c r="T74" s="132"/>
      <c r="U74" s="132"/>
      <c r="V74" s="132"/>
      <c r="W74" s="132"/>
      <c r="X74" s="132"/>
      <c r="Y74" s="132"/>
      <c r="Z74" s="132"/>
    </row>
    <row r="75" spans="1:26" ht="11.25" customHeight="1" x14ac:dyDescent="0.3">
      <c r="A75" s="132"/>
      <c r="B75" s="132"/>
      <c r="C75" s="132"/>
      <c r="D75" s="132"/>
      <c r="E75" s="132"/>
      <c r="F75" s="132"/>
      <c r="G75" s="132"/>
      <c r="H75" s="132"/>
      <c r="I75" s="132"/>
      <c r="J75" s="132"/>
      <c r="K75" s="132"/>
      <c r="L75" s="132"/>
      <c r="M75" s="132"/>
      <c r="N75" s="132"/>
      <c r="O75" s="132"/>
      <c r="P75" s="132"/>
      <c r="Q75" s="132"/>
      <c r="R75" s="132"/>
      <c r="S75" s="132"/>
      <c r="T75" s="132"/>
      <c r="U75" s="132"/>
      <c r="V75" s="132"/>
      <c r="W75" s="132"/>
      <c r="X75" s="132"/>
      <c r="Y75" s="132"/>
      <c r="Z75" s="132"/>
    </row>
    <row r="76" spans="1:26" ht="11.25" customHeight="1" x14ac:dyDescent="0.3">
      <c r="A76" s="132"/>
      <c r="B76" s="132"/>
      <c r="C76" s="132"/>
      <c r="D76" s="132"/>
      <c r="E76" s="132"/>
      <c r="F76" s="132"/>
      <c r="G76" s="132"/>
      <c r="H76" s="132"/>
      <c r="I76" s="132"/>
      <c r="J76" s="132"/>
      <c r="K76" s="132"/>
      <c r="L76" s="132"/>
      <c r="M76" s="132"/>
      <c r="N76" s="132"/>
      <c r="O76" s="132"/>
      <c r="P76" s="132"/>
      <c r="Q76" s="132"/>
      <c r="R76" s="132"/>
      <c r="S76" s="132"/>
      <c r="T76" s="132"/>
      <c r="U76" s="132"/>
      <c r="V76" s="132"/>
      <c r="W76" s="132"/>
      <c r="X76" s="132"/>
      <c r="Y76" s="132"/>
      <c r="Z76" s="132"/>
    </row>
    <row r="77" spans="1:26" ht="11.25" customHeight="1" x14ac:dyDescent="0.3">
      <c r="A77" s="132"/>
      <c r="B77" s="132"/>
      <c r="C77" s="132"/>
      <c r="D77" s="132"/>
      <c r="E77" s="132"/>
      <c r="F77" s="132"/>
      <c r="G77" s="132"/>
      <c r="H77" s="132"/>
      <c r="I77" s="132"/>
      <c r="J77" s="132"/>
      <c r="K77" s="132"/>
      <c r="L77" s="132"/>
      <c r="M77" s="132"/>
      <c r="N77" s="132"/>
      <c r="O77" s="132"/>
      <c r="P77" s="132"/>
      <c r="Q77" s="132"/>
      <c r="R77" s="132"/>
      <c r="S77" s="132"/>
      <c r="T77" s="132"/>
      <c r="U77" s="132"/>
      <c r="V77" s="132"/>
      <c r="W77" s="132"/>
      <c r="X77" s="132"/>
      <c r="Y77" s="132"/>
      <c r="Z77" s="132"/>
    </row>
    <row r="78" spans="1:26" ht="11.25" customHeight="1" x14ac:dyDescent="0.3">
      <c r="A78" s="132"/>
      <c r="B78" s="132"/>
      <c r="C78" s="132"/>
      <c r="D78" s="132"/>
      <c r="E78" s="132"/>
      <c r="F78" s="132"/>
      <c r="G78" s="132"/>
      <c r="H78" s="132"/>
      <c r="I78" s="132"/>
      <c r="J78" s="132"/>
      <c r="K78" s="132"/>
      <c r="L78" s="132"/>
      <c r="M78" s="132"/>
      <c r="N78" s="132"/>
      <c r="O78" s="132"/>
      <c r="P78" s="132"/>
      <c r="Q78" s="132"/>
      <c r="R78" s="132"/>
      <c r="S78" s="132"/>
      <c r="T78" s="132"/>
      <c r="U78" s="132"/>
      <c r="V78" s="132"/>
      <c r="W78" s="132"/>
      <c r="X78" s="132"/>
      <c r="Y78" s="132"/>
      <c r="Z78" s="132"/>
    </row>
    <row r="79" spans="1:26" ht="11.25" customHeight="1" x14ac:dyDescent="0.3">
      <c r="A79" s="132"/>
      <c r="B79" s="132"/>
      <c r="C79" s="132"/>
      <c r="D79" s="132"/>
      <c r="E79" s="132"/>
      <c r="F79" s="132"/>
      <c r="G79" s="132"/>
      <c r="H79" s="132"/>
      <c r="I79" s="132"/>
      <c r="J79" s="132"/>
      <c r="K79" s="132"/>
      <c r="L79" s="132"/>
      <c r="M79" s="132"/>
      <c r="N79" s="132"/>
      <c r="O79" s="132"/>
      <c r="P79" s="132"/>
      <c r="Q79" s="132"/>
      <c r="R79" s="132"/>
      <c r="S79" s="132"/>
      <c r="T79" s="132"/>
      <c r="U79" s="132"/>
      <c r="V79" s="132"/>
      <c r="W79" s="132"/>
      <c r="X79" s="132"/>
      <c r="Y79" s="132"/>
      <c r="Z79" s="132"/>
    </row>
    <row r="80" spans="1:26" ht="11.25" customHeight="1" x14ac:dyDescent="0.3">
      <c r="A80" s="132"/>
      <c r="B80" s="132"/>
      <c r="C80" s="132"/>
      <c r="D80" s="132"/>
      <c r="E80" s="132"/>
      <c r="F80" s="132"/>
      <c r="G80" s="132"/>
      <c r="H80" s="132"/>
      <c r="I80" s="132"/>
      <c r="J80" s="132"/>
      <c r="K80" s="132"/>
      <c r="L80" s="132"/>
      <c r="M80" s="132"/>
      <c r="N80" s="132"/>
      <c r="O80" s="132"/>
      <c r="P80" s="132"/>
      <c r="Q80" s="132"/>
      <c r="R80" s="132"/>
      <c r="S80" s="132"/>
      <c r="T80" s="132"/>
      <c r="U80" s="132"/>
      <c r="V80" s="132"/>
      <c r="W80" s="132"/>
      <c r="X80" s="132"/>
      <c r="Y80" s="132"/>
      <c r="Z80" s="132"/>
    </row>
    <row r="81" spans="1:26" ht="11.25" customHeight="1" x14ac:dyDescent="0.3">
      <c r="A81" s="132"/>
      <c r="B81" s="132"/>
      <c r="C81" s="132"/>
      <c r="D81" s="132"/>
      <c r="E81" s="132"/>
      <c r="F81" s="132"/>
      <c r="G81" s="132"/>
      <c r="H81" s="132"/>
      <c r="I81" s="132"/>
      <c r="J81" s="132"/>
      <c r="K81" s="132"/>
      <c r="L81" s="132"/>
      <c r="M81" s="132"/>
      <c r="N81" s="132"/>
      <c r="O81" s="132"/>
      <c r="P81" s="132"/>
      <c r="Q81" s="132"/>
      <c r="R81" s="132"/>
      <c r="S81" s="132"/>
      <c r="T81" s="132"/>
      <c r="U81" s="132"/>
      <c r="V81" s="132"/>
      <c r="W81" s="132"/>
      <c r="X81" s="132"/>
      <c r="Y81" s="132"/>
      <c r="Z81" s="132"/>
    </row>
    <row r="82" spans="1:26" ht="11.25" customHeight="1" x14ac:dyDescent="0.3">
      <c r="A82" s="132"/>
      <c r="B82" s="132"/>
      <c r="C82" s="132"/>
      <c r="D82" s="132"/>
      <c r="E82" s="132"/>
      <c r="F82" s="132"/>
      <c r="G82" s="132"/>
      <c r="H82" s="132"/>
      <c r="I82" s="132"/>
      <c r="J82" s="132"/>
      <c r="K82" s="132"/>
      <c r="L82" s="132"/>
      <c r="M82" s="132"/>
      <c r="N82" s="132"/>
      <c r="O82" s="132"/>
      <c r="P82" s="132"/>
      <c r="Q82" s="132"/>
      <c r="R82" s="132"/>
      <c r="S82" s="132"/>
      <c r="T82" s="132"/>
      <c r="U82" s="132"/>
      <c r="V82" s="132"/>
      <c r="W82" s="132"/>
      <c r="X82" s="132"/>
      <c r="Y82" s="132"/>
      <c r="Z82" s="132"/>
    </row>
    <row r="83" spans="1:26" ht="11.25" customHeight="1" x14ac:dyDescent="0.3">
      <c r="A83" s="132"/>
      <c r="B83" s="132"/>
      <c r="C83" s="132"/>
      <c r="D83" s="132"/>
      <c r="E83" s="132"/>
      <c r="F83" s="132"/>
      <c r="G83" s="132"/>
      <c r="H83" s="132"/>
      <c r="I83" s="132"/>
      <c r="J83" s="132"/>
      <c r="K83" s="132"/>
      <c r="L83" s="132"/>
      <c r="M83" s="132"/>
      <c r="N83" s="132"/>
      <c r="O83" s="132"/>
      <c r="P83" s="132"/>
      <c r="Q83" s="132"/>
      <c r="R83" s="132"/>
      <c r="S83" s="132"/>
      <c r="T83" s="132"/>
      <c r="U83" s="132"/>
      <c r="V83" s="132"/>
      <c r="W83" s="132"/>
      <c r="X83" s="132"/>
      <c r="Y83" s="132"/>
      <c r="Z83" s="132"/>
    </row>
    <row r="84" spans="1:26" ht="11.25" customHeight="1" x14ac:dyDescent="0.3">
      <c r="A84" s="132"/>
      <c r="B84" s="132"/>
      <c r="C84" s="132"/>
      <c r="D84" s="132"/>
      <c r="E84" s="132"/>
      <c r="F84" s="132"/>
      <c r="G84" s="132"/>
      <c r="H84" s="132"/>
      <c r="I84" s="132"/>
      <c r="J84" s="132"/>
      <c r="K84" s="132"/>
      <c r="L84" s="132"/>
      <c r="M84" s="132"/>
      <c r="N84" s="132"/>
      <c r="O84" s="132"/>
      <c r="P84" s="132"/>
      <c r="Q84" s="132"/>
      <c r="R84" s="132"/>
      <c r="S84" s="132"/>
      <c r="T84" s="132"/>
      <c r="U84" s="132"/>
      <c r="V84" s="132"/>
      <c r="W84" s="132"/>
      <c r="X84" s="132"/>
      <c r="Y84" s="132"/>
      <c r="Z84" s="132"/>
    </row>
    <row r="85" spans="1:26" ht="11.25" customHeight="1" x14ac:dyDescent="0.3">
      <c r="A85" s="132"/>
      <c r="B85" s="132"/>
      <c r="C85" s="132"/>
      <c r="D85" s="132"/>
      <c r="E85" s="132"/>
      <c r="F85" s="132"/>
      <c r="G85" s="132"/>
      <c r="H85" s="132"/>
      <c r="I85" s="132"/>
      <c r="J85" s="132"/>
      <c r="K85" s="132"/>
      <c r="L85" s="132"/>
      <c r="M85" s="132"/>
      <c r="N85" s="132"/>
      <c r="O85" s="132"/>
      <c r="P85" s="132"/>
      <c r="Q85" s="132"/>
      <c r="R85" s="132"/>
      <c r="S85" s="132"/>
      <c r="T85" s="132"/>
      <c r="U85" s="132"/>
      <c r="V85" s="132"/>
      <c r="W85" s="132"/>
      <c r="X85" s="132"/>
      <c r="Y85" s="132"/>
      <c r="Z85" s="132"/>
    </row>
    <row r="86" spans="1:26" ht="11.25" customHeight="1" x14ac:dyDescent="0.3">
      <c r="A86" s="132"/>
      <c r="B86" s="132"/>
      <c r="C86" s="132"/>
      <c r="D86" s="132"/>
      <c r="E86" s="132"/>
      <c r="F86" s="132"/>
      <c r="G86" s="132"/>
      <c r="H86" s="132"/>
      <c r="I86" s="132"/>
      <c r="J86" s="132"/>
      <c r="K86" s="132"/>
      <c r="L86" s="132"/>
      <c r="M86" s="132"/>
      <c r="N86" s="132"/>
      <c r="O86" s="132"/>
      <c r="P86" s="132"/>
      <c r="Q86" s="132"/>
      <c r="R86" s="132"/>
      <c r="S86" s="132"/>
      <c r="T86" s="132"/>
      <c r="U86" s="132"/>
      <c r="V86" s="132"/>
      <c r="W86" s="132"/>
      <c r="X86" s="132"/>
      <c r="Y86" s="132"/>
      <c r="Z86" s="132"/>
    </row>
    <row r="87" spans="1:26" ht="11.25" customHeight="1" x14ac:dyDescent="0.3">
      <c r="A87" s="132"/>
      <c r="B87" s="132"/>
      <c r="C87" s="132"/>
      <c r="D87" s="132"/>
      <c r="E87" s="132"/>
      <c r="F87" s="132"/>
      <c r="G87" s="132"/>
      <c r="H87" s="132"/>
      <c r="I87" s="132"/>
      <c r="J87" s="132"/>
      <c r="K87" s="132"/>
      <c r="L87" s="132"/>
      <c r="M87" s="132"/>
      <c r="N87" s="132"/>
      <c r="O87" s="132"/>
      <c r="P87" s="132"/>
      <c r="Q87" s="132"/>
      <c r="R87" s="132"/>
      <c r="S87" s="132"/>
      <c r="T87" s="132"/>
      <c r="U87" s="132"/>
      <c r="V87" s="132"/>
      <c r="W87" s="132"/>
      <c r="X87" s="132"/>
      <c r="Y87" s="132"/>
      <c r="Z87" s="132"/>
    </row>
    <row r="88" spans="1:26" ht="11.25" customHeight="1" x14ac:dyDescent="0.3">
      <c r="A88" s="132"/>
      <c r="B88" s="132"/>
      <c r="C88" s="132"/>
      <c r="D88" s="132"/>
      <c r="E88" s="132"/>
      <c r="F88" s="132"/>
      <c r="G88" s="132"/>
      <c r="H88" s="132"/>
      <c r="I88" s="132"/>
      <c r="J88" s="132"/>
      <c r="K88" s="132"/>
      <c r="L88" s="132"/>
      <c r="M88" s="132"/>
      <c r="N88" s="132"/>
      <c r="O88" s="132"/>
      <c r="P88" s="132"/>
      <c r="Q88" s="132"/>
      <c r="R88" s="132"/>
      <c r="S88" s="132"/>
      <c r="T88" s="132"/>
      <c r="U88" s="132"/>
      <c r="V88" s="132"/>
      <c r="W88" s="132"/>
      <c r="X88" s="132"/>
      <c r="Y88" s="132"/>
      <c r="Z88" s="132"/>
    </row>
    <row r="89" spans="1:26" ht="11.25" customHeight="1" x14ac:dyDescent="0.3">
      <c r="A89" s="132"/>
      <c r="B89" s="132"/>
      <c r="C89" s="132"/>
      <c r="D89" s="132"/>
      <c r="E89" s="132"/>
      <c r="F89" s="132"/>
      <c r="G89" s="132"/>
      <c r="H89" s="132"/>
      <c r="I89" s="132"/>
      <c r="J89" s="132"/>
      <c r="K89" s="132"/>
      <c r="L89" s="132"/>
      <c r="M89" s="132"/>
      <c r="N89" s="132"/>
      <c r="O89" s="132"/>
      <c r="P89" s="132"/>
      <c r="Q89" s="132"/>
      <c r="R89" s="132"/>
      <c r="S89" s="132"/>
      <c r="T89" s="132"/>
      <c r="U89" s="132"/>
      <c r="V89" s="132"/>
      <c r="W89" s="132"/>
      <c r="X89" s="132"/>
      <c r="Y89" s="132"/>
      <c r="Z89" s="132"/>
    </row>
    <row r="90" spans="1:26" ht="11.25" customHeight="1" x14ac:dyDescent="0.3">
      <c r="A90" s="132"/>
      <c r="B90" s="132"/>
      <c r="C90" s="132"/>
      <c r="D90" s="132"/>
      <c r="E90" s="132"/>
      <c r="F90" s="132"/>
      <c r="G90" s="132"/>
      <c r="H90" s="132"/>
      <c r="I90" s="132"/>
      <c r="J90" s="132"/>
      <c r="K90" s="132"/>
      <c r="L90" s="132"/>
      <c r="M90" s="132"/>
      <c r="N90" s="132"/>
      <c r="O90" s="132"/>
      <c r="P90" s="132"/>
      <c r="Q90" s="132"/>
      <c r="R90" s="132"/>
      <c r="S90" s="132"/>
      <c r="T90" s="132"/>
      <c r="U90" s="132"/>
      <c r="V90" s="132"/>
      <c r="W90" s="132"/>
      <c r="X90" s="132"/>
      <c r="Y90" s="132"/>
      <c r="Z90" s="132"/>
    </row>
    <row r="91" spans="1:26" ht="11.25" customHeight="1" x14ac:dyDescent="0.3">
      <c r="A91" s="132"/>
      <c r="B91" s="132"/>
      <c r="C91" s="132"/>
      <c r="D91" s="132"/>
      <c r="E91" s="132"/>
      <c r="F91" s="132"/>
      <c r="G91" s="132"/>
      <c r="H91" s="132"/>
      <c r="I91" s="132"/>
      <c r="J91" s="132"/>
      <c r="K91" s="132"/>
      <c r="L91" s="132"/>
      <c r="M91" s="132"/>
      <c r="N91" s="132"/>
      <c r="O91" s="132"/>
      <c r="P91" s="132"/>
      <c r="Q91" s="132"/>
      <c r="R91" s="132"/>
      <c r="S91" s="132"/>
      <c r="T91" s="132"/>
      <c r="U91" s="132"/>
      <c r="V91" s="132"/>
      <c r="W91" s="132"/>
      <c r="X91" s="132"/>
      <c r="Y91" s="132"/>
      <c r="Z91" s="132"/>
    </row>
    <row r="92" spans="1:26" ht="11.25" customHeight="1" x14ac:dyDescent="0.3">
      <c r="A92" s="132"/>
      <c r="B92" s="132"/>
      <c r="C92" s="132"/>
      <c r="D92" s="132"/>
      <c r="E92" s="132"/>
      <c r="F92" s="132"/>
      <c r="G92" s="132"/>
      <c r="H92" s="132"/>
      <c r="I92" s="132"/>
      <c r="J92" s="132"/>
      <c r="K92" s="132"/>
      <c r="L92" s="132"/>
      <c r="M92" s="132"/>
      <c r="N92" s="132"/>
      <c r="O92" s="132"/>
      <c r="P92" s="132"/>
      <c r="Q92" s="132"/>
      <c r="R92" s="132"/>
      <c r="S92" s="132"/>
      <c r="T92" s="132"/>
      <c r="U92" s="132"/>
      <c r="V92" s="132"/>
      <c r="W92" s="132"/>
      <c r="X92" s="132"/>
      <c r="Y92" s="132"/>
      <c r="Z92" s="132"/>
    </row>
    <row r="93" spans="1:26" ht="11.25" customHeight="1" x14ac:dyDescent="0.3">
      <c r="A93" s="132"/>
      <c r="B93" s="132"/>
      <c r="C93" s="132"/>
      <c r="D93" s="132"/>
      <c r="E93" s="132"/>
      <c r="F93" s="132"/>
      <c r="G93" s="132"/>
      <c r="H93" s="132"/>
      <c r="I93" s="132"/>
      <c r="J93" s="132"/>
      <c r="K93" s="132"/>
      <c r="L93" s="132"/>
      <c r="M93" s="132"/>
      <c r="N93" s="132"/>
      <c r="O93" s="132"/>
      <c r="P93" s="132"/>
      <c r="Q93" s="132"/>
      <c r="R93" s="132"/>
      <c r="S93" s="132"/>
      <c r="T93" s="132"/>
      <c r="U93" s="132"/>
      <c r="V93" s="132"/>
      <c r="W93" s="132"/>
      <c r="X93" s="132"/>
      <c r="Y93" s="132"/>
      <c r="Z93" s="132"/>
    </row>
    <row r="94" spans="1:26" ht="11.25" customHeight="1" x14ac:dyDescent="0.3">
      <c r="A94" s="132"/>
      <c r="B94" s="132"/>
      <c r="C94" s="132"/>
      <c r="D94" s="132"/>
      <c r="E94" s="132"/>
      <c r="F94" s="132"/>
      <c r="G94" s="132"/>
      <c r="H94" s="132"/>
      <c r="I94" s="132"/>
      <c r="J94" s="132"/>
      <c r="K94" s="132"/>
      <c r="L94" s="132"/>
      <c r="M94" s="132"/>
      <c r="N94" s="132"/>
      <c r="O94" s="132"/>
      <c r="P94" s="132"/>
      <c r="Q94" s="132"/>
      <c r="R94" s="132"/>
      <c r="S94" s="132"/>
      <c r="T94" s="132"/>
      <c r="U94" s="132"/>
      <c r="V94" s="132"/>
      <c r="W94" s="132"/>
      <c r="X94" s="132"/>
      <c r="Y94" s="132"/>
      <c r="Z94" s="132"/>
    </row>
    <row r="95" spans="1:26" ht="11.25" customHeight="1" x14ac:dyDescent="0.3">
      <c r="A95" s="132"/>
      <c r="B95" s="132"/>
      <c r="C95" s="132"/>
      <c r="D95" s="132"/>
      <c r="E95" s="132"/>
      <c r="F95" s="132"/>
      <c r="G95" s="132"/>
      <c r="H95" s="132"/>
      <c r="I95" s="132"/>
      <c r="J95" s="132"/>
      <c r="K95" s="132"/>
      <c r="L95" s="132"/>
      <c r="M95" s="132"/>
      <c r="N95" s="132"/>
      <c r="O95" s="132"/>
      <c r="P95" s="132"/>
      <c r="Q95" s="132"/>
      <c r="R95" s="132"/>
      <c r="S95" s="132"/>
      <c r="T95" s="132"/>
      <c r="U95" s="132"/>
      <c r="V95" s="132"/>
      <c r="W95" s="132"/>
      <c r="X95" s="132"/>
      <c r="Y95" s="132"/>
      <c r="Z95" s="132"/>
    </row>
    <row r="96" spans="1:26" ht="11.25" customHeight="1" x14ac:dyDescent="0.3">
      <c r="A96" s="132"/>
      <c r="B96" s="132"/>
      <c r="C96" s="132"/>
      <c r="D96" s="132"/>
      <c r="E96" s="132"/>
      <c r="F96" s="132"/>
      <c r="G96" s="132"/>
      <c r="H96" s="132"/>
      <c r="I96" s="132"/>
      <c r="J96" s="132"/>
      <c r="K96" s="132"/>
      <c r="L96" s="132"/>
      <c r="M96" s="132"/>
      <c r="N96" s="132"/>
      <c r="O96" s="132"/>
      <c r="P96" s="132"/>
      <c r="Q96" s="132"/>
      <c r="R96" s="132"/>
      <c r="S96" s="132"/>
      <c r="T96" s="132"/>
      <c r="U96" s="132"/>
      <c r="V96" s="132"/>
      <c r="W96" s="132"/>
      <c r="X96" s="132"/>
      <c r="Y96" s="132"/>
      <c r="Z96" s="132"/>
    </row>
    <row r="97" spans="1:26" ht="11.25" customHeight="1" x14ac:dyDescent="0.3">
      <c r="A97" s="132"/>
      <c r="B97" s="132"/>
      <c r="C97" s="132"/>
      <c r="D97" s="132"/>
      <c r="E97" s="132"/>
      <c r="F97" s="132"/>
      <c r="G97" s="132"/>
      <c r="H97" s="132"/>
      <c r="I97" s="132"/>
      <c r="J97" s="132"/>
      <c r="K97" s="132"/>
      <c r="L97" s="132"/>
      <c r="M97" s="132"/>
      <c r="N97" s="132"/>
      <c r="O97" s="132"/>
      <c r="P97" s="132"/>
      <c r="Q97" s="132"/>
      <c r="R97" s="132"/>
      <c r="S97" s="132"/>
      <c r="T97" s="132"/>
      <c r="U97" s="132"/>
      <c r="V97" s="132"/>
      <c r="W97" s="132"/>
      <c r="X97" s="132"/>
      <c r="Y97" s="132"/>
      <c r="Z97" s="132"/>
    </row>
    <row r="98" spans="1:26" ht="11.25" customHeight="1" x14ac:dyDescent="0.3">
      <c r="A98" s="132"/>
      <c r="B98" s="132"/>
      <c r="C98" s="132"/>
      <c r="D98" s="132"/>
      <c r="E98" s="132"/>
      <c r="F98" s="132"/>
      <c r="G98" s="132"/>
      <c r="H98" s="132"/>
      <c r="I98" s="132"/>
      <c r="J98" s="132"/>
      <c r="K98" s="132"/>
      <c r="L98" s="132"/>
      <c r="M98" s="132"/>
      <c r="N98" s="132"/>
      <c r="O98" s="132"/>
      <c r="P98" s="132"/>
      <c r="Q98" s="132"/>
      <c r="R98" s="132"/>
      <c r="S98" s="132"/>
      <c r="T98" s="132"/>
      <c r="U98" s="132"/>
      <c r="V98" s="132"/>
      <c r="W98" s="132"/>
      <c r="X98" s="132"/>
      <c r="Y98" s="132"/>
      <c r="Z98" s="132"/>
    </row>
    <row r="99" spans="1:26" ht="11.25" customHeight="1" x14ac:dyDescent="0.3">
      <c r="A99" s="132"/>
      <c r="B99" s="132"/>
      <c r="C99" s="132"/>
      <c r="D99" s="132"/>
      <c r="E99" s="132"/>
      <c r="F99" s="132"/>
      <c r="G99" s="132"/>
      <c r="H99" s="132"/>
      <c r="I99" s="132"/>
      <c r="J99" s="132"/>
      <c r="K99" s="132"/>
      <c r="L99" s="132"/>
      <c r="M99" s="132"/>
      <c r="N99" s="132"/>
      <c r="O99" s="132"/>
      <c r="P99" s="132"/>
      <c r="Q99" s="132"/>
      <c r="R99" s="132"/>
      <c r="S99" s="132"/>
      <c r="T99" s="132"/>
      <c r="U99" s="132"/>
      <c r="V99" s="132"/>
      <c r="W99" s="132"/>
      <c r="X99" s="132"/>
      <c r="Y99" s="132"/>
      <c r="Z99" s="132"/>
    </row>
    <row r="100" spans="1:26" ht="11.25" customHeight="1" x14ac:dyDescent="0.3">
      <c r="A100" s="132"/>
      <c r="B100" s="132"/>
      <c r="C100" s="132"/>
      <c r="D100" s="132"/>
      <c r="E100" s="132"/>
      <c r="F100" s="132"/>
      <c r="G100" s="132"/>
      <c r="H100" s="132"/>
      <c r="I100" s="132"/>
      <c r="J100" s="132"/>
      <c r="K100" s="132"/>
      <c r="L100" s="132"/>
      <c r="M100" s="132"/>
      <c r="N100" s="132"/>
      <c r="O100" s="132"/>
      <c r="P100" s="132"/>
      <c r="Q100" s="132"/>
      <c r="R100" s="132"/>
      <c r="S100" s="132"/>
      <c r="T100" s="132"/>
      <c r="U100" s="132"/>
      <c r="V100" s="132"/>
      <c r="W100" s="132"/>
      <c r="X100" s="132"/>
      <c r="Y100" s="132"/>
      <c r="Z100" s="132"/>
    </row>
    <row r="101" spans="1:26" ht="11.25" customHeight="1" x14ac:dyDescent="0.3">
      <c r="A101" s="132"/>
      <c r="B101" s="132"/>
      <c r="C101" s="132"/>
      <c r="D101" s="132"/>
      <c r="E101" s="132"/>
      <c r="F101" s="132"/>
      <c r="G101" s="132"/>
      <c r="H101" s="132"/>
      <c r="I101" s="132"/>
      <c r="J101" s="132"/>
      <c r="K101" s="132"/>
      <c r="L101" s="132"/>
      <c r="M101" s="132"/>
      <c r="N101" s="132"/>
      <c r="O101" s="132"/>
      <c r="P101" s="132"/>
      <c r="Q101" s="132"/>
      <c r="R101" s="132"/>
      <c r="S101" s="132"/>
      <c r="T101" s="132"/>
      <c r="U101" s="132"/>
      <c r="V101" s="132"/>
      <c r="W101" s="132"/>
      <c r="X101" s="132"/>
      <c r="Y101" s="132"/>
      <c r="Z101" s="132"/>
    </row>
    <row r="102" spans="1:26" ht="11.25" customHeight="1" x14ac:dyDescent="0.3">
      <c r="A102" s="132"/>
      <c r="B102" s="132"/>
      <c r="C102" s="132"/>
      <c r="D102" s="132"/>
      <c r="E102" s="132"/>
      <c r="F102" s="132"/>
      <c r="G102" s="132"/>
      <c r="H102" s="132"/>
      <c r="I102" s="132"/>
      <c r="J102" s="132"/>
      <c r="K102" s="132"/>
      <c r="L102" s="132"/>
      <c r="M102" s="132"/>
      <c r="N102" s="132"/>
      <c r="O102" s="132"/>
      <c r="P102" s="132"/>
      <c r="Q102" s="132"/>
      <c r="R102" s="132"/>
      <c r="S102" s="132"/>
      <c r="T102" s="132"/>
      <c r="U102" s="132"/>
      <c r="V102" s="132"/>
      <c r="W102" s="132"/>
      <c r="X102" s="132"/>
      <c r="Y102" s="132"/>
      <c r="Z102" s="132"/>
    </row>
    <row r="103" spans="1:26" ht="11.25" customHeight="1" x14ac:dyDescent="0.3">
      <c r="A103" s="132"/>
      <c r="B103" s="132"/>
      <c r="C103" s="132"/>
      <c r="D103" s="132"/>
      <c r="E103" s="132"/>
      <c r="F103" s="132"/>
      <c r="G103" s="132"/>
      <c r="H103" s="132"/>
      <c r="I103" s="132"/>
      <c r="J103" s="132"/>
      <c r="K103" s="132"/>
      <c r="L103" s="132"/>
      <c r="M103" s="132"/>
      <c r="N103" s="132"/>
      <c r="O103" s="132"/>
      <c r="P103" s="132"/>
      <c r="Q103" s="132"/>
      <c r="R103" s="132"/>
      <c r="S103" s="132"/>
      <c r="T103" s="132"/>
      <c r="U103" s="132"/>
      <c r="V103" s="132"/>
      <c r="W103" s="132"/>
      <c r="X103" s="132"/>
      <c r="Y103" s="132"/>
      <c r="Z103" s="132"/>
    </row>
    <row r="104" spans="1:26" ht="11.25" customHeight="1" x14ac:dyDescent="0.3">
      <c r="A104" s="132"/>
      <c r="B104" s="132"/>
      <c r="C104" s="132"/>
      <c r="D104" s="132"/>
      <c r="E104" s="132"/>
      <c r="F104" s="132"/>
      <c r="G104" s="132"/>
      <c r="H104" s="132"/>
      <c r="I104" s="132"/>
      <c r="J104" s="132"/>
      <c r="K104" s="132"/>
      <c r="L104" s="132"/>
      <c r="M104" s="132"/>
      <c r="N104" s="132"/>
      <c r="O104" s="132"/>
      <c r="P104" s="132"/>
      <c r="Q104" s="132"/>
      <c r="R104" s="132"/>
      <c r="S104" s="132"/>
      <c r="T104" s="132"/>
      <c r="U104" s="132"/>
      <c r="V104" s="132"/>
      <c r="W104" s="132"/>
      <c r="X104" s="132"/>
      <c r="Y104" s="132"/>
      <c r="Z104" s="132"/>
    </row>
    <row r="105" spans="1:26" ht="11.25" customHeight="1" x14ac:dyDescent="0.3">
      <c r="A105" s="132"/>
      <c r="B105" s="132"/>
      <c r="C105" s="132"/>
      <c r="D105" s="132"/>
      <c r="E105" s="132"/>
      <c r="F105" s="132"/>
      <c r="G105" s="132"/>
      <c r="H105" s="132"/>
      <c r="I105" s="132"/>
      <c r="J105" s="132"/>
      <c r="K105" s="132"/>
      <c r="L105" s="132"/>
      <c r="M105" s="132"/>
      <c r="N105" s="132"/>
      <c r="O105" s="132"/>
      <c r="P105" s="132"/>
      <c r="Q105" s="132"/>
      <c r="R105" s="132"/>
      <c r="S105" s="132"/>
      <c r="T105" s="132"/>
      <c r="U105" s="132"/>
      <c r="V105" s="132"/>
      <c r="W105" s="132"/>
      <c r="X105" s="132"/>
      <c r="Y105" s="132"/>
      <c r="Z105" s="132"/>
    </row>
    <row r="106" spans="1:26" ht="11.25" customHeight="1" x14ac:dyDescent="0.3">
      <c r="A106" s="132"/>
      <c r="B106" s="132"/>
      <c r="C106" s="132"/>
      <c r="D106" s="132"/>
      <c r="E106" s="132"/>
      <c r="F106" s="132"/>
      <c r="G106" s="132"/>
      <c r="H106" s="132"/>
      <c r="I106" s="132"/>
      <c r="J106" s="132"/>
      <c r="K106" s="132"/>
      <c r="L106" s="132"/>
      <c r="M106" s="132"/>
      <c r="N106" s="132"/>
      <c r="O106" s="132"/>
      <c r="P106" s="132"/>
      <c r="Q106" s="132"/>
      <c r="R106" s="132"/>
      <c r="S106" s="132"/>
      <c r="T106" s="132"/>
      <c r="U106" s="132"/>
      <c r="V106" s="132"/>
      <c r="W106" s="132"/>
      <c r="X106" s="132"/>
      <c r="Y106" s="132"/>
      <c r="Z106" s="132"/>
    </row>
    <row r="107" spans="1:26" ht="11.25" customHeight="1" x14ac:dyDescent="0.3">
      <c r="A107" s="132"/>
      <c r="B107" s="132"/>
      <c r="C107" s="132"/>
      <c r="D107" s="132"/>
      <c r="E107" s="132"/>
      <c r="F107" s="132"/>
      <c r="G107" s="132"/>
      <c r="H107" s="132"/>
      <c r="I107" s="132"/>
      <c r="J107" s="132"/>
      <c r="K107" s="132"/>
      <c r="L107" s="132"/>
      <c r="M107" s="132"/>
      <c r="N107" s="132"/>
      <c r="O107" s="132"/>
      <c r="P107" s="132"/>
      <c r="Q107" s="132"/>
      <c r="R107" s="132"/>
      <c r="S107" s="132"/>
      <c r="T107" s="132"/>
      <c r="U107" s="132"/>
      <c r="V107" s="132"/>
      <c r="W107" s="132"/>
      <c r="X107" s="132"/>
      <c r="Y107" s="132"/>
      <c r="Z107" s="132"/>
    </row>
    <row r="108" spans="1:26" ht="11.25" customHeight="1" x14ac:dyDescent="0.3">
      <c r="A108" s="132"/>
      <c r="B108" s="132"/>
      <c r="C108" s="132"/>
      <c r="D108" s="132"/>
      <c r="E108" s="132"/>
      <c r="F108" s="132"/>
      <c r="G108" s="132"/>
      <c r="H108" s="132"/>
      <c r="I108" s="132"/>
      <c r="J108" s="132"/>
      <c r="K108" s="132"/>
      <c r="L108" s="132"/>
      <c r="M108" s="132"/>
      <c r="N108" s="132"/>
      <c r="O108" s="132"/>
      <c r="P108" s="132"/>
      <c r="Q108" s="132"/>
      <c r="R108" s="132"/>
      <c r="S108" s="132"/>
      <c r="T108" s="132"/>
      <c r="U108" s="132"/>
      <c r="V108" s="132"/>
      <c r="W108" s="132"/>
      <c r="X108" s="132"/>
      <c r="Y108" s="132"/>
      <c r="Z108" s="132"/>
    </row>
    <row r="109" spans="1:26" ht="11.25" customHeight="1" x14ac:dyDescent="0.3">
      <c r="A109" s="132"/>
      <c r="B109" s="132"/>
      <c r="C109" s="132"/>
      <c r="D109" s="132"/>
      <c r="E109" s="132"/>
      <c r="F109" s="132"/>
      <c r="G109" s="132"/>
      <c r="H109" s="132"/>
      <c r="I109" s="132"/>
      <c r="J109" s="132"/>
      <c r="K109" s="132"/>
      <c r="L109" s="132"/>
      <c r="M109" s="132"/>
      <c r="N109" s="132"/>
      <c r="O109" s="132"/>
      <c r="P109" s="132"/>
      <c r="Q109" s="132"/>
      <c r="R109" s="132"/>
      <c r="S109" s="132"/>
      <c r="T109" s="132"/>
      <c r="U109" s="132"/>
      <c r="V109" s="132"/>
      <c r="W109" s="132"/>
      <c r="X109" s="132"/>
      <c r="Y109" s="132"/>
      <c r="Z109" s="132"/>
    </row>
    <row r="110" spans="1:26" ht="11.25" customHeight="1" x14ac:dyDescent="0.3">
      <c r="A110" s="132"/>
      <c r="B110" s="132"/>
      <c r="C110" s="132"/>
      <c r="D110" s="132"/>
      <c r="E110" s="132"/>
      <c r="F110" s="132"/>
      <c r="G110" s="132"/>
      <c r="H110" s="132"/>
      <c r="I110" s="132"/>
      <c r="J110" s="132"/>
      <c r="K110" s="132"/>
      <c r="L110" s="132"/>
      <c r="M110" s="132"/>
      <c r="N110" s="132"/>
      <c r="O110" s="132"/>
      <c r="P110" s="132"/>
      <c r="Q110" s="132"/>
      <c r="R110" s="132"/>
      <c r="S110" s="132"/>
      <c r="T110" s="132"/>
      <c r="U110" s="132"/>
      <c r="V110" s="132"/>
      <c r="W110" s="132"/>
      <c r="X110" s="132"/>
      <c r="Y110" s="132"/>
      <c r="Z110" s="132"/>
    </row>
    <row r="111" spans="1:26" ht="11.25" customHeight="1" x14ac:dyDescent="0.3">
      <c r="A111" s="132"/>
      <c r="B111" s="132"/>
      <c r="C111" s="132"/>
      <c r="D111" s="132"/>
      <c r="E111" s="132"/>
      <c r="F111" s="132"/>
      <c r="G111" s="132"/>
      <c r="H111" s="132"/>
      <c r="I111" s="132"/>
      <c r="J111" s="132"/>
      <c r="K111" s="132"/>
      <c r="L111" s="132"/>
      <c r="M111" s="132"/>
      <c r="N111" s="132"/>
      <c r="O111" s="132"/>
      <c r="P111" s="132"/>
      <c r="Q111" s="132"/>
      <c r="R111" s="132"/>
      <c r="S111" s="132"/>
      <c r="T111" s="132"/>
      <c r="U111" s="132"/>
      <c r="V111" s="132"/>
      <c r="W111" s="132"/>
      <c r="X111" s="132"/>
      <c r="Y111" s="132"/>
      <c r="Z111" s="132"/>
    </row>
    <row r="112" spans="1:26" ht="11.25" customHeight="1" x14ac:dyDescent="0.3">
      <c r="A112" s="132"/>
      <c r="B112" s="132"/>
      <c r="C112" s="132"/>
      <c r="D112" s="132"/>
      <c r="E112" s="132"/>
      <c r="F112" s="132"/>
      <c r="G112" s="132"/>
      <c r="H112" s="132"/>
      <c r="I112" s="132"/>
      <c r="J112" s="132"/>
      <c r="K112" s="132"/>
      <c r="L112" s="132"/>
      <c r="M112" s="132"/>
      <c r="N112" s="132"/>
      <c r="O112" s="132"/>
      <c r="P112" s="132"/>
      <c r="Q112" s="132"/>
      <c r="R112" s="132"/>
      <c r="S112" s="132"/>
      <c r="T112" s="132"/>
      <c r="U112" s="132"/>
      <c r="V112" s="132"/>
      <c r="W112" s="132"/>
      <c r="X112" s="132"/>
      <c r="Y112" s="132"/>
      <c r="Z112" s="132"/>
    </row>
    <row r="113" spans="1:26" ht="11.25" customHeight="1" x14ac:dyDescent="0.3">
      <c r="A113" s="132"/>
      <c r="B113" s="132"/>
      <c r="C113" s="132"/>
      <c r="D113" s="132"/>
      <c r="E113" s="132"/>
      <c r="F113" s="132"/>
      <c r="G113" s="132"/>
      <c r="H113" s="132"/>
      <c r="I113" s="132"/>
      <c r="J113" s="132"/>
      <c r="K113" s="132"/>
      <c r="L113" s="132"/>
      <c r="M113" s="132"/>
      <c r="N113" s="132"/>
      <c r="O113" s="132"/>
      <c r="P113" s="132"/>
      <c r="Q113" s="132"/>
      <c r="R113" s="132"/>
      <c r="S113" s="132"/>
      <c r="T113" s="132"/>
      <c r="U113" s="132"/>
      <c r="V113" s="132"/>
      <c r="W113" s="132"/>
      <c r="X113" s="132"/>
      <c r="Y113" s="132"/>
      <c r="Z113" s="132"/>
    </row>
    <row r="114" spans="1:26" ht="11.25" customHeight="1" x14ac:dyDescent="0.3">
      <c r="A114" s="132"/>
      <c r="B114" s="132"/>
      <c r="C114" s="132"/>
      <c r="D114" s="132"/>
      <c r="E114" s="132"/>
      <c r="F114" s="132"/>
      <c r="G114" s="132"/>
      <c r="H114" s="132"/>
      <c r="I114" s="132"/>
      <c r="J114" s="132"/>
      <c r="K114" s="132"/>
      <c r="L114" s="132"/>
      <c r="M114" s="132"/>
      <c r="N114" s="132"/>
      <c r="O114" s="132"/>
      <c r="P114" s="132"/>
      <c r="Q114" s="132"/>
      <c r="R114" s="132"/>
      <c r="S114" s="132"/>
      <c r="T114" s="132"/>
      <c r="U114" s="132"/>
      <c r="V114" s="132"/>
      <c r="W114" s="132"/>
      <c r="X114" s="132"/>
      <c r="Y114" s="132"/>
      <c r="Z114" s="132"/>
    </row>
    <row r="115" spans="1:26" ht="11.25" customHeight="1" x14ac:dyDescent="0.3">
      <c r="A115" s="132"/>
      <c r="B115" s="132"/>
      <c r="C115" s="132"/>
      <c r="D115" s="132"/>
      <c r="E115" s="132"/>
      <c r="F115" s="132"/>
      <c r="G115" s="132"/>
      <c r="H115" s="132"/>
      <c r="I115" s="132"/>
      <c r="J115" s="132"/>
      <c r="K115" s="132"/>
      <c r="L115" s="132"/>
      <c r="M115" s="132"/>
      <c r="N115" s="132"/>
      <c r="O115" s="132"/>
      <c r="P115" s="132"/>
      <c r="Q115" s="132"/>
      <c r="R115" s="132"/>
      <c r="S115" s="132"/>
      <c r="T115" s="132"/>
      <c r="U115" s="132"/>
      <c r="V115" s="132"/>
      <c r="W115" s="132"/>
      <c r="X115" s="132"/>
      <c r="Y115" s="132"/>
      <c r="Z115" s="132"/>
    </row>
    <row r="116" spans="1:26" ht="11.25" customHeight="1" x14ac:dyDescent="0.3">
      <c r="A116" s="132"/>
      <c r="B116" s="132"/>
      <c r="C116" s="132"/>
      <c r="D116" s="132"/>
      <c r="E116" s="132"/>
      <c r="F116" s="132"/>
      <c r="G116" s="132"/>
      <c r="H116" s="132"/>
      <c r="I116" s="132"/>
      <c r="J116" s="132"/>
      <c r="K116" s="132"/>
      <c r="L116" s="132"/>
      <c r="M116" s="132"/>
      <c r="N116" s="132"/>
      <c r="O116" s="132"/>
      <c r="P116" s="132"/>
      <c r="Q116" s="132"/>
      <c r="R116" s="132"/>
      <c r="S116" s="132"/>
      <c r="T116" s="132"/>
      <c r="U116" s="132"/>
      <c r="V116" s="132"/>
      <c r="W116" s="132"/>
      <c r="X116" s="132"/>
      <c r="Y116" s="132"/>
      <c r="Z116" s="132"/>
    </row>
    <row r="117" spans="1:26" ht="11.25" customHeight="1" x14ac:dyDescent="0.3">
      <c r="A117" s="132"/>
      <c r="B117" s="132"/>
      <c r="C117" s="132"/>
      <c r="D117" s="132"/>
      <c r="E117" s="132"/>
      <c r="F117" s="132"/>
      <c r="G117" s="132"/>
      <c r="H117" s="132"/>
      <c r="I117" s="132"/>
      <c r="J117" s="132"/>
      <c r="K117" s="132"/>
      <c r="L117" s="132"/>
      <c r="M117" s="132"/>
      <c r="N117" s="132"/>
      <c r="O117" s="132"/>
      <c r="P117" s="132"/>
      <c r="Q117" s="132"/>
      <c r="R117" s="132"/>
      <c r="S117" s="132"/>
      <c r="T117" s="132"/>
      <c r="U117" s="132"/>
      <c r="V117" s="132"/>
      <c r="W117" s="132"/>
      <c r="X117" s="132"/>
      <c r="Y117" s="132"/>
      <c r="Z117" s="132"/>
    </row>
    <row r="118" spans="1:26" ht="11.25" customHeight="1" x14ac:dyDescent="0.3">
      <c r="A118" s="132"/>
      <c r="B118" s="132"/>
      <c r="C118" s="132"/>
      <c r="D118" s="132"/>
      <c r="E118" s="132"/>
      <c r="F118" s="132"/>
      <c r="G118" s="132"/>
      <c r="H118" s="132"/>
      <c r="I118" s="132"/>
      <c r="J118" s="132"/>
      <c r="K118" s="132"/>
      <c r="L118" s="132"/>
      <c r="M118" s="132"/>
      <c r="N118" s="132"/>
      <c r="O118" s="132"/>
      <c r="P118" s="132"/>
      <c r="Q118" s="132"/>
      <c r="R118" s="132"/>
      <c r="S118" s="132"/>
      <c r="T118" s="132"/>
      <c r="U118" s="132"/>
      <c r="V118" s="132"/>
      <c r="W118" s="132"/>
      <c r="X118" s="132"/>
      <c r="Y118" s="132"/>
      <c r="Z118" s="132"/>
    </row>
    <row r="119" spans="1:26" ht="11.25" customHeight="1" x14ac:dyDescent="0.3">
      <c r="A119" s="132"/>
      <c r="B119" s="132"/>
      <c r="C119" s="132"/>
      <c r="D119" s="132"/>
      <c r="E119" s="132"/>
      <c r="F119" s="132"/>
      <c r="G119" s="132"/>
      <c r="H119" s="132"/>
      <c r="I119" s="132"/>
      <c r="J119" s="132"/>
      <c r="K119" s="132"/>
      <c r="L119" s="132"/>
      <c r="M119" s="132"/>
      <c r="N119" s="132"/>
      <c r="O119" s="132"/>
      <c r="P119" s="132"/>
      <c r="Q119" s="132"/>
      <c r="R119" s="132"/>
      <c r="S119" s="132"/>
      <c r="T119" s="132"/>
      <c r="U119" s="132"/>
      <c r="V119" s="132"/>
      <c r="W119" s="132"/>
      <c r="X119" s="132"/>
      <c r="Y119" s="132"/>
      <c r="Z119" s="132"/>
    </row>
    <row r="120" spans="1:26" ht="11.25" customHeight="1" x14ac:dyDescent="0.3">
      <c r="A120" s="132"/>
      <c r="B120" s="132"/>
      <c r="C120" s="132"/>
      <c r="D120" s="132"/>
      <c r="E120" s="132"/>
      <c r="F120" s="132"/>
      <c r="G120" s="132"/>
      <c r="H120" s="132"/>
      <c r="I120" s="132"/>
      <c r="J120" s="132"/>
      <c r="K120" s="132"/>
      <c r="L120" s="132"/>
      <c r="M120" s="132"/>
      <c r="N120" s="132"/>
      <c r="O120" s="132"/>
      <c r="P120" s="132"/>
      <c r="Q120" s="132"/>
      <c r="R120" s="132"/>
      <c r="S120" s="132"/>
      <c r="T120" s="132"/>
      <c r="U120" s="132"/>
      <c r="V120" s="132"/>
      <c r="W120" s="132"/>
      <c r="X120" s="132"/>
      <c r="Y120" s="132"/>
      <c r="Z120" s="132"/>
    </row>
    <row r="121" spans="1:26" ht="11.25" customHeight="1" x14ac:dyDescent="0.3">
      <c r="A121" s="132"/>
      <c r="B121" s="132"/>
      <c r="C121" s="132"/>
      <c r="D121" s="132"/>
      <c r="E121" s="132"/>
      <c r="F121" s="132"/>
      <c r="G121" s="132"/>
      <c r="H121" s="132"/>
      <c r="I121" s="132"/>
      <c r="J121" s="132"/>
      <c r="K121" s="132"/>
      <c r="L121" s="132"/>
      <c r="M121" s="132"/>
      <c r="N121" s="132"/>
      <c r="O121" s="132"/>
      <c r="P121" s="132"/>
      <c r="Q121" s="132"/>
      <c r="R121" s="132"/>
      <c r="S121" s="132"/>
      <c r="T121" s="132"/>
      <c r="U121" s="132"/>
      <c r="V121" s="132"/>
      <c r="W121" s="132"/>
      <c r="X121" s="132"/>
      <c r="Y121" s="132"/>
      <c r="Z121" s="132"/>
    </row>
    <row r="122" spans="1:26" ht="11.25" customHeight="1" x14ac:dyDescent="0.3">
      <c r="A122" s="132"/>
      <c r="B122" s="132"/>
      <c r="C122" s="132"/>
      <c r="D122" s="132"/>
      <c r="E122" s="132"/>
      <c r="F122" s="132"/>
      <c r="G122" s="132"/>
      <c r="H122" s="132"/>
      <c r="I122" s="132"/>
      <c r="J122" s="132"/>
      <c r="K122" s="132"/>
      <c r="L122" s="132"/>
      <c r="M122" s="132"/>
      <c r="N122" s="132"/>
      <c r="O122" s="132"/>
      <c r="P122" s="132"/>
      <c r="Q122" s="132"/>
      <c r="R122" s="132"/>
      <c r="S122" s="132"/>
      <c r="T122" s="132"/>
      <c r="U122" s="132"/>
      <c r="V122" s="132"/>
      <c r="W122" s="132"/>
      <c r="X122" s="132"/>
      <c r="Y122" s="132"/>
      <c r="Z122" s="132"/>
    </row>
    <row r="123" spans="1:26" ht="11.25" customHeight="1" x14ac:dyDescent="0.3">
      <c r="A123" s="132"/>
      <c r="B123" s="132"/>
      <c r="C123" s="132"/>
      <c r="D123" s="132"/>
      <c r="E123" s="132"/>
      <c r="F123" s="132"/>
      <c r="G123" s="132"/>
      <c r="H123" s="132"/>
      <c r="I123" s="132"/>
      <c r="J123" s="132"/>
      <c r="K123" s="132"/>
      <c r="L123" s="132"/>
      <c r="M123" s="132"/>
      <c r="N123" s="132"/>
      <c r="O123" s="132"/>
      <c r="P123" s="132"/>
      <c r="Q123" s="132"/>
      <c r="R123" s="132"/>
      <c r="S123" s="132"/>
      <c r="T123" s="132"/>
      <c r="U123" s="132"/>
      <c r="V123" s="132"/>
      <c r="W123" s="132"/>
      <c r="X123" s="132"/>
      <c r="Y123" s="132"/>
      <c r="Z123" s="132"/>
    </row>
    <row r="124" spans="1:26" ht="11.25" customHeight="1" x14ac:dyDescent="0.3">
      <c r="A124" s="132"/>
      <c r="B124" s="132"/>
      <c r="C124" s="132"/>
      <c r="D124" s="132"/>
      <c r="E124" s="132"/>
      <c r="F124" s="132"/>
      <c r="G124" s="132"/>
      <c r="H124" s="132"/>
      <c r="I124" s="132"/>
      <c r="J124" s="132"/>
      <c r="K124" s="132"/>
      <c r="L124" s="132"/>
      <c r="M124" s="132"/>
      <c r="N124" s="132"/>
      <c r="O124" s="132"/>
      <c r="P124" s="132"/>
      <c r="Q124" s="132"/>
      <c r="R124" s="132"/>
      <c r="S124" s="132"/>
      <c r="T124" s="132"/>
      <c r="U124" s="132"/>
      <c r="V124" s="132"/>
      <c r="W124" s="132"/>
      <c r="X124" s="132"/>
      <c r="Y124" s="132"/>
      <c r="Z124" s="132"/>
    </row>
    <row r="125" spans="1:26" ht="11.25" customHeight="1" x14ac:dyDescent="0.3">
      <c r="A125" s="132"/>
      <c r="B125" s="132"/>
      <c r="C125" s="132"/>
      <c r="D125" s="132"/>
      <c r="E125" s="132"/>
      <c r="F125" s="132"/>
      <c r="G125" s="132"/>
      <c r="H125" s="132"/>
      <c r="I125" s="132"/>
      <c r="J125" s="132"/>
      <c r="K125" s="132"/>
      <c r="L125" s="132"/>
      <c r="M125" s="132"/>
      <c r="N125" s="132"/>
      <c r="O125" s="132"/>
      <c r="P125" s="132"/>
      <c r="Q125" s="132"/>
      <c r="R125" s="132"/>
      <c r="S125" s="132"/>
      <c r="T125" s="132"/>
      <c r="U125" s="132"/>
      <c r="V125" s="132"/>
      <c r="W125" s="132"/>
      <c r="X125" s="132"/>
      <c r="Y125" s="132"/>
      <c r="Z125" s="132"/>
    </row>
    <row r="126" spans="1:26" ht="11.25" customHeight="1" x14ac:dyDescent="0.3">
      <c r="A126" s="132"/>
      <c r="B126" s="132"/>
      <c r="C126" s="132"/>
      <c r="D126" s="132"/>
      <c r="E126" s="132"/>
      <c r="F126" s="132"/>
      <c r="G126" s="132"/>
      <c r="H126" s="132"/>
      <c r="I126" s="132"/>
      <c r="J126" s="132"/>
      <c r="K126" s="132"/>
      <c r="L126" s="132"/>
      <c r="M126" s="132"/>
      <c r="N126" s="132"/>
      <c r="O126" s="132"/>
      <c r="P126" s="132"/>
      <c r="Q126" s="132"/>
      <c r="R126" s="132"/>
      <c r="S126" s="132"/>
      <c r="T126" s="132"/>
      <c r="U126" s="132"/>
      <c r="V126" s="132"/>
      <c r="W126" s="132"/>
      <c r="X126" s="132"/>
      <c r="Y126" s="132"/>
      <c r="Z126" s="132"/>
    </row>
    <row r="127" spans="1:26" ht="11.25" customHeight="1" x14ac:dyDescent="0.3">
      <c r="A127" s="132"/>
      <c r="B127" s="132"/>
      <c r="C127" s="132"/>
      <c r="D127" s="132"/>
      <c r="E127" s="132"/>
      <c r="F127" s="132"/>
      <c r="G127" s="132"/>
      <c r="H127" s="132"/>
      <c r="I127" s="132"/>
      <c r="J127" s="132"/>
      <c r="K127" s="132"/>
      <c r="L127" s="132"/>
      <c r="M127" s="132"/>
      <c r="N127" s="132"/>
      <c r="O127" s="132"/>
      <c r="P127" s="132"/>
      <c r="Q127" s="132"/>
      <c r="R127" s="132"/>
      <c r="S127" s="132"/>
      <c r="T127" s="132"/>
      <c r="U127" s="132"/>
      <c r="V127" s="132"/>
      <c r="W127" s="132"/>
      <c r="X127" s="132"/>
      <c r="Y127" s="132"/>
      <c r="Z127" s="132"/>
    </row>
    <row r="128" spans="1:26" ht="11.25" customHeight="1" x14ac:dyDescent="0.3">
      <c r="A128" s="132"/>
      <c r="B128" s="132"/>
      <c r="C128" s="132"/>
      <c r="D128" s="132"/>
      <c r="E128" s="132"/>
      <c r="F128" s="132"/>
      <c r="G128" s="132"/>
      <c r="H128" s="132"/>
      <c r="I128" s="132"/>
      <c r="J128" s="132"/>
      <c r="K128" s="132"/>
      <c r="L128" s="132"/>
      <c r="M128" s="132"/>
      <c r="N128" s="132"/>
      <c r="O128" s="132"/>
      <c r="P128" s="132"/>
      <c r="Q128" s="132"/>
      <c r="R128" s="132"/>
      <c r="S128" s="132"/>
      <c r="T128" s="132"/>
      <c r="U128" s="132"/>
      <c r="V128" s="132"/>
      <c r="W128" s="132"/>
      <c r="X128" s="132"/>
      <c r="Y128" s="132"/>
      <c r="Z128" s="132"/>
    </row>
    <row r="129" spans="1:26" ht="11.25" customHeight="1" x14ac:dyDescent="0.3">
      <c r="A129" s="132"/>
      <c r="B129" s="132"/>
      <c r="C129" s="132"/>
      <c r="D129" s="132"/>
      <c r="E129" s="132"/>
      <c r="F129" s="132"/>
      <c r="G129" s="132"/>
      <c r="H129" s="132"/>
      <c r="I129" s="132"/>
      <c r="J129" s="132"/>
      <c r="K129" s="132"/>
      <c r="L129" s="132"/>
      <c r="M129" s="132"/>
      <c r="N129" s="132"/>
      <c r="O129" s="132"/>
      <c r="P129" s="132"/>
      <c r="Q129" s="132"/>
      <c r="R129" s="132"/>
      <c r="S129" s="132"/>
      <c r="T129" s="132"/>
      <c r="U129" s="132"/>
      <c r="V129" s="132"/>
      <c r="W129" s="132"/>
      <c r="X129" s="132"/>
      <c r="Y129" s="132"/>
      <c r="Z129" s="132"/>
    </row>
    <row r="130" spans="1:26" ht="11.25" customHeight="1" x14ac:dyDescent="0.3">
      <c r="A130" s="132"/>
      <c r="B130" s="132"/>
      <c r="C130" s="132"/>
      <c r="D130" s="132"/>
      <c r="E130" s="132"/>
      <c r="F130" s="132"/>
      <c r="G130" s="132"/>
      <c r="H130" s="132"/>
      <c r="I130" s="132"/>
      <c r="J130" s="132"/>
      <c r="K130" s="132"/>
      <c r="L130" s="132"/>
      <c r="M130" s="132"/>
      <c r="N130" s="132"/>
      <c r="O130" s="132"/>
      <c r="P130" s="132"/>
      <c r="Q130" s="132"/>
      <c r="R130" s="132"/>
      <c r="S130" s="132"/>
      <c r="T130" s="132"/>
      <c r="U130" s="132"/>
      <c r="V130" s="132"/>
      <c r="W130" s="132"/>
      <c r="X130" s="132"/>
      <c r="Y130" s="132"/>
      <c r="Z130" s="132"/>
    </row>
    <row r="131" spans="1:26" ht="11.25" customHeight="1" x14ac:dyDescent="0.3">
      <c r="A131" s="132"/>
      <c r="B131" s="132"/>
      <c r="C131" s="132"/>
      <c r="D131" s="132"/>
      <c r="E131" s="132"/>
      <c r="F131" s="132"/>
      <c r="G131" s="132"/>
      <c r="H131" s="132"/>
      <c r="I131" s="132"/>
      <c r="J131" s="132"/>
      <c r="K131" s="132"/>
      <c r="L131" s="132"/>
      <c r="M131" s="132"/>
      <c r="N131" s="132"/>
      <c r="O131" s="132"/>
      <c r="P131" s="132"/>
      <c r="Q131" s="132"/>
      <c r="R131" s="132"/>
      <c r="S131" s="132"/>
      <c r="T131" s="132"/>
      <c r="U131" s="132"/>
      <c r="V131" s="132"/>
      <c r="W131" s="132"/>
      <c r="X131" s="132"/>
      <c r="Y131" s="132"/>
      <c r="Z131" s="132"/>
    </row>
    <row r="132" spans="1:26" ht="11.25" customHeight="1" x14ac:dyDescent="0.3">
      <c r="A132" s="132"/>
      <c r="B132" s="132"/>
      <c r="C132" s="132"/>
      <c r="D132" s="132"/>
      <c r="E132" s="132"/>
      <c r="F132" s="132"/>
      <c r="G132" s="132"/>
      <c r="H132" s="132"/>
      <c r="I132" s="132"/>
      <c r="J132" s="132"/>
      <c r="K132" s="132"/>
      <c r="L132" s="132"/>
      <c r="M132" s="132"/>
      <c r="N132" s="132"/>
      <c r="O132" s="132"/>
      <c r="P132" s="132"/>
      <c r="Q132" s="132"/>
      <c r="R132" s="132"/>
      <c r="S132" s="132"/>
      <c r="T132" s="132"/>
      <c r="U132" s="132"/>
      <c r="V132" s="132"/>
      <c r="W132" s="132"/>
      <c r="X132" s="132"/>
      <c r="Y132" s="132"/>
      <c r="Z132" s="132"/>
    </row>
    <row r="133" spans="1:26" ht="11.25" customHeight="1" x14ac:dyDescent="0.3">
      <c r="A133" s="132"/>
      <c r="B133" s="132"/>
      <c r="C133" s="132"/>
      <c r="D133" s="132"/>
      <c r="E133" s="132"/>
      <c r="F133" s="132"/>
      <c r="G133" s="132"/>
      <c r="H133" s="132"/>
      <c r="I133" s="132"/>
      <c r="J133" s="132"/>
      <c r="K133" s="132"/>
      <c r="L133" s="132"/>
      <c r="M133" s="132"/>
      <c r="N133" s="132"/>
      <c r="O133" s="132"/>
      <c r="P133" s="132"/>
      <c r="Q133" s="132"/>
      <c r="R133" s="132"/>
      <c r="S133" s="132"/>
      <c r="T133" s="132"/>
      <c r="U133" s="132"/>
      <c r="V133" s="132"/>
      <c r="W133" s="132"/>
      <c r="X133" s="132"/>
      <c r="Y133" s="132"/>
      <c r="Z133" s="132"/>
    </row>
    <row r="134" spans="1:26" ht="11.25" customHeight="1" x14ac:dyDescent="0.3">
      <c r="A134" s="132"/>
      <c r="B134" s="132"/>
      <c r="C134" s="132"/>
      <c r="D134" s="132"/>
      <c r="E134" s="132"/>
      <c r="F134" s="132"/>
      <c r="G134" s="132"/>
      <c r="H134" s="132"/>
      <c r="I134" s="132"/>
      <c r="J134" s="132"/>
      <c r="K134" s="132"/>
      <c r="L134" s="132"/>
      <c r="M134" s="132"/>
      <c r="N134" s="132"/>
      <c r="O134" s="132"/>
      <c r="P134" s="132"/>
      <c r="Q134" s="132"/>
      <c r="R134" s="132"/>
      <c r="S134" s="132"/>
      <c r="T134" s="132"/>
      <c r="U134" s="132"/>
      <c r="V134" s="132"/>
      <c r="W134" s="132"/>
      <c r="X134" s="132"/>
      <c r="Y134" s="132"/>
      <c r="Z134" s="132"/>
    </row>
    <row r="135" spans="1:26" ht="11.25" customHeight="1" x14ac:dyDescent="0.3">
      <c r="A135" s="132"/>
      <c r="B135" s="132"/>
      <c r="C135" s="132"/>
      <c r="D135" s="132"/>
      <c r="E135" s="132"/>
      <c r="F135" s="132"/>
      <c r="G135" s="132"/>
      <c r="H135" s="132"/>
      <c r="I135" s="132"/>
      <c r="J135" s="132"/>
      <c r="K135" s="132"/>
      <c r="L135" s="132"/>
      <c r="M135" s="132"/>
      <c r="N135" s="132"/>
      <c r="O135" s="132"/>
      <c r="P135" s="132"/>
      <c r="Q135" s="132"/>
      <c r="R135" s="132"/>
      <c r="S135" s="132"/>
      <c r="T135" s="132"/>
      <c r="U135" s="132"/>
      <c r="V135" s="132"/>
      <c r="W135" s="132"/>
      <c r="X135" s="132"/>
      <c r="Y135" s="132"/>
      <c r="Z135" s="132"/>
    </row>
    <row r="136" spans="1:26" ht="11.25" customHeight="1" x14ac:dyDescent="0.3">
      <c r="A136" s="132"/>
      <c r="B136" s="132"/>
      <c r="C136" s="132"/>
      <c r="D136" s="132"/>
      <c r="E136" s="132"/>
      <c r="F136" s="132"/>
      <c r="G136" s="132"/>
      <c r="H136" s="132"/>
      <c r="I136" s="132"/>
      <c r="J136" s="132"/>
      <c r="K136" s="132"/>
      <c r="L136" s="132"/>
      <c r="M136" s="132"/>
      <c r="N136" s="132"/>
      <c r="O136" s="132"/>
      <c r="P136" s="132"/>
      <c r="Q136" s="132"/>
      <c r="R136" s="132"/>
      <c r="S136" s="132"/>
      <c r="T136" s="132"/>
      <c r="U136" s="132"/>
      <c r="V136" s="132"/>
      <c r="W136" s="132"/>
      <c r="X136" s="132"/>
      <c r="Y136" s="132"/>
      <c r="Z136" s="132"/>
    </row>
    <row r="137" spans="1:26" ht="11.25" customHeight="1" x14ac:dyDescent="0.3">
      <c r="A137" s="132"/>
      <c r="B137" s="132"/>
      <c r="C137" s="132"/>
      <c r="D137" s="132"/>
      <c r="E137" s="132"/>
      <c r="F137" s="132"/>
      <c r="G137" s="132"/>
      <c r="H137" s="132"/>
      <c r="I137" s="132"/>
      <c r="J137" s="132"/>
      <c r="K137" s="132"/>
      <c r="L137" s="132"/>
      <c r="M137" s="132"/>
      <c r="N137" s="132"/>
      <c r="O137" s="132"/>
      <c r="P137" s="132"/>
      <c r="Q137" s="132"/>
      <c r="R137" s="132"/>
      <c r="S137" s="132"/>
      <c r="T137" s="132"/>
      <c r="U137" s="132"/>
      <c r="V137" s="132"/>
      <c r="W137" s="132"/>
      <c r="X137" s="132"/>
      <c r="Y137" s="132"/>
      <c r="Z137" s="132"/>
    </row>
    <row r="138" spans="1:26" ht="11.25" customHeight="1" x14ac:dyDescent="0.3">
      <c r="A138" s="132"/>
      <c r="B138" s="132"/>
      <c r="C138" s="132"/>
      <c r="D138" s="132"/>
      <c r="E138" s="132"/>
      <c r="F138" s="132"/>
      <c r="G138" s="132"/>
      <c r="H138" s="132"/>
      <c r="I138" s="132"/>
      <c r="J138" s="132"/>
      <c r="K138" s="132"/>
      <c r="L138" s="132"/>
      <c r="M138" s="132"/>
      <c r="N138" s="132"/>
      <c r="O138" s="132"/>
      <c r="P138" s="132"/>
      <c r="Q138" s="132"/>
      <c r="R138" s="132"/>
      <c r="S138" s="132"/>
      <c r="T138" s="132"/>
      <c r="U138" s="132"/>
      <c r="V138" s="132"/>
      <c r="W138" s="132"/>
      <c r="X138" s="132"/>
      <c r="Y138" s="132"/>
      <c r="Z138" s="132"/>
    </row>
    <row r="139" spans="1:26" ht="11.25" customHeight="1" x14ac:dyDescent="0.3">
      <c r="A139" s="132"/>
      <c r="B139" s="132"/>
      <c r="C139" s="132"/>
      <c r="D139" s="132"/>
      <c r="E139" s="132"/>
      <c r="F139" s="132"/>
      <c r="G139" s="132"/>
      <c r="H139" s="132"/>
      <c r="I139" s="132"/>
      <c r="J139" s="132"/>
      <c r="K139" s="132"/>
      <c r="L139" s="132"/>
      <c r="M139" s="132"/>
      <c r="N139" s="132"/>
      <c r="O139" s="132"/>
      <c r="P139" s="132"/>
      <c r="Q139" s="132"/>
      <c r="R139" s="132"/>
      <c r="S139" s="132"/>
      <c r="T139" s="132"/>
      <c r="U139" s="132"/>
      <c r="V139" s="132"/>
      <c r="W139" s="132"/>
      <c r="X139" s="132"/>
      <c r="Y139" s="132"/>
      <c r="Z139" s="132"/>
    </row>
    <row r="140" spans="1:26" ht="11.25" customHeight="1" x14ac:dyDescent="0.3">
      <c r="A140" s="132"/>
      <c r="B140" s="132"/>
      <c r="C140" s="132"/>
      <c r="D140" s="132"/>
      <c r="E140" s="132"/>
      <c r="F140" s="132"/>
      <c r="G140" s="132"/>
      <c r="H140" s="132"/>
      <c r="I140" s="132"/>
      <c r="J140" s="132"/>
      <c r="K140" s="132"/>
      <c r="L140" s="132"/>
      <c r="M140" s="132"/>
      <c r="N140" s="132"/>
      <c r="O140" s="132"/>
      <c r="P140" s="132"/>
      <c r="Q140" s="132"/>
      <c r="R140" s="132"/>
      <c r="S140" s="132"/>
      <c r="T140" s="132"/>
      <c r="U140" s="132"/>
      <c r="V140" s="132"/>
      <c r="W140" s="132"/>
      <c r="X140" s="132"/>
      <c r="Y140" s="132"/>
      <c r="Z140" s="132"/>
    </row>
    <row r="141" spans="1:26" ht="11.25" customHeight="1" x14ac:dyDescent="0.3">
      <c r="A141" s="132"/>
      <c r="B141" s="132"/>
      <c r="C141" s="132"/>
      <c r="D141" s="132"/>
      <c r="E141" s="132"/>
      <c r="F141" s="132"/>
      <c r="G141" s="132"/>
      <c r="H141" s="132"/>
      <c r="I141" s="132"/>
      <c r="J141" s="132"/>
      <c r="K141" s="132"/>
      <c r="L141" s="132"/>
      <c r="M141" s="132"/>
      <c r="N141" s="132"/>
      <c r="O141" s="132"/>
      <c r="P141" s="132"/>
      <c r="Q141" s="132"/>
      <c r="R141" s="132"/>
      <c r="S141" s="132"/>
      <c r="T141" s="132"/>
      <c r="U141" s="132"/>
      <c r="V141" s="132"/>
      <c r="W141" s="132"/>
      <c r="X141" s="132"/>
      <c r="Y141" s="132"/>
      <c r="Z141" s="132"/>
    </row>
    <row r="142" spans="1:26" ht="11.25" customHeight="1" x14ac:dyDescent="0.3">
      <c r="A142" s="132"/>
      <c r="B142" s="132"/>
      <c r="C142" s="132"/>
      <c r="D142" s="132"/>
      <c r="E142" s="132"/>
      <c r="F142" s="132"/>
      <c r="G142" s="132"/>
      <c r="H142" s="132"/>
      <c r="I142" s="132"/>
      <c r="J142" s="132"/>
      <c r="K142" s="132"/>
      <c r="L142" s="132"/>
      <c r="M142" s="132"/>
      <c r="N142" s="132"/>
      <c r="O142" s="132"/>
      <c r="P142" s="132"/>
      <c r="Q142" s="132"/>
      <c r="R142" s="132"/>
      <c r="S142" s="132"/>
      <c r="T142" s="132"/>
      <c r="U142" s="132"/>
      <c r="V142" s="132"/>
      <c r="W142" s="132"/>
      <c r="X142" s="132"/>
      <c r="Y142" s="132"/>
      <c r="Z142" s="132"/>
    </row>
    <row r="143" spans="1:26" ht="11.25" customHeight="1" x14ac:dyDescent="0.3">
      <c r="A143" s="132"/>
      <c r="B143" s="132"/>
      <c r="C143" s="132"/>
      <c r="D143" s="132"/>
      <c r="E143" s="132"/>
      <c r="F143" s="132"/>
      <c r="G143" s="132"/>
      <c r="H143" s="132"/>
      <c r="I143" s="132"/>
      <c r="J143" s="132"/>
      <c r="K143" s="132"/>
      <c r="L143" s="132"/>
      <c r="M143" s="132"/>
      <c r="N143" s="132"/>
      <c r="O143" s="132"/>
      <c r="P143" s="132"/>
      <c r="Q143" s="132"/>
      <c r="R143" s="132"/>
      <c r="S143" s="132"/>
      <c r="T143" s="132"/>
      <c r="U143" s="132"/>
      <c r="V143" s="132"/>
      <c r="W143" s="132"/>
      <c r="X143" s="132"/>
      <c r="Y143" s="132"/>
      <c r="Z143" s="132"/>
    </row>
    <row r="144" spans="1:26" ht="11.25" customHeight="1" x14ac:dyDescent="0.3">
      <c r="A144" s="132"/>
      <c r="B144" s="132"/>
      <c r="C144" s="132"/>
      <c r="D144" s="132"/>
      <c r="E144" s="132"/>
      <c r="F144" s="132"/>
      <c r="G144" s="132"/>
      <c r="H144" s="132"/>
      <c r="I144" s="132"/>
      <c r="J144" s="132"/>
      <c r="K144" s="132"/>
      <c r="L144" s="132"/>
      <c r="M144" s="132"/>
      <c r="N144" s="132"/>
      <c r="O144" s="132"/>
      <c r="P144" s="132"/>
      <c r="Q144" s="132"/>
      <c r="R144" s="132"/>
      <c r="S144" s="132"/>
      <c r="T144" s="132"/>
      <c r="U144" s="132"/>
      <c r="V144" s="132"/>
      <c r="W144" s="132"/>
      <c r="X144" s="132"/>
      <c r="Y144" s="132"/>
      <c r="Z144" s="132"/>
    </row>
    <row r="145" spans="1:26" ht="11.25" customHeight="1" x14ac:dyDescent="0.3">
      <c r="A145" s="132"/>
      <c r="B145" s="132"/>
      <c r="C145" s="132"/>
      <c r="D145" s="132"/>
      <c r="E145" s="132"/>
      <c r="F145" s="132"/>
      <c r="G145" s="132"/>
      <c r="H145" s="132"/>
      <c r="I145" s="132"/>
      <c r="J145" s="132"/>
      <c r="K145" s="132"/>
      <c r="L145" s="132"/>
      <c r="M145" s="132"/>
      <c r="N145" s="132"/>
      <c r="O145" s="132"/>
      <c r="P145" s="132"/>
      <c r="Q145" s="132"/>
      <c r="R145" s="132"/>
      <c r="S145" s="132"/>
      <c r="T145" s="132"/>
      <c r="U145" s="132"/>
      <c r="V145" s="132"/>
      <c r="W145" s="132"/>
      <c r="X145" s="132"/>
      <c r="Y145" s="132"/>
      <c r="Z145" s="132"/>
    </row>
    <row r="146" spans="1:26" ht="11.25" customHeight="1" x14ac:dyDescent="0.3">
      <c r="A146" s="132"/>
      <c r="B146" s="132"/>
      <c r="C146" s="132"/>
      <c r="D146" s="132"/>
      <c r="E146" s="132"/>
      <c r="F146" s="132"/>
      <c r="G146" s="132"/>
      <c r="H146" s="132"/>
      <c r="I146" s="132"/>
      <c r="J146" s="132"/>
      <c r="K146" s="132"/>
      <c r="L146" s="132"/>
      <c r="M146" s="132"/>
      <c r="N146" s="132"/>
      <c r="O146" s="132"/>
      <c r="P146" s="132"/>
      <c r="Q146" s="132"/>
      <c r="R146" s="132"/>
      <c r="S146" s="132"/>
      <c r="T146" s="132"/>
      <c r="U146" s="132"/>
      <c r="V146" s="132"/>
      <c r="W146" s="132"/>
      <c r="X146" s="132"/>
      <c r="Y146" s="132"/>
      <c r="Z146" s="132"/>
    </row>
    <row r="147" spans="1:26" ht="11.25" customHeight="1" x14ac:dyDescent="0.3">
      <c r="A147" s="132"/>
      <c r="B147" s="132"/>
      <c r="C147" s="132"/>
      <c r="D147" s="132"/>
      <c r="E147" s="132"/>
      <c r="F147" s="132"/>
      <c r="G147" s="132"/>
      <c r="H147" s="132"/>
      <c r="I147" s="132"/>
      <c r="J147" s="132"/>
      <c r="K147" s="132"/>
      <c r="L147" s="132"/>
      <c r="M147" s="132"/>
      <c r="N147" s="132"/>
      <c r="O147" s="132"/>
      <c r="P147" s="132"/>
      <c r="Q147" s="132"/>
      <c r="R147" s="132"/>
      <c r="S147" s="132"/>
      <c r="T147" s="132"/>
      <c r="U147" s="132"/>
      <c r="V147" s="132"/>
      <c r="W147" s="132"/>
      <c r="X147" s="132"/>
      <c r="Y147" s="132"/>
      <c r="Z147" s="132"/>
    </row>
    <row r="148" spans="1:26" ht="11.25" customHeight="1" x14ac:dyDescent="0.3">
      <c r="A148" s="132"/>
      <c r="B148" s="132"/>
      <c r="C148" s="132"/>
      <c r="D148" s="132"/>
      <c r="E148" s="132"/>
      <c r="F148" s="132"/>
      <c r="G148" s="132"/>
      <c r="H148" s="132"/>
      <c r="I148" s="132"/>
      <c r="J148" s="132"/>
      <c r="K148" s="132"/>
      <c r="L148" s="132"/>
      <c r="M148" s="132"/>
      <c r="N148" s="132"/>
      <c r="O148" s="132"/>
      <c r="P148" s="132"/>
      <c r="Q148" s="132"/>
      <c r="R148" s="132"/>
      <c r="S148" s="132"/>
      <c r="T148" s="132"/>
      <c r="U148" s="132"/>
      <c r="V148" s="132"/>
      <c r="W148" s="132"/>
      <c r="X148" s="132"/>
      <c r="Y148" s="132"/>
      <c r="Z148" s="132"/>
    </row>
    <row r="149" spans="1:26" ht="11.25" customHeight="1" x14ac:dyDescent="0.3">
      <c r="A149" s="132"/>
      <c r="B149" s="132"/>
      <c r="C149" s="132"/>
      <c r="D149" s="132"/>
      <c r="E149" s="132"/>
      <c r="F149" s="132"/>
      <c r="G149" s="132"/>
      <c r="H149" s="132"/>
      <c r="I149" s="132"/>
      <c r="J149" s="132"/>
      <c r="K149" s="132"/>
      <c r="L149" s="132"/>
      <c r="M149" s="132"/>
      <c r="N149" s="132"/>
      <c r="O149" s="132"/>
      <c r="P149" s="132"/>
      <c r="Q149" s="132"/>
      <c r="R149" s="132"/>
      <c r="S149" s="132"/>
      <c r="T149" s="132"/>
      <c r="U149" s="132"/>
      <c r="V149" s="132"/>
      <c r="W149" s="132"/>
      <c r="X149" s="132"/>
      <c r="Y149" s="132"/>
      <c r="Z149" s="132"/>
    </row>
    <row r="150" spans="1:26" ht="11.25" customHeight="1" x14ac:dyDescent="0.3">
      <c r="A150" s="132"/>
      <c r="B150" s="132"/>
      <c r="C150" s="132"/>
      <c r="D150" s="132"/>
      <c r="E150" s="132"/>
      <c r="F150" s="132"/>
      <c r="G150" s="132"/>
      <c r="H150" s="132"/>
      <c r="I150" s="132"/>
      <c r="J150" s="132"/>
      <c r="K150" s="132"/>
      <c r="L150" s="132"/>
      <c r="M150" s="132"/>
      <c r="N150" s="132"/>
      <c r="O150" s="132"/>
      <c r="P150" s="132"/>
      <c r="Q150" s="132"/>
      <c r="R150" s="132"/>
      <c r="S150" s="132"/>
      <c r="T150" s="132"/>
      <c r="U150" s="132"/>
      <c r="V150" s="132"/>
      <c r="W150" s="132"/>
      <c r="X150" s="132"/>
      <c r="Y150" s="132"/>
      <c r="Z150" s="132"/>
    </row>
    <row r="151" spans="1:26" ht="11.25" customHeight="1" x14ac:dyDescent="0.3">
      <c r="A151" s="132"/>
      <c r="B151" s="132"/>
      <c r="C151" s="132"/>
      <c r="D151" s="132"/>
      <c r="E151" s="132"/>
      <c r="F151" s="132"/>
      <c r="G151" s="132"/>
      <c r="H151" s="132"/>
      <c r="I151" s="132"/>
      <c r="J151" s="132"/>
      <c r="K151" s="132"/>
      <c r="L151" s="132"/>
      <c r="M151" s="132"/>
      <c r="N151" s="132"/>
      <c r="O151" s="132"/>
      <c r="P151" s="132"/>
      <c r="Q151" s="132"/>
      <c r="R151" s="132"/>
      <c r="S151" s="132"/>
      <c r="T151" s="132"/>
      <c r="U151" s="132"/>
      <c r="V151" s="132"/>
      <c r="W151" s="132"/>
      <c r="X151" s="132"/>
      <c r="Y151" s="132"/>
      <c r="Z151" s="132"/>
    </row>
    <row r="152" spans="1:26" ht="11.25" customHeight="1" x14ac:dyDescent="0.3">
      <c r="A152" s="132"/>
      <c r="B152" s="132"/>
      <c r="C152" s="132"/>
      <c r="D152" s="132"/>
      <c r="E152" s="132"/>
      <c r="F152" s="132"/>
      <c r="G152" s="132"/>
      <c r="H152" s="132"/>
      <c r="I152" s="132"/>
      <c r="J152" s="132"/>
      <c r="K152" s="132"/>
      <c r="L152" s="132"/>
      <c r="M152" s="132"/>
      <c r="N152" s="132"/>
      <c r="O152" s="132"/>
      <c r="P152" s="132"/>
      <c r="Q152" s="132"/>
      <c r="R152" s="132"/>
      <c r="S152" s="132"/>
      <c r="T152" s="132"/>
      <c r="U152" s="132"/>
      <c r="V152" s="132"/>
      <c r="W152" s="132"/>
      <c r="X152" s="132"/>
      <c r="Y152" s="132"/>
      <c r="Z152" s="132"/>
    </row>
    <row r="153" spans="1:26" ht="11.25" customHeight="1" x14ac:dyDescent="0.3">
      <c r="A153" s="132"/>
      <c r="B153" s="132"/>
      <c r="C153" s="132"/>
      <c r="D153" s="132"/>
      <c r="E153" s="132"/>
      <c r="F153" s="132"/>
      <c r="G153" s="132"/>
      <c r="H153" s="132"/>
      <c r="I153" s="132"/>
      <c r="J153" s="132"/>
      <c r="K153" s="132"/>
      <c r="L153" s="132"/>
      <c r="M153" s="132"/>
      <c r="N153" s="132"/>
      <c r="O153" s="132"/>
      <c r="P153" s="132"/>
      <c r="Q153" s="132"/>
      <c r="R153" s="132"/>
      <c r="S153" s="132"/>
      <c r="T153" s="132"/>
      <c r="U153" s="132"/>
      <c r="V153" s="132"/>
      <c r="W153" s="132"/>
      <c r="X153" s="132"/>
      <c r="Y153" s="132"/>
      <c r="Z153" s="132"/>
    </row>
    <row r="154" spans="1:26" ht="11.25" customHeight="1" x14ac:dyDescent="0.3">
      <c r="A154" s="132"/>
      <c r="B154" s="132"/>
      <c r="C154" s="132"/>
      <c r="D154" s="132"/>
      <c r="E154" s="132"/>
      <c r="F154" s="132"/>
      <c r="G154" s="132"/>
      <c r="H154" s="132"/>
      <c r="I154" s="132"/>
      <c r="J154" s="132"/>
      <c r="K154" s="132"/>
      <c r="L154" s="132"/>
      <c r="M154" s="132"/>
      <c r="N154" s="132"/>
      <c r="O154" s="132"/>
      <c r="P154" s="132"/>
      <c r="Q154" s="132"/>
      <c r="R154" s="132"/>
      <c r="S154" s="132"/>
      <c r="T154" s="132"/>
      <c r="U154" s="132"/>
      <c r="V154" s="132"/>
      <c r="W154" s="132"/>
      <c r="X154" s="132"/>
      <c r="Y154" s="132"/>
      <c r="Z154" s="132"/>
    </row>
    <row r="155" spans="1:26" ht="11.25" customHeight="1" x14ac:dyDescent="0.3">
      <c r="A155" s="132"/>
      <c r="B155" s="132"/>
      <c r="C155" s="132"/>
      <c r="D155" s="132"/>
      <c r="E155" s="132"/>
      <c r="F155" s="132"/>
      <c r="G155" s="132"/>
      <c r="H155" s="132"/>
      <c r="I155" s="132"/>
      <c r="J155" s="132"/>
      <c r="K155" s="132"/>
      <c r="L155" s="132"/>
      <c r="M155" s="132"/>
      <c r="N155" s="132"/>
      <c r="O155" s="132"/>
      <c r="P155" s="132"/>
      <c r="Q155" s="132"/>
      <c r="R155" s="132"/>
      <c r="S155" s="132"/>
      <c r="T155" s="132"/>
      <c r="U155" s="132"/>
      <c r="V155" s="132"/>
      <c r="W155" s="132"/>
      <c r="X155" s="132"/>
      <c r="Y155" s="132"/>
      <c r="Z155" s="132"/>
    </row>
    <row r="156" spans="1:26" ht="11.25" customHeight="1" x14ac:dyDescent="0.3">
      <c r="A156" s="132"/>
      <c r="B156" s="132"/>
      <c r="C156" s="132"/>
      <c r="D156" s="132"/>
      <c r="E156" s="132"/>
      <c r="F156" s="132"/>
      <c r="G156" s="132"/>
      <c r="H156" s="132"/>
      <c r="I156" s="132"/>
      <c r="J156" s="132"/>
      <c r="K156" s="132"/>
      <c r="L156" s="132"/>
      <c r="M156" s="132"/>
      <c r="N156" s="132"/>
      <c r="O156" s="132"/>
      <c r="P156" s="132"/>
      <c r="Q156" s="132"/>
      <c r="R156" s="132"/>
      <c r="S156" s="132"/>
      <c r="T156" s="132"/>
      <c r="U156" s="132"/>
      <c r="V156" s="132"/>
      <c r="W156" s="132"/>
      <c r="X156" s="132"/>
      <c r="Y156" s="132"/>
      <c r="Z156" s="132"/>
    </row>
    <row r="157" spans="1:26" ht="11.25" customHeight="1" x14ac:dyDescent="0.3">
      <c r="A157" s="132"/>
      <c r="B157" s="132"/>
      <c r="C157" s="132"/>
      <c r="D157" s="132"/>
      <c r="E157" s="132"/>
      <c r="F157" s="132"/>
      <c r="G157" s="132"/>
      <c r="H157" s="132"/>
      <c r="I157" s="132"/>
      <c r="J157" s="132"/>
      <c r="K157" s="132"/>
      <c r="L157" s="132"/>
      <c r="M157" s="132"/>
      <c r="N157" s="132"/>
      <c r="O157" s="132"/>
      <c r="P157" s="132"/>
      <c r="Q157" s="132"/>
      <c r="R157" s="132"/>
      <c r="S157" s="132"/>
      <c r="T157" s="132"/>
      <c r="U157" s="132"/>
      <c r="V157" s="132"/>
      <c r="W157" s="132"/>
      <c r="X157" s="132"/>
      <c r="Y157" s="132"/>
      <c r="Z157" s="132"/>
    </row>
    <row r="158" spans="1:26" ht="11.25" customHeight="1" x14ac:dyDescent="0.3">
      <c r="A158" s="132"/>
      <c r="B158" s="132"/>
      <c r="C158" s="132"/>
      <c r="D158" s="132"/>
      <c r="E158" s="132"/>
      <c r="F158" s="132"/>
      <c r="G158" s="132"/>
      <c r="H158" s="132"/>
      <c r="I158" s="132"/>
      <c r="J158" s="132"/>
      <c r="K158" s="132"/>
      <c r="L158" s="132"/>
      <c r="M158" s="132"/>
      <c r="N158" s="132"/>
      <c r="O158" s="132"/>
      <c r="P158" s="132"/>
      <c r="Q158" s="132"/>
      <c r="R158" s="132"/>
      <c r="S158" s="132"/>
      <c r="T158" s="132"/>
      <c r="U158" s="132"/>
      <c r="V158" s="132"/>
      <c r="W158" s="132"/>
      <c r="X158" s="132"/>
      <c r="Y158" s="132"/>
      <c r="Z158" s="132"/>
    </row>
    <row r="159" spans="1:26" ht="11.25" customHeight="1" x14ac:dyDescent="0.3">
      <c r="A159" s="132"/>
      <c r="B159" s="132"/>
      <c r="C159" s="132"/>
      <c r="D159" s="132"/>
      <c r="E159" s="132"/>
      <c r="F159" s="132"/>
      <c r="G159" s="132"/>
      <c r="H159" s="132"/>
      <c r="I159" s="132"/>
      <c r="J159" s="132"/>
      <c r="K159" s="132"/>
      <c r="L159" s="132"/>
      <c r="M159" s="132"/>
      <c r="N159" s="132"/>
      <c r="O159" s="132"/>
      <c r="P159" s="132"/>
      <c r="Q159" s="132"/>
      <c r="R159" s="132"/>
      <c r="S159" s="132"/>
      <c r="T159" s="132"/>
      <c r="U159" s="132"/>
      <c r="V159" s="132"/>
      <c r="W159" s="132"/>
      <c r="X159" s="132"/>
      <c r="Y159" s="132"/>
      <c r="Z159" s="132"/>
    </row>
    <row r="160" spans="1:26" ht="11.25" customHeight="1" x14ac:dyDescent="0.3">
      <c r="A160" s="132"/>
      <c r="B160" s="132"/>
      <c r="C160" s="132"/>
      <c r="D160" s="132"/>
      <c r="E160" s="132"/>
      <c r="F160" s="132"/>
      <c r="G160" s="132"/>
      <c r="H160" s="132"/>
      <c r="I160" s="132"/>
      <c r="J160" s="132"/>
      <c r="K160" s="132"/>
      <c r="L160" s="132"/>
      <c r="M160" s="132"/>
      <c r="N160" s="132"/>
      <c r="O160" s="132"/>
      <c r="P160" s="132"/>
      <c r="Q160" s="132"/>
      <c r="R160" s="132"/>
      <c r="S160" s="132"/>
      <c r="T160" s="132"/>
      <c r="U160" s="132"/>
      <c r="V160" s="132"/>
      <c r="W160" s="132"/>
      <c r="X160" s="132"/>
      <c r="Y160" s="132"/>
      <c r="Z160" s="132"/>
    </row>
    <row r="161" spans="1:26" ht="11.25" customHeight="1" x14ac:dyDescent="0.3">
      <c r="A161" s="132"/>
      <c r="B161" s="132"/>
      <c r="C161" s="132"/>
      <c r="D161" s="132"/>
      <c r="E161" s="132"/>
      <c r="F161" s="132"/>
      <c r="G161" s="132"/>
      <c r="H161" s="132"/>
      <c r="I161" s="132"/>
      <c r="J161" s="132"/>
      <c r="K161" s="132"/>
      <c r="L161" s="132"/>
      <c r="M161" s="132"/>
      <c r="N161" s="132"/>
      <c r="O161" s="132"/>
      <c r="P161" s="132"/>
      <c r="Q161" s="132"/>
      <c r="R161" s="132"/>
      <c r="S161" s="132"/>
      <c r="T161" s="132"/>
      <c r="U161" s="132"/>
      <c r="V161" s="132"/>
      <c r="W161" s="132"/>
      <c r="X161" s="132"/>
      <c r="Y161" s="132"/>
      <c r="Z161" s="132"/>
    </row>
    <row r="162" spans="1:26" ht="11.25" customHeight="1" x14ac:dyDescent="0.3">
      <c r="A162" s="132"/>
      <c r="B162" s="132"/>
      <c r="C162" s="132"/>
      <c r="D162" s="132"/>
      <c r="E162" s="132"/>
      <c r="F162" s="132"/>
      <c r="G162" s="132"/>
      <c r="H162" s="132"/>
      <c r="I162" s="132"/>
      <c r="J162" s="132"/>
      <c r="K162" s="132"/>
      <c r="L162" s="132"/>
      <c r="M162" s="132"/>
      <c r="N162" s="132"/>
      <c r="O162" s="132"/>
      <c r="P162" s="132"/>
      <c r="Q162" s="132"/>
      <c r="R162" s="132"/>
      <c r="S162" s="132"/>
      <c r="T162" s="132"/>
      <c r="U162" s="132"/>
      <c r="V162" s="132"/>
      <c r="W162" s="132"/>
      <c r="X162" s="132"/>
      <c r="Y162" s="132"/>
      <c r="Z162" s="132"/>
    </row>
    <row r="163" spans="1:26" ht="11.25" customHeight="1" x14ac:dyDescent="0.3">
      <c r="A163" s="132"/>
      <c r="B163" s="132"/>
      <c r="C163" s="132"/>
      <c r="D163" s="132"/>
      <c r="E163" s="132"/>
      <c r="F163" s="132"/>
      <c r="G163" s="132"/>
      <c r="H163" s="132"/>
      <c r="I163" s="132"/>
      <c r="J163" s="132"/>
      <c r="K163" s="132"/>
      <c r="L163" s="132"/>
      <c r="M163" s="132"/>
      <c r="N163" s="132"/>
      <c r="O163" s="132"/>
      <c r="P163" s="132"/>
      <c r="Q163" s="132"/>
      <c r="R163" s="132"/>
      <c r="S163" s="132"/>
      <c r="T163" s="132"/>
      <c r="U163" s="132"/>
      <c r="V163" s="132"/>
      <c r="W163" s="132"/>
      <c r="X163" s="132"/>
      <c r="Y163" s="132"/>
      <c r="Z163" s="132"/>
    </row>
    <row r="164" spans="1:26" ht="11.25" customHeight="1" x14ac:dyDescent="0.3">
      <c r="A164" s="132"/>
      <c r="B164" s="132"/>
      <c r="C164" s="132"/>
      <c r="D164" s="132"/>
      <c r="E164" s="132"/>
      <c r="F164" s="132"/>
      <c r="G164" s="132"/>
      <c r="H164" s="132"/>
      <c r="I164" s="132"/>
      <c r="J164" s="132"/>
      <c r="K164" s="132"/>
      <c r="L164" s="132"/>
      <c r="M164" s="132"/>
      <c r="N164" s="132"/>
      <c r="O164" s="132"/>
      <c r="P164" s="132"/>
      <c r="Q164" s="132"/>
      <c r="R164" s="132"/>
      <c r="S164" s="132"/>
      <c r="T164" s="132"/>
      <c r="U164" s="132"/>
      <c r="V164" s="132"/>
      <c r="W164" s="132"/>
      <c r="X164" s="132"/>
      <c r="Y164" s="132"/>
      <c r="Z164" s="132"/>
    </row>
    <row r="165" spans="1:26" ht="11.25" customHeight="1" x14ac:dyDescent="0.3">
      <c r="A165" s="132"/>
      <c r="B165" s="132"/>
      <c r="C165" s="132"/>
      <c r="D165" s="132"/>
      <c r="E165" s="132"/>
      <c r="F165" s="132"/>
      <c r="G165" s="132"/>
      <c r="H165" s="132"/>
      <c r="I165" s="132"/>
      <c r="J165" s="132"/>
      <c r="K165" s="132"/>
      <c r="L165" s="132"/>
      <c r="M165" s="132"/>
      <c r="N165" s="132"/>
      <c r="O165" s="132"/>
      <c r="P165" s="132"/>
      <c r="Q165" s="132"/>
      <c r="R165" s="132"/>
      <c r="S165" s="132"/>
      <c r="T165" s="132"/>
      <c r="U165" s="132"/>
      <c r="V165" s="132"/>
      <c r="W165" s="132"/>
      <c r="X165" s="132"/>
      <c r="Y165" s="132"/>
      <c r="Z165" s="132"/>
    </row>
    <row r="166" spans="1:26" ht="11.25" customHeight="1" x14ac:dyDescent="0.3">
      <c r="A166" s="132"/>
      <c r="B166" s="132"/>
      <c r="C166" s="132"/>
      <c r="D166" s="132"/>
      <c r="E166" s="132"/>
      <c r="F166" s="132"/>
      <c r="G166" s="132"/>
      <c r="H166" s="132"/>
      <c r="I166" s="132"/>
      <c r="J166" s="132"/>
      <c r="K166" s="132"/>
      <c r="L166" s="132"/>
      <c r="M166" s="132"/>
      <c r="N166" s="132"/>
      <c r="O166" s="132"/>
      <c r="P166" s="132"/>
      <c r="Q166" s="132"/>
      <c r="R166" s="132"/>
      <c r="S166" s="132"/>
      <c r="T166" s="132"/>
      <c r="U166" s="132"/>
      <c r="V166" s="132"/>
      <c r="W166" s="132"/>
      <c r="X166" s="132"/>
      <c r="Y166" s="132"/>
      <c r="Z166" s="132"/>
    </row>
    <row r="167" spans="1:26" ht="11.25" customHeight="1" x14ac:dyDescent="0.3">
      <c r="A167" s="132"/>
      <c r="B167" s="132"/>
      <c r="C167" s="132"/>
      <c r="D167" s="132"/>
      <c r="E167" s="132"/>
      <c r="F167" s="132"/>
      <c r="G167" s="132"/>
      <c r="H167" s="132"/>
      <c r="I167" s="132"/>
      <c r="J167" s="132"/>
      <c r="K167" s="132"/>
      <c r="L167" s="132"/>
      <c r="M167" s="132"/>
      <c r="N167" s="132"/>
      <c r="O167" s="132"/>
      <c r="P167" s="132"/>
      <c r="Q167" s="132"/>
      <c r="R167" s="132"/>
      <c r="S167" s="132"/>
      <c r="T167" s="132"/>
      <c r="U167" s="132"/>
      <c r="V167" s="132"/>
      <c r="W167" s="132"/>
      <c r="X167" s="132"/>
      <c r="Y167" s="132"/>
      <c r="Z167" s="132"/>
    </row>
    <row r="168" spans="1:26" ht="11.25" customHeight="1" x14ac:dyDescent="0.3">
      <c r="A168" s="132"/>
      <c r="B168" s="132"/>
      <c r="C168" s="132"/>
      <c r="D168" s="132"/>
      <c r="E168" s="132"/>
      <c r="F168" s="132"/>
      <c r="G168" s="132"/>
      <c r="H168" s="132"/>
      <c r="I168" s="132"/>
      <c r="J168" s="132"/>
      <c r="K168" s="132"/>
      <c r="L168" s="132"/>
      <c r="M168" s="132"/>
      <c r="N168" s="132"/>
      <c r="O168" s="132"/>
      <c r="P168" s="132"/>
      <c r="Q168" s="132"/>
      <c r="R168" s="132"/>
      <c r="S168" s="132"/>
      <c r="T168" s="132"/>
      <c r="U168" s="132"/>
      <c r="V168" s="132"/>
      <c r="W168" s="132"/>
      <c r="X168" s="132"/>
      <c r="Y168" s="132"/>
      <c r="Z168" s="132"/>
    </row>
    <row r="169" spans="1:26" ht="11.25" customHeight="1" x14ac:dyDescent="0.3">
      <c r="A169" s="132"/>
      <c r="B169" s="132"/>
      <c r="C169" s="132"/>
      <c r="D169" s="132"/>
      <c r="E169" s="132"/>
      <c r="F169" s="132"/>
      <c r="G169" s="132"/>
      <c r="H169" s="132"/>
      <c r="I169" s="132"/>
      <c r="J169" s="132"/>
      <c r="K169" s="132"/>
      <c r="L169" s="132"/>
      <c r="M169" s="132"/>
      <c r="N169" s="132"/>
      <c r="O169" s="132"/>
      <c r="P169" s="132"/>
      <c r="Q169" s="132"/>
      <c r="R169" s="132"/>
      <c r="S169" s="132"/>
      <c r="T169" s="132"/>
      <c r="U169" s="132"/>
      <c r="V169" s="132"/>
      <c r="W169" s="132"/>
      <c r="X169" s="132"/>
      <c r="Y169" s="132"/>
      <c r="Z169" s="132"/>
    </row>
    <row r="170" spans="1:26" ht="11.25" customHeight="1" x14ac:dyDescent="0.3">
      <c r="A170" s="132"/>
      <c r="B170" s="132"/>
      <c r="C170" s="132"/>
      <c r="D170" s="132"/>
      <c r="E170" s="132"/>
      <c r="F170" s="132"/>
      <c r="G170" s="132"/>
      <c r="H170" s="132"/>
      <c r="I170" s="132"/>
      <c r="J170" s="132"/>
      <c r="K170" s="132"/>
      <c r="L170" s="132"/>
      <c r="M170" s="132"/>
      <c r="N170" s="132"/>
      <c r="O170" s="132"/>
      <c r="P170" s="132"/>
      <c r="Q170" s="132"/>
      <c r="R170" s="132"/>
      <c r="S170" s="132"/>
      <c r="T170" s="132"/>
      <c r="U170" s="132"/>
      <c r="V170" s="132"/>
      <c r="W170" s="132"/>
      <c r="X170" s="132"/>
      <c r="Y170" s="132"/>
      <c r="Z170" s="132"/>
    </row>
    <row r="171" spans="1:26" ht="11.25" customHeight="1" x14ac:dyDescent="0.3">
      <c r="A171" s="132"/>
      <c r="B171" s="132"/>
      <c r="C171" s="132"/>
      <c r="D171" s="132"/>
      <c r="E171" s="132"/>
      <c r="F171" s="132"/>
      <c r="G171" s="132"/>
      <c r="H171" s="132"/>
      <c r="I171" s="132"/>
      <c r="J171" s="132"/>
      <c r="K171" s="132"/>
      <c r="L171" s="132"/>
      <c r="M171" s="132"/>
      <c r="N171" s="132"/>
      <c r="O171" s="132"/>
      <c r="P171" s="132"/>
      <c r="Q171" s="132"/>
      <c r="R171" s="132"/>
      <c r="S171" s="132"/>
      <c r="T171" s="132"/>
      <c r="U171" s="132"/>
      <c r="V171" s="132"/>
      <c r="W171" s="132"/>
      <c r="X171" s="132"/>
      <c r="Y171" s="132"/>
      <c r="Z171" s="132"/>
    </row>
    <row r="172" spans="1:26" ht="11.25" customHeight="1" x14ac:dyDescent="0.3">
      <c r="A172" s="132"/>
      <c r="B172" s="132"/>
      <c r="C172" s="132"/>
      <c r="D172" s="132"/>
      <c r="E172" s="132"/>
      <c r="F172" s="132"/>
      <c r="G172" s="132"/>
      <c r="H172" s="132"/>
      <c r="I172" s="132"/>
      <c r="J172" s="132"/>
      <c r="K172" s="132"/>
      <c r="L172" s="132"/>
      <c r="M172" s="132"/>
      <c r="N172" s="132"/>
      <c r="O172" s="132"/>
      <c r="P172" s="132"/>
      <c r="Q172" s="132"/>
      <c r="R172" s="132"/>
      <c r="S172" s="132"/>
      <c r="T172" s="132"/>
      <c r="U172" s="132"/>
      <c r="V172" s="132"/>
      <c r="W172" s="132"/>
      <c r="X172" s="132"/>
      <c r="Y172" s="132"/>
      <c r="Z172" s="132"/>
    </row>
    <row r="173" spans="1:26" ht="11.25" customHeight="1" x14ac:dyDescent="0.3">
      <c r="A173" s="132"/>
      <c r="B173" s="132"/>
      <c r="C173" s="132"/>
      <c r="D173" s="132"/>
      <c r="E173" s="132"/>
      <c r="F173" s="132"/>
      <c r="G173" s="132"/>
      <c r="H173" s="132"/>
      <c r="I173" s="132"/>
      <c r="J173" s="132"/>
      <c r="K173" s="132"/>
      <c r="L173" s="132"/>
      <c r="M173" s="132"/>
      <c r="N173" s="132"/>
      <c r="O173" s="132"/>
      <c r="P173" s="132"/>
      <c r="Q173" s="132"/>
      <c r="R173" s="132"/>
      <c r="S173" s="132"/>
      <c r="T173" s="132"/>
      <c r="U173" s="132"/>
      <c r="V173" s="132"/>
      <c r="W173" s="132"/>
      <c r="X173" s="132"/>
      <c r="Y173" s="132"/>
      <c r="Z173" s="132"/>
    </row>
    <row r="174" spans="1:26" ht="11.25" customHeight="1" x14ac:dyDescent="0.3">
      <c r="A174" s="132"/>
      <c r="B174" s="132"/>
      <c r="C174" s="132"/>
      <c r="D174" s="132"/>
      <c r="E174" s="132"/>
      <c r="F174" s="132"/>
      <c r="G174" s="132"/>
      <c r="H174" s="132"/>
      <c r="I174" s="132"/>
      <c r="J174" s="132"/>
      <c r="K174" s="132"/>
      <c r="L174" s="132"/>
      <c r="M174" s="132"/>
      <c r="N174" s="132"/>
      <c r="O174" s="132"/>
      <c r="P174" s="132"/>
      <c r="Q174" s="132"/>
      <c r="R174" s="132"/>
      <c r="S174" s="132"/>
      <c r="T174" s="132"/>
      <c r="U174" s="132"/>
      <c r="V174" s="132"/>
      <c r="W174" s="132"/>
      <c r="X174" s="132"/>
      <c r="Y174" s="132"/>
      <c r="Z174" s="132"/>
    </row>
    <row r="175" spans="1:26" ht="11.25" customHeight="1" x14ac:dyDescent="0.3">
      <c r="A175" s="132"/>
      <c r="B175" s="132"/>
      <c r="C175" s="132"/>
      <c r="D175" s="132"/>
      <c r="E175" s="132"/>
      <c r="F175" s="132"/>
      <c r="G175" s="132"/>
      <c r="H175" s="132"/>
      <c r="I175" s="132"/>
      <c r="J175" s="132"/>
      <c r="K175" s="132"/>
      <c r="L175" s="132"/>
      <c r="M175" s="132"/>
      <c r="N175" s="132"/>
      <c r="O175" s="132"/>
      <c r="P175" s="132"/>
      <c r="Q175" s="132"/>
      <c r="R175" s="132"/>
      <c r="S175" s="132"/>
      <c r="T175" s="132"/>
      <c r="U175" s="132"/>
      <c r="V175" s="132"/>
      <c r="W175" s="132"/>
      <c r="X175" s="132"/>
      <c r="Y175" s="132"/>
      <c r="Z175" s="132"/>
    </row>
    <row r="176" spans="1:26" ht="11.25" customHeight="1" x14ac:dyDescent="0.3">
      <c r="A176" s="132"/>
      <c r="B176" s="132"/>
      <c r="C176" s="132"/>
      <c r="D176" s="132"/>
      <c r="E176" s="132"/>
      <c r="F176" s="132"/>
      <c r="G176" s="132"/>
      <c r="H176" s="132"/>
      <c r="I176" s="132"/>
      <c r="J176" s="132"/>
      <c r="K176" s="132"/>
      <c r="L176" s="132"/>
      <c r="M176" s="132"/>
      <c r="N176" s="132"/>
      <c r="O176" s="132"/>
      <c r="P176" s="132"/>
      <c r="Q176" s="132"/>
      <c r="R176" s="132"/>
      <c r="S176" s="132"/>
      <c r="T176" s="132"/>
      <c r="U176" s="132"/>
      <c r="V176" s="132"/>
      <c r="W176" s="132"/>
      <c r="X176" s="132"/>
      <c r="Y176" s="132"/>
      <c r="Z176" s="132"/>
    </row>
    <row r="177" spans="1:26" ht="11.25" customHeight="1" x14ac:dyDescent="0.3">
      <c r="A177" s="132"/>
      <c r="B177" s="132"/>
      <c r="C177" s="132"/>
      <c r="D177" s="132"/>
      <c r="E177" s="132"/>
      <c r="F177" s="132"/>
      <c r="G177" s="132"/>
      <c r="H177" s="132"/>
      <c r="I177" s="132"/>
      <c r="J177" s="132"/>
      <c r="K177" s="132"/>
      <c r="L177" s="132"/>
      <c r="M177" s="132"/>
      <c r="N177" s="132"/>
      <c r="O177" s="132"/>
      <c r="P177" s="132"/>
      <c r="Q177" s="132"/>
      <c r="R177" s="132"/>
      <c r="S177" s="132"/>
      <c r="T177" s="132"/>
      <c r="U177" s="132"/>
      <c r="V177" s="132"/>
      <c r="W177" s="132"/>
      <c r="X177" s="132"/>
      <c r="Y177" s="132"/>
      <c r="Z177" s="132"/>
    </row>
    <row r="178" spans="1:26" ht="11.25" customHeight="1" x14ac:dyDescent="0.3">
      <c r="A178" s="132"/>
      <c r="B178" s="132"/>
      <c r="C178" s="132"/>
      <c r="D178" s="132"/>
      <c r="E178" s="132"/>
      <c r="F178" s="132"/>
      <c r="G178" s="132"/>
      <c r="H178" s="132"/>
      <c r="I178" s="132"/>
      <c r="J178" s="132"/>
      <c r="K178" s="132"/>
      <c r="L178" s="132"/>
      <c r="M178" s="132"/>
      <c r="N178" s="132"/>
      <c r="O178" s="132"/>
      <c r="P178" s="132"/>
      <c r="Q178" s="132"/>
      <c r="R178" s="132"/>
      <c r="S178" s="132"/>
      <c r="T178" s="132"/>
      <c r="U178" s="132"/>
      <c r="V178" s="132"/>
      <c r="W178" s="132"/>
      <c r="X178" s="132"/>
      <c r="Y178" s="132"/>
      <c r="Z178" s="132"/>
    </row>
    <row r="179" spans="1:26" ht="11.25" customHeight="1" x14ac:dyDescent="0.3">
      <c r="A179" s="132"/>
      <c r="B179" s="132"/>
      <c r="C179" s="132"/>
      <c r="D179" s="132"/>
      <c r="E179" s="132"/>
      <c r="F179" s="132"/>
      <c r="G179" s="132"/>
      <c r="H179" s="132"/>
      <c r="I179" s="132"/>
      <c r="J179" s="132"/>
      <c r="K179" s="132"/>
      <c r="L179" s="132"/>
      <c r="M179" s="132"/>
      <c r="N179" s="132"/>
      <c r="O179" s="132"/>
      <c r="P179" s="132"/>
      <c r="Q179" s="132"/>
      <c r="R179" s="132"/>
      <c r="S179" s="132"/>
      <c r="T179" s="132"/>
      <c r="U179" s="132"/>
      <c r="V179" s="132"/>
      <c r="W179" s="132"/>
      <c r="X179" s="132"/>
      <c r="Y179" s="132"/>
      <c r="Z179" s="132"/>
    </row>
    <row r="180" spans="1:26" ht="11.25" customHeight="1" x14ac:dyDescent="0.3">
      <c r="A180" s="132"/>
      <c r="B180" s="132"/>
      <c r="C180" s="132"/>
      <c r="D180" s="132"/>
      <c r="E180" s="132"/>
      <c r="F180" s="132"/>
      <c r="G180" s="132"/>
      <c r="H180" s="132"/>
      <c r="I180" s="132"/>
      <c r="J180" s="132"/>
      <c r="K180" s="132"/>
      <c r="L180" s="132"/>
      <c r="M180" s="132"/>
      <c r="N180" s="132"/>
      <c r="O180" s="132"/>
      <c r="P180" s="132"/>
      <c r="Q180" s="132"/>
      <c r="R180" s="132"/>
      <c r="S180" s="132"/>
      <c r="T180" s="132"/>
      <c r="U180" s="132"/>
      <c r="V180" s="132"/>
      <c r="W180" s="132"/>
      <c r="X180" s="132"/>
      <c r="Y180" s="132"/>
      <c r="Z180" s="132"/>
    </row>
    <row r="181" spans="1:26" ht="11.25" customHeight="1" x14ac:dyDescent="0.3">
      <c r="A181" s="132"/>
      <c r="B181" s="132"/>
      <c r="C181" s="132"/>
      <c r="D181" s="132"/>
      <c r="E181" s="132"/>
      <c r="F181" s="132"/>
      <c r="G181" s="132"/>
      <c r="H181" s="132"/>
      <c r="I181" s="132"/>
      <c r="J181" s="132"/>
      <c r="K181" s="132"/>
      <c r="L181" s="132"/>
      <c r="M181" s="132"/>
      <c r="N181" s="132"/>
      <c r="O181" s="132"/>
      <c r="P181" s="132"/>
      <c r="Q181" s="132"/>
      <c r="R181" s="132"/>
      <c r="S181" s="132"/>
      <c r="T181" s="132"/>
      <c r="U181" s="132"/>
      <c r="V181" s="132"/>
      <c r="W181" s="132"/>
      <c r="X181" s="132"/>
      <c r="Y181" s="132"/>
      <c r="Z181" s="132"/>
    </row>
    <row r="182" spans="1:26" ht="11.25" customHeight="1" x14ac:dyDescent="0.3">
      <c r="A182" s="132"/>
      <c r="B182" s="132"/>
      <c r="C182" s="132"/>
      <c r="D182" s="132"/>
      <c r="E182" s="132"/>
      <c r="F182" s="132"/>
      <c r="G182" s="132"/>
      <c r="H182" s="132"/>
      <c r="I182" s="132"/>
      <c r="J182" s="132"/>
      <c r="K182" s="132"/>
      <c r="L182" s="132"/>
      <c r="M182" s="132"/>
      <c r="N182" s="132"/>
      <c r="O182" s="132"/>
      <c r="P182" s="132"/>
      <c r="Q182" s="132"/>
      <c r="R182" s="132"/>
      <c r="S182" s="132"/>
      <c r="T182" s="132"/>
      <c r="U182" s="132"/>
      <c r="V182" s="132"/>
      <c r="W182" s="132"/>
      <c r="X182" s="132"/>
      <c r="Y182" s="132"/>
      <c r="Z182" s="132"/>
    </row>
    <row r="183" spans="1:26" ht="11.25" customHeight="1" x14ac:dyDescent="0.3">
      <c r="A183" s="132"/>
      <c r="B183" s="132"/>
      <c r="C183" s="132"/>
      <c r="D183" s="132"/>
      <c r="E183" s="132"/>
      <c r="F183" s="132"/>
      <c r="G183" s="132"/>
      <c r="H183" s="132"/>
      <c r="I183" s="132"/>
      <c r="J183" s="132"/>
      <c r="K183" s="132"/>
      <c r="L183" s="132"/>
      <c r="M183" s="132"/>
      <c r="N183" s="132"/>
      <c r="O183" s="132"/>
      <c r="P183" s="132"/>
      <c r="Q183" s="132"/>
      <c r="R183" s="132"/>
      <c r="S183" s="132"/>
      <c r="T183" s="132"/>
      <c r="U183" s="132"/>
      <c r="V183" s="132"/>
      <c r="W183" s="132"/>
      <c r="X183" s="132"/>
      <c r="Y183" s="132"/>
      <c r="Z183" s="132"/>
    </row>
    <row r="184" spans="1:26" ht="11.25" customHeight="1" x14ac:dyDescent="0.3">
      <c r="A184" s="132"/>
      <c r="B184" s="132"/>
      <c r="C184" s="132"/>
      <c r="D184" s="132"/>
      <c r="E184" s="132"/>
      <c r="F184" s="132"/>
      <c r="G184" s="132"/>
      <c r="H184" s="132"/>
      <c r="I184" s="132"/>
      <c r="J184" s="132"/>
      <c r="K184" s="132"/>
      <c r="L184" s="132"/>
      <c r="M184" s="132"/>
      <c r="N184" s="132"/>
      <c r="O184" s="132"/>
      <c r="P184" s="132"/>
      <c r="Q184" s="132"/>
      <c r="R184" s="132"/>
      <c r="S184" s="132"/>
      <c r="T184" s="132"/>
      <c r="U184" s="132"/>
      <c r="V184" s="132"/>
      <c r="W184" s="132"/>
      <c r="X184" s="132"/>
      <c r="Y184" s="132"/>
      <c r="Z184" s="132"/>
    </row>
    <row r="185" spans="1:26" ht="11.25" customHeight="1" x14ac:dyDescent="0.3">
      <c r="A185" s="132"/>
      <c r="B185" s="132"/>
      <c r="C185" s="132"/>
      <c r="D185" s="132"/>
      <c r="E185" s="132"/>
      <c r="F185" s="132"/>
      <c r="G185" s="132"/>
      <c r="H185" s="132"/>
      <c r="I185" s="132"/>
      <c r="J185" s="132"/>
      <c r="K185" s="132"/>
      <c r="L185" s="132"/>
      <c r="M185" s="132"/>
      <c r="N185" s="132"/>
      <c r="O185" s="132"/>
      <c r="P185" s="132"/>
      <c r="Q185" s="132"/>
      <c r="R185" s="132"/>
      <c r="S185" s="132"/>
      <c r="T185" s="132"/>
      <c r="U185" s="132"/>
      <c r="V185" s="132"/>
      <c r="W185" s="132"/>
      <c r="X185" s="132"/>
      <c r="Y185" s="132"/>
      <c r="Z185" s="132"/>
    </row>
    <row r="186" spans="1:26" ht="11.25" customHeight="1" x14ac:dyDescent="0.3">
      <c r="A186" s="132"/>
      <c r="B186" s="132"/>
      <c r="C186" s="132"/>
      <c r="D186" s="132"/>
      <c r="E186" s="132"/>
      <c r="F186" s="132"/>
      <c r="G186" s="132"/>
      <c r="H186" s="132"/>
      <c r="I186" s="132"/>
      <c r="J186" s="132"/>
      <c r="K186" s="132"/>
      <c r="L186" s="132"/>
      <c r="M186" s="132"/>
      <c r="N186" s="132"/>
      <c r="O186" s="132"/>
      <c r="P186" s="132"/>
      <c r="Q186" s="132"/>
      <c r="R186" s="132"/>
      <c r="S186" s="132"/>
      <c r="T186" s="132"/>
      <c r="U186" s="132"/>
      <c r="V186" s="132"/>
      <c r="W186" s="132"/>
      <c r="X186" s="132"/>
      <c r="Y186" s="132"/>
      <c r="Z186" s="132"/>
    </row>
    <row r="187" spans="1:26" ht="11.25" customHeight="1" x14ac:dyDescent="0.3">
      <c r="A187" s="132"/>
      <c r="B187" s="132"/>
      <c r="C187" s="132"/>
      <c r="D187" s="132"/>
      <c r="E187" s="132"/>
      <c r="F187" s="132"/>
      <c r="G187" s="132"/>
      <c r="H187" s="132"/>
      <c r="I187" s="132"/>
      <c r="J187" s="132"/>
      <c r="K187" s="132"/>
      <c r="L187" s="132"/>
      <c r="M187" s="132"/>
      <c r="N187" s="132"/>
      <c r="O187" s="132"/>
      <c r="P187" s="132"/>
      <c r="Q187" s="132"/>
      <c r="R187" s="132"/>
      <c r="S187" s="132"/>
      <c r="T187" s="132"/>
      <c r="U187" s="132"/>
      <c r="V187" s="132"/>
      <c r="W187" s="132"/>
      <c r="X187" s="132"/>
      <c r="Y187" s="132"/>
      <c r="Z187" s="132"/>
    </row>
    <row r="188" spans="1:26" ht="11.25" customHeight="1" x14ac:dyDescent="0.3">
      <c r="A188" s="132"/>
      <c r="B188" s="132"/>
      <c r="C188" s="132"/>
      <c r="D188" s="132"/>
      <c r="E188" s="132"/>
      <c r="F188" s="132"/>
      <c r="G188" s="132"/>
      <c r="H188" s="132"/>
      <c r="I188" s="132"/>
      <c r="J188" s="132"/>
      <c r="K188" s="132"/>
      <c r="L188" s="132"/>
      <c r="M188" s="132"/>
      <c r="N188" s="132"/>
      <c r="O188" s="132"/>
      <c r="P188" s="132"/>
      <c r="Q188" s="132"/>
      <c r="R188" s="132"/>
      <c r="S188" s="132"/>
      <c r="T188" s="132"/>
      <c r="U188" s="132"/>
      <c r="V188" s="132"/>
      <c r="W188" s="132"/>
      <c r="X188" s="132"/>
      <c r="Y188" s="132"/>
      <c r="Z188" s="132"/>
    </row>
    <row r="189" spans="1:26" ht="11.25" customHeight="1" x14ac:dyDescent="0.3">
      <c r="A189" s="132"/>
      <c r="B189" s="132"/>
      <c r="C189" s="132"/>
      <c r="D189" s="132"/>
      <c r="E189" s="132"/>
      <c r="F189" s="132"/>
      <c r="G189" s="132"/>
      <c r="H189" s="132"/>
      <c r="I189" s="132"/>
      <c r="J189" s="132"/>
      <c r="K189" s="132"/>
      <c r="L189" s="132"/>
      <c r="M189" s="132"/>
      <c r="N189" s="132"/>
      <c r="O189" s="132"/>
      <c r="P189" s="132"/>
      <c r="Q189" s="132"/>
      <c r="R189" s="132"/>
      <c r="S189" s="132"/>
      <c r="T189" s="132"/>
      <c r="U189" s="132"/>
      <c r="V189" s="132"/>
      <c r="W189" s="132"/>
      <c r="X189" s="132"/>
      <c r="Y189" s="132"/>
      <c r="Z189" s="132"/>
    </row>
    <row r="190" spans="1:26" ht="11.25" customHeight="1" x14ac:dyDescent="0.3">
      <c r="A190" s="132"/>
      <c r="B190" s="132"/>
      <c r="C190" s="132"/>
      <c r="D190" s="132"/>
      <c r="E190" s="132"/>
      <c r="F190" s="132"/>
      <c r="G190" s="132"/>
      <c r="H190" s="132"/>
      <c r="I190" s="132"/>
      <c r="J190" s="132"/>
      <c r="K190" s="132"/>
      <c r="L190" s="132"/>
      <c r="M190" s="132"/>
      <c r="N190" s="132"/>
      <c r="O190" s="132"/>
      <c r="P190" s="132"/>
      <c r="Q190" s="132"/>
      <c r="R190" s="132"/>
      <c r="S190" s="132"/>
      <c r="T190" s="132"/>
      <c r="U190" s="132"/>
      <c r="V190" s="132"/>
      <c r="W190" s="132"/>
      <c r="X190" s="132"/>
      <c r="Y190" s="132"/>
      <c r="Z190" s="132"/>
    </row>
    <row r="191" spans="1:26" ht="11.25" customHeight="1" x14ac:dyDescent="0.3">
      <c r="A191" s="132"/>
      <c r="B191" s="132"/>
      <c r="C191" s="132"/>
      <c r="D191" s="132"/>
      <c r="E191" s="132"/>
      <c r="F191" s="132"/>
      <c r="G191" s="132"/>
      <c r="H191" s="132"/>
      <c r="I191" s="132"/>
      <c r="J191" s="132"/>
      <c r="K191" s="132"/>
      <c r="L191" s="132"/>
      <c r="M191" s="132"/>
      <c r="N191" s="132"/>
      <c r="O191" s="132"/>
      <c r="P191" s="132"/>
      <c r="Q191" s="132"/>
      <c r="R191" s="132"/>
      <c r="S191" s="132"/>
      <c r="T191" s="132"/>
      <c r="U191" s="132"/>
      <c r="V191" s="132"/>
      <c r="W191" s="132"/>
      <c r="X191" s="132"/>
      <c r="Y191" s="132"/>
      <c r="Z191" s="132"/>
    </row>
    <row r="192" spans="1:26" ht="11.25" customHeight="1" x14ac:dyDescent="0.3">
      <c r="A192" s="132"/>
      <c r="B192" s="132"/>
      <c r="C192" s="132"/>
      <c r="D192" s="132"/>
      <c r="E192" s="132"/>
      <c r="F192" s="132"/>
      <c r="G192" s="132"/>
      <c r="H192" s="132"/>
      <c r="I192" s="132"/>
      <c r="J192" s="132"/>
      <c r="K192" s="132"/>
      <c r="L192" s="132"/>
      <c r="M192" s="132"/>
      <c r="N192" s="132"/>
      <c r="O192" s="132"/>
      <c r="P192" s="132"/>
      <c r="Q192" s="132"/>
      <c r="R192" s="132"/>
      <c r="S192" s="132"/>
      <c r="T192" s="132"/>
      <c r="U192" s="132"/>
      <c r="V192" s="132"/>
      <c r="W192" s="132"/>
      <c r="X192" s="132"/>
      <c r="Y192" s="132"/>
      <c r="Z192" s="132"/>
    </row>
    <row r="193" spans="1:26" ht="11.25" customHeight="1" x14ac:dyDescent="0.3">
      <c r="A193" s="132"/>
      <c r="B193" s="132"/>
      <c r="C193" s="132"/>
      <c r="D193" s="132"/>
      <c r="E193" s="132"/>
      <c r="F193" s="132"/>
      <c r="G193" s="132"/>
      <c r="H193" s="132"/>
      <c r="I193" s="132"/>
      <c r="J193" s="132"/>
      <c r="K193" s="132"/>
      <c r="L193" s="132"/>
      <c r="M193" s="132"/>
      <c r="N193" s="132"/>
      <c r="O193" s="132"/>
      <c r="P193" s="132"/>
      <c r="Q193" s="132"/>
      <c r="R193" s="132"/>
      <c r="S193" s="132"/>
      <c r="T193" s="132"/>
      <c r="U193" s="132"/>
      <c r="V193" s="132"/>
      <c r="W193" s="132"/>
      <c r="X193" s="132"/>
      <c r="Y193" s="132"/>
      <c r="Z193" s="132"/>
    </row>
    <row r="194" spans="1:26" ht="11.25" customHeight="1" x14ac:dyDescent="0.3">
      <c r="A194" s="132"/>
      <c r="B194" s="132"/>
      <c r="C194" s="132"/>
      <c r="D194" s="132"/>
      <c r="E194" s="132"/>
      <c r="F194" s="132"/>
      <c r="G194" s="132"/>
      <c r="H194" s="132"/>
      <c r="I194" s="132"/>
      <c r="J194" s="132"/>
      <c r="K194" s="132"/>
      <c r="L194" s="132"/>
      <c r="M194" s="132"/>
      <c r="N194" s="132"/>
      <c r="O194" s="132"/>
      <c r="P194" s="132"/>
      <c r="Q194" s="132"/>
      <c r="R194" s="132"/>
      <c r="S194" s="132"/>
      <c r="T194" s="132"/>
      <c r="U194" s="132"/>
      <c r="V194" s="132"/>
      <c r="W194" s="132"/>
      <c r="X194" s="132"/>
      <c r="Y194" s="132"/>
      <c r="Z194" s="132"/>
    </row>
    <row r="195" spans="1:26" ht="11.25" customHeight="1" x14ac:dyDescent="0.3">
      <c r="A195" s="132"/>
      <c r="B195" s="132"/>
      <c r="C195" s="132"/>
      <c r="D195" s="132"/>
      <c r="E195" s="132"/>
      <c r="F195" s="132"/>
      <c r="G195" s="132"/>
      <c r="H195" s="132"/>
      <c r="I195" s="132"/>
      <c r="J195" s="132"/>
      <c r="K195" s="132"/>
      <c r="L195" s="132"/>
      <c r="M195" s="132"/>
      <c r="N195" s="132"/>
      <c r="O195" s="132"/>
      <c r="P195" s="132"/>
      <c r="Q195" s="132"/>
      <c r="R195" s="132"/>
      <c r="S195" s="132"/>
      <c r="T195" s="132"/>
      <c r="U195" s="132"/>
      <c r="V195" s="132"/>
      <c r="W195" s="132"/>
      <c r="X195" s="132"/>
      <c r="Y195" s="132"/>
      <c r="Z195" s="132"/>
    </row>
    <row r="196" spans="1:26" ht="11.25" customHeight="1" x14ac:dyDescent="0.3">
      <c r="A196" s="132"/>
      <c r="B196" s="132"/>
      <c r="C196" s="132"/>
      <c r="D196" s="132"/>
      <c r="E196" s="132"/>
      <c r="F196" s="132"/>
      <c r="G196" s="132"/>
      <c r="H196" s="132"/>
      <c r="I196" s="132"/>
      <c r="J196" s="132"/>
      <c r="K196" s="132"/>
      <c r="L196" s="132"/>
      <c r="M196" s="132"/>
      <c r="N196" s="132"/>
      <c r="O196" s="132"/>
      <c r="P196" s="132"/>
      <c r="Q196" s="132"/>
      <c r="R196" s="132"/>
      <c r="S196" s="132"/>
      <c r="T196" s="132"/>
      <c r="U196" s="132"/>
      <c r="V196" s="132"/>
      <c r="W196" s="132"/>
      <c r="X196" s="132"/>
      <c r="Y196" s="132"/>
      <c r="Z196" s="132"/>
    </row>
    <row r="197" spans="1:26" ht="11.25" customHeight="1" x14ac:dyDescent="0.3">
      <c r="A197" s="132"/>
      <c r="B197" s="132"/>
      <c r="C197" s="132"/>
      <c r="D197" s="132"/>
      <c r="E197" s="132"/>
      <c r="F197" s="132"/>
      <c r="G197" s="132"/>
      <c r="H197" s="132"/>
      <c r="I197" s="132"/>
      <c r="J197" s="132"/>
      <c r="K197" s="132"/>
      <c r="L197" s="132"/>
      <c r="M197" s="132"/>
      <c r="N197" s="132"/>
      <c r="O197" s="132"/>
      <c r="P197" s="132"/>
      <c r="Q197" s="132"/>
      <c r="R197" s="132"/>
      <c r="S197" s="132"/>
      <c r="T197" s="132"/>
      <c r="U197" s="132"/>
      <c r="V197" s="132"/>
      <c r="W197" s="132"/>
      <c r="X197" s="132"/>
      <c r="Y197" s="132"/>
      <c r="Z197" s="132"/>
    </row>
    <row r="198" spans="1:26" ht="11.25" customHeight="1" x14ac:dyDescent="0.3">
      <c r="A198" s="132"/>
      <c r="B198" s="132"/>
      <c r="C198" s="132"/>
      <c r="D198" s="132"/>
      <c r="E198" s="132"/>
      <c r="F198" s="132"/>
      <c r="G198" s="132"/>
      <c r="H198" s="132"/>
      <c r="I198" s="132"/>
      <c r="J198" s="132"/>
      <c r="K198" s="132"/>
      <c r="L198" s="132"/>
      <c r="M198" s="132"/>
      <c r="N198" s="132"/>
      <c r="O198" s="132"/>
      <c r="P198" s="132"/>
      <c r="Q198" s="132"/>
      <c r="R198" s="132"/>
      <c r="S198" s="132"/>
      <c r="T198" s="132"/>
      <c r="U198" s="132"/>
      <c r="V198" s="132"/>
      <c r="W198" s="132"/>
      <c r="X198" s="132"/>
      <c r="Y198" s="132"/>
      <c r="Z198" s="132"/>
    </row>
    <row r="199" spans="1:26" ht="11.25" customHeight="1" x14ac:dyDescent="0.3">
      <c r="A199" s="132"/>
      <c r="B199" s="132"/>
      <c r="C199" s="132"/>
      <c r="D199" s="132"/>
      <c r="E199" s="132"/>
      <c r="F199" s="132"/>
      <c r="G199" s="132"/>
      <c r="H199" s="132"/>
      <c r="I199" s="132"/>
      <c r="J199" s="132"/>
      <c r="K199" s="132"/>
      <c r="L199" s="132"/>
      <c r="M199" s="132"/>
      <c r="N199" s="132"/>
      <c r="O199" s="132"/>
      <c r="P199" s="132"/>
      <c r="Q199" s="132"/>
      <c r="R199" s="132"/>
      <c r="S199" s="132"/>
      <c r="T199" s="132"/>
      <c r="U199" s="132"/>
      <c r="V199" s="132"/>
      <c r="W199" s="132"/>
      <c r="X199" s="132"/>
      <c r="Y199" s="132"/>
      <c r="Z199" s="132"/>
    </row>
    <row r="200" spans="1:26" ht="11.25" customHeight="1" x14ac:dyDescent="0.3">
      <c r="A200" s="132"/>
      <c r="B200" s="132"/>
      <c r="C200" s="132"/>
      <c r="D200" s="132"/>
      <c r="E200" s="132"/>
      <c r="F200" s="132"/>
      <c r="G200" s="132"/>
      <c r="H200" s="132"/>
      <c r="I200" s="132"/>
      <c r="J200" s="132"/>
      <c r="K200" s="132"/>
      <c r="L200" s="132"/>
      <c r="M200" s="132"/>
      <c r="N200" s="132"/>
      <c r="O200" s="132"/>
      <c r="P200" s="132"/>
      <c r="Q200" s="132"/>
      <c r="R200" s="132"/>
      <c r="S200" s="132"/>
      <c r="T200" s="132"/>
      <c r="U200" s="132"/>
      <c r="V200" s="132"/>
      <c r="W200" s="132"/>
      <c r="X200" s="132"/>
      <c r="Y200" s="132"/>
      <c r="Z200" s="132"/>
    </row>
    <row r="201" spans="1:26" ht="11.25" customHeight="1" x14ac:dyDescent="0.3">
      <c r="A201" s="132"/>
      <c r="B201" s="132"/>
      <c r="C201" s="132"/>
      <c r="D201" s="132"/>
      <c r="E201" s="132"/>
      <c r="F201" s="132"/>
      <c r="G201" s="132"/>
      <c r="H201" s="132"/>
      <c r="I201" s="132"/>
      <c r="J201" s="132"/>
      <c r="K201" s="132"/>
      <c r="L201" s="132"/>
      <c r="M201" s="132"/>
      <c r="N201" s="132"/>
      <c r="O201" s="132"/>
      <c r="P201" s="132"/>
      <c r="Q201" s="132"/>
      <c r="R201" s="132"/>
      <c r="S201" s="132"/>
      <c r="T201" s="132"/>
      <c r="U201" s="132"/>
      <c r="V201" s="132"/>
      <c r="W201" s="132"/>
      <c r="X201" s="132"/>
      <c r="Y201" s="132"/>
      <c r="Z201" s="132"/>
    </row>
    <row r="202" spans="1:26" ht="11.25" customHeight="1" x14ac:dyDescent="0.3">
      <c r="A202" s="132"/>
      <c r="B202" s="132"/>
      <c r="C202" s="132"/>
      <c r="D202" s="132"/>
      <c r="E202" s="132"/>
      <c r="F202" s="132"/>
      <c r="G202" s="132"/>
      <c r="H202" s="132"/>
      <c r="I202" s="132"/>
      <c r="J202" s="132"/>
      <c r="K202" s="132"/>
      <c r="L202" s="132"/>
      <c r="M202" s="132"/>
      <c r="N202" s="132"/>
      <c r="O202" s="132"/>
      <c r="P202" s="132"/>
      <c r="Q202" s="132"/>
      <c r="R202" s="132"/>
      <c r="S202" s="132"/>
      <c r="T202" s="132"/>
      <c r="U202" s="132"/>
      <c r="V202" s="132"/>
      <c r="W202" s="132"/>
      <c r="X202" s="132"/>
      <c r="Y202" s="132"/>
      <c r="Z202" s="132"/>
    </row>
    <row r="203" spans="1:26" ht="11.25" customHeight="1" x14ac:dyDescent="0.3">
      <c r="A203" s="132"/>
      <c r="B203" s="132"/>
      <c r="C203" s="132"/>
      <c r="D203" s="132"/>
      <c r="E203" s="132"/>
      <c r="F203" s="132"/>
      <c r="G203" s="132"/>
      <c r="H203" s="132"/>
      <c r="I203" s="132"/>
      <c r="J203" s="132"/>
      <c r="K203" s="132"/>
      <c r="L203" s="132"/>
      <c r="M203" s="132"/>
      <c r="N203" s="132"/>
      <c r="O203" s="132"/>
      <c r="P203" s="132"/>
      <c r="Q203" s="132"/>
      <c r="R203" s="132"/>
      <c r="S203" s="132"/>
      <c r="T203" s="132"/>
      <c r="U203" s="132"/>
      <c r="V203" s="132"/>
      <c r="W203" s="132"/>
      <c r="X203" s="132"/>
      <c r="Y203" s="132"/>
      <c r="Z203" s="132"/>
    </row>
    <row r="204" spans="1:26" ht="11.25" customHeight="1" x14ac:dyDescent="0.3">
      <c r="A204" s="132"/>
      <c r="B204" s="132"/>
      <c r="C204" s="132"/>
      <c r="D204" s="132"/>
      <c r="E204" s="132"/>
      <c r="F204" s="132"/>
      <c r="G204" s="132"/>
      <c r="H204" s="132"/>
      <c r="I204" s="132"/>
      <c r="J204" s="132"/>
      <c r="K204" s="132"/>
      <c r="L204" s="132"/>
      <c r="M204" s="132"/>
      <c r="N204" s="132"/>
      <c r="O204" s="132"/>
      <c r="P204" s="132"/>
      <c r="Q204" s="132"/>
      <c r="R204" s="132"/>
      <c r="S204" s="132"/>
      <c r="T204" s="132"/>
      <c r="U204" s="132"/>
      <c r="V204" s="132"/>
      <c r="W204" s="132"/>
      <c r="X204" s="132"/>
      <c r="Y204" s="132"/>
      <c r="Z204" s="132"/>
    </row>
    <row r="205" spans="1:26" ht="11.25" customHeight="1" x14ac:dyDescent="0.3">
      <c r="A205" s="132"/>
      <c r="B205" s="132"/>
      <c r="C205" s="132"/>
      <c r="D205" s="132"/>
      <c r="E205" s="132"/>
      <c r="F205" s="132"/>
      <c r="G205" s="132"/>
      <c r="H205" s="132"/>
      <c r="I205" s="132"/>
      <c r="J205" s="132"/>
      <c r="K205" s="132"/>
      <c r="L205" s="132"/>
      <c r="M205" s="132"/>
      <c r="N205" s="132"/>
      <c r="O205" s="132"/>
      <c r="P205" s="132"/>
      <c r="Q205" s="132"/>
      <c r="R205" s="132"/>
      <c r="S205" s="132"/>
      <c r="T205" s="132"/>
      <c r="U205" s="132"/>
      <c r="V205" s="132"/>
      <c r="W205" s="132"/>
      <c r="X205" s="132"/>
      <c r="Y205" s="132"/>
      <c r="Z205" s="132"/>
    </row>
    <row r="206" spans="1:26" ht="11.25" customHeight="1" x14ac:dyDescent="0.3">
      <c r="A206" s="132"/>
      <c r="B206" s="132"/>
      <c r="C206" s="132"/>
      <c r="D206" s="132"/>
      <c r="E206" s="132"/>
      <c r="F206" s="132"/>
      <c r="G206" s="132"/>
      <c r="H206" s="132"/>
      <c r="I206" s="132"/>
      <c r="J206" s="132"/>
      <c r="K206" s="132"/>
      <c r="L206" s="132"/>
      <c r="M206" s="132"/>
      <c r="N206" s="132"/>
      <c r="O206" s="132"/>
      <c r="P206" s="132"/>
      <c r="Q206" s="132"/>
      <c r="R206" s="132"/>
      <c r="S206" s="132"/>
      <c r="T206" s="132"/>
      <c r="U206" s="132"/>
      <c r="V206" s="132"/>
      <c r="W206" s="132"/>
      <c r="X206" s="132"/>
      <c r="Y206" s="132"/>
      <c r="Z206" s="132"/>
    </row>
    <row r="207" spans="1:26" ht="11.25" customHeight="1" x14ac:dyDescent="0.3">
      <c r="A207" s="132"/>
      <c r="B207" s="132"/>
      <c r="C207" s="132"/>
      <c r="D207" s="132"/>
      <c r="E207" s="132"/>
      <c r="F207" s="132"/>
      <c r="G207" s="132"/>
      <c r="H207" s="132"/>
      <c r="I207" s="132"/>
      <c r="J207" s="132"/>
      <c r="K207" s="132"/>
      <c r="L207" s="132"/>
      <c r="M207" s="132"/>
      <c r="N207" s="132"/>
      <c r="O207" s="132"/>
      <c r="P207" s="132"/>
      <c r="Q207" s="132"/>
      <c r="R207" s="132"/>
      <c r="S207" s="132"/>
      <c r="T207" s="132"/>
      <c r="U207" s="132"/>
      <c r="V207" s="132"/>
      <c r="W207" s="132"/>
      <c r="X207" s="132"/>
      <c r="Y207" s="132"/>
      <c r="Z207" s="132"/>
    </row>
    <row r="208" spans="1:26" ht="11.25" customHeight="1" x14ac:dyDescent="0.3">
      <c r="A208" s="132"/>
      <c r="B208" s="132"/>
      <c r="C208" s="132"/>
      <c r="D208" s="132"/>
      <c r="E208" s="132"/>
      <c r="F208" s="132"/>
      <c r="G208" s="132"/>
      <c r="H208" s="132"/>
      <c r="I208" s="132"/>
      <c r="J208" s="132"/>
      <c r="K208" s="132"/>
      <c r="L208" s="132"/>
      <c r="M208" s="132"/>
      <c r="N208" s="132"/>
      <c r="O208" s="132"/>
      <c r="P208" s="132"/>
      <c r="Q208" s="132"/>
      <c r="R208" s="132"/>
      <c r="S208" s="132"/>
      <c r="T208" s="132"/>
      <c r="U208" s="132"/>
      <c r="V208" s="132"/>
      <c r="W208" s="132"/>
      <c r="X208" s="132"/>
      <c r="Y208" s="132"/>
      <c r="Z208" s="132"/>
    </row>
    <row r="209" spans="1:26" ht="11.25" customHeight="1" x14ac:dyDescent="0.3">
      <c r="A209" s="132"/>
      <c r="B209" s="132"/>
      <c r="C209" s="132"/>
      <c r="D209" s="132"/>
      <c r="E209" s="132"/>
      <c r="F209" s="132"/>
      <c r="G209" s="132"/>
      <c r="H209" s="132"/>
      <c r="I209" s="132"/>
      <c r="J209" s="132"/>
      <c r="K209" s="132"/>
      <c r="L209" s="132"/>
      <c r="M209" s="132"/>
      <c r="N209" s="132"/>
      <c r="O209" s="132"/>
      <c r="P209" s="132"/>
      <c r="Q209" s="132"/>
      <c r="R209" s="132"/>
      <c r="S209" s="132"/>
      <c r="T209" s="132"/>
      <c r="U209" s="132"/>
      <c r="V209" s="132"/>
      <c r="W209" s="132"/>
      <c r="X209" s="132"/>
      <c r="Y209" s="132"/>
      <c r="Z209" s="132"/>
    </row>
    <row r="210" spans="1:26" ht="11.25" customHeight="1" x14ac:dyDescent="0.3">
      <c r="A210" s="132"/>
      <c r="B210" s="132"/>
      <c r="C210" s="132"/>
      <c r="D210" s="132"/>
      <c r="E210" s="132"/>
      <c r="F210" s="132"/>
      <c r="G210" s="132"/>
      <c r="H210" s="132"/>
      <c r="I210" s="132"/>
      <c r="J210" s="132"/>
      <c r="K210" s="132"/>
      <c r="L210" s="132"/>
      <c r="M210" s="132"/>
      <c r="N210" s="132"/>
      <c r="O210" s="132"/>
      <c r="P210" s="132"/>
      <c r="Q210" s="132"/>
      <c r="R210" s="132"/>
      <c r="S210" s="132"/>
      <c r="T210" s="132"/>
      <c r="U210" s="132"/>
      <c r="V210" s="132"/>
      <c r="W210" s="132"/>
      <c r="X210" s="132"/>
      <c r="Y210" s="132"/>
      <c r="Z210" s="132"/>
    </row>
    <row r="211" spans="1:26" ht="11.25" customHeight="1" x14ac:dyDescent="0.3">
      <c r="A211" s="132"/>
      <c r="B211" s="132"/>
      <c r="C211" s="132"/>
      <c r="D211" s="132"/>
      <c r="E211" s="132"/>
      <c r="F211" s="132"/>
      <c r="G211" s="132"/>
      <c r="H211" s="132"/>
      <c r="I211" s="132"/>
      <c r="J211" s="132"/>
      <c r="K211" s="132"/>
      <c r="L211" s="132"/>
      <c r="M211" s="132"/>
      <c r="N211" s="132"/>
      <c r="O211" s="132"/>
      <c r="P211" s="132"/>
      <c r="Q211" s="132"/>
      <c r="R211" s="132"/>
      <c r="S211" s="132"/>
      <c r="T211" s="132"/>
      <c r="U211" s="132"/>
      <c r="V211" s="132"/>
      <c r="W211" s="132"/>
      <c r="X211" s="132"/>
      <c r="Y211" s="132"/>
      <c r="Z211" s="132"/>
    </row>
    <row r="212" spans="1:26" ht="11.25" customHeight="1" x14ac:dyDescent="0.3">
      <c r="A212" s="132"/>
      <c r="B212" s="132"/>
      <c r="C212" s="132"/>
      <c r="D212" s="132"/>
      <c r="E212" s="132"/>
      <c r="F212" s="132"/>
      <c r="G212" s="132"/>
      <c r="H212" s="132"/>
      <c r="I212" s="132"/>
      <c r="J212" s="132"/>
      <c r="K212" s="132"/>
      <c r="L212" s="132"/>
      <c r="M212" s="132"/>
      <c r="N212" s="132"/>
      <c r="O212" s="132"/>
      <c r="P212" s="132"/>
      <c r="Q212" s="132"/>
      <c r="R212" s="132"/>
      <c r="S212" s="132"/>
      <c r="T212" s="132"/>
      <c r="U212" s="132"/>
      <c r="V212" s="132"/>
      <c r="W212" s="132"/>
      <c r="X212" s="132"/>
      <c r="Y212" s="132"/>
      <c r="Z212" s="132"/>
    </row>
    <row r="213" spans="1:26" ht="11.25" customHeight="1" x14ac:dyDescent="0.3">
      <c r="A213" s="132"/>
      <c r="B213" s="132"/>
      <c r="C213" s="132"/>
      <c r="D213" s="132"/>
      <c r="E213" s="132"/>
      <c r="F213" s="132"/>
      <c r="G213" s="132"/>
      <c r="H213" s="132"/>
      <c r="I213" s="132"/>
      <c r="J213" s="132"/>
      <c r="K213" s="132"/>
      <c r="L213" s="132"/>
      <c r="M213" s="132"/>
      <c r="N213" s="132"/>
      <c r="O213" s="132"/>
      <c r="P213" s="132"/>
      <c r="Q213" s="132"/>
      <c r="R213" s="132"/>
      <c r="S213" s="132"/>
      <c r="T213" s="132"/>
      <c r="U213" s="132"/>
      <c r="V213" s="132"/>
      <c r="W213" s="132"/>
      <c r="X213" s="132"/>
      <c r="Y213" s="132"/>
      <c r="Z213" s="132"/>
    </row>
    <row r="214" spans="1:26" ht="11.25" customHeight="1" x14ac:dyDescent="0.3">
      <c r="A214" s="132"/>
      <c r="B214" s="132"/>
      <c r="C214" s="132"/>
      <c r="D214" s="132"/>
      <c r="E214" s="132"/>
      <c r="F214" s="132"/>
      <c r="G214" s="132"/>
      <c r="H214" s="132"/>
      <c r="I214" s="132"/>
      <c r="J214" s="132"/>
      <c r="K214" s="132"/>
      <c r="L214" s="132"/>
      <c r="M214" s="132"/>
      <c r="N214" s="132"/>
      <c r="O214" s="132"/>
      <c r="P214" s="132"/>
      <c r="Q214" s="132"/>
      <c r="R214" s="132"/>
      <c r="S214" s="132"/>
      <c r="T214" s="132"/>
      <c r="U214" s="132"/>
      <c r="V214" s="132"/>
      <c r="W214" s="132"/>
      <c r="X214" s="132"/>
      <c r="Y214" s="132"/>
      <c r="Z214" s="132"/>
    </row>
    <row r="215" spans="1:26" ht="11.25" customHeight="1" x14ac:dyDescent="0.3">
      <c r="A215" s="132"/>
      <c r="B215" s="132"/>
      <c r="C215" s="132"/>
      <c r="D215" s="132"/>
      <c r="E215" s="132"/>
      <c r="F215" s="132"/>
      <c r="G215" s="132"/>
      <c r="H215" s="132"/>
      <c r="I215" s="132"/>
      <c r="J215" s="132"/>
      <c r="K215" s="132"/>
      <c r="L215" s="132"/>
      <c r="M215" s="132"/>
      <c r="N215" s="132"/>
      <c r="O215" s="132"/>
      <c r="P215" s="132"/>
      <c r="Q215" s="132"/>
      <c r="R215" s="132"/>
      <c r="S215" s="132"/>
      <c r="T215" s="132"/>
      <c r="U215" s="132"/>
      <c r="V215" s="132"/>
      <c r="W215" s="132"/>
      <c r="X215" s="132"/>
      <c r="Y215" s="132"/>
      <c r="Z215" s="132"/>
    </row>
    <row r="216" spans="1:26" ht="11.25" customHeight="1" x14ac:dyDescent="0.3">
      <c r="A216" s="132"/>
      <c r="B216" s="132"/>
      <c r="C216" s="132"/>
      <c r="D216" s="132"/>
      <c r="E216" s="132"/>
      <c r="F216" s="132"/>
      <c r="G216" s="132"/>
      <c r="H216" s="132"/>
      <c r="I216" s="132"/>
      <c r="J216" s="132"/>
      <c r="K216" s="132"/>
      <c r="L216" s="132"/>
      <c r="M216" s="132"/>
      <c r="N216" s="132"/>
      <c r="O216" s="132"/>
      <c r="P216" s="132"/>
      <c r="Q216" s="132"/>
      <c r="R216" s="132"/>
      <c r="S216" s="132"/>
      <c r="T216" s="132"/>
      <c r="U216" s="132"/>
      <c r="V216" s="132"/>
      <c r="W216" s="132"/>
      <c r="X216" s="132"/>
      <c r="Y216" s="132"/>
      <c r="Z216" s="132"/>
    </row>
    <row r="217" spans="1:26" ht="11.25" customHeight="1" x14ac:dyDescent="0.3">
      <c r="A217" s="132"/>
      <c r="B217" s="132"/>
      <c r="C217" s="132"/>
      <c r="D217" s="132"/>
      <c r="E217" s="132"/>
      <c r="F217" s="132"/>
      <c r="G217" s="132"/>
      <c r="H217" s="132"/>
      <c r="I217" s="132"/>
      <c r="J217" s="132"/>
      <c r="K217" s="132"/>
      <c r="L217" s="132"/>
      <c r="M217" s="132"/>
      <c r="N217" s="132"/>
      <c r="O217" s="132"/>
      <c r="P217" s="132"/>
      <c r="Q217" s="132"/>
      <c r="R217" s="132"/>
      <c r="S217" s="132"/>
      <c r="T217" s="132"/>
      <c r="U217" s="132"/>
      <c r="V217" s="132"/>
      <c r="W217" s="132"/>
      <c r="X217" s="132"/>
      <c r="Y217" s="132"/>
      <c r="Z217" s="132"/>
    </row>
    <row r="218" spans="1:26" ht="11.25" customHeight="1" x14ac:dyDescent="0.3">
      <c r="A218" s="132"/>
      <c r="B218" s="132"/>
      <c r="C218" s="132"/>
      <c r="D218" s="132"/>
      <c r="E218" s="132"/>
      <c r="F218" s="132"/>
      <c r="G218" s="132"/>
      <c r="H218" s="132"/>
      <c r="I218" s="132"/>
      <c r="J218" s="132"/>
      <c r="K218" s="132"/>
      <c r="L218" s="132"/>
      <c r="M218" s="132"/>
      <c r="N218" s="132"/>
      <c r="O218" s="132"/>
      <c r="P218" s="132"/>
      <c r="Q218" s="132"/>
      <c r="R218" s="132"/>
      <c r="S218" s="132"/>
      <c r="T218" s="132"/>
      <c r="U218" s="132"/>
      <c r="V218" s="132"/>
      <c r="W218" s="132"/>
      <c r="X218" s="132"/>
      <c r="Y218" s="132"/>
      <c r="Z218" s="132"/>
    </row>
    <row r="219" spans="1:26" ht="11.25" customHeight="1" x14ac:dyDescent="0.3">
      <c r="A219" s="132"/>
      <c r="B219" s="132"/>
      <c r="C219" s="132"/>
      <c r="D219" s="132"/>
      <c r="E219" s="132"/>
      <c r="F219" s="132"/>
      <c r="G219" s="132"/>
      <c r="H219" s="132"/>
      <c r="I219" s="132"/>
      <c r="J219" s="132"/>
      <c r="K219" s="132"/>
      <c r="L219" s="132"/>
      <c r="M219" s="132"/>
      <c r="N219" s="132"/>
      <c r="O219" s="132"/>
      <c r="P219" s="132"/>
      <c r="Q219" s="132"/>
      <c r="R219" s="132"/>
      <c r="S219" s="132"/>
      <c r="T219" s="132"/>
      <c r="U219" s="132"/>
      <c r="V219" s="132"/>
      <c r="W219" s="132"/>
      <c r="X219" s="132"/>
      <c r="Y219" s="132"/>
      <c r="Z219" s="132"/>
    </row>
    <row r="220" spans="1:26" ht="11.25" customHeight="1" x14ac:dyDescent="0.3">
      <c r="A220" s="132"/>
      <c r="B220" s="132"/>
      <c r="C220" s="132"/>
      <c r="D220" s="132"/>
      <c r="E220" s="132"/>
      <c r="F220" s="132"/>
      <c r="G220" s="132"/>
      <c r="H220" s="132"/>
      <c r="I220" s="132"/>
      <c r="J220" s="132"/>
      <c r="K220" s="132"/>
      <c r="L220" s="132"/>
      <c r="M220" s="132"/>
      <c r="N220" s="132"/>
      <c r="O220" s="132"/>
      <c r="P220" s="132"/>
      <c r="Q220" s="132"/>
      <c r="R220" s="132"/>
      <c r="S220" s="132"/>
      <c r="T220" s="132"/>
      <c r="U220" s="132"/>
      <c r="V220" s="132"/>
      <c r="W220" s="132"/>
      <c r="X220" s="132"/>
      <c r="Y220" s="132"/>
      <c r="Z220" s="132"/>
    </row>
    <row r="221" spans="1:26" ht="11.25" customHeight="1" x14ac:dyDescent="0.3">
      <c r="A221" s="132"/>
      <c r="B221" s="132"/>
      <c r="C221" s="132"/>
      <c r="D221" s="132"/>
      <c r="E221" s="132"/>
      <c r="F221" s="132"/>
      <c r="G221" s="132"/>
      <c r="H221" s="132"/>
      <c r="I221" s="132"/>
      <c r="J221" s="132"/>
      <c r="K221" s="132"/>
      <c r="L221" s="132"/>
      <c r="M221" s="132"/>
      <c r="N221" s="132"/>
      <c r="O221" s="132"/>
      <c r="P221" s="132"/>
      <c r="Q221" s="132"/>
      <c r="R221" s="132"/>
      <c r="S221" s="132"/>
      <c r="T221" s="132"/>
      <c r="U221" s="132"/>
      <c r="V221" s="132"/>
      <c r="W221" s="132"/>
      <c r="X221" s="132"/>
      <c r="Y221" s="132"/>
      <c r="Z221" s="132"/>
    </row>
    <row r="222" spans="1:26" ht="11.25" customHeight="1" x14ac:dyDescent="0.3">
      <c r="A222" s="132"/>
      <c r="B222" s="132"/>
      <c r="C222" s="132"/>
      <c r="D222" s="132"/>
      <c r="E222" s="132"/>
      <c r="F222" s="132"/>
      <c r="G222" s="132"/>
      <c r="H222" s="132"/>
      <c r="I222" s="132"/>
      <c r="J222" s="132"/>
      <c r="K222" s="132"/>
      <c r="L222" s="132"/>
      <c r="M222" s="132"/>
      <c r="N222" s="132"/>
      <c r="O222" s="132"/>
      <c r="P222" s="132"/>
      <c r="Q222" s="132"/>
      <c r="R222" s="132"/>
      <c r="S222" s="132"/>
      <c r="T222" s="132"/>
      <c r="U222" s="132"/>
      <c r="V222" s="132"/>
      <c r="W222" s="132"/>
      <c r="X222" s="132"/>
      <c r="Y222" s="132"/>
      <c r="Z222" s="132"/>
    </row>
    <row r="223" spans="1:26" ht="11.25" customHeight="1" x14ac:dyDescent="0.3">
      <c r="A223" s="132"/>
      <c r="B223" s="132"/>
      <c r="C223" s="132"/>
      <c r="D223" s="132"/>
      <c r="E223" s="132"/>
      <c r="F223" s="132"/>
      <c r="G223" s="132"/>
      <c r="H223" s="132"/>
      <c r="I223" s="132"/>
      <c r="J223" s="132"/>
      <c r="K223" s="132"/>
      <c r="L223" s="132"/>
      <c r="M223" s="132"/>
      <c r="N223" s="132"/>
      <c r="O223" s="132"/>
      <c r="P223" s="132"/>
      <c r="Q223" s="132"/>
      <c r="R223" s="132"/>
      <c r="S223" s="132"/>
      <c r="T223" s="132"/>
      <c r="U223" s="132"/>
      <c r="V223" s="132"/>
      <c r="W223" s="132"/>
      <c r="X223" s="132"/>
      <c r="Y223" s="132"/>
      <c r="Z223" s="132"/>
    </row>
    <row r="224" spans="1:26" ht="11.25" customHeight="1" x14ac:dyDescent="0.3">
      <c r="A224" s="132"/>
      <c r="B224" s="132"/>
      <c r="C224" s="132"/>
      <c r="D224" s="132"/>
      <c r="E224" s="132"/>
      <c r="F224" s="132"/>
      <c r="G224" s="132"/>
      <c r="H224" s="132"/>
      <c r="I224" s="132"/>
      <c r="J224" s="132"/>
      <c r="K224" s="132"/>
      <c r="L224" s="132"/>
      <c r="M224" s="132"/>
      <c r="N224" s="132"/>
      <c r="O224" s="132"/>
      <c r="P224" s="132"/>
      <c r="Q224" s="132"/>
      <c r="R224" s="132"/>
      <c r="S224" s="132"/>
      <c r="T224" s="132"/>
      <c r="U224" s="132"/>
      <c r="V224" s="132"/>
      <c r="W224" s="132"/>
      <c r="X224" s="132"/>
      <c r="Y224" s="132"/>
      <c r="Z224" s="132"/>
    </row>
    <row r="225" spans="1:26" ht="11.25" customHeight="1" x14ac:dyDescent="0.3">
      <c r="A225" s="132"/>
      <c r="B225" s="132"/>
      <c r="C225" s="132"/>
      <c r="D225" s="132"/>
      <c r="E225" s="132"/>
      <c r="F225" s="132"/>
      <c r="G225" s="132"/>
      <c r="H225" s="132"/>
      <c r="I225" s="132"/>
      <c r="J225" s="132"/>
      <c r="K225" s="132"/>
      <c r="L225" s="132"/>
      <c r="M225" s="132"/>
      <c r="N225" s="132"/>
      <c r="O225" s="132"/>
      <c r="P225" s="132"/>
      <c r="Q225" s="132"/>
      <c r="R225" s="132"/>
      <c r="S225" s="132"/>
      <c r="T225" s="132"/>
      <c r="U225" s="132"/>
      <c r="V225" s="132"/>
      <c r="W225" s="132"/>
      <c r="X225" s="132"/>
      <c r="Y225" s="132"/>
      <c r="Z225" s="132"/>
    </row>
    <row r="226" spans="1:26" ht="11.25" customHeight="1" x14ac:dyDescent="0.3">
      <c r="A226" s="132"/>
      <c r="B226" s="132"/>
      <c r="C226" s="132"/>
      <c r="D226" s="132"/>
      <c r="E226" s="132"/>
      <c r="F226" s="132"/>
      <c r="G226" s="132"/>
      <c r="H226" s="132"/>
      <c r="I226" s="132"/>
      <c r="J226" s="132"/>
      <c r="K226" s="132"/>
      <c r="L226" s="132"/>
      <c r="M226" s="132"/>
      <c r="N226" s="132"/>
      <c r="O226" s="132"/>
      <c r="P226" s="132"/>
      <c r="Q226" s="132"/>
      <c r="R226" s="132"/>
      <c r="S226" s="132"/>
      <c r="T226" s="132"/>
      <c r="U226" s="132"/>
      <c r="V226" s="132"/>
      <c r="W226" s="132"/>
      <c r="X226" s="132"/>
      <c r="Y226" s="132"/>
      <c r="Z226" s="132"/>
    </row>
    <row r="227" spans="1:26" ht="11.25" customHeight="1" x14ac:dyDescent="0.3">
      <c r="A227" s="132"/>
      <c r="B227" s="132"/>
      <c r="C227" s="132"/>
      <c r="D227" s="132"/>
      <c r="E227" s="132"/>
      <c r="F227" s="132"/>
      <c r="G227" s="132"/>
      <c r="H227" s="132"/>
      <c r="I227" s="132"/>
      <c r="J227" s="132"/>
      <c r="K227" s="132"/>
      <c r="L227" s="132"/>
      <c r="M227" s="132"/>
      <c r="N227" s="132"/>
      <c r="O227" s="132"/>
      <c r="P227" s="132"/>
      <c r="Q227" s="132"/>
      <c r="R227" s="132"/>
      <c r="S227" s="132"/>
      <c r="T227" s="132"/>
      <c r="U227" s="132"/>
      <c r="V227" s="132"/>
      <c r="W227" s="132"/>
      <c r="X227" s="132"/>
      <c r="Y227" s="132"/>
      <c r="Z227" s="132"/>
    </row>
    <row r="228" spans="1:26" ht="11.25" customHeight="1" x14ac:dyDescent="0.3">
      <c r="A228" s="132"/>
      <c r="B228" s="132"/>
      <c r="C228" s="132"/>
      <c r="D228" s="132"/>
      <c r="E228" s="132"/>
      <c r="F228" s="132"/>
      <c r="G228" s="132"/>
      <c r="H228" s="132"/>
      <c r="I228" s="132"/>
      <c r="J228" s="132"/>
      <c r="K228" s="132"/>
      <c r="L228" s="132"/>
      <c r="M228" s="132"/>
      <c r="N228" s="132"/>
      <c r="O228" s="132"/>
      <c r="P228" s="132"/>
      <c r="Q228" s="132"/>
      <c r="R228" s="132"/>
      <c r="S228" s="132"/>
      <c r="T228" s="132"/>
      <c r="U228" s="132"/>
      <c r="V228" s="132"/>
      <c r="W228" s="132"/>
      <c r="X228" s="132"/>
      <c r="Y228" s="132"/>
      <c r="Z228" s="132"/>
    </row>
    <row r="229" spans="1:26" ht="11.25" customHeight="1" x14ac:dyDescent="0.3">
      <c r="A229" s="132"/>
      <c r="B229" s="132"/>
      <c r="C229" s="132"/>
      <c r="D229" s="132"/>
      <c r="E229" s="132"/>
      <c r="F229" s="132"/>
      <c r="G229" s="132"/>
      <c r="H229" s="132"/>
      <c r="I229" s="132"/>
      <c r="J229" s="132"/>
      <c r="K229" s="132"/>
      <c r="L229" s="132"/>
      <c r="M229" s="132"/>
      <c r="N229" s="132"/>
      <c r="O229" s="132"/>
      <c r="P229" s="132"/>
      <c r="Q229" s="132"/>
      <c r="R229" s="132"/>
      <c r="S229" s="132"/>
      <c r="T229" s="132"/>
      <c r="U229" s="132"/>
      <c r="V229" s="132"/>
      <c r="W229" s="132"/>
      <c r="X229" s="132"/>
      <c r="Y229" s="132"/>
      <c r="Z229" s="132"/>
    </row>
    <row r="230" spans="1:26" ht="11.25" customHeight="1" x14ac:dyDescent="0.3">
      <c r="A230" s="132"/>
      <c r="B230" s="132"/>
      <c r="C230" s="132"/>
      <c r="D230" s="132"/>
      <c r="E230" s="132"/>
      <c r="F230" s="132"/>
      <c r="G230" s="132"/>
      <c r="H230" s="132"/>
      <c r="I230" s="132"/>
      <c r="J230" s="132"/>
      <c r="K230" s="132"/>
      <c r="L230" s="132"/>
      <c r="M230" s="132"/>
      <c r="N230" s="132"/>
      <c r="O230" s="132"/>
      <c r="P230" s="132"/>
      <c r="Q230" s="132"/>
      <c r="R230" s="132"/>
      <c r="S230" s="132"/>
      <c r="T230" s="132"/>
      <c r="U230" s="132"/>
      <c r="V230" s="132"/>
      <c r="W230" s="132"/>
      <c r="X230" s="132"/>
      <c r="Y230" s="132"/>
      <c r="Z230" s="132"/>
    </row>
    <row r="231" spans="1:26" ht="11.25" customHeight="1" x14ac:dyDescent="0.3">
      <c r="A231" s="132"/>
      <c r="B231" s="132"/>
      <c r="C231" s="132"/>
      <c r="D231" s="132"/>
      <c r="E231" s="132"/>
      <c r="F231" s="132"/>
      <c r="G231" s="132"/>
      <c r="H231" s="132"/>
      <c r="I231" s="132"/>
      <c r="J231" s="132"/>
      <c r="K231" s="132"/>
      <c r="L231" s="132"/>
      <c r="M231" s="132"/>
      <c r="N231" s="132"/>
      <c r="O231" s="132"/>
      <c r="P231" s="132"/>
      <c r="Q231" s="132"/>
      <c r="R231" s="132"/>
      <c r="S231" s="132"/>
      <c r="T231" s="132"/>
      <c r="U231" s="132"/>
      <c r="V231" s="132"/>
      <c r="W231" s="132"/>
      <c r="X231" s="132"/>
      <c r="Y231" s="132"/>
      <c r="Z231" s="132"/>
    </row>
    <row r="232" spans="1:26" ht="11.25" customHeight="1" x14ac:dyDescent="0.3">
      <c r="A232" s="132"/>
      <c r="B232" s="132"/>
      <c r="C232" s="132"/>
      <c r="D232" s="132"/>
      <c r="E232" s="132"/>
      <c r="F232" s="132"/>
      <c r="G232" s="132"/>
      <c r="H232" s="132"/>
      <c r="I232" s="132"/>
      <c r="J232" s="132"/>
      <c r="K232" s="132"/>
      <c r="L232" s="132"/>
      <c r="M232" s="132"/>
      <c r="N232" s="132"/>
      <c r="O232" s="132"/>
      <c r="P232" s="132"/>
      <c r="Q232" s="132"/>
      <c r="R232" s="132"/>
      <c r="S232" s="132"/>
      <c r="T232" s="132"/>
      <c r="U232" s="132"/>
      <c r="V232" s="132"/>
      <c r="W232" s="132"/>
      <c r="X232" s="132"/>
      <c r="Y232" s="132"/>
      <c r="Z232" s="132"/>
    </row>
    <row r="233" spans="1:26" ht="11.25" customHeight="1" x14ac:dyDescent="0.3">
      <c r="A233" s="132"/>
      <c r="B233" s="132"/>
      <c r="C233" s="132"/>
      <c r="D233" s="132"/>
      <c r="E233" s="132"/>
      <c r="F233" s="132"/>
      <c r="G233" s="132"/>
      <c r="H233" s="132"/>
      <c r="I233" s="132"/>
      <c r="J233" s="132"/>
      <c r="K233" s="132"/>
      <c r="L233" s="132"/>
      <c r="M233" s="132"/>
      <c r="N233" s="132"/>
      <c r="O233" s="132"/>
      <c r="P233" s="132"/>
      <c r="Q233" s="132"/>
      <c r="R233" s="132"/>
      <c r="S233" s="132"/>
      <c r="T233" s="132"/>
      <c r="U233" s="132"/>
      <c r="V233" s="132"/>
      <c r="W233" s="132"/>
      <c r="X233" s="132"/>
      <c r="Y233" s="132"/>
      <c r="Z233" s="132"/>
    </row>
    <row r="234" spans="1:26" ht="11.25" customHeight="1" x14ac:dyDescent="0.3">
      <c r="A234" s="132"/>
      <c r="B234" s="132"/>
      <c r="C234" s="132"/>
      <c r="D234" s="132"/>
      <c r="E234" s="132"/>
      <c r="F234" s="132"/>
      <c r="G234" s="132"/>
      <c r="H234" s="132"/>
      <c r="I234" s="132"/>
      <c r="J234" s="132"/>
      <c r="K234" s="132"/>
      <c r="L234" s="132"/>
      <c r="M234" s="132"/>
      <c r="N234" s="132"/>
      <c r="O234" s="132"/>
      <c r="P234" s="132"/>
      <c r="Q234" s="132"/>
      <c r="R234" s="132"/>
      <c r="S234" s="132"/>
      <c r="T234" s="132"/>
      <c r="U234" s="132"/>
      <c r="V234" s="132"/>
      <c r="W234" s="132"/>
      <c r="X234" s="132"/>
      <c r="Y234" s="132"/>
      <c r="Z234" s="132"/>
    </row>
    <row r="235" spans="1:26" ht="11.25" customHeight="1" x14ac:dyDescent="0.3">
      <c r="A235" s="132"/>
      <c r="B235" s="132"/>
      <c r="C235" s="132"/>
      <c r="D235" s="132"/>
      <c r="E235" s="132"/>
      <c r="F235" s="132"/>
      <c r="G235" s="132"/>
      <c r="H235" s="132"/>
      <c r="I235" s="132"/>
      <c r="J235" s="132"/>
      <c r="K235" s="132"/>
      <c r="L235" s="132"/>
      <c r="M235" s="132"/>
      <c r="N235" s="132"/>
      <c r="O235" s="132"/>
      <c r="P235" s="132"/>
      <c r="Q235" s="132"/>
      <c r="R235" s="132"/>
      <c r="S235" s="132"/>
      <c r="T235" s="132"/>
      <c r="U235" s="132"/>
      <c r="V235" s="132"/>
      <c r="W235" s="132"/>
      <c r="X235" s="132"/>
      <c r="Y235" s="132"/>
      <c r="Z235" s="132"/>
    </row>
    <row r="236" spans="1:26" ht="11.25" customHeight="1" x14ac:dyDescent="0.3">
      <c r="A236" s="132"/>
      <c r="B236" s="132"/>
      <c r="C236" s="132"/>
      <c r="D236" s="132"/>
      <c r="E236" s="132"/>
      <c r="F236" s="132"/>
      <c r="G236" s="132"/>
      <c r="H236" s="132"/>
      <c r="I236" s="132"/>
      <c r="J236" s="132"/>
      <c r="K236" s="132"/>
      <c r="L236" s="132"/>
      <c r="M236" s="132"/>
      <c r="N236" s="132"/>
      <c r="O236" s="132"/>
      <c r="P236" s="132"/>
      <c r="Q236" s="132"/>
      <c r="R236" s="132"/>
      <c r="S236" s="132"/>
      <c r="T236" s="132"/>
      <c r="U236" s="132"/>
      <c r="V236" s="132"/>
      <c r="W236" s="132"/>
      <c r="X236" s="132"/>
      <c r="Y236" s="132"/>
      <c r="Z236" s="132"/>
    </row>
    <row r="237" spans="1:26" ht="11.25" customHeight="1" x14ac:dyDescent="0.3">
      <c r="A237" s="132"/>
      <c r="B237" s="132"/>
      <c r="C237" s="132"/>
      <c r="D237" s="132"/>
      <c r="E237" s="132"/>
      <c r="F237" s="132"/>
      <c r="G237" s="132"/>
      <c r="H237" s="132"/>
      <c r="I237" s="132"/>
      <c r="J237" s="132"/>
      <c r="K237" s="132"/>
      <c r="L237" s="132"/>
      <c r="M237" s="132"/>
      <c r="N237" s="132"/>
      <c r="O237" s="132"/>
      <c r="P237" s="132"/>
      <c r="Q237" s="132"/>
      <c r="R237" s="132"/>
      <c r="S237" s="132"/>
      <c r="T237" s="132"/>
      <c r="U237" s="132"/>
      <c r="V237" s="132"/>
      <c r="W237" s="132"/>
      <c r="X237" s="132"/>
      <c r="Y237" s="132"/>
      <c r="Z237" s="132"/>
    </row>
    <row r="238" spans="1:26" ht="11.25" customHeight="1" x14ac:dyDescent="0.3">
      <c r="A238" s="132"/>
      <c r="B238" s="132"/>
      <c r="C238" s="132"/>
      <c r="D238" s="132"/>
      <c r="E238" s="132"/>
      <c r="F238" s="132"/>
      <c r="G238" s="132"/>
      <c r="H238" s="132"/>
      <c r="I238" s="132"/>
      <c r="J238" s="132"/>
      <c r="K238" s="132"/>
      <c r="L238" s="132"/>
      <c r="M238" s="132"/>
      <c r="N238" s="132"/>
      <c r="O238" s="132"/>
      <c r="P238" s="132"/>
      <c r="Q238" s="132"/>
      <c r="R238" s="132"/>
      <c r="S238" s="132"/>
      <c r="T238" s="132"/>
      <c r="U238" s="132"/>
      <c r="V238" s="132"/>
      <c r="W238" s="132"/>
      <c r="X238" s="132"/>
      <c r="Y238" s="132"/>
      <c r="Z238" s="132"/>
    </row>
    <row r="239" spans="1:26" ht="11.25" customHeight="1" x14ac:dyDescent="0.3">
      <c r="A239" s="132"/>
      <c r="B239" s="132"/>
      <c r="C239" s="132"/>
      <c r="D239" s="132"/>
      <c r="E239" s="132"/>
      <c r="F239" s="132"/>
      <c r="G239" s="132"/>
      <c r="H239" s="132"/>
      <c r="I239" s="132"/>
      <c r="J239" s="132"/>
      <c r="K239" s="132"/>
      <c r="L239" s="132"/>
      <c r="M239" s="132"/>
      <c r="N239" s="132"/>
      <c r="O239" s="132"/>
      <c r="P239" s="132"/>
      <c r="Q239" s="132"/>
      <c r="R239" s="132"/>
      <c r="S239" s="132"/>
      <c r="T239" s="132"/>
      <c r="U239" s="132"/>
      <c r="V239" s="132"/>
      <c r="W239" s="132"/>
      <c r="X239" s="132"/>
      <c r="Y239" s="132"/>
      <c r="Z239" s="132"/>
    </row>
    <row r="240" spans="1:26" ht="11.25" customHeight="1" x14ac:dyDescent="0.3">
      <c r="A240" s="132"/>
      <c r="B240" s="132"/>
      <c r="C240" s="132"/>
      <c r="D240" s="132"/>
      <c r="E240" s="132"/>
      <c r="F240" s="132"/>
      <c r="G240" s="132"/>
      <c r="H240" s="132"/>
      <c r="I240" s="132"/>
      <c r="J240" s="132"/>
      <c r="K240" s="132"/>
      <c r="L240" s="132"/>
      <c r="M240" s="132"/>
      <c r="N240" s="132"/>
      <c r="O240" s="132"/>
      <c r="P240" s="132"/>
      <c r="Q240" s="132"/>
      <c r="R240" s="132"/>
      <c r="S240" s="132"/>
      <c r="T240" s="132"/>
      <c r="U240" s="132"/>
      <c r="V240" s="132"/>
      <c r="W240" s="132"/>
      <c r="X240" s="132"/>
      <c r="Y240" s="132"/>
      <c r="Z240" s="132"/>
    </row>
    <row r="241" spans="1:26" ht="11.25" customHeight="1" x14ac:dyDescent="0.3">
      <c r="A241" s="132"/>
      <c r="B241" s="132"/>
      <c r="C241" s="132"/>
      <c r="D241" s="132"/>
      <c r="E241" s="132"/>
      <c r="F241" s="132"/>
      <c r="G241" s="132"/>
      <c r="H241" s="132"/>
      <c r="I241" s="132"/>
      <c r="J241" s="132"/>
      <c r="K241" s="132"/>
      <c r="L241" s="132"/>
      <c r="M241" s="132"/>
      <c r="N241" s="132"/>
      <c r="O241" s="132"/>
      <c r="P241" s="132"/>
      <c r="Q241" s="132"/>
      <c r="R241" s="132"/>
      <c r="S241" s="132"/>
      <c r="T241" s="132"/>
      <c r="U241" s="132"/>
      <c r="V241" s="132"/>
      <c r="W241" s="132"/>
      <c r="X241" s="132"/>
      <c r="Y241" s="132"/>
      <c r="Z241" s="132"/>
    </row>
    <row r="242" spans="1:26" ht="11.25" customHeight="1" x14ac:dyDescent="0.3">
      <c r="A242" s="132"/>
      <c r="B242" s="132"/>
      <c r="C242" s="132"/>
      <c r="D242" s="132"/>
      <c r="E242" s="132"/>
      <c r="F242" s="132"/>
      <c r="G242" s="132"/>
      <c r="H242" s="132"/>
      <c r="I242" s="132"/>
      <c r="J242" s="132"/>
      <c r="K242" s="132"/>
      <c r="L242" s="132"/>
      <c r="M242" s="132"/>
      <c r="N242" s="132"/>
      <c r="O242" s="132"/>
      <c r="P242" s="132"/>
      <c r="Q242" s="132"/>
      <c r="R242" s="132"/>
      <c r="S242" s="132"/>
      <c r="T242" s="132"/>
      <c r="U242" s="132"/>
      <c r="V242" s="132"/>
      <c r="W242" s="132"/>
      <c r="X242" s="132"/>
      <c r="Y242" s="132"/>
      <c r="Z242" s="132"/>
    </row>
    <row r="243" spans="1:26" ht="11.25" customHeight="1" x14ac:dyDescent="0.3">
      <c r="A243" s="132"/>
      <c r="B243" s="132"/>
      <c r="C243" s="132"/>
      <c r="D243" s="132"/>
      <c r="E243" s="132"/>
      <c r="F243" s="132"/>
      <c r="G243" s="132"/>
      <c r="H243" s="132"/>
      <c r="I243" s="132"/>
      <c r="J243" s="132"/>
      <c r="K243" s="132"/>
      <c r="L243" s="132"/>
      <c r="M243" s="132"/>
      <c r="N243" s="132"/>
      <c r="O243" s="132"/>
      <c r="P243" s="132"/>
      <c r="Q243" s="132"/>
      <c r="R243" s="132"/>
      <c r="S243" s="132"/>
      <c r="T243" s="132"/>
      <c r="U243" s="132"/>
      <c r="V243" s="132"/>
      <c r="W243" s="132"/>
      <c r="X243" s="132"/>
      <c r="Y243" s="132"/>
      <c r="Z243" s="132"/>
    </row>
    <row r="244" spans="1:26" ht="11.25" customHeight="1" x14ac:dyDescent="0.3">
      <c r="A244" s="132"/>
      <c r="B244" s="132"/>
      <c r="C244" s="132"/>
      <c r="D244" s="132"/>
      <c r="E244" s="132"/>
      <c r="F244" s="132"/>
      <c r="G244" s="132"/>
      <c r="H244" s="132"/>
      <c r="I244" s="132"/>
      <c r="J244" s="132"/>
      <c r="K244" s="132"/>
      <c r="L244" s="132"/>
      <c r="M244" s="132"/>
      <c r="N244" s="132"/>
      <c r="O244" s="132"/>
      <c r="P244" s="132"/>
      <c r="Q244" s="132"/>
      <c r="R244" s="132"/>
      <c r="S244" s="132"/>
      <c r="T244" s="132"/>
      <c r="U244" s="132"/>
      <c r="V244" s="132"/>
      <c r="W244" s="132"/>
      <c r="X244" s="132"/>
      <c r="Y244" s="132"/>
      <c r="Z244" s="132"/>
    </row>
    <row r="245" spans="1:26" ht="11.25" customHeight="1" x14ac:dyDescent="0.3">
      <c r="A245" s="132"/>
      <c r="B245" s="132"/>
      <c r="C245" s="132"/>
      <c r="D245" s="132"/>
      <c r="E245" s="132"/>
      <c r="F245" s="132"/>
      <c r="G245" s="132"/>
      <c r="H245" s="132"/>
      <c r="I245" s="132"/>
      <c r="J245" s="132"/>
      <c r="K245" s="132"/>
      <c r="L245" s="132"/>
      <c r="M245" s="132"/>
      <c r="N245" s="132"/>
      <c r="O245" s="132"/>
      <c r="P245" s="132"/>
      <c r="Q245" s="132"/>
      <c r="R245" s="132"/>
      <c r="S245" s="132"/>
      <c r="T245" s="132"/>
      <c r="U245" s="132"/>
      <c r="V245" s="132"/>
      <c r="W245" s="132"/>
      <c r="X245" s="132"/>
      <c r="Y245" s="132"/>
      <c r="Z245" s="132"/>
    </row>
    <row r="246" spans="1:26" ht="11.25" customHeight="1" x14ac:dyDescent="0.3">
      <c r="A246" s="132"/>
      <c r="B246" s="132"/>
      <c r="C246" s="132"/>
      <c r="D246" s="132"/>
      <c r="E246" s="132"/>
      <c r="F246" s="132"/>
      <c r="G246" s="132"/>
      <c r="H246" s="132"/>
      <c r="I246" s="132"/>
      <c r="J246" s="132"/>
      <c r="K246" s="132"/>
      <c r="L246" s="132"/>
      <c r="M246" s="132"/>
      <c r="N246" s="132"/>
      <c r="O246" s="132"/>
      <c r="P246" s="132"/>
      <c r="Q246" s="132"/>
      <c r="R246" s="132"/>
      <c r="S246" s="132"/>
      <c r="T246" s="132"/>
      <c r="U246" s="132"/>
      <c r="V246" s="132"/>
      <c r="W246" s="132"/>
      <c r="X246" s="132"/>
      <c r="Y246" s="132"/>
      <c r="Z246" s="132"/>
    </row>
    <row r="247" spans="1:26" ht="11.25" customHeight="1" x14ac:dyDescent="0.3">
      <c r="A247" s="132"/>
      <c r="B247" s="132"/>
      <c r="C247" s="132"/>
      <c r="D247" s="132"/>
      <c r="E247" s="132"/>
      <c r="F247" s="132"/>
      <c r="G247" s="132"/>
      <c r="H247" s="132"/>
      <c r="I247" s="132"/>
      <c r="J247" s="132"/>
      <c r="K247" s="132"/>
      <c r="L247" s="132"/>
      <c r="M247" s="132"/>
      <c r="N247" s="132"/>
      <c r="O247" s="132"/>
      <c r="P247" s="132"/>
      <c r="Q247" s="132"/>
      <c r="R247" s="132"/>
      <c r="S247" s="132"/>
      <c r="T247" s="132"/>
      <c r="U247" s="132"/>
      <c r="V247" s="132"/>
      <c r="W247" s="132"/>
      <c r="X247" s="132"/>
      <c r="Y247" s="132"/>
      <c r="Z247" s="132"/>
    </row>
    <row r="248" spans="1:26" ht="11.25" customHeight="1" x14ac:dyDescent="0.3">
      <c r="A248" s="132"/>
      <c r="B248" s="132"/>
      <c r="C248" s="132"/>
      <c r="D248" s="132"/>
      <c r="E248" s="132"/>
      <c r="F248" s="132"/>
      <c r="G248" s="132"/>
      <c r="H248" s="132"/>
      <c r="I248" s="132"/>
      <c r="J248" s="132"/>
      <c r="K248" s="132"/>
      <c r="L248" s="132"/>
      <c r="M248" s="132"/>
      <c r="N248" s="132"/>
      <c r="O248" s="132"/>
      <c r="P248" s="132"/>
      <c r="Q248" s="132"/>
      <c r="R248" s="132"/>
      <c r="S248" s="132"/>
      <c r="T248" s="132"/>
      <c r="U248" s="132"/>
      <c r="V248" s="132"/>
      <c r="W248" s="132"/>
      <c r="X248" s="132"/>
      <c r="Y248" s="132"/>
      <c r="Z248" s="132"/>
    </row>
    <row r="249" spans="1:26" ht="11.25" customHeight="1" x14ac:dyDescent="0.3">
      <c r="A249" s="132"/>
      <c r="B249" s="132"/>
      <c r="C249" s="132"/>
      <c r="D249" s="132"/>
      <c r="E249" s="132"/>
      <c r="F249" s="132"/>
      <c r="G249" s="132"/>
      <c r="H249" s="132"/>
      <c r="I249" s="132"/>
      <c r="J249" s="132"/>
      <c r="K249" s="132"/>
      <c r="L249" s="132"/>
      <c r="M249" s="132"/>
      <c r="N249" s="132"/>
      <c r="O249" s="132"/>
      <c r="P249" s="132"/>
      <c r="Q249" s="132"/>
      <c r="R249" s="132"/>
      <c r="S249" s="132"/>
      <c r="T249" s="132"/>
      <c r="U249" s="132"/>
      <c r="V249" s="132"/>
      <c r="W249" s="132"/>
      <c r="X249" s="132"/>
      <c r="Y249" s="132"/>
      <c r="Z249" s="132"/>
    </row>
    <row r="250" spans="1:26" ht="11.25" customHeight="1" x14ac:dyDescent="0.3">
      <c r="A250" s="132"/>
      <c r="B250" s="132"/>
      <c r="C250" s="132"/>
      <c r="D250" s="132"/>
      <c r="E250" s="132"/>
      <c r="F250" s="132"/>
      <c r="G250" s="132"/>
      <c r="H250" s="132"/>
      <c r="I250" s="132"/>
      <c r="J250" s="132"/>
      <c r="K250" s="132"/>
      <c r="L250" s="132"/>
      <c r="M250" s="132"/>
      <c r="N250" s="132"/>
      <c r="O250" s="132"/>
      <c r="P250" s="132"/>
      <c r="Q250" s="132"/>
      <c r="R250" s="132"/>
      <c r="S250" s="132"/>
      <c r="T250" s="132"/>
      <c r="U250" s="132"/>
      <c r="V250" s="132"/>
      <c r="W250" s="132"/>
      <c r="X250" s="132"/>
      <c r="Y250" s="132"/>
      <c r="Z250" s="132"/>
    </row>
    <row r="251" spans="1:26" ht="11.25" customHeight="1" x14ac:dyDescent="0.3">
      <c r="A251" s="132"/>
      <c r="B251" s="132"/>
      <c r="C251" s="132"/>
      <c r="D251" s="132"/>
      <c r="E251" s="132"/>
      <c r="F251" s="132"/>
      <c r="G251" s="132"/>
      <c r="H251" s="132"/>
      <c r="I251" s="132"/>
      <c r="J251" s="132"/>
      <c r="K251" s="132"/>
      <c r="L251" s="132"/>
      <c r="M251" s="132"/>
      <c r="N251" s="132"/>
      <c r="O251" s="132"/>
      <c r="P251" s="132"/>
      <c r="Q251" s="132"/>
      <c r="R251" s="132"/>
      <c r="S251" s="132"/>
      <c r="T251" s="132"/>
      <c r="U251" s="132"/>
      <c r="V251" s="132"/>
      <c r="W251" s="132"/>
      <c r="X251" s="132"/>
      <c r="Y251" s="132"/>
      <c r="Z251" s="132"/>
    </row>
    <row r="252" spans="1:26" ht="11.25" customHeight="1" x14ac:dyDescent="0.3">
      <c r="A252" s="132"/>
      <c r="B252" s="132"/>
      <c r="C252" s="132"/>
      <c r="D252" s="132"/>
      <c r="E252" s="132"/>
      <c r="F252" s="132"/>
      <c r="G252" s="132"/>
      <c r="H252" s="132"/>
      <c r="I252" s="132"/>
      <c r="J252" s="132"/>
      <c r="K252" s="132"/>
      <c r="L252" s="132"/>
      <c r="M252" s="132"/>
      <c r="N252" s="132"/>
      <c r="O252" s="132"/>
      <c r="P252" s="132"/>
      <c r="Q252" s="132"/>
      <c r="R252" s="132"/>
      <c r="S252" s="132"/>
      <c r="T252" s="132"/>
      <c r="U252" s="132"/>
      <c r="V252" s="132"/>
      <c r="W252" s="132"/>
      <c r="X252" s="132"/>
      <c r="Y252" s="132"/>
      <c r="Z252" s="132"/>
    </row>
    <row r="253" spans="1:26" ht="11.25" customHeight="1" x14ac:dyDescent="0.3">
      <c r="A253" s="132"/>
      <c r="B253" s="132"/>
      <c r="C253" s="132"/>
      <c r="D253" s="132"/>
      <c r="E253" s="132"/>
      <c r="F253" s="132"/>
      <c r="G253" s="132"/>
      <c r="H253" s="132"/>
      <c r="I253" s="132"/>
      <c r="J253" s="132"/>
      <c r="K253" s="132"/>
      <c r="L253" s="132"/>
      <c r="M253" s="132"/>
      <c r="N253" s="132"/>
      <c r="O253" s="132"/>
      <c r="P253" s="132"/>
      <c r="Q253" s="132"/>
      <c r="R253" s="132"/>
      <c r="S253" s="132"/>
      <c r="T253" s="132"/>
      <c r="U253" s="132"/>
      <c r="V253" s="132"/>
      <c r="W253" s="132"/>
      <c r="X253" s="132"/>
      <c r="Y253" s="132"/>
      <c r="Z253" s="132"/>
    </row>
    <row r="254" spans="1:26" ht="11.25" customHeight="1" x14ac:dyDescent="0.3">
      <c r="A254" s="132"/>
      <c r="B254" s="132"/>
      <c r="C254" s="132"/>
      <c r="D254" s="132"/>
      <c r="E254" s="132"/>
      <c r="F254" s="132"/>
      <c r="G254" s="132"/>
      <c r="H254" s="132"/>
      <c r="I254" s="132"/>
      <c r="J254" s="132"/>
      <c r="K254" s="132"/>
      <c r="L254" s="132"/>
      <c r="M254" s="132"/>
      <c r="N254" s="132"/>
      <c r="O254" s="132"/>
      <c r="P254" s="132"/>
      <c r="Q254" s="132"/>
      <c r="R254" s="132"/>
      <c r="S254" s="132"/>
      <c r="T254" s="132"/>
      <c r="U254" s="132"/>
      <c r="V254" s="132"/>
      <c r="W254" s="132"/>
      <c r="X254" s="132"/>
      <c r="Y254" s="132"/>
      <c r="Z254" s="132"/>
    </row>
    <row r="255" spans="1:26" ht="11.25" customHeight="1" x14ac:dyDescent="0.3">
      <c r="A255" s="132"/>
      <c r="B255" s="132"/>
      <c r="C255" s="132"/>
      <c r="D255" s="132"/>
      <c r="E255" s="132"/>
      <c r="F255" s="132"/>
      <c r="G255" s="132"/>
      <c r="H255" s="132"/>
      <c r="I255" s="132"/>
      <c r="J255" s="132"/>
      <c r="K255" s="132"/>
      <c r="L255" s="132"/>
      <c r="M255" s="132"/>
      <c r="N255" s="132"/>
      <c r="O255" s="132"/>
      <c r="P255" s="132"/>
      <c r="Q255" s="132"/>
      <c r="R255" s="132"/>
      <c r="S255" s="132"/>
      <c r="T255" s="132"/>
      <c r="U255" s="132"/>
      <c r="V255" s="132"/>
      <c r="W255" s="132"/>
      <c r="X255" s="132"/>
      <c r="Y255" s="132"/>
      <c r="Z255" s="132"/>
    </row>
    <row r="256" spans="1:26" ht="11.25" customHeight="1" x14ac:dyDescent="0.3">
      <c r="A256" s="132"/>
      <c r="B256" s="132"/>
      <c r="C256" s="132"/>
      <c r="D256" s="132"/>
      <c r="E256" s="132"/>
      <c r="F256" s="132"/>
      <c r="G256" s="132"/>
      <c r="H256" s="132"/>
      <c r="I256" s="132"/>
      <c r="J256" s="132"/>
      <c r="K256" s="132"/>
      <c r="L256" s="132"/>
      <c r="M256" s="132"/>
      <c r="N256" s="132"/>
      <c r="O256" s="132"/>
      <c r="P256" s="132"/>
      <c r="Q256" s="132"/>
      <c r="R256" s="132"/>
      <c r="S256" s="132"/>
      <c r="T256" s="132"/>
      <c r="U256" s="132"/>
      <c r="V256" s="132"/>
      <c r="W256" s="132"/>
      <c r="X256" s="132"/>
      <c r="Y256" s="132"/>
      <c r="Z256" s="132"/>
    </row>
    <row r="257" spans="1:26" ht="11.25" customHeight="1" x14ac:dyDescent="0.3">
      <c r="A257" s="132"/>
      <c r="B257" s="132"/>
      <c r="C257" s="132"/>
      <c r="D257" s="132"/>
      <c r="E257" s="132"/>
      <c r="F257" s="132"/>
      <c r="G257" s="132"/>
      <c r="H257" s="132"/>
      <c r="I257" s="132"/>
      <c r="J257" s="132"/>
      <c r="K257" s="132"/>
      <c r="L257" s="132"/>
      <c r="M257" s="132"/>
      <c r="N257" s="132"/>
      <c r="O257" s="132"/>
      <c r="P257" s="132"/>
      <c r="Q257" s="132"/>
      <c r="R257" s="132"/>
      <c r="S257" s="132"/>
      <c r="T257" s="132"/>
      <c r="U257" s="132"/>
      <c r="V257" s="132"/>
      <c r="W257" s="132"/>
      <c r="X257" s="132"/>
      <c r="Y257" s="132"/>
      <c r="Z257" s="132"/>
    </row>
    <row r="258" spans="1:26" ht="11.25" customHeight="1" x14ac:dyDescent="0.3">
      <c r="A258" s="132"/>
      <c r="B258" s="132"/>
      <c r="C258" s="132"/>
      <c r="D258" s="132"/>
      <c r="E258" s="132"/>
      <c r="F258" s="132"/>
      <c r="G258" s="132"/>
      <c r="H258" s="132"/>
      <c r="I258" s="132"/>
      <c r="J258" s="132"/>
      <c r="K258" s="132"/>
      <c r="L258" s="132"/>
      <c r="M258" s="132"/>
      <c r="N258" s="132"/>
      <c r="O258" s="132"/>
      <c r="P258" s="132"/>
      <c r="Q258" s="132"/>
      <c r="R258" s="132"/>
      <c r="S258" s="132"/>
      <c r="T258" s="132"/>
      <c r="U258" s="132"/>
      <c r="V258" s="132"/>
      <c r="W258" s="132"/>
      <c r="X258" s="132"/>
      <c r="Y258" s="132"/>
      <c r="Z258" s="132"/>
    </row>
    <row r="259" spans="1:26" ht="11.25" customHeight="1" x14ac:dyDescent="0.3">
      <c r="A259" s="132"/>
      <c r="B259" s="132"/>
      <c r="C259" s="132"/>
      <c r="D259" s="132"/>
      <c r="E259" s="132"/>
      <c r="F259" s="132"/>
      <c r="G259" s="132"/>
      <c r="H259" s="132"/>
      <c r="I259" s="132"/>
      <c r="J259" s="132"/>
      <c r="K259" s="132"/>
      <c r="L259" s="132"/>
      <c r="M259" s="132"/>
      <c r="N259" s="132"/>
      <c r="O259" s="132"/>
      <c r="P259" s="132"/>
      <c r="Q259" s="132"/>
      <c r="R259" s="132"/>
      <c r="S259" s="132"/>
      <c r="T259" s="132"/>
      <c r="U259" s="132"/>
      <c r="V259" s="132"/>
      <c r="W259" s="132"/>
      <c r="X259" s="132"/>
      <c r="Y259" s="132"/>
      <c r="Z259" s="132"/>
    </row>
    <row r="260" spans="1:26" ht="11.25" customHeight="1" x14ac:dyDescent="0.3">
      <c r="A260" s="132"/>
      <c r="B260" s="132"/>
      <c r="C260" s="132"/>
      <c r="D260" s="132"/>
      <c r="E260" s="132"/>
      <c r="F260" s="132"/>
      <c r="G260" s="132"/>
      <c r="H260" s="132"/>
      <c r="I260" s="132"/>
      <c r="J260" s="132"/>
      <c r="K260" s="132"/>
      <c r="L260" s="132"/>
      <c r="M260" s="132"/>
      <c r="N260" s="132"/>
      <c r="O260" s="132"/>
      <c r="P260" s="132"/>
      <c r="Q260" s="132"/>
      <c r="R260" s="132"/>
      <c r="S260" s="132"/>
      <c r="T260" s="132"/>
      <c r="U260" s="132"/>
      <c r="V260" s="132"/>
      <c r="W260" s="132"/>
      <c r="X260" s="132"/>
      <c r="Y260" s="132"/>
      <c r="Z260" s="132"/>
    </row>
    <row r="261" spans="1:26" ht="11.25" customHeight="1" x14ac:dyDescent="0.3">
      <c r="A261" s="132"/>
      <c r="B261" s="132"/>
      <c r="C261" s="132"/>
      <c r="D261" s="132"/>
      <c r="E261" s="132"/>
      <c r="F261" s="132"/>
      <c r="G261" s="132"/>
      <c r="H261" s="132"/>
      <c r="I261" s="132"/>
      <c r="J261" s="132"/>
      <c r="K261" s="132"/>
      <c r="L261" s="132"/>
      <c r="M261" s="132"/>
      <c r="N261" s="132"/>
      <c r="O261" s="132"/>
      <c r="P261" s="132"/>
      <c r="Q261" s="132"/>
      <c r="R261" s="132"/>
      <c r="S261" s="132"/>
      <c r="T261" s="132"/>
      <c r="U261" s="132"/>
      <c r="V261" s="132"/>
      <c r="W261" s="132"/>
      <c r="X261" s="132"/>
      <c r="Y261" s="132"/>
      <c r="Z261" s="132"/>
    </row>
    <row r="262" spans="1:26" ht="11.25" customHeight="1" x14ac:dyDescent="0.3">
      <c r="A262" s="132"/>
      <c r="B262" s="132"/>
      <c r="C262" s="132"/>
      <c r="D262" s="132"/>
      <c r="E262" s="132"/>
      <c r="F262" s="132"/>
      <c r="G262" s="132"/>
      <c r="H262" s="132"/>
      <c r="I262" s="132"/>
      <c r="J262" s="132"/>
      <c r="K262" s="132"/>
      <c r="L262" s="132"/>
      <c r="M262" s="132"/>
      <c r="N262" s="132"/>
      <c r="O262" s="132"/>
      <c r="P262" s="132"/>
      <c r="Q262" s="132"/>
      <c r="R262" s="132"/>
      <c r="S262" s="132"/>
      <c r="T262" s="132"/>
      <c r="U262" s="132"/>
      <c r="V262" s="132"/>
      <c r="W262" s="132"/>
      <c r="X262" s="132"/>
      <c r="Y262" s="132"/>
      <c r="Z262" s="132"/>
    </row>
    <row r="263" spans="1:26" ht="11.25" customHeight="1" x14ac:dyDescent="0.3">
      <c r="A263" s="132"/>
      <c r="B263" s="132"/>
      <c r="C263" s="132"/>
      <c r="D263" s="132"/>
      <c r="E263" s="132"/>
      <c r="F263" s="132"/>
      <c r="G263" s="132"/>
      <c r="H263" s="132"/>
      <c r="I263" s="132"/>
      <c r="J263" s="132"/>
      <c r="K263" s="132"/>
      <c r="L263" s="132"/>
      <c r="M263" s="132"/>
      <c r="N263" s="132"/>
      <c r="O263" s="132"/>
      <c r="P263" s="132"/>
      <c r="Q263" s="132"/>
      <c r="R263" s="132"/>
      <c r="S263" s="132"/>
      <c r="T263" s="132"/>
      <c r="U263" s="132"/>
      <c r="V263" s="132"/>
      <c r="W263" s="132"/>
      <c r="X263" s="132"/>
      <c r="Y263" s="132"/>
      <c r="Z263" s="132"/>
    </row>
    <row r="264" spans="1:26" ht="11.25" customHeight="1" x14ac:dyDescent="0.3">
      <c r="A264" s="132"/>
      <c r="B264" s="132"/>
      <c r="C264" s="132"/>
      <c r="D264" s="132"/>
      <c r="E264" s="132"/>
      <c r="F264" s="132"/>
      <c r="G264" s="132"/>
      <c r="H264" s="132"/>
      <c r="I264" s="132"/>
      <c r="J264" s="132"/>
      <c r="K264" s="132"/>
      <c r="L264" s="132"/>
      <c r="M264" s="132"/>
      <c r="N264" s="132"/>
      <c r="O264" s="132"/>
      <c r="P264" s="132"/>
      <c r="Q264" s="132"/>
      <c r="R264" s="132"/>
      <c r="S264" s="132"/>
      <c r="T264" s="132"/>
      <c r="U264" s="132"/>
      <c r="V264" s="132"/>
      <c r="W264" s="132"/>
      <c r="X264" s="132"/>
      <c r="Y264" s="132"/>
      <c r="Z264" s="132"/>
    </row>
    <row r="265" spans="1:26" ht="11.25" customHeight="1" x14ac:dyDescent="0.3">
      <c r="A265" s="132"/>
      <c r="B265" s="132"/>
      <c r="C265" s="132"/>
      <c r="D265" s="132"/>
      <c r="E265" s="132"/>
      <c r="F265" s="132"/>
      <c r="G265" s="132"/>
      <c r="H265" s="132"/>
      <c r="I265" s="132"/>
      <c r="J265" s="132"/>
      <c r="K265" s="132"/>
      <c r="L265" s="132"/>
      <c r="M265" s="132"/>
      <c r="N265" s="132"/>
      <c r="O265" s="132"/>
      <c r="P265" s="132"/>
      <c r="Q265" s="132"/>
      <c r="R265" s="132"/>
      <c r="S265" s="132"/>
      <c r="T265" s="132"/>
      <c r="U265" s="132"/>
      <c r="V265" s="132"/>
      <c r="W265" s="132"/>
      <c r="X265" s="132"/>
      <c r="Y265" s="132"/>
      <c r="Z265" s="132"/>
    </row>
    <row r="266" spans="1:26" ht="11.25" customHeight="1" x14ac:dyDescent="0.3">
      <c r="A266" s="132"/>
      <c r="B266" s="132"/>
      <c r="C266" s="132"/>
      <c r="D266" s="132"/>
      <c r="E266" s="132"/>
      <c r="F266" s="132"/>
      <c r="G266" s="132"/>
      <c r="H266" s="132"/>
      <c r="I266" s="132"/>
      <c r="J266" s="132"/>
      <c r="K266" s="132"/>
      <c r="L266" s="132"/>
      <c r="M266" s="132"/>
      <c r="N266" s="132"/>
      <c r="O266" s="132"/>
      <c r="P266" s="132"/>
      <c r="Q266" s="132"/>
      <c r="R266" s="132"/>
      <c r="S266" s="132"/>
      <c r="T266" s="132"/>
      <c r="U266" s="132"/>
      <c r="V266" s="132"/>
      <c r="W266" s="132"/>
      <c r="X266" s="132"/>
      <c r="Y266" s="132"/>
      <c r="Z266" s="132"/>
    </row>
    <row r="267" spans="1:26" ht="11.25" customHeight="1" x14ac:dyDescent="0.3">
      <c r="A267" s="132"/>
      <c r="B267" s="132"/>
      <c r="C267" s="132"/>
      <c r="D267" s="132"/>
      <c r="E267" s="132"/>
      <c r="F267" s="132"/>
      <c r="G267" s="132"/>
      <c r="H267" s="132"/>
      <c r="I267" s="132"/>
      <c r="J267" s="132"/>
      <c r="K267" s="132"/>
      <c r="L267" s="132"/>
      <c r="M267" s="132"/>
      <c r="N267" s="132"/>
      <c r="O267" s="132"/>
      <c r="P267" s="132"/>
      <c r="Q267" s="132"/>
      <c r="R267" s="132"/>
      <c r="S267" s="132"/>
      <c r="T267" s="132"/>
      <c r="U267" s="132"/>
      <c r="V267" s="132"/>
      <c r="W267" s="132"/>
      <c r="X267" s="132"/>
      <c r="Y267" s="132"/>
      <c r="Z267" s="132"/>
    </row>
    <row r="268" spans="1:26" ht="11.25" customHeight="1" x14ac:dyDescent="0.3">
      <c r="A268" s="132"/>
      <c r="B268" s="132"/>
      <c r="C268" s="132"/>
      <c r="D268" s="132"/>
      <c r="E268" s="132"/>
      <c r="F268" s="132"/>
      <c r="G268" s="132"/>
      <c r="H268" s="132"/>
      <c r="I268" s="132"/>
      <c r="J268" s="132"/>
      <c r="K268" s="132"/>
      <c r="L268" s="132"/>
      <c r="M268" s="132"/>
      <c r="N268" s="132"/>
      <c r="O268" s="132"/>
      <c r="P268" s="132"/>
      <c r="Q268" s="132"/>
      <c r="R268" s="132"/>
      <c r="S268" s="132"/>
      <c r="T268" s="132"/>
      <c r="U268" s="132"/>
      <c r="V268" s="132"/>
      <c r="W268" s="132"/>
      <c r="X268" s="132"/>
      <c r="Y268" s="132"/>
      <c r="Z268" s="132"/>
    </row>
    <row r="269" spans="1:26" ht="11.25" customHeight="1" x14ac:dyDescent="0.3">
      <c r="A269" s="132"/>
      <c r="B269" s="132"/>
      <c r="C269" s="132"/>
      <c r="D269" s="132"/>
      <c r="E269" s="132"/>
      <c r="F269" s="132"/>
      <c r="G269" s="132"/>
      <c r="H269" s="132"/>
      <c r="I269" s="132"/>
      <c r="J269" s="132"/>
      <c r="K269" s="132"/>
      <c r="L269" s="132"/>
      <c r="M269" s="132"/>
      <c r="N269" s="132"/>
      <c r="O269" s="132"/>
      <c r="P269" s="132"/>
      <c r="Q269" s="132"/>
      <c r="R269" s="132"/>
      <c r="S269" s="132"/>
      <c r="T269" s="132"/>
      <c r="U269" s="132"/>
      <c r="V269" s="132"/>
      <c r="W269" s="132"/>
      <c r="X269" s="132"/>
      <c r="Y269" s="132"/>
      <c r="Z269" s="132"/>
    </row>
    <row r="270" spans="1:26" ht="11.25" customHeight="1" x14ac:dyDescent="0.3">
      <c r="A270" s="132"/>
      <c r="B270" s="132"/>
      <c r="C270" s="132"/>
      <c r="D270" s="132"/>
      <c r="E270" s="132"/>
      <c r="F270" s="132"/>
      <c r="G270" s="132"/>
      <c r="H270" s="132"/>
      <c r="I270" s="132"/>
      <c r="J270" s="132"/>
      <c r="K270" s="132"/>
      <c r="L270" s="132"/>
      <c r="M270" s="132"/>
      <c r="N270" s="132"/>
      <c r="O270" s="132"/>
      <c r="P270" s="132"/>
      <c r="Q270" s="132"/>
      <c r="R270" s="132"/>
      <c r="S270" s="132"/>
      <c r="T270" s="132"/>
      <c r="U270" s="132"/>
      <c r="V270" s="132"/>
      <c r="W270" s="132"/>
      <c r="X270" s="132"/>
      <c r="Y270" s="132"/>
      <c r="Z270" s="132"/>
    </row>
    <row r="271" spans="1:26" ht="11.25" customHeight="1" x14ac:dyDescent="0.3">
      <c r="A271" s="132"/>
      <c r="B271" s="132"/>
      <c r="C271" s="132"/>
      <c r="D271" s="132"/>
      <c r="E271" s="132"/>
      <c r="F271" s="132"/>
      <c r="G271" s="132"/>
      <c r="H271" s="132"/>
      <c r="I271" s="132"/>
      <c r="J271" s="132"/>
      <c r="K271" s="132"/>
      <c r="L271" s="132"/>
      <c r="M271" s="132"/>
      <c r="N271" s="132"/>
      <c r="O271" s="132"/>
      <c r="P271" s="132"/>
      <c r="Q271" s="132"/>
      <c r="R271" s="132"/>
      <c r="S271" s="132"/>
      <c r="T271" s="132"/>
      <c r="U271" s="132"/>
      <c r="V271" s="132"/>
      <c r="W271" s="132"/>
      <c r="X271" s="132"/>
      <c r="Y271" s="132"/>
      <c r="Z271" s="132"/>
    </row>
    <row r="272" spans="1:26" ht="11.25" customHeight="1" x14ac:dyDescent="0.3">
      <c r="A272" s="132"/>
      <c r="B272" s="132"/>
      <c r="C272" s="132"/>
      <c r="D272" s="132"/>
      <c r="E272" s="132"/>
      <c r="F272" s="132"/>
      <c r="G272" s="132"/>
      <c r="H272" s="132"/>
      <c r="I272" s="132"/>
      <c r="J272" s="132"/>
      <c r="K272" s="132"/>
      <c r="L272" s="132"/>
      <c r="M272" s="132"/>
      <c r="N272" s="132"/>
      <c r="O272" s="132"/>
      <c r="P272" s="132"/>
      <c r="Q272" s="132"/>
      <c r="R272" s="132"/>
      <c r="S272" s="132"/>
      <c r="T272" s="132"/>
      <c r="U272" s="132"/>
      <c r="V272" s="132"/>
      <c r="W272" s="132"/>
      <c r="X272" s="132"/>
      <c r="Y272" s="132"/>
      <c r="Z272" s="132"/>
    </row>
    <row r="273" spans="1:26" ht="11.25" customHeight="1" x14ac:dyDescent="0.3">
      <c r="A273" s="132"/>
      <c r="B273" s="132"/>
      <c r="C273" s="132"/>
      <c r="D273" s="132"/>
      <c r="E273" s="132"/>
      <c r="F273" s="132"/>
      <c r="G273" s="132"/>
      <c r="H273" s="132"/>
      <c r="I273" s="132"/>
      <c r="J273" s="132"/>
      <c r="K273" s="132"/>
      <c r="L273" s="132"/>
      <c r="M273" s="132"/>
      <c r="N273" s="132"/>
      <c r="O273" s="132"/>
      <c r="P273" s="132"/>
      <c r="Q273" s="132"/>
      <c r="R273" s="132"/>
      <c r="S273" s="132"/>
      <c r="T273" s="132"/>
      <c r="U273" s="132"/>
      <c r="V273" s="132"/>
      <c r="W273" s="132"/>
      <c r="X273" s="132"/>
      <c r="Y273" s="132"/>
      <c r="Z273" s="132"/>
    </row>
    <row r="274" spans="1:26" ht="11.25" customHeight="1" x14ac:dyDescent="0.3">
      <c r="A274" s="132"/>
      <c r="B274" s="132"/>
      <c r="C274" s="132"/>
      <c r="D274" s="132"/>
      <c r="E274" s="132"/>
      <c r="F274" s="132"/>
      <c r="G274" s="132"/>
      <c r="H274" s="132"/>
      <c r="I274" s="132"/>
      <c r="J274" s="132"/>
      <c r="K274" s="132"/>
      <c r="L274" s="132"/>
      <c r="M274" s="132"/>
      <c r="N274" s="132"/>
      <c r="O274" s="132"/>
      <c r="P274" s="132"/>
      <c r="Q274" s="132"/>
      <c r="R274" s="132"/>
      <c r="S274" s="132"/>
      <c r="T274" s="132"/>
      <c r="U274" s="132"/>
      <c r="V274" s="132"/>
      <c r="W274" s="132"/>
      <c r="X274" s="132"/>
      <c r="Y274" s="132"/>
      <c r="Z274" s="132"/>
    </row>
    <row r="275" spans="1:26" ht="11.25" customHeight="1" x14ac:dyDescent="0.3">
      <c r="A275" s="132"/>
      <c r="B275" s="132"/>
      <c r="C275" s="132"/>
      <c r="D275" s="132"/>
      <c r="E275" s="132"/>
      <c r="F275" s="132"/>
      <c r="G275" s="132"/>
      <c r="H275" s="132"/>
      <c r="I275" s="132"/>
      <c r="J275" s="132"/>
      <c r="K275" s="132"/>
      <c r="L275" s="132"/>
      <c r="M275" s="132"/>
      <c r="N275" s="132"/>
      <c r="O275" s="132"/>
      <c r="P275" s="132"/>
      <c r="Q275" s="132"/>
      <c r="R275" s="132"/>
      <c r="S275" s="132"/>
      <c r="T275" s="132"/>
      <c r="U275" s="132"/>
      <c r="V275" s="132"/>
      <c r="W275" s="132"/>
      <c r="X275" s="132"/>
      <c r="Y275" s="132"/>
      <c r="Z275" s="132"/>
    </row>
    <row r="276" spans="1:26" ht="11.25" customHeight="1" x14ac:dyDescent="0.3">
      <c r="A276" s="132"/>
      <c r="B276" s="132"/>
      <c r="C276" s="132"/>
      <c r="D276" s="132"/>
      <c r="E276" s="132"/>
      <c r="F276" s="132"/>
      <c r="G276" s="132"/>
      <c r="H276" s="132"/>
      <c r="I276" s="132"/>
      <c r="J276" s="132"/>
      <c r="K276" s="132"/>
      <c r="L276" s="132"/>
      <c r="M276" s="132"/>
      <c r="N276" s="132"/>
      <c r="O276" s="132"/>
      <c r="P276" s="132"/>
      <c r="Q276" s="132"/>
      <c r="R276" s="132"/>
      <c r="S276" s="132"/>
      <c r="T276" s="132"/>
      <c r="U276" s="132"/>
      <c r="V276" s="132"/>
      <c r="W276" s="132"/>
      <c r="X276" s="132"/>
      <c r="Y276" s="132"/>
      <c r="Z276" s="132"/>
    </row>
    <row r="277" spans="1:26" ht="11.25" customHeight="1" x14ac:dyDescent="0.3">
      <c r="A277" s="132"/>
      <c r="B277" s="132"/>
      <c r="C277" s="132"/>
      <c r="D277" s="132"/>
      <c r="E277" s="132"/>
      <c r="F277" s="132"/>
      <c r="G277" s="132"/>
      <c r="H277" s="132"/>
      <c r="I277" s="132"/>
      <c r="J277" s="132"/>
      <c r="K277" s="132"/>
      <c r="L277" s="132"/>
      <c r="M277" s="132"/>
      <c r="N277" s="132"/>
      <c r="O277" s="132"/>
      <c r="P277" s="132"/>
      <c r="Q277" s="132"/>
      <c r="R277" s="132"/>
      <c r="S277" s="132"/>
      <c r="T277" s="132"/>
      <c r="U277" s="132"/>
      <c r="V277" s="132"/>
      <c r="W277" s="132"/>
      <c r="X277" s="132"/>
      <c r="Y277" s="132"/>
      <c r="Z277" s="132"/>
    </row>
    <row r="278" spans="1:26" ht="11.25" customHeight="1" x14ac:dyDescent="0.3">
      <c r="A278" s="132"/>
      <c r="B278" s="132"/>
      <c r="C278" s="132"/>
      <c r="D278" s="132"/>
      <c r="E278" s="132"/>
      <c r="F278" s="132"/>
      <c r="G278" s="132"/>
      <c r="H278" s="132"/>
      <c r="I278" s="132"/>
      <c r="J278" s="132"/>
      <c r="K278" s="132"/>
      <c r="L278" s="132"/>
      <c r="M278" s="132"/>
      <c r="N278" s="132"/>
      <c r="O278" s="132"/>
      <c r="P278" s="132"/>
      <c r="Q278" s="132"/>
      <c r="R278" s="132"/>
      <c r="S278" s="132"/>
      <c r="T278" s="132"/>
      <c r="U278" s="132"/>
      <c r="V278" s="132"/>
      <c r="W278" s="132"/>
      <c r="X278" s="132"/>
      <c r="Y278" s="132"/>
      <c r="Z278" s="132"/>
    </row>
    <row r="279" spans="1:26" ht="11.25" customHeight="1" x14ac:dyDescent="0.3">
      <c r="A279" s="132"/>
      <c r="B279" s="132"/>
      <c r="C279" s="132"/>
      <c r="D279" s="132"/>
      <c r="E279" s="132"/>
      <c r="F279" s="132"/>
      <c r="G279" s="132"/>
      <c r="H279" s="132"/>
      <c r="I279" s="132"/>
      <c r="J279" s="132"/>
      <c r="K279" s="132"/>
      <c r="L279" s="132"/>
      <c r="M279" s="132"/>
      <c r="N279" s="132"/>
      <c r="O279" s="132"/>
      <c r="P279" s="132"/>
      <c r="Q279" s="132"/>
      <c r="R279" s="132"/>
      <c r="S279" s="132"/>
      <c r="T279" s="132"/>
      <c r="U279" s="132"/>
      <c r="V279" s="132"/>
      <c r="W279" s="132"/>
      <c r="X279" s="132"/>
      <c r="Y279" s="132"/>
      <c r="Z279" s="132"/>
    </row>
    <row r="280" spans="1:26" ht="11.25" customHeight="1" x14ac:dyDescent="0.3">
      <c r="A280" s="132"/>
      <c r="B280" s="132"/>
      <c r="C280" s="132"/>
      <c r="D280" s="132"/>
      <c r="E280" s="132"/>
      <c r="F280" s="132"/>
      <c r="G280" s="132"/>
      <c r="H280" s="132"/>
      <c r="I280" s="132"/>
      <c r="J280" s="132"/>
      <c r="K280" s="132"/>
      <c r="L280" s="132"/>
      <c r="M280" s="132"/>
      <c r="N280" s="132"/>
      <c r="O280" s="132"/>
      <c r="P280" s="132"/>
      <c r="Q280" s="132"/>
      <c r="R280" s="132"/>
      <c r="S280" s="132"/>
      <c r="T280" s="132"/>
      <c r="U280" s="132"/>
      <c r="V280" s="132"/>
      <c r="W280" s="132"/>
      <c r="X280" s="132"/>
      <c r="Y280" s="132"/>
      <c r="Z280" s="132"/>
    </row>
    <row r="281" spans="1:26" ht="11.25" customHeight="1" x14ac:dyDescent="0.3">
      <c r="A281" s="132"/>
      <c r="B281" s="132"/>
      <c r="C281" s="132"/>
      <c r="D281" s="132"/>
      <c r="E281" s="132"/>
      <c r="F281" s="132"/>
      <c r="G281" s="132"/>
      <c r="H281" s="132"/>
      <c r="I281" s="132"/>
      <c r="J281" s="132"/>
      <c r="K281" s="132"/>
      <c r="L281" s="132"/>
      <c r="M281" s="132"/>
      <c r="N281" s="132"/>
      <c r="O281" s="132"/>
      <c r="P281" s="132"/>
      <c r="Q281" s="132"/>
      <c r="R281" s="132"/>
      <c r="S281" s="132"/>
      <c r="T281" s="132"/>
      <c r="U281" s="132"/>
      <c r="V281" s="132"/>
      <c r="W281" s="132"/>
      <c r="X281" s="132"/>
      <c r="Y281" s="132"/>
      <c r="Z281" s="132"/>
    </row>
    <row r="282" spans="1:26" ht="11.25" customHeight="1" x14ac:dyDescent="0.3">
      <c r="A282" s="132"/>
      <c r="B282" s="132"/>
      <c r="C282" s="132"/>
      <c r="D282" s="132"/>
      <c r="E282" s="132"/>
      <c r="F282" s="132"/>
      <c r="G282" s="132"/>
      <c r="H282" s="132"/>
      <c r="I282" s="132"/>
      <c r="J282" s="132"/>
      <c r="K282" s="132"/>
      <c r="L282" s="132"/>
      <c r="M282" s="132"/>
      <c r="N282" s="132"/>
      <c r="O282" s="132"/>
      <c r="P282" s="132"/>
      <c r="Q282" s="132"/>
      <c r="R282" s="132"/>
      <c r="S282" s="132"/>
      <c r="T282" s="132"/>
      <c r="U282" s="132"/>
      <c r="V282" s="132"/>
      <c r="W282" s="132"/>
      <c r="X282" s="132"/>
      <c r="Y282" s="132"/>
      <c r="Z282" s="132"/>
    </row>
    <row r="283" spans="1:26" ht="11.25" customHeight="1" x14ac:dyDescent="0.3">
      <c r="A283" s="132"/>
      <c r="B283" s="132"/>
      <c r="C283" s="132"/>
      <c r="D283" s="132"/>
      <c r="E283" s="132"/>
      <c r="F283" s="132"/>
      <c r="G283" s="132"/>
      <c r="H283" s="132"/>
      <c r="I283" s="132"/>
      <c r="J283" s="132"/>
      <c r="K283" s="132"/>
      <c r="L283" s="132"/>
      <c r="M283" s="132"/>
      <c r="N283" s="132"/>
      <c r="O283" s="132"/>
      <c r="P283" s="132"/>
      <c r="Q283" s="132"/>
      <c r="R283" s="132"/>
      <c r="S283" s="132"/>
      <c r="T283" s="132"/>
      <c r="U283" s="132"/>
      <c r="V283" s="132"/>
      <c r="W283" s="132"/>
      <c r="X283" s="132"/>
      <c r="Y283" s="132"/>
      <c r="Z283" s="132"/>
    </row>
    <row r="284" spans="1:26" ht="11.25" customHeight="1" x14ac:dyDescent="0.3">
      <c r="A284" s="132"/>
      <c r="B284" s="132"/>
      <c r="C284" s="132"/>
      <c r="D284" s="132"/>
      <c r="E284" s="132"/>
      <c r="F284" s="132"/>
      <c r="G284" s="132"/>
      <c r="H284" s="132"/>
      <c r="I284" s="132"/>
      <c r="J284" s="132"/>
      <c r="K284" s="132"/>
      <c r="L284" s="132"/>
      <c r="M284" s="132"/>
      <c r="N284" s="132"/>
      <c r="O284" s="132"/>
      <c r="P284" s="132"/>
      <c r="Q284" s="132"/>
      <c r="R284" s="132"/>
      <c r="S284" s="132"/>
      <c r="T284" s="132"/>
      <c r="U284" s="132"/>
      <c r="V284" s="132"/>
      <c r="W284" s="132"/>
      <c r="X284" s="132"/>
      <c r="Y284" s="132"/>
      <c r="Z284" s="132"/>
    </row>
    <row r="285" spans="1:26" ht="11.25" customHeight="1" x14ac:dyDescent="0.3">
      <c r="A285" s="132"/>
      <c r="B285" s="132"/>
      <c r="C285" s="132"/>
      <c r="D285" s="132"/>
      <c r="E285" s="132"/>
      <c r="F285" s="132"/>
      <c r="G285" s="132"/>
      <c r="H285" s="132"/>
      <c r="I285" s="132"/>
      <c r="J285" s="132"/>
      <c r="K285" s="132"/>
      <c r="L285" s="132"/>
      <c r="M285" s="132"/>
      <c r="N285" s="132"/>
      <c r="O285" s="132"/>
      <c r="P285" s="132"/>
      <c r="Q285" s="132"/>
      <c r="R285" s="132"/>
      <c r="S285" s="132"/>
      <c r="T285" s="132"/>
      <c r="U285" s="132"/>
      <c r="V285" s="132"/>
      <c r="W285" s="132"/>
      <c r="X285" s="132"/>
      <c r="Y285" s="132"/>
      <c r="Z285" s="132"/>
    </row>
    <row r="286" spans="1:26" ht="11.25" customHeight="1" x14ac:dyDescent="0.3">
      <c r="A286" s="132"/>
      <c r="B286" s="132"/>
      <c r="C286" s="132"/>
      <c r="D286" s="132"/>
      <c r="E286" s="132"/>
      <c r="F286" s="132"/>
      <c r="G286" s="132"/>
      <c r="H286" s="132"/>
      <c r="I286" s="132"/>
      <c r="J286" s="132"/>
      <c r="K286" s="132"/>
      <c r="L286" s="132"/>
      <c r="M286" s="132"/>
      <c r="N286" s="132"/>
      <c r="O286" s="132"/>
      <c r="P286" s="132"/>
      <c r="Q286" s="132"/>
      <c r="R286" s="132"/>
      <c r="S286" s="132"/>
      <c r="T286" s="132"/>
      <c r="U286" s="132"/>
      <c r="V286" s="132"/>
      <c r="W286" s="132"/>
      <c r="X286" s="132"/>
      <c r="Y286" s="132"/>
      <c r="Z286" s="132"/>
    </row>
    <row r="287" spans="1:26" ht="11.25" customHeight="1" x14ac:dyDescent="0.3">
      <c r="A287" s="132"/>
      <c r="B287" s="132"/>
      <c r="C287" s="132"/>
      <c r="D287" s="132"/>
      <c r="E287" s="132"/>
      <c r="F287" s="132"/>
      <c r="G287" s="132"/>
      <c r="H287" s="132"/>
      <c r="I287" s="132"/>
      <c r="J287" s="132"/>
      <c r="K287" s="132"/>
      <c r="L287" s="132"/>
      <c r="M287" s="132"/>
      <c r="N287" s="132"/>
      <c r="O287" s="132"/>
      <c r="P287" s="132"/>
      <c r="Q287" s="132"/>
      <c r="R287" s="132"/>
      <c r="S287" s="132"/>
      <c r="T287" s="132"/>
      <c r="U287" s="132"/>
      <c r="V287" s="132"/>
      <c r="W287" s="132"/>
      <c r="X287" s="132"/>
      <c r="Y287" s="132"/>
      <c r="Z287" s="132"/>
    </row>
    <row r="288" spans="1:26" ht="11.25" customHeight="1" x14ac:dyDescent="0.3">
      <c r="A288" s="132"/>
      <c r="B288" s="132"/>
      <c r="C288" s="132"/>
      <c r="D288" s="132"/>
      <c r="E288" s="132"/>
      <c r="F288" s="132"/>
      <c r="G288" s="132"/>
      <c r="H288" s="132"/>
      <c r="I288" s="132"/>
      <c r="J288" s="132"/>
      <c r="K288" s="132"/>
      <c r="L288" s="132"/>
      <c r="M288" s="132"/>
      <c r="N288" s="132"/>
      <c r="O288" s="132"/>
      <c r="P288" s="132"/>
      <c r="Q288" s="132"/>
      <c r="R288" s="132"/>
      <c r="S288" s="132"/>
      <c r="T288" s="132"/>
      <c r="U288" s="132"/>
      <c r="V288" s="132"/>
      <c r="W288" s="132"/>
      <c r="X288" s="132"/>
      <c r="Y288" s="132"/>
      <c r="Z288" s="132"/>
    </row>
    <row r="289" spans="1:26" ht="11.25" customHeight="1" x14ac:dyDescent="0.3">
      <c r="A289" s="132"/>
      <c r="B289" s="132"/>
      <c r="C289" s="132"/>
      <c r="D289" s="132"/>
      <c r="E289" s="132"/>
      <c r="F289" s="132"/>
      <c r="G289" s="132"/>
      <c r="H289" s="132"/>
      <c r="I289" s="132"/>
      <c r="J289" s="132"/>
      <c r="K289" s="132"/>
      <c r="L289" s="132"/>
      <c r="M289" s="132"/>
      <c r="N289" s="132"/>
      <c r="O289" s="132"/>
      <c r="P289" s="132"/>
      <c r="Q289" s="132"/>
      <c r="R289" s="132"/>
      <c r="S289" s="132"/>
      <c r="T289" s="132"/>
      <c r="U289" s="132"/>
      <c r="V289" s="132"/>
      <c r="W289" s="132"/>
      <c r="X289" s="132"/>
      <c r="Y289" s="132"/>
      <c r="Z289" s="132"/>
    </row>
    <row r="290" spans="1:26" ht="11.25" customHeight="1" x14ac:dyDescent="0.3">
      <c r="A290" s="132"/>
      <c r="B290" s="132"/>
      <c r="C290" s="132"/>
      <c r="D290" s="132"/>
      <c r="E290" s="132"/>
      <c r="F290" s="132"/>
      <c r="G290" s="132"/>
      <c r="H290" s="132"/>
      <c r="I290" s="132"/>
      <c r="J290" s="132"/>
      <c r="K290" s="132"/>
      <c r="L290" s="132"/>
      <c r="M290" s="132"/>
      <c r="N290" s="132"/>
      <c r="O290" s="132"/>
      <c r="P290" s="132"/>
      <c r="Q290" s="132"/>
      <c r="R290" s="132"/>
      <c r="S290" s="132"/>
      <c r="T290" s="132"/>
      <c r="U290" s="132"/>
      <c r="V290" s="132"/>
      <c r="W290" s="132"/>
      <c r="X290" s="132"/>
      <c r="Y290" s="132"/>
      <c r="Z290" s="132"/>
    </row>
    <row r="291" spans="1:26" ht="11.25" customHeight="1" x14ac:dyDescent="0.3">
      <c r="A291" s="132"/>
      <c r="B291" s="132"/>
      <c r="C291" s="132"/>
      <c r="D291" s="132"/>
      <c r="E291" s="132"/>
      <c r="F291" s="132"/>
      <c r="G291" s="132"/>
      <c r="H291" s="132"/>
      <c r="I291" s="132"/>
      <c r="J291" s="132"/>
      <c r="K291" s="132"/>
      <c r="L291" s="132"/>
      <c r="M291" s="132"/>
      <c r="N291" s="132"/>
      <c r="O291" s="132"/>
      <c r="P291" s="132"/>
      <c r="Q291" s="132"/>
      <c r="R291" s="132"/>
      <c r="S291" s="132"/>
      <c r="T291" s="132"/>
      <c r="U291" s="132"/>
      <c r="V291" s="132"/>
      <c r="W291" s="132"/>
      <c r="X291" s="132"/>
      <c r="Y291" s="132"/>
      <c r="Z291" s="132"/>
    </row>
    <row r="292" spans="1:26" ht="11.25" customHeight="1" x14ac:dyDescent="0.3">
      <c r="A292" s="132"/>
      <c r="B292" s="132"/>
      <c r="C292" s="132"/>
      <c r="D292" s="132"/>
      <c r="E292" s="132"/>
      <c r="F292" s="132"/>
      <c r="G292" s="132"/>
      <c r="H292" s="132"/>
      <c r="I292" s="132"/>
      <c r="J292" s="132"/>
      <c r="K292" s="132"/>
      <c r="L292" s="132"/>
      <c r="M292" s="132"/>
      <c r="N292" s="132"/>
      <c r="O292" s="132"/>
      <c r="P292" s="132"/>
      <c r="Q292" s="132"/>
      <c r="R292" s="132"/>
      <c r="S292" s="132"/>
      <c r="T292" s="132"/>
      <c r="U292" s="132"/>
      <c r="V292" s="132"/>
      <c r="W292" s="132"/>
      <c r="X292" s="132"/>
      <c r="Y292" s="132"/>
      <c r="Z292" s="132"/>
    </row>
    <row r="293" spans="1:26" ht="11.25" customHeight="1" x14ac:dyDescent="0.3">
      <c r="A293" s="132"/>
      <c r="B293" s="132"/>
      <c r="C293" s="132"/>
      <c r="D293" s="132"/>
      <c r="E293" s="132"/>
      <c r="F293" s="132"/>
      <c r="G293" s="132"/>
      <c r="H293" s="132"/>
      <c r="I293" s="132"/>
      <c r="J293" s="132"/>
      <c r="K293" s="132"/>
      <c r="L293" s="132"/>
      <c r="M293" s="132"/>
      <c r="N293" s="132"/>
      <c r="O293" s="132"/>
      <c r="P293" s="132"/>
      <c r="Q293" s="132"/>
      <c r="R293" s="132"/>
      <c r="S293" s="132"/>
      <c r="T293" s="132"/>
      <c r="U293" s="132"/>
      <c r="V293" s="132"/>
      <c r="W293" s="132"/>
      <c r="X293" s="132"/>
      <c r="Y293" s="132"/>
      <c r="Z293" s="132"/>
    </row>
    <row r="294" spans="1:26" ht="11.25" customHeight="1" x14ac:dyDescent="0.3">
      <c r="A294" s="132"/>
      <c r="B294" s="132"/>
      <c r="C294" s="132"/>
      <c r="D294" s="132"/>
      <c r="E294" s="132"/>
      <c r="F294" s="132"/>
      <c r="G294" s="132"/>
      <c r="H294" s="132"/>
      <c r="I294" s="132"/>
      <c r="J294" s="132"/>
      <c r="K294" s="132"/>
      <c r="L294" s="132"/>
      <c r="M294" s="132"/>
      <c r="N294" s="132"/>
      <c r="O294" s="132"/>
      <c r="P294" s="132"/>
      <c r="Q294" s="132"/>
      <c r="R294" s="132"/>
      <c r="S294" s="132"/>
      <c r="T294" s="132"/>
      <c r="U294" s="132"/>
      <c r="V294" s="132"/>
      <c r="W294" s="132"/>
      <c r="X294" s="132"/>
      <c r="Y294" s="132"/>
      <c r="Z294" s="132"/>
    </row>
    <row r="295" spans="1:26" ht="11.25" customHeight="1" x14ac:dyDescent="0.3">
      <c r="A295" s="132"/>
      <c r="B295" s="132"/>
      <c r="C295" s="132"/>
      <c r="D295" s="132"/>
      <c r="E295" s="132"/>
      <c r="F295" s="132"/>
      <c r="G295" s="132"/>
      <c r="H295" s="132"/>
      <c r="I295" s="132"/>
      <c r="J295" s="132"/>
      <c r="K295" s="132"/>
      <c r="L295" s="132"/>
      <c r="M295" s="132"/>
      <c r="N295" s="132"/>
      <c r="O295" s="132"/>
      <c r="P295" s="132"/>
      <c r="Q295" s="132"/>
      <c r="R295" s="132"/>
      <c r="S295" s="132"/>
      <c r="T295" s="132"/>
      <c r="U295" s="132"/>
      <c r="V295" s="132"/>
      <c r="W295" s="132"/>
      <c r="X295" s="132"/>
      <c r="Y295" s="132"/>
      <c r="Z295" s="132"/>
    </row>
    <row r="296" spans="1:26" ht="11.25" customHeight="1" x14ac:dyDescent="0.3">
      <c r="A296" s="132"/>
      <c r="B296" s="132"/>
      <c r="C296" s="132"/>
      <c r="D296" s="132"/>
      <c r="E296" s="132"/>
      <c r="F296" s="132"/>
      <c r="G296" s="132"/>
      <c r="H296" s="132"/>
      <c r="I296" s="132"/>
      <c r="J296" s="132"/>
      <c r="K296" s="132"/>
      <c r="L296" s="132"/>
      <c r="M296" s="132"/>
      <c r="N296" s="132"/>
      <c r="O296" s="132"/>
      <c r="P296" s="132"/>
      <c r="Q296" s="132"/>
      <c r="R296" s="132"/>
      <c r="S296" s="132"/>
      <c r="T296" s="132"/>
      <c r="U296" s="132"/>
      <c r="V296" s="132"/>
      <c r="W296" s="132"/>
      <c r="X296" s="132"/>
      <c r="Y296" s="132"/>
      <c r="Z296" s="132"/>
    </row>
    <row r="297" spans="1:26" ht="11.25" customHeight="1" x14ac:dyDescent="0.3">
      <c r="A297" s="132"/>
      <c r="B297" s="132"/>
      <c r="C297" s="132"/>
      <c r="D297" s="132"/>
      <c r="E297" s="132"/>
      <c r="F297" s="132"/>
      <c r="G297" s="132"/>
      <c r="H297" s="132"/>
      <c r="I297" s="132"/>
      <c r="J297" s="132"/>
      <c r="K297" s="132"/>
      <c r="L297" s="132"/>
      <c r="M297" s="132"/>
      <c r="N297" s="132"/>
      <c r="O297" s="132"/>
      <c r="P297" s="132"/>
      <c r="Q297" s="132"/>
      <c r="R297" s="132"/>
      <c r="S297" s="132"/>
      <c r="T297" s="132"/>
      <c r="U297" s="132"/>
      <c r="V297" s="132"/>
      <c r="W297" s="132"/>
      <c r="X297" s="132"/>
      <c r="Y297" s="132"/>
      <c r="Z297" s="132"/>
    </row>
    <row r="298" spans="1:26" ht="11.25" customHeight="1" x14ac:dyDescent="0.3">
      <c r="A298" s="132"/>
      <c r="B298" s="132"/>
      <c r="C298" s="132"/>
      <c r="D298" s="132"/>
      <c r="E298" s="132"/>
      <c r="F298" s="132"/>
      <c r="G298" s="132"/>
      <c r="H298" s="132"/>
      <c r="I298" s="132"/>
      <c r="J298" s="132"/>
      <c r="K298" s="132"/>
      <c r="L298" s="132"/>
      <c r="M298" s="132"/>
      <c r="N298" s="132"/>
      <c r="O298" s="132"/>
      <c r="P298" s="132"/>
      <c r="Q298" s="132"/>
      <c r="R298" s="132"/>
      <c r="S298" s="132"/>
      <c r="T298" s="132"/>
      <c r="U298" s="132"/>
      <c r="V298" s="132"/>
      <c r="W298" s="132"/>
      <c r="X298" s="132"/>
      <c r="Y298" s="132"/>
      <c r="Z298" s="132"/>
    </row>
    <row r="299" spans="1:26" ht="11.25" customHeight="1" x14ac:dyDescent="0.3">
      <c r="A299" s="132"/>
      <c r="B299" s="132"/>
      <c r="C299" s="132"/>
      <c r="D299" s="132"/>
      <c r="E299" s="132"/>
      <c r="F299" s="132"/>
      <c r="G299" s="132"/>
      <c r="H299" s="132"/>
      <c r="I299" s="132"/>
      <c r="J299" s="132"/>
      <c r="K299" s="132"/>
      <c r="L299" s="132"/>
      <c r="M299" s="132"/>
      <c r="N299" s="132"/>
      <c r="O299" s="132"/>
      <c r="P299" s="132"/>
      <c r="Q299" s="132"/>
      <c r="R299" s="132"/>
      <c r="S299" s="132"/>
      <c r="T299" s="132"/>
      <c r="U299" s="132"/>
      <c r="V299" s="132"/>
      <c r="W299" s="132"/>
      <c r="X299" s="132"/>
      <c r="Y299" s="132"/>
      <c r="Z299" s="132"/>
    </row>
    <row r="300" spans="1:26" ht="11.25" customHeight="1" x14ac:dyDescent="0.3">
      <c r="A300" s="132"/>
      <c r="B300" s="132"/>
      <c r="C300" s="132"/>
      <c r="D300" s="132"/>
      <c r="E300" s="132"/>
      <c r="F300" s="132"/>
      <c r="G300" s="132"/>
      <c r="H300" s="132"/>
      <c r="I300" s="132"/>
      <c r="J300" s="132"/>
      <c r="K300" s="132"/>
      <c r="L300" s="132"/>
      <c r="M300" s="132"/>
      <c r="N300" s="132"/>
      <c r="O300" s="132"/>
      <c r="P300" s="132"/>
      <c r="Q300" s="132"/>
      <c r="R300" s="132"/>
      <c r="S300" s="132"/>
      <c r="T300" s="132"/>
      <c r="U300" s="132"/>
      <c r="V300" s="132"/>
      <c r="W300" s="132"/>
      <c r="X300" s="132"/>
      <c r="Y300" s="132"/>
      <c r="Z300" s="132"/>
    </row>
    <row r="301" spans="1:26" ht="11.25" customHeight="1" x14ac:dyDescent="0.3">
      <c r="A301" s="132"/>
      <c r="B301" s="132"/>
      <c r="C301" s="132"/>
      <c r="D301" s="132"/>
      <c r="E301" s="132"/>
      <c r="F301" s="132"/>
      <c r="G301" s="132"/>
      <c r="H301" s="132"/>
      <c r="I301" s="132"/>
      <c r="J301" s="132"/>
      <c r="K301" s="132"/>
      <c r="L301" s="132"/>
      <c r="M301" s="132"/>
      <c r="N301" s="132"/>
      <c r="O301" s="132"/>
      <c r="P301" s="132"/>
      <c r="Q301" s="132"/>
      <c r="R301" s="132"/>
      <c r="S301" s="132"/>
      <c r="T301" s="132"/>
      <c r="U301" s="132"/>
      <c r="V301" s="132"/>
      <c r="W301" s="132"/>
      <c r="X301" s="132"/>
      <c r="Y301" s="132"/>
      <c r="Z301" s="132"/>
    </row>
    <row r="302" spans="1:26" ht="11.25" customHeight="1" x14ac:dyDescent="0.3">
      <c r="A302" s="132"/>
      <c r="B302" s="132"/>
      <c r="C302" s="132"/>
      <c r="D302" s="132"/>
      <c r="E302" s="132"/>
      <c r="F302" s="132"/>
      <c r="G302" s="132"/>
      <c r="H302" s="132"/>
      <c r="I302" s="132"/>
      <c r="J302" s="132"/>
      <c r="K302" s="132"/>
      <c r="L302" s="132"/>
      <c r="M302" s="132"/>
      <c r="N302" s="132"/>
      <c r="O302" s="132"/>
      <c r="P302" s="132"/>
      <c r="Q302" s="132"/>
      <c r="R302" s="132"/>
      <c r="S302" s="132"/>
      <c r="T302" s="132"/>
      <c r="U302" s="132"/>
      <c r="V302" s="132"/>
      <c r="W302" s="132"/>
      <c r="X302" s="132"/>
      <c r="Y302" s="132"/>
      <c r="Z302" s="132"/>
    </row>
    <row r="303" spans="1:26" ht="11.25" customHeight="1" x14ac:dyDescent="0.3">
      <c r="A303" s="132"/>
      <c r="B303" s="132"/>
      <c r="C303" s="132"/>
      <c r="D303" s="132"/>
      <c r="E303" s="132"/>
      <c r="F303" s="132"/>
      <c r="G303" s="132"/>
      <c r="H303" s="132"/>
      <c r="I303" s="132"/>
      <c r="J303" s="132"/>
      <c r="K303" s="132"/>
      <c r="L303" s="132"/>
      <c r="M303" s="132"/>
      <c r="N303" s="132"/>
      <c r="O303" s="132"/>
      <c r="P303" s="132"/>
      <c r="Q303" s="132"/>
      <c r="R303" s="132"/>
      <c r="S303" s="132"/>
      <c r="T303" s="132"/>
      <c r="U303" s="132"/>
      <c r="V303" s="132"/>
      <c r="W303" s="132"/>
      <c r="X303" s="132"/>
      <c r="Y303" s="132"/>
      <c r="Z303" s="132"/>
    </row>
    <row r="304" spans="1:26" ht="11.25" customHeight="1" x14ac:dyDescent="0.3">
      <c r="A304" s="132"/>
      <c r="B304" s="132"/>
      <c r="C304" s="132"/>
      <c r="D304" s="132"/>
      <c r="E304" s="132"/>
      <c r="F304" s="132"/>
      <c r="G304" s="132"/>
      <c r="H304" s="132"/>
      <c r="I304" s="132"/>
      <c r="J304" s="132"/>
      <c r="K304" s="132"/>
      <c r="L304" s="132"/>
      <c r="M304" s="132"/>
      <c r="N304" s="132"/>
      <c r="O304" s="132"/>
      <c r="P304" s="132"/>
      <c r="Q304" s="132"/>
      <c r="R304" s="132"/>
      <c r="S304" s="132"/>
      <c r="T304" s="132"/>
      <c r="U304" s="132"/>
      <c r="V304" s="132"/>
      <c r="W304" s="132"/>
      <c r="X304" s="132"/>
      <c r="Y304" s="132"/>
      <c r="Z304" s="132"/>
    </row>
    <row r="305" spans="1:26" ht="11.25" customHeight="1" x14ac:dyDescent="0.3">
      <c r="A305" s="132"/>
      <c r="B305" s="132"/>
      <c r="C305" s="132"/>
      <c r="D305" s="132"/>
      <c r="E305" s="132"/>
      <c r="F305" s="132"/>
      <c r="G305" s="132"/>
      <c r="H305" s="132"/>
      <c r="I305" s="132"/>
      <c r="J305" s="132"/>
      <c r="K305" s="132"/>
      <c r="L305" s="132"/>
      <c r="M305" s="132"/>
      <c r="N305" s="132"/>
      <c r="O305" s="132"/>
      <c r="P305" s="132"/>
      <c r="Q305" s="132"/>
      <c r="R305" s="132"/>
      <c r="S305" s="132"/>
      <c r="T305" s="132"/>
      <c r="U305" s="132"/>
      <c r="V305" s="132"/>
      <c r="W305" s="132"/>
      <c r="X305" s="132"/>
      <c r="Y305" s="132"/>
      <c r="Z305" s="132"/>
    </row>
    <row r="306" spans="1:26" ht="11.25" customHeight="1" x14ac:dyDescent="0.3">
      <c r="A306" s="132"/>
      <c r="B306" s="132"/>
      <c r="C306" s="132"/>
      <c r="D306" s="132"/>
      <c r="E306" s="132"/>
      <c r="F306" s="132"/>
      <c r="G306" s="132"/>
      <c r="H306" s="132"/>
      <c r="I306" s="132"/>
      <c r="J306" s="132"/>
      <c r="K306" s="132"/>
      <c r="L306" s="132"/>
      <c r="M306" s="132"/>
      <c r="N306" s="132"/>
      <c r="O306" s="132"/>
      <c r="P306" s="132"/>
      <c r="Q306" s="132"/>
      <c r="R306" s="132"/>
      <c r="S306" s="132"/>
      <c r="T306" s="132"/>
      <c r="U306" s="132"/>
      <c r="V306" s="132"/>
      <c r="W306" s="132"/>
      <c r="X306" s="132"/>
      <c r="Y306" s="132"/>
      <c r="Z306" s="132"/>
    </row>
    <row r="307" spans="1:26" ht="11.25" customHeight="1" x14ac:dyDescent="0.3">
      <c r="A307" s="132"/>
      <c r="B307" s="132"/>
      <c r="C307" s="132"/>
      <c r="D307" s="132"/>
      <c r="E307" s="132"/>
      <c r="F307" s="132"/>
      <c r="G307" s="132"/>
      <c r="H307" s="132"/>
      <c r="I307" s="132"/>
      <c r="J307" s="132"/>
      <c r="K307" s="132"/>
      <c r="L307" s="132"/>
      <c r="M307" s="132"/>
      <c r="N307" s="132"/>
      <c r="O307" s="132"/>
      <c r="P307" s="132"/>
      <c r="Q307" s="132"/>
      <c r="R307" s="132"/>
      <c r="S307" s="132"/>
      <c r="T307" s="132"/>
      <c r="U307" s="132"/>
      <c r="V307" s="132"/>
      <c r="W307" s="132"/>
      <c r="X307" s="132"/>
      <c r="Y307" s="132"/>
      <c r="Z307" s="132"/>
    </row>
    <row r="308" spans="1:26" ht="11.25" customHeight="1" x14ac:dyDescent="0.3">
      <c r="A308" s="132"/>
      <c r="B308" s="132"/>
      <c r="C308" s="132"/>
      <c r="D308" s="132"/>
      <c r="E308" s="132"/>
      <c r="F308" s="132"/>
      <c r="G308" s="132"/>
      <c r="H308" s="132"/>
      <c r="I308" s="132"/>
      <c r="J308" s="132"/>
      <c r="K308" s="132"/>
      <c r="L308" s="132"/>
      <c r="M308" s="132"/>
      <c r="N308" s="132"/>
      <c r="O308" s="132"/>
      <c r="P308" s="132"/>
      <c r="Q308" s="132"/>
      <c r="R308" s="132"/>
      <c r="S308" s="132"/>
      <c r="T308" s="132"/>
      <c r="U308" s="132"/>
      <c r="V308" s="132"/>
      <c r="W308" s="132"/>
      <c r="X308" s="132"/>
      <c r="Y308" s="132"/>
      <c r="Z308" s="132"/>
    </row>
    <row r="309" spans="1:26" ht="11.25" customHeight="1" x14ac:dyDescent="0.3">
      <c r="A309" s="132"/>
      <c r="B309" s="132"/>
      <c r="C309" s="132"/>
      <c r="D309" s="132"/>
      <c r="E309" s="132"/>
      <c r="F309" s="132"/>
      <c r="G309" s="132"/>
      <c r="H309" s="132"/>
      <c r="I309" s="132"/>
      <c r="J309" s="132"/>
      <c r="K309" s="132"/>
      <c r="L309" s="132"/>
      <c r="M309" s="132"/>
      <c r="N309" s="132"/>
      <c r="O309" s="132"/>
      <c r="P309" s="132"/>
      <c r="Q309" s="132"/>
      <c r="R309" s="132"/>
      <c r="S309" s="132"/>
      <c r="T309" s="132"/>
      <c r="U309" s="132"/>
      <c r="V309" s="132"/>
      <c r="W309" s="132"/>
      <c r="X309" s="132"/>
      <c r="Y309" s="132"/>
      <c r="Z309" s="132"/>
    </row>
    <row r="310" spans="1:26" ht="11.25" customHeight="1" x14ac:dyDescent="0.3">
      <c r="A310" s="132"/>
      <c r="B310" s="132"/>
      <c r="C310" s="132"/>
      <c r="D310" s="132"/>
      <c r="E310" s="132"/>
      <c r="F310" s="132"/>
      <c r="G310" s="132"/>
      <c r="H310" s="132"/>
      <c r="I310" s="132"/>
      <c r="J310" s="132"/>
      <c r="K310" s="132"/>
      <c r="L310" s="132"/>
      <c r="M310" s="132"/>
      <c r="N310" s="132"/>
      <c r="O310" s="132"/>
      <c r="P310" s="132"/>
      <c r="Q310" s="132"/>
      <c r="R310" s="132"/>
      <c r="S310" s="132"/>
      <c r="T310" s="132"/>
      <c r="U310" s="132"/>
      <c r="V310" s="132"/>
      <c r="W310" s="132"/>
      <c r="X310" s="132"/>
      <c r="Y310" s="132"/>
      <c r="Z310" s="132"/>
    </row>
    <row r="311" spans="1:26" ht="11.25" customHeight="1" x14ac:dyDescent="0.3">
      <c r="A311" s="132"/>
      <c r="B311" s="132"/>
      <c r="C311" s="132"/>
      <c r="D311" s="132"/>
      <c r="E311" s="132"/>
      <c r="F311" s="132"/>
      <c r="G311" s="132"/>
      <c r="H311" s="132"/>
      <c r="I311" s="132"/>
      <c r="J311" s="132"/>
      <c r="K311" s="132"/>
      <c r="L311" s="132"/>
      <c r="M311" s="132"/>
      <c r="N311" s="132"/>
      <c r="O311" s="132"/>
      <c r="P311" s="132"/>
      <c r="Q311" s="132"/>
      <c r="R311" s="132"/>
      <c r="S311" s="132"/>
      <c r="T311" s="132"/>
      <c r="U311" s="132"/>
      <c r="V311" s="132"/>
      <c r="W311" s="132"/>
      <c r="X311" s="132"/>
      <c r="Y311" s="132"/>
      <c r="Z311" s="132"/>
    </row>
    <row r="312" spans="1:26" ht="11.25" customHeight="1" x14ac:dyDescent="0.3">
      <c r="A312" s="132"/>
      <c r="B312" s="132"/>
      <c r="C312" s="132"/>
      <c r="D312" s="132"/>
      <c r="E312" s="132"/>
      <c r="F312" s="132"/>
      <c r="G312" s="132"/>
      <c r="H312" s="132"/>
      <c r="I312" s="132"/>
      <c r="J312" s="132"/>
      <c r="K312" s="132"/>
      <c r="L312" s="132"/>
      <c r="M312" s="132"/>
      <c r="N312" s="132"/>
      <c r="O312" s="132"/>
      <c r="P312" s="132"/>
      <c r="Q312" s="132"/>
      <c r="R312" s="132"/>
      <c r="S312" s="132"/>
      <c r="T312" s="132"/>
      <c r="U312" s="132"/>
      <c r="V312" s="132"/>
      <c r="W312" s="132"/>
      <c r="X312" s="132"/>
      <c r="Y312" s="132"/>
      <c r="Z312" s="132"/>
    </row>
    <row r="313" spans="1:26" ht="11.25" customHeight="1" x14ac:dyDescent="0.3">
      <c r="A313" s="132"/>
      <c r="B313" s="132"/>
      <c r="C313" s="132"/>
      <c r="D313" s="132"/>
      <c r="E313" s="132"/>
      <c r="F313" s="132"/>
      <c r="G313" s="132"/>
      <c r="H313" s="132"/>
      <c r="I313" s="132"/>
      <c r="J313" s="132"/>
      <c r="K313" s="132"/>
      <c r="L313" s="132"/>
      <c r="M313" s="132"/>
      <c r="N313" s="132"/>
      <c r="O313" s="132"/>
      <c r="P313" s="132"/>
      <c r="Q313" s="132"/>
      <c r="R313" s="132"/>
      <c r="S313" s="132"/>
      <c r="T313" s="132"/>
      <c r="U313" s="132"/>
      <c r="V313" s="132"/>
      <c r="W313" s="132"/>
      <c r="X313" s="132"/>
      <c r="Y313" s="132"/>
      <c r="Z313" s="132"/>
    </row>
    <row r="314" spans="1:26" ht="11.25" customHeight="1" x14ac:dyDescent="0.3">
      <c r="A314" s="132"/>
      <c r="B314" s="132"/>
      <c r="C314" s="132"/>
      <c r="D314" s="132"/>
      <c r="E314" s="132"/>
      <c r="F314" s="132"/>
      <c r="G314" s="132"/>
      <c r="H314" s="132"/>
      <c r="I314" s="132"/>
      <c r="J314" s="132"/>
      <c r="K314" s="132"/>
      <c r="L314" s="132"/>
      <c r="M314" s="132"/>
      <c r="N314" s="132"/>
      <c r="O314" s="132"/>
      <c r="P314" s="132"/>
      <c r="Q314" s="132"/>
      <c r="R314" s="132"/>
      <c r="S314" s="132"/>
      <c r="T314" s="132"/>
      <c r="U314" s="132"/>
      <c r="V314" s="132"/>
      <c r="W314" s="132"/>
      <c r="X314" s="132"/>
      <c r="Y314" s="132"/>
      <c r="Z314" s="132"/>
    </row>
    <row r="315" spans="1:26" ht="11.25" customHeight="1" x14ac:dyDescent="0.3">
      <c r="A315" s="132"/>
      <c r="B315" s="132"/>
      <c r="C315" s="132"/>
      <c r="D315" s="132"/>
      <c r="E315" s="132"/>
      <c r="F315" s="132"/>
      <c r="G315" s="132"/>
      <c r="H315" s="132"/>
      <c r="I315" s="132"/>
      <c r="J315" s="132"/>
      <c r="K315" s="132"/>
      <c r="L315" s="132"/>
      <c r="M315" s="132"/>
      <c r="N315" s="132"/>
      <c r="O315" s="132"/>
      <c r="P315" s="132"/>
      <c r="Q315" s="132"/>
      <c r="R315" s="132"/>
      <c r="S315" s="132"/>
      <c r="T315" s="132"/>
      <c r="U315" s="132"/>
      <c r="V315" s="132"/>
      <c r="W315" s="132"/>
      <c r="X315" s="132"/>
      <c r="Y315" s="132"/>
      <c r="Z315" s="132"/>
    </row>
    <row r="316" spans="1:26" ht="11.25" customHeight="1" x14ac:dyDescent="0.3">
      <c r="A316" s="132"/>
      <c r="B316" s="132"/>
      <c r="C316" s="132"/>
      <c r="D316" s="132"/>
      <c r="E316" s="132"/>
      <c r="F316" s="132"/>
      <c r="G316" s="132"/>
      <c r="H316" s="132"/>
      <c r="I316" s="132"/>
      <c r="J316" s="132"/>
      <c r="K316" s="132"/>
      <c r="L316" s="132"/>
      <c r="M316" s="132"/>
      <c r="N316" s="132"/>
      <c r="O316" s="132"/>
      <c r="P316" s="132"/>
      <c r="Q316" s="132"/>
      <c r="R316" s="132"/>
      <c r="S316" s="132"/>
      <c r="T316" s="132"/>
      <c r="U316" s="132"/>
      <c r="V316" s="132"/>
      <c r="W316" s="132"/>
      <c r="X316" s="132"/>
      <c r="Y316" s="132"/>
      <c r="Z316" s="132"/>
    </row>
    <row r="317" spans="1:26" ht="11.25" customHeight="1" x14ac:dyDescent="0.3">
      <c r="A317" s="132"/>
      <c r="B317" s="132"/>
      <c r="C317" s="132"/>
      <c r="D317" s="132"/>
      <c r="E317" s="132"/>
      <c r="F317" s="132"/>
      <c r="G317" s="132"/>
      <c r="H317" s="132"/>
      <c r="I317" s="132"/>
      <c r="J317" s="132"/>
      <c r="K317" s="132"/>
      <c r="L317" s="132"/>
      <c r="M317" s="132"/>
      <c r="N317" s="132"/>
      <c r="O317" s="132"/>
      <c r="P317" s="132"/>
      <c r="Q317" s="132"/>
      <c r="R317" s="132"/>
      <c r="S317" s="132"/>
      <c r="T317" s="132"/>
      <c r="U317" s="132"/>
      <c r="V317" s="132"/>
      <c r="W317" s="132"/>
      <c r="X317" s="132"/>
      <c r="Y317" s="132"/>
      <c r="Z317" s="132"/>
    </row>
    <row r="318" spans="1:26" ht="11.25" customHeight="1" x14ac:dyDescent="0.3">
      <c r="A318" s="132"/>
      <c r="B318" s="132"/>
      <c r="C318" s="132"/>
      <c r="D318" s="132"/>
      <c r="E318" s="132"/>
      <c r="F318" s="132"/>
      <c r="G318" s="132"/>
      <c r="H318" s="132"/>
      <c r="I318" s="132"/>
      <c r="J318" s="132"/>
      <c r="K318" s="132"/>
      <c r="L318" s="132"/>
      <c r="M318" s="132"/>
      <c r="N318" s="132"/>
      <c r="O318" s="132"/>
      <c r="P318" s="132"/>
      <c r="Q318" s="132"/>
      <c r="R318" s="132"/>
      <c r="S318" s="132"/>
      <c r="T318" s="132"/>
      <c r="U318" s="132"/>
      <c r="V318" s="132"/>
      <c r="W318" s="132"/>
      <c r="X318" s="132"/>
      <c r="Y318" s="132"/>
      <c r="Z318" s="132"/>
    </row>
    <row r="319" spans="1:26" ht="11.25" customHeight="1" x14ac:dyDescent="0.3">
      <c r="A319" s="132"/>
      <c r="B319" s="132"/>
      <c r="C319" s="132"/>
      <c r="D319" s="132"/>
      <c r="E319" s="132"/>
      <c r="F319" s="132"/>
      <c r="G319" s="132"/>
      <c r="H319" s="132"/>
      <c r="I319" s="132"/>
      <c r="J319" s="132"/>
      <c r="K319" s="132"/>
      <c r="L319" s="132"/>
      <c r="M319" s="132"/>
      <c r="N319" s="132"/>
      <c r="O319" s="132"/>
      <c r="P319" s="132"/>
      <c r="Q319" s="132"/>
      <c r="R319" s="132"/>
      <c r="S319" s="132"/>
      <c r="T319" s="132"/>
      <c r="U319" s="132"/>
      <c r="V319" s="132"/>
      <c r="W319" s="132"/>
      <c r="X319" s="132"/>
      <c r="Y319" s="132"/>
      <c r="Z319" s="132"/>
    </row>
    <row r="320" spans="1:26" ht="11.25" customHeight="1" x14ac:dyDescent="0.3">
      <c r="A320" s="132"/>
      <c r="B320" s="132"/>
      <c r="C320" s="132"/>
      <c r="D320" s="132"/>
      <c r="E320" s="132"/>
      <c r="F320" s="132"/>
      <c r="G320" s="132"/>
      <c r="H320" s="132"/>
      <c r="I320" s="132"/>
      <c r="J320" s="132"/>
      <c r="K320" s="132"/>
      <c r="L320" s="132"/>
      <c r="M320" s="132"/>
      <c r="N320" s="132"/>
      <c r="O320" s="132"/>
      <c r="P320" s="132"/>
      <c r="Q320" s="132"/>
      <c r="R320" s="132"/>
      <c r="S320" s="132"/>
      <c r="T320" s="132"/>
      <c r="U320" s="132"/>
      <c r="V320" s="132"/>
      <c r="W320" s="132"/>
      <c r="X320" s="132"/>
      <c r="Y320" s="132"/>
      <c r="Z320" s="132"/>
    </row>
    <row r="321" spans="1:26" ht="11.25" customHeight="1" x14ac:dyDescent="0.3">
      <c r="A321" s="132"/>
      <c r="B321" s="132"/>
      <c r="C321" s="132"/>
      <c r="D321" s="132"/>
      <c r="E321" s="132"/>
      <c r="F321" s="132"/>
      <c r="G321" s="132"/>
      <c r="H321" s="132"/>
      <c r="I321" s="132"/>
      <c r="J321" s="132"/>
      <c r="K321" s="132"/>
      <c r="L321" s="132"/>
      <c r="M321" s="132"/>
      <c r="N321" s="132"/>
      <c r="O321" s="132"/>
      <c r="P321" s="132"/>
      <c r="Q321" s="132"/>
      <c r="R321" s="132"/>
      <c r="S321" s="132"/>
      <c r="T321" s="132"/>
      <c r="U321" s="132"/>
      <c r="V321" s="132"/>
      <c r="W321" s="132"/>
      <c r="X321" s="132"/>
      <c r="Y321" s="132"/>
      <c r="Z321" s="132"/>
    </row>
    <row r="322" spans="1:26" ht="11.25" customHeight="1" x14ac:dyDescent="0.3">
      <c r="A322" s="132"/>
      <c r="B322" s="132"/>
      <c r="C322" s="132"/>
      <c r="D322" s="132"/>
      <c r="E322" s="132"/>
      <c r="F322" s="132"/>
      <c r="G322" s="132"/>
      <c r="H322" s="132"/>
      <c r="I322" s="132"/>
      <c r="J322" s="132"/>
      <c r="K322" s="132"/>
      <c r="L322" s="132"/>
      <c r="M322" s="132"/>
      <c r="N322" s="132"/>
      <c r="O322" s="132"/>
      <c r="P322" s="132"/>
      <c r="Q322" s="132"/>
      <c r="R322" s="132"/>
      <c r="S322" s="132"/>
      <c r="T322" s="132"/>
      <c r="U322" s="132"/>
      <c r="V322" s="132"/>
      <c r="W322" s="132"/>
      <c r="X322" s="132"/>
      <c r="Y322" s="132"/>
      <c r="Z322" s="132"/>
    </row>
    <row r="323" spans="1:26" ht="11.25" customHeight="1" x14ac:dyDescent="0.3">
      <c r="A323" s="132"/>
      <c r="B323" s="132"/>
      <c r="C323" s="132"/>
      <c r="D323" s="132"/>
      <c r="E323" s="132"/>
      <c r="F323" s="132"/>
      <c r="G323" s="132"/>
      <c r="H323" s="132"/>
      <c r="I323" s="132"/>
      <c r="J323" s="132"/>
      <c r="K323" s="132"/>
      <c r="L323" s="132"/>
      <c r="M323" s="132"/>
      <c r="N323" s="132"/>
      <c r="O323" s="132"/>
      <c r="P323" s="132"/>
      <c r="Q323" s="132"/>
      <c r="R323" s="132"/>
      <c r="S323" s="132"/>
      <c r="T323" s="132"/>
      <c r="U323" s="132"/>
      <c r="V323" s="132"/>
      <c r="W323" s="132"/>
      <c r="X323" s="132"/>
      <c r="Y323" s="132"/>
      <c r="Z323" s="132"/>
    </row>
    <row r="324" spans="1:26" ht="11.25" customHeight="1" x14ac:dyDescent="0.3">
      <c r="A324" s="132"/>
      <c r="B324" s="132"/>
      <c r="C324" s="132"/>
      <c r="D324" s="132"/>
      <c r="E324" s="132"/>
      <c r="F324" s="132"/>
      <c r="G324" s="132"/>
      <c r="H324" s="132"/>
      <c r="I324" s="132"/>
      <c r="J324" s="132"/>
      <c r="K324" s="132"/>
      <c r="L324" s="132"/>
      <c r="M324" s="132"/>
      <c r="N324" s="132"/>
      <c r="O324" s="132"/>
      <c r="P324" s="132"/>
      <c r="Q324" s="132"/>
      <c r="R324" s="132"/>
      <c r="S324" s="132"/>
      <c r="T324" s="132"/>
      <c r="U324" s="132"/>
      <c r="V324" s="132"/>
      <c r="W324" s="132"/>
      <c r="X324" s="132"/>
      <c r="Y324" s="132"/>
      <c r="Z324" s="132"/>
    </row>
    <row r="325" spans="1:26" ht="11.25" customHeight="1" x14ac:dyDescent="0.3">
      <c r="A325" s="132"/>
      <c r="B325" s="132"/>
      <c r="C325" s="132"/>
      <c r="D325" s="132"/>
      <c r="E325" s="132"/>
      <c r="F325" s="132"/>
      <c r="G325" s="132"/>
      <c r="H325" s="132"/>
      <c r="I325" s="132"/>
      <c r="J325" s="132"/>
      <c r="K325" s="132"/>
      <c r="L325" s="132"/>
      <c r="M325" s="132"/>
      <c r="N325" s="132"/>
      <c r="O325" s="132"/>
      <c r="P325" s="132"/>
      <c r="Q325" s="132"/>
      <c r="R325" s="132"/>
      <c r="S325" s="132"/>
      <c r="T325" s="132"/>
      <c r="U325" s="132"/>
      <c r="V325" s="132"/>
      <c r="W325" s="132"/>
      <c r="X325" s="132"/>
      <c r="Y325" s="132"/>
      <c r="Z325" s="132"/>
    </row>
    <row r="326" spans="1:26" ht="11.25" customHeight="1" x14ac:dyDescent="0.3">
      <c r="A326" s="132"/>
      <c r="B326" s="132"/>
      <c r="C326" s="132"/>
      <c r="D326" s="132"/>
      <c r="E326" s="132"/>
      <c r="F326" s="132"/>
      <c r="G326" s="132"/>
      <c r="H326" s="132"/>
      <c r="I326" s="132"/>
      <c r="J326" s="132"/>
      <c r="K326" s="132"/>
      <c r="L326" s="132"/>
      <c r="M326" s="132"/>
      <c r="N326" s="132"/>
      <c r="O326" s="132"/>
      <c r="P326" s="132"/>
      <c r="Q326" s="132"/>
      <c r="R326" s="132"/>
      <c r="S326" s="132"/>
      <c r="T326" s="132"/>
      <c r="U326" s="132"/>
      <c r="V326" s="132"/>
      <c r="W326" s="132"/>
      <c r="X326" s="132"/>
      <c r="Y326" s="132"/>
      <c r="Z326" s="132"/>
    </row>
    <row r="327" spans="1:26" ht="11.25" customHeight="1" x14ac:dyDescent="0.3">
      <c r="A327" s="132"/>
      <c r="B327" s="132"/>
      <c r="C327" s="132"/>
      <c r="D327" s="132"/>
      <c r="E327" s="132"/>
      <c r="F327" s="132"/>
      <c r="G327" s="132"/>
      <c r="H327" s="132"/>
      <c r="I327" s="132"/>
      <c r="J327" s="132"/>
      <c r="K327" s="132"/>
      <c r="L327" s="132"/>
      <c r="M327" s="132"/>
      <c r="N327" s="132"/>
      <c r="O327" s="132"/>
      <c r="P327" s="132"/>
      <c r="Q327" s="132"/>
      <c r="R327" s="132"/>
      <c r="S327" s="132"/>
      <c r="T327" s="132"/>
      <c r="U327" s="132"/>
      <c r="V327" s="132"/>
      <c r="W327" s="132"/>
      <c r="X327" s="132"/>
      <c r="Y327" s="132"/>
      <c r="Z327" s="132"/>
    </row>
    <row r="328" spans="1:26" ht="11.25" customHeight="1" x14ac:dyDescent="0.3">
      <c r="A328" s="132"/>
      <c r="B328" s="132"/>
      <c r="C328" s="132"/>
      <c r="D328" s="132"/>
      <c r="E328" s="132"/>
      <c r="F328" s="132"/>
      <c r="G328" s="132"/>
      <c r="H328" s="132"/>
      <c r="I328" s="132"/>
      <c r="J328" s="132"/>
      <c r="K328" s="132"/>
      <c r="L328" s="132"/>
      <c r="M328" s="132"/>
      <c r="N328" s="132"/>
      <c r="O328" s="132"/>
      <c r="P328" s="132"/>
      <c r="Q328" s="132"/>
      <c r="R328" s="132"/>
      <c r="S328" s="132"/>
      <c r="T328" s="132"/>
      <c r="U328" s="132"/>
      <c r="V328" s="132"/>
      <c r="W328" s="132"/>
      <c r="X328" s="132"/>
      <c r="Y328" s="132"/>
      <c r="Z328" s="132"/>
    </row>
    <row r="329" spans="1:26" ht="11.25" customHeight="1" x14ac:dyDescent="0.3">
      <c r="A329" s="132"/>
      <c r="B329" s="132"/>
      <c r="C329" s="132"/>
      <c r="D329" s="132"/>
      <c r="E329" s="132"/>
      <c r="F329" s="132"/>
      <c r="G329" s="132"/>
      <c r="H329" s="132"/>
      <c r="I329" s="132"/>
      <c r="J329" s="132"/>
      <c r="K329" s="132"/>
      <c r="L329" s="132"/>
      <c r="M329" s="132"/>
      <c r="N329" s="132"/>
      <c r="O329" s="132"/>
      <c r="P329" s="132"/>
      <c r="Q329" s="132"/>
      <c r="R329" s="132"/>
      <c r="S329" s="132"/>
      <c r="T329" s="132"/>
      <c r="U329" s="132"/>
      <c r="V329" s="132"/>
      <c r="W329" s="132"/>
      <c r="X329" s="132"/>
      <c r="Y329" s="132"/>
      <c r="Z329" s="132"/>
    </row>
    <row r="330" spans="1:26" ht="11.25" customHeight="1" x14ac:dyDescent="0.3">
      <c r="A330" s="132"/>
      <c r="B330" s="132"/>
      <c r="C330" s="132"/>
      <c r="D330" s="132"/>
      <c r="E330" s="132"/>
      <c r="F330" s="132"/>
      <c r="G330" s="132"/>
      <c r="H330" s="132"/>
      <c r="I330" s="132"/>
      <c r="J330" s="132"/>
      <c r="K330" s="132"/>
      <c r="L330" s="132"/>
      <c r="M330" s="132"/>
      <c r="N330" s="132"/>
      <c r="O330" s="132"/>
      <c r="P330" s="132"/>
      <c r="Q330" s="132"/>
      <c r="R330" s="132"/>
      <c r="S330" s="132"/>
      <c r="T330" s="132"/>
      <c r="U330" s="132"/>
      <c r="V330" s="132"/>
      <c r="W330" s="132"/>
      <c r="X330" s="132"/>
      <c r="Y330" s="132"/>
      <c r="Z330" s="132"/>
    </row>
    <row r="331" spans="1:26" ht="11.25" customHeight="1" x14ac:dyDescent="0.3">
      <c r="A331" s="132"/>
      <c r="B331" s="132"/>
      <c r="C331" s="132"/>
      <c r="D331" s="132"/>
      <c r="E331" s="132"/>
      <c r="F331" s="132"/>
      <c r="G331" s="132"/>
      <c r="H331" s="132"/>
      <c r="I331" s="132"/>
      <c r="J331" s="132"/>
      <c r="K331" s="132"/>
      <c r="L331" s="132"/>
      <c r="M331" s="132"/>
      <c r="N331" s="132"/>
      <c r="O331" s="132"/>
      <c r="P331" s="132"/>
      <c r="Q331" s="132"/>
      <c r="R331" s="132"/>
      <c r="S331" s="132"/>
      <c r="T331" s="132"/>
      <c r="U331" s="132"/>
      <c r="V331" s="132"/>
      <c r="W331" s="132"/>
      <c r="X331" s="132"/>
      <c r="Y331" s="132"/>
      <c r="Z331" s="132"/>
    </row>
    <row r="332" spans="1:26" ht="11.25" customHeight="1" x14ac:dyDescent="0.3">
      <c r="A332" s="132"/>
      <c r="B332" s="132"/>
      <c r="C332" s="132"/>
      <c r="D332" s="132"/>
      <c r="E332" s="132"/>
      <c r="F332" s="132"/>
      <c r="G332" s="132"/>
      <c r="H332" s="132"/>
      <c r="I332" s="132"/>
      <c r="J332" s="132"/>
      <c r="K332" s="132"/>
      <c r="L332" s="132"/>
      <c r="M332" s="132"/>
      <c r="N332" s="132"/>
      <c r="O332" s="132"/>
      <c r="P332" s="132"/>
      <c r="Q332" s="132"/>
      <c r="R332" s="132"/>
      <c r="S332" s="132"/>
      <c r="T332" s="132"/>
      <c r="U332" s="132"/>
      <c r="V332" s="132"/>
      <c r="W332" s="132"/>
      <c r="X332" s="132"/>
      <c r="Y332" s="132"/>
      <c r="Z332" s="132"/>
    </row>
    <row r="333" spans="1:26" ht="11.25" customHeight="1" x14ac:dyDescent="0.3">
      <c r="A333" s="132"/>
      <c r="B333" s="132"/>
      <c r="C333" s="132"/>
      <c r="D333" s="132"/>
      <c r="E333" s="132"/>
      <c r="F333" s="132"/>
      <c r="G333" s="132"/>
      <c r="H333" s="132"/>
      <c r="I333" s="132"/>
      <c r="J333" s="132"/>
      <c r="K333" s="132"/>
      <c r="L333" s="132"/>
      <c r="M333" s="132"/>
      <c r="N333" s="132"/>
      <c r="O333" s="132"/>
      <c r="P333" s="132"/>
      <c r="Q333" s="132"/>
      <c r="R333" s="132"/>
      <c r="S333" s="132"/>
      <c r="T333" s="132"/>
      <c r="U333" s="132"/>
      <c r="V333" s="132"/>
      <c r="W333" s="132"/>
      <c r="X333" s="132"/>
      <c r="Y333" s="132"/>
      <c r="Z333" s="132"/>
    </row>
    <row r="334" spans="1:26" ht="11.25" customHeight="1" x14ac:dyDescent="0.3">
      <c r="A334" s="132"/>
      <c r="B334" s="132"/>
      <c r="C334" s="132"/>
      <c r="D334" s="132"/>
      <c r="E334" s="132"/>
      <c r="F334" s="132"/>
      <c r="G334" s="132"/>
      <c r="H334" s="132"/>
      <c r="I334" s="132"/>
      <c r="J334" s="132"/>
      <c r="K334" s="132"/>
      <c r="L334" s="132"/>
      <c r="M334" s="132"/>
      <c r="N334" s="132"/>
      <c r="O334" s="132"/>
      <c r="P334" s="132"/>
      <c r="Q334" s="132"/>
      <c r="R334" s="132"/>
      <c r="S334" s="132"/>
      <c r="T334" s="132"/>
      <c r="U334" s="132"/>
      <c r="V334" s="132"/>
      <c r="W334" s="132"/>
      <c r="X334" s="132"/>
      <c r="Y334" s="132"/>
      <c r="Z334" s="132"/>
    </row>
    <row r="335" spans="1:26" ht="11.25" customHeight="1" x14ac:dyDescent="0.3">
      <c r="A335" s="132"/>
      <c r="B335" s="132"/>
      <c r="C335" s="132"/>
      <c r="D335" s="132"/>
      <c r="E335" s="132"/>
      <c r="F335" s="132"/>
      <c r="G335" s="132"/>
      <c r="H335" s="132"/>
      <c r="I335" s="132"/>
      <c r="J335" s="132"/>
      <c r="K335" s="132"/>
      <c r="L335" s="132"/>
      <c r="M335" s="132"/>
      <c r="N335" s="132"/>
      <c r="O335" s="132"/>
      <c r="P335" s="132"/>
      <c r="Q335" s="132"/>
      <c r="R335" s="132"/>
      <c r="S335" s="132"/>
      <c r="T335" s="132"/>
      <c r="U335" s="132"/>
      <c r="V335" s="132"/>
      <c r="W335" s="132"/>
      <c r="X335" s="132"/>
      <c r="Y335" s="132"/>
      <c r="Z335" s="132"/>
    </row>
    <row r="336" spans="1:26" ht="11.25" customHeight="1" x14ac:dyDescent="0.3">
      <c r="A336" s="132"/>
      <c r="B336" s="132"/>
      <c r="C336" s="132"/>
      <c r="D336" s="132"/>
      <c r="E336" s="132"/>
      <c r="F336" s="132"/>
      <c r="G336" s="132"/>
      <c r="H336" s="132"/>
      <c r="I336" s="132"/>
      <c r="J336" s="132"/>
      <c r="K336" s="132"/>
      <c r="L336" s="132"/>
      <c r="M336" s="132"/>
      <c r="N336" s="132"/>
      <c r="O336" s="132"/>
      <c r="P336" s="132"/>
      <c r="Q336" s="132"/>
      <c r="R336" s="132"/>
      <c r="S336" s="132"/>
      <c r="T336" s="132"/>
      <c r="U336" s="132"/>
      <c r="V336" s="132"/>
      <c r="W336" s="132"/>
      <c r="X336" s="132"/>
      <c r="Y336" s="132"/>
      <c r="Z336" s="132"/>
    </row>
    <row r="337" spans="1:26" ht="11.25" customHeight="1" x14ac:dyDescent="0.3">
      <c r="A337" s="132"/>
      <c r="B337" s="132"/>
      <c r="C337" s="132"/>
      <c r="D337" s="132"/>
      <c r="E337" s="132"/>
      <c r="F337" s="132"/>
      <c r="G337" s="132"/>
      <c r="H337" s="132"/>
      <c r="I337" s="132"/>
      <c r="J337" s="132"/>
      <c r="K337" s="132"/>
      <c r="L337" s="132"/>
      <c r="M337" s="132"/>
      <c r="N337" s="132"/>
      <c r="O337" s="132"/>
      <c r="P337" s="132"/>
      <c r="Q337" s="132"/>
      <c r="R337" s="132"/>
      <c r="S337" s="132"/>
      <c r="T337" s="132"/>
      <c r="U337" s="132"/>
      <c r="V337" s="132"/>
      <c r="W337" s="132"/>
      <c r="X337" s="132"/>
      <c r="Y337" s="132"/>
      <c r="Z337" s="132"/>
    </row>
    <row r="338" spans="1:26" ht="11.25" customHeight="1" x14ac:dyDescent="0.3">
      <c r="A338" s="132"/>
      <c r="B338" s="132"/>
      <c r="C338" s="132"/>
      <c r="D338" s="132"/>
      <c r="E338" s="132"/>
      <c r="F338" s="132"/>
      <c r="G338" s="132"/>
      <c r="H338" s="132"/>
      <c r="I338" s="132"/>
      <c r="J338" s="132"/>
      <c r="K338" s="132"/>
      <c r="L338" s="132"/>
      <c r="M338" s="132"/>
      <c r="N338" s="132"/>
      <c r="O338" s="132"/>
      <c r="P338" s="132"/>
      <c r="Q338" s="132"/>
      <c r="R338" s="132"/>
      <c r="S338" s="132"/>
      <c r="T338" s="132"/>
      <c r="U338" s="132"/>
      <c r="V338" s="132"/>
      <c r="W338" s="132"/>
      <c r="X338" s="132"/>
      <c r="Y338" s="132"/>
      <c r="Z338" s="132"/>
    </row>
    <row r="339" spans="1:26" ht="11.25" customHeight="1" x14ac:dyDescent="0.3">
      <c r="A339" s="132"/>
      <c r="B339" s="132"/>
      <c r="C339" s="132"/>
      <c r="D339" s="132"/>
      <c r="E339" s="132"/>
      <c r="F339" s="132"/>
      <c r="G339" s="132"/>
      <c r="H339" s="132"/>
      <c r="I339" s="132"/>
      <c r="J339" s="132"/>
      <c r="K339" s="132"/>
      <c r="L339" s="132"/>
      <c r="M339" s="132"/>
      <c r="N339" s="132"/>
      <c r="O339" s="132"/>
      <c r="P339" s="132"/>
      <c r="Q339" s="132"/>
      <c r="R339" s="132"/>
      <c r="S339" s="132"/>
      <c r="T339" s="132"/>
      <c r="U339" s="132"/>
      <c r="V339" s="132"/>
      <c r="W339" s="132"/>
      <c r="X339" s="132"/>
      <c r="Y339" s="132"/>
      <c r="Z339" s="132"/>
    </row>
    <row r="340" spans="1:26" ht="11.25" customHeight="1" x14ac:dyDescent="0.3">
      <c r="A340" s="132"/>
      <c r="B340" s="132"/>
      <c r="C340" s="132"/>
      <c r="D340" s="132"/>
      <c r="E340" s="132"/>
      <c r="F340" s="132"/>
      <c r="G340" s="132"/>
      <c r="H340" s="132"/>
      <c r="I340" s="132"/>
      <c r="J340" s="132"/>
      <c r="K340" s="132"/>
      <c r="L340" s="132"/>
      <c r="M340" s="132"/>
      <c r="N340" s="132"/>
      <c r="O340" s="132"/>
      <c r="P340" s="132"/>
      <c r="Q340" s="132"/>
      <c r="R340" s="132"/>
      <c r="S340" s="132"/>
      <c r="T340" s="132"/>
      <c r="U340" s="132"/>
      <c r="V340" s="132"/>
      <c r="W340" s="132"/>
      <c r="X340" s="132"/>
      <c r="Y340" s="132"/>
      <c r="Z340" s="132"/>
    </row>
    <row r="341" spans="1:26" ht="11.25" customHeight="1" x14ac:dyDescent="0.3">
      <c r="A341" s="132"/>
      <c r="B341" s="132"/>
      <c r="C341" s="132"/>
      <c r="D341" s="132"/>
      <c r="E341" s="132"/>
      <c r="F341" s="132"/>
      <c r="G341" s="132"/>
      <c r="H341" s="132"/>
      <c r="I341" s="132"/>
      <c r="J341" s="132"/>
      <c r="K341" s="132"/>
      <c r="L341" s="132"/>
      <c r="M341" s="132"/>
      <c r="N341" s="132"/>
      <c r="O341" s="132"/>
      <c r="P341" s="132"/>
      <c r="Q341" s="132"/>
      <c r="R341" s="132"/>
      <c r="S341" s="132"/>
      <c r="T341" s="132"/>
      <c r="U341" s="132"/>
      <c r="V341" s="132"/>
      <c r="W341" s="132"/>
      <c r="X341" s="132"/>
      <c r="Y341" s="132"/>
      <c r="Z341" s="132"/>
    </row>
    <row r="342" spans="1:26" ht="11.25" customHeight="1" x14ac:dyDescent="0.3">
      <c r="A342" s="132"/>
      <c r="B342" s="132"/>
      <c r="C342" s="132"/>
      <c r="D342" s="132"/>
      <c r="E342" s="132"/>
      <c r="F342" s="132"/>
      <c r="G342" s="132"/>
      <c r="H342" s="132"/>
      <c r="I342" s="132"/>
      <c r="J342" s="132"/>
      <c r="K342" s="132"/>
      <c r="L342" s="132"/>
      <c r="M342" s="132"/>
      <c r="N342" s="132"/>
      <c r="O342" s="132"/>
      <c r="P342" s="132"/>
      <c r="Q342" s="132"/>
      <c r="R342" s="132"/>
      <c r="S342" s="132"/>
      <c r="T342" s="132"/>
      <c r="U342" s="132"/>
      <c r="V342" s="132"/>
      <c r="W342" s="132"/>
      <c r="X342" s="132"/>
      <c r="Y342" s="132"/>
      <c r="Z342" s="132"/>
    </row>
    <row r="343" spans="1:26" ht="11.25" customHeight="1" x14ac:dyDescent="0.3">
      <c r="A343" s="132"/>
      <c r="B343" s="132"/>
      <c r="C343" s="132"/>
      <c r="D343" s="132"/>
      <c r="E343" s="132"/>
      <c r="F343" s="132"/>
      <c r="G343" s="132"/>
      <c r="H343" s="132"/>
      <c r="I343" s="132"/>
      <c r="J343" s="132"/>
      <c r="K343" s="132"/>
      <c r="L343" s="132"/>
      <c r="M343" s="132"/>
      <c r="N343" s="132"/>
      <c r="O343" s="132"/>
      <c r="P343" s="132"/>
      <c r="Q343" s="132"/>
      <c r="R343" s="132"/>
      <c r="S343" s="132"/>
      <c r="T343" s="132"/>
      <c r="U343" s="132"/>
      <c r="V343" s="132"/>
      <c r="W343" s="132"/>
      <c r="X343" s="132"/>
      <c r="Y343" s="132"/>
      <c r="Z343" s="132"/>
    </row>
    <row r="344" spans="1:26" ht="11.25" customHeight="1" x14ac:dyDescent="0.3">
      <c r="A344" s="132"/>
      <c r="B344" s="132"/>
      <c r="C344" s="132"/>
      <c r="D344" s="132"/>
      <c r="E344" s="132"/>
      <c r="F344" s="132"/>
      <c r="G344" s="132"/>
      <c r="H344" s="132"/>
      <c r="I344" s="132"/>
      <c r="J344" s="132"/>
      <c r="K344" s="132"/>
      <c r="L344" s="132"/>
      <c r="M344" s="132"/>
      <c r="N344" s="132"/>
      <c r="O344" s="132"/>
      <c r="P344" s="132"/>
      <c r="Q344" s="132"/>
      <c r="R344" s="132"/>
      <c r="S344" s="132"/>
      <c r="T344" s="132"/>
      <c r="U344" s="132"/>
      <c r="V344" s="132"/>
      <c r="W344" s="132"/>
      <c r="X344" s="132"/>
      <c r="Y344" s="132"/>
      <c r="Z344" s="132"/>
    </row>
    <row r="345" spans="1:26" ht="11.25" customHeight="1" x14ac:dyDescent="0.3">
      <c r="A345" s="132"/>
      <c r="B345" s="132"/>
      <c r="C345" s="132"/>
      <c r="D345" s="132"/>
      <c r="E345" s="132"/>
      <c r="F345" s="132"/>
      <c r="G345" s="132"/>
      <c r="H345" s="132"/>
      <c r="I345" s="132"/>
      <c r="J345" s="132"/>
      <c r="K345" s="132"/>
      <c r="L345" s="132"/>
      <c r="M345" s="132"/>
      <c r="N345" s="132"/>
      <c r="O345" s="132"/>
      <c r="P345" s="132"/>
      <c r="Q345" s="132"/>
      <c r="R345" s="132"/>
      <c r="S345" s="132"/>
      <c r="T345" s="132"/>
      <c r="U345" s="132"/>
      <c r="V345" s="132"/>
      <c r="W345" s="132"/>
      <c r="X345" s="132"/>
      <c r="Y345" s="132"/>
      <c r="Z345" s="132"/>
    </row>
    <row r="346" spans="1:26" ht="11.25" customHeight="1" x14ac:dyDescent="0.3">
      <c r="A346" s="132"/>
      <c r="B346" s="132"/>
      <c r="C346" s="132"/>
      <c r="D346" s="132"/>
      <c r="E346" s="132"/>
      <c r="F346" s="132"/>
      <c r="G346" s="132"/>
      <c r="H346" s="132"/>
      <c r="I346" s="132"/>
      <c r="J346" s="132"/>
      <c r="K346" s="132"/>
      <c r="L346" s="132"/>
      <c r="M346" s="132"/>
      <c r="N346" s="132"/>
      <c r="O346" s="132"/>
      <c r="P346" s="132"/>
      <c r="Q346" s="132"/>
      <c r="R346" s="132"/>
      <c r="S346" s="132"/>
      <c r="T346" s="132"/>
      <c r="U346" s="132"/>
      <c r="V346" s="132"/>
      <c r="W346" s="132"/>
      <c r="X346" s="132"/>
      <c r="Y346" s="132"/>
      <c r="Z346" s="132"/>
    </row>
    <row r="347" spans="1:26" ht="11.25" customHeight="1" x14ac:dyDescent="0.3">
      <c r="A347" s="132"/>
      <c r="B347" s="132"/>
      <c r="C347" s="132"/>
      <c r="D347" s="132"/>
      <c r="E347" s="132"/>
      <c r="F347" s="132"/>
      <c r="G347" s="132"/>
      <c r="H347" s="132"/>
      <c r="I347" s="132"/>
      <c r="J347" s="132"/>
      <c r="K347" s="132"/>
      <c r="L347" s="132"/>
      <c r="M347" s="132"/>
      <c r="N347" s="132"/>
      <c r="O347" s="132"/>
      <c r="P347" s="132"/>
      <c r="Q347" s="132"/>
      <c r="R347" s="132"/>
      <c r="S347" s="132"/>
      <c r="T347" s="132"/>
      <c r="U347" s="132"/>
      <c r="V347" s="132"/>
      <c r="W347" s="132"/>
      <c r="X347" s="132"/>
      <c r="Y347" s="132"/>
      <c r="Z347" s="132"/>
    </row>
    <row r="348" spans="1:26" ht="11.25" customHeight="1" x14ac:dyDescent="0.3">
      <c r="A348" s="132"/>
      <c r="B348" s="132"/>
      <c r="C348" s="132"/>
      <c r="D348" s="132"/>
      <c r="E348" s="132"/>
      <c r="F348" s="132"/>
      <c r="G348" s="132"/>
      <c r="H348" s="132"/>
      <c r="I348" s="132"/>
      <c r="J348" s="132"/>
      <c r="K348" s="132"/>
      <c r="L348" s="132"/>
      <c r="M348" s="132"/>
      <c r="N348" s="132"/>
      <c r="O348" s="132"/>
      <c r="P348" s="132"/>
      <c r="Q348" s="132"/>
      <c r="R348" s="132"/>
      <c r="S348" s="132"/>
      <c r="T348" s="132"/>
      <c r="U348" s="132"/>
      <c r="V348" s="132"/>
      <c r="W348" s="132"/>
      <c r="X348" s="132"/>
      <c r="Y348" s="132"/>
      <c r="Z348" s="132"/>
    </row>
    <row r="349" spans="1:26" ht="11.25" customHeight="1" x14ac:dyDescent="0.3">
      <c r="A349" s="132"/>
      <c r="B349" s="132"/>
      <c r="C349" s="132"/>
      <c r="D349" s="132"/>
      <c r="E349" s="132"/>
      <c r="F349" s="132"/>
      <c r="G349" s="132"/>
      <c r="H349" s="132"/>
      <c r="I349" s="132"/>
      <c r="J349" s="132"/>
      <c r="K349" s="132"/>
      <c r="L349" s="132"/>
      <c r="M349" s="132"/>
      <c r="N349" s="132"/>
      <c r="O349" s="132"/>
      <c r="P349" s="132"/>
      <c r="Q349" s="132"/>
      <c r="R349" s="132"/>
      <c r="S349" s="132"/>
      <c r="T349" s="132"/>
      <c r="U349" s="132"/>
      <c r="V349" s="132"/>
      <c r="W349" s="132"/>
      <c r="X349" s="132"/>
      <c r="Y349" s="132"/>
      <c r="Z349" s="132"/>
    </row>
    <row r="350" spans="1:26" ht="11.25" customHeight="1" x14ac:dyDescent="0.3">
      <c r="A350" s="132"/>
      <c r="B350" s="132"/>
      <c r="C350" s="132"/>
      <c r="D350" s="132"/>
      <c r="E350" s="132"/>
      <c r="F350" s="132"/>
      <c r="G350" s="132"/>
      <c r="H350" s="132"/>
      <c r="I350" s="132"/>
      <c r="J350" s="132"/>
      <c r="K350" s="132"/>
      <c r="L350" s="132"/>
      <c r="M350" s="132"/>
      <c r="N350" s="132"/>
      <c r="O350" s="132"/>
      <c r="P350" s="132"/>
      <c r="Q350" s="132"/>
      <c r="R350" s="132"/>
      <c r="S350" s="132"/>
      <c r="T350" s="132"/>
      <c r="U350" s="132"/>
      <c r="V350" s="132"/>
      <c r="W350" s="132"/>
      <c r="X350" s="132"/>
      <c r="Y350" s="132"/>
      <c r="Z350" s="132"/>
    </row>
    <row r="351" spans="1:26" ht="11.25" customHeight="1" x14ac:dyDescent="0.3">
      <c r="A351" s="132"/>
      <c r="B351" s="132"/>
      <c r="C351" s="132"/>
      <c r="D351" s="132"/>
      <c r="E351" s="132"/>
      <c r="F351" s="132"/>
      <c r="G351" s="132"/>
      <c r="H351" s="132"/>
      <c r="I351" s="132"/>
      <c r="J351" s="132"/>
      <c r="K351" s="132"/>
      <c r="L351" s="132"/>
      <c r="M351" s="132"/>
      <c r="N351" s="132"/>
      <c r="O351" s="132"/>
      <c r="P351" s="132"/>
      <c r="Q351" s="132"/>
      <c r="R351" s="132"/>
      <c r="S351" s="132"/>
      <c r="T351" s="132"/>
      <c r="U351" s="132"/>
      <c r="V351" s="132"/>
      <c r="W351" s="132"/>
      <c r="X351" s="132"/>
      <c r="Y351" s="132"/>
      <c r="Z351" s="132"/>
    </row>
    <row r="352" spans="1:26" ht="11.25" customHeight="1" x14ac:dyDescent="0.3">
      <c r="A352" s="132"/>
      <c r="B352" s="132"/>
      <c r="C352" s="132"/>
      <c r="D352" s="132"/>
      <c r="E352" s="132"/>
      <c r="F352" s="132"/>
      <c r="G352" s="132"/>
      <c r="H352" s="132"/>
      <c r="I352" s="132"/>
      <c r="J352" s="132"/>
      <c r="K352" s="132"/>
      <c r="L352" s="132"/>
      <c r="M352" s="132"/>
      <c r="N352" s="132"/>
      <c r="O352" s="132"/>
      <c r="P352" s="132"/>
      <c r="Q352" s="132"/>
      <c r="R352" s="132"/>
      <c r="S352" s="132"/>
      <c r="T352" s="132"/>
      <c r="U352" s="132"/>
      <c r="V352" s="132"/>
      <c r="W352" s="132"/>
      <c r="X352" s="132"/>
      <c r="Y352" s="132"/>
      <c r="Z352" s="132"/>
    </row>
    <row r="353" spans="1:26" ht="11.25" customHeight="1" x14ac:dyDescent="0.3">
      <c r="A353" s="132"/>
      <c r="B353" s="132"/>
      <c r="C353" s="132"/>
      <c r="D353" s="132"/>
      <c r="E353" s="132"/>
      <c r="F353" s="132"/>
      <c r="G353" s="132"/>
      <c r="H353" s="132"/>
      <c r="I353" s="132"/>
      <c r="J353" s="132"/>
      <c r="K353" s="132"/>
      <c r="L353" s="132"/>
      <c r="M353" s="132"/>
      <c r="N353" s="132"/>
      <c r="O353" s="132"/>
      <c r="P353" s="132"/>
      <c r="Q353" s="132"/>
      <c r="R353" s="132"/>
      <c r="S353" s="132"/>
      <c r="T353" s="132"/>
      <c r="U353" s="132"/>
      <c r="V353" s="132"/>
      <c r="W353" s="132"/>
      <c r="X353" s="132"/>
      <c r="Y353" s="132"/>
      <c r="Z353" s="132"/>
    </row>
    <row r="354" spans="1:26" ht="11.25" customHeight="1" x14ac:dyDescent="0.3">
      <c r="A354" s="132"/>
      <c r="B354" s="132"/>
      <c r="C354" s="132"/>
      <c r="D354" s="132"/>
      <c r="E354" s="132"/>
      <c r="F354" s="132"/>
      <c r="G354" s="132"/>
      <c r="H354" s="132"/>
      <c r="I354" s="132"/>
      <c r="J354" s="132"/>
      <c r="K354" s="132"/>
      <c r="L354" s="132"/>
      <c r="M354" s="132"/>
      <c r="N354" s="132"/>
      <c r="O354" s="132"/>
      <c r="P354" s="132"/>
      <c r="Q354" s="132"/>
      <c r="R354" s="132"/>
      <c r="S354" s="132"/>
      <c r="T354" s="132"/>
      <c r="U354" s="132"/>
      <c r="V354" s="132"/>
      <c r="W354" s="132"/>
      <c r="X354" s="132"/>
      <c r="Y354" s="132"/>
      <c r="Z354" s="132"/>
    </row>
    <row r="355" spans="1:26" ht="11.25" customHeight="1" x14ac:dyDescent="0.3">
      <c r="A355" s="132"/>
      <c r="B355" s="132"/>
      <c r="C355" s="132"/>
      <c r="D355" s="132"/>
      <c r="E355" s="132"/>
      <c r="F355" s="132"/>
      <c r="G355" s="132"/>
      <c r="H355" s="132"/>
      <c r="I355" s="132"/>
      <c r="J355" s="132"/>
      <c r="K355" s="132"/>
      <c r="L355" s="132"/>
      <c r="M355" s="132"/>
      <c r="N355" s="132"/>
      <c r="O355" s="132"/>
      <c r="P355" s="132"/>
      <c r="Q355" s="132"/>
      <c r="R355" s="132"/>
      <c r="S355" s="132"/>
      <c r="T355" s="132"/>
      <c r="U355" s="132"/>
      <c r="V355" s="132"/>
      <c r="W355" s="132"/>
      <c r="X355" s="132"/>
      <c r="Y355" s="132"/>
      <c r="Z355" s="132"/>
    </row>
    <row r="356" spans="1:26" ht="11.25" customHeight="1" x14ac:dyDescent="0.3">
      <c r="A356" s="132"/>
      <c r="B356" s="132"/>
      <c r="C356" s="132"/>
      <c r="D356" s="132"/>
      <c r="E356" s="132"/>
      <c r="F356" s="132"/>
      <c r="G356" s="132"/>
      <c r="H356" s="132"/>
      <c r="I356" s="132"/>
      <c r="J356" s="132"/>
      <c r="K356" s="132"/>
      <c r="L356" s="132"/>
      <c r="M356" s="132"/>
      <c r="N356" s="132"/>
      <c r="O356" s="132"/>
      <c r="P356" s="132"/>
      <c r="Q356" s="132"/>
      <c r="R356" s="132"/>
      <c r="S356" s="132"/>
      <c r="T356" s="132"/>
      <c r="U356" s="132"/>
      <c r="V356" s="132"/>
      <c r="W356" s="132"/>
      <c r="X356" s="132"/>
      <c r="Y356" s="132"/>
      <c r="Z356" s="132"/>
    </row>
    <row r="357" spans="1:26" ht="11.25" customHeight="1" x14ac:dyDescent="0.3">
      <c r="A357" s="132"/>
      <c r="B357" s="132"/>
      <c r="C357" s="132"/>
      <c r="D357" s="132"/>
      <c r="E357" s="132"/>
      <c r="F357" s="132"/>
      <c r="G357" s="132"/>
      <c r="H357" s="132"/>
      <c r="I357" s="132"/>
      <c r="J357" s="132"/>
      <c r="K357" s="132"/>
      <c r="L357" s="132"/>
      <c r="M357" s="132"/>
      <c r="N357" s="132"/>
      <c r="O357" s="132"/>
      <c r="P357" s="132"/>
      <c r="Q357" s="132"/>
      <c r="R357" s="132"/>
      <c r="S357" s="132"/>
      <c r="T357" s="132"/>
      <c r="U357" s="132"/>
      <c r="V357" s="132"/>
      <c r="W357" s="132"/>
      <c r="X357" s="132"/>
      <c r="Y357" s="132"/>
      <c r="Z357" s="132"/>
    </row>
    <row r="358" spans="1:26" ht="11.25" customHeight="1" x14ac:dyDescent="0.3">
      <c r="A358" s="132"/>
      <c r="B358" s="132"/>
      <c r="C358" s="132"/>
      <c r="D358" s="132"/>
      <c r="E358" s="132"/>
      <c r="F358" s="132"/>
      <c r="G358" s="132"/>
      <c r="H358" s="132"/>
      <c r="I358" s="132"/>
      <c r="J358" s="132"/>
      <c r="K358" s="132"/>
      <c r="L358" s="132"/>
      <c r="M358" s="132"/>
      <c r="N358" s="132"/>
      <c r="O358" s="132"/>
      <c r="P358" s="132"/>
      <c r="Q358" s="132"/>
      <c r="R358" s="132"/>
      <c r="S358" s="132"/>
      <c r="T358" s="132"/>
      <c r="U358" s="132"/>
      <c r="V358" s="132"/>
      <c r="W358" s="132"/>
      <c r="X358" s="132"/>
      <c r="Y358" s="132"/>
      <c r="Z358" s="132"/>
    </row>
    <row r="359" spans="1:26" ht="11.25" customHeight="1" x14ac:dyDescent="0.3">
      <c r="A359" s="132"/>
      <c r="B359" s="132"/>
      <c r="C359" s="132"/>
      <c r="D359" s="132"/>
      <c r="E359" s="132"/>
      <c r="F359" s="132"/>
      <c r="G359" s="132"/>
      <c r="H359" s="132"/>
      <c r="I359" s="132"/>
      <c r="J359" s="132"/>
      <c r="K359" s="132"/>
      <c r="L359" s="132"/>
      <c r="M359" s="132"/>
      <c r="N359" s="132"/>
      <c r="O359" s="132"/>
      <c r="P359" s="132"/>
      <c r="Q359" s="132"/>
      <c r="R359" s="132"/>
      <c r="S359" s="132"/>
      <c r="T359" s="132"/>
      <c r="U359" s="132"/>
      <c r="V359" s="132"/>
      <c r="W359" s="132"/>
      <c r="X359" s="132"/>
      <c r="Y359" s="132"/>
      <c r="Z359" s="132"/>
    </row>
    <row r="360" spans="1:26" ht="11.25" customHeight="1" x14ac:dyDescent="0.3">
      <c r="A360" s="132"/>
      <c r="B360" s="132"/>
      <c r="C360" s="132"/>
      <c r="D360" s="132"/>
      <c r="E360" s="132"/>
      <c r="F360" s="132"/>
      <c r="G360" s="132"/>
      <c r="H360" s="132"/>
      <c r="I360" s="132"/>
      <c r="J360" s="132"/>
      <c r="K360" s="132"/>
      <c r="L360" s="132"/>
      <c r="M360" s="132"/>
      <c r="N360" s="132"/>
      <c r="O360" s="132"/>
      <c r="P360" s="132"/>
      <c r="Q360" s="132"/>
      <c r="R360" s="132"/>
      <c r="S360" s="132"/>
      <c r="T360" s="132"/>
      <c r="U360" s="132"/>
      <c r="V360" s="132"/>
      <c r="W360" s="132"/>
      <c r="X360" s="132"/>
      <c r="Y360" s="132"/>
      <c r="Z360" s="132"/>
    </row>
    <row r="361" spans="1:26" ht="11.25" customHeight="1" x14ac:dyDescent="0.3">
      <c r="A361" s="132"/>
      <c r="B361" s="132"/>
      <c r="C361" s="132"/>
      <c r="D361" s="132"/>
      <c r="E361" s="132"/>
      <c r="F361" s="132"/>
      <c r="G361" s="132"/>
      <c r="H361" s="132"/>
      <c r="I361" s="132"/>
      <c r="J361" s="132"/>
      <c r="K361" s="132"/>
      <c r="L361" s="132"/>
      <c r="M361" s="132"/>
      <c r="N361" s="132"/>
      <c r="O361" s="132"/>
      <c r="P361" s="132"/>
      <c r="Q361" s="132"/>
      <c r="R361" s="132"/>
      <c r="S361" s="132"/>
      <c r="T361" s="132"/>
      <c r="U361" s="132"/>
      <c r="V361" s="132"/>
      <c r="W361" s="132"/>
      <c r="X361" s="132"/>
      <c r="Y361" s="132"/>
      <c r="Z361" s="132"/>
    </row>
    <row r="362" spans="1:26" ht="11.25" customHeight="1" x14ac:dyDescent="0.3">
      <c r="A362" s="132"/>
      <c r="B362" s="132"/>
      <c r="C362" s="132"/>
      <c r="D362" s="132"/>
      <c r="E362" s="132"/>
      <c r="F362" s="132"/>
      <c r="G362" s="132"/>
      <c r="H362" s="132"/>
      <c r="I362" s="132"/>
      <c r="J362" s="132"/>
      <c r="K362" s="132"/>
      <c r="L362" s="132"/>
      <c r="M362" s="132"/>
      <c r="N362" s="132"/>
      <c r="O362" s="132"/>
      <c r="P362" s="132"/>
      <c r="Q362" s="132"/>
      <c r="R362" s="132"/>
      <c r="S362" s="132"/>
      <c r="T362" s="132"/>
      <c r="U362" s="132"/>
      <c r="V362" s="132"/>
      <c r="W362" s="132"/>
      <c r="X362" s="132"/>
      <c r="Y362" s="132"/>
      <c r="Z362" s="132"/>
    </row>
    <row r="363" spans="1:26" ht="11.25" customHeight="1" x14ac:dyDescent="0.3">
      <c r="A363" s="132"/>
      <c r="B363" s="132"/>
      <c r="C363" s="132"/>
      <c r="D363" s="132"/>
      <c r="E363" s="132"/>
      <c r="F363" s="132"/>
      <c r="G363" s="132"/>
      <c r="H363" s="132"/>
      <c r="I363" s="132"/>
      <c r="J363" s="132"/>
      <c r="K363" s="132"/>
      <c r="L363" s="132"/>
      <c r="M363" s="132"/>
      <c r="N363" s="132"/>
      <c r="O363" s="132"/>
      <c r="P363" s="132"/>
      <c r="Q363" s="132"/>
      <c r="R363" s="132"/>
      <c r="S363" s="132"/>
      <c r="T363" s="132"/>
      <c r="U363" s="132"/>
      <c r="V363" s="132"/>
      <c r="W363" s="132"/>
      <c r="X363" s="132"/>
      <c r="Y363" s="132"/>
      <c r="Z363" s="132"/>
    </row>
    <row r="364" spans="1:26" ht="11.25" customHeight="1" x14ac:dyDescent="0.3">
      <c r="A364" s="132"/>
      <c r="B364" s="132"/>
      <c r="C364" s="132"/>
      <c r="D364" s="132"/>
      <c r="E364" s="132"/>
      <c r="F364" s="132"/>
      <c r="G364" s="132"/>
      <c r="H364" s="132"/>
      <c r="I364" s="132"/>
      <c r="J364" s="132"/>
      <c r="K364" s="132"/>
      <c r="L364" s="132"/>
      <c r="M364" s="132"/>
      <c r="N364" s="132"/>
      <c r="O364" s="132"/>
      <c r="P364" s="132"/>
      <c r="Q364" s="132"/>
      <c r="R364" s="132"/>
      <c r="S364" s="132"/>
      <c r="T364" s="132"/>
      <c r="U364" s="132"/>
      <c r="V364" s="132"/>
      <c r="W364" s="132"/>
      <c r="X364" s="132"/>
      <c r="Y364" s="132"/>
      <c r="Z364" s="132"/>
    </row>
    <row r="365" spans="1:26" ht="11.25" customHeight="1" x14ac:dyDescent="0.3">
      <c r="A365" s="132"/>
      <c r="B365" s="132"/>
      <c r="C365" s="132"/>
      <c r="D365" s="132"/>
      <c r="E365" s="132"/>
      <c r="F365" s="132"/>
      <c r="G365" s="132"/>
      <c r="H365" s="132"/>
      <c r="I365" s="132"/>
      <c r="J365" s="132"/>
      <c r="K365" s="132"/>
      <c r="L365" s="132"/>
      <c r="M365" s="132"/>
      <c r="N365" s="132"/>
      <c r="O365" s="132"/>
      <c r="P365" s="132"/>
      <c r="Q365" s="132"/>
      <c r="R365" s="132"/>
      <c r="S365" s="132"/>
      <c r="T365" s="132"/>
      <c r="U365" s="132"/>
      <c r="V365" s="132"/>
      <c r="W365" s="132"/>
      <c r="X365" s="132"/>
      <c r="Y365" s="132"/>
      <c r="Z365" s="132"/>
    </row>
    <row r="366" spans="1:26" ht="11.25" customHeight="1" x14ac:dyDescent="0.3">
      <c r="A366" s="132"/>
      <c r="B366" s="132"/>
      <c r="C366" s="132"/>
      <c r="D366" s="132"/>
      <c r="E366" s="132"/>
      <c r="F366" s="132"/>
      <c r="G366" s="132"/>
      <c r="H366" s="132"/>
      <c r="I366" s="132"/>
      <c r="J366" s="132"/>
      <c r="K366" s="132"/>
      <c r="L366" s="132"/>
      <c r="M366" s="132"/>
      <c r="N366" s="132"/>
      <c r="O366" s="132"/>
      <c r="P366" s="132"/>
      <c r="Q366" s="132"/>
      <c r="R366" s="132"/>
      <c r="S366" s="132"/>
      <c r="T366" s="132"/>
      <c r="U366" s="132"/>
      <c r="V366" s="132"/>
      <c r="W366" s="132"/>
      <c r="X366" s="132"/>
      <c r="Y366" s="132"/>
      <c r="Z366" s="132"/>
    </row>
    <row r="367" spans="1:26" ht="11.25" customHeight="1" x14ac:dyDescent="0.3">
      <c r="A367" s="132"/>
      <c r="B367" s="132"/>
      <c r="C367" s="132"/>
      <c r="D367" s="132"/>
      <c r="E367" s="132"/>
      <c r="F367" s="132"/>
      <c r="G367" s="132"/>
      <c r="H367" s="132"/>
      <c r="I367" s="132"/>
      <c r="J367" s="132"/>
      <c r="K367" s="132"/>
      <c r="L367" s="132"/>
      <c r="M367" s="132"/>
      <c r="N367" s="132"/>
      <c r="O367" s="132"/>
      <c r="P367" s="132"/>
      <c r="Q367" s="132"/>
      <c r="R367" s="132"/>
      <c r="S367" s="132"/>
      <c r="T367" s="132"/>
      <c r="U367" s="132"/>
      <c r="V367" s="132"/>
      <c r="W367" s="132"/>
      <c r="X367" s="132"/>
      <c r="Y367" s="132"/>
      <c r="Z367" s="132"/>
    </row>
    <row r="368" spans="1:26" ht="11.25" customHeight="1" x14ac:dyDescent="0.3">
      <c r="A368" s="132"/>
      <c r="B368" s="132"/>
      <c r="C368" s="132"/>
      <c r="D368" s="132"/>
      <c r="E368" s="132"/>
      <c r="F368" s="132"/>
      <c r="G368" s="132"/>
      <c r="H368" s="132"/>
      <c r="I368" s="132"/>
      <c r="J368" s="132"/>
      <c r="K368" s="132"/>
      <c r="L368" s="132"/>
      <c r="M368" s="132"/>
      <c r="N368" s="132"/>
      <c r="O368" s="132"/>
      <c r="P368" s="132"/>
      <c r="Q368" s="132"/>
      <c r="R368" s="132"/>
      <c r="S368" s="132"/>
      <c r="T368" s="132"/>
      <c r="U368" s="132"/>
      <c r="V368" s="132"/>
      <c r="W368" s="132"/>
      <c r="X368" s="132"/>
      <c r="Y368" s="132"/>
      <c r="Z368" s="132"/>
    </row>
    <row r="369" spans="1:26" ht="11.25" customHeight="1" x14ac:dyDescent="0.3">
      <c r="A369" s="132"/>
      <c r="B369" s="132"/>
      <c r="C369" s="132"/>
      <c r="D369" s="132"/>
      <c r="E369" s="132"/>
      <c r="F369" s="132"/>
      <c r="G369" s="132"/>
      <c r="H369" s="132"/>
      <c r="I369" s="132"/>
      <c r="J369" s="132"/>
      <c r="K369" s="132"/>
      <c r="L369" s="132"/>
      <c r="M369" s="132"/>
      <c r="N369" s="132"/>
      <c r="O369" s="132"/>
      <c r="P369" s="132"/>
      <c r="Q369" s="132"/>
      <c r="R369" s="132"/>
      <c r="S369" s="132"/>
      <c r="T369" s="132"/>
      <c r="U369" s="132"/>
      <c r="V369" s="132"/>
      <c r="W369" s="132"/>
      <c r="X369" s="132"/>
      <c r="Y369" s="132"/>
      <c r="Z369" s="132"/>
    </row>
    <row r="370" spans="1:26" ht="11.25" customHeight="1" x14ac:dyDescent="0.3">
      <c r="A370" s="132"/>
      <c r="B370" s="132"/>
      <c r="C370" s="132"/>
      <c r="D370" s="132"/>
      <c r="E370" s="132"/>
      <c r="F370" s="132"/>
      <c r="G370" s="132"/>
      <c r="H370" s="132"/>
      <c r="I370" s="132"/>
      <c r="J370" s="132"/>
      <c r="K370" s="132"/>
      <c r="L370" s="132"/>
      <c r="M370" s="132"/>
      <c r="N370" s="132"/>
      <c r="O370" s="132"/>
      <c r="P370" s="132"/>
      <c r="Q370" s="132"/>
      <c r="R370" s="132"/>
      <c r="S370" s="132"/>
      <c r="T370" s="132"/>
      <c r="U370" s="132"/>
      <c r="V370" s="132"/>
      <c r="W370" s="132"/>
      <c r="X370" s="132"/>
      <c r="Y370" s="132"/>
      <c r="Z370" s="132"/>
    </row>
    <row r="371" spans="1:26" ht="11.25" customHeight="1" x14ac:dyDescent="0.3">
      <c r="A371" s="132"/>
      <c r="B371" s="132"/>
      <c r="C371" s="132"/>
      <c r="D371" s="132"/>
      <c r="E371" s="132"/>
      <c r="F371" s="132"/>
      <c r="G371" s="132"/>
      <c r="H371" s="132"/>
      <c r="I371" s="132"/>
      <c r="J371" s="132"/>
      <c r="K371" s="132"/>
      <c r="L371" s="132"/>
      <c r="M371" s="132"/>
      <c r="N371" s="132"/>
      <c r="O371" s="132"/>
      <c r="P371" s="132"/>
      <c r="Q371" s="132"/>
      <c r="R371" s="132"/>
      <c r="S371" s="132"/>
      <c r="T371" s="132"/>
      <c r="U371" s="132"/>
      <c r="V371" s="132"/>
      <c r="W371" s="132"/>
      <c r="X371" s="132"/>
      <c r="Y371" s="132"/>
      <c r="Z371" s="132"/>
    </row>
    <row r="372" spans="1:26" ht="11.25" customHeight="1" x14ac:dyDescent="0.3">
      <c r="A372" s="132"/>
      <c r="B372" s="132"/>
      <c r="C372" s="132"/>
      <c r="D372" s="132"/>
      <c r="E372" s="132"/>
      <c r="F372" s="132"/>
      <c r="G372" s="132"/>
      <c r="H372" s="132"/>
      <c r="I372" s="132"/>
      <c r="J372" s="132"/>
      <c r="K372" s="132"/>
      <c r="L372" s="132"/>
      <c r="M372" s="132"/>
      <c r="N372" s="132"/>
      <c r="O372" s="132"/>
      <c r="P372" s="132"/>
      <c r="Q372" s="132"/>
      <c r="R372" s="132"/>
      <c r="S372" s="132"/>
      <c r="T372" s="132"/>
      <c r="U372" s="132"/>
      <c r="V372" s="132"/>
      <c r="W372" s="132"/>
      <c r="X372" s="132"/>
      <c r="Y372" s="132"/>
      <c r="Z372" s="132"/>
    </row>
    <row r="373" spans="1:26" ht="11.25" customHeight="1" x14ac:dyDescent="0.3">
      <c r="A373" s="132"/>
      <c r="B373" s="132"/>
      <c r="C373" s="132"/>
      <c r="D373" s="132"/>
      <c r="E373" s="132"/>
      <c r="F373" s="132"/>
      <c r="G373" s="132"/>
      <c r="H373" s="132"/>
      <c r="I373" s="132"/>
      <c r="J373" s="132"/>
      <c r="K373" s="132"/>
      <c r="L373" s="132"/>
      <c r="M373" s="132"/>
      <c r="N373" s="132"/>
      <c r="O373" s="132"/>
      <c r="P373" s="132"/>
      <c r="Q373" s="132"/>
      <c r="R373" s="132"/>
      <c r="S373" s="132"/>
      <c r="T373" s="132"/>
      <c r="U373" s="132"/>
      <c r="V373" s="132"/>
      <c r="W373" s="132"/>
      <c r="X373" s="132"/>
      <c r="Y373" s="132"/>
      <c r="Z373" s="132"/>
    </row>
    <row r="374" spans="1:26" ht="11.25" customHeight="1" x14ac:dyDescent="0.3">
      <c r="A374" s="132"/>
      <c r="B374" s="132"/>
      <c r="C374" s="132"/>
      <c r="D374" s="132"/>
      <c r="E374" s="132"/>
      <c r="F374" s="132"/>
      <c r="G374" s="132"/>
      <c r="H374" s="132"/>
      <c r="I374" s="132"/>
      <c r="J374" s="132"/>
      <c r="K374" s="132"/>
      <c r="L374" s="132"/>
      <c r="M374" s="132"/>
      <c r="N374" s="132"/>
      <c r="O374" s="132"/>
      <c r="P374" s="132"/>
      <c r="Q374" s="132"/>
      <c r="R374" s="132"/>
      <c r="S374" s="132"/>
      <c r="T374" s="132"/>
      <c r="U374" s="132"/>
      <c r="V374" s="132"/>
      <c r="W374" s="132"/>
      <c r="X374" s="132"/>
      <c r="Y374" s="132"/>
      <c r="Z374" s="132"/>
    </row>
    <row r="375" spans="1:26" ht="11.25" customHeight="1" x14ac:dyDescent="0.3">
      <c r="A375" s="132"/>
      <c r="B375" s="132"/>
      <c r="C375" s="132"/>
      <c r="D375" s="132"/>
      <c r="E375" s="132"/>
      <c r="F375" s="132"/>
      <c r="G375" s="132"/>
      <c r="H375" s="132"/>
      <c r="I375" s="132"/>
      <c r="J375" s="132"/>
      <c r="K375" s="132"/>
      <c r="L375" s="132"/>
      <c r="M375" s="132"/>
      <c r="N375" s="132"/>
      <c r="O375" s="132"/>
      <c r="P375" s="132"/>
      <c r="Q375" s="132"/>
      <c r="R375" s="132"/>
      <c r="S375" s="132"/>
      <c r="T375" s="132"/>
      <c r="U375" s="132"/>
      <c r="V375" s="132"/>
      <c r="W375" s="132"/>
      <c r="X375" s="132"/>
      <c r="Y375" s="132"/>
      <c r="Z375" s="132"/>
    </row>
    <row r="376" spans="1:26" ht="11.25" customHeight="1" x14ac:dyDescent="0.3">
      <c r="A376" s="132"/>
      <c r="B376" s="132"/>
      <c r="C376" s="132"/>
      <c r="D376" s="132"/>
      <c r="E376" s="132"/>
      <c r="F376" s="132"/>
      <c r="G376" s="132"/>
      <c r="H376" s="132"/>
      <c r="I376" s="132"/>
      <c r="J376" s="132"/>
      <c r="K376" s="132"/>
      <c r="L376" s="132"/>
      <c r="M376" s="132"/>
      <c r="N376" s="132"/>
      <c r="O376" s="132"/>
      <c r="P376" s="132"/>
      <c r="Q376" s="132"/>
      <c r="R376" s="132"/>
      <c r="S376" s="132"/>
      <c r="T376" s="132"/>
      <c r="U376" s="132"/>
      <c r="V376" s="132"/>
      <c r="W376" s="132"/>
      <c r="X376" s="132"/>
      <c r="Y376" s="132"/>
      <c r="Z376" s="132"/>
    </row>
    <row r="377" spans="1:26" ht="11.25" customHeight="1" x14ac:dyDescent="0.3">
      <c r="A377" s="132"/>
      <c r="B377" s="132"/>
      <c r="C377" s="132"/>
      <c r="D377" s="132"/>
      <c r="E377" s="132"/>
      <c r="F377" s="132"/>
      <c r="G377" s="132"/>
      <c r="H377" s="132"/>
      <c r="I377" s="132"/>
      <c r="J377" s="132"/>
      <c r="K377" s="132"/>
      <c r="L377" s="132"/>
      <c r="M377" s="132"/>
      <c r="N377" s="132"/>
      <c r="O377" s="132"/>
      <c r="P377" s="132"/>
      <c r="Q377" s="132"/>
      <c r="R377" s="132"/>
      <c r="S377" s="132"/>
      <c r="T377" s="132"/>
      <c r="U377" s="132"/>
      <c r="V377" s="132"/>
      <c r="W377" s="132"/>
      <c r="X377" s="132"/>
      <c r="Y377" s="132"/>
      <c r="Z377" s="132"/>
    </row>
    <row r="378" spans="1:26" ht="11.25" customHeight="1" x14ac:dyDescent="0.3">
      <c r="A378" s="132"/>
      <c r="B378" s="132"/>
      <c r="C378" s="132"/>
      <c r="D378" s="132"/>
      <c r="E378" s="132"/>
      <c r="F378" s="132"/>
      <c r="G378" s="132"/>
      <c r="H378" s="132"/>
      <c r="I378" s="132"/>
      <c r="J378" s="132"/>
      <c r="K378" s="132"/>
      <c r="L378" s="132"/>
      <c r="M378" s="132"/>
      <c r="N378" s="132"/>
      <c r="O378" s="132"/>
      <c r="P378" s="132"/>
      <c r="Q378" s="132"/>
      <c r="R378" s="132"/>
      <c r="S378" s="132"/>
      <c r="T378" s="132"/>
      <c r="U378" s="132"/>
      <c r="V378" s="132"/>
      <c r="W378" s="132"/>
      <c r="X378" s="132"/>
      <c r="Y378" s="132"/>
      <c r="Z378" s="132"/>
    </row>
    <row r="379" spans="1:26" ht="11.25" customHeight="1" x14ac:dyDescent="0.3">
      <c r="A379" s="132"/>
      <c r="B379" s="132"/>
      <c r="C379" s="132"/>
      <c r="D379" s="132"/>
      <c r="E379" s="132"/>
      <c r="F379" s="132"/>
      <c r="G379" s="132"/>
      <c r="H379" s="132"/>
      <c r="I379" s="132"/>
      <c r="J379" s="132"/>
      <c r="K379" s="132"/>
      <c r="L379" s="132"/>
      <c r="M379" s="132"/>
      <c r="N379" s="132"/>
      <c r="O379" s="132"/>
      <c r="P379" s="132"/>
      <c r="Q379" s="132"/>
      <c r="R379" s="132"/>
      <c r="S379" s="132"/>
      <c r="T379" s="132"/>
      <c r="U379" s="132"/>
      <c r="V379" s="132"/>
      <c r="W379" s="132"/>
      <c r="X379" s="132"/>
      <c r="Y379" s="132"/>
      <c r="Z379" s="132"/>
    </row>
    <row r="380" spans="1:26" ht="11.25" customHeight="1" x14ac:dyDescent="0.3">
      <c r="A380" s="132"/>
      <c r="B380" s="132"/>
      <c r="C380" s="132"/>
      <c r="D380" s="132"/>
      <c r="E380" s="132"/>
      <c r="F380" s="132"/>
      <c r="G380" s="132"/>
      <c r="H380" s="132"/>
      <c r="I380" s="132"/>
      <c r="J380" s="132"/>
      <c r="K380" s="132"/>
      <c r="L380" s="132"/>
      <c r="M380" s="132"/>
      <c r="N380" s="132"/>
      <c r="O380" s="132"/>
      <c r="P380" s="132"/>
      <c r="Q380" s="132"/>
      <c r="R380" s="132"/>
      <c r="S380" s="132"/>
      <c r="T380" s="132"/>
      <c r="U380" s="132"/>
      <c r="V380" s="132"/>
      <c r="W380" s="132"/>
      <c r="X380" s="132"/>
      <c r="Y380" s="132"/>
      <c r="Z380" s="132"/>
    </row>
    <row r="381" spans="1:26" ht="11.25" customHeight="1" x14ac:dyDescent="0.3">
      <c r="A381" s="132"/>
      <c r="B381" s="132"/>
      <c r="C381" s="132"/>
      <c r="D381" s="132"/>
      <c r="E381" s="132"/>
      <c r="F381" s="132"/>
      <c r="G381" s="132"/>
      <c r="H381" s="132"/>
      <c r="I381" s="132"/>
      <c r="J381" s="132"/>
      <c r="K381" s="132"/>
      <c r="L381" s="132"/>
      <c r="M381" s="132"/>
      <c r="N381" s="132"/>
      <c r="O381" s="132"/>
      <c r="P381" s="132"/>
      <c r="Q381" s="132"/>
      <c r="R381" s="132"/>
      <c r="S381" s="132"/>
      <c r="T381" s="132"/>
      <c r="U381" s="132"/>
      <c r="V381" s="132"/>
      <c r="W381" s="132"/>
      <c r="X381" s="132"/>
      <c r="Y381" s="132"/>
      <c r="Z381" s="132"/>
    </row>
    <row r="382" spans="1:26" ht="11.25" customHeight="1" x14ac:dyDescent="0.3">
      <c r="A382" s="132"/>
      <c r="B382" s="132"/>
      <c r="C382" s="132"/>
      <c r="D382" s="132"/>
      <c r="E382" s="132"/>
      <c r="F382" s="132"/>
      <c r="G382" s="132"/>
      <c r="H382" s="132"/>
      <c r="I382" s="132"/>
      <c r="J382" s="132"/>
      <c r="K382" s="132"/>
      <c r="L382" s="132"/>
      <c r="M382" s="132"/>
      <c r="N382" s="132"/>
      <c r="O382" s="132"/>
      <c r="P382" s="132"/>
      <c r="Q382" s="132"/>
      <c r="R382" s="132"/>
      <c r="S382" s="132"/>
      <c r="T382" s="132"/>
      <c r="U382" s="132"/>
      <c r="V382" s="132"/>
      <c r="W382" s="132"/>
      <c r="X382" s="132"/>
      <c r="Y382" s="132"/>
      <c r="Z382" s="132"/>
    </row>
    <row r="383" spans="1:26" ht="11.25" customHeight="1" x14ac:dyDescent="0.3">
      <c r="A383" s="132"/>
      <c r="B383" s="132"/>
      <c r="C383" s="132"/>
      <c r="D383" s="132"/>
      <c r="E383" s="132"/>
      <c r="F383" s="132"/>
      <c r="G383" s="132"/>
      <c r="H383" s="132"/>
      <c r="I383" s="132"/>
      <c r="J383" s="132"/>
      <c r="K383" s="132"/>
      <c r="L383" s="132"/>
      <c r="M383" s="132"/>
      <c r="N383" s="132"/>
      <c r="O383" s="132"/>
      <c r="P383" s="132"/>
      <c r="Q383" s="132"/>
      <c r="R383" s="132"/>
      <c r="S383" s="132"/>
      <c r="T383" s="132"/>
      <c r="U383" s="132"/>
      <c r="V383" s="132"/>
      <c r="W383" s="132"/>
      <c r="X383" s="132"/>
      <c r="Y383" s="132"/>
      <c r="Z383" s="132"/>
    </row>
    <row r="384" spans="1:26" ht="11.25" customHeight="1" x14ac:dyDescent="0.3">
      <c r="A384" s="132"/>
      <c r="B384" s="132"/>
      <c r="C384" s="132"/>
      <c r="D384" s="132"/>
      <c r="E384" s="132"/>
      <c r="F384" s="132"/>
      <c r="G384" s="132"/>
      <c r="H384" s="132"/>
      <c r="I384" s="132"/>
      <c r="J384" s="132"/>
      <c r="K384" s="132"/>
      <c r="L384" s="132"/>
      <c r="M384" s="132"/>
      <c r="N384" s="132"/>
      <c r="O384" s="132"/>
      <c r="P384" s="132"/>
      <c r="Q384" s="132"/>
      <c r="R384" s="132"/>
      <c r="S384" s="132"/>
      <c r="T384" s="132"/>
      <c r="U384" s="132"/>
      <c r="V384" s="132"/>
      <c r="W384" s="132"/>
      <c r="X384" s="132"/>
      <c r="Y384" s="132"/>
      <c r="Z384" s="132"/>
    </row>
    <row r="385" spans="1:26" ht="11.25" customHeight="1" x14ac:dyDescent="0.3">
      <c r="A385" s="132"/>
      <c r="B385" s="132"/>
      <c r="C385" s="132"/>
      <c r="D385" s="132"/>
      <c r="E385" s="132"/>
      <c r="F385" s="132"/>
      <c r="G385" s="132"/>
      <c r="H385" s="132"/>
      <c r="I385" s="132"/>
      <c r="J385" s="132"/>
      <c r="K385" s="132"/>
      <c r="L385" s="132"/>
      <c r="M385" s="132"/>
      <c r="N385" s="132"/>
      <c r="O385" s="132"/>
      <c r="P385" s="132"/>
      <c r="Q385" s="132"/>
      <c r="R385" s="132"/>
      <c r="S385" s="132"/>
      <c r="T385" s="132"/>
      <c r="U385" s="132"/>
      <c r="V385" s="132"/>
      <c r="W385" s="132"/>
      <c r="X385" s="132"/>
      <c r="Y385" s="132"/>
      <c r="Z385" s="132"/>
    </row>
    <row r="386" spans="1:26" ht="11.25" customHeight="1" x14ac:dyDescent="0.3">
      <c r="A386" s="132"/>
      <c r="B386" s="132"/>
      <c r="C386" s="132"/>
      <c r="D386" s="132"/>
      <c r="E386" s="132"/>
      <c r="F386" s="132"/>
      <c r="G386" s="132"/>
      <c r="H386" s="132"/>
      <c r="I386" s="132"/>
      <c r="J386" s="132"/>
      <c r="K386" s="132"/>
      <c r="L386" s="132"/>
      <c r="M386" s="132"/>
      <c r="N386" s="132"/>
      <c r="O386" s="132"/>
      <c r="P386" s="132"/>
      <c r="Q386" s="132"/>
      <c r="R386" s="132"/>
      <c r="S386" s="132"/>
      <c r="T386" s="132"/>
      <c r="U386" s="132"/>
      <c r="V386" s="132"/>
      <c r="W386" s="132"/>
      <c r="X386" s="132"/>
      <c r="Y386" s="132"/>
      <c r="Z386" s="132"/>
    </row>
    <row r="387" spans="1:26" ht="11.25" customHeight="1" x14ac:dyDescent="0.3">
      <c r="A387" s="132"/>
      <c r="B387" s="132"/>
      <c r="C387" s="132"/>
      <c r="D387" s="132"/>
      <c r="E387" s="132"/>
      <c r="F387" s="132"/>
      <c r="G387" s="132"/>
      <c r="H387" s="132"/>
      <c r="I387" s="132"/>
      <c r="J387" s="132"/>
      <c r="K387" s="132"/>
      <c r="L387" s="132"/>
      <c r="M387" s="132"/>
      <c r="N387" s="132"/>
      <c r="O387" s="132"/>
      <c r="P387" s="132"/>
      <c r="Q387" s="132"/>
      <c r="R387" s="132"/>
      <c r="S387" s="132"/>
      <c r="T387" s="132"/>
      <c r="U387" s="132"/>
      <c r="V387" s="132"/>
      <c r="W387" s="132"/>
      <c r="X387" s="132"/>
      <c r="Y387" s="132"/>
      <c r="Z387" s="132"/>
    </row>
    <row r="388" spans="1:26" ht="11.25" customHeight="1" x14ac:dyDescent="0.3">
      <c r="A388" s="132"/>
      <c r="B388" s="132"/>
      <c r="C388" s="132"/>
      <c r="D388" s="132"/>
      <c r="E388" s="132"/>
      <c r="F388" s="132"/>
      <c r="G388" s="132"/>
      <c r="H388" s="132"/>
      <c r="I388" s="132"/>
      <c r="J388" s="132"/>
      <c r="K388" s="132"/>
      <c r="L388" s="132"/>
      <c r="M388" s="132"/>
      <c r="N388" s="132"/>
      <c r="O388" s="132"/>
      <c r="P388" s="132"/>
      <c r="Q388" s="132"/>
      <c r="R388" s="132"/>
      <c r="S388" s="132"/>
      <c r="T388" s="132"/>
      <c r="U388" s="132"/>
      <c r="V388" s="132"/>
      <c r="W388" s="132"/>
      <c r="X388" s="132"/>
      <c r="Y388" s="132"/>
      <c r="Z388" s="132"/>
    </row>
    <row r="389" spans="1:26" ht="11.25" customHeight="1" x14ac:dyDescent="0.3">
      <c r="A389" s="132"/>
      <c r="B389" s="132"/>
      <c r="C389" s="132"/>
      <c r="D389" s="132"/>
      <c r="E389" s="132"/>
      <c r="F389" s="132"/>
      <c r="G389" s="132"/>
      <c r="H389" s="132"/>
      <c r="I389" s="132"/>
      <c r="J389" s="132"/>
      <c r="K389" s="132"/>
      <c r="L389" s="132"/>
      <c r="M389" s="132"/>
      <c r="N389" s="132"/>
      <c r="O389" s="132"/>
      <c r="P389" s="132"/>
      <c r="Q389" s="132"/>
      <c r="R389" s="132"/>
      <c r="S389" s="132"/>
      <c r="T389" s="132"/>
      <c r="U389" s="132"/>
      <c r="V389" s="132"/>
      <c r="W389" s="132"/>
      <c r="X389" s="132"/>
      <c r="Y389" s="132"/>
      <c r="Z389" s="132"/>
    </row>
    <row r="390" spans="1:26" ht="11.25" customHeight="1" x14ac:dyDescent="0.3">
      <c r="A390" s="132"/>
      <c r="B390" s="132"/>
      <c r="C390" s="132"/>
      <c r="D390" s="132"/>
      <c r="E390" s="132"/>
      <c r="F390" s="132"/>
      <c r="G390" s="132"/>
      <c r="H390" s="132"/>
      <c r="I390" s="132"/>
      <c r="J390" s="132"/>
      <c r="K390" s="132"/>
      <c r="L390" s="132"/>
      <c r="M390" s="132"/>
      <c r="N390" s="132"/>
      <c r="O390" s="132"/>
      <c r="P390" s="132"/>
      <c r="Q390" s="132"/>
      <c r="R390" s="132"/>
      <c r="S390" s="132"/>
      <c r="T390" s="132"/>
      <c r="U390" s="132"/>
      <c r="V390" s="132"/>
      <c r="W390" s="132"/>
      <c r="X390" s="132"/>
      <c r="Y390" s="132"/>
      <c r="Z390" s="132"/>
    </row>
    <row r="391" spans="1:26" ht="11.25" customHeight="1" x14ac:dyDescent="0.3">
      <c r="A391" s="132"/>
      <c r="B391" s="132"/>
      <c r="C391" s="132"/>
      <c r="D391" s="132"/>
      <c r="E391" s="132"/>
      <c r="F391" s="132"/>
      <c r="G391" s="132"/>
      <c r="H391" s="132"/>
      <c r="I391" s="132"/>
      <c r="J391" s="132"/>
      <c r="K391" s="132"/>
      <c r="L391" s="132"/>
      <c r="M391" s="132"/>
      <c r="N391" s="132"/>
      <c r="O391" s="132"/>
      <c r="P391" s="132"/>
      <c r="Q391" s="132"/>
      <c r="R391" s="132"/>
      <c r="S391" s="132"/>
      <c r="T391" s="132"/>
      <c r="U391" s="132"/>
      <c r="V391" s="132"/>
      <c r="W391" s="132"/>
      <c r="X391" s="132"/>
      <c r="Y391" s="132"/>
      <c r="Z391" s="132"/>
    </row>
    <row r="392" spans="1:26" ht="11.25" customHeight="1" x14ac:dyDescent="0.3">
      <c r="A392" s="132"/>
      <c r="B392" s="132"/>
      <c r="C392" s="132"/>
      <c r="D392" s="132"/>
      <c r="E392" s="132"/>
      <c r="F392" s="132"/>
      <c r="G392" s="132"/>
      <c r="H392" s="132"/>
      <c r="I392" s="132"/>
      <c r="J392" s="132"/>
      <c r="K392" s="132"/>
      <c r="L392" s="132"/>
      <c r="M392" s="132"/>
      <c r="N392" s="132"/>
      <c r="O392" s="132"/>
      <c r="P392" s="132"/>
      <c r="Q392" s="132"/>
      <c r="R392" s="132"/>
      <c r="S392" s="132"/>
      <c r="T392" s="132"/>
      <c r="U392" s="132"/>
      <c r="V392" s="132"/>
      <c r="W392" s="132"/>
      <c r="X392" s="132"/>
      <c r="Y392" s="132"/>
      <c r="Z392" s="132"/>
    </row>
    <row r="393" spans="1:26" ht="11.25" customHeight="1" x14ac:dyDescent="0.3">
      <c r="A393" s="132"/>
      <c r="B393" s="132"/>
      <c r="C393" s="132"/>
      <c r="D393" s="132"/>
      <c r="E393" s="132"/>
      <c r="F393" s="132"/>
      <c r="G393" s="132"/>
      <c r="H393" s="132"/>
      <c r="I393" s="132"/>
      <c r="J393" s="132"/>
      <c r="K393" s="132"/>
      <c r="L393" s="132"/>
      <c r="M393" s="132"/>
      <c r="N393" s="132"/>
      <c r="O393" s="132"/>
      <c r="P393" s="132"/>
      <c r="Q393" s="132"/>
      <c r="R393" s="132"/>
      <c r="S393" s="132"/>
      <c r="T393" s="132"/>
      <c r="U393" s="132"/>
      <c r="V393" s="132"/>
      <c r="W393" s="132"/>
      <c r="X393" s="132"/>
      <c r="Y393" s="132"/>
      <c r="Z393" s="132"/>
    </row>
    <row r="394" spans="1:26" ht="11.25" customHeight="1" x14ac:dyDescent="0.3">
      <c r="A394" s="132"/>
      <c r="B394" s="132"/>
      <c r="C394" s="132"/>
      <c r="D394" s="132"/>
      <c r="E394" s="132"/>
      <c r="F394" s="132"/>
      <c r="G394" s="132"/>
      <c r="H394" s="132"/>
      <c r="I394" s="132"/>
      <c r="J394" s="132"/>
      <c r="K394" s="132"/>
      <c r="L394" s="132"/>
      <c r="M394" s="132"/>
      <c r="N394" s="132"/>
      <c r="O394" s="132"/>
      <c r="P394" s="132"/>
      <c r="Q394" s="132"/>
      <c r="R394" s="132"/>
      <c r="S394" s="132"/>
      <c r="T394" s="132"/>
      <c r="U394" s="132"/>
      <c r="V394" s="132"/>
      <c r="W394" s="132"/>
      <c r="X394" s="132"/>
      <c r="Y394" s="132"/>
      <c r="Z394" s="132"/>
    </row>
    <row r="395" spans="1:26" ht="11.25" customHeight="1" x14ac:dyDescent="0.3">
      <c r="A395" s="132"/>
      <c r="B395" s="132"/>
      <c r="C395" s="132"/>
      <c r="D395" s="132"/>
      <c r="E395" s="132"/>
      <c r="F395" s="132"/>
      <c r="G395" s="132"/>
      <c r="H395" s="132"/>
      <c r="I395" s="132"/>
      <c r="J395" s="132"/>
      <c r="K395" s="132"/>
      <c r="L395" s="132"/>
      <c r="M395" s="132"/>
      <c r="N395" s="132"/>
      <c r="O395" s="132"/>
      <c r="P395" s="132"/>
      <c r="Q395" s="132"/>
      <c r="R395" s="132"/>
      <c r="S395" s="132"/>
      <c r="T395" s="132"/>
      <c r="U395" s="132"/>
      <c r="V395" s="132"/>
      <c r="W395" s="132"/>
      <c r="X395" s="132"/>
      <c r="Y395" s="132"/>
      <c r="Z395" s="132"/>
    </row>
    <row r="396" spans="1:26" ht="11.25" customHeight="1" x14ac:dyDescent="0.3">
      <c r="A396" s="132"/>
      <c r="B396" s="132"/>
      <c r="C396" s="132"/>
      <c r="D396" s="132"/>
      <c r="E396" s="132"/>
      <c r="F396" s="132"/>
      <c r="G396" s="132"/>
      <c r="H396" s="132"/>
      <c r="I396" s="132"/>
      <c r="J396" s="132"/>
      <c r="K396" s="132"/>
      <c r="L396" s="132"/>
      <c r="M396" s="132"/>
      <c r="N396" s="132"/>
      <c r="O396" s="132"/>
      <c r="P396" s="132"/>
      <c r="Q396" s="132"/>
      <c r="R396" s="132"/>
      <c r="S396" s="132"/>
      <c r="T396" s="132"/>
      <c r="U396" s="132"/>
      <c r="V396" s="132"/>
      <c r="W396" s="132"/>
      <c r="X396" s="132"/>
      <c r="Y396" s="132"/>
      <c r="Z396" s="132"/>
    </row>
    <row r="397" spans="1:26" ht="11.25" customHeight="1" x14ac:dyDescent="0.3">
      <c r="A397" s="132"/>
      <c r="B397" s="132"/>
      <c r="C397" s="132"/>
      <c r="D397" s="132"/>
      <c r="E397" s="132"/>
      <c r="F397" s="132"/>
      <c r="G397" s="132"/>
      <c r="H397" s="132"/>
      <c r="I397" s="132"/>
      <c r="J397" s="132"/>
      <c r="K397" s="132"/>
      <c r="L397" s="132"/>
      <c r="M397" s="132"/>
      <c r="N397" s="132"/>
      <c r="O397" s="132"/>
      <c r="P397" s="132"/>
      <c r="Q397" s="132"/>
      <c r="R397" s="132"/>
      <c r="S397" s="132"/>
      <c r="T397" s="132"/>
      <c r="U397" s="132"/>
      <c r="V397" s="132"/>
      <c r="W397" s="132"/>
      <c r="X397" s="132"/>
      <c r="Y397" s="132"/>
      <c r="Z397" s="132"/>
    </row>
    <row r="398" spans="1:26" ht="11.25" customHeight="1" x14ac:dyDescent="0.3">
      <c r="A398" s="132"/>
      <c r="B398" s="132"/>
      <c r="C398" s="132"/>
      <c r="D398" s="132"/>
      <c r="E398" s="132"/>
      <c r="F398" s="132"/>
      <c r="G398" s="132"/>
      <c r="H398" s="132"/>
      <c r="I398" s="132"/>
      <c r="J398" s="132"/>
      <c r="K398" s="132"/>
      <c r="L398" s="132"/>
      <c r="M398" s="132"/>
      <c r="N398" s="132"/>
      <c r="O398" s="132"/>
      <c r="P398" s="132"/>
      <c r="Q398" s="132"/>
      <c r="R398" s="132"/>
      <c r="S398" s="132"/>
      <c r="T398" s="132"/>
      <c r="U398" s="132"/>
      <c r="V398" s="132"/>
      <c r="W398" s="132"/>
      <c r="X398" s="132"/>
      <c r="Y398" s="132"/>
      <c r="Z398" s="132"/>
    </row>
    <row r="399" spans="1:26" ht="11.25" customHeight="1" x14ac:dyDescent="0.3">
      <c r="A399" s="132"/>
      <c r="B399" s="132"/>
      <c r="C399" s="132"/>
      <c r="D399" s="132"/>
      <c r="E399" s="132"/>
      <c r="F399" s="132"/>
      <c r="G399" s="132"/>
      <c r="H399" s="132"/>
      <c r="I399" s="132"/>
      <c r="J399" s="132"/>
      <c r="K399" s="132"/>
      <c r="L399" s="132"/>
      <c r="M399" s="132"/>
      <c r="N399" s="132"/>
      <c r="O399" s="132"/>
      <c r="P399" s="132"/>
      <c r="Q399" s="132"/>
      <c r="R399" s="132"/>
      <c r="S399" s="132"/>
      <c r="T399" s="132"/>
      <c r="U399" s="132"/>
      <c r="V399" s="132"/>
      <c r="W399" s="132"/>
      <c r="X399" s="132"/>
      <c r="Y399" s="132"/>
      <c r="Z399" s="132"/>
    </row>
    <row r="400" spans="1:26" ht="11.25" customHeight="1" x14ac:dyDescent="0.3">
      <c r="A400" s="132"/>
      <c r="B400" s="132"/>
      <c r="C400" s="132"/>
      <c r="D400" s="132"/>
      <c r="E400" s="132"/>
      <c r="F400" s="132"/>
      <c r="G400" s="132"/>
      <c r="H400" s="132"/>
      <c r="I400" s="132"/>
      <c r="J400" s="132"/>
      <c r="K400" s="132"/>
      <c r="L400" s="132"/>
      <c r="M400" s="132"/>
      <c r="N400" s="132"/>
      <c r="O400" s="132"/>
      <c r="P400" s="132"/>
      <c r="Q400" s="132"/>
      <c r="R400" s="132"/>
      <c r="S400" s="132"/>
      <c r="T400" s="132"/>
      <c r="U400" s="132"/>
      <c r="V400" s="132"/>
      <c r="W400" s="132"/>
      <c r="X400" s="132"/>
      <c r="Y400" s="132"/>
      <c r="Z400" s="132"/>
    </row>
    <row r="401" spans="1:26" ht="11.25" customHeight="1" x14ac:dyDescent="0.3">
      <c r="A401" s="132"/>
      <c r="B401" s="132"/>
      <c r="C401" s="132"/>
      <c r="D401" s="132"/>
      <c r="E401" s="132"/>
      <c r="F401" s="132"/>
      <c r="G401" s="132"/>
      <c r="H401" s="132"/>
      <c r="I401" s="132"/>
      <c r="J401" s="132"/>
      <c r="K401" s="132"/>
      <c r="L401" s="132"/>
      <c r="M401" s="132"/>
      <c r="N401" s="132"/>
      <c r="O401" s="132"/>
      <c r="P401" s="132"/>
      <c r="Q401" s="132"/>
      <c r="R401" s="132"/>
      <c r="S401" s="132"/>
      <c r="T401" s="132"/>
      <c r="U401" s="132"/>
      <c r="V401" s="132"/>
      <c r="W401" s="132"/>
      <c r="X401" s="132"/>
      <c r="Y401" s="132"/>
      <c r="Z401" s="132"/>
    </row>
    <row r="402" spans="1:26" ht="11.25" customHeight="1" x14ac:dyDescent="0.3">
      <c r="A402" s="132"/>
      <c r="B402" s="132"/>
      <c r="C402" s="132"/>
      <c r="D402" s="132"/>
      <c r="E402" s="132"/>
      <c r="F402" s="132"/>
      <c r="G402" s="132"/>
      <c r="H402" s="132"/>
      <c r="I402" s="132"/>
      <c r="J402" s="132"/>
      <c r="K402" s="132"/>
      <c r="L402" s="132"/>
      <c r="M402" s="132"/>
      <c r="N402" s="132"/>
      <c r="O402" s="132"/>
      <c r="P402" s="132"/>
      <c r="Q402" s="132"/>
      <c r="R402" s="132"/>
      <c r="S402" s="132"/>
      <c r="T402" s="132"/>
      <c r="U402" s="132"/>
      <c r="V402" s="132"/>
      <c r="W402" s="132"/>
      <c r="X402" s="132"/>
      <c r="Y402" s="132"/>
      <c r="Z402" s="132"/>
    </row>
    <row r="403" spans="1:26" ht="11.25" customHeight="1" x14ac:dyDescent="0.3">
      <c r="A403" s="132"/>
      <c r="B403" s="132"/>
      <c r="C403" s="132"/>
      <c r="D403" s="132"/>
      <c r="E403" s="132"/>
      <c r="F403" s="132"/>
      <c r="G403" s="132"/>
      <c r="H403" s="132"/>
      <c r="I403" s="132"/>
      <c r="J403" s="132"/>
      <c r="K403" s="132"/>
      <c r="L403" s="132"/>
      <c r="M403" s="132"/>
      <c r="N403" s="132"/>
      <c r="O403" s="132"/>
      <c r="P403" s="132"/>
      <c r="Q403" s="132"/>
      <c r="R403" s="132"/>
      <c r="S403" s="132"/>
      <c r="T403" s="132"/>
      <c r="U403" s="132"/>
      <c r="V403" s="132"/>
      <c r="W403" s="132"/>
      <c r="X403" s="132"/>
      <c r="Y403" s="132"/>
      <c r="Z403" s="132"/>
    </row>
    <row r="404" spans="1:26" ht="11.25" customHeight="1" x14ac:dyDescent="0.3">
      <c r="A404" s="132"/>
      <c r="B404" s="132"/>
      <c r="C404" s="132"/>
      <c r="D404" s="132"/>
      <c r="E404" s="132"/>
      <c r="F404" s="132"/>
      <c r="G404" s="132"/>
      <c r="H404" s="132"/>
      <c r="I404" s="132"/>
      <c r="J404" s="132"/>
      <c r="K404" s="132"/>
      <c r="L404" s="132"/>
      <c r="M404" s="132"/>
      <c r="N404" s="132"/>
      <c r="O404" s="132"/>
      <c r="P404" s="132"/>
      <c r="Q404" s="132"/>
      <c r="R404" s="132"/>
      <c r="S404" s="132"/>
      <c r="T404" s="132"/>
      <c r="U404" s="132"/>
      <c r="V404" s="132"/>
      <c r="W404" s="132"/>
      <c r="X404" s="132"/>
      <c r="Y404" s="132"/>
      <c r="Z404" s="132"/>
    </row>
    <row r="405" spans="1:26" ht="11.25" customHeight="1" x14ac:dyDescent="0.3">
      <c r="A405" s="132"/>
      <c r="B405" s="132"/>
      <c r="C405" s="132"/>
      <c r="D405" s="132"/>
      <c r="E405" s="132"/>
      <c r="F405" s="132"/>
      <c r="G405" s="132"/>
      <c r="H405" s="132"/>
      <c r="I405" s="132"/>
      <c r="J405" s="132"/>
      <c r="K405" s="132"/>
      <c r="L405" s="132"/>
      <c r="M405" s="132"/>
      <c r="N405" s="132"/>
      <c r="O405" s="132"/>
      <c r="P405" s="132"/>
      <c r="Q405" s="132"/>
      <c r="R405" s="132"/>
      <c r="S405" s="132"/>
      <c r="T405" s="132"/>
      <c r="U405" s="132"/>
      <c r="V405" s="132"/>
      <c r="W405" s="132"/>
      <c r="X405" s="132"/>
      <c r="Y405" s="132"/>
      <c r="Z405" s="132"/>
    </row>
    <row r="406" spans="1:26" ht="11.25" customHeight="1" x14ac:dyDescent="0.3">
      <c r="A406" s="132"/>
      <c r="B406" s="132"/>
      <c r="C406" s="132"/>
      <c r="D406" s="132"/>
      <c r="E406" s="132"/>
      <c r="F406" s="132"/>
      <c r="G406" s="132"/>
      <c r="H406" s="132"/>
      <c r="I406" s="132"/>
      <c r="J406" s="132"/>
      <c r="K406" s="132"/>
      <c r="L406" s="132"/>
      <c r="M406" s="132"/>
      <c r="N406" s="132"/>
      <c r="O406" s="132"/>
      <c r="P406" s="132"/>
      <c r="Q406" s="132"/>
      <c r="R406" s="132"/>
      <c r="S406" s="132"/>
      <c r="T406" s="132"/>
      <c r="U406" s="132"/>
      <c r="V406" s="132"/>
      <c r="W406" s="132"/>
      <c r="X406" s="132"/>
      <c r="Y406" s="132"/>
      <c r="Z406" s="132"/>
    </row>
    <row r="407" spans="1:26" ht="11.25" customHeight="1" x14ac:dyDescent="0.3">
      <c r="A407" s="132"/>
      <c r="B407" s="132"/>
      <c r="C407" s="132"/>
      <c r="D407" s="132"/>
      <c r="E407" s="132"/>
      <c r="F407" s="132"/>
      <c r="G407" s="132"/>
      <c r="H407" s="132"/>
      <c r="I407" s="132"/>
      <c r="J407" s="132"/>
      <c r="K407" s="132"/>
      <c r="L407" s="132"/>
      <c r="M407" s="132"/>
      <c r="N407" s="132"/>
      <c r="O407" s="132"/>
      <c r="P407" s="132"/>
      <c r="Q407" s="132"/>
      <c r="R407" s="132"/>
      <c r="S407" s="132"/>
      <c r="T407" s="132"/>
      <c r="U407" s="132"/>
      <c r="V407" s="132"/>
      <c r="W407" s="132"/>
      <c r="X407" s="132"/>
      <c r="Y407" s="132"/>
      <c r="Z407" s="132"/>
    </row>
    <row r="408" spans="1:26" ht="11.25" customHeight="1" x14ac:dyDescent="0.3">
      <c r="A408" s="132"/>
      <c r="B408" s="132"/>
      <c r="C408" s="132"/>
      <c r="D408" s="132"/>
      <c r="E408" s="132"/>
      <c r="F408" s="132"/>
      <c r="G408" s="132"/>
      <c r="H408" s="132"/>
      <c r="I408" s="132"/>
      <c r="J408" s="132"/>
      <c r="K408" s="132"/>
      <c r="L408" s="132"/>
      <c r="M408" s="132"/>
      <c r="N408" s="132"/>
      <c r="O408" s="132"/>
      <c r="P408" s="132"/>
      <c r="Q408" s="132"/>
      <c r="R408" s="132"/>
      <c r="S408" s="132"/>
      <c r="T408" s="132"/>
      <c r="U408" s="132"/>
      <c r="V408" s="132"/>
      <c r="W408" s="132"/>
      <c r="X408" s="132"/>
      <c r="Y408" s="132"/>
      <c r="Z408" s="132"/>
    </row>
    <row r="409" spans="1:26" ht="11.25" customHeight="1" x14ac:dyDescent="0.3">
      <c r="A409" s="132"/>
      <c r="B409" s="132"/>
      <c r="C409" s="132"/>
      <c r="D409" s="132"/>
      <c r="E409" s="132"/>
      <c r="F409" s="132"/>
      <c r="G409" s="132"/>
      <c r="H409" s="132"/>
      <c r="I409" s="132"/>
      <c r="J409" s="132"/>
      <c r="K409" s="132"/>
      <c r="L409" s="132"/>
      <c r="M409" s="132"/>
      <c r="N409" s="132"/>
      <c r="O409" s="132"/>
      <c r="P409" s="132"/>
      <c r="Q409" s="132"/>
      <c r="R409" s="132"/>
      <c r="S409" s="132"/>
      <c r="T409" s="132"/>
      <c r="U409" s="132"/>
      <c r="V409" s="132"/>
      <c r="W409" s="132"/>
      <c r="X409" s="132"/>
      <c r="Y409" s="132"/>
      <c r="Z409" s="132"/>
    </row>
    <row r="410" spans="1:26" ht="11.25" customHeight="1" x14ac:dyDescent="0.3">
      <c r="A410" s="132"/>
      <c r="B410" s="132"/>
      <c r="C410" s="132"/>
      <c r="D410" s="132"/>
      <c r="E410" s="132"/>
      <c r="F410" s="132"/>
      <c r="G410" s="132"/>
      <c r="H410" s="132"/>
      <c r="I410" s="132"/>
      <c r="J410" s="132"/>
      <c r="K410" s="132"/>
      <c r="L410" s="132"/>
      <c r="M410" s="132"/>
      <c r="N410" s="132"/>
      <c r="O410" s="132"/>
      <c r="P410" s="132"/>
      <c r="Q410" s="132"/>
      <c r="R410" s="132"/>
      <c r="S410" s="132"/>
      <c r="T410" s="132"/>
      <c r="U410" s="132"/>
      <c r="V410" s="132"/>
      <c r="W410" s="132"/>
      <c r="X410" s="132"/>
      <c r="Y410" s="132"/>
      <c r="Z410" s="132"/>
    </row>
    <row r="411" spans="1:26" ht="11.25" customHeight="1" x14ac:dyDescent="0.3">
      <c r="A411" s="132"/>
      <c r="B411" s="132"/>
      <c r="C411" s="132"/>
      <c r="D411" s="132"/>
      <c r="E411" s="132"/>
      <c r="F411" s="132"/>
      <c r="G411" s="132"/>
      <c r="H411" s="132"/>
      <c r="I411" s="132"/>
      <c r="J411" s="132"/>
      <c r="K411" s="132"/>
      <c r="L411" s="132"/>
      <c r="M411" s="132"/>
      <c r="N411" s="132"/>
      <c r="O411" s="132"/>
      <c r="P411" s="132"/>
      <c r="Q411" s="132"/>
      <c r="R411" s="132"/>
      <c r="S411" s="132"/>
      <c r="T411" s="132"/>
      <c r="U411" s="132"/>
      <c r="V411" s="132"/>
      <c r="W411" s="132"/>
      <c r="X411" s="132"/>
      <c r="Y411" s="132"/>
      <c r="Z411" s="132"/>
    </row>
    <row r="412" spans="1:26" ht="11.25" customHeight="1" x14ac:dyDescent="0.3">
      <c r="A412" s="132"/>
      <c r="B412" s="132"/>
      <c r="C412" s="132"/>
      <c r="D412" s="132"/>
      <c r="E412" s="132"/>
      <c r="F412" s="132"/>
      <c r="G412" s="132"/>
      <c r="H412" s="132"/>
      <c r="I412" s="132"/>
      <c r="J412" s="132"/>
      <c r="K412" s="132"/>
      <c r="L412" s="132"/>
      <c r="M412" s="132"/>
      <c r="N412" s="132"/>
      <c r="O412" s="132"/>
      <c r="P412" s="132"/>
      <c r="Q412" s="132"/>
      <c r="R412" s="132"/>
      <c r="S412" s="132"/>
      <c r="T412" s="132"/>
      <c r="U412" s="132"/>
      <c r="V412" s="132"/>
      <c r="W412" s="132"/>
      <c r="X412" s="132"/>
      <c r="Y412" s="132"/>
      <c r="Z412" s="132"/>
    </row>
    <row r="413" spans="1:26" ht="11.25" customHeight="1" x14ac:dyDescent="0.3">
      <c r="A413" s="132"/>
      <c r="B413" s="132"/>
      <c r="C413" s="132"/>
      <c r="D413" s="132"/>
      <c r="E413" s="132"/>
      <c r="F413" s="132"/>
      <c r="G413" s="132"/>
      <c r="H413" s="132"/>
      <c r="I413" s="132"/>
      <c r="J413" s="132"/>
      <c r="K413" s="132"/>
      <c r="L413" s="132"/>
      <c r="M413" s="132"/>
      <c r="N413" s="132"/>
      <c r="O413" s="132"/>
      <c r="P413" s="132"/>
      <c r="Q413" s="132"/>
      <c r="R413" s="132"/>
      <c r="S413" s="132"/>
      <c r="T413" s="132"/>
      <c r="U413" s="132"/>
      <c r="V413" s="132"/>
      <c r="W413" s="132"/>
      <c r="X413" s="132"/>
      <c r="Y413" s="132"/>
      <c r="Z413" s="132"/>
    </row>
    <row r="414" spans="1:26" ht="11.25" customHeight="1" x14ac:dyDescent="0.3">
      <c r="A414" s="132"/>
      <c r="B414" s="132"/>
      <c r="C414" s="132"/>
      <c r="D414" s="132"/>
      <c r="E414" s="132"/>
      <c r="F414" s="132"/>
      <c r="G414" s="132"/>
      <c r="H414" s="132"/>
      <c r="I414" s="132"/>
      <c r="J414" s="132"/>
      <c r="K414" s="132"/>
      <c r="L414" s="132"/>
      <c r="M414" s="132"/>
      <c r="N414" s="132"/>
      <c r="O414" s="132"/>
      <c r="P414" s="132"/>
      <c r="Q414" s="132"/>
      <c r="R414" s="132"/>
      <c r="S414" s="132"/>
      <c r="T414" s="132"/>
      <c r="U414" s="132"/>
      <c r="V414" s="132"/>
      <c r="W414" s="132"/>
      <c r="X414" s="132"/>
      <c r="Y414" s="132"/>
      <c r="Z414" s="132"/>
    </row>
    <row r="415" spans="1:26" ht="11.25" customHeight="1" x14ac:dyDescent="0.3">
      <c r="A415" s="132"/>
      <c r="B415" s="132"/>
      <c r="C415" s="132"/>
      <c r="D415" s="132"/>
      <c r="E415" s="132"/>
      <c r="F415" s="132"/>
      <c r="G415" s="132"/>
      <c r="H415" s="132"/>
      <c r="I415" s="132"/>
      <c r="J415" s="132"/>
      <c r="K415" s="132"/>
      <c r="L415" s="132"/>
      <c r="M415" s="132"/>
      <c r="N415" s="132"/>
      <c r="O415" s="132"/>
      <c r="P415" s="132"/>
      <c r="Q415" s="132"/>
      <c r="R415" s="132"/>
      <c r="S415" s="132"/>
      <c r="T415" s="132"/>
      <c r="U415" s="132"/>
      <c r="V415" s="132"/>
      <c r="W415" s="132"/>
      <c r="X415" s="132"/>
      <c r="Y415" s="132"/>
      <c r="Z415" s="132"/>
    </row>
    <row r="416" spans="1:26" ht="11.25" customHeight="1" x14ac:dyDescent="0.3">
      <c r="A416" s="132"/>
      <c r="B416" s="132"/>
      <c r="C416" s="132"/>
      <c r="D416" s="132"/>
      <c r="E416" s="132"/>
      <c r="F416" s="132"/>
      <c r="G416" s="132"/>
      <c r="H416" s="132"/>
      <c r="I416" s="132"/>
      <c r="J416" s="132"/>
      <c r="K416" s="132"/>
      <c r="L416" s="132"/>
      <c r="M416" s="132"/>
      <c r="N416" s="132"/>
      <c r="O416" s="132"/>
      <c r="P416" s="132"/>
      <c r="Q416" s="132"/>
      <c r="R416" s="132"/>
      <c r="S416" s="132"/>
      <c r="T416" s="132"/>
      <c r="U416" s="132"/>
      <c r="V416" s="132"/>
      <c r="W416" s="132"/>
      <c r="X416" s="132"/>
      <c r="Y416" s="132"/>
      <c r="Z416" s="132"/>
    </row>
    <row r="417" spans="1:26" ht="11.25" customHeight="1" x14ac:dyDescent="0.3">
      <c r="A417" s="132"/>
      <c r="B417" s="132"/>
      <c r="C417" s="132"/>
      <c r="D417" s="132"/>
      <c r="E417" s="132"/>
      <c r="F417" s="132"/>
      <c r="G417" s="132"/>
      <c r="H417" s="132"/>
      <c r="I417" s="132"/>
      <c r="J417" s="132"/>
      <c r="K417" s="132"/>
      <c r="L417" s="132"/>
      <c r="M417" s="132"/>
      <c r="N417" s="132"/>
      <c r="O417" s="132"/>
      <c r="P417" s="132"/>
      <c r="Q417" s="132"/>
      <c r="R417" s="132"/>
      <c r="S417" s="132"/>
      <c r="T417" s="132"/>
      <c r="U417" s="132"/>
      <c r="V417" s="132"/>
      <c r="W417" s="132"/>
      <c r="X417" s="132"/>
      <c r="Y417" s="132"/>
      <c r="Z417" s="132"/>
    </row>
    <row r="418" spans="1:26" ht="11.25" customHeight="1" x14ac:dyDescent="0.3">
      <c r="A418" s="132"/>
      <c r="B418" s="132"/>
      <c r="C418" s="132"/>
      <c r="D418" s="132"/>
      <c r="E418" s="132"/>
      <c r="F418" s="132"/>
      <c r="G418" s="132"/>
      <c r="H418" s="132"/>
      <c r="I418" s="132"/>
      <c r="J418" s="132"/>
      <c r="K418" s="132"/>
      <c r="L418" s="132"/>
      <c r="M418" s="132"/>
      <c r="N418" s="132"/>
      <c r="O418" s="132"/>
      <c r="P418" s="132"/>
      <c r="Q418" s="132"/>
      <c r="R418" s="132"/>
      <c r="S418" s="132"/>
      <c r="T418" s="132"/>
      <c r="U418" s="132"/>
      <c r="V418" s="132"/>
      <c r="W418" s="132"/>
      <c r="X418" s="132"/>
      <c r="Y418" s="132"/>
      <c r="Z418" s="132"/>
    </row>
    <row r="419" spans="1:26" ht="11.25" customHeight="1" x14ac:dyDescent="0.3">
      <c r="A419" s="132"/>
      <c r="B419" s="132"/>
      <c r="C419" s="132"/>
      <c r="D419" s="132"/>
      <c r="E419" s="132"/>
      <c r="F419" s="132"/>
      <c r="G419" s="132"/>
      <c r="H419" s="132"/>
      <c r="I419" s="132"/>
      <c r="J419" s="132"/>
      <c r="K419" s="132"/>
      <c r="L419" s="132"/>
      <c r="M419" s="132"/>
      <c r="N419" s="132"/>
      <c r="O419" s="132"/>
      <c r="P419" s="132"/>
      <c r="Q419" s="132"/>
      <c r="R419" s="132"/>
      <c r="S419" s="132"/>
      <c r="T419" s="132"/>
      <c r="U419" s="132"/>
      <c r="V419" s="132"/>
      <c r="W419" s="132"/>
      <c r="X419" s="132"/>
      <c r="Y419" s="132"/>
      <c r="Z419" s="132"/>
    </row>
    <row r="420" spans="1:26" ht="11.25" customHeight="1" x14ac:dyDescent="0.3">
      <c r="A420" s="132"/>
      <c r="B420" s="132"/>
      <c r="C420" s="132"/>
      <c r="D420" s="132"/>
      <c r="E420" s="132"/>
      <c r="F420" s="132"/>
      <c r="G420" s="132"/>
      <c r="H420" s="132"/>
      <c r="I420" s="132"/>
      <c r="J420" s="132"/>
      <c r="K420" s="132"/>
      <c r="L420" s="132"/>
      <c r="M420" s="132"/>
      <c r="N420" s="132"/>
      <c r="O420" s="132"/>
      <c r="P420" s="132"/>
      <c r="Q420" s="132"/>
      <c r="R420" s="132"/>
      <c r="S420" s="132"/>
      <c r="T420" s="132"/>
      <c r="U420" s="132"/>
      <c r="V420" s="132"/>
      <c r="W420" s="132"/>
      <c r="X420" s="132"/>
      <c r="Y420" s="132"/>
      <c r="Z420" s="132"/>
    </row>
    <row r="421" spans="1:26" ht="11.25" customHeight="1" x14ac:dyDescent="0.3">
      <c r="A421" s="132"/>
      <c r="B421" s="132"/>
      <c r="C421" s="132"/>
      <c r="D421" s="132"/>
      <c r="E421" s="132"/>
      <c r="F421" s="132"/>
      <c r="G421" s="132"/>
      <c r="H421" s="132"/>
      <c r="I421" s="132"/>
      <c r="J421" s="132"/>
      <c r="K421" s="132"/>
      <c r="L421" s="132"/>
      <c r="M421" s="132"/>
      <c r="N421" s="132"/>
      <c r="O421" s="132"/>
      <c r="P421" s="132"/>
      <c r="Q421" s="132"/>
      <c r="R421" s="132"/>
      <c r="S421" s="132"/>
      <c r="T421" s="132"/>
      <c r="U421" s="132"/>
      <c r="V421" s="132"/>
      <c r="W421" s="132"/>
      <c r="X421" s="132"/>
      <c r="Y421" s="132"/>
      <c r="Z421" s="132"/>
    </row>
    <row r="422" spans="1:26" ht="11.25" customHeight="1" x14ac:dyDescent="0.3">
      <c r="A422" s="132"/>
      <c r="B422" s="132"/>
      <c r="C422" s="132"/>
      <c r="D422" s="132"/>
      <c r="E422" s="132"/>
      <c r="F422" s="132"/>
      <c r="G422" s="132"/>
      <c r="H422" s="132"/>
      <c r="I422" s="132"/>
      <c r="J422" s="132"/>
      <c r="K422" s="132"/>
      <c r="L422" s="132"/>
      <c r="M422" s="132"/>
      <c r="N422" s="132"/>
      <c r="O422" s="132"/>
      <c r="P422" s="132"/>
      <c r="Q422" s="132"/>
      <c r="R422" s="132"/>
      <c r="S422" s="132"/>
      <c r="T422" s="132"/>
      <c r="U422" s="132"/>
      <c r="V422" s="132"/>
      <c r="W422" s="132"/>
      <c r="X422" s="132"/>
      <c r="Y422" s="132"/>
      <c r="Z422" s="132"/>
    </row>
    <row r="423" spans="1:26" ht="11.25" customHeight="1" x14ac:dyDescent="0.3">
      <c r="A423" s="132"/>
      <c r="B423" s="132"/>
      <c r="C423" s="132"/>
      <c r="D423" s="132"/>
      <c r="E423" s="132"/>
      <c r="F423" s="132"/>
      <c r="G423" s="132"/>
      <c r="H423" s="132"/>
      <c r="I423" s="132"/>
      <c r="J423" s="132"/>
      <c r="K423" s="132"/>
      <c r="L423" s="132"/>
      <c r="M423" s="132"/>
      <c r="N423" s="132"/>
      <c r="O423" s="132"/>
      <c r="P423" s="132"/>
      <c r="Q423" s="132"/>
      <c r="R423" s="132"/>
      <c r="S423" s="132"/>
      <c r="T423" s="132"/>
      <c r="U423" s="132"/>
      <c r="V423" s="132"/>
      <c r="W423" s="132"/>
      <c r="X423" s="132"/>
      <c r="Y423" s="132"/>
      <c r="Z423" s="132"/>
    </row>
    <row r="424" spans="1:26" ht="11.25" customHeight="1" x14ac:dyDescent="0.3">
      <c r="A424" s="132"/>
      <c r="B424" s="132"/>
      <c r="C424" s="132"/>
      <c r="D424" s="132"/>
      <c r="E424" s="132"/>
      <c r="F424" s="132"/>
      <c r="G424" s="132"/>
      <c r="H424" s="132"/>
      <c r="I424" s="132"/>
      <c r="J424" s="132"/>
      <c r="K424" s="132"/>
      <c r="L424" s="132"/>
      <c r="M424" s="132"/>
      <c r="N424" s="132"/>
      <c r="O424" s="132"/>
      <c r="P424" s="132"/>
      <c r="Q424" s="132"/>
      <c r="R424" s="132"/>
      <c r="S424" s="132"/>
      <c r="T424" s="132"/>
      <c r="U424" s="132"/>
      <c r="V424" s="132"/>
      <c r="W424" s="132"/>
      <c r="X424" s="132"/>
      <c r="Y424" s="132"/>
      <c r="Z424" s="132"/>
    </row>
    <row r="425" spans="1:26" ht="11.25" customHeight="1" x14ac:dyDescent="0.3">
      <c r="A425" s="132"/>
      <c r="B425" s="132"/>
      <c r="C425" s="132"/>
      <c r="D425" s="132"/>
      <c r="E425" s="132"/>
      <c r="F425" s="132"/>
      <c r="G425" s="132"/>
      <c r="H425" s="132"/>
      <c r="I425" s="132"/>
      <c r="J425" s="132"/>
      <c r="K425" s="132"/>
      <c r="L425" s="132"/>
      <c r="M425" s="132"/>
      <c r="N425" s="132"/>
      <c r="O425" s="132"/>
      <c r="P425" s="132"/>
      <c r="Q425" s="132"/>
      <c r="R425" s="132"/>
      <c r="S425" s="132"/>
      <c r="T425" s="132"/>
      <c r="U425" s="132"/>
      <c r="V425" s="132"/>
      <c r="W425" s="132"/>
      <c r="X425" s="132"/>
      <c r="Y425" s="132"/>
      <c r="Z425" s="132"/>
    </row>
    <row r="426" spans="1:26" ht="11.25" customHeight="1" x14ac:dyDescent="0.3">
      <c r="A426" s="132"/>
      <c r="B426" s="132"/>
      <c r="C426" s="132"/>
      <c r="D426" s="132"/>
      <c r="E426" s="132"/>
      <c r="F426" s="132"/>
      <c r="G426" s="132"/>
      <c r="H426" s="132"/>
      <c r="I426" s="132"/>
      <c r="J426" s="132"/>
      <c r="K426" s="132"/>
      <c r="L426" s="132"/>
      <c r="M426" s="132"/>
      <c r="N426" s="132"/>
      <c r="O426" s="132"/>
      <c r="P426" s="132"/>
      <c r="Q426" s="132"/>
      <c r="R426" s="132"/>
      <c r="S426" s="132"/>
      <c r="T426" s="132"/>
      <c r="U426" s="132"/>
      <c r="V426" s="132"/>
      <c r="W426" s="132"/>
      <c r="X426" s="132"/>
      <c r="Y426" s="132"/>
      <c r="Z426" s="132"/>
    </row>
    <row r="427" spans="1:26" ht="11.25" customHeight="1" x14ac:dyDescent="0.3">
      <c r="A427" s="132"/>
      <c r="B427" s="132"/>
      <c r="C427" s="132"/>
      <c r="D427" s="132"/>
      <c r="E427" s="132"/>
      <c r="F427" s="132"/>
      <c r="G427" s="132"/>
      <c r="H427" s="132"/>
      <c r="I427" s="132"/>
      <c r="J427" s="132"/>
      <c r="K427" s="132"/>
      <c r="L427" s="132"/>
      <c r="M427" s="132"/>
      <c r="N427" s="132"/>
      <c r="O427" s="132"/>
      <c r="P427" s="132"/>
      <c r="Q427" s="132"/>
      <c r="R427" s="132"/>
      <c r="S427" s="132"/>
      <c r="T427" s="132"/>
      <c r="U427" s="132"/>
      <c r="V427" s="132"/>
      <c r="W427" s="132"/>
      <c r="X427" s="132"/>
      <c r="Y427" s="132"/>
      <c r="Z427" s="132"/>
    </row>
    <row r="428" spans="1:26" ht="11.25" customHeight="1" x14ac:dyDescent="0.3">
      <c r="A428" s="132"/>
      <c r="B428" s="132"/>
      <c r="C428" s="132"/>
      <c r="D428" s="132"/>
      <c r="E428" s="132"/>
      <c r="F428" s="132"/>
      <c r="G428" s="132"/>
      <c r="H428" s="132"/>
      <c r="I428" s="132"/>
      <c r="J428" s="132"/>
      <c r="K428" s="132"/>
      <c r="L428" s="132"/>
      <c r="M428" s="132"/>
      <c r="N428" s="132"/>
      <c r="O428" s="132"/>
      <c r="P428" s="132"/>
      <c r="Q428" s="132"/>
      <c r="R428" s="132"/>
      <c r="S428" s="132"/>
      <c r="T428" s="132"/>
      <c r="U428" s="132"/>
      <c r="V428" s="132"/>
      <c r="W428" s="132"/>
      <c r="X428" s="132"/>
      <c r="Y428" s="132"/>
      <c r="Z428" s="132"/>
    </row>
    <row r="429" spans="1:26" ht="11.25" customHeight="1" x14ac:dyDescent="0.3">
      <c r="A429" s="132"/>
      <c r="B429" s="132"/>
      <c r="C429" s="132"/>
      <c r="D429" s="132"/>
      <c r="E429" s="132"/>
      <c r="F429" s="132"/>
      <c r="G429" s="132"/>
      <c r="H429" s="132"/>
      <c r="I429" s="132"/>
      <c r="J429" s="132"/>
      <c r="K429" s="132"/>
      <c r="L429" s="132"/>
      <c r="M429" s="132"/>
      <c r="N429" s="132"/>
      <c r="O429" s="132"/>
      <c r="P429" s="132"/>
      <c r="Q429" s="132"/>
      <c r="R429" s="132"/>
      <c r="S429" s="132"/>
      <c r="T429" s="132"/>
      <c r="U429" s="132"/>
      <c r="V429" s="132"/>
      <c r="W429" s="132"/>
      <c r="X429" s="132"/>
      <c r="Y429" s="132"/>
      <c r="Z429" s="132"/>
    </row>
    <row r="430" spans="1:26" ht="11.25" customHeight="1" x14ac:dyDescent="0.3">
      <c r="A430" s="132"/>
      <c r="B430" s="132"/>
      <c r="C430" s="132"/>
      <c r="D430" s="132"/>
      <c r="E430" s="132"/>
      <c r="F430" s="132"/>
      <c r="G430" s="132"/>
      <c r="H430" s="132"/>
      <c r="I430" s="132"/>
      <c r="J430" s="132"/>
      <c r="K430" s="132"/>
      <c r="L430" s="132"/>
      <c r="M430" s="132"/>
      <c r="N430" s="132"/>
      <c r="O430" s="132"/>
      <c r="P430" s="132"/>
      <c r="Q430" s="132"/>
      <c r="R430" s="132"/>
      <c r="S430" s="132"/>
      <c r="T430" s="132"/>
      <c r="U430" s="132"/>
      <c r="V430" s="132"/>
      <c r="W430" s="132"/>
      <c r="X430" s="132"/>
      <c r="Y430" s="132"/>
      <c r="Z430" s="132"/>
    </row>
    <row r="431" spans="1:26" ht="11.25" customHeight="1" x14ac:dyDescent="0.3">
      <c r="A431" s="132"/>
      <c r="B431" s="132"/>
      <c r="C431" s="132"/>
      <c r="D431" s="132"/>
      <c r="E431" s="132"/>
      <c r="F431" s="132"/>
      <c r="G431" s="132"/>
      <c r="H431" s="132"/>
      <c r="I431" s="132"/>
      <c r="J431" s="132"/>
      <c r="K431" s="132"/>
      <c r="L431" s="132"/>
      <c r="M431" s="132"/>
      <c r="N431" s="132"/>
      <c r="O431" s="132"/>
      <c r="P431" s="132"/>
      <c r="Q431" s="132"/>
      <c r="R431" s="132"/>
      <c r="S431" s="132"/>
      <c r="T431" s="132"/>
      <c r="U431" s="132"/>
      <c r="V431" s="132"/>
      <c r="W431" s="132"/>
      <c r="X431" s="132"/>
      <c r="Y431" s="132"/>
      <c r="Z431" s="132"/>
    </row>
    <row r="432" spans="1:26" ht="11.25" customHeight="1" x14ac:dyDescent="0.3">
      <c r="A432" s="132"/>
      <c r="B432" s="132"/>
      <c r="C432" s="132"/>
      <c r="D432" s="132"/>
      <c r="E432" s="132"/>
      <c r="F432" s="132"/>
      <c r="G432" s="132"/>
      <c r="H432" s="132"/>
      <c r="I432" s="132"/>
      <c r="J432" s="132"/>
      <c r="K432" s="132"/>
      <c r="L432" s="132"/>
      <c r="M432" s="132"/>
      <c r="N432" s="132"/>
      <c r="O432" s="132"/>
      <c r="P432" s="132"/>
      <c r="Q432" s="132"/>
      <c r="R432" s="132"/>
      <c r="S432" s="132"/>
      <c r="T432" s="132"/>
      <c r="U432" s="132"/>
      <c r="V432" s="132"/>
      <c r="W432" s="132"/>
      <c r="X432" s="132"/>
      <c r="Y432" s="132"/>
      <c r="Z432" s="132"/>
    </row>
    <row r="433" spans="1:26" ht="11.25" customHeight="1" x14ac:dyDescent="0.3">
      <c r="A433" s="132"/>
      <c r="B433" s="132"/>
      <c r="C433" s="132"/>
      <c r="D433" s="132"/>
      <c r="E433" s="132"/>
      <c r="F433" s="132"/>
      <c r="G433" s="132"/>
      <c r="H433" s="132"/>
      <c r="I433" s="132"/>
      <c r="J433" s="132"/>
      <c r="K433" s="132"/>
      <c r="L433" s="132"/>
      <c r="M433" s="132"/>
      <c r="N433" s="132"/>
      <c r="O433" s="132"/>
      <c r="P433" s="132"/>
      <c r="Q433" s="132"/>
      <c r="R433" s="132"/>
      <c r="S433" s="132"/>
      <c r="T433" s="132"/>
      <c r="U433" s="132"/>
      <c r="V433" s="132"/>
      <c r="W433" s="132"/>
      <c r="X433" s="132"/>
      <c r="Y433" s="132"/>
      <c r="Z433" s="132"/>
    </row>
    <row r="434" spans="1:26" ht="11.25" customHeight="1" x14ac:dyDescent="0.3">
      <c r="A434" s="132"/>
      <c r="B434" s="132"/>
      <c r="C434" s="132"/>
      <c r="D434" s="132"/>
      <c r="E434" s="132"/>
      <c r="F434" s="132"/>
      <c r="G434" s="132"/>
      <c r="H434" s="132"/>
      <c r="I434" s="132"/>
      <c r="J434" s="132"/>
      <c r="K434" s="132"/>
      <c r="L434" s="132"/>
      <c r="M434" s="132"/>
      <c r="N434" s="132"/>
      <c r="O434" s="132"/>
      <c r="P434" s="132"/>
      <c r="Q434" s="132"/>
      <c r="R434" s="132"/>
      <c r="S434" s="132"/>
      <c r="T434" s="132"/>
      <c r="U434" s="132"/>
      <c r="V434" s="132"/>
      <c r="W434" s="132"/>
      <c r="X434" s="132"/>
      <c r="Y434" s="132"/>
      <c r="Z434" s="132"/>
    </row>
    <row r="435" spans="1:26" ht="11.25" customHeight="1" x14ac:dyDescent="0.3">
      <c r="A435" s="132"/>
      <c r="B435" s="132"/>
      <c r="C435" s="132"/>
      <c r="D435" s="132"/>
      <c r="E435" s="132"/>
      <c r="F435" s="132"/>
      <c r="G435" s="132"/>
      <c r="H435" s="132"/>
      <c r="I435" s="132"/>
      <c r="J435" s="132"/>
      <c r="K435" s="132"/>
      <c r="L435" s="132"/>
      <c r="M435" s="132"/>
      <c r="N435" s="132"/>
      <c r="O435" s="132"/>
      <c r="P435" s="132"/>
      <c r="Q435" s="132"/>
      <c r="R435" s="132"/>
      <c r="S435" s="132"/>
      <c r="T435" s="132"/>
      <c r="U435" s="132"/>
      <c r="V435" s="132"/>
      <c r="W435" s="132"/>
      <c r="X435" s="132"/>
      <c r="Y435" s="132"/>
      <c r="Z435" s="132"/>
    </row>
    <row r="436" spans="1:26" ht="11.25" customHeight="1" x14ac:dyDescent="0.3">
      <c r="A436" s="132"/>
      <c r="B436" s="132"/>
      <c r="C436" s="132"/>
      <c r="D436" s="132"/>
      <c r="E436" s="132"/>
      <c r="F436" s="132"/>
      <c r="G436" s="132"/>
      <c r="H436" s="132"/>
      <c r="I436" s="132"/>
      <c r="J436" s="132"/>
      <c r="K436" s="132"/>
      <c r="L436" s="132"/>
      <c r="M436" s="132"/>
      <c r="N436" s="132"/>
      <c r="O436" s="132"/>
      <c r="P436" s="132"/>
      <c r="Q436" s="132"/>
      <c r="R436" s="132"/>
      <c r="S436" s="132"/>
      <c r="T436" s="132"/>
      <c r="U436" s="132"/>
      <c r="V436" s="132"/>
      <c r="W436" s="132"/>
      <c r="X436" s="132"/>
      <c r="Y436" s="132"/>
      <c r="Z436" s="132"/>
    </row>
    <row r="437" spans="1:26" ht="11.25" customHeight="1" x14ac:dyDescent="0.3">
      <c r="A437" s="132"/>
      <c r="B437" s="132"/>
      <c r="C437" s="132"/>
      <c r="D437" s="132"/>
      <c r="E437" s="132"/>
      <c r="F437" s="132"/>
      <c r="G437" s="132"/>
      <c r="H437" s="132"/>
      <c r="I437" s="132"/>
      <c r="J437" s="132"/>
      <c r="K437" s="132"/>
      <c r="L437" s="132"/>
      <c r="M437" s="132"/>
      <c r="N437" s="132"/>
      <c r="O437" s="132"/>
      <c r="P437" s="132"/>
      <c r="Q437" s="132"/>
      <c r="R437" s="132"/>
      <c r="S437" s="132"/>
      <c r="T437" s="132"/>
      <c r="U437" s="132"/>
      <c r="V437" s="132"/>
      <c r="W437" s="132"/>
      <c r="X437" s="132"/>
      <c r="Y437" s="132"/>
      <c r="Z437" s="132"/>
    </row>
    <row r="438" spans="1:26" ht="11.25" customHeight="1" x14ac:dyDescent="0.3">
      <c r="A438" s="132"/>
      <c r="B438" s="132"/>
      <c r="C438" s="132"/>
      <c r="D438" s="132"/>
      <c r="E438" s="132"/>
      <c r="F438" s="132"/>
      <c r="G438" s="132"/>
      <c r="H438" s="132"/>
      <c r="I438" s="132"/>
      <c r="J438" s="132"/>
      <c r="K438" s="132"/>
      <c r="L438" s="132"/>
      <c r="M438" s="132"/>
      <c r="N438" s="132"/>
      <c r="O438" s="132"/>
      <c r="P438" s="132"/>
      <c r="Q438" s="132"/>
      <c r="R438" s="132"/>
      <c r="S438" s="132"/>
      <c r="T438" s="132"/>
      <c r="U438" s="132"/>
      <c r="V438" s="132"/>
      <c r="W438" s="132"/>
      <c r="X438" s="132"/>
      <c r="Y438" s="132"/>
      <c r="Z438" s="132"/>
    </row>
    <row r="439" spans="1:26" ht="11.25" customHeight="1" x14ac:dyDescent="0.3">
      <c r="A439" s="132"/>
      <c r="B439" s="132"/>
      <c r="C439" s="132"/>
      <c r="D439" s="132"/>
      <c r="E439" s="132"/>
      <c r="F439" s="132"/>
      <c r="G439" s="132"/>
      <c r="H439" s="132"/>
      <c r="I439" s="132"/>
      <c r="J439" s="132"/>
      <c r="K439" s="132"/>
      <c r="L439" s="132"/>
      <c r="M439" s="132"/>
      <c r="N439" s="132"/>
      <c r="O439" s="132"/>
      <c r="P439" s="132"/>
      <c r="Q439" s="132"/>
      <c r="R439" s="132"/>
      <c r="S439" s="132"/>
      <c r="T439" s="132"/>
      <c r="U439" s="132"/>
      <c r="V439" s="132"/>
      <c r="W439" s="132"/>
      <c r="X439" s="132"/>
      <c r="Y439" s="132"/>
      <c r="Z439" s="132"/>
    </row>
    <row r="440" spans="1:26" ht="11.25" customHeight="1" x14ac:dyDescent="0.3">
      <c r="A440" s="132"/>
      <c r="B440" s="132"/>
      <c r="C440" s="132"/>
      <c r="D440" s="132"/>
      <c r="E440" s="132"/>
      <c r="F440" s="132"/>
      <c r="G440" s="132"/>
      <c r="H440" s="132"/>
      <c r="I440" s="132"/>
      <c r="J440" s="132"/>
      <c r="K440" s="132"/>
      <c r="L440" s="132"/>
      <c r="M440" s="132"/>
      <c r="N440" s="132"/>
      <c r="O440" s="132"/>
      <c r="P440" s="132"/>
      <c r="Q440" s="132"/>
      <c r="R440" s="132"/>
      <c r="S440" s="132"/>
      <c r="T440" s="132"/>
      <c r="U440" s="132"/>
      <c r="V440" s="132"/>
      <c r="W440" s="132"/>
      <c r="X440" s="132"/>
      <c r="Y440" s="132"/>
      <c r="Z440" s="132"/>
    </row>
    <row r="441" spans="1:26" ht="11.25" customHeight="1" x14ac:dyDescent="0.3">
      <c r="A441" s="132"/>
      <c r="B441" s="132"/>
      <c r="C441" s="132"/>
      <c r="D441" s="132"/>
      <c r="E441" s="132"/>
      <c r="F441" s="132"/>
      <c r="G441" s="132"/>
      <c r="H441" s="132"/>
      <c r="I441" s="132"/>
      <c r="J441" s="132"/>
      <c r="K441" s="132"/>
      <c r="L441" s="132"/>
      <c r="M441" s="132"/>
      <c r="N441" s="132"/>
      <c r="O441" s="132"/>
      <c r="P441" s="132"/>
      <c r="Q441" s="132"/>
      <c r="R441" s="132"/>
      <c r="S441" s="132"/>
      <c r="T441" s="132"/>
      <c r="U441" s="132"/>
      <c r="V441" s="132"/>
      <c r="W441" s="132"/>
      <c r="X441" s="132"/>
      <c r="Y441" s="132"/>
      <c r="Z441" s="132"/>
    </row>
    <row r="442" spans="1:26" ht="11.25" customHeight="1" x14ac:dyDescent="0.3">
      <c r="A442" s="132"/>
      <c r="B442" s="132"/>
      <c r="C442" s="132"/>
      <c r="D442" s="132"/>
      <c r="E442" s="132"/>
      <c r="F442" s="132"/>
      <c r="G442" s="132"/>
      <c r="H442" s="132"/>
      <c r="I442" s="132"/>
      <c r="J442" s="132"/>
      <c r="K442" s="132"/>
      <c r="L442" s="132"/>
      <c r="M442" s="132"/>
      <c r="N442" s="132"/>
      <c r="O442" s="132"/>
      <c r="P442" s="132"/>
      <c r="Q442" s="132"/>
      <c r="R442" s="132"/>
      <c r="S442" s="132"/>
      <c r="T442" s="132"/>
      <c r="U442" s="132"/>
      <c r="V442" s="132"/>
      <c r="W442" s="132"/>
      <c r="X442" s="132"/>
      <c r="Y442" s="132"/>
      <c r="Z442" s="132"/>
    </row>
    <row r="443" spans="1:26" ht="11.25" customHeight="1" x14ac:dyDescent="0.3">
      <c r="A443" s="132"/>
      <c r="B443" s="132"/>
      <c r="C443" s="132"/>
      <c r="D443" s="132"/>
      <c r="E443" s="132"/>
      <c r="F443" s="132"/>
      <c r="G443" s="132"/>
      <c r="H443" s="132"/>
      <c r="I443" s="132"/>
      <c r="J443" s="132"/>
      <c r="K443" s="132"/>
      <c r="L443" s="132"/>
      <c r="M443" s="132"/>
      <c r="N443" s="132"/>
      <c r="O443" s="132"/>
      <c r="P443" s="132"/>
      <c r="Q443" s="132"/>
      <c r="R443" s="132"/>
      <c r="S443" s="132"/>
      <c r="T443" s="132"/>
      <c r="U443" s="132"/>
      <c r="V443" s="132"/>
      <c r="W443" s="132"/>
      <c r="X443" s="132"/>
      <c r="Y443" s="132"/>
      <c r="Z443" s="132"/>
    </row>
    <row r="444" spans="1:26" ht="11.25" customHeight="1" x14ac:dyDescent="0.3">
      <c r="A444" s="132"/>
      <c r="B444" s="132"/>
      <c r="C444" s="132"/>
      <c r="D444" s="132"/>
      <c r="E444" s="132"/>
      <c r="F444" s="132"/>
      <c r="G444" s="132"/>
      <c r="H444" s="132"/>
      <c r="I444" s="132"/>
      <c r="J444" s="132"/>
      <c r="K444" s="132"/>
      <c r="L444" s="132"/>
      <c r="M444" s="132"/>
      <c r="N444" s="132"/>
      <c r="O444" s="132"/>
      <c r="P444" s="132"/>
      <c r="Q444" s="132"/>
      <c r="R444" s="132"/>
      <c r="S444" s="132"/>
      <c r="T444" s="132"/>
      <c r="U444" s="132"/>
      <c r="V444" s="132"/>
      <c r="W444" s="132"/>
      <c r="X444" s="132"/>
      <c r="Y444" s="132"/>
      <c r="Z444" s="132"/>
    </row>
    <row r="445" spans="1:26" ht="11.25" customHeight="1" x14ac:dyDescent="0.3">
      <c r="A445" s="132"/>
      <c r="B445" s="132"/>
      <c r="C445" s="132"/>
      <c r="D445" s="132"/>
      <c r="E445" s="132"/>
      <c r="F445" s="132"/>
      <c r="G445" s="132"/>
      <c r="H445" s="132"/>
      <c r="I445" s="132"/>
      <c r="J445" s="132"/>
      <c r="K445" s="132"/>
      <c r="L445" s="132"/>
      <c r="M445" s="132"/>
      <c r="N445" s="132"/>
      <c r="O445" s="132"/>
      <c r="P445" s="132"/>
      <c r="Q445" s="132"/>
      <c r="R445" s="132"/>
      <c r="S445" s="132"/>
      <c r="T445" s="132"/>
      <c r="U445" s="132"/>
      <c r="V445" s="132"/>
      <c r="W445" s="132"/>
      <c r="X445" s="132"/>
      <c r="Y445" s="132"/>
      <c r="Z445" s="132"/>
    </row>
    <row r="446" spans="1:26" ht="11.25" customHeight="1" x14ac:dyDescent="0.3">
      <c r="A446" s="132"/>
      <c r="B446" s="132"/>
      <c r="C446" s="132"/>
      <c r="D446" s="132"/>
      <c r="E446" s="132"/>
      <c r="F446" s="132"/>
      <c r="G446" s="132"/>
      <c r="H446" s="132"/>
      <c r="I446" s="132"/>
      <c r="J446" s="132"/>
      <c r="K446" s="132"/>
      <c r="L446" s="132"/>
      <c r="M446" s="132"/>
      <c r="N446" s="132"/>
      <c r="O446" s="132"/>
      <c r="P446" s="132"/>
      <c r="Q446" s="132"/>
      <c r="R446" s="132"/>
      <c r="S446" s="132"/>
      <c r="T446" s="132"/>
      <c r="U446" s="132"/>
      <c r="V446" s="132"/>
      <c r="W446" s="132"/>
      <c r="X446" s="132"/>
      <c r="Y446" s="132"/>
      <c r="Z446" s="132"/>
    </row>
    <row r="447" spans="1:26" ht="11.25" customHeight="1" x14ac:dyDescent="0.3">
      <c r="A447" s="132"/>
      <c r="B447" s="132"/>
      <c r="C447" s="132"/>
      <c r="D447" s="132"/>
      <c r="E447" s="132"/>
      <c r="F447" s="132"/>
      <c r="G447" s="132"/>
      <c r="H447" s="132"/>
      <c r="I447" s="132"/>
      <c r="J447" s="132"/>
      <c r="K447" s="132"/>
      <c r="L447" s="132"/>
      <c r="M447" s="132"/>
      <c r="N447" s="132"/>
      <c r="O447" s="132"/>
      <c r="P447" s="132"/>
      <c r="Q447" s="132"/>
      <c r="R447" s="132"/>
      <c r="S447" s="132"/>
      <c r="T447" s="132"/>
      <c r="U447" s="132"/>
      <c r="V447" s="132"/>
      <c r="W447" s="132"/>
      <c r="X447" s="132"/>
      <c r="Y447" s="132"/>
      <c r="Z447" s="132"/>
    </row>
    <row r="448" spans="1:26" ht="11.25" customHeight="1" x14ac:dyDescent="0.3">
      <c r="A448" s="132"/>
      <c r="B448" s="132"/>
      <c r="C448" s="132"/>
      <c r="D448" s="132"/>
      <c r="E448" s="132"/>
      <c r="F448" s="132"/>
      <c r="G448" s="132"/>
      <c r="H448" s="132"/>
      <c r="I448" s="132"/>
      <c r="J448" s="132"/>
      <c r="K448" s="132"/>
      <c r="L448" s="132"/>
      <c r="M448" s="132"/>
      <c r="N448" s="132"/>
      <c r="O448" s="132"/>
      <c r="P448" s="132"/>
      <c r="Q448" s="132"/>
      <c r="R448" s="132"/>
      <c r="S448" s="132"/>
      <c r="T448" s="132"/>
      <c r="U448" s="132"/>
      <c r="V448" s="132"/>
      <c r="W448" s="132"/>
      <c r="X448" s="132"/>
      <c r="Y448" s="132"/>
      <c r="Z448" s="132"/>
    </row>
    <row r="449" spans="1:26" ht="11.25" customHeight="1" x14ac:dyDescent="0.3">
      <c r="A449" s="132"/>
      <c r="B449" s="132"/>
      <c r="C449" s="132"/>
      <c r="D449" s="132"/>
      <c r="E449" s="132"/>
      <c r="F449" s="132"/>
      <c r="G449" s="132"/>
      <c r="H449" s="132"/>
      <c r="I449" s="132"/>
      <c r="J449" s="132"/>
      <c r="K449" s="132"/>
      <c r="L449" s="132"/>
      <c r="M449" s="132"/>
      <c r="N449" s="132"/>
      <c r="O449" s="132"/>
      <c r="P449" s="132"/>
      <c r="Q449" s="132"/>
      <c r="R449" s="132"/>
      <c r="S449" s="132"/>
      <c r="T449" s="132"/>
      <c r="U449" s="132"/>
      <c r="V449" s="132"/>
      <c r="W449" s="132"/>
      <c r="X449" s="132"/>
      <c r="Y449" s="132"/>
      <c r="Z449" s="132"/>
    </row>
    <row r="450" spans="1:26" ht="11.25" customHeight="1" x14ac:dyDescent="0.3">
      <c r="A450" s="132"/>
      <c r="B450" s="132"/>
      <c r="C450" s="132"/>
      <c r="D450" s="132"/>
      <c r="E450" s="132"/>
      <c r="F450" s="132"/>
      <c r="G450" s="132"/>
      <c r="H450" s="132"/>
      <c r="I450" s="132"/>
      <c r="J450" s="132"/>
      <c r="K450" s="132"/>
      <c r="L450" s="132"/>
      <c r="M450" s="132"/>
      <c r="N450" s="132"/>
      <c r="O450" s="132"/>
      <c r="P450" s="132"/>
      <c r="Q450" s="132"/>
      <c r="R450" s="132"/>
      <c r="S450" s="132"/>
      <c r="T450" s="132"/>
      <c r="U450" s="132"/>
      <c r="V450" s="132"/>
      <c r="W450" s="132"/>
      <c r="X450" s="132"/>
      <c r="Y450" s="132"/>
      <c r="Z450" s="132"/>
    </row>
    <row r="451" spans="1:26" ht="11.25" customHeight="1" x14ac:dyDescent="0.3">
      <c r="A451" s="132"/>
      <c r="B451" s="132"/>
      <c r="C451" s="132"/>
      <c r="D451" s="132"/>
      <c r="E451" s="132"/>
      <c r="F451" s="132"/>
      <c r="G451" s="132"/>
      <c r="H451" s="132"/>
      <c r="I451" s="132"/>
      <c r="J451" s="132"/>
      <c r="K451" s="132"/>
      <c r="L451" s="132"/>
      <c r="M451" s="132"/>
      <c r="N451" s="132"/>
      <c r="O451" s="132"/>
      <c r="P451" s="132"/>
      <c r="Q451" s="132"/>
      <c r="R451" s="132"/>
      <c r="S451" s="132"/>
      <c r="T451" s="132"/>
      <c r="U451" s="132"/>
      <c r="V451" s="132"/>
      <c r="W451" s="132"/>
      <c r="X451" s="132"/>
      <c r="Y451" s="132"/>
      <c r="Z451" s="132"/>
    </row>
    <row r="452" spans="1:26" ht="11.25" customHeight="1" x14ac:dyDescent="0.3">
      <c r="A452" s="132"/>
      <c r="B452" s="132"/>
      <c r="C452" s="132"/>
      <c r="D452" s="132"/>
      <c r="E452" s="132"/>
      <c r="F452" s="132"/>
      <c r="G452" s="132"/>
      <c r="H452" s="132"/>
      <c r="I452" s="132"/>
      <c r="J452" s="132"/>
      <c r="K452" s="132"/>
      <c r="L452" s="132"/>
      <c r="M452" s="132"/>
      <c r="N452" s="132"/>
      <c r="O452" s="132"/>
      <c r="P452" s="132"/>
      <c r="Q452" s="132"/>
      <c r="R452" s="132"/>
      <c r="S452" s="132"/>
      <c r="T452" s="132"/>
      <c r="U452" s="132"/>
      <c r="V452" s="132"/>
      <c r="W452" s="132"/>
      <c r="X452" s="132"/>
      <c r="Y452" s="132"/>
      <c r="Z452" s="132"/>
    </row>
    <row r="453" spans="1:26" ht="11.25" customHeight="1" x14ac:dyDescent="0.3">
      <c r="A453" s="132"/>
      <c r="B453" s="132"/>
      <c r="C453" s="132"/>
      <c r="D453" s="132"/>
      <c r="E453" s="132"/>
      <c r="F453" s="132"/>
      <c r="G453" s="132"/>
      <c r="H453" s="132"/>
      <c r="I453" s="132"/>
      <c r="J453" s="132"/>
      <c r="K453" s="132"/>
      <c r="L453" s="132"/>
      <c r="M453" s="132"/>
      <c r="N453" s="132"/>
      <c r="O453" s="132"/>
      <c r="P453" s="132"/>
      <c r="Q453" s="132"/>
      <c r="R453" s="132"/>
      <c r="S453" s="132"/>
      <c r="T453" s="132"/>
      <c r="U453" s="132"/>
      <c r="V453" s="132"/>
      <c r="W453" s="132"/>
      <c r="X453" s="132"/>
      <c r="Y453" s="132"/>
      <c r="Z453" s="132"/>
    </row>
    <row r="454" spans="1:26" ht="11.25" customHeight="1" x14ac:dyDescent="0.3">
      <c r="A454" s="132"/>
      <c r="B454" s="132"/>
      <c r="C454" s="132"/>
      <c r="D454" s="132"/>
      <c r="E454" s="132"/>
      <c r="F454" s="132"/>
      <c r="G454" s="132"/>
      <c r="H454" s="132"/>
      <c r="I454" s="132"/>
      <c r="J454" s="132"/>
      <c r="K454" s="132"/>
      <c r="L454" s="132"/>
      <c r="M454" s="132"/>
      <c r="N454" s="132"/>
      <c r="O454" s="132"/>
      <c r="P454" s="132"/>
      <c r="Q454" s="132"/>
      <c r="R454" s="132"/>
      <c r="S454" s="132"/>
      <c r="T454" s="132"/>
      <c r="U454" s="132"/>
      <c r="V454" s="132"/>
      <c r="W454" s="132"/>
      <c r="X454" s="132"/>
      <c r="Y454" s="132"/>
      <c r="Z454" s="132"/>
    </row>
    <row r="455" spans="1:26" ht="11.25" customHeight="1" x14ac:dyDescent="0.3">
      <c r="A455" s="132"/>
      <c r="B455" s="132"/>
      <c r="C455" s="132"/>
      <c r="D455" s="132"/>
      <c r="E455" s="132"/>
      <c r="F455" s="132"/>
      <c r="G455" s="132"/>
      <c r="H455" s="132"/>
      <c r="I455" s="132"/>
      <c r="J455" s="132"/>
      <c r="K455" s="132"/>
      <c r="L455" s="132"/>
      <c r="M455" s="132"/>
      <c r="N455" s="132"/>
      <c r="O455" s="132"/>
      <c r="P455" s="132"/>
      <c r="Q455" s="132"/>
      <c r="R455" s="132"/>
      <c r="S455" s="132"/>
      <c r="T455" s="132"/>
      <c r="U455" s="132"/>
      <c r="V455" s="132"/>
      <c r="W455" s="132"/>
      <c r="X455" s="132"/>
      <c r="Y455" s="132"/>
      <c r="Z455" s="132"/>
    </row>
    <row r="456" spans="1:26" ht="11.25" customHeight="1" x14ac:dyDescent="0.3">
      <c r="A456" s="132"/>
      <c r="B456" s="132"/>
      <c r="C456" s="132"/>
      <c r="D456" s="132"/>
      <c r="E456" s="132"/>
      <c r="F456" s="132"/>
      <c r="G456" s="132"/>
      <c r="H456" s="132"/>
      <c r="I456" s="132"/>
      <c r="J456" s="132"/>
      <c r="K456" s="132"/>
      <c r="L456" s="132"/>
      <c r="M456" s="132"/>
      <c r="N456" s="132"/>
      <c r="O456" s="132"/>
      <c r="P456" s="132"/>
      <c r="Q456" s="132"/>
      <c r="R456" s="132"/>
      <c r="S456" s="132"/>
      <c r="T456" s="132"/>
      <c r="U456" s="132"/>
      <c r="V456" s="132"/>
      <c r="W456" s="132"/>
      <c r="X456" s="132"/>
      <c r="Y456" s="132"/>
      <c r="Z456" s="132"/>
    </row>
    <row r="457" spans="1:26" ht="11.25" customHeight="1" x14ac:dyDescent="0.3">
      <c r="A457" s="132"/>
      <c r="B457" s="132"/>
      <c r="C457" s="132"/>
      <c r="D457" s="132"/>
      <c r="E457" s="132"/>
      <c r="F457" s="132"/>
      <c r="G457" s="132"/>
      <c r="H457" s="132"/>
      <c r="I457" s="132"/>
      <c r="J457" s="132"/>
      <c r="K457" s="132"/>
      <c r="L457" s="132"/>
      <c r="M457" s="132"/>
      <c r="N457" s="132"/>
      <c r="O457" s="132"/>
      <c r="P457" s="132"/>
      <c r="Q457" s="132"/>
      <c r="R457" s="132"/>
      <c r="S457" s="132"/>
      <c r="T457" s="132"/>
      <c r="U457" s="132"/>
      <c r="V457" s="132"/>
      <c r="W457" s="132"/>
      <c r="X457" s="132"/>
      <c r="Y457" s="132"/>
      <c r="Z457" s="132"/>
    </row>
    <row r="458" spans="1:26" ht="11.25" customHeight="1" x14ac:dyDescent="0.3">
      <c r="A458" s="132"/>
      <c r="B458" s="132"/>
      <c r="C458" s="132"/>
      <c r="D458" s="132"/>
      <c r="E458" s="132"/>
      <c r="F458" s="132"/>
      <c r="G458" s="132"/>
      <c r="H458" s="132"/>
      <c r="I458" s="132"/>
      <c r="J458" s="132"/>
      <c r="K458" s="132"/>
      <c r="L458" s="132"/>
      <c r="M458" s="132"/>
      <c r="N458" s="132"/>
      <c r="O458" s="132"/>
      <c r="P458" s="132"/>
      <c r="Q458" s="132"/>
      <c r="R458" s="132"/>
      <c r="S458" s="132"/>
      <c r="T458" s="132"/>
      <c r="U458" s="132"/>
      <c r="V458" s="132"/>
      <c r="W458" s="132"/>
      <c r="X458" s="132"/>
      <c r="Y458" s="132"/>
      <c r="Z458" s="132"/>
    </row>
    <row r="459" spans="1:26" ht="11.25" customHeight="1" x14ac:dyDescent="0.3">
      <c r="A459" s="132"/>
      <c r="B459" s="132"/>
      <c r="C459" s="132"/>
      <c r="D459" s="132"/>
      <c r="E459" s="132"/>
      <c r="F459" s="132"/>
      <c r="G459" s="132"/>
      <c r="H459" s="132"/>
      <c r="I459" s="132"/>
      <c r="J459" s="132"/>
      <c r="K459" s="132"/>
      <c r="L459" s="132"/>
      <c r="M459" s="132"/>
      <c r="N459" s="132"/>
      <c r="O459" s="132"/>
      <c r="P459" s="132"/>
      <c r="Q459" s="132"/>
      <c r="R459" s="132"/>
      <c r="S459" s="132"/>
      <c r="T459" s="132"/>
      <c r="U459" s="132"/>
      <c r="V459" s="132"/>
      <c r="W459" s="132"/>
      <c r="X459" s="132"/>
      <c r="Y459" s="132"/>
      <c r="Z459" s="132"/>
    </row>
    <row r="460" spans="1:26" ht="11.25" customHeight="1" x14ac:dyDescent="0.3">
      <c r="A460" s="132"/>
      <c r="B460" s="132"/>
      <c r="C460" s="132"/>
      <c r="D460" s="132"/>
      <c r="E460" s="132"/>
      <c r="F460" s="132"/>
      <c r="G460" s="132"/>
      <c r="H460" s="132"/>
      <c r="I460" s="132"/>
      <c r="J460" s="132"/>
      <c r="K460" s="132"/>
      <c r="L460" s="132"/>
      <c r="M460" s="132"/>
      <c r="N460" s="132"/>
      <c r="O460" s="132"/>
      <c r="P460" s="132"/>
      <c r="Q460" s="132"/>
      <c r="R460" s="132"/>
      <c r="S460" s="132"/>
      <c r="T460" s="132"/>
      <c r="U460" s="132"/>
      <c r="V460" s="132"/>
      <c r="W460" s="132"/>
      <c r="X460" s="132"/>
      <c r="Y460" s="132"/>
      <c r="Z460" s="132"/>
    </row>
    <row r="461" spans="1:26" ht="11.25" customHeight="1" x14ac:dyDescent="0.3">
      <c r="A461" s="132"/>
      <c r="B461" s="132"/>
      <c r="C461" s="132"/>
      <c r="D461" s="132"/>
      <c r="E461" s="132"/>
      <c r="F461" s="132"/>
      <c r="G461" s="132"/>
      <c r="H461" s="132"/>
      <c r="I461" s="132"/>
      <c r="J461" s="132"/>
      <c r="K461" s="132"/>
      <c r="L461" s="132"/>
      <c r="M461" s="132"/>
      <c r="N461" s="132"/>
      <c r="O461" s="132"/>
      <c r="P461" s="132"/>
      <c r="Q461" s="132"/>
      <c r="R461" s="132"/>
      <c r="S461" s="132"/>
      <c r="T461" s="132"/>
      <c r="U461" s="132"/>
      <c r="V461" s="132"/>
      <c r="W461" s="132"/>
      <c r="X461" s="132"/>
      <c r="Y461" s="132"/>
      <c r="Z461" s="132"/>
    </row>
    <row r="462" spans="1:26" ht="11.25" customHeight="1" x14ac:dyDescent="0.3">
      <c r="A462" s="132"/>
      <c r="B462" s="132"/>
      <c r="C462" s="132"/>
      <c r="D462" s="132"/>
      <c r="E462" s="132"/>
      <c r="F462" s="132"/>
      <c r="G462" s="132"/>
      <c r="H462" s="132"/>
      <c r="I462" s="132"/>
      <c r="J462" s="132"/>
      <c r="K462" s="132"/>
      <c r="L462" s="132"/>
      <c r="M462" s="132"/>
      <c r="N462" s="132"/>
      <c r="O462" s="132"/>
      <c r="P462" s="132"/>
      <c r="Q462" s="132"/>
      <c r="R462" s="132"/>
      <c r="S462" s="132"/>
      <c r="T462" s="132"/>
      <c r="U462" s="132"/>
      <c r="V462" s="132"/>
      <c r="W462" s="132"/>
      <c r="X462" s="132"/>
      <c r="Y462" s="132"/>
      <c r="Z462" s="132"/>
    </row>
    <row r="463" spans="1:26" ht="11.25" customHeight="1" x14ac:dyDescent="0.3">
      <c r="A463" s="132"/>
      <c r="B463" s="132"/>
      <c r="C463" s="132"/>
      <c r="D463" s="132"/>
      <c r="E463" s="132"/>
      <c r="F463" s="132"/>
      <c r="G463" s="132"/>
      <c r="H463" s="132"/>
      <c r="I463" s="132"/>
      <c r="J463" s="132"/>
      <c r="K463" s="132"/>
      <c r="L463" s="132"/>
      <c r="M463" s="132"/>
      <c r="N463" s="132"/>
      <c r="O463" s="132"/>
      <c r="P463" s="132"/>
      <c r="Q463" s="132"/>
      <c r="R463" s="132"/>
      <c r="S463" s="132"/>
      <c r="T463" s="132"/>
      <c r="U463" s="132"/>
      <c r="V463" s="132"/>
      <c r="W463" s="132"/>
      <c r="X463" s="132"/>
      <c r="Y463" s="132"/>
      <c r="Z463" s="132"/>
    </row>
    <row r="464" spans="1:26" ht="11.25" customHeight="1" x14ac:dyDescent="0.3">
      <c r="A464" s="132"/>
      <c r="B464" s="132"/>
      <c r="C464" s="132"/>
      <c r="D464" s="132"/>
      <c r="E464" s="132"/>
      <c r="F464" s="132"/>
      <c r="G464" s="132"/>
      <c r="H464" s="132"/>
      <c r="I464" s="132"/>
      <c r="J464" s="132"/>
      <c r="K464" s="132"/>
      <c r="L464" s="132"/>
      <c r="M464" s="132"/>
      <c r="N464" s="132"/>
      <c r="O464" s="132"/>
      <c r="P464" s="132"/>
      <c r="Q464" s="132"/>
      <c r="R464" s="132"/>
      <c r="S464" s="132"/>
      <c r="T464" s="132"/>
      <c r="U464" s="132"/>
      <c r="V464" s="132"/>
      <c r="W464" s="132"/>
      <c r="X464" s="132"/>
      <c r="Y464" s="132"/>
      <c r="Z464" s="132"/>
    </row>
    <row r="465" spans="1:26" ht="11.25" customHeight="1" x14ac:dyDescent="0.3">
      <c r="A465" s="132"/>
      <c r="B465" s="132"/>
      <c r="C465" s="132"/>
      <c r="D465" s="132"/>
      <c r="E465" s="132"/>
      <c r="F465" s="132"/>
      <c r="G465" s="132"/>
      <c r="H465" s="132"/>
      <c r="I465" s="132"/>
      <c r="J465" s="132"/>
      <c r="K465" s="132"/>
      <c r="L465" s="132"/>
      <c r="M465" s="132"/>
      <c r="N465" s="132"/>
      <c r="O465" s="132"/>
      <c r="P465" s="132"/>
      <c r="Q465" s="132"/>
      <c r="R465" s="132"/>
      <c r="S465" s="132"/>
      <c r="T465" s="132"/>
      <c r="U465" s="132"/>
      <c r="V465" s="132"/>
      <c r="W465" s="132"/>
      <c r="X465" s="132"/>
      <c r="Y465" s="132"/>
      <c r="Z465" s="132"/>
    </row>
    <row r="466" spans="1:26" ht="11.25" customHeight="1" x14ac:dyDescent="0.3">
      <c r="A466" s="132"/>
      <c r="B466" s="132"/>
      <c r="C466" s="132"/>
      <c r="D466" s="132"/>
      <c r="E466" s="132"/>
      <c r="F466" s="132"/>
      <c r="G466" s="132"/>
      <c r="H466" s="132"/>
      <c r="I466" s="132"/>
      <c r="J466" s="132"/>
      <c r="K466" s="132"/>
      <c r="L466" s="132"/>
      <c r="M466" s="132"/>
      <c r="N466" s="132"/>
      <c r="O466" s="132"/>
      <c r="P466" s="132"/>
      <c r="Q466" s="132"/>
      <c r="R466" s="132"/>
      <c r="S466" s="132"/>
      <c r="T466" s="132"/>
      <c r="U466" s="132"/>
      <c r="V466" s="132"/>
      <c r="W466" s="132"/>
      <c r="X466" s="132"/>
      <c r="Y466" s="132"/>
      <c r="Z466" s="132"/>
    </row>
    <row r="467" spans="1:26" ht="11.25" customHeight="1" x14ac:dyDescent="0.3">
      <c r="A467" s="132"/>
      <c r="B467" s="132"/>
      <c r="C467" s="132"/>
      <c r="D467" s="132"/>
      <c r="E467" s="132"/>
      <c r="F467" s="132"/>
      <c r="G467" s="132"/>
      <c r="H467" s="132"/>
      <c r="I467" s="132"/>
      <c r="J467" s="132"/>
      <c r="K467" s="132"/>
      <c r="L467" s="132"/>
      <c r="M467" s="132"/>
      <c r="N467" s="132"/>
      <c r="O467" s="132"/>
      <c r="P467" s="132"/>
      <c r="Q467" s="132"/>
      <c r="R467" s="132"/>
      <c r="S467" s="132"/>
      <c r="T467" s="132"/>
      <c r="U467" s="132"/>
      <c r="V467" s="132"/>
      <c r="W467" s="132"/>
      <c r="X467" s="132"/>
      <c r="Y467" s="132"/>
      <c r="Z467" s="132"/>
    </row>
    <row r="468" spans="1:26" ht="11.25" customHeight="1" x14ac:dyDescent="0.3">
      <c r="A468" s="132"/>
      <c r="B468" s="132"/>
      <c r="C468" s="132"/>
      <c r="D468" s="132"/>
      <c r="E468" s="132"/>
      <c r="F468" s="132"/>
      <c r="G468" s="132"/>
      <c r="H468" s="132"/>
      <c r="I468" s="132"/>
      <c r="J468" s="132"/>
      <c r="K468" s="132"/>
      <c r="L468" s="132"/>
      <c r="M468" s="132"/>
      <c r="N468" s="132"/>
      <c r="O468" s="132"/>
      <c r="P468" s="132"/>
      <c r="Q468" s="132"/>
      <c r="R468" s="132"/>
      <c r="S468" s="132"/>
      <c r="T468" s="132"/>
      <c r="U468" s="132"/>
      <c r="V468" s="132"/>
      <c r="W468" s="132"/>
      <c r="X468" s="132"/>
      <c r="Y468" s="132"/>
      <c r="Z468" s="132"/>
    </row>
    <row r="469" spans="1:26" ht="11.25" customHeight="1" x14ac:dyDescent="0.3">
      <c r="A469" s="132"/>
      <c r="B469" s="132"/>
      <c r="C469" s="132"/>
      <c r="D469" s="132"/>
      <c r="E469" s="132"/>
      <c r="F469" s="132"/>
      <c r="G469" s="132"/>
      <c r="H469" s="132"/>
      <c r="I469" s="132"/>
      <c r="J469" s="132"/>
      <c r="K469" s="132"/>
      <c r="L469" s="132"/>
      <c r="M469" s="132"/>
      <c r="N469" s="132"/>
      <c r="O469" s="132"/>
      <c r="P469" s="132"/>
      <c r="Q469" s="132"/>
      <c r="R469" s="132"/>
      <c r="S469" s="132"/>
      <c r="T469" s="132"/>
      <c r="U469" s="132"/>
      <c r="V469" s="132"/>
      <c r="W469" s="132"/>
      <c r="X469" s="132"/>
      <c r="Y469" s="132"/>
      <c r="Z469" s="132"/>
    </row>
    <row r="470" spans="1:26" ht="11.25" customHeight="1" x14ac:dyDescent="0.3">
      <c r="A470" s="132"/>
      <c r="B470" s="132"/>
      <c r="C470" s="132"/>
      <c r="D470" s="132"/>
      <c r="E470" s="132"/>
      <c r="F470" s="132"/>
      <c r="G470" s="132"/>
      <c r="H470" s="132"/>
      <c r="I470" s="132"/>
      <c r="J470" s="132"/>
      <c r="K470" s="132"/>
      <c r="L470" s="132"/>
      <c r="M470" s="132"/>
      <c r="N470" s="132"/>
      <c r="O470" s="132"/>
      <c r="P470" s="132"/>
      <c r="Q470" s="132"/>
      <c r="R470" s="132"/>
      <c r="S470" s="132"/>
      <c r="T470" s="132"/>
      <c r="U470" s="132"/>
      <c r="V470" s="132"/>
      <c r="W470" s="132"/>
      <c r="X470" s="132"/>
      <c r="Y470" s="132"/>
      <c r="Z470" s="132"/>
    </row>
    <row r="471" spans="1:26" ht="11.25" customHeight="1" x14ac:dyDescent="0.3">
      <c r="A471" s="132"/>
      <c r="B471" s="132"/>
      <c r="C471" s="132"/>
      <c r="D471" s="132"/>
      <c r="E471" s="132"/>
      <c r="F471" s="132"/>
      <c r="G471" s="132"/>
      <c r="H471" s="132"/>
      <c r="I471" s="132"/>
      <c r="J471" s="132"/>
      <c r="K471" s="132"/>
      <c r="L471" s="132"/>
      <c r="M471" s="132"/>
      <c r="N471" s="132"/>
      <c r="O471" s="132"/>
      <c r="P471" s="132"/>
      <c r="Q471" s="132"/>
      <c r="R471" s="132"/>
      <c r="S471" s="132"/>
      <c r="T471" s="132"/>
      <c r="U471" s="132"/>
      <c r="V471" s="132"/>
      <c r="W471" s="132"/>
      <c r="X471" s="132"/>
      <c r="Y471" s="132"/>
      <c r="Z471" s="132"/>
    </row>
    <row r="472" spans="1:26" ht="11.25" customHeight="1" x14ac:dyDescent="0.3">
      <c r="A472" s="132"/>
      <c r="B472" s="132"/>
      <c r="C472" s="132"/>
      <c r="D472" s="132"/>
      <c r="E472" s="132"/>
      <c r="F472" s="132"/>
      <c r="G472" s="132"/>
      <c r="H472" s="132"/>
      <c r="I472" s="132"/>
      <c r="J472" s="132"/>
      <c r="K472" s="132"/>
      <c r="L472" s="132"/>
      <c r="M472" s="132"/>
      <c r="N472" s="132"/>
      <c r="O472" s="132"/>
      <c r="P472" s="132"/>
      <c r="Q472" s="132"/>
      <c r="R472" s="132"/>
      <c r="S472" s="132"/>
      <c r="T472" s="132"/>
      <c r="U472" s="132"/>
      <c r="V472" s="132"/>
      <c r="W472" s="132"/>
      <c r="X472" s="132"/>
      <c r="Y472" s="132"/>
      <c r="Z472" s="132"/>
    </row>
    <row r="473" spans="1:26" ht="11.25" customHeight="1" x14ac:dyDescent="0.3">
      <c r="A473" s="132"/>
      <c r="B473" s="132"/>
      <c r="C473" s="132"/>
      <c r="D473" s="132"/>
      <c r="E473" s="132"/>
      <c r="F473" s="132"/>
      <c r="G473" s="132"/>
      <c r="H473" s="132"/>
      <c r="I473" s="132"/>
      <c r="J473" s="132"/>
      <c r="K473" s="132"/>
      <c r="L473" s="132"/>
      <c r="M473" s="132"/>
      <c r="N473" s="132"/>
      <c r="O473" s="132"/>
      <c r="P473" s="132"/>
      <c r="Q473" s="132"/>
      <c r="R473" s="132"/>
      <c r="S473" s="132"/>
      <c r="T473" s="132"/>
      <c r="U473" s="132"/>
      <c r="V473" s="132"/>
      <c r="W473" s="132"/>
      <c r="X473" s="132"/>
      <c r="Y473" s="132"/>
      <c r="Z473" s="132"/>
    </row>
    <row r="474" spans="1:26" ht="11.25" customHeight="1" x14ac:dyDescent="0.3">
      <c r="A474" s="132"/>
      <c r="B474" s="132"/>
      <c r="C474" s="132"/>
      <c r="D474" s="132"/>
      <c r="E474" s="132"/>
      <c r="F474" s="132"/>
      <c r="G474" s="132"/>
      <c r="H474" s="132"/>
      <c r="I474" s="132"/>
      <c r="J474" s="132"/>
      <c r="K474" s="132"/>
      <c r="L474" s="132"/>
      <c r="M474" s="132"/>
      <c r="N474" s="132"/>
      <c r="O474" s="132"/>
      <c r="P474" s="132"/>
      <c r="Q474" s="132"/>
      <c r="R474" s="132"/>
      <c r="S474" s="132"/>
      <c r="T474" s="132"/>
      <c r="U474" s="132"/>
      <c r="V474" s="132"/>
      <c r="W474" s="132"/>
      <c r="X474" s="132"/>
      <c r="Y474" s="132"/>
      <c r="Z474" s="132"/>
    </row>
    <row r="475" spans="1:26" ht="11.25" customHeight="1" x14ac:dyDescent="0.3">
      <c r="A475" s="132"/>
      <c r="B475" s="132"/>
      <c r="C475" s="132"/>
      <c r="D475" s="132"/>
      <c r="E475" s="132"/>
      <c r="F475" s="132"/>
      <c r="G475" s="132"/>
      <c r="H475" s="132"/>
      <c r="I475" s="132"/>
      <c r="J475" s="132"/>
      <c r="K475" s="132"/>
      <c r="L475" s="132"/>
      <c r="M475" s="132"/>
      <c r="N475" s="132"/>
      <c r="O475" s="132"/>
      <c r="P475" s="132"/>
      <c r="Q475" s="132"/>
      <c r="R475" s="132"/>
      <c r="S475" s="132"/>
      <c r="T475" s="132"/>
      <c r="U475" s="132"/>
      <c r="V475" s="132"/>
      <c r="W475" s="132"/>
      <c r="X475" s="132"/>
      <c r="Y475" s="132"/>
      <c r="Z475" s="132"/>
    </row>
    <row r="476" spans="1:26" ht="11.25" customHeight="1" x14ac:dyDescent="0.3">
      <c r="A476" s="132"/>
      <c r="B476" s="132"/>
      <c r="C476" s="132"/>
      <c r="D476" s="132"/>
      <c r="E476" s="132"/>
      <c r="F476" s="132"/>
      <c r="G476" s="132"/>
      <c r="H476" s="132"/>
      <c r="I476" s="132"/>
      <c r="J476" s="132"/>
      <c r="K476" s="132"/>
      <c r="L476" s="132"/>
      <c r="M476" s="132"/>
      <c r="N476" s="132"/>
      <c r="O476" s="132"/>
      <c r="P476" s="132"/>
      <c r="Q476" s="132"/>
      <c r="R476" s="132"/>
      <c r="S476" s="132"/>
      <c r="T476" s="132"/>
      <c r="U476" s="132"/>
      <c r="V476" s="132"/>
      <c r="W476" s="132"/>
      <c r="X476" s="132"/>
      <c r="Y476" s="132"/>
      <c r="Z476" s="132"/>
    </row>
    <row r="477" spans="1:26" ht="11.25" customHeight="1" x14ac:dyDescent="0.3">
      <c r="A477" s="132"/>
      <c r="B477" s="132"/>
      <c r="C477" s="132"/>
      <c r="D477" s="132"/>
      <c r="E477" s="132"/>
      <c r="F477" s="132"/>
      <c r="G477" s="132"/>
      <c r="H477" s="132"/>
      <c r="I477" s="132"/>
      <c r="J477" s="132"/>
      <c r="K477" s="132"/>
      <c r="L477" s="132"/>
      <c r="M477" s="132"/>
      <c r="N477" s="132"/>
      <c r="O477" s="132"/>
      <c r="P477" s="132"/>
      <c r="Q477" s="132"/>
      <c r="R477" s="132"/>
      <c r="S477" s="132"/>
      <c r="T477" s="132"/>
      <c r="U477" s="132"/>
      <c r="V477" s="132"/>
      <c r="W477" s="132"/>
      <c r="X477" s="132"/>
      <c r="Y477" s="132"/>
      <c r="Z477" s="132"/>
    </row>
    <row r="478" spans="1:26" ht="11.25" customHeight="1" x14ac:dyDescent="0.3">
      <c r="A478" s="132"/>
      <c r="B478" s="132"/>
      <c r="C478" s="132"/>
      <c r="D478" s="132"/>
      <c r="E478" s="132"/>
      <c r="F478" s="132"/>
      <c r="G478" s="132"/>
      <c r="H478" s="132"/>
      <c r="I478" s="132"/>
      <c r="J478" s="132"/>
      <c r="K478" s="132"/>
      <c r="L478" s="132"/>
      <c r="M478" s="132"/>
      <c r="N478" s="132"/>
      <c r="O478" s="132"/>
      <c r="P478" s="132"/>
      <c r="Q478" s="132"/>
      <c r="R478" s="132"/>
      <c r="S478" s="132"/>
      <c r="T478" s="132"/>
      <c r="U478" s="132"/>
      <c r="V478" s="132"/>
      <c r="W478" s="132"/>
      <c r="X478" s="132"/>
      <c r="Y478" s="132"/>
      <c r="Z478" s="132"/>
    </row>
    <row r="479" spans="1:26" ht="11.25" customHeight="1" x14ac:dyDescent="0.3">
      <c r="A479" s="132"/>
      <c r="B479" s="132"/>
      <c r="C479" s="132"/>
      <c r="D479" s="132"/>
      <c r="E479" s="132"/>
      <c r="F479" s="132"/>
      <c r="G479" s="132"/>
      <c r="H479" s="132"/>
      <c r="I479" s="132"/>
      <c r="J479" s="132"/>
      <c r="K479" s="132"/>
      <c r="L479" s="132"/>
      <c r="M479" s="132"/>
      <c r="N479" s="132"/>
      <c r="O479" s="132"/>
      <c r="P479" s="132"/>
      <c r="Q479" s="132"/>
      <c r="R479" s="132"/>
      <c r="S479" s="132"/>
      <c r="T479" s="132"/>
      <c r="U479" s="132"/>
      <c r="V479" s="132"/>
      <c r="W479" s="132"/>
      <c r="X479" s="132"/>
      <c r="Y479" s="132"/>
      <c r="Z479" s="132"/>
    </row>
    <row r="480" spans="1:26" ht="11.25" customHeight="1" x14ac:dyDescent="0.3">
      <c r="A480" s="132"/>
      <c r="B480" s="132"/>
      <c r="C480" s="132"/>
      <c r="D480" s="132"/>
      <c r="E480" s="132"/>
      <c r="F480" s="132"/>
      <c r="G480" s="132"/>
      <c r="H480" s="132"/>
      <c r="I480" s="132"/>
      <c r="J480" s="132"/>
      <c r="K480" s="132"/>
      <c r="L480" s="132"/>
      <c r="M480" s="132"/>
      <c r="N480" s="132"/>
      <c r="O480" s="132"/>
      <c r="P480" s="132"/>
      <c r="Q480" s="132"/>
      <c r="R480" s="132"/>
      <c r="S480" s="132"/>
      <c r="T480" s="132"/>
      <c r="U480" s="132"/>
      <c r="V480" s="132"/>
      <c r="W480" s="132"/>
      <c r="X480" s="132"/>
      <c r="Y480" s="132"/>
      <c r="Z480" s="132"/>
    </row>
    <row r="481" spans="1:26" ht="11.25" customHeight="1" x14ac:dyDescent="0.3">
      <c r="A481" s="132"/>
      <c r="B481" s="132"/>
      <c r="C481" s="132"/>
      <c r="D481" s="132"/>
      <c r="E481" s="132"/>
      <c r="F481" s="132"/>
      <c r="G481" s="132"/>
      <c r="H481" s="132"/>
      <c r="I481" s="132"/>
      <c r="J481" s="132"/>
      <c r="K481" s="132"/>
      <c r="L481" s="132"/>
      <c r="M481" s="132"/>
      <c r="N481" s="132"/>
      <c r="O481" s="132"/>
      <c r="P481" s="132"/>
      <c r="Q481" s="132"/>
      <c r="R481" s="132"/>
      <c r="S481" s="132"/>
      <c r="T481" s="132"/>
      <c r="U481" s="132"/>
      <c r="V481" s="132"/>
      <c r="W481" s="132"/>
      <c r="X481" s="132"/>
      <c r="Y481" s="132"/>
      <c r="Z481" s="132"/>
    </row>
    <row r="482" spans="1:26" ht="11.25" customHeight="1" x14ac:dyDescent="0.3">
      <c r="A482" s="132"/>
      <c r="B482" s="132"/>
      <c r="C482" s="132"/>
      <c r="D482" s="132"/>
      <c r="E482" s="132"/>
      <c r="F482" s="132"/>
      <c r="G482" s="132"/>
      <c r="H482" s="132"/>
      <c r="I482" s="132"/>
      <c r="J482" s="132"/>
      <c r="K482" s="132"/>
      <c r="L482" s="132"/>
      <c r="M482" s="132"/>
      <c r="N482" s="132"/>
      <c r="O482" s="132"/>
      <c r="P482" s="132"/>
      <c r="Q482" s="132"/>
      <c r="R482" s="132"/>
      <c r="S482" s="132"/>
      <c r="T482" s="132"/>
      <c r="U482" s="132"/>
      <c r="V482" s="132"/>
      <c r="W482" s="132"/>
      <c r="X482" s="132"/>
      <c r="Y482" s="132"/>
      <c r="Z482" s="132"/>
    </row>
    <row r="483" spans="1:26" ht="11.25" customHeight="1" x14ac:dyDescent="0.3">
      <c r="A483" s="132"/>
      <c r="B483" s="132"/>
      <c r="C483" s="132"/>
      <c r="D483" s="132"/>
      <c r="E483" s="132"/>
      <c r="F483" s="132"/>
      <c r="G483" s="132"/>
      <c r="H483" s="132"/>
      <c r="I483" s="132"/>
      <c r="J483" s="132"/>
      <c r="K483" s="132"/>
      <c r="L483" s="132"/>
      <c r="M483" s="132"/>
      <c r="N483" s="132"/>
      <c r="O483" s="132"/>
      <c r="P483" s="132"/>
      <c r="Q483" s="132"/>
      <c r="R483" s="132"/>
      <c r="S483" s="132"/>
      <c r="T483" s="132"/>
      <c r="U483" s="132"/>
      <c r="V483" s="132"/>
      <c r="W483" s="132"/>
      <c r="X483" s="132"/>
      <c r="Y483" s="132"/>
      <c r="Z483" s="132"/>
    </row>
    <row r="484" spans="1:26" ht="11.25" customHeight="1" x14ac:dyDescent="0.3">
      <c r="A484" s="132"/>
      <c r="B484" s="132"/>
      <c r="C484" s="132"/>
      <c r="D484" s="132"/>
      <c r="E484" s="132"/>
      <c r="F484" s="132"/>
      <c r="G484" s="132"/>
      <c r="H484" s="132"/>
      <c r="I484" s="132"/>
      <c r="J484" s="132"/>
      <c r="K484" s="132"/>
      <c r="L484" s="132"/>
      <c r="M484" s="132"/>
      <c r="N484" s="132"/>
      <c r="O484" s="132"/>
      <c r="P484" s="132"/>
      <c r="Q484" s="132"/>
      <c r="R484" s="132"/>
      <c r="S484" s="132"/>
      <c r="T484" s="132"/>
      <c r="U484" s="132"/>
      <c r="V484" s="132"/>
      <c r="W484" s="132"/>
      <c r="X484" s="132"/>
      <c r="Y484" s="132"/>
      <c r="Z484" s="132"/>
    </row>
    <row r="485" spans="1:26" ht="11.25" customHeight="1" x14ac:dyDescent="0.3">
      <c r="A485" s="132"/>
      <c r="B485" s="132"/>
      <c r="C485" s="132"/>
      <c r="D485" s="132"/>
      <c r="E485" s="132"/>
      <c r="F485" s="132"/>
      <c r="G485" s="132"/>
      <c r="H485" s="132"/>
      <c r="I485" s="132"/>
      <c r="J485" s="132"/>
      <c r="K485" s="132"/>
      <c r="L485" s="132"/>
      <c r="M485" s="132"/>
      <c r="N485" s="132"/>
      <c r="O485" s="132"/>
      <c r="P485" s="132"/>
      <c r="Q485" s="132"/>
      <c r="R485" s="132"/>
      <c r="S485" s="132"/>
      <c r="T485" s="132"/>
      <c r="U485" s="132"/>
      <c r="V485" s="132"/>
      <c r="W485" s="132"/>
      <c r="X485" s="132"/>
      <c r="Y485" s="132"/>
      <c r="Z485" s="132"/>
    </row>
    <row r="486" spans="1:26" ht="11.25" customHeight="1" x14ac:dyDescent="0.3">
      <c r="A486" s="132"/>
      <c r="B486" s="132"/>
      <c r="C486" s="132"/>
      <c r="D486" s="132"/>
      <c r="E486" s="132"/>
      <c r="F486" s="132"/>
      <c r="G486" s="132"/>
      <c r="H486" s="132"/>
      <c r="I486" s="132"/>
      <c r="J486" s="132"/>
      <c r="K486" s="132"/>
      <c r="L486" s="132"/>
      <c r="M486" s="132"/>
      <c r="N486" s="132"/>
      <c r="O486" s="132"/>
      <c r="P486" s="132"/>
      <c r="Q486" s="132"/>
      <c r="R486" s="132"/>
      <c r="S486" s="132"/>
      <c r="T486" s="132"/>
      <c r="U486" s="132"/>
      <c r="V486" s="132"/>
      <c r="W486" s="132"/>
      <c r="X486" s="132"/>
      <c r="Y486" s="132"/>
      <c r="Z486" s="132"/>
    </row>
    <row r="487" spans="1:26" ht="11.25" customHeight="1" x14ac:dyDescent="0.3">
      <c r="A487" s="132"/>
      <c r="B487" s="132"/>
      <c r="C487" s="132"/>
      <c r="D487" s="132"/>
      <c r="E487" s="132"/>
      <c r="F487" s="132"/>
      <c r="G487" s="132"/>
      <c r="H487" s="132"/>
      <c r="I487" s="132"/>
      <c r="J487" s="132"/>
      <c r="K487" s="132"/>
      <c r="L487" s="132"/>
      <c r="M487" s="132"/>
      <c r="N487" s="132"/>
      <c r="O487" s="132"/>
      <c r="P487" s="132"/>
      <c r="Q487" s="132"/>
      <c r="R487" s="132"/>
      <c r="S487" s="132"/>
      <c r="T487" s="132"/>
      <c r="U487" s="132"/>
      <c r="V487" s="132"/>
      <c r="W487" s="132"/>
      <c r="X487" s="132"/>
      <c r="Y487" s="132"/>
      <c r="Z487" s="132"/>
    </row>
    <row r="488" spans="1:26" ht="11.25" customHeight="1" x14ac:dyDescent="0.3">
      <c r="A488" s="132"/>
      <c r="B488" s="132"/>
      <c r="C488" s="132"/>
      <c r="D488" s="132"/>
      <c r="E488" s="132"/>
      <c r="F488" s="132"/>
      <c r="G488" s="132"/>
      <c r="H488" s="132"/>
      <c r="I488" s="132"/>
      <c r="J488" s="132"/>
      <c r="K488" s="132"/>
      <c r="L488" s="132"/>
      <c r="M488" s="132"/>
      <c r="N488" s="132"/>
      <c r="O488" s="132"/>
      <c r="P488" s="132"/>
      <c r="Q488" s="132"/>
      <c r="R488" s="132"/>
      <c r="S488" s="132"/>
      <c r="T488" s="132"/>
      <c r="U488" s="132"/>
      <c r="V488" s="132"/>
      <c r="W488" s="132"/>
      <c r="X488" s="132"/>
      <c r="Y488" s="132"/>
      <c r="Z488" s="132"/>
    </row>
    <row r="489" spans="1:26" ht="11.25" customHeight="1" x14ac:dyDescent="0.3">
      <c r="A489" s="132"/>
      <c r="B489" s="132"/>
      <c r="C489" s="132"/>
      <c r="D489" s="132"/>
      <c r="E489" s="132"/>
      <c r="F489" s="132"/>
      <c r="G489" s="132"/>
      <c r="H489" s="132"/>
      <c r="I489" s="132"/>
      <c r="J489" s="132"/>
      <c r="K489" s="132"/>
      <c r="L489" s="132"/>
      <c r="M489" s="132"/>
      <c r="N489" s="132"/>
      <c r="O489" s="132"/>
      <c r="P489" s="132"/>
      <c r="Q489" s="132"/>
      <c r="R489" s="132"/>
      <c r="S489" s="132"/>
      <c r="T489" s="132"/>
      <c r="U489" s="132"/>
      <c r="V489" s="132"/>
      <c r="W489" s="132"/>
      <c r="X489" s="132"/>
      <c r="Y489" s="132"/>
      <c r="Z489" s="132"/>
    </row>
    <row r="490" spans="1:26" ht="11.25" customHeight="1" x14ac:dyDescent="0.3">
      <c r="A490" s="132"/>
      <c r="B490" s="132"/>
      <c r="C490" s="132"/>
      <c r="D490" s="132"/>
      <c r="E490" s="132"/>
      <c r="F490" s="132"/>
      <c r="G490" s="132"/>
      <c r="H490" s="132"/>
      <c r="I490" s="132"/>
      <c r="J490" s="132"/>
      <c r="K490" s="132"/>
      <c r="L490" s="132"/>
      <c r="M490" s="132"/>
      <c r="N490" s="132"/>
      <c r="O490" s="132"/>
      <c r="P490" s="132"/>
      <c r="Q490" s="132"/>
      <c r="R490" s="132"/>
      <c r="S490" s="132"/>
      <c r="T490" s="132"/>
      <c r="U490" s="132"/>
      <c r="V490" s="132"/>
      <c r="W490" s="132"/>
      <c r="X490" s="132"/>
      <c r="Y490" s="132"/>
      <c r="Z490" s="132"/>
    </row>
    <row r="491" spans="1:26" ht="11.25" customHeight="1" x14ac:dyDescent="0.3">
      <c r="A491" s="132"/>
      <c r="B491" s="132"/>
      <c r="C491" s="132"/>
      <c r="D491" s="132"/>
      <c r="E491" s="132"/>
      <c r="F491" s="132"/>
      <c r="G491" s="132"/>
      <c r="H491" s="132"/>
      <c r="I491" s="132"/>
      <c r="J491" s="132"/>
      <c r="K491" s="132"/>
      <c r="L491" s="132"/>
      <c r="M491" s="132"/>
      <c r="N491" s="132"/>
      <c r="O491" s="132"/>
      <c r="P491" s="132"/>
      <c r="Q491" s="132"/>
      <c r="R491" s="132"/>
      <c r="S491" s="132"/>
      <c r="T491" s="132"/>
      <c r="U491" s="132"/>
      <c r="V491" s="132"/>
      <c r="W491" s="132"/>
      <c r="X491" s="132"/>
      <c r="Y491" s="132"/>
      <c r="Z491" s="132"/>
    </row>
    <row r="492" spans="1:26" ht="11.25" customHeight="1" x14ac:dyDescent="0.3">
      <c r="A492" s="132"/>
      <c r="B492" s="132"/>
      <c r="C492" s="132"/>
      <c r="D492" s="132"/>
      <c r="E492" s="132"/>
      <c r="F492" s="132"/>
      <c r="G492" s="132"/>
      <c r="H492" s="132"/>
      <c r="I492" s="132"/>
      <c r="J492" s="132"/>
      <c r="K492" s="132"/>
      <c r="L492" s="132"/>
      <c r="M492" s="132"/>
      <c r="N492" s="132"/>
      <c r="O492" s="132"/>
      <c r="P492" s="132"/>
      <c r="Q492" s="132"/>
      <c r="R492" s="132"/>
      <c r="S492" s="132"/>
      <c r="T492" s="132"/>
      <c r="U492" s="132"/>
      <c r="V492" s="132"/>
      <c r="W492" s="132"/>
      <c r="X492" s="132"/>
      <c r="Y492" s="132"/>
      <c r="Z492" s="132"/>
    </row>
    <row r="493" spans="1:26" ht="11.25" customHeight="1" x14ac:dyDescent="0.3">
      <c r="A493" s="132"/>
      <c r="B493" s="132"/>
      <c r="C493" s="132"/>
      <c r="D493" s="132"/>
      <c r="E493" s="132"/>
      <c r="F493" s="132"/>
      <c r="G493" s="132"/>
      <c r="H493" s="132"/>
      <c r="I493" s="132"/>
      <c r="J493" s="132"/>
      <c r="K493" s="132"/>
      <c r="L493" s="132"/>
      <c r="M493" s="132"/>
      <c r="N493" s="132"/>
      <c r="O493" s="132"/>
      <c r="P493" s="132"/>
      <c r="Q493" s="132"/>
      <c r="R493" s="132"/>
      <c r="S493" s="132"/>
      <c r="T493" s="132"/>
      <c r="U493" s="132"/>
      <c r="V493" s="132"/>
      <c r="W493" s="132"/>
      <c r="X493" s="132"/>
      <c r="Y493" s="132"/>
      <c r="Z493" s="132"/>
    </row>
    <row r="494" spans="1:26" ht="11.25" customHeight="1" x14ac:dyDescent="0.3">
      <c r="A494" s="132"/>
      <c r="B494" s="132"/>
      <c r="C494" s="132"/>
      <c r="D494" s="132"/>
      <c r="E494" s="132"/>
      <c r="F494" s="132"/>
      <c r="G494" s="132"/>
      <c r="H494" s="132"/>
      <c r="I494" s="132"/>
      <c r="J494" s="132"/>
      <c r="K494" s="132"/>
      <c r="L494" s="132"/>
      <c r="M494" s="132"/>
      <c r="N494" s="132"/>
      <c r="O494" s="132"/>
      <c r="P494" s="132"/>
      <c r="Q494" s="132"/>
      <c r="R494" s="132"/>
      <c r="S494" s="132"/>
      <c r="T494" s="132"/>
      <c r="U494" s="132"/>
      <c r="V494" s="132"/>
      <c r="W494" s="132"/>
      <c r="X494" s="132"/>
      <c r="Y494" s="132"/>
      <c r="Z494" s="132"/>
    </row>
    <row r="495" spans="1:26" ht="11.25" customHeight="1" x14ac:dyDescent="0.3">
      <c r="A495" s="132"/>
      <c r="B495" s="132"/>
      <c r="C495" s="132"/>
      <c r="D495" s="132"/>
      <c r="E495" s="132"/>
      <c r="F495" s="132"/>
      <c r="G495" s="132"/>
      <c r="H495" s="132"/>
      <c r="I495" s="132"/>
      <c r="J495" s="132"/>
      <c r="K495" s="132"/>
      <c r="L495" s="132"/>
      <c r="M495" s="132"/>
      <c r="N495" s="132"/>
      <c r="O495" s="132"/>
      <c r="P495" s="132"/>
      <c r="Q495" s="132"/>
      <c r="R495" s="132"/>
      <c r="S495" s="132"/>
      <c r="T495" s="132"/>
      <c r="U495" s="132"/>
      <c r="V495" s="132"/>
      <c r="W495" s="132"/>
      <c r="X495" s="132"/>
      <c r="Y495" s="132"/>
      <c r="Z495" s="132"/>
    </row>
    <row r="496" spans="1:26" ht="11.25" customHeight="1" x14ac:dyDescent="0.3">
      <c r="A496" s="132"/>
      <c r="B496" s="132"/>
      <c r="C496" s="132"/>
      <c r="D496" s="132"/>
      <c r="E496" s="132"/>
      <c r="F496" s="132"/>
      <c r="G496" s="132"/>
      <c r="H496" s="132"/>
      <c r="I496" s="132"/>
      <c r="J496" s="132"/>
      <c r="K496" s="132"/>
      <c r="L496" s="132"/>
      <c r="M496" s="132"/>
      <c r="N496" s="132"/>
      <c r="O496" s="132"/>
      <c r="P496" s="132"/>
      <c r="Q496" s="132"/>
      <c r="R496" s="132"/>
      <c r="S496" s="132"/>
      <c r="T496" s="132"/>
      <c r="U496" s="132"/>
      <c r="V496" s="132"/>
      <c r="W496" s="132"/>
      <c r="X496" s="132"/>
      <c r="Y496" s="132"/>
      <c r="Z496" s="132"/>
    </row>
    <row r="497" spans="1:26" ht="11.25" customHeight="1" x14ac:dyDescent="0.3">
      <c r="A497" s="132"/>
      <c r="B497" s="132"/>
      <c r="C497" s="132"/>
      <c r="D497" s="132"/>
      <c r="E497" s="132"/>
      <c r="F497" s="132"/>
      <c r="G497" s="132"/>
      <c r="H497" s="132"/>
      <c r="I497" s="132"/>
      <c r="J497" s="132"/>
      <c r="K497" s="132"/>
      <c r="L497" s="132"/>
      <c r="M497" s="132"/>
      <c r="N497" s="132"/>
      <c r="O497" s="132"/>
      <c r="P497" s="132"/>
      <c r="Q497" s="132"/>
      <c r="R497" s="132"/>
      <c r="S497" s="132"/>
      <c r="T497" s="132"/>
      <c r="U497" s="132"/>
      <c r="V497" s="132"/>
      <c r="W497" s="132"/>
      <c r="X497" s="132"/>
      <c r="Y497" s="132"/>
      <c r="Z497" s="132"/>
    </row>
    <row r="498" spans="1:26" ht="11.25" customHeight="1" x14ac:dyDescent="0.3">
      <c r="A498" s="132"/>
      <c r="B498" s="132"/>
      <c r="C498" s="132"/>
      <c r="D498" s="132"/>
      <c r="E498" s="132"/>
      <c r="F498" s="132"/>
      <c r="G498" s="132"/>
      <c r="H498" s="132"/>
      <c r="I498" s="132"/>
      <c r="J498" s="132"/>
      <c r="K498" s="132"/>
      <c r="L498" s="132"/>
      <c r="M498" s="132"/>
      <c r="N498" s="132"/>
      <c r="O498" s="132"/>
      <c r="P498" s="132"/>
      <c r="Q498" s="132"/>
      <c r="R498" s="132"/>
      <c r="S498" s="132"/>
      <c r="T498" s="132"/>
      <c r="U498" s="132"/>
      <c r="V498" s="132"/>
      <c r="W498" s="132"/>
      <c r="X498" s="132"/>
      <c r="Y498" s="132"/>
      <c r="Z498" s="132"/>
    </row>
    <row r="499" spans="1:26" ht="11.25" customHeight="1" x14ac:dyDescent="0.3">
      <c r="A499" s="132"/>
      <c r="B499" s="132"/>
      <c r="C499" s="132"/>
      <c r="D499" s="132"/>
      <c r="E499" s="132"/>
      <c r="F499" s="132"/>
      <c r="G499" s="132"/>
      <c r="H499" s="132"/>
      <c r="I499" s="132"/>
      <c r="J499" s="132"/>
      <c r="K499" s="132"/>
      <c r="L499" s="132"/>
      <c r="M499" s="132"/>
      <c r="N499" s="132"/>
      <c r="O499" s="132"/>
      <c r="P499" s="132"/>
      <c r="Q499" s="132"/>
      <c r="R499" s="132"/>
      <c r="S499" s="132"/>
      <c r="T499" s="132"/>
      <c r="U499" s="132"/>
      <c r="V499" s="132"/>
      <c r="W499" s="132"/>
      <c r="X499" s="132"/>
      <c r="Y499" s="132"/>
      <c r="Z499" s="132"/>
    </row>
    <row r="500" spans="1:26" ht="11.25" customHeight="1" x14ac:dyDescent="0.3">
      <c r="A500" s="132"/>
      <c r="B500" s="132"/>
      <c r="C500" s="132"/>
      <c r="D500" s="132"/>
      <c r="E500" s="132"/>
      <c r="F500" s="132"/>
      <c r="G500" s="132"/>
      <c r="H500" s="132"/>
      <c r="I500" s="132"/>
      <c r="J500" s="132"/>
      <c r="K500" s="132"/>
      <c r="L500" s="132"/>
      <c r="M500" s="132"/>
      <c r="N500" s="132"/>
      <c r="O500" s="132"/>
      <c r="P500" s="132"/>
      <c r="Q500" s="132"/>
      <c r="R500" s="132"/>
      <c r="S500" s="132"/>
      <c r="T500" s="132"/>
      <c r="U500" s="132"/>
      <c r="V500" s="132"/>
      <c r="W500" s="132"/>
      <c r="X500" s="132"/>
      <c r="Y500" s="132"/>
      <c r="Z500" s="132"/>
    </row>
    <row r="501" spans="1:26" ht="11.25" customHeight="1" x14ac:dyDescent="0.3">
      <c r="A501" s="132"/>
      <c r="B501" s="132"/>
      <c r="C501" s="132"/>
      <c r="D501" s="132"/>
      <c r="E501" s="132"/>
      <c r="F501" s="132"/>
      <c r="G501" s="132"/>
      <c r="H501" s="132"/>
      <c r="I501" s="132"/>
      <c r="J501" s="132"/>
      <c r="K501" s="132"/>
      <c r="L501" s="132"/>
      <c r="M501" s="132"/>
      <c r="N501" s="132"/>
      <c r="O501" s="132"/>
      <c r="P501" s="132"/>
      <c r="Q501" s="132"/>
      <c r="R501" s="132"/>
      <c r="S501" s="132"/>
      <c r="T501" s="132"/>
      <c r="U501" s="132"/>
      <c r="V501" s="132"/>
      <c r="W501" s="132"/>
      <c r="X501" s="132"/>
      <c r="Y501" s="132"/>
      <c r="Z501" s="132"/>
    </row>
    <row r="502" spans="1:26" ht="11.25" customHeight="1" x14ac:dyDescent="0.3">
      <c r="A502" s="132"/>
      <c r="B502" s="132"/>
      <c r="C502" s="132"/>
      <c r="D502" s="132"/>
      <c r="E502" s="132"/>
      <c r="F502" s="132"/>
      <c r="G502" s="132"/>
      <c r="H502" s="132"/>
      <c r="I502" s="132"/>
      <c r="J502" s="132"/>
      <c r="K502" s="132"/>
      <c r="L502" s="132"/>
      <c r="M502" s="132"/>
      <c r="N502" s="132"/>
      <c r="O502" s="132"/>
      <c r="P502" s="132"/>
      <c r="Q502" s="132"/>
      <c r="R502" s="132"/>
      <c r="S502" s="132"/>
      <c r="T502" s="132"/>
      <c r="U502" s="132"/>
      <c r="V502" s="132"/>
      <c r="W502" s="132"/>
      <c r="X502" s="132"/>
      <c r="Y502" s="132"/>
      <c r="Z502" s="132"/>
    </row>
    <row r="503" spans="1:26" ht="11.25" customHeight="1" x14ac:dyDescent="0.3">
      <c r="A503" s="132"/>
      <c r="B503" s="132"/>
      <c r="C503" s="132"/>
      <c r="D503" s="132"/>
      <c r="E503" s="132"/>
      <c r="F503" s="132"/>
      <c r="G503" s="132"/>
      <c r="H503" s="132"/>
      <c r="I503" s="132"/>
      <c r="J503" s="132"/>
      <c r="K503" s="132"/>
      <c r="L503" s="132"/>
      <c r="M503" s="132"/>
      <c r="N503" s="132"/>
      <c r="O503" s="132"/>
      <c r="P503" s="132"/>
      <c r="Q503" s="132"/>
      <c r="R503" s="132"/>
      <c r="S503" s="132"/>
      <c r="T503" s="132"/>
      <c r="U503" s="132"/>
      <c r="V503" s="132"/>
      <c r="W503" s="132"/>
      <c r="X503" s="132"/>
      <c r="Y503" s="132"/>
      <c r="Z503" s="132"/>
    </row>
    <row r="504" spans="1:26" ht="11.25" customHeight="1" x14ac:dyDescent="0.3">
      <c r="A504" s="132"/>
      <c r="B504" s="132"/>
      <c r="C504" s="132"/>
      <c r="D504" s="132"/>
      <c r="E504" s="132"/>
      <c r="F504" s="132"/>
      <c r="G504" s="132"/>
      <c r="H504" s="132"/>
      <c r="I504" s="132"/>
      <c r="J504" s="132"/>
      <c r="K504" s="132"/>
      <c r="L504" s="132"/>
      <c r="M504" s="132"/>
      <c r="N504" s="132"/>
      <c r="O504" s="132"/>
      <c r="P504" s="132"/>
      <c r="Q504" s="132"/>
      <c r="R504" s="132"/>
      <c r="S504" s="132"/>
      <c r="T504" s="132"/>
      <c r="U504" s="132"/>
      <c r="V504" s="132"/>
      <c r="W504" s="132"/>
      <c r="X504" s="132"/>
      <c r="Y504" s="132"/>
      <c r="Z504" s="132"/>
    </row>
    <row r="505" spans="1:26" ht="11.25" customHeight="1" x14ac:dyDescent="0.3">
      <c r="A505" s="132"/>
      <c r="B505" s="132"/>
      <c r="C505" s="132"/>
      <c r="D505" s="132"/>
      <c r="E505" s="132"/>
      <c r="F505" s="132"/>
      <c r="G505" s="132"/>
      <c r="H505" s="132"/>
      <c r="I505" s="132"/>
      <c r="J505" s="132"/>
      <c r="K505" s="132"/>
      <c r="L505" s="132"/>
      <c r="M505" s="132"/>
      <c r="N505" s="132"/>
      <c r="O505" s="132"/>
      <c r="P505" s="132"/>
      <c r="Q505" s="132"/>
      <c r="R505" s="132"/>
      <c r="S505" s="132"/>
      <c r="T505" s="132"/>
      <c r="U505" s="132"/>
      <c r="V505" s="132"/>
      <c r="W505" s="132"/>
      <c r="X505" s="132"/>
      <c r="Y505" s="132"/>
      <c r="Z505" s="132"/>
    </row>
    <row r="506" spans="1:26" ht="11.25" customHeight="1" x14ac:dyDescent="0.3">
      <c r="A506" s="132"/>
      <c r="B506" s="132"/>
      <c r="C506" s="132"/>
      <c r="D506" s="132"/>
      <c r="E506" s="132"/>
      <c r="F506" s="132"/>
      <c r="G506" s="132"/>
      <c r="H506" s="132"/>
      <c r="I506" s="132"/>
      <c r="J506" s="132"/>
      <c r="K506" s="132"/>
      <c r="L506" s="132"/>
      <c r="M506" s="132"/>
      <c r="N506" s="132"/>
      <c r="O506" s="132"/>
      <c r="P506" s="132"/>
      <c r="Q506" s="132"/>
      <c r="R506" s="132"/>
      <c r="S506" s="132"/>
      <c r="T506" s="132"/>
      <c r="U506" s="132"/>
      <c r="V506" s="132"/>
      <c r="W506" s="132"/>
      <c r="X506" s="132"/>
      <c r="Y506" s="132"/>
      <c r="Z506" s="132"/>
    </row>
    <row r="507" spans="1:26" ht="11.25" customHeight="1" x14ac:dyDescent="0.3">
      <c r="A507" s="132"/>
      <c r="B507" s="132"/>
      <c r="C507" s="132"/>
      <c r="D507" s="132"/>
      <c r="E507" s="132"/>
      <c r="F507" s="132"/>
      <c r="G507" s="132"/>
      <c r="H507" s="132"/>
      <c r="I507" s="132"/>
      <c r="J507" s="132"/>
      <c r="K507" s="132"/>
      <c r="L507" s="132"/>
      <c r="M507" s="132"/>
      <c r="N507" s="132"/>
      <c r="O507" s="132"/>
      <c r="P507" s="132"/>
      <c r="Q507" s="132"/>
      <c r="R507" s="132"/>
      <c r="S507" s="132"/>
      <c r="T507" s="132"/>
      <c r="U507" s="132"/>
      <c r="V507" s="132"/>
      <c r="W507" s="132"/>
      <c r="X507" s="132"/>
      <c r="Y507" s="132"/>
      <c r="Z507" s="132"/>
    </row>
    <row r="508" spans="1:26" ht="11.25" customHeight="1" x14ac:dyDescent="0.3">
      <c r="A508" s="132"/>
      <c r="B508" s="132"/>
      <c r="C508" s="132"/>
      <c r="D508" s="132"/>
      <c r="E508" s="132"/>
      <c r="F508" s="132"/>
      <c r="G508" s="132"/>
      <c r="H508" s="132"/>
      <c r="I508" s="132"/>
      <c r="J508" s="132"/>
      <c r="K508" s="132"/>
      <c r="L508" s="132"/>
      <c r="M508" s="132"/>
      <c r="N508" s="132"/>
      <c r="O508" s="132"/>
      <c r="P508" s="132"/>
      <c r="Q508" s="132"/>
      <c r="R508" s="132"/>
      <c r="S508" s="132"/>
      <c r="T508" s="132"/>
      <c r="U508" s="132"/>
      <c r="V508" s="132"/>
      <c r="W508" s="132"/>
      <c r="X508" s="132"/>
      <c r="Y508" s="132"/>
      <c r="Z508" s="132"/>
    </row>
    <row r="509" spans="1:26" ht="11.25" customHeight="1" x14ac:dyDescent="0.3">
      <c r="A509" s="132"/>
      <c r="B509" s="132"/>
      <c r="C509" s="132"/>
      <c r="D509" s="132"/>
      <c r="E509" s="132"/>
      <c r="F509" s="132"/>
      <c r="G509" s="132"/>
      <c r="H509" s="132"/>
      <c r="I509" s="132"/>
      <c r="J509" s="132"/>
      <c r="K509" s="132"/>
      <c r="L509" s="132"/>
      <c r="M509" s="132"/>
      <c r="N509" s="132"/>
      <c r="O509" s="132"/>
      <c r="P509" s="132"/>
      <c r="Q509" s="132"/>
      <c r="R509" s="132"/>
      <c r="S509" s="132"/>
      <c r="T509" s="132"/>
      <c r="U509" s="132"/>
      <c r="V509" s="132"/>
      <c r="W509" s="132"/>
      <c r="X509" s="132"/>
      <c r="Y509" s="132"/>
      <c r="Z509" s="132"/>
    </row>
    <row r="510" spans="1:26" ht="11.25" customHeight="1" x14ac:dyDescent="0.3">
      <c r="A510" s="132"/>
      <c r="B510" s="132"/>
      <c r="C510" s="132"/>
      <c r="D510" s="132"/>
      <c r="E510" s="132"/>
      <c r="F510" s="132"/>
      <c r="G510" s="132"/>
      <c r="H510" s="132"/>
      <c r="I510" s="132"/>
      <c r="J510" s="132"/>
      <c r="K510" s="132"/>
      <c r="L510" s="132"/>
      <c r="M510" s="132"/>
      <c r="N510" s="132"/>
      <c r="O510" s="132"/>
      <c r="P510" s="132"/>
      <c r="Q510" s="132"/>
      <c r="R510" s="132"/>
      <c r="S510" s="132"/>
      <c r="T510" s="132"/>
      <c r="U510" s="132"/>
      <c r="V510" s="132"/>
      <c r="W510" s="132"/>
      <c r="X510" s="132"/>
      <c r="Y510" s="132"/>
      <c r="Z510" s="132"/>
    </row>
    <row r="511" spans="1:26" ht="11.25" customHeight="1" x14ac:dyDescent="0.3">
      <c r="A511" s="132"/>
      <c r="B511" s="132"/>
      <c r="C511" s="132"/>
      <c r="D511" s="132"/>
      <c r="E511" s="132"/>
      <c r="F511" s="132"/>
      <c r="G511" s="132"/>
      <c r="H511" s="132"/>
      <c r="I511" s="132"/>
      <c r="J511" s="132"/>
      <c r="K511" s="132"/>
      <c r="L511" s="132"/>
      <c r="M511" s="132"/>
      <c r="N511" s="132"/>
      <c r="O511" s="132"/>
      <c r="P511" s="132"/>
      <c r="Q511" s="132"/>
      <c r="R511" s="132"/>
      <c r="S511" s="132"/>
      <c r="T511" s="132"/>
      <c r="U511" s="132"/>
      <c r="V511" s="132"/>
      <c r="W511" s="132"/>
      <c r="X511" s="132"/>
      <c r="Y511" s="132"/>
      <c r="Z511" s="132"/>
    </row>
    <row r="512" spans="1:26" ht="11.25" customHeight="1" x14ac:dyDescent="0.3">
      <c r="A512" s="132"/>
      <c r="B512" s="132"/>
      <c r="C512" s="132"/>
      <c r="D512" s="132"/>
      <c r="E512" s="132"/>
      <c r="F512" s="132"/>
      <c r="G512" s="132"/>
      <c r="H512" s="132"/>
      <c r="I512" s="132"/>
      <c r="J512" s="132"/>
      <c r="K512" s="132"/>
      <c r="L512" s="132"/>
      <c r="M512" s="132"/>
      <c r="N512" s="132"/>
      <c r="O512" s="132"/>
      <c r="P512" s="132"/>
      <c r="Q512" s="132"/>
      <c r="R512" s="132"/>
      <c r="S512" s="132"/>
      <c r="T512" s="132"/>
      <c r="U512" s="132"/>
      <c r="V512" s="132"/>
      <c r="W512" s="132"/>
      <c r="X512" s="132"/>
      <c r="Y512" s="132"/>
      <c r="Z512" s="132"/>
    </row>
    <row r="513" spans="1:26" ht="11.25" customHeight="1" x14ac:dyDescent="0.3">
      <c r="A513" s="132"/>
      <c r="B513" s="132"/>
      <c r="C513" s="132"/>
      <c r="D513" s="132"/>
      <c r="E513" s="132"/>
      <c r="F513" s="132"/>
      <c r="G513" s="132"/>
      <c r="H513" s="132"/>
      <c r="I513" s="132"/>
      <c r="J513" s="132"/>
      <c r="K513" s="132"/>
      <c r="L513" s="132"/>
      <c r="M513" s="132"/>
      <c r="N513" s="132"/>
      <c r="O513" s="132"/>
      <c r="P513" s="132"/>
      <c r="Q513" s="132"/>
      <c r="R513" s="132"/>
      <c r="S513" s="132"/>
      <c r="T513" s="132"/>
      <c r="U513" s="132"/>
      <c r="V513" s="132"/>
      <c r="W513" s="132"/>
      <c r="X513" s="132"/>
      <c r="Y513" s="132"/>
      <c r="Z513" s="132"/>
    </row>
    <row r="514" spans="1:26" ht="11.25" customHeight="1" x14ac:dyDescent="0.3">
      <c r="A514" s="132"/>
      <c r="B514" s="132"/>
      <c r="C514" s="132"/>
      <c r="D514" s="132"/>
      <c r="E514" s="132"/>
      <c r="F514" s="132"/>
      <c r="G514" s="132"/>
      <c r="H514" s="132"/>
      <c r="I514" s="132"/>
      <c r="J514" s="132"/>
      <c r="K514" s="132"/>
      <c r="L514" s="132"/>
      <c r="M514" s="132"/>
      <c r="N514" s="132"/>
      <c r="O514" s="132"/>
      <c r="P514" s="132"/>
      <c r="Q514" s="132"/>
      <c r="R514" s="132"/>
      <c r="S514" s="132"/>
      <c r="T514" s="132"/>
      <c r="U514" s="132"/>
      <c r="V514" s="132"/>
      <c r="W514" s="132"/>
      <c r="X514" s="132"/>
      <c r="Y514" s="132"/>
      <c r="Z514" s="132"/>
    </row>
    <row r="515" spans="1:26" ht="11.25" customHeight="1" x14ac:dyDescent="0.3">
      <c r="A515" s="132"/>
      <c r="B515" s="132"/>
      <c r="C515" s="132"/>
      <c r="D515" s="132"/>
      <c r="E515" s="132"/>
      <c r="F515" s="132"/>
      <c r="G515" s="132"/>
      <c r="H515" s="132"/>
      <c r="I515" s="132"/>
      <c r="J515" s="132"/>
      <c r="K515" s="132"/>
      <c r="L515" s="132"/>
      <c r="M515" s="132"/>
      <c r="N515" s="132"/>
      <c r="O515" s="132"/>
      <c r="P515" s="132"/>
      <c r="Q515" s="132"/>
      <c r="R515" s="132"/>
      <c r="S515" s="132"/>
      <c r="T515" s="132"/>
      <c r="U515" s="132"/>
      <c r="V515" s="132"/>
      <c r="W515" s="132"/>
      <c r="X515" s="132"/>
      <c r="Y515" s="132"/>
      <c r="Z515" s="132"/>
    </row>
    <row r="516" spans="1:26" ht="11.25" customHeight="1" x14ac:dyDescent="0.3">
      <c r="A516" s="132"/>
      <c r="B516" s="132"/>
      <c r="C516" s="132"/>
      <c r="D516" s="132"/>
      <c r="E516" s="132"/>
      <c r="F516" s="132"/>
      <c r="G516" s="132"/>
      <c r="H516" s="132"/>
      <c r="I516" s="132"/>
      <c r="J516" s="132"/>
      <c r="K516" s="132"/>
      <c r="L516" s="132"/>
      <c r="M516" s="132"/>
      <c r="N516" s="132"/>
      <c r="O516" s="132"/>
      <c r="P516" s="132"/>
      <c r="Q516" s="132"/>
      <c r="R516" s="132"/>
      <c r="S516" s="132"/>
      <c r="T516" s="132"/>
      <c r="U516" s="132"/>
      <c r="V516" s="132"/>
      <c r="W516" s="132"/>
      <c r="X516" s="132"/>
      <c r="Y516" s="132"/>
      <c r="Z516" s="132"/>
    </row>
    <row r="517" spans="1:26" ht="11.25" customHeight="1" x14ac:dyDescent="0.3">
      <c r="A517" s="132"/>
      <c r="B517" s="132"/>
      <c r="C517" s="132"/>
      <c r="D517" s="132"/>
      <c r="E517" s="132"/>
      <c r="F517" s="132"/>
      <c r="G517" s="132"/>
      <c r="H517" s="132"/>
      <c r="I517" s="132"/>
      <c r="J517" s="132"/>
      <c r="K517" s="132"/>
      <c r="L517" s="132"/>
      <c r="M517" s="132"/>
      <c r="N517" s="132"/>
      <c r="O517" s="132"/>
      <c r="P517" s="132"/>
      <c r="Q517" s="132"/>
      <c r="R517" s="132"/>
      <c r="S517" s="132"/>
      <c r="T517" s="132"/>
      <c r="U517" s="132"/>
      <c r="V517" s="132"/>
      <c r="W517" s="132"/>
      <c r="X517" s="132"/>
      <c r="Y517" s="132"/>
      <c r="Z517" s="132"/>
    </row>
    <row r="518" spans="1:26" ht="11.25" customHeight="1" x14ac:dyDescent="0.3">
      <c r="A518" s="132"/>
      <c r="B518" s="132"/>
      <c r="C518" s="132"/>
      <c r="D518" s="132"/>
      <c r="E518" s="132"/>
      <c r="F518" s="132"/>
      <c r="G518" s="132"/>
      <c r="H518" s="132"/>
      <c r="I518" s="132"/>
      <c r="J518" s="132"/>
      <c r="K518" s="132"/>
      <c r="L518" s="132"/>
      <c r="M518" s="132"/>
      <c r="N518" s="132"/>
      <c r="O518" s="132"/>
      <c r="P518" s="132"/>
      <c r="Q518" s="132"/>
      <c r="R518" s="132"/>
      <c r="S518" s="132"/>
      <c r="T518" s="132"/>
      <c r="U518" s="132"/>
      <c r="V518" s="132"/>
      <c r="W518" s="132"/>
      <c r="X518" s="132"/>
      <c r="Y518" s="132"/>
      <c r="Z518" s="132"/>
    </row>
    <row r="519" spans="1:26" ht="11.25" customHeight="1" x14ac:dyDescent="0.3">
      <c r="A519" s="132"/>
      <c r="B519" s="132"/>
      <c r="C519" s="132"/>
      <c r="D519" s="132"/>
      <c r="E519" s="132"/>
      <c r="F519" s="132"/>
      <c r="G519" s="132"/>
      <c r="H519" s="132"/>
      <c r="I519" s="132"/>
      <c r="J519" s="132"/>
      <c r="K519" s="132"/>
      <c r="L519" s="132"/>
      <c r="M519" s="132"/>
      <c r="N519" s="132"/>
      <c r="O519" s="132"/>
      <c r="P519" s="132"/>
      <c r="Q519" s="132"/>
      <c r="R519" s="132"/>
      <c r="S519" s="132"/>
      <c r="T519" s="132"/>
      <c r="U519" s="132"/>
      <c r="V519" s="132"/>
      <c r="W519" s="132"/>
      <c r="X519" s="132"/>
      <c r="Y519" s="132"/>
      <c r="Z519" s="132"/>
    </row>
    <row r="520" spans="1:26" ht="11.25" customHeight="1" x14ac:dyDescent="0.3">
      <c r="A520" s="132"/>
      <c r="B520" s="132"/>
      <c r="C520" s="132"/>
      <c r="D520" s="132"/>
      <c r="E520" s="132"/>
      <c r="F520" s="132"/>
      <c r="G520" s="132"/>
      <c r="H520" s="132"/>
      <c r="I520" s="132"/>
      <c r="J520" s="132"/>
      <c r="K520" s="132"/>
      <c r="L520" s="132"/>
      <c r="M520" s="132"/>
      <c r="N520" s="132"/>
      <c r="O520" s="132"/>
      <c r="P520" s="132"/>
      <c r="Q520" s="132"/>
      <c r="R520" s="132"/>
      <c r="S520" s="132"/>
      <c r="T520" s="132"/>
      <c r="U520" s="132"/>
      <c r="V520" s="132"/>
      <c r="W520" s="132"/>
      <c r="X520" s="132"/>
      <c r="Y520" s="132"/>
      <c r="Z520" s="132"/>
    </row>
    <row r="521" spans="1:26" ht="11.25" customHeight="1" x14ac:dyDescent="0.3">
      <c r="A521" s="132"/>
      <c r="B521" s="132"/>
      <c r="C521" s="132"/>
      <c r="D521" s="132"/>
      <c r="E521" s="132"/>
      <c r="F521" s="132"/>
      <c r="G521" s="132"/>
      <c r="H521" s="132"/>
      <c r="I521" s="132"/>
      <c r="J521" s="132"/>
      <c r="K521" s="132"/>
      <c r="L521" s="132"/>
      <c r="M521" s="132"/>
      <c r="N521" s="132"/>
      <c r="O521" s="132"/>
      <c r="P521" s="132"/>
      <c r="Q521" s="132"/>
      <c r="R521" s="132"/>
      <c r="S521" s="132"/>
      <c r="T521" s="132"/>
      <c r="U521" s="132"/>
      <c r="V521" s="132"/>
      <c r="W521" s="132"/>
      <c r="X521" s="132"/>
      <c r="Y521" s="132"/>
      <c r="Z521" s="132"/>
    </row>
    <row r="522" spans="1:26" ht="11.25" customHeight="1" x14ac:dyDescent="0.3">
      <c r="A522" s="132"/>
      <c r="B522" s="132"/>
      <c r="C522" s="132"/>
      <c r="D522" s="132"/>
      <c r="E522" s="132"/>
      <c r="F522" s="132"/>
      <c r="G522" s="132"/>
      <c r="H522" s="132"/>
      <c r="I522" s="132"/>
      <c r="J522" s="132"/>
      <c r="K522" s="132"/>
      <c r="L522" s="132"/>
      <c r="M522" s="132"/>
      <c r="N522" s="132"/>
      <c r="O522" s="132"/>
      <c r="P522" s="132"/>
      <c r="Q522" s="132"/>
      <c r="R522" s="132"/>
      <c r="S522" s="132"/>
      <c r="T522" s="132"/>
      <c r="U522" s="132"/>
      <c r="V522" s="132"/>
      <c r="W522" s="132"/>
      <c r="X522" s="132"/>
      <c r="Y522" s="132"/>
      <c r="Z522" s="132"/>
    </row>
    <row r="523" spans="1:26" ht="11.25" customHeight="1" x14ac:dyDescent="0.3">
      <c r="A523" s="132"/>
      <c r="B523" s="132"/>
      <c r="C523" s="132"/>
      <c r="D523" s="132"/>
      <c r="E523" s="132"/>
      <c r="F523" s="132"/>
      <c r="G523" s="132"/>
      <c r="H523" s="132"/>
      <c r="I523" s="132"/>
      <c r="J523" s="132"/>
      <c r="K523" s="132"/>
      <c r="L523" s="132"/>
      <c r="M523" s="132"/>
      <c r="N523" s="132"/>
      <c r="O523" s="132"/>
      <c r="P523" s="132"/>
      <c r="Q523" s="132"/>
      <c r="R523" s="132"/>
      <c r="S523" s="132"/>
      <c r="T523" s="132"/>
      <c r="U523" s="132"/>
      <c r="V523" s="132"/>
      <c r="W523" s="132"/>
      <c r="X523" s="132"/>
      <c r="Y523" s="132"/>
      <c r="Z523" s="132"/>
    </row>
    <row r="524" spans="1:26" ht="11.25" customHeight="1" x14ac:dyDescent="0.3">
      <c r="A524" s="132"/>
      <c r="B524" s="132"/>
      <c r="C524" s="132"/>
      <c r="D524" s="132"/>
      <c r="E524" s="132"/>
      <c r="F524" s="132"/>
      <c r="G524" s="132"/>
      <c r="H524" s="132"/>
      <c r="I524" s="132"/>
      <c r="J524" s="132"/>
      <c r="K524" s="132"/>
      <c r="L524" s="132"/>
      <c r="M524" s="132"/>
      <c r="N524" s="132"/>
      <c r="O524" s="132"/>
      <c r="P524" s="132"/>
      <c r="Q524" s="132"/>
      <c r="R524" s="132"/>
      <c r="S524" s="132"/>
      <c r="T524" s="132"/>
      <c r="U524" s="132"/>
      <c r="V524" s="132"/>
      <c r="W524" s="132"/>
      <c r="X524" s="132"/>
      <c r="Y524" s="132"/>
      <c r="Z524" s="132"/>
    </row>
    <row r="525" spans="1:26" ht="11.25" customHeight="1" x14ac:dyDescent="0.3">
      <c r="A525" s="132"/>
      <c r="B525" s="132"/>
      <c r="C525" s="132"/>
      <c r="D525" s="132"/>
      <c r="E525" s="132"/>
      <c r="F525" s="132"/>
      <c r="G525" s="132"/>
      <c r="H525" s="132"/>
      <c r="I525" s="132"/>
      <c r="J525" s="132"/>
      <c r="K525" s="132"/>
      <c r="L525" s="132"/>
      <c r="M525" s="132"/>
      <c r="N525" s="132"/>
      <c r="O525" s="132"/>
      <c r="P525" s="132"/>
      <c r="Q525" s="132"/>
      <c r="R525" s="132"/>
      <c r="S525" s="132"/>
      <c r="T525" s="132"/>
      <c r="U525" s="132"/>
      <c r="V525" s="132"/>
      <c r="W525" s="132"/>
      <c r="X525" s="132"/>
      <c r="Y525" s="132"/>
      <c r="Z525" s="132"/>
    </row>
    <row r="526" spans="1:26" ht="11.25" customHeight="1" x14ac:dyDescent="0.3">
      <c r="A526" s="132"/>
      <c r="B526" s="132"/>
      <c r="C526" s="132"/>
      <c r="D526" s="132"/>
      <c r="E526" s="132"/>
      <c r="F526" s="132"/>
      <c r="G526" s="132"/>
      <c r="H526" s="132"/>
      <c r="I526" s="132"/>
      <c r="J526" s="132"/>
      <c r="K526" s="132"/>
      <c r="L526" s="132"/>
      <c r="M526" s="132"/>
      <c r="N526" s="132"/>
      <c r="O526" s="132"/>
      <c r="P526" s="132"/>
      <c r="Q526" s="132"/>
      <c r="R526" s="132"/>
      <c r="S526" s="132"/>
      <c r="T526" s="132"/>
      <c r="U526" s="132"/>
      <c r="V526" s="132"/>
      <c r="W526" s="132"/>
      <c r="X526" s="132"/>
      <c r="Y526" s="132"/>
      <c r="Z526" s="132"/>
    </row>
    <row r="527" spans="1:26" ht="11.25" customHeight="1" x14ac:dyDescent="0.3">
      <c r="A527" s="132"/>
      <c r="B527" s="132"/>
      <c r="C527" s="132"/>
      <c r="D527" s="132"/>
      <c r="E527" s="132"/>
      <c r="F527" s="132"/>
      <c r="G527" s="132"/>
      <c r="H527" s="132"/>
      <c r="I527" s="132"/>
      <c r="J527" s="132"/>
      <c r="K527" s="132"/>
      <c r="L527" s="132"/>
      <c r="M527" s="132"/>
      <c r="N527" s="132"/>
      <c r="O527" s="132"/>
      <c r="P527" s="132"/>
      <c r="Q527" s="132"/>
      <c r="R527" s="132"/>
      <c r="S527" s="132"/>
      <c r="T527" s="132"/>
      <c r="U527" s="132"/>
      <c r="V527" s="132"/>
      <c r="W527" s="132"/>
      <c r="X527" s="132"/>
      <c r="Y527" s="132"/>
      <c r="Z527" s="132"/>
    </row>
    <row r="528" spans="1:26" ht="11.25" customHeight="1" x14ac:dyDescent="0.3">
      <c r="A528" s="132"/>
      <c r="B528" s="132"/>
      <c r="C528" s="132"/>
      <c r="D528" s="132"/>
      <c r="E528" s="132"/>
      <c r="F528" s="132"/>
      <c r="G528" s="132"/>
      <c r="H528" s="132"/>
      <c r="I528" s="132"/>
      <c r="J528" s="132"/>
      <c r="K528" s="132"/>
      <c r="L528" s="132"/>
      <c r="M528" s="132"/>
      <c r="N528" s="132"/>
      <c r="O528" s="132"/>
      <c r="P528" s="132"/>
      <c r="Q528" s="132"/>
      <c r="R528" s="132"/>
      <c r="S528" s="132"/>
      <c r="T528" s="132"/>
      <c r="U528" s="132"/>
      <c r="V528" s="132"/>
      <c r="W528" s="132"/>
      <c r="X528" s="132"/>
      <c r="Y528" s="132"/>
      <c r="Z528" s="132"/>
    </row>
    <row r="529" spans="1:26" ht="11.25" customHeight="1" x14ac:dyDescent="0.3">
      <c r="A529" s="132"/>
      <c r="B529" s="132"/>
      <c r="C529" s="132"/>
      <c r="D529" s="132"/>
      <c r="E529" s="132"/>
      <c r="F529" s="132"/>
      <c r="G529" s="132"/>
      <c r="H529" s="132"/>
      <c r="I529" s="132"/>
      <c r="J529" s="132"/>
      <c r="K529" s="132"/>
      <c r="L529" s="132"/>
      <c r="M529" s="132"/>
      <c r="N529" s="132"/>
      <c r="O529" s="132"/>
      <c r="P529" s="132"/>
      <c r="Q529" s="132"/>
      <c r="R529" s="132"/>
      <c r="S529" s="132"/>
      <c r="T529" s="132"/>
      <c r="U529" s="132"/>
      <c r="V529" s="132"/>
      <c r="W529" s="132"/>
      <c r="X529" s="132"/>
      <c r="Y529" s="132"/>
      <c r="Z529" s="132"/>
    </row>
    <row r="530" spans="1:26" ht="11.25" customHeight="1" x14ac:dyDescent="0.3">
      <c r="A530" s="132"/>
      <c r="B530" s="132"/>
      <c r="C530" s="132"/>
      <c r="D530" s="132"/>
      <c r="E530" s="132"/>
      <c r="F530" s="132"/>
      <c r="G530" s="132"/>
      <c r="H530" s="132"/>
      <c r="I530" s="132"/>
      <c r="J530" s="132"/>
      <c r="K530" s="132"/>
      <c r="L530" s="132"/>
      <c r="M530" s="132"/>
      <c r="N530" s="132"/>
      <c r="O530" s="132"/>
      <c r="P530" s="132"/>
      <c r="Q530" s="132"/>
      <c r="R530" s="132"/>
      <c r="S530" s="132"/>
      <c r="T530" s="132"/>
      <c r="U530" s="132"/>
      <c r="V530" s="132"/>
      <c r="W530" s="132"/>
      <c r="X530" s="132"/>
      <c r="Y530" s="132"/>
      <c r="Z530" s="132"/>
    </row>
    <row r="531" spans="1:26" ht="11.25" customHeight="1" x14ac:dyDescent="0.3">
      <c r="A531" s="132"/>
      <c r="B531" s="132"/>
      <c r="C531" s="132"/>
      <c r="D531" s="132"/>
      <c r="E531" s="132"/>
      <c r="F531" s="132"/>
      <c r="G531" s="132"/>
      <c r="H531" s="132"/>
      <c r="I531" s="132"/>
      <c r="J531" s="132"/>
      <c r="K531" s="132"/>
      <c r="L531" s="132"/>
      <c r="M531" s="132"/>
      <c r="N531" s="132"/>
      <c r="O531" s="132"/>
      <c r="P531" s="132"/>
      <c r="Q531" s="132"/>
      <c r="R531" s="132"/>
      <c r="S531" s="132"/>
      <c r="T531" s="132"/>
      <c r="U531" s="132"/>
      <c r="V531" s="132"/>
      <c r="W531" s="132"/>
      <c r="X531" s="132"/>
      <c r="Y531" s="132"/>
      <c r="Z531" s="132"/>
    </row>
    <row r="532" spans="1:26" ht="11.25" customHeight="1" x14ac:dyDescent="0.3">
      <c r="A532" s="132"/>
      <c r="B532" s="132"/>
      <c r="C532" s="132"/>
      <c r="D532" s="132"/>
      <c r="E532" s="132"/>
      <c r="F532" s="132"/>
      <c r="G532" s="132"/>
      <c r="H532" s="132"/>
      <c r="I532" s="132"/>
      <c r="J532" s="132"/>
      <c r="K532" s="132"/>
      <c r="L532" s="132"/>
      <c r="M532" s="132"/>
      <c r="N532" s="132"/>
      <c r="O532" s="132"/>
      <c r="P532" s="132"/>
      <c r="Q532" s="132"/>
      <c r="R532" s="132"/>
      <c r="S532" s="132"/>
      <c r="T532" s="132"/>
      <c r="U532" s="132"/>
      <c r="V532" s="132"/>
      <c r="W532" s="132"/>
      <c r="X532" s="132"/>
      <c r="Y532" s="132"/>
      <c r="Z532" s="132"/>
    </row>
    <row r="533" spans="1:26" ht="11.25" customHeight="1" x14ac:dyDescent="0.3">
      <c r="A533" s="132"/>
      <c r="B533" s="132"/>
      <c r="C533" s="132"/>
      <c r="D533" s="132"/>
      <c r="E533" s="132"/>
      <c r="F533" s="132"/>
      <c r="G533" s="132"/>
      <c r="H533" s="132"/>
      <c r="I533" s="132"/>
      <c r="J533" s="132"/>
      <c r="K533" s="132"/>
      <c r="L533" s="132"/>
      <c r="M533" s="132"/>
      <c r="N533" s="132"/>
      <c r="O533" s="132"/>
      <c r="P533" s="132"/>
      <c r="Q533" s="132"/>
      <c r="R533" s="132"/>
      <c r="S533" s="132"/>
      <c r="T533" s="132"/>
      <c r="U533" s="132"/>
      <c r="V533" s="132"/>
      <c r="W533" s="132"/>
      <c r="X533" s="132"/>
      <c r="Y533" s="132"/>
      <c r="Z533" s="132"/>
    </row>
    <row r="534" spans="1:26" ht="11.25" customHeight="1" x14ac:dyDescent="0.3">
      <c r="A534" s="132"/>
      <c r="B534" s="132"/>
      <c r="C534" s="132"/>
      <c r="D534" s="132"/>
      <c r="E534" s="132"/>
      <c r="F534" s="132"/>
      <c r="G534" s="132"/>
      <c r="H534" s="132"/>
      <c r="I534" s="132"/>
      <c r="J534" s="132"/>
      <c r="K534" s="132"/>
      <c r="L534" s="132"/>
      <c r="M534" s="132"/>
      <c r="N534" s="132"/>
      <c r="O534" s="132"/>
      <c r="P534" s="132"/>
      <c r="Q534" s="132"/>
      <c r="R534" s="132"/>
      <c r="S534" s="132"/>
      <c r="T534" s="132"/>
      <c r="U534" s="132"/>
      <c r="V534" s="132"/>
      <c r="W534" s="132"/>
      <c r="X534" s="132"/>
      <c r="Y534" s="132"/>
      <c r="Z534" s="132"/>
    </row>
    <row r="535" spans="1:26" ht="11.25" customHeight="1" x14ac:dyDescent="0.3">
      <c r="A535" s="132"/>
      <c r="B535" s="132"/>
      <c r="C535" s="132"/>
      <c r="D535" s="132"/>
      <c r="E535" s="132"/>
      <c r="F535" s="132"/>
      <c r="G535" s="132"/>
      <c r="H535" s="132"/>
      <c r="I535" s="132"/>
      <c r="J535" s="132"/>
      <c r="K535" s="132"/>
      <c r="L535" s="132"/>
      <c r="M535" s="132"/>
      <c r="N535" s="132"/>
      <c r="O535" s="132"/>
      <c r="P535" s="132"/>
      <c r="Q535" s="132"/>
      <c r="R535" s="132"/>
      <c r="S535" s="132"/>
      <c r="T535" s="132"/>
      <c r="U535" s="132"/>
      <c r="V535" s="132"/>
      <c r="W535" s="132"/>
      <c r="X535" s="132"/>
      <c r="Y535" s="132"/>
      <c r="Z535" s="132"/>
    </row>
    <row r="536" spans="1:26" ht="11.25" customHeight="1" x14ac:dyDescent="0.3">
      <c r="A536" s="132"/>
      <c r="B536" s="132"/>
      <c r="C536" s="132"/>
      <c r="D536" s="132"/>
      <c r="E536" s="132"/>
      <c r="F536" s="132"/>
      <c r="G536" s="132"/>
      <c r="H536" s="132"/>
      <c r="I536" s="132"/>
      <c r="J536" s="132"/>
      <c r="K536" s="132"/>
      <c r="L536" s="132"/>
      <c r="M536" s="132"/>
      <c r="N536" s="132"/>
      <c r="O536" s="132"/>
      <c r="P536" s="132"/>
      <c r="Q536" s="132"/>
      <c r="R536" s="132"/>
      <c r="S536" s="132"/>
      <c r="T536" s="132"/>
      <c r="U536" s="132"/>
      <c r="V536" s="132"/>
      <c r="W536" s="132"/>
      <c r="X536" s="132"/>
      <c r="Y536" s="132"/>
      <c r="Z536" s="132"/>
    </row>
    <row r="537" spans="1:26" ht="11.25" customHeight="1" x14ac:dyDescent="0.3">
      <c r="A537" s="132"/>
      <c r="B537" s="132"/>
      <c r="C537" s="132"/>
      <c r="D537" s="132"/>
      <c r="E537" s="132"/>
      <c r="F537" s="132"/>
      <c r="G537" s="132"/>
      <c r="H537" s="132"/>
      <c r="I537" s="132"/>
      <c r="J537" s="132"/>
      <c r="K537" s="132"/>
      <c r="L537" s="132"/>
      <c r="M537" s="132"/>
      <c r="N537" s="132"/>
      <c r="O537" s="132"/>
      <c r="P537" s="132"/>
      <c r="Q537" s="132"/>
      <c r="R537" s="132"/>
      <c r="S537" s="132"/>
      <c r="T537" s="132"/>
      <c r="U537" s="132"/>
      <c r="V537" s="132"/>
      <c r="W537" s="132"/>
      <c r="X537" s="132"/>
      <c r="Y537" s="132"/>
      <c r="Z537" s="132"/>
    </row>
    <row r="538" spans="1:26" ht="11.25" customHeight="1" x14ac:dyDescent="0.3">
      <c r="A538" s="132"/>
      <c r="B538" s="132"/>
      <c r="C538" s="132"/>
      <c r="D538" s="132"/>
      <c r="E538" s="132"/>
      <c r="F538" s="132"/>
      <c r="G538" s="132"/>
      <c r="H538" s="132"/>
      <c r="I538" s="132"/>
      <c r="J538" s="132"/>
      <c r="K538" s="132"/>
      <c r="L538" s="132"/>
      <c r="M538" s="132"/>
      <c r="N538" s="132"/>
      <c r="O538" s="132"/>
      <c r="P538" s="132"/>
      <c r="Q538" s="132"/>
      <c r="R538" s="132"/>
      <c r="S538" s="132"/>
      <c r="T538" s="132"/>
      <c r="U538" s="132"/>
      <c r="V538" s="132"/>
      <c r="W538" s="132"/>
      <c r="X538" s="132"/>
      <c r="Y538" s="132"/>
      <c r="Z538" s="132"/>
    </row>
    <row r="539" spans="1:26" ht="11.25" customHeight="1" x14ac:dyDescent="0.3">
      <c r="A539" s="132"/>
      <c r="B539" s="132"/>
      <c r="C539" s="132"/>
      <c r="D539" s="132"/>
      <c r="E539" s="132"/>
      <c r="F539" s="132"/>
      <c r="G539" s="132"/>
      <c r="H539" s="132"/>
      <c r="I539" s="132"/>
      <c r="J539" s="132"/>
      <c r="K539" s="132"/>
      <c r="L539" s="132"/>
      <c r="M539" s="132"/>
      <c r="N539" s="132"/>
      <c r="O539" s="132"/>
      <c r="P539" s="132"/>
      <c r="Q539" s="132"/>
      <c r="R539" s="132"/>
      <c r="S539" s="132"/>
      <c r="T539" s="132"/>
      <c r="U539" s="132"/>
      <c r="V539" s="132"/>
      <c r="W539" s="132"/>
      <c r="X539" s="132"/>
      <c r="Y539" s="132"/>
      <c r="Z539" s="132"/>
    </row>
    <row r="540" spans="1:26" ht="11.25" customHeight="1" x14ac:dyDescent="0.3">
      <c r="A540" s="132"/>
      <c r="B540" s="132"/>
      <c r="C540" s="132"/>
      <c r="D540" s="132"/>
      <c r="E540" s="132"/>
      <c r="F540" s="132"/>
      <c r="G540" s="132"/>
      <c r="H540" s="132"/>
      <c r="I540" s="132"/>
      <c r="J540" s="132"/>
      <c r="K540" s="132"/>
      <c r="L540" s="132"/>
      <c r="M540" s="132"/>
      <c r="N540" s="132"/>
      <c r="O540" s="132"/>
      <c r="P540" s="132"/>
      <c r="Q540" s="132"/>
      <c r="R540" s="132"/>
      <c r="S540" s="132"/>
      <c r="T540" s="132"/>
      <c r="U540" s="132"/>
      <c r="V540" s="132"/>
      <c r="W540" s="132"/>
      <c r="X540" s="132"/>
      <c r="Y540" s="132"/>
      <c r="Z540" s="132"/>
    </row>
    <row r="541" spans="1:26" ht="11.25" customHeight="1" x14ac:dyDescent="0.3">
      <c r="A541" s="132"/>
      <c r="B541" s="132"/>
      <c r="C541" s="132"/>
      <c r="D541" s="132"/>
      <c r="E541" s="132"/>
      <c r="F541" s="132"/>
      <c r="G541" s="132"/>
      <c r="H541" s="132"/>
      <c r="I541" s="132"/>
      <c r="J541" s="132"/>
      <c r="K541" s="132"/>
      <c r="L541" s="132"/>
      <c r="M541" s="132"/>
      <c r="N541" s="132"/>
      <c r="O541" s="132"/>
      <c r="P541" s="132"/>
      <c r="Q541" s="132"/>
      <c r="R541" s="132"/>
      <c r="S541" s="132"/>
      <c r="T541" s="132"/>
      <c r="U541" s="132"/>
      <c r="V541" s="132"/>
      <c r="W541" s="132"/>
      <c r="X541" s="132"/>
      <c r="Y541" s="132"/>
      <c r="Z541" s="132"/>
    </row>
    <row r="542" spans="1:26" ht="11.25" customHeight="1" x14ac:dyDescent="0.3">
      <c r="A542" s="132"/>
      <c r="B542" s="132"/>
      <c r="C542" s="132"/>
      <c r="D542" s="132"/>
      <c r="E542" s="132"/>
      <c r="F542" s="132"/>
      <c r="G542" s="132"/>
      <c r="H542" s="132"/>
      <c r="I542" s="132"/>
      <c r="J542" s="132"/>
      <c r="K542" s="132"/>
      <c r="L542" s="132"/>
      <c r="M542" s="132"/>
      <c r="N542" s="132"/>
      <c r="O542" s="132"/>
      <c r="P542" s="132"/>
      <c r="Q542" s="132"/>
      <c r="R542" s="132"/>
      <c r="S542" s="132"/>
      <c r="T542" s="132"/>
      <c r="U542" s="132"/>
      <c r="V542" s="132"/>
      <c r="W542" s="132"/>
      <c r="X542" s="132"/>
      <c r="Y542" s="132"/>
      <c r="Z542" s="132"/>
    </row>
    <row r="543" spans="1:26" ht="11.25" customHeight="1" x14ac:dyDescent="0.3">
      <c r="A543" s="132"/>
      <c r="B543" s="132"/>
      <c r="C543" s="132"/>
      <c r="D543" s="132"/>
      <c r="E543" s="132"/>
      <c r="F543" s="132"/>
      <c r="G543" s="132"/>
      <c r="H543" s="132"/>
      <c r="I543" s="132"/>
      <c r="J543" s="132"/>
      <c r="K543" s="132"/>
      <c r="L543" s="132"/>
      <c r="M543" s="132"/>
      <c r="N543" s="132"/>
      <c r="O543" s="132"/>
      <c r="P543" s="132"/>
      <c r="Q543" s="132"/>
      <c r="R543" s="132"/>
      <c r="S543" s="132"/>
      <c r="T543" s="132"/>
      <c r="U543" s="132"/>
      <c r="V543" s="132"/>
      <c r="W543" s="132"/>
      <c r="X543" s="132"/>
      <c r="Y543" s="132"/>
      <c r="Z543" s="132"/>
    </row>
    <row r="544" spans="1:26" ht="11.25" customHeight="1" x14ac:dyDescent="0.3">
      <c r="A544" s="132"/>
      <c r="B544" s="132"/>
      <c r="C544" s="132"/>
      <c r="D544" s="132"/>
      <c r="E544" s="132"/>
      <c r="F544" s="132"/>
      <c r="G544" s="132"/>
      <c r="H544" s="132"/>
      <c r="I544" s="132"/>
      <c r="J544" s="132"/>
      <c r="K544" s="132"/>
      <c r="L544" s="132"/>
      <c r="M544" s="132"/>
      <c r="N544" s="132"/>
      <c r="O544" s="132"/>
      <c r="P544" s="132"/>
      <c r="Q544" s="132"/>
      <c r="R544" s="132"/>
      <c r="S544" s="132"/>
      <c r="T544" s="132"/>
      <c r="U544" s="132"/>
      <c r="V544" s="132"/>
      <c r="W544" s="132"/>
      <c r="X544" s="132"/>
      <c r="Y544" s="132"/>
      <c r="Z544" s="132"/>
    </row>
    <row r="545" spans="1:26" ht="11.25" customHeight="1" x14ac:dyDescent="0.3">
      <c r="A545" s="132"/>
      <c r="B545" s="132"/>
      <c r="C545" s="132"/>
      <c r="D545" s="132"/>
      <c r="E545" s="132"/>
      <c r="F545" s="132"/>
      <c r="G545" s="132"/>
      <c r="H545" s="132"/>
      <c r="I545" s="132"/>
      <c r="J545" s="132"/>
      <c r="K545" s="132"/>
      <c r="L545" s="132"/>
      <c r="M545" s="132"/>
      <c r="N545" s="132"/>
      <c r="O545" s="132"/>
      <c r="P545" s="132"/>
      <c r="Q545" s="132"/>
      <c r="R545" s="132"/>
      <c r="S545" s="132"/>
      <c r="T545" s="132"/>
      <c r="U545" s="132"/>
      <c r="V545" s="132"/>
      <c r="W545" s="132"/>
      <c r="X545" s="132"/>
      <c r="Y545" s="132"/>
      <c r="Z545" s="132"/>
    </row>
    <row r="546" spans="1:26" ht="11.25" customHeight="1" x14ac:dyDescent="0.3">
      <c r="A546" s="132"/>
      <c r="B546" s="132"/>
      <c r="C546" s="132"/>
      <c r="D546" s="132"/>
      <c r="E546" s="132"/>
      <c r="F546" s="132"/>
      <c r="G546" s="132"/>
      <c r="H546" s="132"/>
      <c r="I546" s="132"/>
      <c r="J546" s="132"/>
      <c r="K546" s="132"/>
      <c r="L546" s="132"/>
      <c r="M546" s="132"/>
      <c r="N546" s="132"/>
      <c r="O546" s="132"/>
      <c r="P546" s="132"/>
      <c r="Q546" s="132"/>
      <c r="R546" s="132"/>
      <c r="S546" s="132"/>
      <c r="T546" s="132"/>
      <c r="U546" s="132"/>
      <c r="V546" s="132"/>
      <c r="W546" s="132"/>
      <c r="X546" s="132"/>
      <c r="Y546" s="132"/>
      <c r="Z546" s="132"/>
    </row>
    <row r="547" spans="1:26" ht="11.25" customHeight="1" x14ac:dyDescent="0.3">
      <c r="A547" s="132"/>
      <c r="B547" s="132"/>
      <c r="C547" s="132"/>
      <c r="D547" s="132"/>
      <c r="E547" s="132"/>
      <c r="F547" s="132"/>
      <c r="G547" s="132"/>
      <c r="H547" s="132"/>
      <c r="I547" s="132"/>
      <c r="J547" s="132"/>
      <c r="K547" s="132"/>
      <c r="L547" s="132"/>
      <c r="M547" s="132"/>
      <c r="N547" s="132"/>
      <c r="O547" s="132"/>
      <c r="P547" s="132"/>
      <c r="Q547" s="132"/>
      <c r="R547" s="132"/>
      <c r="S547" s="132"/>
      <c r="T547" s="132"/>
      <c r="U547" s="132"/>
      <c r="V547" s="132"/>
      <c r="W547" s="132"/>
      <c r="X547" s="132"/>
      <c r="Y547" s="132"/>
      <c r="Z547" s="132"/>
    </row>
    <row r="548" spans="1:26" ht="11.25" customHeight="1" x14ac:dyDescent="0.3">
      <c r="A548" s="132"/>
      <c r="B548" s="132"/>
      <c r="C548" s="132"/>
      <c r="D548" s="132"/>
      <c r="E548" s="132"/>
      <c r="F548" s="132"/>
      <c r="G548" s="132"/>
      <c r="H548" s="132"/>
      <c r="I548" s="132"/>
      <c r="J548" s="132"/>
      <c r="K548" s="132"/>
      <c r="L548" s="132"/>
      <c r="M548" s="132"/>
      <c r="N548" s="132"/>
      <c r="O548" s="132"/>
      <c r="P548" s="132"/>
      <c r="Q548" s="132"/>
      <c r="R548" s="132"/>
      <c r="S548" s="132"/>
      <c r="T548" s="132"/>
      <c r="U548" s="132"/>
      <c r="V548" s="132"/>
      <c r="W548" s="132"/>
      <c r="X548" s="132"/>
      <c r="Y548" s="132"/>
      <c r="Z548" s="132"/>
    </row>
    <row r="549" spans="1:26" ht="11.25" customHeight="1" x14ac:dyDescent="0.3">
      <c r="A549" s="132"/>
      <c r="B549" s="132"/>
      <c r="C549" s="132"/>
      <c r="D549" s="132"/>
      <c r="E549" s="132"/>
      <c r="F549" s="132"/>
      <c r="G549" s="132"/>
      <c r="H549" s="132"/>
      <c r="I549" s="132"/>
      <c r="J549" s="132"/>
      <c r="K549" s="132"/>
      <c r="L549" s="132"/>
      <c r="M549" s="132"/>
      <c r="N549" s="132"/>
      <c r="O549" s="132"/>
      <c r="P549" s="132"/>
      <c r="Q549" s="132"/>
      <c r="R549" s="132"/>
      <c r="S549" s="132"/>
      <c r="T549" s="132"/>
      <c r="U549" s="132"/>
      <c r="V549" s="132"/>
      <c r="W549" s="132"/>
      <c r="X549" s="132"/>
      <c r="Y549" s="132"/>
      <c r="Z549" s="132"/>
    </row>
    <row r="550" spans="1:26" ht="11.25" customHeight="1" x14ac:dyDescent="0.3">
      <c r="A550" s="132"/>
      <c r="B550" s="132"/>
      <c r="C550" s="132"/>
      <c r="D550" s="132"/>
      <c r="E550" s="132"/>
      <c r="F550" s="132"/>
      <c r="G550" s="132"/>
      <c r="H550" s="132"/>
      <c r="I550" s="132"/>
      <c r="J550" s="132"/>
      <c r="K550" s="132"/>
      <c r="L550" s="132"/>
      <c r="M550" s="132"/>
      <c r="N550" s="132"/>
      <c r="O550" s="132"/>
      <c r="P550" s="132"/>
      <c r="Q550" s="132"/>
      <c r="R550" s="132"/>
      <c r="S550" s="132"/>
      <c r="T550" s="132"/>
      <c r="U550" s="132"/>
      <c r="V550" s="132"/>
      <c r="W550" s="132"/>
      <c r="X550" s="132"/>
      <c r="Y550" s="132"/>
      <c r="Z550" s="132"/>
    </row>
    <row r="551" spans="1:26" ht="11.25" customHeight="1" x14ac:dyDescent="0.3">
      <c r="A551" s="132"/>
      <c r="B551" s="132"/>
      <c r="C551" s="132"/>
      <c r="D551" s="132"/>
      <c r="E551" s="132"/>
      <c r="F551" s="132"/>
      <c r="G551" s="132"/>
      <c r="H551" s="132"/>
      <c r="I551" s="132"/>
      <c r="J551" s="132"/>
      <c r="K551" s="132"/>
      <c r="L551" s="132"/>
      <c r="M551" s="132"/>
      <c r="N551" s="132"/>
      <c r="O551" s="132"/>
      <c r="P551" s="132"/>
      <c r="Q551" s="132"/>
      <c r="R551" s="132"/>
      <c r="S551" s="132"/>
      <c r="T551" s="132"/>
      <c r="U551" s="132"/>
      <c r="V551" s="132"/>
      <c r="W551" s="132"/>
      <c r="X551" s="132"/>
      <c r="Y551" s="132"/>
      <c r="Z551" s="132"/>
    </row>
    <row r="552" spans="1:26" ht="11.25" customHeight="1" x14ac:dyDescent="0.3">
      <c r="A552" s="132"/>
      <c r="B552" s="132"/>
      <c r="C552" s="132"/>
      <c r="D552" s="132"/>
      <c r="E552" s="132"/>
      <c r="F552" s="132"/>
      <c r="G552" s="132"/>
      <c r="H552" s="132"/>
      <c r="I552" s="132"/>
      <c r="J552" s="132"/>
      <c r="K552" s="132"/>
      <c r="L552" s="132"/>
      <c r="M552" s="132"/>
      <c r="N552" s="132"/>
      <c r="O552" s="132"/>
      <c r="P552" s="132"/>
      <c r="Q552" s="132"/>
      <c r="R552" s="132"/>
      <c r="S552" s="132"/>
      <c r="T552" s="132"/>
      <c r="U552" s="132"/>
      <c r="V552" s="132"/>
      <c r="W552" s="132"/>
      <c r="X552" s="132"/>
      <c r="Y552" s="132"/>
      <c r="Z552" s="132"/>
    </row>
    <row r="553" spans="1:26" ht="11.25" customHeight="1" x14ac:dyDescent="0.3">
      <c r="A553" s="132"/>
      <c r="B553" s="132"/>
      <c r="C553" s="132"/>
      <c r="D553" s="132"/>
      <c r="E553" s="132"/>
      <c r="F553" s="132"/>
      <c r="G553" s="132"/>
      <c r="H553" s="132"/>
      <c r="I553" s="132"/>
      <c r="J553" s="132"/>
      <c r="K553" s="132"/>
      <c r="L553" s="132"/>
      <c r="M553" s="132"/>
      <c r="N553" s="132"/>
      <c r="O553" s="132"/>
      <c r="P553" s="132"/>
      <c r="Q553" s="132"/>
      <c r="R553" s="132"/>
      <c r="S553" s="132"/>
      <c r="T553" s="132"/>
      <c r="U553" s="132"/>
      <c r="V553" s="132"/>
      <c r="W553" s="132"/>
      <c r="X553" s="132"/>
      <c r="Y553" s="132"/>
      <c r="Z553" s="132"/>
    </row>
    <row r="554" spans="1:26" ht="11.25" customHeight="1" x14ac:dyDescent="0.3">
      <c r="A554" s="132"/>
      <c r="B554" s="132"/>
      <c r="C554" s="132"/>
      <c r="D554" s="132"/>
      <c r="E554" s="132"/>
      <c r="F554" s="132"/>
      <c r="G554" s="132"/>
      <c r="H554" s="132"/>
      <c r="I554" s="132"/>
      <c r="J554" s="132"/>
      <c r="K554" s="132"/>
      <c r="L554" s="132"/>
      <c r="M554" s="132"/>
      <c r="N554" s="132"/>
      <c r="O554" s="132"/>
      <c r="P554" s="132"/>
      <c r="Q554" s="132"/>
      <c r="R554" s="132"/>
      <c r="S554" s="132"/>
      <c r="T554" s="132"/>
      <c r="U554" s="132"/>
      <c r="V554" s="132"/>
      <c r="W554" s="132"/>
      <c r="X554" s="132"/>
      <c r="Y554" s="132"/>
      <c r="Z554" s="132"/>
    </row>
    <row r="555" spans="1:26" ht="11.25" customHeight="1" x14ac:dyDescent="0.3">
      <c r="A555" s="132"/>
      <c r="B555" s="132"/>
      <c r="C555" s="132"/>
      <c r="D555" s="132"/>
      <c r="E555" s="132"/>
      <c r="F555" s="132"/>
      <c r="G555" s="132"/>
      <c r="H555" s="132"/>
      <c r="I555" s="132"/>
      <c r="J555" s="132"/>
      <c r="K555" s="132"/>
      <c r="L555" s="132"/>
      <c r="M555" s="132"/>
      <c r="N555" s="132"/>
      <c r="O555" s="132"/>
      <c r="P555" s="132"/>
      <c r="Q555" s="132"/>
      <c r="R555" s="132"/>
      <c r="S555" s="132"/>
      <c r="T555" s="132"/>
      <c r="U555" s="132"/>
      <c r="V555" s="132"/>
      <c r="W555" s="132"/>
      <c r="X555" s="132"/>
      <c r="Y555" s="132"/>
      <c r="Z555" s="132"/>
    </row>
    <row r="556" spans="1:26" ht="11.25" customHeight="1" x14ac:dyDescent="0.3">
      <c r="A556" s="132"/>
      <c r="B556" s="132"/>
      <c r="C556" s="132"/>
      <c r="D556" s="132"/>
      <c r="E556" s="132"/>
      <c r="F556" s="132"/>
      <c r="G556" s="132"/>
      <c r="H556" s="132"/>
      <c r="I556" s="132"/>
      <c r="J556" s="132"/>
      <c r="K556" s="132"/>
      <c r="L556" s="132"/>
      <c r="M556" s="132"/>
      <c r="N556" s="132"/>
      <c r="O556" s="132"/>
      <c r="P556" s="132"/>
      <c r="Q556" s="132"/>
      <c r="R556" s="132"/>
      <c r="S556" s="132"/>
      <c r="T556" s="132"/>
      <c r="U556" s="132"/>
      <c r="V556" s="132"/>
      <c r="W556" s="132"/>
      <c r="X556" s="132"/>
      <c r="Y556" s="132"/>
      <c r="Z556" s="132"/>
    </row>
    <row r="557" spans="1:26" ht="11.25" customHeight="1" x14ac:dyDescent="0.3">
      <c r="A557" s="132"/>
      <c r="B557" s="132"/>
      <c r="C557" s="132"/>
      <c r="D557" s="132"/>
      <c r="E557" s="132"/>
      <c r="F557" s="132"/>
      <c r="G557" s="132"/>
      <c r="H557" s="132"/>
      <c r="I557" s="132"/>
      <c r="J557" s="132"/>
      <c r="K557" s="132"/>
      <c r="L557" s="132"/>
      <c r="M557" s="132"/>
      <c r="N557" s="132"/>
      <c r="O557" s="132"/>
      <c r="P557" s="132"/>
      <c r="Q557" s="132"/>
      <c r="R557" s="132"/>
      <c r="S557" s="132"/>
      <c r="T557" s="132"/>
      <c r="U557" s="132"/>
      <c r="V557" s="132"/>
      <c r="W557" s="132"/>
      <c r="X557" s="132"/>
      <c r="Y557" s="132"/>
      <c r="Z557" s="132"/>
    </row>
    <row r="558" spans="1:26" ht="11.25" customHeight="1" x14ac:dyDescent="0.3">
      <c r="A558" s="132"/>
      <c r="B558" s="132"/>
      <c r="C558" s="132"/>
      <c r="D558" s="132"/>
      <c r="E558" s="132"/>
      <c r="F558" s="132"/>
      <c r="G558" s="132"/>
      <c r="H558" s="132"/>
      <c r="I558" s="132"/>
      <c r="J558" s="132"/>
      <c r="K558" s="132"/>
      <c r="L558" s="132"/>
      <c r="M558" s="132"/>
      <c r="N558" s="132"/>
      <c r="O558" s="132"/>
      <c r="P558" s="132"/>
      <c r="Q558" s="132"/>
      <c r="R558" s="132"/>
      <c r="S558" s="132"/>
      <c r="T558" s="132"/>
      <c r="U558" s="132"/>
      <c r="V558" s="132"/>
      <c r="W558" s="132"/>
      <c r="X558" s="132"/>
      <c r="Y558" s="132"/>
      <c r="Z558" s="132"/>
    </row>
    <row r="559" spans="1:26" ht="11.25" customHeight="1" x14ac:dyDescent="0.3">
      <c r="A559" s="132"/>
      <c r="B559" s="132"/>
      <c r="C559" s="132"/>
      <c r="D559" s="132"/>
      <c r="E559" s="132"/>
      <c r="F559" s="132"/>
      <c r="G559" s="132"/>
      <c r="H559" s="132"/>
      <c r="I559" s="132"/>
      <c r="J559" s="132"/>
      <c r="K559" s="132"/>
      <c r="L559" s="132"/>
      <c r="M559" s="132"/>
      <c r="N559" s="132"/>
      <c r="O559" s="132"/>
      <c r="P559" s="132"/>
      <c r="Q559" s="132"/>
      <c r="R559" s="132"/>
      <c r="S559" s="132"/>
      <c r="T559" s="132"/>
      <c r="U559" s="132"/>
      <c r="V559" s="132"/>
      <c r="W559" s="132"/>
      <c r="X559" s="132"/>
      <c r="Y559" s="132"/>
      <c r="Z559" s="132"/>
    </row>
    <row r="560" spans="1:26" ht="11.25" customHeight="1" x14ac:dyDescent="0.3">
      <c r="A560" s="132"/>
      <c r="B560" s="132"/>
      <c r="C560" s="132"/>
      <c r="D560" s="132"/>
      <c r="E560" s="132"/>
      <c r="F560" s="132"/>
      <c r="G560" s="132"/>
      <c r="H560" s="132"/>
      <c r="I560" s="132"/>
      <c r="J560" s="132"/>
      <c r="K560" s="132"/>
      <c r="L560" s="132"/>
      <c r="M560" s="132"/>
      <c r="N560" s="132"/>
      <c r="O560" s="132"/>
      <c r="P560" s="132"/>
      <c r="Q560" s="132"/>
      <c r="R560" s="132"/>
      <c r="S560" s="132"/>
      <c r="T560" s="132"/>
      <c r="U560" s="132"/>
      <c r="V560" s="132"/>
      <c r="W560" s="132"/>
      <c r="X560" s="132"/>
      <c r="Y560" s="132"/>
      <c r="Z560" s="132"/>
    </row>
    <row r="561" spans="1:26" ht="11.25" customHeight="1" x14ac:dyDescent="0.3">
      <c r="A561" s="132"/>
      <c r="B561" s="132"/>
      <c r="C561" s="132"/>
      <c r="D561" s="132"/>
      <c r="E561" s="132"/>
      <c r="F561" s="132"/>
      <c r="G561" s="132"/>
      <c r="H561" s="132"/>
      <c r="I561" s="132"/>
      <c r="J561" s="132"/>
      <c r="K561" s="132"/>
      <c r="L561" s="132"/>
      <c r="M561" s="132"/>
      <c r="N561" s="132"/>
      <c r="O561" s="132"/>
      <c r="P561" s="132"/>
      <c r="Q561" s="132"/>
      <c r="R561" s="132"/>
      <c r="S561" s="132"/>
      <c r="T561" s="132"/>
      <c r="U561" s="132"/>
      <c r="V561" s="132"/>
      <c r="W561" s="132"/>
      <c r="X561" s="132"/>
      <c r="Y561" s="132"/>
      <c r="Z561" s="132"/>
    </row>
    <row r="562" spans="1:26" ht="11.25" customHeight="1" x14ac:dyDescent="0.3">
      <c r="A562" s="132"/>
      <c r="B562" s="132"/>
      <c r="C562" s="132"/>
      <c r="D562" s="132"/>
      <c r="E562" s="132"/>
      <c r="F562" s="132"/>
      <c r="G562" s="132"/>
      <c r="H562" s="132"/>
      <c r="I562" s="132"/>
      <c r="J562" s="132"/>
      <c r="K562" s="132"/>
      <c r="L562" s="132"/>
      <c r="M562" s="132"/>
      <c r="N562" s="132"/>
      <c r="O562" s="132"/>
      <c r="P562" s="132"/>
      <c r="Q562" s="132"/>
      <c r="R562" s="132"/>
      <c r="S562" s="132"/>
      <c r="T562" s="132"/>
      <c r="U562" s="132"/>
      <c r="V562" s="132"/>
      <c r="W562" s="132"/>
      <c r="X562" s="132"/>
      <c r="Y562" s="132"/>
      <c r="Z562" s="132"/>
    </row>
    <row r="563" spans="1:26" ht="11.25" customHeight="1" x14ac:dyDescent="0.3">
      <c r="A563" s="132"/>
      <c r="B563" s="132"/>
      <c r="C563" s="132"/>
      <c r="D563" s="132"/>
      <c r="E563" s="132"/>
      <c r="F563" s="132"/>
      <c r="G563" s="132"/>
      <c r="H563" s="132"/>
      <c r="I563" s="132"/>
      <c r="J563" s="132"/>
      <c r="K563" s="132"/>
      <c r="L563" s="132"/>
      <c r="M563" s="132"/>
      <c r="N563" s="132"/>
      <c r="O563" s="132"/>
      <c r="P563" s="132"/>
      <c r="Q563" s="132"/>
      <c r="R563" s="132"/>
      <c r="S563" s="132"/>
      <c r="T563" s="132"/>
      <c r="U563" s="132"/>
      <c r="V563" s="132"/>
      <c r="W563" s="132"/>
      <c r="X563" s="132"/>
      <c r="Y563" s="132"/>
      <c r="Z563" s="132"/>
    </row>
    <row r="564" spans="1:26" ht="11.25" customHeight="1" x14ac:dyDescent="0.3">
      <c r="A564" s="132"/>
      <c r="B564" s="132"/>
      <c r="C564" s="132"/>
      <c r="D564" s="132"/>
      <c r="E564" s="132"/>
      <c r="F564" s="132"/>
      <c r="G564" s="132"/>
      <c r="H564" s="132"/>
      <c r="I564" s="132"/>
      <c r="J564" s="132"/>
      <c r="K564" s="132"/>
      <c r="L564" s="132"/>
      <c r="M564" s="132"/>
      <c r="N564" s="132"/>
      <c r="O564" s="132"/>
      <c r="P564" s="132"/>
      <c r="Q564" s="132"/>
      <c r="R564" s="132"/>
      <c r="S564" s="132"/>
      <c r="T564" s="132"/>
      <c r="U564" s="132"/>
      <c r="V564" s="132"/>
      <c r="W564" s="132"/>
      <c r="X564" s="132"/>
      <c r="Y564" s="132"/>
      <c r="Z564" s="132"/>
    </row>
    <row r="565" spans="1:26" ht="11.25" customHeight="1" x14ac:dyDescent="0.3">
      <c r="A565" s="132"/>
      <c r="B565" s="132"/>
      <c r="C565" s="132"/>
      <c r="D565" s="132"/>
      <c r="E565" s="132"/>
      <c r="F565" s="132"/>
      <c r="G565" s="132"/>
      <c r="H565" s="132"/>
      <c r="I565" s="132"/>
      <c r="J565" s="132"/>
      <c r="K565" s="132"/>
      <c r="L565" s="132"/>
      <c r="M565" s="132"/>
      <c r="N565" s="132"/>
      <c r="O565" s="132"/>
      <c r="P565" s="132"/>
      <c r="Q565" s="132"/>
      <c r="R565" s="132"/>
      <c r="S565" s="132"/>
      <c r="T565" s="132"/>
      <c r="U565" s="132"/>
      <c r="V565" s="132"/>
      <c r="W565" s="132"/>
      <c r="X565" s="132"/>
      <c r="Y565" s="132"/>
      <c r="Z565" s="132"/>
    </row>
    <row r="566" spans="1:26" ht="11.25" customHeight="1" x14ac:dyDescent="0.3">
      <c r="A566" s="132"/>
      <c r="B566" s="132"/>
      <c r="C566" s="132"/>
      <c r="D566" s="132"/>
      <c r="E566" s="132"/>
      <c r="F566" s="132"/>
      <c r="G566" s="132"/>
      <c r="H566" s="132"/>
      <c r="I566" s="132"/>
      <c r="J566" s="132"/>
      <c r="K566" s="132"/>
      <c r="L566" s="132"/>
      <c r="M566" s="132"/>
      <c r="N566" s="132"/>
      <c r="O566" s="132"/>
      <c r="P566" s="132"/>
      <c r="Q566" s="132"/>
      <c r="R566" s="132"/>
      <c r="S566" s="132"/>
      <c r="T566" s="132"/>
      <c r="U566" s="132"/>
      <c r="V566" s="132"/>
      <c r="W566" s="132"/>
      <c r="X566" s="132"/>
      <c r="Y566" s="132"/>
      <c r="Z566" s="132"/>
    </row>
    <row r="567" spans="1:26" ht="11.25" customHeight="1" x14ac:dyDescent="0.3">
      <c r="A567" s="132"/>
      <c r="B567" s="132"/>
      <c r="C567" s="132"/>
      <c r="D567" s="132"/>
      <c r="E567" s="132"/>
      <c r="F567" s="132"/>
      <c r="G567" s="132"/>
      <c r="H567" s="132"/>
      <c r="I567" s="132"/>
      <c r="J567" s="132"/>
      <c r="K567" s="132"/>
      <c r="L567" s="132"/>
      <c r="M567" s="132"/>
      <c r="N567" s="132"/>
      <c r="O567" s="132"/>
      <c r="P567" s="132"/>
      <c r="Q567" s="132"/>
      <c r="R567" s="132"/>
      <c r="S567" s="132"/>
      <c r="T567" s="132"/>
      <c r="U567" s="132"/>
      <c r="V567" s="132"/>
      <c r="W567" s="132"/>
      <c r="X567" s="132"/>
      <c r="Y567" s="132"/>
      <c r="Z567" s="132"/>
    </row>
    <row r="568" spans="1:26" ht="11.25" customHeight="1" x14ac:dyDescent="0.3">
      <c r="A568" s="132"/>
      <c r="B568" s="132"/>
      <c r="C568" s="132"/>
      <c r="D568" s="132"/>
      <c r="E568" s="132"/>
      <c r="F568" s="132"/>
      <c r="G568" s="132"/>
      <c r="H568" s="132"/>
      <c r="I568" s="132"/>
      <c r="J568" s="132"/>
      <c r="K568" s="132"/>
      <c r="L568" s="132"/>
      <c r="M568" s="132"/>
      <c r="N568" s="132"/>
      <c r="O568" s="132"/>
      <c r="P568" s="132"/>
      <c r="Q568" s="132"/>
      <c r="R568" s="132"/>
      <c r="S568" s="132"/>
      <c r="T568" s="132"/>
      <c r="U568" s="132"/>
      <c r="V568" s="132"/>
      <c r="W568" s="132"/>
      <c r="X568" s="132"/>
      <c r="Y568" s="132"/>
      <c r="Z568" s="132"/>
    </row>
    <row r="569" spans="1:26" ht="11.25" customHeight="1" x14ac:dyDescent="0.3">
      <c r="A569" s="132"/>
      <c r="B569" s="132"/>
      <c r="C569" s="132"/>
      <c r="D569" s="132"/>
      <c r="E569" s="132"/>
      <c r="F569" s="132"/>
      <c r="G569" s="132"/>
      <c r="H569" s="132"/>
      <c r="I569" s="132"/>
      <c r="J569" s="132"/>
      <c r="K569" s="132"/>
      <c r="L569" s="132"/>
      <c r="M569" s="132"/>
      <c r="N569" s="132"/>
      <c r="O569" s="132"/>
      <c r="P569" s="132"/>
      <c r="Q569" s="132"/>
      <c r="R569" s="132"/>
      <c r="S569" s="132"/>
      <c r="T569" s="132"/>
      <c r="U569" s="132"/>
      <c r="V569" s="132"/>
      <c r="W569" s="132"/>
      <c r="X569" s="132"/>
      <c r="Y569" s="132"/>
      <c r="Z569" s="132"/>
    </row>
    <row r="570" spans="1:26" ht="11.25" customHeight="1" x14ac:dyDescent="0.3">
      <c r="A570" s="132"/>
      <c r="B570" s="132"/>
      <c r="C570" s="132"/>
      <c r="D570" s="132"/>
      <c r="E570" s="132"/>
      <c r="F570" s="132"/>
      <c r="G570" s="132"/>
      <c r="H570" s="132"/>
      <c r="I570" s="132"/>
      <c r="J570" s="132"/>
      <c r="K570" s="132"/>
      <c r="L570" s="132"/>
      <c r="M570" s="132"/>
      <c r="N570" s="132"/>
      <c r="O570" s="132"/>
      <c r="P570" s="132"/>
      <c r="Q570" s="132"/>
      <c r="R570" s="132"/>
      <c r="S570" s="132"/>
      <c r="T570" s="132"/>
      <c r="U570" s="132"/>
      <c r="V570" s="132"/>
      <c r="W570" s="132"/>
      <c r="X570" s="132"/>
      <c r="Y570" s="132"/>
      <c r="Z570" s="132"/>
    </row>
    <row r="571" spans="1:26" ht="11.25" customHeight="1" x14ac:dyDescent="0.3">
      <c r="A571" s="132"/>
      <c r="B571" s="132"/>
      <c r="C571" s="132"/>
      <c r="D571" s="132"/>
      <c r="E571" s="132"/>
      <c r="F571" s="132"/>
      <c r="G571" s="132"/>
      <c r="H571" s="132"/>
      <c r="I571" s="132"/>
      <c r="J571" s="132"/>
      <c r="K571" s="132"/>
      <c r="L571" s="132"/>
      <c r="M571" s="132"/>
      <c r="N571" s="132"/>
      <c r="O571" s="132"/>
      <c r="P571" s="132"/>
      <c r="Q571" s="132"/>
      <c r="R571" s="132"/>
      <c r="S571" s="132"/>
      <c r="T571" s="132"/>
      <c r="U571" s="132"/>
      <c r="V571" s="132"/>
      <c r="W571" s="132"/>
      <c r="X571" s="132"/>
      <c r="Y571" s="132"/>
      <c r="Z571" s="132"/>
    </row>
    <row r="572" spans="1:26" ht="11.25" customHeight="1" x14ac:dyDescent="0.3">
      <c r="A572" s="132"/>
      <c r="B572" s="132"/>
      <c r="C572" s="132"/>
      <c r="D572" s="132"/>
      <c r="E572" s="132"/>
      <c r="F572" s="132"/>
      <c r="G572" s="132"/>
      <c r="H572" s="132"/>
      <c r="I572" s="132"/>
      <c r="J572" s="132"/>
      <c r="K572" s="132"/>
      <c r="L572" s="132"/>
      <c r="M572" s="132"/>
      <c r="N572" s="132"/>
      <c r="O572" s="132"/>
      <c r="P572" s="132"/>
      <c r="Q572" s="132"/>
      <c r="R572" s="132"/>
      <c r="S572" s="132"/>
      <c r="T572" s="132"/>
      <c r="U572" s="132"/>
      <c r="V572" s="132"/>
      <c r="W572" s="132"/>
      <c r="X572" s="132"/>
      <c r="Y572" s="132"/>
      <c r="Z572" s="132"/>
    </row>
    <row r="573" spans="1:26" ht="11.25" customHeight="1" x14ac:dyDescent="0.3">
      <c r="A573" s="132"/>
      <c r="B573" s="132"/>
      <c r="C573" s="132"/>
      <c r="D573" s="132"/>
      <c r="E573" s="132"/>
      <c r="F573" s="132"/>
      <c r="G573" s="132"/>
      <c r="H573" s="132"/>
      <c r="I573" s="132"/>
      <c r="J573" s="132"/>
      <c r="K573" s="132"/>
      <c r="L573" s="132"/>
      <c r="M573" s="132"/>
      <c r="N573" s="132"/>
      <c r="O573" s="132"/>
      <c r="P573" s="132"/>
      <c r="Q573" s="132"/>
      <c r="R573" s="132"/>
      <c r="S573" s="132"/>
      <c r="T573" s="132"/>
      <c r="U573" s="132"/>
      <c r="V573" s="132"/>
      <c r="W573" s="132"/>
      <c r="X573" s="132"/>
      <c r="Y573" s="132"/>
      <c r="Z573" s="132"/>
    </row>
    <row r="574" spans="1:26" ht="11.25" customHeight="1" x14ac:dyDescent="0.3">
      <c r="A574" s="132"/>
      <c r="B574" s="132"/>
      <c r="C574" s="132"/>
      <c r="D574" s="132"/>
      <c r="E574" s="132"/>
      <c r="F574" s="132"/>
      <c r="G574" s="132"/>
      <c r="H574" s="132"/>
      <c r="I574" s="132"/>
      <c r="J574" s="132"/>
      <c r="K574" s="132"/>
      <c r="L574" s="132"/>
      <c r="M574" s="132"/>
      <c r="N574" s="132"/>
      <c r="O574" s="132"/>
      <c r="P574" s="132"/>
      <c r="Q574" s="132"/>
      <c r="R574" s="132"/>
      <c r="S574" s="132"/>
      <c r="T574" s="132"/>
      <c r="U574" s="132"/>
      <c r="V574" s="132"/>
      <c r="W574" s="132"/>
      <c r="X574" s="132"/>
      <c r="Y574" s="132"/>
      <c r="Z574" s="132"/>
    </row>
    <row r="575" spans="1:26" ht="11.25" customHeight="1" x14ac:dyDescent="0.3">
      <c r="A575" s="132"/>
      <c r="B575" s="132"/>
      <c r="C575" s="132"/>
      <c r="D575" s="132"/>
      <c r="E575" s="132"/>
      <c r="F575" s="132"/>
      <c r="G575" s="132"/>
      <c r="H575" s="132"/>
      <c r="I575" s="132"/>
      <c r="J575" s="132"/>
      <c r="K575" s="132"/>
      <c r="L575" s="132"/>
      <c r="M575" s="132"/>
      <c r="N575" s="132"/>
      <c r="O575" s="132"/>
      <c r="P575" s="132"/>
      <c r="Q575" s="132"/>
      <c r="R575" s="132"/>
      <c r="S575" s="132"/>
      <c r="T575" s="132"/>
      <c r="U575" s="132"/>
      <c r="V575" s="132"/>
      <c r="W575" s="132"/>
      <c r="X575" s="132"/>
      <c r="Y575" s="132"/>
      <c r="Z575" s="132"/>
    </row>
    <row r="576" spans="1:26" ht="11.25" customHeight="1" x14ac:dyDescent="0.3">
      <c r="A576" s="132"/>
      <c r="B576" s="132"/>
      <c r="C576" s="132"/>
      <c r="D576" s="132"/>
      <c r="E576" s="132"/>
      <c r="F576" s="132"/>
      <c r="G576" s="132"/>
      <c r="H576" s="132"/>
      <c r="I576" s="132"/>
      <c r="J576" s="132"/>
      <c r="K576" s="132"/>
      <c r="L576" s="132"/>
      <c r="M576" s="132"/>
      <c r="N576" s="132"/>
      <c r="O576" s="132"/>
      <c r="P576" s="132"/>
      <c r="Q576" s="132"/>
      <c r="R576" s="132"/>
      <c r="S576" s="132"/>
      <c r="T576" s="132"/>
      <c r="U576" s="132"/>
      <c r="V576" s="132"/>
      <c r="W576" s="132"/>
      <c r="X576" s="132"/>
      <c r="Y576" s="132"/>
      <c r="Z576" s="132"/>
    </row>
    <row r="577" spans="1:26" ht="11.25" customHeight="1" x14ac:dyDescent="0.3">
      <c r="A577" s="132"/>
      <c r="B577" s="132"/>
      <c r="C577" s="132"/>
      <c r="D577" s="132"/>
      <c r="E577" s="132"/>
      <c r="F577" s="132"/>
      <c r="G577" s="132"/>
      <c r="H577" s="132"/>
      <c r="I577" s="132"/>
      <c r="J577" s="132"/>
      <c r="K577" s="132"/>
      <c r="L577" s="132"/>
      <c r="M577" s="132"/>
      <c r="N577" s="132"/>
      <c r="O577" s="132"/>
      <c r="P577" s="132"/>
      <c r="Q577" s="132"/>
      <c r="R577" s="132"/>
      <c r="S577" s="132"/>
      <c r="T577" s="132"/>
      <c r="U577" s="132"/>
      <c r="V577" s="132"/>
      <c r="W577" s="132"/>
      <c r="X577" s="132"/>
      <c r="Y577" s="132"/>
      <c r="Z577" s="132"/>
    </row>
    <row r="578" spans="1:26" ht="11.25" customHeight="1" x14ac:dyDescent="0.3">
      <c r="A578" s="132"/>
      <c r="B578" s="132"/>
      <c r="C578" s="132"/>
      <c r="D578" s="132"/>
      <c r="E578" s="132"/>
      <c r="F578" s="132"/>
      <c r="G578" s="132"/>
      <c r="H578" s="132"/>
      <c r="I578" s="132"/>
      <c r="J578" s="132"/>
      <c r="K578" s="132"/>
      <c r="L578" s="132"/>
      <c r="M578" s="132"/>
      <c r="N578" s="132"/>
      <c r="O578" s="132"/>
      <c r="P578" s="132"/>
      <c r="Q578" s="132"/>
      <c r="R578" s="132"/>
      <c r="S578" s="132"/>
      <c r="T578" s="132"/>
      <c r="U578" s="132"/>
      <c r="V578" s="132"/>
      <c r="W578" s="132"/>
      <c r="X578" s="132"/>
      <c r="Y578" s="132"/>
      <c r="Z578" s="132"/>
    </row>
    <row r="579" spans="1:26" ht="11.25" customHeight="1" x14ac:dyDescent="0.3">
      <c r="A579" s="132"/>
      <c r="B579" s="132"/>
      <c r="C579" s="132"/>
      <c r="D579" s="132"/>
      <c r="E579" s="132"/>
      <c r="F579" s="132"/>
      <c r="G579" s="132"/>
      <c r="H579" s="132"/>
      <c r="I579" s="132"/>
      <c r="J579" s="132"/>
      <c r="K579" s="132"/>
      <c r="L579" s="132"/>
      <c r="M579" s="132"/>
      <c r="N579" s="132"/>
      <c r="O579" s="132"/>
      <c r="P579" s="132"/>
      <c r="Q579" s="132"/>
      <c r="R579" s="132"/>
      <c r="S579" s="132"/>
      <c r="T579" s="132"/>
      <c r="U579" s="132"/>
      <c r="V579" s="132"/>
      <c r="W579" s="132"/>
      <c r="X579" s="132"/>
      <c r="Y579" s="132"/>
      <c r="Z579" s="132"/>
    </row>
    <row r="580" spans="1:26" ht="11.25" customHeight="1" x14ac:dyDescent="0.3">
      <c r="A580" s="132"/>
      <c r="B580" s="132"/>
      <c r="C580" s="132"/>
      <c r="D580" s="132"/>
      <c r="E580" s="132"/>
      <c r="F580" s="132"/>
      <c r="G580" s="132"/>
      <c r="H580" s="132"/>
      <c r="I580" s="132"/>
      <c r="J580" s="132"/>
      <c r="K580" s="132"/>
      <c r="L580" s="132"/>
      <c r="M580" s="132"/>
      <c r="N580" s="132"/>
      <c r="O580" s="132"/>
      <c r="P580" s="132"/>
      <c r="Q580" s="132"/>
      <c r="R580" s="132"/>
      <c r="S580" s="132"/>
      <c r="T580" s="132"/>
      <c r="U580" s="132"/>
      <c r="V580" s="132"/>
      <c r="W580" s="132"/>
      <c r="X580" s="132"/>
      <c r="Y580" s="132"/>
      <c r="Z580" s="132"/>
    </row>
    <row r="581" spans="1:26" ht="11.25" customHeight="1" x14ac:dyDescent="0.3">
      <c r="A581" s="132"/>
      <c r="B581" s="132"/>
      <c r="C581" s="132"/>
      <c r="D581" s="132"/>
      <c r="E581" s="132"/>
      <c r="F581" s="132"/>
      <c r="G581" s="132"/>
      <c r="H581" s="132"/>
      <c r="I581" s="132"/>
      <c r="J581" s="132"/>
      <c r="K581" s="132"/>
      <c r="L581" s="132"/>
      <c r="M581" s="132"/>
      <c r="N581" s="132"/>
      <c r="O581" s="132"/>
      <c r="P581" s="132"/>
      <c r="Q581" s="132"/>
      <c r="R581" s="132"/>
      <c r="S581" s="132"/>
      <c r="T581" s="132"/>
      <c r="U581" s="132"/>
      <c r="V581" s="132"/>
      <c r="W581" s="132"/>
      <c r="X581" s="132"/>
      <c r="Y581" s="132"/>
      <c r="Z581" s="132"/>
    </row>
    <row r="582" spans="1:26" ht="11.25" customHeight="1" x14ac:dyDescent="0.3">
      <c r="A582" s="132"/>
      <c r="B582" s="132"/>
      <c r="C582" s="132"/>
      <c r="D582" s="132"/>
      <c r="E582" s="132"/>
      <c r="F582" s="132"/>
      <c r="G582" s="132"/>
      <c r="H582" s="132"/>
      <c r="I582" s="132"/>
      <c r="J582" s="132"/>
      <c r="K582" s="132"/>
      <c r="L582" s="132"/>
      <c r="M582" s="132"/>
      <c r="N582" s="132"/>
      <c r="O582" s="132"/>
      <c r="P582" s="132"/>
      <c r="Q582" s="132"/>
      <c r="R582" s="132"/>
      <c r="S582" s="132"/>
      <c r="T582" s="132"/>
      <c r="U582" s="132"/>
      <c r="V582" s="132"/>
      <c r="W582" s="132"/>
      <c r="X582" s="132"/>
      <c r="Y582" s="132"/>
      <c r="Z582" s="132"/>
    </row>
    <row r="583" spans="1:26" ht="11.25" customHeight="1" x14ac:dyDescent="0.3">
      <c r="A583" s="132"/>
      <c r="B583" s="132"/>
      <c r="C583" s="132"/>
      <c r="D583" s="132"/>
      <c r="E583" s="132"/>
      <c r="F583" s="132"/>
      <c r="G583" s="132"/>
      <c r="H583" s="132"/>
      <c r="I583" s="132"/>
      <c r="J583" s="132"/>
      <c r="K583" s="132"/>
      <c r="L583" s="132"/>
      <c r="M583" s="132"/>
      <c r="N583" s="132"/>
      <c r="O583" s="132"/>
      <c r="P583" s="132"/>
      <c r="Q583" s="132"/>
      <c r="R583" s="132"/>
      <c r="S583" s="132"/>
      <c r="T583" s="132"/>
      <c r="U583" s="132"/>
      <c r="V583" s="132"/>
      <c r="W583" s="132"/>
      <c r="X583" s="132"/>
      <c r="Y583" s="132"/>
      <c r="Z583" s="132"/>
    </row>
    <row r="584" spans="1:26" ht="11.25" customHeight="1" x14ac:dyDescent="0.3">
      <c r="A584" s="132"/>
      <c r="B584" s="132"/>
      <c r="C584" s="132"/>
      <c r="D584" s="132"/>
      <c r="E584" s="132"/>
      <c r="F584" s="132"/>
      <c r="G584" s="132"/>
      <c r="H584" s="132"/>
      <c r="I584" s="132"/>
      <c r="J584" s="132"/>
      <c r="K584" s="132"/>
      <c r="L584" s="132"/>
      <c r="M584" s="132"/>
      <c r="N584" s="132"/>
      <c r="O584" s="132"/>
      <c r="P584" s="132"/>
      <c r="Q584" s="132"/>
      <c r="R584" s="132"/>
      <c r="S584" s="132"/>
      <c r="T584" s="132"/>
      <c r="U584" s="132"/>
      <c r="V584" s="132"/>
      <c r="W584" s="132"/>
      <c r="X584" s="132"/>
      <c r="Y584" s="132"/>
      <c r="Z584" s="132"/>
    </row>
    <row r="585" spans="1:26" ht="11.25" customHeight="1" x14ac:dyDescent="0.3">
      <c r="A585" s="132"/>
      <c r="B585" s="132"/>
      <c r="C585" s="132"/>
      <c r="D585" s="132"/>
      <c r="E585" s="132"/>
      <c r="F585" s="132"/>
      <c r="G585" s="132"/>
      <c r="H585" s="132"/>
      <c r="I585" s="132"/>
      <c r="J585" s="132"/>
      <c r="K585" s="132"/>
      <c r="L585" s="132"/>
      <c r="M585" s="132"/>
      <c r="N585" s="132"/>
      <c r="O585" s="132"/>
      <c r="P585" s="132"/>
      <c r="Q585" s="132"/>
      <c r="R585" s="132"/>
      <c r="S585" s="132"/>
      <c r="T585" s="132"/>
      <c r="U585" s="132"/>
      <c r="V585" s="132"/>
      <c r="W585" s="132"/>
      <c r="X585" s="132"/>
      <c r="Y585" s="132"/>
      <c r="Z585" s="132"/>
    </row>
    <row r="586" spans="1:26" ht="11.25" customHeight="1" x14ac:dyDescent="0.3">
      <c r="A586" s="132"/>
      <c r="B586" s="132"/>
      <c r="C586" s="132"/>
      <c r="D586" s="132"/>
      <c r="E586" s="132"/>
      <c r="F586" s="132"/>
      <c r="G586" s="132"/>
      <c r="H586" s="132"/>
      <c r="I586" s="132"/>
      <c r="J586" s="132"/>
      <c r="K586" s="132"/>
      <c r="L586" s="132"/>
      <c r="M586" s="132"/>
      <c r="N586" s="132"/>
      <c r="O586" s="132"/>
      <c r="P586" s="132"/>
      <c r="Q586" s="132"/>
      <c r="R586" s="132"/>
      <c r="S586" s="132"/>
      <c r="T586" s="132"/>
      <c r="U586" s="132"/>
      <c r="V586" s="132"/>
      <c r="W586" s="132"/>
      <c r="X586" s="132"/>
      <c r="Y586" s="132"/>
      <c r="Z586" s="132"/>
    </row>
    <row r="587" spans="1:26" ht="11.25" customHeight="1" x14ac:dyDescent="0.3">
      <c r="A587" s="132"/>
      <c r="B587" s="132"/>
      <c r="C587" s="132"/>
      <c r="D587" s="132"/>
      <c r="E587" s="132"/>
      <c r="F587" s="132"/>
      <c r="G587" s="132"/>
      <c r="H587" s="132"/>
      <c r="I587" s="132"/>
      <c r="J587" s="132"/>
      <c r="K587" s="132"/>
      <c r="L587" s="132"/>
      <c r="M587" s="132"/>
      <c r="N587" s="132"/>
      <c r="O587" s="132"/>
      <c r="P587" s="132"/>
      <c r="Q587" s="132"/>
      <c r="R587" s="132"/>
      <c r="S587" s="132"/>
      <c r="T587" s="132"/>
      <c r="U587" s="132"/>
      <c r="V587" s="132"/>
      <c r="W587" s="132"/>
      <c r="X587" s="132"/>
      <c r="Y587" s="132"/>
      <c r="Z587" s="132"/>
    </row>
    <row r="588" spans="1:26" ht="11.25" customHeight="1" x14ac:dyDescent="0.3">
      <c r="A588" s="132"/>
      <c r="B588" s="132"/>
      <c r="C588" s="132"/>
      <c r="D588" s="132"/>
      <c r="E588" s="132"/>
      <c r="F588" s="132"/>
      <c r="G588" s="132"/>
      <c r="H588" s="132"/>
      <c r="I588" s="132"/>
      <c r="J588" s="132"/>
      <c r="K588" s="132"/>
      <c r="L588" s="132"/>
      <c r="M588" s="132"/>
      <c r="N588" s="132"/>
      <c r="O588" s="132"/>
      <c r="P588" s="132"/>
      <c r="Q588" s="132"/>
      <c r="R588" s="132"/>
      <c r="S588" s="132"/>
      <c r="T588" s="132"/>
      <c r="U588" s="132"/>
      <c r="V588" s="132"/>
      <c r="W588" s="132"/>
      <c r="X588" s="132"/>
      <c r="Y588" s="132"/>
      <c r="Z588" s="132"/>
    </row>
    <row r="589" spans="1:26" ht="11.25" customHeight="1" x14ac:dyDescent="0.3">
      <c r="A589" s="132"/>
      <c r="B589" s="132"/>
      <c r="C589" s="132"/>
      <c r="D589" s="132"/>
      <c r="E589" s="132"/>
      <c r="F589" s="132"/>
      <c r="G589" s="132"/>
      <c r="H589" s="132"/>
      <c r="I589" s="132"/>
      <c r="J589" s="132"/>
      <c r="K589" s="132"/>
      <c r="L589" s="132"/>
      <c r="M589" s="132"/>
      <c r="N589" s="132"/>
      <c r="O589" s="132"/>
      <c r="P589" s="132"/>
      <c r="Q589" s="132"/>
      <c r="R589" s="132"/>
      <c r="S589" s="132"/>
      <c r="T589" s="132"/>
      <c r="U589" s="132"/>
      <c r="V589" s="132"/>
      <c r="W589" s="132"/>
      <c r="X589" s="132"/>
      <c r="Y589" s="132"/>
      <c r="Z589" s="132"/>
    </row>
    <row r="590" spans="1:26" ht="11.25" customHeight="1" x14ac:dyDescent="0.3">
      <c r="A590" s="132"/>
      <c r="B590" s="132"/>
      <c r="C590" s="132"/>
      <c r="D590" s="132"/>
      <c r="E590" s="132"/>
      <c r="F590" s="132"/>
      <c r="G590" s="132"/>
      <c r="H590" s="132"/>
      <c r="I590" s="132"/>
      <c r="J590" s="132"/>
      <c r="K590" s="132"/>
      <c r="L590" s="132"/>
      <c r="M590" s="132"/>
      <c r="N590" s="132"/>
      <c r="O590" s="132"/>
      <c r="P590" s="132"/>
      <c r="Q590" s="132"/>
      <c r="R590" s="132"/>
      <c r="S590" s="132"/>
      <c r="T590" s="132"/>
      <c r="U590" s="132"/>
      <c r="V590" s="132"/>
      <c r="W590" s="132"/>
      <c r="X590" s="132"/>
      <c r="Y590" s="132"/>
      <c r="Z590" s="132"/>
    </row>
    <row r="591" spans="1:26" ht="11.25" customHeight="1" x14ac:dyDescent="0.3">
      <c r="A591" s="132"/>
      <c r="B591" s="132"/>
      <c r="C591" s="132"/>
      <c r="D591" s="132"/>
      <c r="E591" s="132"/>
      <c r="F591" s="132"/>
      <c r="G591" s="132"/>
      <c r="H591" s="132"/>
      <c r="I591" s="132"/>
      <c r="J591" s="132"/>
      <c r="K591" s="132"/>
      <c r="L591" s="132"/>
      <c r="M591" s="132"/>
      <c r="N591" s="132"/>
      <c r="O591" s="132"/>
      <c r="P591" s="132"/>
      <c r="Q591" s="132"/>
      <c r="R591" s="132"/>
      <c r="S591" s="132"/>
      <c r="T591" s="132"/>
      <c r="U591" s="132"/>
      <c r="V591" s="132"/>
      <c r="W591" s="132"/>
      <c r="X591" s="132"/>
      <c r="Y591" s="132"/>
      <c r="Z591" s="132"/>
    </row>
    <row r="592" spans="1:26" ht="11.25" customHeight="1" x14ac:dyDescent="0.3">
      <c r="A592" s="132"/>
      <c r="B592" s="132"/>
      <c r="C592" s="132"/>
      <c r="D592" s="132"/>
      <c r="E592" s="132"/>
      <c r="F592" s="132"/>
      <c r="G592" s="132"/>
      <c r="H592" s="132"/>
      <c r="I592" s="132"/>
      <c r="J592" s="132"/>
      <c r="K592" s="132"/>
      <c r="L592" s="132"/>
      <c r="M592" s="132"/>
      <c r="N592" s="132"/>
      <c r="O592" s="132"/>
      <c r="P592" s="132"/>
      <c r="Q592" s="132"/>
      <c r="R592" s="132"/>
      <c r="S592" s="132"/>
      <c r="T592" s="132"/>
      <c r="U592" s="132"/>
      <c r="V592" s="132"/>
      <c r="W592" s="132"/>
      <c r="X592" s="132"/>
      <c r="Y592" s="132"/>
      <c r="Z592" s="132"/>
    </row>
    <row r="593" spans="1:26" ht="11.25" customHeight="1" x14ac:dyDescent="0.3">
      <c r="A593" s="132"/>
      <c r="B593" s="132"/>
      <c r="C593" s="132"/>
      <c r="D593" s="132"/>
      <c r="E593" s="132"/>
      <c r="F593" s="132"/>
      <c r="G593" s="132"/>
      <c r="H593" s="132"/>
      <c r="I593" s="132"/>
      <c r="J593" s="132"/>
      <c r="K593" s="132"/>
      <c r="L593" s="132"/>
      <c r="M593" s="132"/>
      <c r="N593" s="132"/>
      <c r="O593" s="132"/>
      <c r="P593" s="132"/>
      <c r="Q593" s="132"/>
      <c r="R593" s="132"/>
      <c r="S593" s="132"/>
      <c r="T593" s="132"/>
      <c r="U593" s="132"/>
      <c r="V593" s="132"/>
      <c r="W593" s="132"/>
      <c r="X593" s="132"/>
      <c r="Y593" s="132"/>
      <c r="Z593" s="132"/>
    </row>
    <row r="594" spans="1:26" ht="11.25" customHeight="1" x14ac:dyDescent="0.3">
      <c r="A594" s="132"/>
      <c r="B594" s="132"/>
      <c r="C594" s="132"/>
      <c r="D594" s="132"/>
      <c r="E594" s="132"/>
      <c r="F594" s="132"/>
      <c r="G594" s="132"/>
      <c r="H594" s="132"/>
      <c r="I594" s="132"/>
      <c r="J594" s="132"/>
      <c r="K594" s="132"/>
      <c r="L594" s="132"/>
      <c r="M594" s="132"/>
      <c r="N594" s="132"/>
      <c r="O594" s="132"/>
      <c r="P594" s="132"/>
      <c r="Q594" s="132"/>
      <c r="R594" s="132"/>
      <c r="S594" s="132"/>
      <c r="T594" s="132"/>
      <c r="U594" s="132"/>
      <c r="V594" s="132"/>
      <c r="W594" s="132"/>
      <c r="X594" s="132"/>
      <c r="Y594" s="132"/>
      <c r="Z594" s="132"/>
    </row>
    <row r="595" spans="1:26" ht="11.25" customHeight="1" x14ac:dyDescent="0.3">
      <c r="A595" s="132"/>
      <c r="B595" s="132"/>
      <c r="C595" s="132"/>
      <c r="D595" s="132"/>
      <c r="E595" s="132"/>
      <c r="F595" s="132"/>
      <c r="G595" s="132"/>
      <c r="H595" s="132"/>
      <c r="I595" s="132"/>
      <c r="J595" s="132"/>
      <c r="K595" s="132"/>
      <c r="L595" s="132"/>
      <c r="M595" s="132"/>
      <c r="N595" s="132"/>
      <c r="O595" s="132"/>
      <c r="P595" s="132"/>
      <c r="Q595" s="132"/>
      <c r="R595" s="132"/>
      <c r="S595" s="132"/>
      <c r="T595" s="132"/>
      <c r="U595" s="132"/>
      <c r="V595" s="132"/>
      <c r="W595" s="132"/>
      <c r="X595" s="132"/>
      <c r="Y595" s="132"/>
      <c r="Z595" s="132"/>
    </row>
    <row r="596" spans="1:26" ht="11.25" customHeight="1" x14ac:dyDescent="0.3">
      <c r="A596" s="132"/>
      <c r="B596" s="132"/>
      <c r="C596" s="132"/>
      <c r="D596" s="132"/>
      <c r="E596" s="132"/>
      <c r="F596" s="132"/>
      <c r="G596" s="132"/>
      <c r="H596" s="132"/>
      <c r="I596" s="132"/>
      <c r="J596" s="132"/>
      <c r="K596" s="132"/>
      <c r="L596" s="132"/>
      <c r="M596" s="132"/>
      <c r="N596" s="132"/>
      <c r="O596" s="132"/>
      <c r="P596" s="132"/>
      <c r="Q596" s="132"/>
      <c r="R596" s="132"/>
      <c r="S596" s="132"/>
      <c r="T596" s="132"/>
      <c r="U596" s="132"/>
      <c r="V596" s="132"/>
      <c r="W596" s="132"/>
      <c r="X596" s="132"/>
      <c r="Y596" s="132"/>
      <c r="Z596" s="132"/>
    </row>
    <row r="597" spans="1:26" ht="11.25" customHeight="1" x14ac:dyDescent="0.3">
      <c r="A597" s="132"/>
      <c r="B597" s="132"/>
      <c r="C597" s="132"/>
      <c r="D597" s="132"/>
      <c r="E597" s="132"/>
      <c r="F597" s="132"/>
      <c r="G597" s="132"/>
      <c r="H597" s="132"/>
      <c r="I597" s="132"/>
      <c r="J597" s="132"/>
      <c r="K597" s="132"/>
      <c r="L597" s="132"/>
      <c r="M597" s="132"/>
      <c r="N597" s="132"/>
      <c r="O597" s="132"/>
      <c r="P597" s="132"/>
      <c r="Q597" s="132"/>
      <c r="R597" s="132"/>
      <c r="S597" s="132"/>
      <c r="T597" s="132"/>
      <c r="U597" s="132"/>
      <c r="V597" s="132"/>
      <c r="W597" s="132"/>
      <c r="X597" s="132"/>
      <c r="Y597" s="132"/>
      <c r="Z597" s="132"/>
    </row>
    <row r="598" spans="1:26" ht="11.25" customHeight="1" x14ac:dyDescent="0.3">
      <c r="A598" s="132"/>
      <c r="B598" s="132"/>
      <c r="C598" s="132"/>
      <c r="D598" s="132"/>
      <c r="E598" s="132"/>
      <c r="F598" s="132"/>
      <c r="G598" s="132"/>
      <c r="H598" s="132"/>
      <c r="I598" s="132"/>
      <c r="J598" s="132"/>
      <c r="K598" s="132"/>
      <c r="L598" s="132"/>
      <c r="M598" s="132"/>
      <c r="N598" s="132"/>
      <c r="O598" s="132"/>
      <c r="P598" s="132"/>
      <c r="Q598" s="132"/>
      <c r="R598" s="132"/>
      <c r="S598" s="132"/>
      <c r="T598" s="132"/>
      <c r="U598" s="132"/>
      <c r="V598" s="132"/>
      <c r="W598" s="132"/>
      <c r="X598" s="132"/>
      <c r="Y598" s="132"/>
      <c r="Z598" s="132"/>
    </row>
    <row r="599" spans="1:26" ht="11.25" customHeight="1" x14ac:dyDescent="0.3">
      <c r="A599" s="132"/>
      <c r="B599" s="132"/>
      <c r="C599" s="132"/>
      <c r="D599" s="132"/>
      <c r="E599" s="132"/>
      <c r="F599" s="132"/>
      <c r="G599" s="132"/>
      <c r="H599" s="132"/>
      <c r="I599" s="132"/>
      <c r="J599" s="132"/>
      <c r="K599" s="132"/>
      <c r="L599" s="132"/>
      <c r="M599" s="132"/>
      <c r="N599" s="132"/>
      <c r="O599" s="132"/>
      <c r="P599" s="132"/>
      <c r="Q599" s="132"/>
      <c r="R599" s="132"/>
      <c r="S599" s="132"/>
      <c r="T599" s="132"/>
      <c r="U599" s="132"/>
      <c r="V599" s="132"/>
      <c r="W599" s="132"/>
      <c r="X599" s="132"/>
      <c r="Y599" s="132"/>
      <c r="Z599" s="132"/>
    </row>
    <row r="600" spans="1:26" ht="11.25" customHeight="1" x14ac:dyDescent="0.3">
      <c r="A600" s="132"/>
      <c r="B600" s="132"/>
      <c r="C600" s="132"/>
      <c r="D600" s="132"/>
      <c r="E600" s="132"/>
      <c r="F600" s="132"/>
      <c r="G600" s="132"/>
      <c r="H600" s="132"/>
      <c r="I600" s="132"/>
      <c r="J600" s="132"/>
      <c r="K600" s="132"/>
      <c r="L600" s="132"/>
      <c r="M600" s="132"/>
      <c r="N600" s="132"/>
      <c r="O600" s="132"/>
      <c r="P600" s="132"/>
      <c r="Q600" s="132"/>
      <c r="R600" s="132"/>
      <c r="S600" s="132"/>
      <c r="T600" s="132"/>
      <c r="U600" s="132"/>
      <c r="V600" s="132"/>
      <c r="W600" s="132"/>
      <c r="X600" s="132"/>
      <c r="Y600" s="132"/>
      <c r="Z600" s="132"/>
    </row>
    <row r="601" spans="1:26" ht="11.25" customHeight="1" x14ac:dyDescent="0.3">
      <c r="A601" s="132"/>
      <c r="B601" s="132"/>
      <c r="C601" s="132"/>
      <c r="D601" s="132"/>
      <c r="E601" s="132"/>
      <c r="F601" s="132"/>
      <c r="G601" s="132"/>
      <c r="H601" s="132"/>
      <c r="I601" s="132"/>
      <c r="J601" s="132"/>
      <c r="K601" s="132"/>
      <c r="L601" s="132"/>
      <c r="M601" s="132"/>
      <c r="N601" s="132"/>
      <c r="O601" s="132"/>
      <c r="P601" s="132"/>
      <c r="Q601" s="132"/>
      <c r="R601" s="132"/>
      <c r="S601" s="132"/>
      <c r="T601" s="132"/>
      <c r="U601" s="132"/>
      <c r="V601" s="132"/>
      <c r="W601" s="132"/>
      <c r="X601" s="132"/>
      <c r="Y601" s="132"/>
      <c r="Z601" s="132"/>
    </row>
    <row r="602" spans="1:26" ht="11.25" customHeight="1" x14ac:dyDescent="0.3">
      <c r="A602" s="132"/>
      <c r="B602" s="132"/>
      <c r="C602" s="132"/>
      <c r="D602" s="132"/>
      <c r="E602" s="132"/>
      <c r="F602" s="132"/>
      <c r="G602" s="132"/>
      <c r="H602" s="132"/>
      <c r="I602" s="132"/>
      <c r="J602" s="132"/>
      <c r="K602" s="132"/>
      <c r="L602" s="132"/>
      <c r="M602" s="132"/>
      <c r="N602" s="132"/>
      <c r="O602" s="132"/>
      <c r="P602" s="132"/>
      <c r="Q602" s="132"/>
      <c r="R602" s="132"/>
      <c r="S602" s="132"/>
      <c r="T602" s="132"/>
      <c r="U602" s="132"/>
      <c r="V602" s="132"/>
      <c r="W602" s="132"/>
      <c r="X602" s="132"/>
      <c r="Y602" s="132"/>
      <c r="Z602" s="132"/>
    </row>
    <row r="603" spans="1:26" ht="11.25" customHeight="1" x14ac:dyDescent="0.3">
      <c r="A603" s="132"/>
      <c r="B603" s="132"/>
      <c r="C603" s="132"/>
      <c r="D603" s="132"/>
      <c r="E603" s="132"/>
      <c r="F603" s="132"/>
      <c r="G603" s="132"/>
      <c r="H603" s="132"/>
      <c r="I603" s="132"/>
      <c r="J603" s="132"/>
      <c r="K603" s="132"/>
      <c r="L603" s="132"/>
      <c r="M603" s="132"/>
      <c r="N603" s="132"/>
      <c r="O603" s="132"/>
      <c r="P603" s="132"/>
      <c r="Q603" s="132"/>
      <c r="R603" s="132"/>
      <c r="S603" s="132"/>
      <c r="T603" s="132"/>
      <c r="U603" s="132"/>
      <c r="V603" s="132"/>
      <c r="W603" s="132"/>
      <c r="X603" s="132"/>
      <c r="Y603" s="132"/>
      <c r="Z603" s="132"/>
    </row>
    <row r="604" spans="1:26" ht="11.25" customHeight="1" x14ac:dyDescent="0.3">
      <c r="A604" s="132"/>
      <c r="B604" s="132"/>
      <c r="C604" s="132"/>
      <c r="D604" s="132"/>
      <c r="E604" s="132"/>
      <c r="F604" s="132"/>
      <c r="G604" s="132"/>
      <c r="H604" s="132"/>
      <c r="I604" s="132"/>
      <c r="J604" s="132"/>
      <c r="K604" s="132"/>
      <c r="L604" s="132"/>
      <c r="M604" s="132"/>
      <c r="N604" s="132"/>
      <c r="O604" s="132"/>
      <c r="P604" s="132"/>
      <c r="Q604" s="132"/>
      <c r="R604" s="132"/>
      <c r="S604" s="132"/>
      <c r="T604" s="132"/>
      <c r="U604" s="132"/>
      <c r="V604" s="132"/>
      <c r="W604" s="132"/>
      <c r="X604" s="132"/>
      <c r="Y604" s="132"/>
      <c r="Z604" s="132"/>
    </row>
    <row r="605" spans="1:26" ht="11.25" customHeight="1" x14ac:dyDescent="0.3">
      <c r="A605" s="132"/>
      <c r="B605" s="132"/>
      <c r="C605" s="132"/>
      <c r="D605" s="132"/>
      <c r="E605" s="132"/>
      <c r="F605" s="132"/>
      <c r="G605" s="132"/>
      <c r="H605" s="132"/>
      <c r="I605" s="132"/>
      <c r="J605" s="132"/>
      <c r="K605" s="132"/>
      <c r="L605" s="132"/>
      <c r="M605" s="132"/>
      <c r="N605" s="132"/>
      <c r="O605" s="132"/>
      <c r="P605" s="132"/>
      <c r="Q605" s="132"/>
      <c r="R605" s="132"/>
      <c r="S605" s="132"/>
      <c r="T605" s="132"/>
      <c r="U605" s="132"/>
      <c r="V605" s="132"/>
      <c r="W605" s="132"/>
      <c r="X605" s="132"/>
      <c r="Y605" s="132"/>
      <c r="Z605" s="132"/>
    </row>
    <row r="606" spans="1:26" ht="11.25" customHeight="1" x14ac:dyDescent="0.3">
      <c r="A606" s="132"/>
      <c r="B606" s="132"/>
      <c r="C606" s="132"/>
      <c r="D606" s="132"/>
      <c r="E606" s="132"/>
      <c r="F606" s="132"/>
      <c r="G606" s="132"/>
      <c r="H606" s="132"/>
      <c r="I606" s="132"/>
      <c r="J606" s="132"/>
      <c r="K606" s="132"/>
      <c r="L606" s="132"/>
      <c r="M606" s="132"/>
      <c r="N606" s="132"/>
      <c r="O606" s="132"/>
      <c r="P606" s="132"/>
      <c r="Q606" s="132"/>
      <c r="R606" s="132"/>
      <c r="S606" s="132"/>
      <c r="T606" s="132"/>
      <c r="U606" s="132"/>
      <c r="V606" s="132"/>
      <c r="W606" s="132"/>
      <c r="X606" s="132"/>
      <c r="Y606" s="132"/>
      <c r="Z606" s="132"/>
    </row>
    <row r="607" spans="1:26" ht="11.25" customHeight="1" x14ac:dyDescent="0.3">
      <c r="A607" s="132"/>
      <c r="B607" s="132"/>
      <c r="C607" s="132"/>
      <c r="D607" s="132"/>
      <c r="E607" s="132"/>
      <c r="F607" s="132"/>
      <c r="G607" s="132"/>
      <c r="H607" s="132"/>
      <c r="I607" s="132"/>
      <c r="J607" s="132"/>
      <c r="K607" s="132"/>
      <c r="L607" s="132"/>
      <c r="M607" s="132"/>
      <c r="N607" s="132"/>
      <c r="O607" s="132"/>
      <c r="P607" s="132"/>
      <c r="Q607" s="132"/>
      <c r="R607" s="132"/>
      <c r="S607" s="132"/>
      <c r="T607" s="132"/>
      <c r="U607" s="132"/>
      <c r="V607" s="132"/>
      <c r="W607" s="132"/>
      <c r="X607" s="132"/>
      <c r="Y607" s="132"/>
      <c r="Z607" s="132"/>
    </row>
    <row r="608" spans="1:26" ht="11.25" customHeight="1" x14ac:dyDescent="0.3">
      <c r="A608" s="132"/>
      <c r="B608" s="132"/>
      <c r="C608" s="132"/>
      <c r="D608" s="132"/>
      <c r="E608" s="132"/>
      <c r="F608" s="132"/>
      <c r="G608" s="132"/>
      <c r="H608" s="132"/>
      <c r="I608" s="132"/>
      <c r="J608" s="132"/>
      <c r="K608" s="132"/>
      <c r="L608" s="132"/>
      <c r="M608" s="132"/>
      <c r="N608" s="132"/>
      <c r="O608" s="132"/>
      <c r="P608" s="132"/>
      <c r="Q608" s="132"/>
      <c r="R608" s="132"/>
      <c r="S608" s="132"/>
      <c r="T608" s="132"/>
      <c r="U608" s="132"/>
      <c r="V608" s="132"/>
      <c r="W608" s="132"/>
      <c r="X608" s="132"/>
      <c r="Y608" s="132"/>
      <c r="Z608" s="132"/>
    </row>
    <row r="609" spans="1:26" ht="11.25" customHeight="1" x14ac:dyDescent="0.3">
      <c r="A609" s="132"/>
      <c r="B609" s="132"/>
      <c r="C609" s="132"/>
      <c r="D609" s="132"/>
      <c r="E609" s="132"/>
      <c r="F609" s="132"/>
      <c r="G609" s="132"/>
      <c r="H609" s="132"/>
      <c r="I609" s="132"/>
      <c r="J609" s="132"/>
      <c r="K609" s="132"/>
      <c r="L609" s="132"/>
      <c r="M609" s="132"/>
      <c r="N609" s="132"/>
      <c r="O609" s="132"/>
      <c r="P609" s="132"/>
      <c r="Q609" s="132"/>
      <c r="R609" s="132"/>
      <c r="S609" s="132"/>
      <c r="T609" s="132"/>
      <c r="U609" s="132"/>
      <c r="V609" s="132"/>
      <c r="W609" s="132"/>
      <c r="X609" s="132"/>
      <c r="Y609" s="132"/>
      <c r="Z609" s="132"/>
    </row>
    <row r="610" spans="1:26" ht="11.25" customHeight="1" x14ac:dyDescent="0.3">
      <c r="A610" s="132"/>
      <c r="B610" s="132"/>
      <c r="C610" s="132"/>
      <c r="D610" s="132"/>
      <c r="E610" s="132"/>
      <c r="F610" s="132"/>
      <c r="G610" s="132"/>
      <c r="H610" s="132"/>
      <c r="I610" s="132"/>
      <c r="J610" s="132"/>
      <c r="K610" s="132"/>
      <c r="L610" s="132"/>
      <c r="M610" s="132"/>
      <c r="N610" s="132"/>
      <c r="O610" s="132"/>
      <c r="P610" s="132"/>
      <c r="Q610" s="132"/>
      <c r="R610" s="132"/>
      <c r="S610" s="132"/>
      <c r="T610" s="132"/>
      <c r="U610" s="132"/>
      <c r="V610" s="132"/>
      <c r="W610" s="132"/>
      <c r="X610" s="132"/>
      <c r="Y610" s="132"/>
      <c r="Z610" s="132"/>
    </row>
    <row r="611" spans="1:26" ht="11.25" customHeight="1" x14ac:dyDescent="0.3">
      <c r="A611" s="132"/>
      <c r="B611" s="132"/>
      <c r="C611" s="132"/>
      <c r="D611" s="132"/>
      <c r="E611" s="132"/>
      <c r="F611" s="132"/>
      <c r="G611" s="132"/>
      <c r="H611" s="132"/>
      <c r="I611" s="132"/>
      <c r="J611" s="132"/>
      <c r="K611" s="132"/>
      <c r="L611" s="132"/>
      <c r="M611" s="132"/>
      <c r="N611" s="132"/>
      <c r="O611" s="132"/>
      <c r="P611" s="132"/>
      <c r="Q611" s="132"/>
      <c r="R611" s="132"/>
      <c r="S611" s="132"/>
      <c r="T611" s="132"/>
      <c r="U611" s="132"/>
      <c r="V611" s="132"/>
      <c r="W611" s="132"/>
      <c r="X611" s="132"/>
      <c r="Y611" s="132"/>
      <c r="Z611" s="132"/>
    </row>
    <row r="612" spans="1:26" ht="11.25" customHeight="1" x14ac:dyDescent="0.3">
      <c r="A612" s="132"/>
      <c r="B612" s="132"/>
      <c r="C612" s="132"/>
      <c r="D612" s="132"/>
      <c r="E612" s="132"/>
      <c r="F612" s="132"/>
      <c r="G612" s="132"/>
      <c r="H612" s="132"/>
      <c r="I612" s="132"/>
      <c r="J612" s="132"/>
      <c r="K612" s="132"/>
      <c r="L612" s="132"/>
      <c r="M612" s="132"/>
      <c r="N612" s="132"/>
      <c r="O612" s="132"/>
      <c r="P612" s="132"/>
      <c r="Q612" s="132"/>
      <c r="R612" s="132"/>
      <c r="S612" s="132"/>
      <c r="T612" s="132"/>
      <c r="U612" s="132"/>
      <c r="V612" s="132"/>
      <c r="W612" s="132"/>
      <c r="X612" s="132"/>
      <c r="Y612" s="132"/>
      <c r="Z612" s="132"/>
    </row>
    <row r="613" spans="1:26" ht="11.25" customHeight="1" x14ac:dyDescent="0.3">
      <c r="A613" s="132"/>
      <c r="B613" s="132"/>
      <c r="C613" s="132"/>
      <c r="D613" s="132"/>
      <c r="E613" s="132"/>
      <c r="F613" s="132"/>
      <c r="G613" s="132"/>
      <c r="H613" s="132"/>
      <c r="I613" s="132"/>
      <c r="J613" s="132"/>
      <c r="K613" s="132"/>
      <c r="L613" s="132"/>
      <c r="M613" s="132"/>
      <c r="N613" s="132"/>
      <c r="O613" s="132"/>
      <c r="P613" s="132"/>
      <c r="Q613" s="132"/>
      <c r="R613" s="132"/>
      <c r="S613" s="132"/>
      <c r="T613" s="132"/>
      <c r="U613" s="132"/>
      <c r="V613" s="132"/>
      <c r="W613" s="132"/>
      <c r="X613" s="132"/>
      <c r="Y613" s="132"/>
      <c r="Z613" s="132"/>
    </row>
    <row r="614" spans="1:26" ht="11.25" customHeight="1" x14ac:dyDescent="0.3">
      <c r="A614" s="132"/>
      <c r="B614" s="132"/>
      <c r="C614" s="132"/>
      <c r="D614" s="132"/>
      <c r="E614" s="132"/>
      <c r="F614" s="132"/>
      <c r="G614" s="132"/>
      <c r="H614" s="132"/>
      <c r="I614" s="132"/>
      <c r="J614" s="132"/>
      <c r="K614" s="132"/>
      <c r="L614" s="132"/>
      <c r="M614" s="132"/>
      <c r="N614" s="132"/>
      <c r="O614" s="132"/>
      <c r="P614" s="132"/>
      <c r="Q614" s="132"/>
      <c r="R614" s="132"/>
      <c r="S614" s="132"/>
      <c r="T614" s="132"/>
      <c r="U614" s="132"/>
      <c r="V614" s="132"/>
      <c r="W614" s="132"/>
      <c r="X614" s="132"/>
      <c r="Y614" s="132"/>
      <c r="Z614" s="132"/>
    </row>
    <row r="615" spans="1:26" ht="11.25" customHeight="1" x14ac:dyDescent="0.3">
      <c r="A615" s="132"/>
      <c r="B615" s="132"/>
      <c r="C615" s="132"/>
      <c r="D615" s="132"/>
      <c r="E615" s="132"/>
      <c r="F615" s="132"/>
      <c r="G615" s="132"/>
      <c r="H615" s="132"/>
      <c r="I615" s="132"/>
      <c r="J615" s="132"/>
      <c r="K615" s="132"/>
      <c r="L615" s="132"/>
      <c r="M615" s="132"/>
      <c r="N615" s="132"/>
      <c r="O615" s="132"/>
      <c r="P615" s="132"/>
      <c r="Q615" s="132"/>
      <c r="R615" s="132"/>
      <c r="S615" s="132"/>
      <c r="T615" s="132"/>
      <c r="U615" s="132"/>
      <c r="V615" s="132"/>
      <c r="W615" s="132"/>
      <c r="X615" s="132"/>
      <c r="Y615" s="132"/>
      <c r="Z615" s="132"/>
    </row>
    <row r="616" spans="1:26" ht="11.25" customHeight="1" x14ac:dyDescent="0.3">
      <c r="A616" s="132"/>
      <c r="B616" s="132"/>
      <c r="C616" s="132"/>
      <c r="D616" s="132"/>
      <c r="E616" s="132"/>
      <c r="F616" s="132"/>
      <c r="G616" s="132"/>
      <c r="H616" s="132"/>
      <c r="I616" s="132"/>
      <c r="J616" s="132"/>
      <c r="K616" s="132"/>
      <c r="L616" s="132"/>
      <c r="M616" s="132"/>
      <c r="N616" s="132"/>
      <c r="O616" s="132"/>
      <c r="P616" s="132"/>
      <c r="Q616" s="132"/>
      <c r="R616" s="132"/>
      <c r="S616" s="132"/>
      <c r="T616" s="132"/>
      <c r="U616" s="132"/>
      <c r="V616" s="132"/>
      <c r="W616" s="132"/>
      <c r="X616" s="132"/>
      <c r="Y616" s="132"/>
      <c r="Z616" s="132"/>
    </row>
    <row r="617" spans="1:26" ht="11.25" customHeight="1" x14ac:dyDescent="0.3">
      <c r="A617" s="132"/>
      <c r="B617" s="132"/>
      <c r="C617" s="132"/>
      <c r="D617" s="132"/>
      <c r="E617" s="132"/>
      <c r="F617" s="132"/>
      <c r="G617" s="132"/>
      <c r="H617" s="132"/>
      <c r="I617" s="132"/>
      <c r="J617" s="132"/>
      <c r="K617" s="132"/>
      <c r="L617" s="132"/>
      <c r="M617" s="132"/>
      <c r="N617" s="132"/>
      <c r="O617" s="132"/>
      <c r="P617" s="132"/>
      <c r="Q617" s="132"/>
      <c r="R617" s="132"/>
      <c r="S617" s="132"/>
      <c r="T617" s="132"/>
      <c r="U617" s="132"/>
      <c r="V617" s="132"/>
      <c r="W617" s="132"/>
      <c r="X617" s="132"/>
      <c r="Y617" s="132"/>
      <c r="Z617" s="132"/>
    </row>
    <row r="618" spans="1:26" ht="11.25" customHeight="1" x14ac:dyDescent="0.3">
      <c r="A618" s="132"/>
      <c r="B618" s="132"/>
      <c r="C618" s="132"/>
      <c r="D618" s="132"/>
      <c r="E618" s="132"/>
      <c r="F618" s="132"/>
      <c r="G618" s="132"/>
      <c r="H618" s="132"/>
      <c r="I618" s="132"/>
      <c r="J618" s="132"/>
      <c r="K618" s="132"/>
      <c r="L618" s="132"/>
      <c r="M618" s="132"/>
      <c r="N618" s="132"/>
      <c r="O618" s="132"/>
      <c r="P618" s="132"/>
      <c r="Q618" s="132"/>
      <c r="R618" s="132"/>
      <c r="S618" s="132"/>
      <c r="T618" s="132"/>
      <c r="U618" s="132"/>
      <c r="V618" s="132"/>
      <c r="W618" s="132"/>
      <c r="X618" s="132"/>
      <c r="Y618" s="132"/>
      <c r="Z618" s="132"/>
    </row>
    <row r="619" spans="1:26" ht="11.25" customHeight="1" x14ac:dyDescent="0.3">
      <c r="A619" s="132"/>
      <c r="B619" s="132"/>
      <c r="C619" s="132"/>
      <c r="D619" s="132"/>
      <c r="E619" s="132"/>
      <c r="F619" s="132"/>
      <c r="G619" s="132"/>
      <c r="H619" s="132"/>
      <c r="I619" s="132"/>
      <c r="J619" s="132"/>
      <c r="K619" s="132"/>
      <c r="L619" s="132"/>
      <c r="M619" s="132"/>
      <c r="N619" s="132"/>
      <c r="O619" s="132"/>
      <c r="P619" s="132"/>
      <c r="Q619" s="132"/>
      <c r="R619" s="132"/>
      <c r="S619" s="132"/>
      <c r="T619" s="132"/>
      <c r="U619" s="132"/>
      <c r="V619" s="132"/>
      <c r="W619" s="132"/>
      <c r="X619" s="132"/>
      <c r="Y619" s="132"/>
      <c r="Z619" s="132"/>
    </row>
    <row r="620" spans="1:26" ht="11.25" customHeight="1" x14ac:dyDescent="0.3">
      <c r="A620" s="132"/>
      <c r="B620" s="132"/>
      <c r="C620" s="132"/>
      <c r="D620" s="132"/>
      <c r="E620" s="132"/>
      <c r="F620" s="132"/>
      <c r="G620" s="132"/>
      <c r="H620" s="132"/>
      <c r="I620" s="132"/>
      <c r="J620" s="132"/>
      <c r="K620" s="132"/>
      <c r="L620" s="132"/>
      <c r="M620" s="132"/>
      <c r="N620" s="132"/>
      <c r="O620" s="132"/>
      <c r="P620" s="132"/>
      <c r="Q620" s="132"/>
      <c r="R620" s="132"/>
      <c r="S620" s="132"/>
      <c r="T620" s="132"/>
      <c r="U620" s="132"/>
      <c r="V620" s="132"/>
      <c r="W620" s="132"/>
      <c r="X620" s="132"/>
      <c r="Y620" s="132"/>
      <c r="Z620" s="132"/>
    </row>
    <row r="621" spans="1:26" ht="11.25" customHeight="1" x14ac:dyDescent="0.3">
      <c r="A621" s="132"/>
      <c r="B621" s="132"/>
      <c r="C621" s="132"/>
      <c r="D621" s="132"/>
      <c r="E621" s="132"/>
      <c r="F621" s="132"/>
      <c r="G621" s="132"/>
      <c r="H621" s="132"/>
      <c r="I621" s="132"/>
      <c r="J621" s="132"/>
      <c r="K621" s="132"/>
      <c r="L621" s="132"/>
      <c r="M621" s="132"/>
      <c r="N621" s="132"/>
      <c r="O621" s="132"/>
      <c r="P621" s="132"/>
      <c r="Q621" s="132"/>
      <c r="R621" s="132"/>
      <c r="S621" s="132"/>
      <c r="T621" s="132"/>
      <c r="U621" s="132"/>
      <c r="V621" s="132"/>
      <c r="W621" s="132"/>
      <c r="X621" s="132"/>
      <c r="Y621" s="132"/>
      <c r="Z621" s="132"/>
    </row>
    <row r="622" spans="1:26" ht="11.25" customHeight="1" x14ac:dyDescent="0.3">
      <c r="A622" s="132"/>
      <c r="B622" s="132"/>
      <c r="C622" s="132"/>
      <c r="D622" s="132"/>
      <c r="E622" s="132"/>
      <c r="F622" s="132"/>
      <c r="G622" s="132"/>
      <c r="H622" s="132"/>
      <c r="I622" s="132"/>
      <c r="J622" s="132"/>
      <c r="K622" s="132"/>
      <c r="L622" s="132"/>
      <c r="M622" s="132"/>
      <c r="N622" s="132"/>
      <c r="O622" s="132"/>
      <c r="P622" s="132"/>
      <c r="Q622" s="132"/>
      <c r="R622" s="132"/>
      <c r="S622" s="132"/>
      <c r="T622" s="132"/>
      <c r="U622" s="132"/>
      <c r="V622" s="132"/>
      <c r="W622" s="132"/>
      <c r="X622" s="132"/>
      <c r="Y622" s="132"/>
      <c r="Z622" s="132"/>
    </row>
    <row r="623" spans="1:26" ht="11.25" customHeight="1" x14ac:dyDescent="0.3">
      <c r="A623" s="132"/>
      <c r="B623" s="132"/>
      <c r="C623" s="132"/>
      <c r="D623" s="132"/>
      <c r="E623" s="132"/>
      <c r="F623" s="132"/>
      <c r="G623" s="132"/>
      <c r="H623" s="132"/>
      <c r="I623" s="132"/>
      <c r="J623" s="132"/>
      <c r="K623" s="132"/>
      <c r="L623" s="132"/>
      <c r="M623" s="132"/>
      <c r="N623" s="132"/>
      <c r="O623" s="132"/>
      <c r="P623" s="132"/>
      <c r="Q623" s="132"/>
      <c r="R623" s="132"/>
      <c r="S623" s="132"/>
      <c r="T623" s="132"/>
      <c r="U623" s="132"/>
      <c r="V623" s="132"/>
      <c r="W623" s="132"/>
      <c r="X623" s="132"/>
      <c r="Y623" s="132"/>
      <c r="Z623" s="132"/>
    </row>
    <row r="624" spans="1:26" ht="11.25" customHeight="1" x14ac:dyDescent="0.3">
      <c r="A624" s="132"/>
      <c r="B624" s="132"/>
      <c r="C624" s="132"/>
      <c r="D624" s="132"/>
      <c r="E624" s="132"/>
      <c r="F624" s="132"/>
      <c r="G624" s="132"/>
      <c r="H624" s="132"/>
      <c r="I624" s="132"/>
      <c r="J624" s="132"/>
      <c r="K624" s="132"/>
      <c r="L624" s="132"/>
      <c r="M624" s="132"/>
      <c r="N624" s="132"/>
      <c r="O624" s="132"/>
      <c r="P624" s="132"/>
      <c r="Q624" s="132"/>
      <c r="R624" s="132"/>
      <c r="S624" s="132"/>
      <c r="T624" s="132"/>
      <c r="U624" s="132"/>
      <c r="V624" s="132"/>
      <c r="W624" s="132"/>
      <c r="X624" s="132"/>
      <c r="Y624" s="132"/>
      <c r="Z624" s="132"/>
    </row>
    <row r="625" spans="1:26" ht="11.25" customHeight="1" x14ac:dyDescent="0.3">
      <c r="A625" s="132"/>
      <c r="B625" s="132"/>
      <c r="C625" s="132"/>
      <c r="D625" s="132"/>
      <c r="E625" s="132"/>
      <c r="F625" s="132"/>
      <c r="G625" s="132"/>
      <c r="H625" s="132"/>
      <c r="I625" s="132"/>
      <c r="J625" s="132"/>
      <c r="K625" s="132"/>
      <c r="L625" s="132"/>
      <c r="M625" s="132"/>
      <c r="N625" s="132"/>
      <c r="O625" s="132"/>
      <c r="P625" s="132"/>
      <c r="Q625" s="132"/>
      <c r="R625" s="132"/>
      <c r="S625" s="132"/>
      <c r="T625" s="132"/>
      <c r="U625" s="132"/>
      <c r="V625" s="132"/>
      <c r="W625" s="132"/>
      <c r="X625" s="132"/>
      <c r="Y625" s="132"/>
      <c r="Z625" s="132"/>
    </row>
    <row r="626" spans="1:26" ht="11.25" customHeight="1" x14ac:dyDescent="0.3">
      <c r="A626" s="132"/>
      <c r="B626" s="132"/>
      <c r="C626" s="132"/>
      <c r="D626" s="132"/>
      <c r="E626" s="132"/>
      <c r="F626" s="132"/>
      <c r="G626" s="132"/>
      <c r="H626" s="132"/>
      <c r="I626" s="132"/>
      <c r="J626" s="132"/>
      <c r="K626" s="132"/>
      <c r="L626" s="132"/>
      <c r="M626" s="132"/>
      <c r="N626" s="132"/>
      <c r="O626" s="132"/>
      <c r="P626" s="132"/>
      <c r="Q626" s="132"/>
      <c r="R626" s="132"/>
      <c r="S626" s="132"/>
      <c r="T626" s="132"/>
      <c r="U626" s="132"/>
      <c r="V626" s="132"/>
      <c r="W626" s="132"/>
      <c r="X626" s="132"/>
      <c r="Y626" s="132"/>
      <c r="Z626" s="132"/>
    </row>
    <row r="627" spans="1:26" ht="11.25" customHeight="1" x14ac:dyDescent="0.3">
      <c r="A627" s="132"/>
      <c r="B627" s="132"/>
      <c r="C627" s="132"/>
      <c r="D627" s="132"/>
      <c r="E627" s="132"/>
      <c r="F627" s="132"/>
      <c r="G627" s="132"/>
      <c r="H627" s="132"/>
      <c r="I627" s="132"/>
      <c r="J627" s="132"/>
      <c r="K627" s="132"/>
      <c r="L627" s="132"/>
      <c r="M627" s="132"/>
      <c r="N627" s="132"/>
      <c r="O627" s="132"/>
      <c r="P627" s="132"/>
      <c r="Q627" s="132"/>
      <c r="R627" s="132"/>
      <c r="S627" s="132"/>
      <c r="T627" s="132"/>
      <c r="U627" s="132"/>
      <c r="V627" s="132"/>
      <c r="W627" s="132"/>
      <c r="X627" s="132"/>
      <c r="Y627" s="132"/>
      <c r="Z627" s="132"/>
    </row>
    <row r="628" spans="1:26" ht="11.25" customHeight="1" x14ac:dyDescent="0.3">
      <c r="A628" s="132"/>
      <c r="B628" s="132"/>
      <c r="C628" s="132"/>
      <c r="D628" s="132"/>
      <c r="E628" s="132"/>
      <c r="F628" s="132"/>
      <c r="G628" s="132"/>
      <c r="H628" s="132"/>
      <c r="I628" s="132"/>
      <c r="J628" s="132"/>
      <c r="K628" s="132"/>
      <c r="L628" s="132"/>
      <c r="M628" s="132"/>
      <c r="N628" s="132"/>
      <c r="O628" s="132"/>
      <c r="P628" s="132"/>
      <c r="Q628" s="132"/>
      <c r="R628" s="132"/>
      <c r="S628" s="132"/>
      <c r="T628" s="132"/>
      <c r="U628" s="132"/>
      <c r="V628" s="132"/>
      <c r="W628" s="132"/>
      <c r="X628" s="132"/>
      <c r="Y628" s="132"/>
      <c r="Z628" s="132"/>
    </row>
    <row r="629" spans="1:26" ht="11.25" customHeight="1" x14ac:dyDescent="0.3">
      <c r="A629" s="132"/>
      <c r="B629" s="132"/>
      <c r="C629" s="132"/>
      <c r="D629" s="132"/>
      <c r="E629" s="132"/>
      <c r="F629" s="132"/>
      <c r="G629" s="132"/>
      <c r="H629" s="132"/>
      <c r="I629" s="132"/>
      <c r="J629" s="132"/>
      <c r="K629" s="132"/>
      <c r="L629" s="132"/>
      <c r="M629" s="132"/>
      <c r="N629" s="132"/>
      <c r="O629" s="132"/>
      <c r="P629" s="132"/>
      <c r="Q629" s="132"/>
      <c r="R629" s="132"/>
      <c r="S629" s="132"/>
      <c r="T629" s="132"/>
      <c r="U629" s="132"/>
      <c r="V629" s="132"/>
      <c r="W629" s="132"/>
      <c r="X629" s="132"/>
      <c r="Y629" s="132"/>
      <c r="Z629" s="132"/>
    </row>
    <row r="630" spans="1:26" ht="11.25" customHeight="1" x14ac:dyDescent="0.3">
      <c r="A630" s="132"/>
      <c r="B630" s="132"/>
      <c r="C630" s="132"/>
      <c r="D630" s="132"/>
      <c r="E630" s="132"/>
      <c r="F630" s="132"/>
      <c r="G630" s="132"/>
      <c r="H630" s="132"/>
      <c r="I630" s="132"/>
      <c r="J630" s="132"/>
      <c r="K630" s="132"/>
      <c r="L630" s="132"/>
      <c r="M630" s="132"/>
      <c r="N630" s="132"/>
      <c r="O630" s="132"/>
      <c r="P630" s="132"/>
      <c r="Q630" s="132"/>
      <c r="R630" s="132"/>
      <c r="S630" s="132"/>
      <c r="T630" s="132"/>
      <c r="U630" s="132"/>
      <c r="V630" s="132"/>
      <c r="W630" s="132"/>
      <c r="X630" s="132"/>
      <c r="Y630" s="132"/>
      <c r="Z630" s="132"/>
    </row>
    <row r="631" spans="1:26" ht="11.25" customHeight="1" x14ac:dyDescent="0.3">
      <c r="A631" s="132"/>
      <c r="B631" s="132"/>
      <c r="C631" s="132"/>
      <c r="D631" s="132"/>
      <c r="E631" s="132"/>
      <c r="F631" s="132"/>
      <c r="G631" s="132"/>
      <c r="H631" s="132"/>
      <c r="I631" s="132"/>
      <c r="J631" s="132"/>
      <c r="K631" s="132"/>
      <c r="L631" s="132"/>
      <c r="M631" s="132"/>
      <c r="N631" s="132"/>
      <c r="O631" s="132"/>
      <c r="P631" s="132"/>
      <c r="Q631" s="132"/>
      <c r="R631" s="132"/>
      <c r="S631" s="132"/>
      <c r="T631" s="132"/>
      <c r="U631" s="132"/>
      <c r="V631" s="132"/>
      <c r="W631" s="132"/>
      <c r="X631" s="132"/>
      <c r="Y631" s="132"/>
      <c r="Z631" s="132"/>
    </row>
    <row r="632" spans="1:26" ht="11.25" customHeight="1" x14ac:dyDescent="0.3">
      <c r="A632" s="132"/>
      <c r="B632" s="132"/>
      <c r="C632" s="132"/>
      <c r="D632" s="132"/>
      <c r="E632" s="132"/>
      <c r="F632" s="132"/>
      <c r="G632" s="132"/>
      <c r="H632" s="132"/>
      <c r="I632" s="132"/>
      <c r="J632" s="132"/>
      <c r="K632" s="132"/>
      <c r="L632" s="132"/>
      <c r="M632" s="132"/>
      <c r="N632" s="132"/>
      <c r="O632" s="132"/>
      <c r="P632" s="132"/>
      <c r="Q632" s="132"/>
      <c r="R632" s="132"/>
      <c r="S632" s="132"/>
      <c r="T632" s="132"/>
      <c r="U632" s="132"/>
      <c r="V632" s="132"/>
      <c r="W632" s="132"/>
      <c r="X632" s="132"/>
      <c r="Y632" s="132"/>
      <c r="Z632" s="132"/>
    </row>
    <row r="633" spans="1:26" ht="11.25" customHeight="1" x14ac:dyDescent="0.3">
      <c r="A633" s="132"/>
      <c r="B633" s="132"/>
      <c r="C633" s="132"/>
      <c r="D633" s="132"/>
      <c r="E633" s="132"/>
      <c r="F633" s="132"/>
      <c r="G633" s="132"/>
      <c r="H633" s="132"/>
      <c r="I633" s="132"/>
      <c r="J633" s="132"/>
      <c r="K633" s="132"/>
      <c r="L633" s="132"/>
      <c r="M633" s="132"/>
      <c r="N633" s="132"/>
      <c r="O633" s="132"/>
      <c r="P633" s="132"/>
      <c r="Q633" s="132"/>
      <c r="R633" s="132"/>
      <c r="S633" s="132"/>
      <c r="T633" s="132"/>
      <c r="U633" s="132"/>
      <c r="V633" s="132"/>
      <c r="W633" s="132"/>
      <c r="X633" s="132"/>
      <c r="Y633" s="132"/>
      <c r="Z633" s="132"/>
    </row>
    <row r="634" spans="1:26" ht="11.25" customHeight="1" x14ac:dyDescent="0.3">
      <c r="A634" s="132"/>
      <c r="B634" s="132"/>
      <c r="C634" s="132"/>
      <c r="D634" s="132"/>
      <c r="E634" s="132"/>
      <c r="F634" s="132"/>
      <c r="G634" s="132"/>
      <c r="H634" s="132"/>
      <c r="I634" s="132"/>
      <c r="J634" s="132"/>
      <c r="K634" s="132"/>
      <c r="L634" s="132"/>
      <c r="M634" s="132"/>
      <c r="N634" s="132"/>
      <c r="O634" s="132"/>
      <c r="P634" s="132"/>
      <c r="Q634" s="132"/>
      <c r="R634" s="132"/>
      <c r="S634" s="132"/>
      <c r="T634" s="132"/>
      <c r="U634" s="132"/>
      <c r="V634" s="132"/>
      <c r="W634" s="132"/>
      <c r="X634" s="132"/>
      <c r="Y634" s="132"/>
      <c r="Z634" s="132"/>
    </row>
    <row r="635" spans="1:26" ht="11.25" customHeight="1" x14ac:dyDescent="0.3">
      <c r="A635" s="132"/>
      <c r="B635" s="132"/>
      <c r="C635" s="132"/>
      <c r="D635" s="132"/>
      <c r="E635" s="132"/>
      <c r="F635" s="132"/>
      <c r="G635" s="132"/>
      <c r="H635" s="132"/>
      <c r="I635" s="132"/>
      <c r="J635" s="132"/>
      <c r="K635" s="132"/>
      <c r="L635" s="132"/>
      <c r="M635" s="132"/>
      <c r="N635" s="132"/>
      <c r="O635" s="132"/>
      <c r="P635" s="132"/>
      <c r="Q635" s="132"/>
      <c r="R635" s="132"/>
      <c r="S635" s="132"/>
      <c r="T635" s="132"/>
      <c r="U635" s="132"/>
      <c r="V635" s="132"/>
      <c r="W635" s="132"/>
      <c r="X635" s="132"/>
      <c r="Y635" s="132"/>
      <c r="Z635" s="132"/>
    </row>
    <row r="636" spans="1:26" ht="11.25" customHeight="1" x14ac:dyDescent="0.3">
      <c r="A636" s="132"/>
      <c r="B636" s="132"/>
      <c r="C636" s="132"/>
      <c r="D636" s="132"/>
      <c r="E636" s="132"/>
      <c r="F636" s="132"/>
      <c r="G636" s="132"/>
      <c r="H636" s="132"/>
      <c r="I636" s="132"/>
      <c r="J636" s="132"/>
      <c r="K636" s="132"/>
      <c r="L636" s="132"/>
      <c r="M636" s="132"/>
      <c r="N636" s="132"/>
      <c r="O636" s="132"/>
      <c r="P636" s="132"/>
      <c r="Q636" s="132"/>
      <c r="R636" s="132"/>
      <c r="S636" s="132"/>
      <c r="T636" s="132"/>
      <c r="U636" s="132"/>
      <c r="V636" s="132"/>
      <c r="W636" s="132"/>
      <c r="X636" s="132"/>
      <c r="Y636" s="132"/>
      <c r="Z636" s="132"/>
    </row>
    <row r="637" spans="1:26" ht="11.25" customHeight="1" x14ac:dyDescent="0.3">
      <c r="A637" s="132"/>
      <c r="B637" s="132"/>
      <c r="C637" s="132"/>
      <c r="D637" s="132"/>
      <c r="E637" s="132"/>
      <c r="F637" s="132"/>
      <c r="G637" s="132"/>
      <c r="H637" s="132"/>
      <c r="I637" s="132"/>
      <c r="J637" s="132"/>
      <c r="K637" s="132"/>
      <c r="L637" s="132"/>
      <c r="M637" s="132"/>
      <c r="N637" s="132"/>
      <c r="O637" s="132"/>
      <c r="P637" s="132"/>
      <c r="Q637" s="132"/>
      <c r="R637" s="132"/>
      <c r="S637" s="132"/>
      <c r="T637" s="132"/>
      <c r="U637" s="132"/>
      <c r="V637" s="132"/>
      <c r="W637" s="132"/>
      <c r="X637" s="132"/>
      <c r="Y637" s="132"/>
      <c r="Z637" s="132"/>
    </row>
    <row r="638" spans="1:26" ht="11.25" customHeight="1" x14ac:dyDescent="0.3">
      <c r="A638" s="132"/>
      <c r="B638" s="132"/>
      <c r="C638" s="132"/>
      <c r="D638" s="132"/>
      <c r="E638" s="132"/>
      <c r="F638" s="132"/>
      <c r="G638" s="132"/>
      <c r="H638" s="132"/>
      <c r="I638" s="132"/>
      <c r="J638" s="132"/>
      <c r="K638" s="132"/>
      <c r="L638" s="132"/>
      <c r="M638" s="132"/>
      <c r="N638" s="132"/>
      <c r="O638" s="132"/>
      <c r="P638" s="132"/>
      <c r="Q638" s="132"/>
      <c r="R638" s="132"/>
      <c r="S638" s="132"/>
      <c r="T638" s="132"/>
      <c r="U638" s="132"/>
      <c r="V638" s="132"/>
      <c r="W638" s="132"/>
      <c r="X638" s="132"/>
      <c r="Y638" s="132"/>
      <c r="Z638" s="132"/>
    </row>
    <row r="639" spans="1:26" ht="11.25" customHeight="1" x14ac:dyDescent="0.3">
      <c r="A639" s="132"/>
      <c r="B639" s="132"/>
      <c r="C639" s="132"/>
      <c r="D639" s="132"/>
      <c r="E639" s="132"/>
      <c r="F639" s="132"/>
      <c r="G639" s="132"/>
      <c r="H639" s="132"/>
      <c r="I639" s="132"/>
      <c r="J639" s="132"/>
      <c r="K639" s="132"/>
      <c r="L639" s="132"/>
      <c r="M639" s="132"/>
      <c r="N639" s="132"/>
      <c r="O639" s="132"/>
      <c r="P639" s="132"/>
      <c r="Q639" s="132"/>
      <c r="R639" s="132"/>
      <c r="S639" s="132"/>
      <c r="T639" s="132"/>
      <c r="U639" s="132"/>
      <c r="V639" s="132"/>
      <c r="W639" s="132"/>
      <c r="X639" s="132"/>
      <c r="Y639" s="132"/>
      <c r="Z639" s="132"/>
    </row>
    <row r="640" spans="1:26" ht="11.25" customHeight="1" x14ac:dyDescent="0.3">
      <c r="A640" s="132"/>
      <c r="B640" s="132"/>
      <c r="C640" s="132"/>
      <c r="D640" s="132"/>
      <c r="E640" s="132"/>
      <c r="F640" s="132"/>
      <c r="G640" s="132"/>
      <c r="H640" s="132"/>
      <c r="I640" s="132"/>
      <c r="J640" s="132"/>
      <c r="K640" s="132"/>
      <c r="L640" s="132"/>
      <c r="M640" s="132"/>
      <c r="N640" s="132"/>
      <c r="O640" s="132"/>
      <c r="P640" s="132"/>
      <c r="Q640" s="132"/>
      <c r="R640" s="132"/>
      <c r="S640" s="132"/>
      <c r="T640" s="132"/>
      <c r="U640" s="132"/>
      <c r="V640" s="132"/>
      <c r="W640" s="132"/>
      <c r="X640" s="132"/>
      <c r="Y640" s="132"/>
      <c r="Z640" s="132"/>
    </row>
    <row r="641" spans="1:26" ht="11.25" customHeight="1" x14ac:dyDescent="0.3">
      <c r="A641" s="132"/>
      <c r="B641" s="132"/>
      <c r="C641" s="132"/>
      <c r="D641" s="132"/>
      <c r="E641" s="132"/>
      <c r="F641" s="132"/>
      <c r="G641" s="132"/>
      <c r="H641" s="132"/>
      <c r="I641" s="132"/>
      <c r="J641" s="132"/>
      <c r="K641" s="132"/>
      <c r="L641" s="132"/>
      <c r="M641" s="132"/>
      <c r="N641" s="132"/>
      <c r="O641" s="132"/>
      <c r="P641" s="132"/>
      <c r="Q641" s="132"/>
      <c r="R641" s="132"/>
      <c r="S641" s="132"/>
      <c r="T641" s="132"/>
      <c r="U641" s="132"/>
      <c r="V641" s="132"/>
      <c r="W641" s="132"/>
      <c r="X641" s="132"/>
      <c r="Y641" s="132"/>
      <c r="Z641" s="132"/>
    </row>
    <row r="642" spans="1:26" ht="11.25" customHeight="1" x14ac:dyDescent="0.3">
      <c r="A642" s="132"/>
      <c r="B642" s="132"/>
      <c r="C642" s="132"/>
      <c r="D642" s="132"/>
      <c r="E642" s="132"/>
      <c r="F642" s="132"/>
      <c r="G642" s="132"/>
      <c r="H642" s="132"/>
      <c r="I642" s="132"/>
      <c r="J642" s="132"/>
      <c r="K642" s="132"/>
      <c r="L642" s="132"/>
      <c r="M642" s="132"/>
      <c r="N642" s="132"/>
      <c r="O642" s="132"/>
      <c r="P642" s="132"/>
      <c r="Q642" s="132"/>
      <c r="R642" s="132"/>
      <c r="S642" s="132"/>
      <c r="T642" s="132"/>
      <c r="U642" s="132"/>
      <c r="V642" s="132"/>
      <c r="W642" s="132"/>
      <c r="X642" s="132"/>
      <c r="Y642" s="132"/>
      <c r="Z642" s="132"/>
    </row>
    <row r="643" spans="1:26" ht="11.25" customHeight="1" x14ac:dyDescent="0.3">
      <c r="A643" s="132"/>
      <c r="B643" s="132"/>
      <c r="C643" s="132"/>
      <c r="D643" s="132"/>
      <c r="E643" s="132"/>
      <c r="F643" s="132"/>
      <c r="G643" s="132"/>
      <c r="H643" s="132"/>
      <c r="I643" s="132"/>
      <c r="J643" s="132"/>
      <c r="K643" s="132"/>
      <c r="L643" s="132"/>
      <c r="M643" s="132"/>
      <c r="N643" s="132"/>
      <c r="O643" s="132"/>
      <c r="P643" s="132"/>
      <c r="Q643" s="132"/>
      <c r="R643" s="132"/>
      <c r="S643" s="132"/>
      <c r="T643" s="132"/>
      <c r="U643" s="132"/>
      <c r="V643" s="132"/>
      <c r="W643" s="132"/>
      <c r="X643" s="132"/>
      <c r="Y643" s="132"/>
      <c r="Z643" s="132"/>
    </row>
    <row r="644" spans="1:26" ht="11.25" customHeight="1" x14ac:dyDescent="0.3">
      <c r="A644" s="132"/>
      <c r="B644" s="132"/>
      <c r="C644" s="132"/>
      <c r="D644" s="132"/>
      <c r="E644" s="132"/>
      <c r="F644" s="132"/>
      <c r="G644" s="132"/>
      <c r="H644" s="132"/>
      <c r="I644" s="132"/>
      <c r="J644" s="132"/>
      <c r="K644" s="132"/>
      <c r="L644" s="132"/>
      <c r="M644" s="132"/>
      <c r="N644" s="132"/>
      <c r="O644" s="132"/>
      <c r="P644" s="132"/>
      <c r="Q644" s="132"/>
      <c r="R644" s="132"/>
      <c r="S644" s="132"/>
      <c r="T644" s="132"/>
      <c r="U644" s="132"/>
      <c r="V644" s="132"/>
      <c r="W644" s="132"/>
      <c r="X644" s="132"/>
      <c r="Y644" s="132"/>
      <c r="Z644" s="132"/>
    </row>
    <row r="645" spans="1:26" ht="11.25" customHeight="1" x14ac:dyDescent="0.3">
      <c r="A645" s="132"/>
      <c r="B645" s="132"/>
      <c r="C645" s="132"/>
      <c r="D645" s="132"/>
      <c r="E645" s="132"/>
      <c r="F645" s="132"/>
      <c r="G645" s="132"/>
      <c r="H645" s="132"/>
      <c r="I645" s="132"/>
      <c r="J645" s="132"/>
      <c r="K645" s="132"/>
      <c r="L645" s="132"/>
      <c r="M645" s="132"/>
      <c r="N645" s="132"/>
      <c r="O645" s="132"/>
      <c r="P645" s="132"/>
      <c r="Q645" s="132"/>
      <c r="R645" s="132"/>
      <c r="S645" s="132"/>
      <c r="T645" s="132"/>
      <c r="U645" s="132"/>
      <c r="V645" s="132"/>
      <c r="W645" s="132"/>
      <c r="X645" s="132"/>
      <c r="Y645" s="132"/>
      <c r="Z645" s="132"/>
    </row>
    <row r="646" spans="1:26" ht="11.25" customHeight="1" x14ac:dyDescent="0.3">
      <c r="A646" s="132"/>
      <c r="B646" s="132"/>
      <c r="C646" s="132"/>
      <c r="D646" s="132"/>
      <c r="E646" s="132"/>
      <c r="F646" s="132"/>
      <c r="G646" s="132"/>
      <c r="H646" s="132"/>
      <c r="I646" s="132"/>
      <c r="J646" s="132"/>
      <c r="K646" s="132"/>
      <c r="L646" s="132"/>
      <c r="M646" s="132"/>
      <c r="N646" s="132"/>
      <c r="O646" s="132"/>
      <c r="P646" s="132"/>
      <c r="Q646" s="132"/>
      <c r="R646" s="132"/>
      <c r="S646" s="132"/>
      <c r="T646" s="132"/>
      <c r="U646" s="132"/>
      <c r="V646" s="132"/>
      <c r="W646" s="132"/>
      <c r="X646" s="132"/>
      <c r="Y646" s="132"/>
      <c r="Z646" s="132"/>
    </row>
    <row r="647" spans="1:26" ht="11.25" customHeight="1" x14ac:dyDescent="0.3">
      <c r="A647" s="132"/>
      <c r="B647" s="132"/>
      <c r="C647" s="132"/>
      <c r="D647" s="132"/>
      <c r="E647" s="132"/>
      <c r="F647" s="132"/>
      <c r="G647" s="132"/>
      <c r="H647" s="132"/>
      <c r="I647" s="132"/>
      <c r="J647" s="132"/>
      <c r="K647" s="132"/>
      <c r="L647" s="132"/>
      <c r="M647" s="132"/>
      <c r="N647" s="132"/>
      <c r="O647" s="132"/>
      <c r="P647" s="132"/>
      <c r="Q647" s="132"/>
      <c r="R647" s="132"/>
      <c r="S647" s="132"/>
      <c r="T647" s="132"/>
      <c r="U647" s="132"/>
      <c r="V647" s="132"/>
      <c r="W647" s="132"/>
      <c r="X647" s="132"/>
      <c r="Y647" s="132"/>
      <c r="Z647" s="132"/>
    </row>
    <row r="648" spans="1:26" ht="11.25" customHeight="1" x14ac:dyDescent="0.3">
      <c r="A648" s="132"/>
      <c r="B648" s="132"/>
      <c r="C648" s="132"/>
      <c r="D648" s="132"/>
      <c r="E648" s="132"/>
      <c r="F648" s="132"/>
      <c r="G648" s="132"/>
      <c r="H648" s="132"/>
      <c r="I648" s="132"/>
      <c r="J648" s="132"/>
      <c r="K648" s="132"/>
      <c r="L648" s="132"/>
      <c r="M648" s="132"/>
      <c r="N648" s="132"/>
      <c r="O648" s="132"/>
      <c r="P648" s="132"/>
      <c r="Q648" s="132"/>
      <c r="R648" s="132"/>
      <c r="S648" s="132"/>
      <c r="T648" s="132"/>
      <c r="U648" s="132"/>
      <c r="V648" s="132"/>
      <c r="W648" s="132"/>
      <c r="X648" s="132"/>
      <c r="Y648" s="132"/>
      <c r="Z648" s="132"/>
    </row>
    <row r="649" spans="1:26" ht="11.25" customHeight="1" x14ac:dyDescent="0.3">
      <c r="A649" s="132"/>
      <c r="B649" s="132"/>
      <c r="C649" s="132"/>
      <c r="D649" s="132"/>
      <c r="E649" s="132"/>
      <c r="F649" s="132"/>
      <c r="G649" s="132"/>
      <c r="H649" s="132"/>
      <c r="I649" s="132"/>
      <c r="J649" s="132"/>
      <c r="K649" s="132"/>
      <c r="L649" s="132"/>
      <c r="M649" s="132"/>
      <c r="N649" s="132"/>
      <c r="O649" s="132"/>
      <c r="P649" s="132"/>
      <c r="Q649" s="132"/>
      <c r="R649" s="132"/>
      <c r="S649" s="132"/>
      <c r="T649" s="132"/>
      <c r="U649" s="132"/>
      <c r="V649" s="132"/>
      <c r="W649" s="132"/>
      <c r="X649" s="132"/>
      <c r="Y649" s="132"/>
      <c r="Z649" s="132"/>
    </row>
    <row r="650" spans="1:26" ht="11.25" customHeight="1" x14ac:dyDescent="0.3">
      <c r="A650" s="132"/>
      <c r="B650" s="132"/>
      <c r="C650" s="132"/>
      <c r="D650" s="132"/>
      <c r="E650" s="132"/>
      <c r="F650" s="132"/>
      <c r="G650" s="132"/>
      <c r="H650" s="132"/>
      <c r="I650" s="132"/>
      <c r="J650" s="132"/>
      <c r="K650" s="132"/>
      <c r="L650" s="132"/>
      <c r="M650" s="132"/>
      <c r="N650" s="132"/>
      <c r="O650" s="132"/>
      <c r="P650" s="132"/>
      <c r="Q650" s="132"/>
      <c r="R650" s="132"/>
      <c r="S650" s="132"/>
      <c r="T650" s="132"/>
      <c r="U650" s="132"/>
      <c r="V650" s="132"/>
      <c r="W650" s="132"/>
      <c r="X650" s="132"/>
      <c r="Y650" s="132"/>
      <c r="Z650" s="132"/>
    </row>
    <row r="651" spans="1:26" ht="11.25" customHeight="1" x14ac:dyDescent="0.3">
      <c r="A651" s="132"/>
      <c r="B651" s="132"/>
      <c r="C651" s="132"/>
      <c r="D651" s="132"/>
      <c r="E651" s="132"/>
      <c r="F651" s="132"/>
      <c r="G651" s="132"/>
      <c r="H651" s="132"/>
      <c r="I651" s="132"/>
      <c r="J651" s="132"/>
      <c r="K651" s="132"/>
      <c r="L651" s="132"/>
      <c r="M651" s="132"/>
      <c r="N651" s="132"/>
      <c r="O651" s="132"/>
      <c r="P651" s="132"/>
      <c r="Q651" s="132"/>
      <c r="R651" s="132"/>
      <c r="S651" s="132"/>
      <c r="T651" s="132"/>
      <c r="U651" s="132"/>
      <c r="V651" s="132"/>
      <c r="W651" s="132"/>
      <c r="X651" s="132"/>
      <c r="Y651" s="132"/>
      <c r="Z651" s="132"/>
    </row>
    <row r="652" spans="1:26" ht="11.25" customHeight="1" x14ac:dyDescent="0.3">
      <c r="A652" s="132"/>
      <c r="B652" s="132"/>
      <c r="C652" s="132"/>
      <c r="D652" s="132"/>
      <c r="E652" s="132"/>
      <c r="F652" s="132"/>
      <c r="G652" s="132"/>
      <c r="H652" s="132"/>
      <c r="I652" s="132"/>
      <c r="J652" s="132"/>
      <c r="K652" s="132"/>
      <c r="L652" s="132"/>
      <c r="M652" s="132"/>
      <c r="N652" s="132"/>
      <c r="O652" s="132"/>
      <c r="P652" s="132"/>
      <c r="Q652" s="132"/>
      <c r="R652" s="132"/>
      <c r="S652" s="132"/>
      <c r="T652" s="132"/>
      <c r="U652" s="132"/>
      <c r="V652" s="132"/>
      <c r="W652" s="132"/>
      <c r="X652" s="132"/>
      <c r="Y652" s="132"/>
      <c r="Z652" s="132"/>
    </row>
    <row r="653" spans="1:26" ht="11.25" customHeight="1" x14ac:dyDescent="0.3">
      <c r="A653" s="132"/>
      <c r="B653" s="132"/>
      <c r="C653" s="132"/>
      <c r="D653" s="132"/>
      <c r="E653" s="132"/>
      <c r="F653" s="132"/>
      <c r="G653" s="132"/>
      <c r="H653" s="132"/>
      <c r="I653" s="132"/>
      <c r="J653" s="132"/>
      <c r="K653" s="132"/>
      <c r="L653" s="132"/>
      <c r="M653" s="132"/>
      <c r="N653" s="132"/>
      <c r="O653" s="132"/>
      <c r="P653" s="132"/>
      <c r="Q653" s="132"/>
      <c r="R653" s="132"/>
      <c r="S653" s="132"/>
      <c r="T653" s="132"/>
      <c r="U653" s="132"/>
      <c r="V653" s="132"/>
      <c r="W653" s="132"/>
      <c r="X653" s="132"/>
      <c r="Y653" s="132"/>
      <c r="Z653" s="132"/>
    </row>
    <row r="654" spans="1:26" ht="11.25" customHeight="1" x14ac:dyDescent="0.3">
      <c r="A654" s="132"/>
      <c r="B654" s="132"/>
      <c r="C654" s="132"/>
      <c r="D654" s="132"/>
      <c r="E654" s="132"/>
      <c r="F654" s="132"/>
      <c r="G654" s="132"/>
      <c r="H654" s="132"/>
      <c r="I654" s="132"/>
      <c r="J654" s="132"/>
      <c r="K654" s="132"/>
      <c r="L654" s="132"/>
      <c r="M654" s="132"/>
      <c r="N654" s="132"/>
      <c r="O654" s="132"/>
      <c r="P654" s="132"/>
      <c r="Q654" s="132"/>
      <c r="R654" s="132"/>
      <c r="S654" s="132"/>
      <c r="T654" s="132"/>
      <c r="U654" s="132"/>
      <c r="V654" s="132"/>
      <c r="W654" s="132"/>
      <c r="X654" s="132"/>
      <c r="Y654" s="132"/>
      <c r="Z654" s="132"/>
    </row>
    <row r="655" spans="1:26" ht="11.25" customHeight="1" x14ac:dyDescent="0.3">
      <c r="A655" s="132"/>
      <c r="B655" s="132"/>
      <c r="C655" s="132"/>
      <c r="D655" s="132"/>
      <c r="E655" s="132"/>
      <c r="F655" s="132"/>
      <c r="G655" s="132"/>
      <c r="H655" s="132"/>
      <c r="I655" s="132"/>
      <c r="J655" s="132"/>
      <c r="K655" s="132"/>
      <c r="L655" s="132"/>
      <c r="M655" s="132"/>
      <c r="N655" s="132"/>
      <c r="O655" s="132"/>
      <c r="P655" s="132"/>
      <c r="Q655" s="132"/>
      <c r="R655" s="132"/>
      <c r="S655" s="132"/>
      <c r="T655" s="132"/>
      <c r="U655" s="132"/>
      <c r="V655" s="132"/>
      <c r="W655" s="132"/>
      <c r="X655" s="132"/>
      <c r="Y655" s="132"/>
      <c r="Z655" s="132"/>
    </row>
    <row r="656" spans="1:26" ht="11.25" customHeight="1" x14ac:dyDescent="0.3">
      <c r="A656" s="132"/>
      <c r="B656" s="132"/>
      <c r="C656" s="132"/>
      <c r="D656" s="132"/>
      <c r="E656" s="132"/>
      <c r="F656" s="132"/>
      <c r="G656" s="132"/>
      <c r="H656" s="132"/>
      <c r="I656" s="132"/>
      <c r="J656" s="132"/>
      <c r="K656" s="132"/>
      <c r="L656" s="132"/>
      <c r="M656" s="132"/>
      <c r="N656" s="132"/>
      <c r="O656" s="132"/>
      <c r="P656" s="132"/>
      <c r="Q656" s="132"/>
      <c r="R656" s="132"/>
      <c r="S656" s="132"/>
      <c r="T656" s="132"/>
      <c r="U656" s="132"/>
      <c r="V656" s="132"/>
      <c r="W656" s="132"/>
      <c r="X656" s="132"/>
      <c r="Y656" s="132"/>
      <c r="Z656" s="132"/>
    </row>
    <row r="657" spans="1:26" ht="11.25" customHeight="1" x14ac:dyDescent="0.3">
      <c r="A657" s="132"/>
      <c r="B657" s="132"/>
      <c r="C657" s="132"/>
      <c r="D657" s="132"/>
      <c r="E657" s="132"/>
      <c r="F657" s="132"/>
      <c r="G657" s="132"/>
      <c r="H657" s="132"/>
      <c r="I657" s="132"/>
      <c r="J657" s="132"/>
      <c r="K657" s="132"/>
      <c r="L657" s="132"/>
      <c r="M657" s="132"/>
      <c r="N657" s="132"/>
      <c r="O657" s="132"/>
      <c r="P657" s="132"/>
      <c r="Q657" s="132"/>
      <c r="R657" s="132"/>
      <c r="S657" s="132"/>
      <c r="T657" s="132"/>
      <c r="U657" s="132"/>
      <c r="V657" s="132"/>
      <c r="W657" s="132"/>
      <c r="X657" s="132"/>
      <c r="Y657" s="132"/>
      <c r="Z657" s="132"/>
    </row>
    <row r="658" spans="1:26" ht="11.25" customHeight="1" x14ac:dyDescent="0.3">
      <c r="A658" s="132"/>
      <c r="B658" s="132"/>
      <c r="C658" s="132"/>
      <c r="D658" s="132"/>
      <c r="E658" s="132"/>
      <c r="F658" s="132"/>
      <c r="G658" s="132"/>
      <c r="H658" s="132"/>
      <c r="I658" s="132"/>
      <c r="J658" s="132"/>
      <c r="K658" s="132"/>
      <c r="L658" s="132"/>
      <c r="M658" s="132"/>
      <c r="N658" s="132"/>
      <c r="O658" s="132"/>
      <c r="P658" s="132"/>
      <c r="Q658" s="132"/>
      <c r="R658" s="132"/>
      <c r="S658" s="132"/>
      <c r="T658" s="132"/>
      <c r="U658" s="132"/>
      <c r="V658" s="132"/>
      <c r="W658" s="132"/>
      <c r="X658" s="132"/>
      <c r="Y658" s="132"/>
      <c r="Z658" s="132"/>
    </row>
    <row r="659" spans="1:26" ht="11.25" customHeight="1" x14ac:dyDescent="0.3">
      <c r="A659" s="132"/>
      <c r="B659" s="132"/>
      <c r="C659" s="132"/>
      <c r="D659" s="132"/>
      <c r="E659" s="132"/>
      <c r="F659" s="132"/>
      <c r="G659" s="132"/>
      <c r="H659" s="132"/>
      <c r="I659" s="132"/>
      <c r="J659" s="132"/>
      <c r="K659" s="132"/>
      <c r="L659" s="132"/>
      <c r="M659" s="132"/>
      <c r="N659" s="132"/>
      <c r="O659" s="132"/>
      <c r="P659" s="132"/>
      <c r="Q659" s="132"/>
      <c r="R659" s="132"/>
      <c r="S659" s="132"/>
      <c r="T659" s="132"/>
      <c r="U659" s="132"/>
      <c r="V659" s="132"/>
      <c r="W659" s="132"/>
      <c r="X659" s="132"/>
      <c r="Y659" s="132"/>
      <c r="Z659" s="132"/>
    </row>
    <row r="660" spans="1:26" ht="11.25" customHeight="1" x14ac:dyDescent="0.3">
      <c r="A660" s="132"/>
      <c r="B660" s="132"/>
      <c r="C660" s="132"/>
      <c r="D660" s="132"/>
      <c r="E660" s="132"/>
      <c r="F660" s="132"/>
      <c r="G660" s="132"/>
      <c r="H660" s="132"/>
      <c r="I660" s="132"/>
      <c r="J660" s="132"/>
      <c r="K660" s="132"/>
      <c r="L660" s="132"/>
      <c r="M660" s="132"/>
      <c r="N660" s="132"/>
      <c r="O660" s="132"/>
      <c r="P660" s="132"/>
      <c r="Q660" s="132"/>
      <c r="R660" s="132"/>
      <c r="S660" s="132"/>
      <c r="T660" s="132"/>
      <c r="U660" s="132"/>
      <c r="V660" s="132"/>
      <c r="W660" s="132"/>
      <c r="X660" s="132"/>
      <c r="Y660" s="132"/>
      <c r="Z660" s="132"/>
    </row>
    <row r="661" spans="1:26" ht="11.25" customHeight="1" x14ac:dyDescent="0.3">
      <c r="A661" s="132"/>
      <c r="B661" s="132"/>
      <c r="C661" s="132"/>
      <c r="D661" s="132"/>
      <c r="E661" s="132"/>
      <c r="F661" s="132"/>
      <c r="G661" s="132"/>
      <c r="H661" s="132"/>
      <c r="I661" s="132"/>
      <c r="J661" s="132"/>
      <c r="K661" s="132"/>
      <c r="L661" s="132"/>
      <c r="M661" s="132"/>
      <c r="N661" s="132"/>
      <c r="O661" s="132"/>
      <c r="P661" s="132"/>
      <c r="Q661" s="132"/>
      <c r="R661" s="132"/>
      <c r="S661" s="132"/>
      <c r="T661" s="132"/>
      <c r="U661" s="132"/>
      <c r="V661" s="132"/>
      <c r="W661" s="132"/>
      <c r="X661" s="132"/>
      <c r="Y661" s="132"/>
      <c r="Z661" s="132"/>
    </row>
    <row r="662" spans="1:26" ht="11.25" customHeight="1" x14ac:dyDescent="0.3">
      <c r="A662" s="132"/>
      <c r="B662" s="132"/>
      <c r="C662" s="132"/>
      <c r="D662" s="132"/>
      <c r="E662" s="132"/>
      <c r="F662" s="132"/>
      <c r="G662" s="132"/>
      <c r="H662" s="132"/>
      <c r="I662" s="132"/>
      <c r="J662" s="132"/>
      <c r="K662" s="132"/>
      <c r="L662" s="132"/>
      <c r="M662" s="132"/>
      <c r="N662" s="132"/>
      <c r="O662" s="132"/>
      <c r="P662" s="132"/>
      <c r="Q662" s="132"/>
      <c r="R662" s="132"/>
      <c r="S662" s="132"/>
      <c r="T662" s="132"/>
      <c r="U662" s="132"/>
      <c r="V662" s="132"/>
      <c r="W662" s="132"/>
      <c r="X662" s="132"/>
      <c r="Y662" s="132"/>
      <c r="Z662" s="132"/>
    </row>
    <row r="663" spans="1:26" ht="11.25" customHeight="1" x14ac:dyDescent="0.3">
      <c r="A663" s="132"/>
      <c r="B663" s="132"/>
      <c r="C663" s="132"/>
      <c r="D663" s="132"/>
      <c r="E663" s="132"/>
      <c r="F663" s="132"/>
      <c r="G663" s="132"/>
      <c r="H663" s="132"/>
      <c r="I663" s="132"/>
      <c r="J663" s="132"/>
      <c r="K663" s="132"/>
      <c r="L663" s="132"/>
      <c r="M663" s="132"/>
      <c r="N663" s="132"/>
      <c r="O663" s="132"/>
      <c r="P663" s="132"/>
      <c r="Q663" s="132"/>
      <c r="R663" s="132"/>
      <c r="S663" s="132"/>
      <c r="T663" s="132"/>
      <c r="U663" s="132"/>
      <c r="V663" s="132"/>
      <c r="W663" s="132"/>
      <c r="X663" s="132"/>
      <c r="Y663" s="132"/>
      <c r="Z663" s="132"/>
    </row>
    <row r="664" spans="1:26" ht="11.25" customHeight="1" x14ac:dyDescent="0.3">
      <c r="A664" s="132"/>
      <c r="B664" s="132"/>
      <c r="C664" s="132"/>
      <c r="D664" s="132"/>
      <c r="E664" s="132"/>
      <c r="F664" s="132"/>
      <c r="G664" s="132"/>
      <c r="H664" s="132"/>
      <c r="I664" s="132"/>
      <c r="J664" s="132"/>
      <c r="K664" s="132"/>
      <c r="L664" s="132"/>
      <c r="M664" s="132"/>
      <c r="N664" s="132"/>
      <c r="O664" s="132"/>
      <c r="P664" s="132"/>
      <c r="Q664" s="132"/>
      <c r="R664" s="132"/>
      <c r="S664" s="132"/>
      <c r="T664" s="132"/>
      <c r="U664" s="132"/>
      <c r="V664" s="132"/>
      <c r="W664" s="132"/>
      <c r="X664" s="132"/>
      <c r="Y664" s="132"/>
      <c r="Z664" s="132"/>
    </row>
    <row r="665" spans="1:26" ht="11.25" customHeight="1" x14ac:dyDescent="0.3">
      <c r="A665" s="132"/>
      <c r="B665" s="132"/>
      <c r="C665" s="132"/>
      <c r="D665" s="132"/>
      <c r="E665" s="132"/>
      <c r="F665" s="132"/>
      <c r="G665" s="132"/>
      <c r="H665" s="132"/>
      <c r="I665" s="132"/>
      <c r="J665" s="132"/>
      <c r="K665" s="132"/>
      <c r="L665" s="132"/>
      <c r="M665" s="132"/>
      <c r="N665" s="132"/>
      <c r="O665" s="132"/>
      <c r="P665" s="132"/>
      <c r="Q665" s="132"/>
      <c r="R665" s="132"/>
      <c r="S665" s="132"/>
      <c r="T665" s="132"/>
      <c r="U665" s="132"/>
      <c r="V665" s="132"/>
      <c r="W665" s="132"/>
      <c r="X665" s="132"/>
      <c r="Y665" s="132"/>
      <c r="Z665" s="132"/>
    </row>
    <row r="666" spans="1:26" ht="11.25" customHeight="1" x14ac:dyDescent="0.3">
      <c r="A666" s="132"/>
      <c r="B666" s="132"/>
      <c r="C666" s="132"/>
      <c r="D666" s="132"/>
      <c r="E666" s="132"/>
      <c r="F666" s="132"/>
      <c r="G666" s="132"/>
      <c r="H666" s="132"/>
      <c r="I666" s="132"/>
      <c r="J666" s="132"/>
      <c r="K666" s="132"/>
      <c r="L666" s="132"/>
      <c r="M666" s="132"/>
      <c r="N666" s="132"/>
      <c r="O666" s="132"/>
      <c r="P666" s="132"/>
      <c r="Q666" s="132"/>
      <c r="R666" s="132"/>
      <c r="S666" s="132"/>
      <c r="T666" s="132"/>
      <c r="U666" s="132"/>
      <c r="V666" s="132"/>
      <c r="W666" s="132"/>
      <c r="X666" s="132"/>
      <c r="Y666" s="132"/>
      <c r="Z666" s="132"/>
    </row>
    <row r="667" spans="1:26" ht="11.25" customHeight="1" x14ac:dyDescent="0.3">
      <c r="A667" s="132"/>
      <c r="B667" s="132"/>
      <c r="C667" s="132"/>
      <c r="D667" s="132"/>
      <c r="E667" s="132"/>
      <c r="F667" s="132"/>
      <c r="G667" s="132"/>
      <c r="H667" s="132"/>
      <c r="I667" s="132"/>
      <c r="J667" s="132"/>
      <c r="K667" s="132"/>
      <c r="L667" s="132"/>
      <c r="M667" s="132"/>
      <c r="N667" s="132"/>
      <c r="O667" s="132"/>
      <c r="P667" s="132"/>
      <c r="Q667" s="132"/>
      <c r="R667" s="132"/>
      <c r="S667" s="132"/>
      <c r="T667" s="132"/>
      <c r="U667" s="132"/>
      <c r="V667" s="132"/>
      <c r="W667" s="132"/>
      <c r="X667" s="132"/>
      <c r="Y667" s="132"/>
      <c r="Z667" s="132"/>
    </row>
    <row r="668" spans="1:26" ht="11.25" customHeight="1" x14ac:dyDescent="0.3">
      <c r="A668" s="132"/>
      <c r="B668" s="132"/>
      <c r="C668" s="132"/>
      <c r="D668" s="132"/>
      <c r="E668" s="132"/>
      <c r="F668" s="132"/>
      <c r="G668" s="132"/>
      <c r="H668" s="132"/>
      <c r="I668" s="132"/>
      <c r="J668" s="132"/>
      <c r="K668" s="132"/>
      <c r="L668" s="132"/>
      <c r="M668" s="132"/>
      <c r="N668" s="132"/>
      <c r="O668" s="132"/>
      <c r="P668" s="132"/>
      <c r="Q668" s="132"/>
      <c r="R668" s="132"/>
      <c r="S668" s="132"/>
      <c r="T668" s="132"/>
      <c r="U668" s="132"/>
      <c r="V668" s="132"/>
      <c r="W668" s="132"/>
      <c r="X668" s="132"/>
      <c r="Y668" s="132"/>
      <c r="Z668" s="132"/>
    </row>
    <row r="669" spans="1:26" ht="11.25" customHeight="1" x14ac:dyDescent="0.3">
      <c r="A669" s="132"/>
      <c r="B669" s="132"/>
      <c r="C669" s="132"/>
      <c r="D669" s="132"/>
      <c r="E669" s="132"/>
      <c r="F669" s="132"/>
      <c r="G669" s="132"/>
      <c r="H669" s="132"/>
      <c r="I669" s="132"/>
      <c r="J669" s="132"/>
      <c r="K669" s="132"/>
      <c r="L669" s="132"/>
      <c r="M669" s="132"/>
      <c r="N669" s="132"/>
      <c r="O669" s="132"/>
      <c r="P669" s="132"/>
      <c r="Q669" s="132"/>
      <c r="R669" s="132"/>
      <c r="S669" s="132"/>
      <c r="T669" s="132"/>
      <c r="U669" s="132"/>
      <c r="V669" s="132"/>
      <c r="W669" s="132"/>
      <c r="X669" s="132"/>
      <c r="Y669" s="132"/>
      <c r="Z669" s="132"/>
    </row>
    <row r="670" spans="1:26" ht="11.25" customHeight="1" x14ac:dyDescent="0.3">
      <c r="A670" s="132"/>
      <c r="B670" s="132"/>
      <c r="C670" s="132"/>
      <c r="D670" s="132"/>
      <c r="E670" s="132"/>
      <c r="F670" s="132"/>
      <c r="G670" s="132"/>
      <c r="H670" s="132"/>
      <c r="I670" s="132"/>
      <c r="J670" s="132"/>
      <c r="K670" s="132"/>
      <c r="L670" s="132"/>
      <c r="M670" s="132"/>
      <c r="N670" s="132"/>
      <c r="O670" s="132"/>
      <c r="P670" s="132"/>
      <c r="Q670" s="132"/>
      <c r="R670" s="132"/>
      <c r="S670" s="132"/>
      <c r="T670" s="132"/>
      <c r="U670" s="132"/>
      <c r="V670" s="132"/>
      <c r="W670" s="132"/>
      <c r="X670" s="132"/>
      <c r="Y670" s="132"/>
      <c r="Z670" s="132"/>
    </row>
    <row r="671" spans="1:26" ht="11.25" customHeight="1" x14ac:dyDescent="0.3">
      <c r="A671" s="132"/>
      <c r="B671" s="132"/>
      <c r="C671" s="132"/>
      <c r="D671" s="132"/>
      <c r="E671" s="132"/>
      <c r="F671" s="132"/>
      <c r="G671" s="132"/>
      <c r="H671" s="132"/>
      <c r="I671" s="132"/>
      <c r="J671" s="132"/>
      <c r="K671" s="132"/>
      <c r="L671" s="132"/>
      <c r="M671" s="132"/>
      <c r="N671" s="132"/>
      <c r="O671" s="132"/>
      <c r="P671" s="132"/>
      <c r="Q671" s="132"/>
      <c r="R671" s="132"/>
      <c r="S671" s="132"/>
      <c r="T671" s="132"/>
      <c r="U671" s="132"/>
      <c r="V671" s="132"/>
      <c r="W671" s="132"/>
      <c r="X671" s="132"/>
      <c r="Y671" s="132"/>
      <c r="Z671" s="132"/>
    </row>
    <row r="672" spans="1:26" ht="11.25" customHeight="1" x14ac:dyDescent="0.3">
      <c r="A672" s="132"/>
      <c r="B672" s="132"/>
      <c r="C672" s="132"/>
      <c r="D672" s="132"/>
      <c r="E672" s="132"/>
      <c r="F672" s="132"/>
      <c r="G672" s="132"/>
      <c r="H672" s="132"/>
      <c r="I672" s="132"/>
      <c r="J672" s="132"/>
      <c r="K672" s="132"/>
      <c r="L672" s="132"/>
      <c r="M672" s="132"/>
      <c r="N672" s="132"/>
      <c r="O672" s="132"/>
      <c r="P672" s="132"/>
      <c r="Q672" s="132"/>
      <c r="R672" s="132"/>
      <c r="S672" s="132"/>
      <c r="T672" s="132"/>
      <c r="U672" s="132"/>
      <c r="V672" s="132"/>
      <c r="W672" s="132"/>
      <c r="X672" s="132"/>
      <c r="Y672" s="132"/>
      <c r="Z672" s="132"/>
    </row>
    <row r="673" spans="1:26" ht="11.25" customHeight="1" x14ac:dyDescent="0.3">
      <c r="A673" s="132"/>
      <c r="B673" s="132"/>
      <c r="C673" s="132"/>
      <c r="D673" s="132"/>
      <c r="E673" s="132"/>
      <c r="F673" s="132"/>
      <c r="G673" s="132"/>
      <c r="H673" s="132"/>
      <c r="I673" s="132"/>
      <c r="J673" s="132"/>
      <c r="K673" s="132"/>
      <c r="L673" s="132"/>
      <c r="M673" s="132"/>
      <c r="N673" s="132"/>
      <c r="O673" s="132"/>
      <c r="P673" s="132"/>
      <c r="Q673" s="132"/>
      <c r="R673" s="132"/>
      <c r="S673" s="132"/>
      <c r="T673" s="132"/>
      <c r="U673" s="132"/>
      <c r="V673" s="132"/>
      <c r="W673" s="132"/>
      <c r="X673" s="132"/>
      <c r="Y673" s="132"/>
      <c r="Z673" s="132"/>
    </row>
    <row r="674" spans="1:26" ht="11.25" customHeight="1" x14ac:dyDescent="0.3">
      <c r="A674" s="132"/>
      <c r="B674" s="132"/>
      <c r="C674" s="132"/>
      <c r="D674" s="132"/>
      <c r="E674" s="132"/>
      <c r="F674" s="132"/>
      <c r="G674" s="132"/>
      <c r="H674" s="132"/>
      <c r="I674" s="132"/>
      <c r="J674" s="132"/>
      <c r="K674" s="132"/>
      <c r="L674" s="132"/>
      <c r="M674" s="132"/>
      <c r="N674" s="132"/>
      <c r="O674" s="132"/>
      <c r="P674" s="132"/>
      <c r="Q674" s="132"/>
      <c r="R674" s="132"/>
      <c r="S674" s="132"/>
      <c r="T674" s="132"/>
      <c r="U674" s="132"/>
      <c r="V674" s="132"/>
      <c r="W674" s="132"/>
      <c r="X674" s="132"/>
      <c r="Y674" s="132"/>
      <c r="Z674" s="132"/>
    </row>
    <row r="675" spans="1:26" ht="11.25" customHeight="1" x14ac:dyDescent="0.3">
      <c r="A675" s="132"/>
      <c r="B675" s="132"/>
      <c r="C675" s="132"/>
      <c r="D675" s="132"/>
      <c r="E675" s="132"/>
      <c r="F675" s="132"/>
      <c r="G675" s="132"/>
      <c r="H675" s="132"/>
      <c r="I675" s="132"/>
      <c r="J675" s="132"/>
      <c r="K675" s="132"/>
      <c r="L675" s="132"/>
      <c r="M675" s="132"/>
      <c r="N675" s="132"/>
      <c r="O675" s="132"/>
      <c r="P675" s="132"/>
      <c r="Q675" s="132"/>
      <c r="R675" s="132"/>
      <c r="S675" s="132"/>
      <c r="T675" s="132"/>
      <c r="U675" s="132"/>
      <c r="V675" s="132"/>
      <c r="W675" s="132"/>
      <c r="X675" s="132"/>
      <c r="Y675" s="132"/>
      <c r="Z675" s="132"/>
    </row>
    <row r="676" spans="1:26" ht="11.25" customHeight="1" x14ac:dyDescent="0.3">
      <c r="A676" s="132"/>
      <c r="B676" s="132"/>
      <c r="C676" s="132"/>
      <c r="D676" s="132"/>
      <c r="E676" s="132"/>
      <c r="F676" s="132"/>
      <c r="G676" s="132"/>
      <c r="H676" s="132"/>
      <c r="I676" s="132"/>
      <c r="J676" s="132"/>
      <c r="K676" s="132"/>
      <c r="L676" s="132"/>
      <c r="M676" s="132"/>
      <c r="N676" s="132"/>
      <c r="O676" s="132"/>
      <c r="P676" s="132"/>
      <c r="Q676" s="132"/>
      <c r="R676" s="132"/>
      <c r="S676" s="132"/>
      <c r="T676" s="132"/>
      <c r="U676" s="132"/>
      <c r="V676" s="132"/>
      <c r="W676" s="132"/>
      <c r="X676" s="132"/>
      <c r="Y676" s="132"/>
      <c r="Z676" s="132"/>
    </row>
    <row r="677" spans="1:26" ht="11.25" customHeight="1" x14ac:dyDescent="0.3">
      <c r="A677" s="132"/>
      <c r="B677" s="132"/>
      <c r="C677" s="132"/>
      <c r="D677" s="132"/>
      <c r="E677" s="132"/>
      <c r="F677" s="132"/>
      <c r="G677" s="132"/>
      <c r="H677" s="132"/>
      <c r="I677" s="132"/>
      <c r="J677" s="132"/>
      <c r="K677" s="132"/>
      <c r="L677" s="132"/>
      <c r="M677" s="132"/>
      <c r="N677" s="132"/>
      <c r="O677" s="132"/>
      <c r="P677" s="132"/>
      <c r="Q677" s="132"/>
      <c r="R677" s="132"/>
      <c r="S677" s="132"/>
      <c r="T677" s="132"/>
      <c r="U677" s="132"/>
      <c r="V677" s="132"/>
      <c r="W677" s="132"/>
      <c r="X677" s="132"/>
      <c r="Y677" s="132"/>
      <c r="Z677" s="132"/>
    </row>
    <row r="678" spans="1:26" ht="11.25" customHeight="1" x14ac:dyDescent="0.3">
      <c r="A678" s="132"/>
      <c r="B678" s="132"/>
      <c r="C678" s="132"/>
      <c r="D678" s="132"/>
      <c r="E678" s="132"/>
      <c r="F678" s="132"/>
      <c r="G678" s="132"/>
      <c r="H678" s="132"/>
      <c r="I678" s="132"/>
      <c r="J678" s="132"/>
      <c r="K678" s="132"/>
      <c r="L678" s="132"/>
      <c r="M678" s="132"/>
      <c r="N678" s="132"/>
      <c r="O678" s="132"/>
      <c r="P678" s="132"/>
      <c r="Q678" s="132"/>
      <c r="R678" s="132"/>
      <c r="S678" s="132"/>
      <c r="T678" s="132"/>
      <c r="U678" s="132"/>
      <c r="V678" s="132"/>
      <c r="W678" s="132"/>
      <c r="X678" s="132"/>
      <c r="Y678" s="132"/>
      <c r="Z678" s="132"/>
    </row>
    <row r="679" spans="1:26" ht="11.25" customHeight="1" x14ac:dyDescent="0.3">
      <c r="A679" s="132"/>
      <c r="B679" s="132"/>
      <c r="C679" s="132"/>
      <c r="D679" s="132"/>
      <c r="E679" s="132"/>
      <c r="F679" s="132"/>
      <c r="G679" s="132"/>
      <c r="H679" s="132"/>
      <c r="I679" s="132"/>
      <c r="J679" s="132"/>
      <c r="K679" s="132"/>
      <c r="L679" s="132"/>
      <c r="M679" s="132"/>
      <c r="N679" s="132"/>
      <c r="O679" s="132"/>
      <c r="P679" s="132"/>
      <c r="Q679" s="132"/>
      <c r="R679" s="132"/>
      <c r="S679" s="132"/>
      <c r="T679" s="132"/>
      <c r="U679" s="132"/>
      <c r="V679" s="132"/>
      <c r="W679" s="132"/>
      <c r="X679" s="132"/>
      <c r="Y679" s="132"/>
      <c r="Z679" s="132"/>
    </row>
    <row r="680" spans="1:26" ht="11.25" customHeight="1" x14ac:dyDescent="0.3">
      <c r="A680" s="132"/>
      <c r="B680" s="132"/>
      <c r="C680" s="132"/>
      <c r="D680" s="132"/>
      <c r="E680" s="132"/>
      <c r="F680" s="132"/>
      <c r="G680" s="132"/>
      <c r="H680" s="132"/>
      <c r="I680" s="132"/>
      <c r="J680" s="132"/>
      <c r="K680" s="132"/>
      <c r="L680" s="132"/>
      <c r="M680" s="132"/>
      <c r="N680" s="132"/>
      <c r="O680" s="132"/>
      <c r="P680" s="132"/>
      <c r="Q680" s="132"/>
      <c r="R680" s="132"/>
      <c r="S680" s="132"/>
      <c r="T680" s="132"/>
      <c r="U680" s="132"/>
      <c r="V680" s="132"/>
      <c r="W680" s="132"/>
      <c r="X680" s="132"/>
      <c r="Y680" s="132"/>
      <c r="Z680" s="132"/>
    </row>
    <row r="681" spans="1:26" ht="11.25" customHeight="1" x14ac:dyDescent="0.3">
      <c r="A681" s="132"/>
      <c r="B681" s="132"/>
      <c r="C681" s="132"/>
      <c r="D681" s="132"/>
      <c r="E681" s="132"/>
      <c r="F681" s="132"/>
      <c r="G681" s="132"/>
      <c r="H681" s="132"/>
      <c r="I681" s="132"/>
      <c r="J681" s="132"/>
      <c r="K681" s="132"/>
      <c r="L681" s="132"/>
      <c r="M681" s="132"/>
      <c r="N681" s="132"/>
      <c r="O681" s="132"/>
      <c r="P681" s="132"/>
      <c r="Q681" s="132"/>
      <c r="R681" s="132"/>
      <c r="S681" s="132"/>
      <c r="T681" s="132"/>
      <c r="U681" s="132"/>
      <c r="V681" s="132"/>
      <c r="W681" s="132"/>
      <c r="X681" s="132"/>
      <c r="Y681" s="132"/>
      <c r="Z681" s="132"/>
    </row>
    <row r="682" spans="1:26" ht="11.25" customHeight="1" x14ac:dyDescent="0.3">
      <c r="A682" s="132"/>
      <c r="B682" s="132"/>
      <c r="C682" s="132"/>
      <c r="D682" s="132"/>
      <c r="E682" s="132"/>
      <c r="F682" s="132"/>
      <c r="G682" s="132"/>
      <c r="H682" s="132"/>
      <c r="I682" s="132"/>
      <c r="J682" s="132"/>
      <c r="K682" s="132"/>
      <c r="L682" s="132"/>
      <c r="M682" s="132"/>
      <c r="N682" s="132"/>
      <c r="O682" s="132"/>
      <c r="P682" s="132"/>
      <c r="Q682" s="132"/>
      <c r="R682" s="132"/>
      <c r="S682" s="132"/>
      <c r="T682" s="132"/>
      <c r="U682" s="132"/>
      <c r="V682" s="132"/>
      <c r="W682" s="132"/>
      <c r="X682" s="132"/>
      <c r="Y682" s="132"/>
      <c r="Z682" s="132"/>
    </row>
    <row r="683" spans="1:26" ht="11.25" customHeight="1" x14ac:dyDescent="0.3">
      <c r="A683" s="132"/>
      <c r="B683" s="132"/>
      <c r="C683" s="132"/>
      <c r="D683" s="132"/>
      <c r="E683" s="132"/>
      <c r="F683" s="132"/>
      <c r="G683" s="132"/>
      <c r="H683" s="132"/>
      <c r="I683" s="132"/>
      <c r="J683" s="132"/>
      <c r="K683" s="132"/>
      <c r="L683" s="132"/>
      <c r="M683" s="132"/>
      <c r="N683" s="132"/>
      <c r="O683" s="132"/>
      <c r="P683" s="132"/>
      <c r="Q683" s="132"/>
      <c r="R683" s="132"/>
      <c r="S683" s="132"/>
      <c r="T683" s="132"/>
      <c r="U683" s="132"/>
      <c r="V683" s="132"/>
      <c r="W683" s="132"/>
      <c r="X683" s="132"/>
      <c r="Y683" s="132"/>
      <c r="Z683" s="132"/>
    </row>
    <row r="684" spans="1:26" ht="11.25" customHeight="1" x14ac:dyDescent="0.3">
      <c r="A684" s="132"/>
      <c r="B684" s="132"/>
      <c r="C684" s="132"/>
      <c r="D684" s="132"/>
      <c r="E684" s="132"/>
      <c r="F684" s="132"/>
      <c r="G684" s="132"/>
      <c r="H684" s="132"/>
      <c r="I684" s="132"/>
      <c r="J684" s="132"/>
      <c r="K684" s="132"/>
      <c r="L684" s="132"/>
      <c r="M684" s="132"/>
      <c r="N684" s="132"/>
      <c r="O684" s="132"/>
      <c r="P684" s="132"/>
      <c r="Q684" s="132"/>
      <c r="R684" s="132"/>
      <c r="S684" s="132"/>
      <c r="T684" s="132"/>
      <c r="U684" s="132"/>
      <c r="V684" s="132"/>
      <c r="W684" s="132"/>
      <c r="X684" s="132"/>
      <c r="Y684" s="132"/>
      <c r="Z684" s="132"/>
    </row>
    <row r="685" spans="1:26" ht="11.25" customHeight="1" x14ac:dyDescent="0.3">
      <c r="A685" s="132"/>
      <c r="B685" s="132"/>
      <c r="C685" s="132"/>
      <c r="D685" s="132"/>
      <c r="E685" s="132"/>
      <c r="F685" s="132"/>
      <c r="G685" s="132"/>
      <c r="H685" s="132"/>
      <c r="I685" s="132"/>
      <c r="J685" s="132"/>
      <c r="K685" s="132"/>
      <c r="L685" s="132"/>
      <c r="M685" s="132"/>
      <c r="N685" s="132"/>
      <c r="O685" s="132"/>
      <c r="P685" s="132"/>
      <c r="Q685" s="132"/>
      <c r="R685" s="132"/>
      <c r="S685" s="132"/>
      <c r="T685" s="132"/>
      <c r="U685" s="132"/>
      <c r="V685" s="132"/>
      <c r="W685" s="132"/>
      <c r="X685" s="132"/>
      <c r="Y685" s="132"/>
      <c r="Z685" s="132"/>
    </row>
    <row r="686" spans="1:26" ht="11.25" customHeight="1" x14ac:dyDescent="0.3">
      <c r="A686" s="132"/>
      <c r="B686" s="132"/>
      <c r="C686" s="132"/>
      <c r="D686" s="132"/>
      <c r="E686" s="132"/>
      <c r="F686" s="132"/>
      <c r="G686" s="132"/>
      <c r="H686" s="132"/>
      <c r="I686" s="132"/>
      <c r="J686" s="132"/>
      <c r="K686" s="132"/>
      <c r="L686" s="132"/>
      <c r="M686" s="132"/>
      <c r="N686" s="132"/>
      <c r="O686" s="132"/>
      <c r="P686" s="132"/>
      <c r="Q686" s="132"/>
      <c r="R686" s="132"/>
      <c r="S686" s="132"/>
      <c r="T686" s="132"/>
      <c r="U686" s="132"/>
      <c r="V686" s="132"/>
      <c r="W686" s="132"/>
      <c r="X686" s="132"/>
      <c r="Y686" s="132"/>
      <c r="Z686" s="132"/>
    </row>
    <row r="687" spans="1:26" ht="11.25" customHeight="1" x14ac:dyDescent="0.3">
      <c r="A687" s="132"/>
      <c r="B687" s="132"/>
      <c r="C687" s="132"/>
      <c r="D687" s="132"/>
      <c r="E687" s="132"/>
      <c r="F687" s="132"/>
      <c r="G687" s="132"/>
      <c r="H687" s="132"/>
      <c r="I687" s="132"/>
      <c r="J687" s="132"/>
      <c r="K687" s="132"/>
      <c r="L687" s="132"/>
      <c r="M687" s="132"/>
      <c r="N687" s="132"/>
      <c r="O687" s="132"/>
      <c r="P687" s="132"/>
      <c r="Q687" s="132"/>
      <c r="R687" s="132"/>
      <c r="S687" s="132"/>
      <c r="T687" s="132"/>
      <c r="U687" s="132"/>
      <c r="V687" s="132"/>
      <c r="W687" s="132"/>
      <c r="X687" s="132"/>
      <c r="Y687" s="132"/>
      <c r="Z687" s="132"/>
    </row>
    <row r="688" spans="1:26" ht="11.25" customHeight="1" x14ac:dyDescent="0.3">
      <c r="A688" s="132"/>
      <c r="B688" s="132"/>
      <c r="C688" s="132"/>
      <c r="D688" s="132"/>
      <c r="E688" s="132"/>
      <c r="F688" s="132"/>
      <c r="G688" s="132"/>
      <c r="H688" s="132"/>
      <c r="I688" s="132"/>
      <c r="J688" s="132"/>
      <c r="K688" s="132"/>
      <c r="L688" s="132"/>
      <c r="M688" s="132"/>
      <c r="N688" s="132"/>
      <c r="O688" s="132"/>
      <c r="P688" s="132"/>
      <c r="Q688" s="132"/>
      <c r="R688" s="132"/>
      <c r="S688" s="132"/>
      <c r="T688" s="132"/>
      <c r="U688" s="132"/>
      <c r="V688" s="132"/>
      <c r="W688" s="132"/>
      <c r="X688" s="132"/>
      <c r="Y688" s="132"/>
      <c r="Z688" s="132"/>
    </row>
    <row r="689" spans="1:26" ht="11.25" customHeight="1" x14ac:dyDescent="0.3">
      <c r="A689" s="132"/>
      <c r="B689" s="132"/>
      <c r="C689" s="132"/>
      <c r="D689" s="132"/>
      <c r="E689" s="132"/>
      <c r="F689" s="132"/>
      <c r="G689" s="132"/>
      <c r="H689" s="132"/>
      <c r="I689" s="132"/>
      <c r="J689" s="132"/>
      <c r="K689" s="132"/>
      <c r="L689" s="132"/>
      <c r="M689" s="132"/>
      <c r="N689" s="132"/>
      <c r="O689" s="132"/>
      <c r="P689" s="132"/>
      <c r="Q689" s="132"/>
      <c r="R689" s="132"/>
      <c r="S689" s="132"/>
      <c r="T689" s="132"/>
      <c r="U689" s="132"/>
      <c r="V689" s="132"/>
      <c r="W689" s="132"/>
      <c r="X689" s="132"/>
      <c r="Y689" s="132"/>
      <c r="Z689" s="132"/>
    </row>
    <row r="690" spans="1:26" ht="11.25" customHeight="1" x14ac:dyDescent="0.3">
      <c r="A690" s="132"/>
      <c r="B690" s="132"/>
      <c r="C690" s="132"/>
      <c r="D690" s="132"/>
      <c r="E690" s="132"/>
      <c r="F690" s="132"/>
      <c r="G690" s="132"/>
      <c r="H690" s="132"/>
      <c r="I690" s="132"/>
      <c r="J690" s="132"/>
      <c r="K690" s="132"/>
      <c r="L690" s="132"/>
      <c r="M690" s="132"/>
      <c r="N690" s="132"/>
      <c r="O690" s="132"/>
      <c r="P690" s="132"/>
      <c r="Q690" s="132"/>
      <c r="R690" s="132"/>
      <c r="S690" s="132"/>
      <c r="T690" s="132"/>
      <c r="U690" s="132"/>
      <c r="V690" s="132"/>
      <c r="W690" s="132"/>
      <c r="X690" s="132"/>
      <c r="Y690" s="132"/>
      <c r="Z690" s="132"/>
    </row>
    <row r="691" spans="1:26" ht="11.25" customHeight="1" x14ac:dyDescent="0.3">
      <c r="A691" s="132"/>
      <c r="B691" s="132"/>
      <c r="C691" s="132"/>
      <c r="D691" s="132"/>
      <c r="E691" s="132"/>
      <c r="F691" s="132"/>
      <c r="G691" s="132"/>
      <c r="H691" s="132"/>
      <c r="I691" s="132"/>
      <c r="J691" s="132"/>
      <c r="K691" s="132"/>
      <c r="L691" s="132"/>
      <c r="M691" s="132"/>
      <c r="N691" s="132"/>
      <c r="O691" s="132"/>
      <c r="P691" s="132"/>
      <c r="Q691" s="132"/>
      <c r="R691" s="132"/>
      <c r="S691" s="132"/>
      <c r="T691" s="132"/>
      <c r="U691" s="132"/>
      <c r="V691" s="132"/>
      <c r="W691" s="132"/>
      <c r="X691" s="132"/>
      <c r="Y691" s="132"/>
      <c r="Z691" s="132"/>
    </row>
    <row r="692" spans="1:26" ht="11.25" customHeight="1" x14ac:dyDescent="0.3">
      <c r="A692" s="132"/>
      <c r="B692" s="132"/>
      <c r="C692" s="132"/>
      <c r="D692" s="132"/>
      <c r="E692" s="132"/>
      <c r="F692" s="132"/>
      <c r="G692" s="132"/>
      <c r="H692" s="132"/>
      <c r="I692" s="132"/>
      <c r="J692" s="132"/>
      <c r="K692" s="132"/>
      <c r="L692" s="132"/>
      <c r="M692" s="132"/>
      <c r="N692" s="132"/>
      <c r="O692" s="132"/>
      <c r="P692" s="132"/>
      <c r="Q692" s="132"/>
      <c r="R692" s="132"/>
      <c r="S692" s="132"/>
      <c r="T692" s="132"/>
      <c r="U692" s="132"/>
      <c r="V692" s="132"/>
      <c r="W692" s="132"/>
      <c r="X692" s="132"/>
      <c r="Y692" s="132"/>
      <c r="Z692" s="132"/>
    </row>
    <row r="693" spans="1:26" ht="11.25" customHeight="1" x14ac:dyDescent="0.3">
      <c r="A693" s="132"/>
      <c r="B693" s="132"/>
      <c r="C693" s="132"/>
      <c r="D693" s="132"/>
      <c r="E693" s="132"/>
      <c r="F693" s="132"/>
      <c r="G693" s="132"/>
      <c r="H693" s="132"/>
      <c r="I693" s="132"/>
      <c r="J693" s="132"/>
      <c r="K693" s="132"/>
      <c r="L693" s="132"/>
      <c r="M693" s="132"/>
      <c r="N693" s="132"/>
      <c r="O693" s="132"/>
      <c r="P693" s="132"/>
      <c r="Q693" s="132"/>
      <c r="R693" s="132"/>
      <c r="S693" s="132"/>
      <c r="T693" s="132"/>
      <c r="U693" s="132"/>
      <c r="V693" s="132"/>
      <c r="W693" s="132"/>
      <c r="X693" s="132"/>
      <c r="Y693" s="132"/>
      <c r="Z693" s="132"/>
    </row>
    <row r="694" spans="1:26" ht="11.25" customHeight="1" x14ac:dyDescent="0.3">
      <c r="A694" s="132"/>
      <c r="B694" s="132"/>
      <c r="C694" s="132"/>
      <c r="D694" s="132"/>
      <c r="E694" s="132"/>
      <c r="F694" s="132"/>
      <c r="G694" s="132"/>
      <c r="H694" s="132"/>
      <c r="I694" s="132"/>
      <c r="J694" s="132"/>
      <c r="K694" s="132"/>
      <c r="L694" s="132"/>
      <c r="M694" s="132"/>
      <c r="N694" s="132"/>
      <c r="O694" s="132"/>
      <c r="P694" s="132"/>
      <c r="Q694" s="132"/>
      <c r="R694" s="132"/>
      <c r="S694" s="132"/>
      <c r="T694" s="132"/>
      <c r="U694" s="132"/>
      <c r="V694" s="132"/>
      <c r="W694" s="132"/>
      <c r="X694" s="132"/>
      <c r="Y694" s="132"/>
      <c r="Z694" s="132"/>
    </row>
    <row r="695" spans="1:26" ht="11.25" customHeight="1" x14ac:dyDescent="0.3">
      <c r="A695" s="132"/>
      <c r="B695" s="132"/>
      <c r="C695" s="132"/>
      <c r="D695" s="132"/>
      <c r="E695" s="132"/>
      <c r="F695" s="132"/>
      <c r="G695" s="132"/>
      <c r="H695" s="132"/>
      <c r="I695" s="132"/>
      <c r="J695" s="132"/>
      <c r="K695" s="132"/>
      <c r="L695" s="132"/>
      <c r="M695" s="132"/>
      <c r="N695" s="132"/>
      <c r="O695" s="132"/>
      <c r="P695" s="132"/>
      <c r="Q695" s="132"/>
      <c r="R695" s="132"/>
      <c r="S695" s="132"/>
      <c r="T695" s="132"/>
      <c r="U695" s="132"/>
      <c r="V695" s="132"/>
      <c r="W695" s="132"/>
      <c r="X695" s="132"/>
      <c r="Y695" s="132"/>
      <c r="Z695" s="132"/>
    </row>
    <row r="696" spans="1:26" ht="11.25" customHeight="1" x14ac:dyDescent="0.3">
      <c r="A696" s="132"/>
      <c r="B696" s="132"/>
      <c r="C696" s="132"/>
      <c r="D696" s="132"/>
      <c r="E696" s="132"/>
      <c r="F696" s="132"/>
      <c r="G696" s="132"/>
      <c r="H696" s="132"/>
      <c r="I696" s="132"/>
      <c r="J696" s="132"/>
      <c r="K696" s="132"/>
      <c r="L696" s="132"/>
      <c r="M696" s="132"/>
      <c r="N696" s="132"/>
      <c r="O696" s="132"/>
      <c r="P696" s="132"/>
      <c r="Q696" s="132"/>
      <c r="R696" s="132"/>
      <c r="S696" s="132"/>
      <c r="T696" s="132"/>
      <c r="U696" s="132"/>
      <c r="V696" s="132"/>
      <c r="W696" s="132"/>
      <c r="X696" s="132"/>
      <c r="Y696" s="132"/>
      <c r="Z696" s="132"/>
    </row>
    <row r="697" spans="1:26" ht="11.25" customHeight="1" x14ac:dyDescent="0.3">
      <c r="A697" s="132"/>
      <c r="B697" s="132"/>
      <c r="C697" s="132"/>
      <c r="D697" s="132"/>
      <c r="E697" s="132"/>
      <c r="F697" s="132"/>
      <c r="G697" s="132"/>
      <c r="H697" s="132"/>
      <c r="I697" s="132"/>
      <c r="J697" s="132"/>
      <c r="K697" s="132"/>
      <c r="L697" s="132"/>
      <c r="M697" s="132"/>
      <c r="N697" s="132"/>
      <c r="O697" s="132"/>
      <c r="P697" s="132"/>
      <c r="Q697" s="132"/>
      <c r="R697" s="132"/>
      <c r="S697" s="132"/>
      <c r="T697" s="132"/>
      <c r="U697" s="132"/>
      <c r="V697" s="132"/>
      <c r="W697" s="132"/>
      <c r="X697" s="132"/>
      <c r="Y697" s="132"/>
      <c r="Z697" s="132"/>
    </row>
    <row r="698" spans="1:26" ht="11.25" customHeight="1" x14ac:dyDescent="0.3">
      <c r="A698" s="132"/>
      <c r="B698" s="132"/>
      <c r="C698" s="132"/>
      <c r="D698" s="132"/>
      <c r="E698" s="132"/>
      <c r="F698" s="132"/>
      <c r="G698" s="132"/>
      <c r="H698" s="132"/>
      <c r="I698" s="132"/>
      <c r="J698" s="132"/>
      <c r="K698" s="132"/>
      <c r="L698" s="132"/>
      <c r="M698" s="132"/>
      <c r="N698" s="132"/>
      <c r="O698" s="132"/>
      <c r="P698" s="132"/>
      <c r="Q698" s="132"/>
      <c r="R698" s="132"/>
      <c r="S698" s="132"/>
      <c r="T698" s="132"/>
      <c r="U698" s="132"/>
      <c r="V698" s="132"/>
      <c r="W698" s="132"/>
      <c r="X698" s="132"/>
      <c r="Y698" s="132"/>
      <c r="Z698" s="132"/>
    </row>
    <row r="699" spans="1:26" ht="11.25" customHeight="1" x14ac:dyDescent="0.3">
      <c r="A699" s="132"/>
      <c r="B699" s="132"/>
      <c r="C699" s="132"/>
      <c r="D699" s="132"/>
      <c r="E699" s="132"/>
      <c r="F699" s="132"/>
      <c r="G699" s="132"/>
      <c r="H699" s="132"/>
      <c r="I699" s="132"/>
      <c r="J699" s="132"/>
      <c r="K699" s="132"/>
      <c r="L699" s="132"/>
      <c r="M699" s="132"/>
      <c r="N699" s="132"/>
      <c r="O699" s="132"/>
      <c r="P699" s="132"/>
      <c r="Q699" s="132"/>
      <c r="R699" s="132"/>
      <c r="S699" s="132"/>
      <c r="T699" s="132"/>
      <c r="U699" s="132"/>
      <c r="V699" s="132"/>
      <c r="W699" s="132"/>
      <c r="X699" s="132"/>
      <c r="Y699" s="132"/>
      <c r="Z699" s="132"/>
    </row>
    <row r="700" spans="1:26" ht="11.25" customHeight="1" x14ac:dyDescent="0.3">
      <c r="A700" s="132"/>
      <c r="B700" s="132"/>
      <c r="C700" s="132"/>
      <c r="D700" s="132"/>
      <c r="E700" s="132"/>
      <c r="F700" s="132"/>
      <c r="G700" s="132"/>
      <c r="H700" s="132"/>
      <c r="I700" s="132"/>
      <c r="J700" s="132"/>
      <c r="K700" s="132"/>
      <c r="L700" s="132"/>
      <c r="M700" s="132"/>
      <c r="N700" s="132"/>
      <c r="O700" s="132"/>
      <c r="P700" s="132"/>
      <c r="Q700" s="132"/>
      <c r="R700" s="132"/>
      <c r="S700" s="132"/>
      <c r="T700" s="132"/>
      <c r="U700" s="132"/>
      <c r="V700" s="132"/>
      <c r="W700" s="132"/>
      <c r="X700" s="132"/>
      <c r="Y700" s="132"/>
      <c r="Z700" s="132"/>
    </row>
    <row r="701" spans="1:26" ht="11.25" customHeight="1" x14ac:dyDescent="0.3">
      <c r="A701" s="132"/>
      <c r="B701" s="132"/>
      <c r="C701" s="132"/>
      <c r="D701" s="132"/>
      <c r="E701" s="132"/>
      <c r="F701" s="132"/>
      <c r="G701" s="132"/>
      <c r="H701" s="132"/>
      <c r="I701" s="132"/>
      <c r="J701" s="132"/>
      <c r="K701" s="132"/>
      <c r="L701" s="132"/>
      <c r="M701" s="132"/>
      <c r="N701" s="132"/>
      <c r="O701" s="132"/>
      <c r="P701" s="132"/>
      <c r="Q701" s="132"/>
      <c r="R701" s="132"/>
      <c r="S701" s="132"/>
      <c r="T701" s="132"/>
      <c r="U701" s="132"/>
      <c r="V701" s="132"/>
      <c r="W701" s="132"/>
      <c r="X701" s="132"/>
      <c r="Y701" s="132"/>
      <c r="Z701" s="132"/>
    </row>
    <row r="702" spans="1:26" ht="11.25" customHeight="1" x14ac:dyDescent="0.3">
      <c r="A702" s="132"/>
      <c r="B702" s="132"/>
      <c r="C702" s="132"/>
      <c r="D702" s="132"/>
      <c r="E702" s="132"/>
      <c r="F702" s="132"/>
      <c r="G702" s="132"/>
      <c r="H702" s="132"/>
      <c r="I702" s="132"/>
      <c r="J702" s="132"/>
      <c r="K702" s="132"/>
      <c r="L702" s="132"/>
      <c r="M702" s="132"/>
      <c r="N702" s="132"/>
      <c r="O702" s="132"/>
      <c r="P702" s="132"/>
      <c r="Q702" s="132"/>
      <c r="R702" s="132"/>
      <c r="S702" s="132"/>
      <c r="T702" s="132"/>
      <c r="U702" s="132"/>
      <c r="V702" s="132"/>
      <c r="W702" s="132"/>
      <c r="X702" s="132"/>
      <c r="Y702" s="132"/>
      <c r="Z702" s="132"/>
    </row>
    <row r="703" spans="1:26" ht="11.25" customHeight="1" x14ac:dyDescent="0.3">
      <c r="A703" s="132"/>
      <c r="B703" s="132"/>
      <c r="C703" s="132"/>
      <c r="D703" s="132"/>
      <c r="E703" s="132"/>
      <c r="F703" s="132"/>
      <c r="G703" s="132"/>
      <c r="H703" s="132"/>
      <c r="I703" s="132"/>
      <c r="J703" s="132"/>
      <c r="K703" s="132"/>
      <c r="L703" s="132"/>
      <c r="M703" s="132"/>
      <c r="N703" s="132"/>
      <c r="O703" s="132"/>
      <c r="P703" s="132"/>
      <c r="Q703" s="132"/>
      <c r="R703" s="132"/>
      <c r="S703" s="132"/>
      <c r="T703" s="132"/>
      <c r="U703" s="132"/>
      <c r="V703" s="132"/>
      <c r="W703" s="132"/>
      <c r="X703" s="132"/>
      <c r="Y703" s="132"/>
      <c r="Z703" s="132"/>
    </row>
    <row r="704" spans="1:26" ht="11.25" customHeight="1" x14ac:dyDescent="0.3">
      <c r="A704" s="132"/>
      <c r="B704" s="132"/>
      <c r="C704" s="132"/>
      <c r="D704" s="132"/>
      <c r="E704" s="132"/>
      <c r="F704" s="132"/>
      <c r="G704" s="132"/>
      <c r="H704" s="132"/>
      <c r="I704" s="132"/>
      <c r="J704" s="132"/>
      <c r="K704" s="132"/>
      <c r="L704" s="132"/>
      <c r="M704" s="132"/>
      <c r="N704" s="132"/>
      <c r="O704" s="132"/>
      <c r="P704" s="132"/>
      <c r="Q704" s="132"/>
      <c r="R704" s="132"/>
      <c r="S704" s="132"/>
      <c r="T704" s="132"/>
      <c r="U704" s="132"/>
      <c r="V704" s="132"/>
      <c r="W704" s="132"/>
      <c r="X704" s="132"/>
      <c r="Y704" s="132"/>
      <c r="Z704" s="132"/>
    </row>
    <row r="705" spans="1:26" ht="11.25" customHeight="1" x14ac:dyDescent="0.3">
      <c r="A705" s="132"/>
      <c r="B705" s="132"/>
      <c r="C705" s="132"/>
      <c r="D705" s="132"/>
      <c r="E705" s="132"/>
      <c r="F705" s="132"/>
      <c r="G705" s="132"/>
      <c r="H705" s="132"/>
      <c r="I705" s="132"/>
      <c r="J705" s="132"/>
      <c r="K705" s="132"/>
      <c r="L705" s="132"/>
      <c r="M705" s="132"/>
      <c r="N705" s="132"/>
      <c r="O705" s="132"/>
      <c r="P705" s="132"/>
      <c r="Q705" s="132"/>
      <c r="R705" s="132"/>
      <c r="S705" s="132"/>
      <c r="T705" s="132"/>
      <c r="U705" s="132"/>
      <c r="V705" s="132"/>
      <c r="W705" s="132"/>
      <c r="X705" s="132"/>
      <c r="Y705" s="132"/>
      <c r="Z705" s="132"/>
    </row>
    <row r="706" spans="1:26" ht="11.25" customHeight="1" x14ac:dyDescent="0.3">
      <c r="A706" s="132"/>
      <c r="B706" s="132"/>
      <c r="C706" s="132"/>
      <c r="D706" s="132"/>
      <c r="E706" s="132"/>
      <c r="F706" s="132"/>
      <c r="G706" s="132"/>
      <c r="H706" s="132"/>
      <c r="I706" s="132"/>
      <c r="J706" s="132"/>
      <c r="K706" s="132"/>
      <c r="L706" s="132"/>
      <c r="M706" s="132"/>
      <c r="N706" s="132"/>
      <c r="O706" s="132"/>
      <c r="P706" s="132"/>
      <c r="Q706" s="132"/>
      <c r="R706" s="132"/>
      <c r="S706" s="132"/>
      <c r="T706" s="132"/>
      <c r="U706" s="132"/>
      <c r="V706" s="132"/>
      <c r="W706" s="132"/>
      <c r="X706" s="132"/>
      <c r="Y706" s="132"/>
      <c r="Z706" s="132"/>
    </row>
    <row r="707" spans="1:26" ht="11.25" customHeight="1" x14ac:dyDescent="0.3">
      <c r="A707" s="132"/>
      <c r="B707" s="132"/>
      <c r="C707" s="132"/>
      <c r="D707" s="132"/>
      <c r="E707" s="132"/>
      <c r="F707" s="132"/>
      <c r="G707" s="132"/>
      <c r="H707" s="132"/>
      <c r="I707" s="132"/>
      <c r="J707" s="132"/>
      <c r="K707" s="132"/>
      <c r="L707" s="132"/>
      <c r="M707" s="132"/>
      <c r="N707" s="132"/>
      <c r="O707" s="132"/>
      <c r="P707" s="132"/>
      <c r="Q707" s="132"/>
      <c r="R707" s="132"/>
      <c r="S707" s="132"/>
      <c r="T707" s="132"/>
      <c r="U707" s="132"/>
      <c r="V707" s="132"/>
      <c r="W707" s="132"/>
      <c r="X707" s="132"/>
      <c r="Y707" s="132"/>
      <c r="Z707" s="132"/>
    </row>
    <row r="708" spans="1:26" ht="11.25" customHeight="1" x14ac:dyDescent="0.3">
      <c r="A708" s="132"/>
      <c r="B708" s="132"/>
      <c r="C708" s="132"/>
      <c r="D708" s="132"/>
      <c r="E708" s="132"/>
      <c r="F708" s="132"/>
      <c r="G708" s="132"/>
      <c r="H708" s="132"/>
      <c r="I708" s="132"/>
      <c r="J708" s="132"/>
      <c r="K708" s="132"/>
      <c r="L708" s="132"/>
      <c r="M708" s="132"/>
      <c r="N708" s="132"/>
      <c r="O708" s="132"/>
      <c r="P708" s="132"/>
      <c r="Q708" s="132"/>
      <c r="R708" s="132"/>
      <c r="S708" s="132"/>
      <c r="T708" s="132"/>
      <c r="U708" s="132"/>
      <c r="V708" s="132"/>
      <c r="W708" s="132"/>
      <c r="X708" s="132"/>
      <c r="Y708" s="132"/>
      <c r="Z708" s="132"/>
    </row>
    <row r="709" spans="1:26" ht="11.25" customHeight="1" x14ac:dyDescent="0.3">
      <c r="A709" s="132"/>
      <c r="B709" s="132"/>
      <c r="C709" s="132"/>
      <c r="D709" s="132"/>
      <c r="E709" s="132"/>
      <c r="F709" s="132"/>
      <c r="G709" s="132"/>
      <c r="H709" s="132"/>
      <c r="I709" s="132"/>
      <c r="J709" s="132"/>
      <c r="K709" s="132"/>
      <c r="L709" s="132"/>
      <c r="M709" s="132"/>
      <c r="N709" s="132"/>
      <c r="O709" s="132"/>
      <c r="P709" s="132"/>
      <c r="Q709" s="132"/>
      <c r="R709" s="132"/>
      <c r="S709" s="132"/>
      <c r="T709" s="132"/>
      <c r="U709" s="132"/>
      <c r="V709" s="132"/>
      <c r="W709" s="132"/>
      <c r="X709" s="132"/>
      <c r="Y709" s="132"/>
      <c r="Z709" s="132"/>
    </row>
    <row r="710" spans="1:26" ht="11.25" customHeight="1" x14ac:dyDescent="0.3">
      <c r="A710" s="132"/>
      <c r="B710" s="132"/>
      <c r="C710" s="132"/>
      <c r="D710" s="132"/>
      <c r="E710" s="132"/>
      <c r="F710" s="132"/>
      <c r="G710" s="132"/>
      <c r="H710" s="132"/>
      <c r="I710" s="132"/>
      <c r="J710" s="132"/>
      <c r="K710" s="132"/>
      <c r="L710" s="132"/>
      <c r="M710" s="132"/>
      <c r="N710" s="132"/>
      <c r="O710" s="132"/>
      <c r="P710" s="132"/>
      <c r="Q710" s="132"/>
      <c r="R710" s="132"/>
      <c r="S710" s="132"/>
      <c r="T710" s="132"/>
      <c r="U710" s="132"/>
      <c r="V710" s="132"/>
      <c r="W710" s="132"/>
      <c r="X710" s="132"/>
      <c r="Y710" s="132"/>
      <c r="Z710" s="132"/>
    </row>
    <row r="711" spans="1:26" ht="11.25" customHeight="1" x14ac:dyDescent="0.3">
      <c r="A711" s="132"/>
      <c r="B711" s="132"/>
      <c r="C711" s="132"/>
      <c r="D711" s="132"/>
      <c r="E711" s="132"/>
      <c r="F711" s="132"/>
      <c r="G711" s="132"/>
      <c r="H711" s="132"/>
      <c r="I711" s="132"/>
      <c r="J711" s="132"/>
      <c r="K711" s="132"/>
      <c r="L711" s="132"/>
      <c r="M711" s="132"/>
      <c r="N711" s="132"/>
      <c r="O711" s="132"/>
      <c r="P711" s="132"/>
      <c r="Q711" s="132"/>
      <c r="R711" s="132"/>
      <c r="S711" s="132"/>
      <c r="T711" s="132"/>
      <c r="U711" s="132"/>
      <c r="V711" s="132"/>
      <c r="W711" s="132"/>
      <c r="X711" s="132"/>
      <c r="Y711" s="132"/>
      <c r="Z711" s="132"/>
    </row>
    <row r="712" spans="1:26" ht="11.25" customHeight="1" x14ac:dyDescent="0.3">
      <c r="A712" s="132"/>
      <c r="B712" s="132"/>
      <c r="C712" s="132"/>
      <c r="D712" s="132"/>
      <c r="E712" s="132"/>
      <c r="F712" s="132"/>
      <c r="G712" s="132"/>
      <c r="H712" s="132"/>
      <c r="I712" s="132"/>
      <c r="J712" s="132"/>
      <c r="K712" s="132"/>
      <c r="L712" s="132"/>
      <c r="M712" s="132"/>
      <c r="N712" s="132"/>
      <c r="O712" s="132"/>
      <c r="P712" s="132"/>
      <c r="Q712" s="132"/>
      <c r="R712" s="132"/>
      <c r="S712" s="132"/>
      <c r="T712" s="132"/>
      <c r="U712" s="132"/>
      <c r="V712" s="132"/>
      <c r="W712" s="132"/>
      <c r="X712" s="132"/>
      <c r="Y712" s="132"/>
      <c r="Z712" s="132"/>
    </row>
    <row r="713" spans="1:26" ht="11.25" customHeight="1" x14ac:dyDescent="0.3">
      <c r="A713" s="132"/>
      <c r="B713" s="132"/>
      <c r="C713" s="132"/>
      <c r="D713" s="132"/>
      <c r="E713" s="132"/>
      <c r="F713" s="132"/>
      <c r="G713" s="132"/>
      <c r="H713" s="132"/>
      <c r="I713" s="132"/>
      <c r="J713" s="132"/>
      <c r="K713" s="132"/>
      <c r="L713" s="132"/>
      <c r="M713" s="132"/>
      <c r="N713" s="132"/>
      <c r="O713" s="132"/>
      <c r="P713" s="132"/>
      <c r="Q713" s="132"/>
      <c r="R713" s="132"/>
      <c r="S713" s="132"/>
      <c r="T713" s="132"/>
      <c r="U713" s="132"/>
      <c r="V713" s="132"/>
      <c r="W713" s="132"/>
      <c r="X713" s="132"/>
      <c r="Y713" s="132"/>
      <c r="Z713" s="132"/>
    </row>
    <row r="714" spans="1:26" ht="11.25" customHeight="1" x14ac:dyDescent="0.3">
      <c r="A714" s="132"/>
      <c r="B714" s="132"/>
      <c r="C714" s="132"/>
      <c r="D714" s="132"/>
      <c r="E714" s="132"/>
      <c r="F714" s="132"/>
      <c r="G714" s="132"/>
      <c r="H714" s="132"/>
      <c r="I714" s="132"/>
      <c r="J714" s="132"/>
      <c r="K714" s="132"/>
      <c r="L714" s="132"/>
      <c r="M714" s="132"/>
      <c r="N714" s="132"/>
      <c r="O714" s="132"/>
      <c r="P714" s="132"/>
      <c r="Q714" s="132"/>
      <c r="R714" s="132"/>
      <c r="S714" s="132"/>
      <c r="T714" s="132"/>
      <c r="U714" s="132"/>
      <c r="V714" s="132"/>
      <c r="W714" s="132"/>
      <c r="X714" s="132"/>
      <c r="Y714" s="132"/>
      <c r="Z714" s="132"/>
    </row>
    <row r="715" spans="1:26" ht="11.25" customHeight="1" x14ac:dyDescent="0.3">
      <c r="A715" s="132"/>
      <c r="B715" s="132"/>
      <c r="C715" s="132"/>
      <c r="D715" s="132"/>
      <c r="E715" s="132"/>
      <c r="F715" s="132"/>
      <c r="G715" s="132"/>
      <c r="H715" s="132"/>
      <c r="I715" s="132"/>
      <c r="J715" s="132"/>
      <c r="K715" s="132"/>
      <c r="L715" s="132"/>
      <c r="M715" s="132"/>
      <c r="N715" s="132"/>
      <c r="O715" s="132"/>
      <c r="P715" s="132"/>
      <c r="Q715" s="132"/>
      <c r="R715" s="132"/>
      <c r="S715" s="132"/>
      <c r="T715" s="132"/>
      <c r="U715" s="132"/>
      <c r="V715" s="132"/>
      <c r="W715" s="132"/>
      <c r="X715" s="132"/>
      <c r="Y715" s="132"/>
      <c r="Z715" s="132"/>
    </row>
    <row r="716" spans="1:26" ht="11.25" customHeight="1" x14ac:dyDescent="0.3">
      <c r="A716" s="132"/>
      <c r="B716" s="132"/>
      <c r="C716" s="132"/>
      <c r="D716" s="132"/>
      <c r="E716" s="132"/>
      <c r="F716" s="132"/>
      <c r="G716" s="132"/>
      <c r="H716" s="132"/>
      <c r="I716" s="132"/>
      <c r="J716" s="132"/>
      <c r="K716" s="132"/>
      <c r="L716" s="132"/>
      <c r="M716" s="132"/>
      <c r="N716" s="132"/>
      <c r="O716" s="132"/>
      <c r="P716" s="132"/>
      <c r="Q716" s="132"/>
      <c r="R716" s="132"/>
      <c r="S716" s="132"/>
      <c r="T716" s="132"/>
      <c r="U716" s="132"/>
      <c r="V716" s="132"/>
      <c r="W716" s="132"/>
      <c r="X716" s="132"/>
      <c r="Y716" s="132"/>
      <c r="Z716" s="132"/>
    </row>
    <row r="717" spans="1:26" ht="11.25" customHeight="1" x14ac:dyDescent="0.3">
      <c r="A717" s="132"/>
      <c r="B717" s="132"/>
      <c r="C717" s="132"/>
      <c r="D717" s="132"/>
      <c r="E717" s="132"/>
      <c r="F717" s="132"/>
      <c r="G717" s="132"/>
      <c r="H717" s="132"/>
      <c r="I717" s="132"/>
      <c r="J717" s="132"/>
      <c r="K717" s="132"/>
      <c r="L717" s="132"/>
      <c r="M717" s="132"/>
      <c r="N717" s="132"/>
      <c r="O717" s="132"/>
      <c r="P717" s="132"/>
      <c r="Q717" s="132"/>
      <c r="R717" s="132"/>
      <c r="S717" s="132"/>
      <c r="T717" s="132"/>
      <c r="U717" s="132"/>
      <c r="V717" s="132"/>
      <c r="W717" s="132"/>
      <c r="X717" s="132"/>
      <c r="Y717" s="132"/>
      <c r="Z717" s="132"/>
    </row>
    <row r="718" spans="1:26" ht="11.25" customHeight="1" x14ac:dyDescent="0.3">
      <c r="A718" s="132"/>
      <c r="B718" s="132"/>
      <c r="C718" s="132"/>
      <c r="D718" s="132"/>
      <c r="E718" s="132"/>
      <c r="F718" s="132"/>
      <c r="G718" s="132"/>
      <c r="H718" s="132"/>
      <c r="I718" s="132"/>
      <c r="J718" s="132"/>
      <c r="K718" s="132"/>
      <c r="L718" s="132"/>
      <c r="M718" s="132"/>
      <c r="N718" s="132"/>
      <c r="O718" s="132"/>
      <c r="P718" s="132"/>
      <c r="Q718" s="132"/>
      <c r="R718" s="132"/>
      <c r="S718" s="132"/>
      <c r="T718" s="132"/>
      <c r="U718" s="132"/>
      <c r="V718" s="132"/>
      <c r="W718" s="132"/>
      <c r="X718" s="132"/>
      <c r="Y718" s="132"/>
      <c r="Z718" s="132"/>
    </row>
    <row r="719" spans="1:26" ht="11.25" customHeight="1" x14ac:dyDescent="0.3">
      <c r="A719" s="132"/>
      <c r="B719" s="132"/>
      <c r="C719" s="132"/>
      <c r="D719" s="132"/>
      <c r="E719" s="132"/>
      <c r="F719" s="132"/>
      <c r="G719" s="132"/>
      <c r="H719" s="132"/>
      <c r="I719" s="132"/>
      <c r="J719" s="132"/>
      <c r="K719" s="132"/>
      <c r="L719" s="132"/>
      <c r="M719" s="132"/>
      <c r="N719" s="132"/>
      <c r="O719" s="132"/>
      <c r="P719" s="132"/>
      <c r="Q719" s="132"/>
      <c r="R719" s="132"/>
      <c r="S719" s="132"/>
      <c r="T719" s="132"/>
      <c r="U719" s="132"/>
      <c r="V719" s="132"/>
      <c r="W719" s="132"/>
      <c r="X719" s="132"/>
      <c r="Y719" s="132"/>
      <c r="Z719" s="132"/>
    </row>
    <row r="720" spans="1:26" ht="11.25" customHeight="1" x14ac:dyDescent="0.3">
      <c r="A720" s="132"/>
      <c r="B720" s="132"/>
      <c r="C720" s="132"/>
      <c r="D720" s="132"/>
      <c r="E720" s="132"/>
      <c r="F720" s="132"/>
      <c r="G720" s="132"/>
      <c r="H720" s="132"/>
      <c r="I720" s="132"/>
      <c r="J720" s="132"/>
      <c r="K720" s="132"/>
      <c r="L720" s="132"/>
      <c r="M720" s="132"/>
      <c r="N720" s="132"/>
      <c r="O720" s="132"/>
      <c r="P720" s="132"/>
      <c r="Q720" s="132"/>
      <c r="R720" s="132"/>
      <c r="S720" s="132"/>
      <c r="T720" s="132"/>
      <c r="U720" s="132"/>
      <c r="V720" s="132"/>
      <c r="W720" s="132"/>
      <c r="X720" s="132"/>
      <c r="Y720" s="132"/>
      <c r="Z720" s="132"/>
    </row>
    <row r="721" spans="1:26" ht="11.25" customHeight="1" x14ac:dyDescent="0.3">
      <c r="A721" s="132"/>
      <c r="B721" s="132"/>
      <c r="C721" s="132"/>
      <c r="D721" s="132"/>
      <c r="E721" s="132"/>
      <c r="F721" s="132"/>
      <c r="G721" s="132"/>
      <c r="H721" s="132"/>
      <c r="I721" s="132"/>
      <c r="J721" s="132"/>
      <c r="K721" s="132"/>
      <c r="L721" s="132"/>
      <c r="M721" s="132"/>
      <c r="N721" s="132"/>
      <c r="O721" s="132"/>
      <c r="P721" s="132"/>
      <c r="Q721" s="132"/>
      <c r="R721" s="132"/>
      <c r="S721" s="132"/>
      <c r="T721" s="132"/>
      <c r="U721" s="132"/>
      <c r="V721" s="132"/>
      <c r="W721" s="132"/>
      <c r="X721" s="132"/>
      <c r="Y721" s="132"/>
      <c r="Z721" s="132"/>
    </row>
    <row r="722" spans="1:26" ht="11.25" customHeight="1" x14ac:dyDescent="0.3">
      <c r="A722" s="132"/>
      <c r="B722" s="132"/>
      <c r="C722" s="132"/>
      <c r="D722" s="132"/>
      <c r="E722" s="132"/>
      <c r="F722" s="132"/>
      <c r="G722" s="132"/>
      <c r="H722" s="132"/>
      <c r="I722" s="132"/>
      <c r="J722" s="132"/>
      <c r="K722" s="132"/>
      <c r="L722" s="132"/>
      <c r="M722" s="132"/>
      <c r="N722" s="132"/>
      <c r="O722" s="132"/>
      <c r="P722" s="132"/>
      <c r="Q722" s="132"/>
      <c r="R722" s="132"/>
      <c r="S722" s="132"/>
      <c r="T722" s="132"/>
      <c r="U722" s="132"/>
      <c r="V722" s="132"/>
      <c r="W722" s="132"/>
      <c r="X722" s="132"/>
      <c r="Y722" s="132"/>
      <c r="Z722" s="132"/>
    </row>
    <row r="723" spans="1:26" ht="11.25" customHeight="1" x14ac:dyDescent="0.3">
      <c r="A723" s="132"/>
      <c r="B723" s="132"/>
      <c r="C723" s="132"/>
      <c r="D723" s="132"/>
      <c r="E723" s="132"/>
      <c r="F723" s="132"/>
      <c r="G723" s="132"/>
      <c r="H723" s="132"/>
      <c r="I723" s="132"/>
      <c r="J723" s="132"/>
      <c r="K723" s="132"/>
      <c r="L723" s="132"/>
      <c r="M723" s="132"/>
      <c r="N723" s="132"/>
      <c r="O723" s="132"/>
      <c r="P723" s="132"/>
      <c r="Q723" s="132"/>
      <c r="R723" s="132"/>
      <c r="S723" s="132"/>
      <c r="T723" s="132"/>
      <c r="U723" s="132"/>
      <c r="V723" s="132"/>
      <c r="W723" s="132"/>
      <c r="X723" s="132"/>
      <c r="Y723" s="132"/>
      <c r="Z723" s="132"/>
    </row>
    <row r="724" spans="1:26" ht="11.25" customHeight="1" x14ac:dyDescent="0.3">
      <c r="A724" s="132"/>
      <c r="B724" s="132"/>
      <c r="C724" s="132"/>
      <c r="D724" s="132"/>
      <c r="E724" s="132"/>
      <c r="F724" s="132"/>
      <c r="G724" s="132"/>
      <c r="H724" s="132"/>
      <c r="I724" s="132"/>
      <c r="J724" s="132"/>
      <c r="K724" s="132"/>
      <c r="L724" s="132"/>
      <c r="M724" s="132"/>
      <c r="N724" s="132"/>
      <c r="O724" s="132"/>
      <c r="P724" s="132"/>
      <c r="Q724" s="132"/>
      <c r="R724" s="132"/>
      <c r="S724" s="132"/>
      <c r="T724" s="132"/>
      <c r="U724" s="132"/>
      <c r="V724" s="132"/>
      <c r="W724" s="132"/>
      <c r="X724" s="132"/>
      <c r="Y724" s="132"/>
      <c r="Z724" s="132"/>
    </row>
    <row r="725" spans="1:26" ht="11.25" customHeight="1" x14ac:dyDescent="0.3">
      <c r="A725" s="132"/>
      <c r="B725" s="132"/>
      <c r="C725" s="132"/>
      <c r="D725" s="132"/>
      <c r="E725" s="132"/>
      <c r="F725" s="132"/>
      <c r="G725" s="132"/>
      <c r="H725" s="132"/>
      <c r="I725" s="132"/>
      <c r="J725" s="132"/>
      <c r="K725" s="132"/>
      <c r="L725" s="132"/>
      <c r="M725" s="132"/>
      <c r="N725" s="132"/>
      <c r="O725" s="132"/>
      <c r="P725" s="132"/>
      <c r="Q725" s="132"/>
      <c r="R725" s="132"/>
      <c r="S725" s="132"/>
      <c r="T725" s="132"/>
      <c r="U725" s="132"/>
      <c r="V725" s="132"/>
      <c r="W725" s="132"/>
      <c r="X725" s="132"/>
      <c r="Y725" s="132"/>
      <c r="Z725" s="132"/>
    </row>
    <row r="726" spans="1:26" ht="11.25" customHeight="1" x14ac:dyDescent="0.3">
      <c r="A726" s="132"/>
      <c r="B726" s="132"/>
      <c r="C726" s="132"/>
      <c r="D726" s="132"/>
      <c r="E726" s="132"/>
      <c r="F726" s="132"/>
      <c r="G726" s="132"/>
      <c r="H726" s="132"/>
      <c r="I726" s="132"/>
      <c r="J726" s="132"/>
      <c r="K726" s="132"/>
      <c r="L726" s="132"/>
      <c r="M726" s="132"/>
      <c r="N726" s="132"/>
      <c r="O726" s="132"/>
      <c r="P726" s="132"/>
      <c r="Q726" s="132"/>
      <c r="R726" s="132"/>
      <c r="S726" s="132"/>
      <c r="T726" s="132"/>
      <c r="U726" s="132"/>
      <c r="V726" s="132"/>
      <c r="W726" s="132"/>
      <c r="X726" s="132"/>
      <c r="Y726" s="132"/>
      <c r="Z726" s="132"/>
    </row>
    <row r="727" spans="1:26" ht="11.25" customHeight="1" x14ac:dyDescent="0.3">
      <c r="A727" s="132"/>
      <c r="B727" s="132"/>
      <c r="C727" s="132"/>
      <c r="D727" s="132"/>
      <c r="E727" s="132"/>
      <c r="F727" s="132"/>
      <c r="G727" s="132"/>
      <c r="H727" s="132"/>
      <c r="I727" s="132"/>
      <c r="J727" s="132"/>
      <c r="K727" s="132"/>
      <c r="L727" s="132"/>
      <c r="M727" s="132"/>
      <c r="N727" s="132"/>
      <c r="O727" s="132"/>
      <c r="P727" s="132"/>
      <c r="Q727" s="132"/>
      <c r="R727" s="132"/>
      <c r="S727" s="132"/>
      <c r="T727" s="132"/>
      <c r="U727" s="132"/>
      <c r="V727" s="132"/>
      <c r="W727" s="132"/>
      <c r="X727" s="132"/>
      <c r="Y727" s="132"/>
      <c r="Z727" s="132"/>
    </row>
    <row r="728" spans="1:26" ht="11.25" customHeight="1" x14ac:dyDescent="0.3">
      <c r="A728" s="132"/>
      <c r="B728" s="132"/>
      <c r="C728" s="132"/>
      <c r="D728" s="132"/>
      <c r="E728" s="132"/>
      <c r="F728" s="132"/>
      <c r="G728" s="132"/>
      <c r="H728" s="132"/>
      <c r="I728" s="132"/>
      <c r="J728" s="132"/>
      <c r="K728" s="132"/>
      <c r="L728" s="132"/>
      <c r="M728" s="132"/>
      <c r="N728" s="132"/>
      <c r="O728" s="132"/>
      <c r="P728" s="132"/>
      <c r="Q728" s="132"/>
      <c r="R728" s="132"/>
      <c r="S728" s="132"/>
      <c r="T728" s="132"/>
      <c r="U728" s="132"/>
      <c r="V728" s="132"/>
      <c r="W728" s="132"/>
      <c r="X728" s="132"/>
      <c r="Y728" s="132"/>
      <c r="Z728" s="132"/>
    </row>
    <row r="729" spans="1:26" ht="11.25" customHeight="1" x14ac:dyDescent="0.3">
      <c r="A729" s="132"/>
      <c r="B729" s="132"/>
      <c r="C729" s="132"/>
      <c r="D729" s="132"/>
      <c r="E729" s="132"/>
      <c r="F729" s="132"/>
      <c r="G729" s="132"/>
      <c r="H729" s="132"/>
      <c r="I729" s="132"/>
      <c r="J729" s="132"/>
      <c r="K729" s="132"/>
      <c r="L729" s="132"/>
      <c r="M729" s="132"/>
      <c r="N729" s="132"/>
      <c r="O729" s="132"/>
      <c r="P729" s="132"/>
      <c r="Q729" s="132"/>
      <c r="R729" s="132"/>
      <c r="S729" s="132"/>
      <c r="T729" s="132"/>
      <c r="U729" s="132"/>
      <c r="V729" s="132"/>
      <c r="W729" s="132"/>
      <c r="X729" s="132"/>
      <c r="Y729" s="132"/>
      <c r="Z729" s="132"/>
    </row>
    <row r="730" spans="1:26" ht="11.25" customHeight="1" x14ac:dyDescent="0.3">
      <c r="A730" s="132"/>
      <c r="B730" s="132"/>
      <c r="C730" s="132"/>
      <c r="D730" s="132"/>
      <c r="E730" s="132"/>
      <c r="F730" s="132"/>
      <c r="G730" s="132"/>
      <c r="H730" s="132"/>
      <c r="I730" s="132"/>
      <c r="J730" s="132"/>
      <c r="K730" s="132"/>
      <c r="L730" s="132"/>
      <c r="M730" s="132"/>
      <c r="N730" s="132"/>
      <c r="O730" s="132"/>
      <c r="P730" s="132"/>
      <c r="Q730" s="132"/>
      <c r="R730" s="132"/>
      <c r="S730" s="132"/>
      <c r="T730" s="132"/>
      <c r="U730" s="132"/>
      <c r="V730" s="132"/>
      <c r="W730" s="132"/>
      <c r="X730" s="132"/>
      <c r="Y730" s="132"/>
      <c r="Z730" s="132"/>
    </row>
    <row r="731" spans="1:26" ht="11.25" customHeight="1" x14ac:dyDescent="0.3">
      <c r="A731" s="132"/>
      <c r="B731" s="132"/>
      <c r="C731" s="132"/>
      <c r="D731" s="132"/>
      <c r="E731" s="132"/>
      <c r="F731" s="132"/>
      <c r="G731" s="132"/>
      <c r="H731" s="132"/>
      <c r="I731" s="132"/>
      <c r="J731" s="132"/>
      <c r="K731" s="132"/>
      <c r="L731" s="132"/>
      <c r="M731" s="132"/>
      <c r="N731" s="132"/>
      <c r="O731" s="132"/>
      <c r="P731" s="132"/>
      <c r="Q731" s="132"/>
      <c r="R731" s="132"/>
      <c r="S731" s="132"/>
      <c r="T731" s="132"/>
      <c r="U731" s="132"/>
      <c r="V731" s="132"/>
      <c r="W731" s="132"/>
      <c r="X731" s="132"/>
      <c r="Y731" s="132"/>
      <c r="Z731" s="132"/>
    </row>
    <row r="732" spans="1:26" ht="11.25" customHeight="1" x14ac:dyDescent="0.3">
      <c r="A732" s="132"/>
      <c r="B732" s="132"/>
      <c r="C732" s="132"/>
      <c r="D732" s="132"/>
      <c r="E732" s="132"/>
      <c r="F732" s="132"/>
      <c r="G732" s="132"/>
      <c r="H732" s="132"/>
      <c r="I732" s="132"/>
      <c r="J732" s="132"/>
      <c r="K732" s="132"/>
      <c r="L732" s="132"/>
      <c r="M732" s="132"/>
      <c r="N732" s="132"/>
      <c r="O732" s="132"/>
      <c r="P732" s="132"/>
      <c r="Q732" s="132"/>
      <c r="R732" s="132"/>
      <c r="S732" s="132"/>
      <c r="T732" s="132"/>
      <c r="U732" s="132"/>
      <c r="V732" s="132"/>
      <c r="W732" s="132"/>
      <c r="X732" s="132"/>
      <c r="Y732" s="132"/>
      <c r="Z732" s="132"/>
    </row>
    <row r="733" spans="1:26" ht="11.25" customHeight="1" x14ac:dyDescent="0.3">
      <c r="A733" s="132"/>
      <c r="B733" s="132"/>
      <c r="C733" s="132"/>
      <c r="D733" s="132"/>
      <c r="E733" s="132"/>
      <c r="F733" s="132"/>
      <c r="G733" s="132"/>
      <c r="H733" s="132"/>
      <c r="I733" s="132"/>
      <c r="J733" s="132"/>
      <c r="K733" s="132"/>
      <c r="L733" s="132"/>
      <c r="M733" s="132"/>
      <c r="N733" s="132"/>
      <c r="O733" s="132"/>
      <c r="P733" s="132"/>
      <c r="Q733" s="132"/>
      <c r="R733" s="132"/>
      <c r="S733" s="132"/>
      <c r="T733" s="132"/>
      <c r="U733" s="132"/>
      <c r="V733" s="132"/>
      <c r="W733" s="132"/>
      <c r="X733" s="132"/>
      <c r="Y733" s="132"/>
      <c r="Z733" s="132"/>
    </row>
    <row r="734" spans="1:26" ht="11.25" customHeight="1" x14ac:dyDescent="0.3">
      <c r="A734" s="132"/>
      <c r="B734" s="132"/>
      <c r="C734" s="132"/>
      <c r="D734" s="132"/>
      <c r="E734" s="132"/>
      <c r="F734" s="132"/>
      <c r="G734" s="132"/>
      <c r="H734" s="132"/>
      <c r="I734" s="132"/>
      <c r="J734" s="132"/>
      <c r="K734" s="132"/>
      <c r="L734" s="132"/>
      <c r="M734" s="132"/>
      <c r="N734" s="132"/>
      <c r="O734" s="132"/>
      <c r="P734" s="132"/>
      <c r="Q734" s="132"/>
      <c r="R734" s="132"/>
      <c r="S734" s="132"/>
      <c r="T734" s="132"/>
      <c r="U734" s="132"/>
      <c r="V734" s="132"/>
      <c r="W734" s="132"/>
      <c r="X734" s="132"/>
      <c r="Y734" s="132"/>
      <c r="Z734" s="132"/>
    </row>
    <row r="735" spans="1:26" ht="11.25" customHeight="1" x14ac:dyDescent="0.3">
      <c r="A735" s="132"/>
      <c r="B735" s="132"/>
      <c r="C735" s="132"/>
      <c r="D735" s="132"/>
      <c r="E735" s="132"/>
      <c r="F735" s="132"/>
      <c r="G735" s="132"/>
      <c r="H735" s="132"/>
      <c r="I735" s="132"/>
      <c r="J735" s="132"/>
      <c r="K735" s="132"/>
      <c r="L735" s="132"/>
      <c r="M735" s="132"/>
      <c r="N735" s="132"/>
      <c r="O735" s="132"/>
      <c r="P735" s="132"/>
      <c r="Q735" s="132"/>
      <c r="R735" s="132"/>
      <c r="S735" s="132"/>
      <c r="T735" s="132"/>
      <c r="U735" s="132"/>
      <c r="V735" s="132"/>
      <c r="W735" s="132"/>
      <c r="X735" s="132"/>
      <c r="Y735" s="132"/>
      <c r="Z735" s="132"/>
    </row>
    <row r="736" spans="1:26" ht="11.25" customHeight="1" x14ac:dyDescent="0.3">
      <c r="A736" s="132"/>
      <c r="B736" s="132"/>
      <c r="C736" s="132"/>
      <c r="D736" s="132"/>
      <c r="E736" s="132"/>
      <c r="F736" s="132"/>
      <c r="G736" s="132"/>
      <c r="H736" s="132"/>
      <c r="I736" s="132"/>
      <c r="J736" s="132"/>
      <c r="K736" s="132"/>
      <c r="L736" s="132"/>
      <c r="M736" s="132"/>
      <c r="N736" s="132"/>
      <c r="O736" s="132"/>
      <c r="P736" s="132"/>
      <c r="Q736" s="132"/>
      <c r="R736" s="132"/>
      <c r="S736" s="132"/>
      <c r="T736" s="132"/>
      <c r="U736" s="132"/>
      <c r="V736" s="132"/>
      <c r="W736" s="132"/>
      <c r="X736" s="132"/>
      <c r="Y736" s="132"/>
      <c r="Z736" s="132"/>
    </row>
    <row r="737" spans="1:26" ht="11.25" customHeight="1" x14ac:dyDescent="0.3">
      <c r="A737" s="132"/>
      <c r="B737" s="132"/>
      <c r="C737" s="132"/>
      <c r="D737" s="132"/>
      <c r="E737" s="132"/>
      <c r="F737" s="132"/>
      <c r="G737" s="132"/>
      <c r="H737" s="132"/>
      <c r="I737" s="132"/>
      <c r="J737" s="132"/>
      <c r="K737" s="132"/>
      <c r="L737" s="132"/>
      <c r="M737" s="132"/>
      <c r="N737" s="132"/>
      <c r="O737" s="132"/>
      <c r="P737" s="132"/>
      <c r="Q737" s="132"/>
      <c r="R737" s="132"/>
      <c r="S737" s="132"/>
      <c r="T737" s="132"/>
      <c r="U737" s="132"/>
      <c r="V737" s="132"/>
      <c r="W737" s="132"/>
      <c r="X737" s="132"/>
      <c r="Y737" s="132"/>
      <c r="Z737" s="132"/>
    </row>
    <row r="738" spans="1:26" ht="11.25" customHeight="1" x14ac:dyDescent="0.3">
      <c r="A738" s="132"/>
      <c r="B738" s="132"/>
      <c r="C738" s="132"/>
      <c r="D738" s="132"/>
      <c r="E738" s="132"/>
      <c r="F738" s="132"/>
      <c r="G738" s="132"/>
      <c r="H738" s="132"/>
      <c r="I738" s="132"/>
      <c r="J738" s="132"/>
      <c r="K738" s="132"/>
      <c r="L738" s="132"/>
      <c r="M738" s="132"/>
      <c r="N738" s="132"/>
      <c r="O738" s="132"/>
      <c r="P738" s="132"/>
      <c r="Q738" s="132"/>
      <c r="R738" s="132"/>
      <c r="S738" s="132"/>
      <c r="T738" s="132"/>
      <c r="U738" s="132"/>
      <c r="V738" s="132"/>
      <c r="W738" s="132"/>
      <c r="X738" s="132"/>
      <c r="Y738" s="132"/>
      <c r="Z738" s="132"/>
    </row>
    <row r="739" spans="1:26" ht="11.25" customHeight="1" x14ac:dyDescent="0.3">
      <c r="A739" s="132"/>
      <c r="B739" s="132"/>
      <c r="C739" s="132"/>
      <c r="D739" s="132"/>
      <c r="E739" s="132"/>
      <c r="F739" s="132"/>
      <c r="G739" s="132"/>
      <c r="H739" s="132"/>
      <c r="I739" s="132"/>
      <c r="J739" s="132"/>
      <c r="K739" s="132"/>
      <c r="L739" s="132"/>
      <c r="M739" s="132"/>
      <c r="N739" s="132"/>
      <c r="O739" s="132"/>
      <c r="P739" s="132"/>
      <c r="Q739" s="132"/>
      <c r="R739" s="132"/>
      <c r="S739" s="132"/>
      <c r="T739" s="132"/>
      <c r="U739" s="132"/>
      <c r="V739" s="132"/>
      <c r="W739" s="132"/>
      <c r="X739" s="132"/>
      <c r="Y739" s="132"/>
      <c r="Z739" s="132"/>
    </row>
    <row r="740" spans="1:26" ht="11.25" customHeight="1" x14ac:dyDescent="0.3">
      <c r="A740" s="132"/>
      <c r="B740" s="132"/>
      <c r="C740" s="132"/>
      <c r="D740" s="132"/>
      <c r="E740" s="132"/>
      <c r="F740" s="132"/>
      <c r="G740" s="132"/>
      <c r="H740" s="132"/>
      <c r="I740" s="132"/>
      <c r="J740" s="132"/>
      <c r="K740" s="132"/>
      <c r="L740" s="132"/>
      <c r="M740" s="132"/>
      <c r="N740" s="132"/>
      <c r="O740" s="132"/>
      <c r="P740" s="132"/>
      <c r="Q740" s="132"/>
      <c r="R740" s="132"/>
      <c r="S740" s="132"/>
      <c r="T740" s="132"/>
      <c r="U740" s="132"/>
      <c r="V740" s="132"/>
      <c r="W740" s="132"/>
      <c r="X740" s="132"/>
      <c r="Y740" s="132"/>
      <c r="Z740" s="132"/>
    </row>
    <row r="741" spans="1:26" ht="11.25" customHeight="1" x14ac:dyDescent="0.3">
      <c r="A741" s="132"/>
      <c r="B741" s="132"/>
      <c r="C741" s="132"/>
      <c r="D741" s="132"/>
      <c r="E741" s="132"/>
      <c r="F741" s="132"/>
      <c r="G741" s="132"/>
      <c r="H741" s="132"/>
      <c r="I741" s="132"/>
      <c r="J741" s="132"/>
      <c r="K741" s="132"/>
      <c r="L741" s="132"/>
      <c r="M741" s="132"/>
      <c r="N741" s="132"/>
      <c r="O741" s="132"/>
      <c r="P741" s="132"/>
      <c r="Q741" s="132"/>
      <c r="R741" s="132"/>
      <c r="S741" s="132"/>
      <c r="T741" s="132"/>
      <c r="U741" s="132"/>
      <c r="V741" s="132"/>
      <c r="W741" s="132"/>
      <c r="X741" s="132"/>
      <c r="Y741" s="132"/>
      <c r="Z741" s="132"/>
    </row>
    <row r="742" spans="1:26" ht="11.25" customHeight="1" x14ac:dyDescent="0.3">
      <c r="A742" s="132"/>
      <c r="B742" s="132"/>
      <c r="C742" s="132"/>
      <c r="D742" s="132"/>
      <c r="E742" s="132"/>
      <c r="F742" s="132"/>
      <c r="G742" s="132"/>
      <c r="H742" s="132"/>
      <c r="I742" s="132"/>
      <c r="J742" s="132"/>
      <c r="K742" s="132"/>
      <c r="L742" s="132"/>
      <c r="M742" s="132"/>
      <c r="N742" s="132"/>
      <c r="O742" s="132"/>
      <c r="P742" s="132"/>
      <c r="Q742" s="132"/>
      <c r="R742" s="132"/>
      <c r="S742" s="132"/>
      <c r="T742" s="132"/>
      <c r="U742" s="132"/>
      <c r="V742" s="132"/>
      <c r="W742" s="132"/>
      <c r="X742" s="132"/>
      <c r="Y742" s="132"/>
      <c r="Z742" s="132"/>
    </row>
    <row r="743" spans="1:26" ht="11.25" customHeight="1" x14ac:dyDescent="0.3">
      <c r="A743" s="132"/>
      <c r="B743" s="132"/>
      <c r="C743" s="132"/>
      <c r="D743" s="132"/>
      <c r="E743" s="132"/>
      <c r="F743" s="132"/>
      <c r="G743" s="132"/>
      <c r="H743" s="132"/>
      <c r="I743" s="132"/>
      <c r="J743" s="132"/>
      <c r="K743" s="132"/>
      <c r="L743" s="132"/>
      <c r="M743" s="132"/>
      <c r="N743" s="132"/>
      <c r="O743" s="132"/>
      <c r="P743" s="132"/>
      <c r="Q743" s="132"/>
      <c r="R743" s="132"/>
      <c r="S743" s="132"/>
      <c r="T743" s="132"/>
      <c r="U743" s="132"/>
      <c r="V743" s="132"/>
      <c r="W743" s="132"/>
      <c r="X743" s="132"/>
      <c r="Y743" s="132"/>
      <c r="Z743" s="132"/>
    </row>
    <row r="744" spans="1:26" ht="11.25" customHeight="1" x14ac:dyDescent="0.3">
      <c r="A744" s="132"/>
      <c r="B744" s="132"/>
      <c r="C744" s="132"/>
      <c r="D744" s="132"/>
      <c r="E744" s="132"/>
      <c r="F744" s="132"/>
      <c r="G744" s="132"/>
      <c r="H744" s="132"/>
      <c r="I744" s="132"/>
      <c r="J744" s="132"/>
      <c r="K744" s="132"/>
      <c r="L744" s="132"/>
      <c r="M744" s="132"/>
      <c r="N744" s="132"/>
      <c r="O744" s="132"/>
      <c r="P744" s="132"/>
      <c r="Q744" s="132"/>
      <c r="R744" s="132"/>
      <c r="S744" s="132"/>
      <c r="T744" s="132"/>
      <c r="U744" s="132"/>
      <c r="V744" s="132"/>
      <c r="W744" s="132"/>
      <c r="X744" s="132"/>
      <c r="Y744" s="132"/>
      <c r="Z744" s="132"/>
    </row>
    <row r="745" spans="1:26" ht="11.25" customHeight="1" x14ac:dyDescent="0.3">
      <c r="A745" s="132"/>
      <c r="B745" s="132"/>
      <c r="C745" s="132"/>
      <c r="D745" s="132"/>
      <c r="E745" s="132"/>
      <c r="F745" s="132"/>
      <c r="G745" s="132"/>
      <c r="H745" s="132"/>
      <c r="I745" s="132"/>
      <c r="J745" s="132"/>
      <c r="K745" s="132"/>
      <c r="L745" s="132"/>
      <c r="M745" s="132"/>
      <c r="N745" s="132"/>
      <c r="O745" s="132"/>
      <c r="P745" s="132"/>
      <c r="Q745" s="132"/>
      <c r="R745" s="132"/>
      <c r="S745" s="132"/>
      <c r="T745" s="132"/>
      <c r="U745" s="132"/>
      <c r="V745" s="132"/>
      <c r="W745" s="132"/>
      <c r="X745" s="132"/>
      <c r="Y745" s="132"/>
      <c r="Z745" s="132"/>
    </row>
    <row r="746" spans="1:26" ht="11.25" customHeight="1" x14ac:dyDescent="0.3">
      <c r="A746" s="132"/>
      <c r="B746" s="132"/>
      <c r="C746" s="132"/>
      <c r="D746" s="132"/>
      <c r="E746" s="132"/>
      <c r="F746" s="132"/>
      <c r="G746" s="132"/>
      <c r="H746" s="132"/>
      <c r="I746" s="132"/>
      <c r="J746" s="132"/>
      <c r="K746" s="132"/>
      <c r="L746" s="132"/>
      <c r="M746" s="132"/>
      <c r="N746" s="132"/>
      <c r="O746" s="132"/>
      <c r="P746" s="132"/>
      <c r="Q746" s="132"/>
      <c r="R746" s="132"/>
      <c r="S746" s="132"/>
      <c r="T746" s="132"/>
      <c r="U746" s="132"/>
      <c r="V746" s="132"/>
      <c r="W746" s="132"/>
      <c r="X746" s="132"/>
      <c r="Y746" s="132"/>
      <c r="Z746" s="132"/>
    </row>
    <row r="747" spans="1:26" ht="11.25" customHeight="1" x14ac:dyDescent="0.3">
      <c r="A747" s="132"/>
      <c r="B747" s="132"/>
      <c r="C747" s="132"/>
      <c r="D747" s="132"/>
      <c r="E747" s="132"/>
      <c r="F747" s="132"/>
      <c r="G747" s="132"/>
      <c r="H747" s="132"/>
      <c r="I747" s="132"/>
      <c r="J747" s="132"/>
      <c r="K747" s="132"/>
      <c r="L747" s="132"/>
      <c r="M747" s="132"/>
      <c r="N747" s="132"/>
      <c r="O747" s="132"/>
      <c r="P747" s="132"/>
      <c r="Q747" s="132"/>
      <c r="R747" s="132"/>
      <c r="S747" s="132"/>
      <c r="T747" s="132"/>
      <c r="U747" s="132"/>
      <c r="V747" s="132"/>
      <c r="W747" s="132"/>
      <c r="X747" s="132"/>
      <c r="Y747" s="132"/>
      <c r="Z747" s="132"/>
    </row>
    <row r="748" spans="1:26" ht="11.25" customHeight="1" x14ac:dyDescent="0.3">
      <c r="A748" s="132"/>
      <c r="B748" s="132"/>
      <c r="C748" s="132"/>
      <c r="D748" s="132"/>
      <c r="E748" s="132"/>
      <c r="F748" s="132"/>
      <c r="G748" s="132"/>
      <c r="H748" s="132"/>
      <c r="I748" s="132"/>
      <c r="J748" s="132"/>
      <c r="K748" s="132"/>
      <c r="L748" s="132"/>
      <c r="M748" s="132"/>
      <c r="N748" s="132"/>
      <c r="O748" s="132"/>
      <c r="P748" s="132"/>
      <c r="Q748" s="132"/>
      <c r="R748" s="132"/>
      <c r="S748" s="132"/>
      <c r="T748" s="132"/>
      <c r="U748" s="132"/>
      <c r="V748" s="132"/>
      <c r="W748" s="132"/>
      <c r="X748" s="132"/>
      <c r="Y748" s="132"/>
      <c r="Z748" s="132"/>
    </row>
    <row r="749" spans="1:26" ht="11.25" customHeight="1" x14ac:dyDescent="0.3">
      <c r="A749" s="132"/>
      <c r="B749" s="132"/>
      <c r="C749" s="132"/>
      <c r="D749" s="132"/>
      <c r="E749" s="132"/>
      <c r="F749" s="132"/>
      <c r="G749" s="132"/>
      <c r="H749" s="132"/>
      <c r="I749" s="132"/>
      <c r="J749" s="132"/>
      <c r="K749" s="132"/>
      <c r="L749" s="132"/>
      <c r="M749" s="132"/>
      <c r="N749" s="132"/>
      <c r="O749" s="132"/>
      <c r="P749" s="132"/>
      <c r="Q749" s="132"/>
      <c r="R749" s="132"/>
      <c r="S749" s="132"/>
      <c r="T749" s="132"/>
      <c r="U749" s="132"/>
      <c r="V749" s="132"/>
      <c r="W749" s="132"/>
      <c r="X749" s="132"/>
      <c r="Y749" s="132"/>
      <c r="Z749" s="132"/>
    </row>
    <row r="750" spans="1:26" ht="11.25" customHeight="1" x14ac:dyDescent="0.3">
      <c r="A750" s="132"/>
      <c r="B750" s="132"/>
      <c r="C750" s="132"/>
      <c r="D750" s="132"/>
      <c r="E750" s="132"/>
      <c r="F750" s="132"/>
      <c r="G750" s="132"/>
      <c r="H750" s="132"/>
      <c r="I750" s="132"/>
      <c r="J750" s="132"/>
      <c r="K750" s="132"/>
      <c r="L750" s="132"/>
      <c r="M750" s="132"/>
      <c r="N750" s="132"/>
      <c r="O750" s="132"/>
      <c r="P750" s="132"/>
      <c r="Q750" s="132"/>
      <c r="R750" s="132"/>
      <c r="S750" s="132"/>
      <c r="T750" s="132"/>
      <c r="U750" s="132"/>
      <c r="V750" s="132"/>
      <c r="W750" s="132"/>
      <c r="X750" s="132"/>
      <c r="Y750" s="132"/>
      <c r="Z750" s="132"/>
    </row>
    <row r="751" spans="1:26" ht="11.25" customHeight="1" x14ac:dyDescent="0.3">
      <c r="A751" s="132"/>
      <c r="B751" s="132"/>
      <c r="C751" s="132"/>
      <c r="D751" s="132"/>
      <c r="E751" s="132"/>
      <c r="F751" s="132"/>
      <c r="G751" s="132"/>
      <c r="H751" s="132"/>
      <c r="I751" s="132"/>
      <c r="J751" s="132"/>
      <c r="K751" s="132"/>
      <c r="L751" s="132"/>
      <c r="M751" s="132"/>
      <c r="N751" s="132"/>
      <c r="O751" s="132"/>
      <c r="P751" s="132"/>
      <c r="Q751" s="132"/>
      <c r="R751" s="132"/>
      <c r="S751" s="132"/>
      <c r="T751" s="132"/>
      <c r="U751" s="132"/>
      <c r="V751" s="132"/>
      <c r="W751" s="132"/>
      <c r="X751" s="132"/>
      <c r="Y751" s="132"/>
      <c r="Z751" s="132"/>
    </row>
    <row r="752" spans="1:26" ht="11.25" customHeight="1" x14ac:dyDescent="0.3">
      <c r="A752" s="132"/>
      <c r="B752" s="132"/>
      <c r="C752" s="132"/>
      <c r="D752" s="132"/>
      <c r="E752" s="132"/>
      <c r="F752" s="132"/>
      <c r="G752" s="132"/>
      <c r="H752" s="132"/>
      <c r="I752" s="132"/>
      <c r="J752" s="132"/>
      <c r="K752" s="132"/>
      <c r="L752" s="132"/>
      <c r="M752" s="132"/>
      <c r="N752" s="132"/>
      <c r="O752" s="132"/>
      <c r="P752" s="132"/>
      <c r="Q752" s="132"/>
      <c r="R752" s="132"/>
      <c r="S752" s="132"/>
      <c r="T752" s="132"/>
      <c r="U752" s="132"/>
      <c r="V752" s="132"/>
      <c r="W752" s="132"/>
      <c r="X752" s="132"/>
      <c r="Y752" s="132"/>
      <c r="Z752" s="132"/>
    </row>
    <row r="753" spans="1:26" ht="11.25" customHeight="1" x14ac:dyDescent="0.3">
      <c r="A753" s="132"/>
      <c r="B753" s="132"/>
      <c r="C753" s="132"/>
      <c r="D753" s="132"/>
      <c r="E753" s="132"/>
      <c r="F753" s="132"/>
      <c r="G753" s="132"/>
      <c r="H753" s="132"/>
      <c r="I753" s="132"/>
      <c r="J753" s="132"/>
      <c r="K753" s="132"/>
      <c r="L753" s="132"/>
      <c r="M753" s="132"/>
      <c r="N753" s="132"/>
      <c r="O753" s="132"/>
      <c r="P753" s="132"/>
      <c r="Q753" s="132"/>
      <c r="R753" s="132"/>
      <c r="S753" s="132"/>
      <c r="T753" s="132"/>
      <c r="U753" s="132"/>
      <c r="V753" s="132"/>
      <c r="W753" s="132"/>
      <c r="X753" s="132"/>
      <c r="Y753" s="132"/>
      <c r="Z753" s="132"/>
    </row>
    <row r="754" spans="1:26" ht="11.25" customHeight="1" x14ac:dyDescent="0.3">
      <c r="A754" s="132"/>
      <c r="B754" s="132"/>
      <c r="C754" s="132"/>
      <c r="D754" s="132"/>
      <c r="E754" s="132"/>
      <c r="F754" s="132"/>
      <c r="G754" s="132"/>
      <c r="H754" s="132"/>
      <c r="I754" s="132"/>
      <c r="J754" s="132"/>
      <c r="K754" s="132"/>
      <c r="L754" s="132"/>
      <c r="M754" s="132"/>
      <c r="N754" s="132"/>
      <c r="O754" s="132"/>
      <c r="P754" s="132"/>
      <c r="Q754" s="132"/>
      <c r="R754" s="132"/>
      <c r="S754" s="132"/>
      <c r="T754" s="132"/>
      <c r="U754" s="132"/>
      <c r="V754" s="132"/>
      <c r="W754" s="132"/>
      <c r="X754" s="132"/>
      <c r="Y754" s="132"/>
      <c r="Z754" s="132"/>
    </row>
    <row r="755" spans="1:26" ht="11.25" customHeight="1" x14ac:dyDescent="0.3">
      <c r="A755" s="132"/>
      <c r="B755" s="132"/>
      <c r="C755" s="132"/>
      <c r="D755" s="132"/>
      <c r="E755" s="132"/>
      <c r="F755" s="132"/>
      <c r="G755" s="132"/>
      <c r="H755" s="132"/>
      <c r="I755" s="132"/>
      <c r="J755" s="132"/>
      <c r="K755" s="132"/>
      <c r="L755" s="132"/>
      <c r="M755" s="132"/>
      <c r="N755" s="132"/>
      <c r="O755" s="132"/>
      <c r="P755" s="132"/>
      <c r="Q755" s="132"/>
      <c r="R755" s="132"/>
      <c r="S755" s="132"/>
      <c r="T755" s="132"/>
      <c r="U755" s="132"/>
      <c r="V755" s="132"/>
      <c r="W755" s="132"/>
      <c r="X755" s="132"/>
      <c r="Y755" s="132"/>
      <c r="Z755" s="132"/>
    </row>
    <row r="756" spans="1:26" ht="11.25" customHeight="1" x14ac:dyDescent="0.3">
      <c r="A756" s="132"/>
      <c r="B756" s="132"/>
      <c r="C756" s="132"/>
      <c r="D756" s="132"/>
      <c r="E756" s="132"/>
      <c r="F756" s="132"/>
      <c r="G756" s="132"/>
      <c r="H756" s="132"/>
      <c r="I756" s="132"/>
      <c r="J756" s="132"/>
      <c r="K756" s="132"/>
      <c r="L756" s="132"/>
      <c r="M756" s="132"/>
      <c r="N756" s="132"/>
      <c r="O756" s="132"/>
      <c r="P756" s="132"/>
      <c r="Q756" s="132"/>
      <c r="R756" s="132"/>
      <c r="S756" s="132"/>
      <c r="T756" s="132"/>
      <c r="U756" s="132"/>
      <c r="V756" s="132"/>
      <c r="W756" s="132"/>
      <c r="X756" s="132"/>
      <c r="Y756" s="132"/>
      <c r="Z756" s="132"/>
    </row>
    <row r="757" spans="1:26" ht="11.25" customHeight="1" x14ac:dyDescent="0.3">
      <c r="A757" s="132"/>
      <c r="B757" s="132"/>
      <c r="C757" s="132"/>
      <c r="D757" s="132"/>
      <c r="E757" s="132"/>
      <c r="F757" s="132"/>
      <c r="G757" s="132"/>
      <c r="H757" s="132"/>
      <c r="I757" s="132"/>
      <c r="J757" s="132"/>
      <c r="K757" s="132"/>
      <c r="L757" s="132"/>
      <c r="M757" s="132"/>
      <c r="N757" s="132"/>
      <c r="O757" s="132"/>
      <c r="P757" s="132"/>
      <c r="Q757" s="132"/>
      <c r="R757" s="132"/>
      <c r="S757" s="132"/>
      <c r="T757" s="132"/>
      <c r="U757" s="132"/>
      <c r="V757" s="132"/>
      <c r="W757" s="132"/>
      <c r="X757" s="132"/>
      <c r="Y757" s="132"/>
      <c r="Z757" s="132"/>
    </row>
    <row r="758" spans="1:26" ht="11.25" customHeight="1" x14ac:dyDescent="0.3">
      <c r="A758" s="132"/>
      <c r="B758" s="132"/>
      <c r="C758" s="132"/>
      <c r="D758" s="132"/>
      <c r="E758" s="132"/>
      <c r="F758" s="132"/>
      <c r="G758" s="132"/>
      <c r="H758" s="132"/>
      <c r="I758" s="132"/>
      <c r="J758" s="132"/>
      <c r="K758" s="132"/>
      <c r="L758" s="132"/>
      <c r="M758" s="132"/>
      <c r="N758" s="132"/>
      <c r="O758" s="132"/>
      <c r="P758" s="132"/>
      <c r="Q758" s="132"/>
      <c r="R758" s="132"/>
      <c r="S758" s="132"/>
      <c r="T758" s="132"/>
      <c r="U758" s="132"/>
      <c r="V758" s="132"/>
      <c r="W758" s="132"/>
      <c r="X758" s="132"/>
      <c r="Y758" s="132"/>
      <c r="Z758" s="132"/>
    </row>
    <row r="759" spans="1:26" ht="11.25" customHeight="1" x14ac:dyDescent="0.3">
      <c r="A759" s="132"/>
      <c r="B759" s="132"/>
      <c r="C759" s="132"/>
      <c r="D759" s="132"/>
      <c r="E759" s="132"/>
      <c r="F759" s="132"/>
      <c r="G759" s="132"/>
      <c r="H759" s="132"/>
      <c r="I759" s="132"/>
      <c r="J759" s="132"/>
      <c r="K759" s="132"/>
      <c r="L759" s="132"/>
      <c r="M759" s="132"/>
      <c r="N759" s="132"/>
      <c r="O759" s="132"/>
      <c r="P759" s="132"/>
      <c r="Q759" s="132"/>
      <c r="R759" s="132"/>
      <c r="S759" s="132"/>
      <c r="T759" s="132"/>
      <c r="U759" s="132"/>
      <c r="V759" s="132"/>
      <c r="W759" s="132"/>
      <c r="X759" s="132"/>
      <c r="Y759" s="132"/>
      <c r="Z759" s="132"/>
    </row>
    <row r="760" spans="1:26" ht="11.25" customHeight="1" x14ac:dyDescent="0.3">
      <c r="A760" s="132"/>
      <c r="B760" s="132"/>
      <c r="C760" s="132"/>
      <c r="D760" s="132"/>
      <c r="E760" s="132"/>
      <c r="F760" s="132"/>
      <c r="G760" s="132"/>
      <c r="H760" s="132"/>
      <c r="I760" s="132"/>
      <c r="J760" s="132"/>
      <c r="K760" s="132"/>
      <c r="L760" s="132"/>
      <c r="M760" s="132"/>
      <c r="N760" s="132"/>
      <c r="O760" s="132"/>
      <c r="P760" s="132"/>
      <c r="Q760" s="132"/>
      <c r="R760" s="132"/>
      <c r="S760" s="132"/>
      <c r="T760" s="132"/>
      <c r="U760" s="132"/>
      <c r="V760" s="132"/>
      <c r="W760" s="132"/>
      <c r="X760" s="132"/>
      <c r="Y760" s="132"/>
      <c r="Z760" s="132"/>
    </row>
    <row r="761" spans="1:26" ht="11.25" customHeight="1" x14ac:dyDescent="0.3">
      <c r="A761" s="132"/>
      <c r="B761" s="132"/>
      <c r="C761" s="132"/>
      <c r="D761" s="132"/>
      <c r="E761" s="132"/>
      <c r="F761" s="132"/>
      <c r="G761" s="132"/>
      <c r="H761" s="132"/>
      <c r="I761" s="132"/>
      <c r="J761" s="132"/>
      <c r="K761" s="132"/>
      <c r="L761" s="132"/>
      <c r="M761" s="132"/>
      <c r="N761" s="132"/>
      <c r="O761" s="132"/>
      <c r="P761" s="132"/>
      <c r="Q761" s="132"/>
      <c r="R761" s="132"/>
      <c r="S761" s="132"/>
      <c r="T761" s="132"/>
      <c r="U761" s="132"/>
      <c r="V761" s="132"/>
      <c r="W761" s="132"/>
      <c r="X761" s="132"/>
      <c r="Y761" s="132"/>
      <c r="Z761" s="132"/>
    </row>
    <row r="762" spans="1:26" ht="11.25" customHeight="1" x14ac:dyDescent="0.3">
      <c r="A762" s="132"/>
      <c r="B762" s="132"/>
      <c r="C762" s="132"/>
      <c r="D762" s="132"/>
      <c r="E762" s="132"/>
      <c r="F762" s="132"/>
      <c r="G762" s="132"/>
      <c r="H762" s="132"/>
      <c r="I762" s="132"/>
      <c r="J762" s="132"/>
      <c r="K762" s="132"/>
      <c r="L762" s="132"/>
      <c r="M762" s="132"/>
      <c r="N762" s="132"/>
      <c r="O762" s="132"/>
      <c r="P762" s="132"/>
      <c r="Q762" s="132"/>
      <c r="R762" s="132"/>
      <c r="S762" s="132"/>
      <c r="T762" s="132"/>
      <c r="U762" s="132"/>
      <c r="V762" s="132"/>
      <c r="W762" s="132"/>
      <c r="X762" s="132"/>
      <c r="Y762" s="132"/>
      <c r="Z762" s="132"/>
    </row>
    <row r="763" spans="1:26" ht="11.25" customHeight="1" x14ac:dyDescent="0.3">
      <c r="A763" s="132"/>
      <c r="B763" s="132"/>
      <c r="C763" s="132"/>
      <c r="D763" s="132"/>
      <c r="E763" s="132"/>
      <c r="F763" s="132"/>
      <c r="G763" s="132"/>
      <c r="H763" s="132"/>
      <c r="I763" s="132"/>
      <c r="J763" s="132"/>
      <c r="K763" s="132"/>
      <c r="L763" s="132"/>
      <c r="M763" s="132"/>
      <c r="N763" s="132"/>
      <c r="O763" s="132"/>
      <c r="P763" s="132"/>
      <c r="Q763" s="132"/>
      <c r="R763" s="132"/>
      <c r="S763" s="132"/>
      <c r="T763" s="132"/>
      <c r="U763" s="132"/>
      <c r="V763" s="132"/>
      <c r="W763" s="132"/>
      <c r="X763" s="132"/>
      <c r="Y763" s="132"/>
      <c r="Z763" s="132"/>
    </row>
    <row r="764" spans="1:26" ht="11.25" customHeight="1" x14ac:dyDescent="0.3">
      <c r="A764" s="132"/>
      <c r="B764" s="132"/>
      <c r="C764" s="132"/>
      <c r="D764" s="132"/>
      <c r="E764" s="132"/>
      <c r="F764" s="132"/>
      <c r="G764" s="132"/>
      <c r="H764" s="132"/>
      <c r="I764" s="132"/>
      <c r="J764" s="132"/>
      <c r="K764" s="132"/>
      <c r="L764" s="132"/>
      <c r="M764" s="132"/>
      <c r="N764" s="132"/>
      <c r="O764" s="132"/>
      <c r="P764" s="132"/>
      <c r="Q764" s="132"/>
      <c r="R764" s="132"/>
      <c r="S764" s="132"/>
      <c r="T764" s="132"/>
      <c r="U764" s="132"/>
      <c r="V764" s="132"/>
      <c r="W764" s="132"/>
      <c r="X764" s="132"/>
      <c r="Y764" s="132"/>
      <c r="Z764" s="132"/>
    </row>
    <row r="765" spans="1:26" ht="11.25" customHeight="1" x14ac:dyDescent="0.3">
      <c r="A765" s="132"/>
      <c r="B765" s="132"/>
      <c r="C765" s="132"/>
      <c r="D765" s="132"/>
      <c r="E765" s="132"/>
      <c r="F765" s="132"/>
      <c r="G765" s="132"/>
      <c r="H765" s="132"/>
      <c r="I765" s="132"/>
      <c r="J765" s="132"/>
      <c r="K765" s="132"/>
      <c r="L765" s="132"/>
      <c r="M765" s="132"/>
      <c r="N765" s="132"/>
      <c r="O765" s="132"/>
      <c r="P765" s="132"/>
      <c r="Q765" s="132"/>
      <c r="R765" s="132"/>
      <c r="S765" s="132"/>
      <c r="T765" s="132"/>
      <c r="U765" s="132"/>
      <c r="V765" s="132"/>
      <c r="W765" s="132"/>
      <c r="X765" s="132"/>
      <c r="Y765" s="132"/>
      <c r="Z765" s="132"/>
    </row>
    <row r="766" spans="1:26" ht="11.25" customHeight="1" x14ac:dyDescent="0.3">
      <c r="A766" s="132"/>
      <c r="B766" s="132"/>
      <c r="C766" s="132"/>
      <c r="D766" s="132"/>
      <c r="E766" s="132"/>
      <c r="F766" s="132"/>
      <c r="G766" s="132"/>
      <c r="H766" s="132"/>
      <c r="I766" s="132"/>
      <c r="J766" s="132"/>
      <c r="K766" s="132"/>
      <c r="L766" s="132"/>
      <c r="M766" s="132"/>
      <c r="N766" s="132"/>
      <c r="O766" s="132"/>
      <c r="P766" s="132"/>
      <c r="Q766" s="132"/>
      <c r="R766" s="132"/>
      <c r="S766" s="132"/>
      <c r="T766" s="132"/>
      <c r="U766" s="132"/>
      <c r="V766" s="132"/>
      <c r="W766" s="132"/>
      <c r="X766" s="132"/>
      <c r="Y766" s="132"/>
      <c r="Z766" s="132"/>
    </row>
    <row r="767" spans="1:26" ht="11.25" customHeight="1" x14ac:dyDescent="0.3">
      <c r="A767" s="132"/>
      <c r="B767" s="132"/>
      <c r="C767" s="132"/>
      <c r="D767" s="132"/>
      <c r="E767" s="132"/>
      <c r="F767" s="132"/>
      <c r="G767" s="132"/>
      <c r="H767" s="132"/>
      <c r="I767" s="132"/>
      <c r="J767" s="132"/>
      <c r="K767" s="132"/>
      <c r="L767" s="132"/>
      <c r="M767" s="132"/>
      <c r="N767" s="132"/>
      <c r="O767" s="132"/>
      <c r="P767" s="132"/>
      <c r="Q767" s="132"/>
      <c r="R767" s="132"/>
      <c r="S767" s="132"/>
      <c r="T767" s="132"/>
      <c r="U767" s="132"/>
      <c r="V767" s="132"/>
      <c r="W767" s="132"/>
      <c r="X767" s="132"/>
      <c r="Y767" s="132"/>
      <c r="Z767" s="132"/>
    </row>
    <row r="768" spans="1:26" ht="11.25" customHeight="1" x14ac:dyDescent="0.3">
      <c r="A768" s="132"/>
      <c r="B768" s="132"/>
      <c r="C768" s="132"/>
      <c r="D768" s="132"/>
      <c r="E768" s="132"/>
      <c r="F768" s="132"/>
      <c r="G768" s="132"/>
      <c r="H768" s="132"/>
      <c r="I768" s="132"/>
      <c r="J768" s="132"/>
      <c r="K768" s="132"/>
      <c r="L768" s="132"/>
      <c r="M768" s="132"/>
      <c r="N768" s="132"/>
      <c r="O768" s="132"/>
      <c r="P768" s="132"/>
      <c r="Q768" s="132"/>
      <c r="R768" s="132"/>
      <c r="S768" s="132"/>
      <c r="T768" s="132"/>
      <c r="U768" s="132"/>
      <c r="V768" s="132"/>
      <c r="W768" s="132"/>
      <c r="X768" s="132"/>
      <c r="Y768" s="132"/>
      <c r="Z768" s="132"/>
    </row>
    <row r="769" spans="1:26" ht="11.25" customHeight="1" x14ac:dyDescent="0.3">
      <c r="A769" s="132"/>
      <c r="B769" s="132"/>
      <c r="C769" s="132"/>
      <c r="D769" s="132"/>
      <c r="E769" s="132"/>
      <c r="F769" s="132"/>
      <c r="G769" s="132"/>
      <c r="H769" s="132"/>
      <c r="I769" s="132"/>
      <c r="J769" s="132"/>
      <c r="K769" s="132"/>
      <c r="L769" s="132"/>
      <c r="M769" s="132"/>
      <c r="N769" s="132"/>
      <c r="O769" s="132"/>
      <c r="P769" s="132"/>
      <c r="Q769" s="132"/>
      <c r="R769" s="132"/>
      <c r="S769" s="132"/>
      <c r="T769" s="132"/>
      <c r="U769" s="132"/>
      <c r="V769" s="132"/>
      <c r="W769" s="132"/>
      <c r="X769" s="132"/>
      <c r="Y769" s="132"/>
      <c r="Z769" s="132"/>
    </row>
    <row r="770" spans="1:26" ht="11.25" customHeight="1" x14ac:dyDescent="0.3">
      <c r="A770" s="132"/>
      <c r="B770" s="132"/>
      <c r="C770" s="132"/>
      <c r="D770" s="132"/>
      <c r="E770" s="132"/>
      <c r="F770" s="132"/>
      <c r="G770" s="132"/>
      <c r="H770" s="132"/>
      <c r="I770" s="132"/>
      <c r="J770" s="132"/>
      <c r="K770" s="132"/>
      <c r="L770" s="132"/>
      <c r="M770" s="132"/>
      <c r="N770" s="132"/>
      <c r="O770" s="132"/>
      <c r="P770" s="132"/>
      <c r="Q770" s="132"/>
      <c r="R770" s="132"/>
      <c r="S770" s="132"/>
      <c r="T770" s="132"/>
      <c r="U770" s="132"/>
      <c r="V770" s="132"/>
      <c r="W770" s="132"/>
      <c r="X770" s="132"/>
      <c r="Y770" s="132"/>
      <c r="Z770" s="132"/>
    </row>
    <row r="771" spans="1:26" ht="11.25" customHeight="1" x14ac:dyDescent="0.3">
      <c r="A771" s="132"/>
      <c r="B771" s="132"/>
      <c r="C771" s="132"/>
      <c r="D771" s="132"/>
      <c r="E771" s="132"/>
      <c r="F771" s="132"/>
      <c r="G771" s="132"/>
      <c r="H771" s="132"/>
      <c r="I771" s="132"/>
      <c r="J771" s="132"/>
      <c r="K771" s="132"/>
      <c r="L771" s="132"/>
      <c r="M771" s="132"/>
      <c r="N771" s="132"/>
      <c r="O771" s="132"/>
      <c r="P771" s="132"/>
      <c r="Q771" s="132"/>
      <c r="R771" s="132"/>
      <c r="S771" s="132"/>
      <c r="T771" s="132"/>
      <c r="U771" s="132"/>
      <c r="V771" s="132"/>
      <c r="W771" s="132"/>
      <c r="X771" s="132"/>
      <c r="Y771" s="132"/>
      <c r="Z771" s="132"/>
    </row>
    <row r="772" spans="1:26" ht="11.25" customHeight="1" x14ac:dyDescent="0.3">
      <c r="A772" s="132"/>
      <c r="B772" s="132"/>
      <c r="C772" s="132"/>
      <c r="D772" s="132"/>
      <c r="E772" s="132"/>
      <c r="F772" s="132"/>
      <c r="G772" s="132"/>
      <c r="H772" s="132"/>
      <c r="I772" s="132"/>
      <c r="J772" s="132"/>
      <c r="K772" s="132"/>
      <c r="L772" s="132"/>
      <c r="M772" s="132"/>
      <c r="N772" s="132"/>
      <c r="O772" s="132"/>
      <c r="P772" s="132"/>
      <c r="Q772" s="132"/>
      <c r="R772" s="132"/>
      <c r="S772" s="132"/>
      <c r="T772" s="132"/>
      <c r="U772" s="132"/>
      <c r="V772" s="132"/>
      <c r="W772" s="132"/>
      <c r="X772" s="132"/>
      <c r="Y772" s="132"/>
      <c r="Z772" s="132"/>
    </row>
    <row r="773" spans="1:26" ht="11.25" customHeight="1" x14ac:dyDescent="0.3">
      <c r="A773" s="132"/>
      <c r="B773" s="132"/>
      <c r="C773" s="132"/>
      <c r="D773" s="132"/>
      <c r="E773" s="132"/>
      <c r="F773" s="132"/>
      <c r="G773" s="132"/>
      <c r="H773" s="132"/>
      <c r="I773" s="132"/>
      <c r="J773" s="132"/>
      <c r="K773" s="132"/>
      <c r="L773" s="132"/>
      <c r="M773" s="132"/>
      <c r="N773" s="132"/>
      <c r="O773" s="132"/>
      <c r="P773" s="132"/>
      <c r="Q773" s="132"/>
      <c r="R773" s="132"/>
      <c r="S773" s="132"/>
      <c r="T773" s="132"/>
      <c r="U773" s="132"/>
      <c r="V773" s="132"/>
      <c r="W773" s="132"/>
      <c r="X773" s="132"/>
      <c r="Y773" s="132"/>
      <c r="Z773" s="132"/>
    </row>
    <row r="774" spans="1:26" ht="11.25" customHeight="1" x14ac:dyDescent="0.3">
      <c r="A774" s="132"/>
      <c r="B774" s="132"/>
      <c r="C774" s="132"/>
      <c r="D774" s="132"/>
      <c r="E774" s="132"/>
      <c r="F774" s="132"/>
      <c r="G774" s="132"/>
      <c r="H774" s="132"/>
      <c r="I774" s="132"/>
      <c r="J774" s="132"/>
      <c r="K774" s="132"/>
      <c r="L774" s="132"/>
      <c r="M774" s="132"/>
      <c r="N774" s="132"/>
      <c r="O774" s="132"/>
      <c r="P774" s="132"/>
      <c r="Q774" s="132"/>
      <c r="R774" s="132"/>
      <c r="S774" s="132"/>
      <c r="T774" s="132"/>
      <c r="U774" s="132"/>
      <c r="V774" s="132"/>
      <c r="W774" s="132"/>
      <c r="X774" s="132"/>
      <c r="Y774" s="132"/>
      <c r="Z774" s="132"/>
    </row>
    <row r="775" spans="1:26" ht="11.25" customHeight="1" x14ac:dyDescent="0.3">
      <c r="A775" s="132"/>
      <c r="B775" s="132"/>
      <c r="C775" s="132"/>
      <c r="D775" s="132"/>
      <c r="E775" s="132"/>
      <c r="F775" s="132"/>
      <c r="G775" s="132"/>
      <c r="H775" s="132"/>
      <c r="I775" s="132"/>
      <c r="J775" s="132"/>
      <c r="K775" s="132"/>
      <c r="L775" s="132"/>
      <c r="M775" s="132"/>
      <c r="N775" s="132"/>
      <c r="O775" s="132"/>
      <c r="P775" s="132"/>
      <c r="Q775" s="132"/>
      <c r="R775" s="132"/>
      <c r="S775" s="132"/>
      <c r="T775" s="132"/>
      <c r="U775" s="132"/>
      <c r="V775" s="132"/>
      <c r="W775" s="132"/>
      <c r="X775" s="132"/>
      <c r="Y775" s="132"/>
      <c r="Z775" s="132"/>
    </row>
    <row r="776" spans="1:26" ht="11.25" customHeight="1" x14ac:dyDescent="0.3">
      <c r="A776" s="132"/>
      <c r="B776" s="132"/>
      <c r="C776" s="132"/>
      <c r="D776" s="132"/>
      <c r="E776" s="132"/>
      <c r="F776" s="132"/>
      <c r="G776" s="132"/>
      <c r="H776" s="132"/>
      <c r="I776" s="132"/>
      <c r="J776" s="132"/>
      <c r="K776" s="132"/>
      <c r="L776" s="132"/>
      <c r="M776" s="132"/>
      <c r="N776" s="132"/>
      <c r="O776" s="132"/>
      <c r="P776" s="132"/>
      <c r="Q776" s="132"/>
      <c r="R776" s="132"/>
      <c r="S776" s="132"/>
      <c r="T776" s="132"/>
      <c r="U776" s="132"/>
      <c r="V776" s="132"/>
      <c r="W776" s="132"/>
      <c r="X776" s="132"/>
      <c r="Y776" s="132"/>
      <c r="Z776" s="132"/>
    </row>
    <row r="777" spans="1:26" ht="11.25" customHeight="1" x14ac:dyDescent="0.3">
      <c r="A777" s="132"/>
      <c r="B777" s="132"/>
      <c r="C777" s="132"/>
      <c r="D777" s="132"/>
      <c r="E777" s="132"/>
      <c r="F777" s="132"/>
      <c r="G777" s="132"/>
      <c r="H777" s="132"/>
      <c r="I777" s="132"/>
      <c r="J777" s="132"/>
      <c r="K777" s="132"/>
      <c r="L777" s="132"/>
      <c r="M777" s="132"/>
      <c r="N777" s="132"/>
      <c r="O777" s="132"/>
      <c r="P777" s="132"/>
      <c r="Q777" s="132"/>
      <c r="R777" s="132"/>
      <c r="S777" s="132"/>
      <c r="T777" s="132"/>
      <c r="U777" s="132"/>
      <c r="V777" s="132"/>
      <c r="W777" s="132"/>
      <c r="X777" s="132"/>
      <c r="Y777" s="132"/>
      <c r="Z777" s="132"/>
    </row>
    <row r="778" spans="1:26" ht="11.25" customHeight="1" x14ac:dyDescent="0.3">
      <c r="A778" s="132"/>
      <c r="B778" s="132"/>
      <c r="C778" s="132"/>
      <c r="D778" s="132"/>
      <c r="E778" s="132"/>
      <c r="F778" s="132"/>
      <c r="G778" s="132"/>
      <c r="H778" s="132"/>
      <c r="I778" s="132"/>
      <c r="J778" s="132"/>
      <c r="K778" s="132"/>
      <c r="L778" s="132"/>
      <c r="M778" s="132"/>
      <c r="N778" s="132"/>
      <c r="O778" s="132"/>
      <c r="P778" s="132"/>
      <c r="Q778" s="132"/>
      <c r="R778" s="132"/>
      <c r="S778" s="132"/>
      <c r="T778" s="132"/>
      <c r="U778" s="132"/>
      <c r="V778" s="132"/>
      <c r="W778" s="132"/>
      <c r="X778" s="132"/>
      <c r="Y778" s="132"/>
      <c r="Z778" s="132"/>
    </row>
    <row r="779" spans="1:26" ht="11.25" customHeight="1" x14ac:dyDescent="0.3">
      <c r="A779" s="132"/>
      <c r="B779" s="132"/>
      <c r="C779" s="132"/>
      <c r="D779" s="132"/>
      <c r="E779" s="132"/>
      <c r="F779" s="132"/>
      <c r="G779" s="132"/>
      <c r="H779" s="132"/>
      <c r="I779" s="132"/>
      <c r="J779" s="132"/>
      <c r="K779" s="132"/>
      <c r="L779" s="132"/>
      <c r="M779" s="132"/>
      <c r="N779" s="132"/>
      <c r="O779" s="132"/>
      <c r="P779" s="132"/>
      <c r="Q779" s="132"/>
      <c r="R779" s="132"/>
      <c r="S779" s="132"/>
      <c r="T779" s="132"/>
      <c r="U779" s="132"/>
      <c r="V779" s="132"/>
      <c r="W779" s="132"/>
      <c r="X779" s="132"/>
      <c r="Y779" s="132"/>
      <c r="Z779" s="132"/>
    </row>
    <row r="780" spans="1:26" ht="11.25" customHeight="1" x14ac:dyDescent="0.3">
      <c r="A780" s="132"/>
      <c r="B780" s="132"/>
      <c r="C780" s="132"/>
      <c r="D780" s="132"/>
      <c r="E780" s="132"/>
      <c r="F780" s="132"/>
      <c r="G780" s="132"/>
      <c r="H780" s="132"/>
      <c r="I780" s="132"/>
      <c r="J780" s="132"/>
      <c r="K780" s="132"/>
      <c r="L780" s="132"/>
      <c r="M780" s="132"/>
      <c r="N780" s="132"/>
      <c r="O780" s="132"/>
      <c r="P780" s="132"/>
      <c r="Q780" s="132"/>
      <c r="R780" s="132"/>
      <c r="S780" s="132"/>
      <c r="T780" s="132"/>
      <c r="U780" s="132"/>
      <c r="V780" s="132"/>
      <c r="W780" s="132"/>
      <c r="X780" s="132"/>
      <c r="Y780" s="132"/>
      <c r="Z780" s="132"/>
    </row>
    <row r="781" spans="1:26" ht="11.25" customHeight="1" x14ac:dyDescent="0.3">
      <c r="A781" s="132"/>
      <c r="B781" s="132"/>
      <c r="C781" s="132"/>
      <c r="D781" s="132"/>
      <c r="E781" s="132"/>
      <c r="F781" s="132"/>
      <c r="G781" s="132"/>
      <c r="H781" s="132"/>
      <c r="I781" s="132"/>
      <c r="J781" s="132"/>
      <c r="K781" s="132"/>
      <c r="L781" s="132"/>
      <c r="M781" s="132"/>
      <c r="N781" s="132"/>
      <c r="O781" s="132"/>
      <c r="P781" s="132"/>
      <c r="Q781" s="132"/>
      <c r="R781" s="132"/>
      <c r="S781" s="132"/>
      <c r="T781" s="132"/>
      <c r="U781" s="132"/>
      <c r="V781" s="132"/>
      <c r="W781" s="132"/>
      <c r="X781" s="132"/>
      <c r="Y781" s="132"/>
      <c r="Z781" s="132"/>
    </row>
    <row r="782" spans="1:26" ht="11.25" customHeight="1" x14ac:dyDescent="0.3">
      <c r="A782" s="132"/>
      <c r="B782" s="132"/>
      <c r="C782" s="132"/>
      <c r="D782" s="132"/>
      <c r="E782" s="132"/>
      <c r="F782" s="132"/>
      <c r="G782" s="132"/>
      <c r="H782" s="132"/>
      <c r="I782" s="132"/>
      <c r="J782" s="132"/>
      <c r="K782" s="132"/>
      <c r="L782" s="132"/>
      <c r="M782" s="132"/>
      <c r="N782" s="132"/>
      <c r="O782" s="132"/>
      <c r="P782" s="132"/>
      <c r="Q782" s="132"/>
      <c r="R782" s="132"/>
      <c r="S782" s="132"/>
      <c r="T782" s="132"/>
      <c r="U782" s="132"/>
      <c r="V782" s="132"/>
      <c r="W782" s="132"/>
      <c r="X782" s="132"/>
      <c r="Y782" s="132"/>
      <c r="Z782" s="132"/>
    </row>
    <row r="783" spans="1:26" ht="11.25" customHeight="1" x14ac:dyDescent="0.3">
      <c r="A783" s="132"/>
      <c r="B783" s="132"/>
      <c r="C783" s="132"/>
      <c r="D783" s="132"/>
      <c r="E783" s="132"/>
      <c r="F783" s="132"/>
      <c r="G783" s="132"/>
      <c r="H783" s="132"/>
      <c r="I783" s="132"/>
      <c r="J783" s="132"/>
      <c r="K783" s="132"/>
      <c r="L783" s="132"/>
      <c r="M783" s="132"/>
      <c r="N783" s="132"/>
      <c r="O783" s="132"/>
      <c r="P783" s="132"/>
      <c r="Q783" s="132"/>
      <c r="R783" s="132"/>
      <c r="S783" s="132"/>
      <c r="T783" s="132"/>
      <c r="U783" s="132"/>
      <c r="V783" s="132"/>
      <c r="W783" s="132"/>
      <c r="X783" s="132"/>
      <c r="Y783" s="132"/>
      <c r="Z783" s="132"/>
    </row>
    <row r="784" spans="1:26" ht="11.25" customHeight="1" x14ac:dyDescent="0.3">
      <c r="A784" s="132"/>
      <c r="B784" s="132"/>
      <c r="C784" s="132"/>
      <c r="D784" s="132"/>
      <c r="E784" s="132"/>
      <c r="F784" s="132"/>
      <c r="G784" s="132"/>
      <c r="H784" s="132"/>
      <c r="I784" s="132"/>
      <c r="J784" s="132"/>
      <c r="K784" s="132"/>
      <c r="L784" s="132"/>
      <c r="M784" s="132"/>
      <c r="N784" s="132"/>
      <c r="O784" s="132"/>
      <c r="P784" s="132"/>
      <c r="Q784" s="132"/>
      <c r="R784" s="132"/>
      <c r="S784" s="132"/>
      <c r="T784" s="132"/>
      <c r="U784" s="132"/>
      <c r="V784" s="132"/>
      <c r="W784" s="132"/>
      <c r="X784" s="132"/>
      <c r="Y784" s="132"/>
      <c r="Z784" s="132"/>
    </row>
    <row r="785" spans="1:26" ht="11.25" customHeight="1" x14ac:dyDescent="0.3">
      <c r="A785" s="132"/>
      <c r="B785" s="132"/>
      <c r="C785" s="132"/>
      <c r="D785" s="132"/>
      <c r="E785" s="132"/>
      <c r="F785" s="132"/>
      <c r="G785" s="132"/>
      <c r="H785" s="132"/>
      <c r="I785" s="132"/>
      <c r="J785" s="132"/>
      <c r="K785" s="132"/>
      <c r="L785" s="132"/>
      <c r="M785" s="132"/>
      <c r="N785" s="132"/>
      <c r="O785" s="132"/>
      <c r="P785" s="132"/>
      <c r="Q785" s="132"/>
      <c r="R785" s="132"/>
      <c r="S785" s="132"/>
      <c r="T785" s="132"/>
      <c r="U785" s="132"/>
      <c r="V785" s="132"/>
      <c r="W785" s="132"/>
      <c r="X785" s="132"/>
      <c r="Y785" s="132"/>
      <c r="Z785" s="132"/>
    </row>
    <row r="786" spans="1:26" ht="11.25" customHeight="1" x14ac:dyDescent="0.3">
      <c r="A786" s="132"/>
      <c r="B786" s="132"/>
      <c r="C786" s="132"/>
      <c r="D786" s="132"/>
      <c r="E786" s="132"/>
      <c r="F786" s="132"/>
      <c r="G786" s="132"/>
      <c r="H786" s="132"/>
      <c r="I786" s="132"/>
      <c r="J786" s="132"/>
      <c r="K786" s="132"/>
      <c r="L786" s="132"/>
      <c r="M786" s="132"/>
      <c r="N786" s="132"/>
      <c r="O786" s="132"/>
      <c r="P786" s="132"/>
      <c r="Q786" s="132"/>
      <c r="R786" s="132"/>
      <c r="S786" s="132"/>
      <c r="T786" s="132"/>
      <c r="U786" s="132"/>
      <c r="V786" s="132"/>
      <c r="W786" s="132"/>
      <c r="X786" s="132"/>
      <c r="Y786" s="132"/>
      <c r="Z786" s="132"/>
    </row>
    <row r="787" spans="1:26" ht="11.25" customHeight="1" x14ac:dyDescent="0.3">
      <c r="A787" s="132"/>
      <c r="B787" s="132"/>
      <c r="C787" s="132"/>
      <c r="D787" s="132"/>
      <c r="E787" s="132"/>
      <c r="F787" s="132"/>
      <c r="G787" s="132"/>
      <c r="H787" s="132"/>
      <c r="I787" s="132"/>
      <c r="J787" s="132"/>
      <c r="K787" s="132"/>
      <c r="L787" s="132"/>
      <c r="M787" s="132"/>
      <c r="N787" s="132"/>
      <c r="O787" s="132"/>
      <c r="P787" s="132"/>
      <c r="Q787" s="132"/>
      <c r="R787" s="132"/>
      <c r="S787" s="132"/>
      <c r="T787" s="132"/>
      <c r="U787" s="132"/>
      <c r="V787" s="132"/>
      <c r="W787" s="132"/>
      <c r="X787" s="132"/>
      <c r="Y787" s="132"/>
      <c r="Z787" s="132"/>
    </row>
    <row r="788" spans="1:26" ht="11.25" customHeight="1" x14ac:dyDescent="0.3">
      <c r="A788" s="132"/>
      <c r="B788" s="132"/>
      <c r="C788" s="132"/>
      <c r="D788" s="132"/>
      <c r="E788" s="132"/>
      <c r="F788" s="132"/>
      <c r="G788" s="132"/>
      <c r="H788" s="132"/>
      <c r="I788" s="132"/>
      <c r="J788" s="132"/>
      <c r="K788" s="132"/>
      <c r="L788" s="132"/>
      <c r="M788" s="132"/>
      <c r="N788" s="132"/>
      <c r="O788" s="132"/>
      <c r="P788" s="132"/>
      <c r="Q788" s="132"/>
      <c r="R788" s="132"/>
      <c r="S788" s="132"/>
      <c r="T788" s="132"/>
      <c r="U788" s="132"/>
      <c r="V788" s="132"/>
      <c r="W788" s="132"/>
      <c r="X788" s="132"/>
      <c r="Y788" s="132"/>
      <c r="Z788" s="132"/>
    </row>
    <row r="789" spans="1:26" ht="11.25" customHeight="1" x14ac:dyDescent="0.3">
      <c r="A789" s="132"/>
      <c r="B789" s="132"/>
      <c r="C789" s="132"/>
      <c r="D789" s="132"/>
      <c r="E789" s="132"/>
      <c r="F789" s="132"/>
      <c r="G789" s="132"/>
      <c r="H789" s="132"/>
      <c r="I789" s="132"/>
      <c r="J789" s="132"/>
      <c r="K789" s="132"/>
      <c r="L789" s="132"/>
      <c r="M789" s="132"/>
      <c r="N789" s="132"/>
      <c r="O789" s="132"/>
      <c r="P789" s="132"/>
      <c r="Q789" s="132"/>
      <c r="R789" s="132"/>
      <c r="S789" s="132"/>
      <c r="T789" s="132"/>
      <c r="U789" s="132"/>
      <c r="V789" s="132"/>
      <c r="W789" s="132"/>
      <c r="X789" s="132"/>
      <c r="Y789" s="132"/>
      <c r="Z789" s="132"/>
    </row>
    <row r="790" spans="1:26" ht="11.25" customHeight="1" x14ac:dyDescent="0.3">
      <c r="A790" s="132"/>
      <c r="B790" s="132"/>
      <c r="C790" s="132"/>
      <c r="D790" s="132"/>
      <c r="E790" s="132"/>
      <c r="F790" s="132"/>
      <c r="G790" s="132"/>
      <c r="H790" s="132"/>
      <c r="I790" s="132"/>
      <c r="J790" s="132"/>
      <c r="K790" s="132"/>
      <c r="L790" s="132"/>
      <c r="M790" s="132"/>
      <c r="N790" s="132"/>
      <c r="O790" s="132"/>
      <c r="P790" s="132"/>
      <c r="Q790" s="132"/>
      <c r="R790" s="132"/>
      <c r="S790" s="132"/>
      <c r="T790" s="132"/>
      <c r="U790" s="132"/>
      <c r="V790" s="132"/>
      <c r="W790" s="132"/>
      <c r="X790" s="132"/>
      <c r="Y790" s="132"/>
      <c r="Z790" s="132"/>
    </row>
    <row r="791" spans="1:26" ht="11.25" customHeight="1" x14ac:dyDescent="0.3">
      <c r="A791" s="132"/>
      <c r="B791" s="132"/>
      <c r="C791" s="132"/>
      <c r="D791" s="132"/>
      <c r="E791" s="132"/>
      <c r="F791" s="132"/>
      <c r="G791" s="132"/>
      <c r="H791" s="132"/>
      <c r="I791" s="132"/>
      <c r="J791" s="132"/>
      <c r="K791" s="132"/>
      <c r="L791" s="132"/>
      <c r="M791" s="132"/>
      <c r="N791" s="132"/>
      <c r="O791" s="132"/>
      <c r="P791" s="132"/>
      <c r="Q791" s="132"/>
      <c r="R791" s="132"/>
      <c r="S791" s="132"/>
      <c r="T791" s="132"/>
      <c r="U791" s="132"/>
      <c r="V791" s="132"/>
      <c r="W791" s="132"/>
      <c r="X791" s="132"/>
      <c r="Y791" s="132"/>
      <c r="Z791" s="132"/>
    </row>
    <row r="792" spans="1:26" ht="11.25" customHeight="1" x14ac:dyDescent="0.3">
      <c r="A792" s="132"/>
      <c r="B792" s="132"/>
      <c r="C792" s="132"/>
      <c r="D792" s="132"/>
      <c r="E792" s="132"/>
      <c r="F792" s="132"/>
      <c r="G792" s="132"/>
      <c r="H792" s="132"/>
      <c r="I792" s="132"/>
      <c r="J792" s="132"/>
      <c r="K792" s="132"/>
      <c r="L792" s="132"/>
      <c r="M792" s="132"/>
      <c r="N792" s="132"/>
      <c r="O792" s="132"/>
      <c r="P792" s="132"/>
      <c r="Q792" s="132"/>
      <c r="R792" s="132"/>
      <c r="S792" s="132"/>
      <c r="T792" s="132"/>
      <c r="U792" s="132"/>
      <c r="V792" s="132"/>
      <c r="W792" s="132"/>
      <c r="X792" s="132"/>
      <c r="Y792" s="132"/>
      <c r="Z792" s="132"/>
    </row>
    <row r="793" spans="1:26" ht="11.25" customHeight="1" x14ac:dyDescent="0.3">
      <c r="A793" s="132"/>
      <c r="B793" s="132"/>
      <c r="C793" s="132"/>
      <c r="D793" s="132"/>
      <c r="E793" s="132"/>
      <c r="F793" s="132"/>
      <c r="G793" s="132"/>
      <c r="H793" s="132"/>
      <c r="I793" s="132"/>
      <c r="J793" s="132"/>
      <c r="K793" s="132"/>
      <c r="L793" s="132"/>
      <c r="M793" s="132"/>
      <c r="N793" s="132"/>
      <c r="O793" s="132"/>
      <c r="P793" s="132"/>
      <c r="Q793" s="132"/>
      <c r="R793" s="132"/>
      <c r="S793" s="132"/>
      <c r="T793" s="132"/>
      <c r="U793" s="132"/>
      <c r="V793" s="132"/>
      <c r="W793" s="132"/>
      <c r="X793" s="132"/>
      <c r="Y793" s="132"/>
      <c r="Z793" s="132"/>
    </row>
    <row r="794" spans="1:26" ht="11.25" customHeight="1" x14ac:dyDescent="0.3">
      <c r="A794" s="132"/>
      <c r="B794" s="132"/>
      <c r="C794" s="132"/>
      <c r="D794" s="132"/>
      <c r="E794" s="132"/>
      <c r="F794" s="132"/>
      <c r="G794" s="132"/>
      <c r="H794" s="132"/>
      <c r="I794" s="132"/>
      <c r="J794" s="132"/>
      <c r="K794" s="132"/>
      <c r="L794" s="132"/>
      <c r="M794" s="132"/>
      <c r="N794" s="132"/>
      <c r="O794" s="132"/>
      <c r="P794" s="132"/>
      <c r="Q794" s="132"/>
      <c r="R794" s="132"/>
      <c r="S794" s="132"/>
      <c r="T794" s="132"/>
      <c r="U794" s="132"/>
      <c r="V794" s="132"/>
      <c r="W794" s="132"/>
      <c r="X794" s="132"/>
      <c r="Y794" s="132"/>
      <c r="Z794" s="132"/>
    </row>
    <row r="795" spans="1:26" ht="11.25" customHeight="1" x14ac:dyDescent="0.3">
      <c r="A795" s="132"/>
      <c r="B795" s="132"/>
      <c r="C795" s="132"/>
      <c r="D795" s="132"/>
      <c r="E795" s="132"/>
      <c r="F795" s="132"/>
      <c r="G795" s="132"/>
      <c r="H795" s="132"/>
      <c r="I795" s="132"/>
      <c r="J795" s="132"/>
      <c r="K795" s="132"/>
      <c r="L795" s="132"/>
      <c r="M795" s="132"/>
      <c r="N795" s="132"/>
      <c r="O795" s="132"/>
      <c r="P795" s="132"/>
      <c r="Q795" s="132"/>
      <c r="R795" s="132"/>
      <c r="S795" s="132"/>
      <c r="T795" s="132"/>
      <c r="U795" s="132"/>
      <c r="V795" s="132"/>
      <c r="W795" s="132"/>
      <c r="X795" s="132"/>
      <c r="Y795" s="132"/>
      <c r="Z795" s="132"/>
    </row>
    <row r="796" spans="1:26" ht="11.25" customHeight="1" x14ac:dyDescent="0.3">
      <c r="A796" s="132"/>
      <c r="B796" s="132"/>
      <c r="C796" s="132"/>
      <c r="D796" s="132"/>
      <c r="E796" s="132"/>
      <c r="F796" s="132"/>
      <c r="G796" s="132"/>
      <c r="H796" s="132"/>
      <c r="I796" s="132"/>
      <c r="J796" s="132"/>
      <c r="K796" s="132"/>
      <c r="L796" s="132"/>
      <c r="M796" s="132"/>
      <c r="N796" s="132"/>
      <c r="O796" s="132"/>
      <c r="P796" s="132"/>
      <c r="Q796" s="132"/>
      <c r="R796" s="132"/>
      <c r="S796" s="132"/>
      <c r="T796" s="132"/>
      <c r="U796" s="132"/>
      <c r="V796" s="132"/>
      <c r="W796" s="132"/>
      <c r="X796" s="132"/>
      <c r="Y796" s="132"/>
      <c r="Z796" s="132"/>
    </row>
    <row r="797" spans="1:26" ht="11.25" customHeight="1" x14ac:dyDescent="0.3">
      <c r="A797" s="132"/>
      <c r="B797" s="132"/>
      <c r="C797" s="132"/>
      <c r="D797" s="132"/>
      <c r="E797" s="132"/>
      <c r="F797" s="132"/>
      <c r="G797" s="132"/>
      <c r="H797" s="132"/>
      <c r="I797" s="132"/>
      <c r="J797" s="132"/>
      <c r="K797" s="132"/>
      <c r="L797" s="132"/>
      <c r="M797" s="132"/>
      <c r="N797" s="132"/>
      <c r="O797" s="132"/>
      <c r="P797" s="132"/>
      <c r="Q797" s="132"/>
      <c r="R797" s="132"/>
      <c r="S797" s="132"/>
      <c r="T797" s="132"/>
      <c r="U797" s="132"/>
      <c r="V797" s="132"/>
      <c r="W797" s="132"/>
      <c r="X797" s="132"/>
      <c r="Y797" s="132"/>
      <c r="Z797" s="132"/>
    </row>
    <row r="798" spans="1:26" ht="11.25" customHeight="1" x14ac:dyDescent="0.3">
      <c r="A798" s="132"/>
      <c r="B798" s="132"/>
      <c r="C798" s="132"/>
      <c r="D798" s="132"/>
      <c r="E798" s="132"/>
      <c r="F798" s="132"/>
      <c r="G798" s="132"/>
      <c r="H798" s="132"/>
      <c r="I798" s="132"/>
      <c r="J798" s="132"/>
      <c r="K798" s="132"/>
      <c r="L798" s="132"/>
      <c r="M798" s="132"/>
      <c r="N798" s="132"/>
      <c r="O798" s="132"/>
      <c r="P798" s="132"/>
      <c r="Q798" s="132"/>
      <c r="R798" s="132"/>
      <c r="S798" s="132"/>
      <c r="T798" s="132"/>
      <c r="U798" s="132"/>
      <c r="V798" s="132"/>
      <c r="W798" s="132"/>
      <c r="X798" s="132"/>
      <c r="Y798" s="132"/>
      <c r="Z798" s="132"/>
    </row>
    <row r="799" spans="1:26" ht="11.25" customHeight="1" x14ac:dyDescent="0.3">
      <c r="A799" s="132"/>
      <c r="B799" s="132"/>
      <c r="C799" s="132"/>
      <c r="D799" s="132"/>
      <c r="E799" s="132"/>
      <c r="F799" s="132"/>
      <c r="G799" s="132"/>
      <c r="H799" s="132"/>
      <c r="I799" s="132"/>
      <c r="J799" s="132"/>
      <c r="K799" s="132"/>
      <c r="L799" s="132"/>
      <c r="M799" s="132"/>
      <c r="N799" s="132"/>
      <c r="O799" s="132"/>
      <c r="P799" s="132"/>
      <c r="Q799" s="132"/>
      <c r="R799" s="132"/>
      <c r="S799" s="132"/>
      <c r="T799" s="132"/>
      <c r="U799" s="132"/>
      <c r="V799" s="132"/>
      <c r="W799" s="132"/>
      <c r="X799" s="132"/>
      <c r="Y799" s="132"/>
      <c r="Z799" s="132"/>
    </row>
    <row r="800" spans="1:26" ht="11.25" customHeight="1" x14ac:dyDescent="0.3">
      <c r="A800" s="132"/>
      <c r="B800" s="132"/>
      <c r="C800" s="132"/>
      <c r="D800" s="132"/>
      <c r="E800" s="132"/>
      <c r="F800" s="132"/>
      <c r="G800" s="132"/>
      <c r="H800" s="132"/>
      <c r="I800" s="132"/>
      <c r="J800" s="132"/>
      <c r="K800" s="132"/>
      <c r="L800" s="132"/>
      <c r="M800" s="132"/>
      <c r="N800" s="132"/>
      <c r="O800" s="132"/>
      <c r="P800" s="132"/>
      <c r="Q800" s="132"/>
      <c r="R800" s="132"/>
      <c r="S800" s="132"/>
      <c r="T800" s="132"/>
      <c r="U800" s="132"/>
      <c r="V800" s="132"/>
      <c r="W800" s="132"/>
      <c r="X800" s="132"/>
      <c r="Y800" s="132"/>
      <c r="Z800" s="132"/>
    </row>
    <row r="801" spans="1:26" ht="11.25" customHeight="1" x14ac:dyDescent="0.3">
      <c r="A801" s="132"/>
      <c r="B801" s="132"/>
      <c r="C801" s="132"/>
      <c r="D801" s="132"/>
      <c r="E801" s="132"/>
      <c r="F801" s="132"/>
      <c r="G801" s="132"/>
      <c r="H801" s="132"/>
      <c r="I801" s="132"/>
      <c r="J801" s="132"/>
      <c r="K801" s="132"/>
      <c r="L801" s="132"/>
      <c r="M801" s="132"/>
      <c r="N801" s="132"/>
      <c r="O801" s="132"/>
      <c r="P801" s="132"/>
      <c r="Q801" s="132"/>
      <c r="R801" s="132"/>
      <c r="S801" s="132"/>
      <c r="T801" s="132"/>
      <c r="U801" s="132"/>
      <c r="V801" s="132"/>
      <c r="W801" s="132"/>
      <c r="X801" s="132"/>
      <c r="Y801" s="132"/>
      <c r="Z801" s="132"/>
    </row>
    <row r="802" spans="1:26" ht="11.25" customHeight="1" x14ac:dyDescent="0.3">
      <c r="A802" s="132"/>
      <c r="B802" s="132"/>
      <c r="C802" s="132"/>
      <c r="D802" s="132"/>
      <c r="E802" s="132"/>
      <c r="F802" s="132"/>
      <c r="G802" s="132"/>
      <c r="H802" s="132"/>
      <c r="I802" s="132"/>
      <c r="J802" s="132"/>
      <c r="K802" s="132"/>
      <c r="L802" s="132"/>
      <c r="M802" s="132"/>
      <c r="N802" s="132"/>
      <c r="O802" s="132"/>
      <c r="P802" s="132"/>
      <c r="Q802" s="132"/>
      <c r="R802" s="132"/>
      <c r="S802" s="132"/>
      <c r="T802" s="132"/>
      <c r="U802" s="132"/>
      <c r="V802" s="132"/>
      <c r="W802" s="132"/>
      <c r="X802" s="132"/>
      <c r="Y802" s="132"/>
      <c r="Z802" s="132"/>
    </row>
    <row r="803" spans="1:26" ht="11.25" customHeight="1" x14ac:dyDescent="0.3">
      <c r="A803" s="132"/>
      <c r="B803" s="132"/>
      <c r="C803" s="132"/>
      <c r="D803" s="132"/>
      <c r="E803" s="132"/>
      <c r="F803" s="132"/>
      <c r="G803" s="132"/>
      <c r="H803" s="132"/>
      <c r="I803" s="132"/>
      <c r="J803" s="132"/>
      <c r="K803" s="132"/>
      <c r="L803" s="132"/>
      <c r="M803" s="132"/>
      <c r="N803" s="132"/>
      <c r="O803" s="132"/>
      <c r="P803" s="132"/>
      <c r="Q803" s="132"/>
      <c r="R803" s="132"/>
      <c r="S803" s="132"/>
      <c r="T803" s="132"/>
      <c r="U803" s="132"/>
      <c r="V803" s="132"/>
      <c r="W803" s="132"/>
      <c r="X803" s="132"/>
      <c r="Y803" s="132"/>
      <c r="Z803" s="132"/>
    </row>
    <row r="804" spans="1:26" ht="11.25" customHeight="1" x14ac:dyDescent="0.3">
      <c r="A804" s="132"/>
      <c r="B804" s="132"/>
      <c r="C804" s="132"/>
      <c r="D804" s="132"/>
      <c r="E804" s="132"/>
      <c r="F804" s="132"/>
      <c r="G804" s="132"/>
      <c r="H804" s="132"/>
      <c r="I804" s="132"/>
      <c r="J804" s="132"/>
      <c r="K804" s="132"/>
      <c r="L804" s="132"/>
      <c r="M804" s="132"/>
      <c r="N804" s="132"/>
      <c r="O804" s="132"/>
      <c r="P804" s="132"/>
      <c r="Q804" s="132"/>
      <c r="R804" s="132"/>
      <c r="S804" s="132"/>
      <c r="T804" s="132"/>
      <c r="U804" s="132"/>
      <c r="V804" s="132"/>
      <c r="W804" s="132"/>
      <c r="X804" s="132"/>
      <c r="Y804" s="132"/>
      <c r="Z804" s="132"/>
    </row>
    <row r="805" spans="1:26" ht="11.25" customHeight="1" x14ac:dyDescent="0.3">
      <c r="A805" s="132"/>
      <c r="B805" s="132"/>
      <c r="C805" s="132"/>
      <c r="D805" s="132"/>
      <c r="E805" s="132"/>
      <c r="F805" s="132"/>
      <c r="G805" s="132"/>
      <c r="H805" s="132"/>
      <c r="I805" s="132"/>
      <c r="J805" s="132"/>
      <c r="K805" s="132"/>
      <c r="L805" s="132"/>
      <c r="M805" s="132"/>
      <c r="N805" s="132"/>
      <c r="O805" s="132"/>
      <c r="P805" s="132"/>
      <c r="Q805" s="132"/>
      <c r="R805" s="132"/>
      <c r="S805" s="132"/>
      <c r="T805" s="132"/>
      <c r="U805" s="132"/>
      <c r="V805" s="132"/>
      <c r="W805" s="132"/>
      <c r="X805" s="132"/>
      <c r="Y805" s="132"/>
      <c r="Z805" s="132"/>
    </row>
    <row r="806" spans="1:26" ht="11.25" customHeight="1" x14ac:dyDescent="0.3">
      <c r="A806" s="132"/>
      <c r="B806" s="132"/>
      <c r="C806" s="132"/>
      <c r="D806" s="132"/>
      <c r="E806" s="132"/>
      <c r="F806" s="132"/>
      <c r="G806" s="132"/>
      <c r="H806" s="132"/>
      <c r="I806" s="132"/>
      <c r="J806" s="132"/>
      <c r="K806" s="132"/>
      <c r="L806" s="132"/>
      <c r="M806" s="132"/>
      <c r="N806" s="132"/>
      <c r="O806" s="132"/>
      <c r="P806" s="132"/>
      <c r="Q806" s="132"/>
      <c r="R806" s="132"/>
      <c r="S806" s="132"/>
      <c r="T806" s="132"/>
      <c r="U806" s="132"/>
      <c r="V806" s="132"/>
      <c r="W806" s="132"/>
      <c r="X806" s="132"/>
      <c r="Y806" s="132"/>
      <c r="Z806" s="132"/>
    </row>
    <row r="807" spans="1:26" ht="11.25" customHeight="1" x14ac:dyDescent="0.3">
      <c r="A807" s="132"/>
      <c r="B807" s="132"/>
      <c r="C807" s="132"/>
      <c r="D807" s="132"/>
      <c r="E807" s="132"/>
      <c r="F807" s="132"/>
      <c r="G807" s="132"/>
      <c r="H807" s="132"/>
      <c r="I807" s="132"/>
      <c r="J807" s="132"/>
      <c r="K807" s="132"/>
      <c r="L807" s="132"/>
      <c r="M807" s="132"/>
      <c r="N807" s="132"/>
      <c r="O807" s="132"/>
      <c r="P807" s="132"/>
      <c r="Q807" s="132"/>
      <c r="R807" s="132"/>
      <c r="S807" s="132"/>
      <c r="T807" s="132"/>
      <c r="U807" s="132"/>
      <c r="V807" s="132"/>
      <c r="W807" s="132"/>
      <c r="X807" s="132"/>
      <c r="Y807" s="132"/>
      <c r="Z807" s="132"/>
    </row>
    <row r="808" spans="1:26" ht="11.25" customHeight="1" x14ac:dyDescent="0.3">
      <c r="A808" s="132"/>
      <c r="B808" s="132"/>
      <c r="C808" s="132"/>
      <c r="D808" s="132"/>
      <c r="E808" s="132"/>
      <c r="F808" s="132"/>
      <c r="G808" s="132"/>
      <c r="H808" s="132"/>
      <c r="I808" s="132"/>
      <c r="J808" s="132"/>
      <c r="K808" s="132"/>
      <c r="L808" s="132"/>
      <c r="M808" s="132"/>
      <c r="N808" s="132"/>
      <c r="O808" s="132"/>
      <c r="P808" s="132"/>
      <c r="Q808" s="132"/>
      <c r="R808" s="132"/>
      <c r="S808" s="132"/>
      <c r="T808" s="132"/>
      <c r="U808" s="132"/>
      <c r="V808" s="132"/>
      <c r="W808" s="132"/>
      <c r="X808" s="132"/>
      <c r="Y808" s="132"/>
      <c r="Z808" s="132"/>
    </row>
    <row r="809" spans="1:26" ht="11.25" customHeight="1" x14ac:dyDescent="0.3">
      <c r="A809" s="132"/>
      <c r="B809" s="132"/>
      <c r="C809" s="132"/>
      <c r="D809" s="132"/>
      <c r="E809" s="132"/>
      <c r="F809" s="132"/>
      <c r="G809" s="132"/>
      <c r="H809" s="132"/>
      <c r="I809" s="132"/>
      <c r="J809" s="132"/>
      <c r="K809" s="132"/>
      <c r="L809" s="132"/>
      <c r="M809" s="132"/>
      <c r="N809" s="132"/>
      <c r="O809" s="132"/>
      <c r="P809" s="132"/>
      <c r="Q809" s="132"/>
      <c r="R809" s="132"/>
      <c r="S809" s="132"/>
      <c r="T809" s="132"/>
      <c r="U809" s="132"/>
      <c r="V809" s="132"/>
      <c r="W809" s="132"/>
      <c r="X809" s="132"/>
      <c r="Y809" s="132"/>
      <c r="Z809" s="132"/>
    </row>
    <row r="810" spans="1:26" ht="11.25" customHeight="1" x14ac:dyDescent="0.3">
      <c r="A810" s="132"/>
      <c r="B810" s="132"/>
      <c r="C810" s="132"/>
      <c r="D810" s="132"/>
      <c r="E810" s="132"/>
      <c r="F810" s="132"/>
      <c r="G810" s="132"/>
      <c r="H810" s="132"/>
      <c r="I810" s="132"/>
      <c r="J810" s="132"/>
      <c r="K810" s="132"/>
      <c r="L810" s="132"/>
      <c r="M810" s="132"/>
      <c r="N810" s="132"/>
      <c r="O810" s="132"/>
      <c r="P810" s="132"/>
      <c r="Q810" s="132"/>
      <c r="R810" s="132"/>
      <c r="S810" s="132"/>
      <c r="T810" s="132"/>
      <c r="U810" s="132"/>
      <c r="V810" s="132"/>
      <c r="W810" s="132"/>
      <c r="X810" s="132"/>
      <c r="Y810" s="132"/>
      <c r="Z810" s="132"/>
    </row>
    <row r="811" spans="1:26" ht="11.25" customHeight="1" x14ac:dyDescent="0.3">
      <c r="A811" s="132"/>
      <c r="B811" s="132"/>
      <c r="C811" s="132"/>
      <c r="D811" s="132"/>
      <c r="E811" s="132"/>
      <c r="F811" s="132"/>
      <c r="G811" s="132"/>
      <c r="H811" s="132"/>
      <c r="I811" s="132"/>
      <c r="J811" s="132"/>
      <c r="K811" s="132"/>
      <c r="L811" s="132"/>
      <c r="M811" s="132"/>
      <c r="N811" s="132"/>
      <c r="O811" s="132"/>
      <c r="P811" s="132"/>
      <c r="Q811" s="132"/>
      <c r="R811" s="132"/>
      <c r="S811" s="132"/>
      <c r="T811" s="132"/>
      <c r="U811" s="132"/>
      <c r="V811" s="132"/>
      <c r="W811" s="132"/>
      <c r="X811" s="132"/>
      <c r="Y811" s="132"/>
      <c r="Z811" s="132"/>
    </row>
    <row r="812" spans="1:26" ht="11.25" customHeight="1" x14ac:dyDescent="0.3">
      <c r="A812" s="132"/>
      <c r="B812" s="132"/>
      <c r="C812" s="132"/>
      <c r="D812" s="132"/>
      <c r="E812" s="132"/>
      <c r="F812" s="132"/>
      <c r="G812" s="132"/>
      <c r="H812" s="132"/>
      <c r="I812" s="132"/>
      <c r="J812" s="132"/>
      <c r="K812" s="132"/>
      <c r="L812" s="132"/>
      <c r="M812" s="132"/>
      <c r="N812" s="132"/>
      <c r="O812" s="132"/>
      <c r="P812" s="132"/>
      <c r="Q812" s="132"/>
      <c r="R812" s="132"/>
      <c r="S812" s="132"/>
      <c r="T812" s="132"/>
      <c r="U812" s="132"/>
      <c r="V812" s="132"/>
      <c r="W812" s="132"/>
      <c r="X812" s="132"/>
      <c r="Y812" s="132"/>
      <c r="Z812" s="132"/>
    </row>
    <row r="813" spans="1:26" ht="11.25" customHeight="1" x14ac:dyDescent="0.3">
      <c r="A813" s="132"/>
      <c r="B813" s="132"/>
      <c r="C813" s="132"/>
      <c r="D813" s="132"/>
      <c r="E813" s="132"/>
      <c r="F813" s="132"/>
      <c r="G813" s="132"/>
      <c r="H813" s="132"/>
      <c r="I813" s="132"/>
      <c r="J813" s="132"/>
      <c r="K813" s="132"/>
      <c r="L813" s="132"/>
      <c r="M813" s="132"/>
      <c r="N813" s="132"/>
      <c r="O813" s="132"/>
      <c r="P813" s="132"/>
      <c r="Q813" s="132"/>
      <c r="R813" s="132"/>
      <c r="S813" s="132"/>
      <c r="T813" s="132"/>
      <c r="U813" s="132"/>
      <c r="V813" s="132"/>
      <c r="W813" s="132"/>
      <c r="X813" s="132"/>
      <c r="Y813" s="132"/>
      <c r="Z813" s="132"/>
    </row>
    <row r="814" spans="1:26" ht="11.25" customHeight="1" x14ac:dyDescent="0.3">
      <c r="A814" s="132"/>
      <c r="B814" s="132"/>
      <c r="C814" s="132"/>
      <c r="D814" s="132"/>
      <c r="E814" s="132"/>
      <c r="F814" s="132"/>
      <c r="G814" s="132"/>
      <c r="H814" s="132"/>
      <c r="I814" s="132"/>
      <c r="J814" s="132"/>
      <c r="K814" s="132"/>
      <c r="L814" s="132"/>
      <c r="M814" s="132"/>
      <c r="N814" s="132"/>
      <c r="O814" s="132"/>
      <c r="P814" s="132"/>
      <c r="Q814" s="132"/>
      <c r="R814" s="132"/>
      <c r="S814" s="132"/>
      <c r="T814" s="132"/>
      <c r="U814" s="132"/>
      <c r="V814" s="132"/>
      <c r="W814" s="132"/>
      <c r="X814" s="132"/>
      <c r="Y814" s="132"/>
      <c r="Z814" s="132"/>
    </row>
    <row r="815" spans="1:26" ht="11.25" customHeight="1" x14ac:dyDescent="0.3">
      <c r="A815" s="132"/>
      <c r="B815" s="132"/>
      <c r="C815" s="132"/>
      <c r="D815" s="132"/>
      <c r="E815" s="132"/>
      <c r="F815" s="132"/>
      <c r="G815" s="132"/>
      <c r="H815" s="132"/>
      <c r="I815" s="132"/>
      <c r="J815" s="132"/>
      <c r="K815" s="132"/>
      <c r="L815" s="132"/>
      <c r="M815" s="132"/>
      <c r="N815" s="132"/>
      <c r="O815" s="132"/>
      <c r="P815" s="132"/>
      <c r="Q815" s="132"/>
      <c r="R815" s="132"/>
      <c r="S815" s="132"/>
      <c r="T815" s="132"/>
      <c r="U815" s="132"/>
      <c r="V815" s="132"/>
      <c r="W815" s="132"/>
      <c r="X815" s="132"/>
      <c r="Y815" s="132"/>
      <c r="Z815" s="132"/>
    </row>
    <row r="816" spans="1:26" ht="11.25" customHeight="1" x14ac:dyDescent="0.3">
      <c r="A816" s="132"/>
      <c r="B816" s="132"/>
      <c r="C816" s="132"/>
      <c r="D816" s="132"/>
      <c r="E816" s="132"/>
      <c r="F816" s="132"/>
      <c r="G816" s="132"/>
      <c r="H816" s="132"/>
      <c r="I816" s="132"/>
      <c r="J816" s="132"/>
      <c r="K816" s="132"/>
      <c r="L816" s="132"/>
      <c r="M816" s="132"/>
      <c r="N816" s="132"/>
      <c r="O816" s="132"/>
      <c r="P816" s="132"/>
      <c r="Q816" s="132"/>
      <c r="R816" s="132"/>
      <c r="S816" s="132"/>
      <c r="T816" s="132"/>
      <c r="U816" s="132"/>
      <c r="V816" s="132"/>
      <c r="W816" s="132"/>
      <c r="X816" s="132"/>
      <c r="Y816" s="132"/>
      <c r="Z816" s="132"/>
    </row>
    <row r="817" spans="1:26" ht="11.25" customHeight="1" x14ac:dyDescent="0.3">
      <c r="A817" s="132"/>
      <c r="B817" s="132"/>
      <c r="C817" s="132"/>
      <c r="D817" s="132"/>
      <c r="E817" s="132"/>
      <c r="F817" s="132"/>
      <c r="G817" s="132"/>
      <c r="H817" s="132"/>
      <c r="I817" s="132"/>
      <c r="J817" s="132"/>
      <c r="K817" s="132"/>
      <c r="L817" s="132"/>
      <c r="M817" s="132"/>
      <c r="N817" s="132"/>
      <c r="O817" s="132"/>
      <c r="P817" s="132"/>
      <c r="Q817" s="132"/>
      <c r="R817" s="132"/>
      <c r="S817" s="132"/>
      <c r="T817" s="132"/>
      <c r="U817" s="132"/>
      <c r="V817" s="132"/>
      <c r="W817" s="132"/>
      <c r="X817" s="132"/>
      <c r="Y817" s="132"/>
      <c r="Z817" s="132"/>
    </row>
    <row r="818" spans="1:26" ht="11.25" customHeight="1" x14ac:dyDescent="0.3">
      <c r="A818" s="132"/>
      <c r="B818" s="132"/>
      <c r="C818" s="132"/>
      <c r="D818" s="132"/>
      <c r="E818" s="132"/>
      <c r="F818" s="132"/>
      <c r="G818" s="132"/>
      <c r="H818" s="132"/>
      <c r="I818" s="132"/>
      <c r="J818" s="132"/>
      <c r="K818" s="132"/>
      <c r="L818" s="132"/>
      <c r="M818" s="132"/>
      <c r="N818" s="132"/>
      <c r="O818" s="132"/>
      <c r="P818" s="132"/>
      <c r="Q818" s="132"/>
      <c r="R818" s="132"/>
      <c r="S818" s="132"/>
      <c r="T818" s="132"/>
      <c r="U818" s="132"/>
      <c r="V818" s="132"/>
      <c r="W818" s="132"/>
      <c r="X818" s="132"/>
      <c r="Y818" s="132"/>
      <c r="Z818" s="132"/>
    </row>
    <row r="819" spans="1:26" ht="11.25" customHeight="1" x14ac:dyDescent="0.3">
      <c r="A819" s="132"/>
      <c r="B819" s="132"/>
      <c r="C819" s="132"/>
      <c r="D819" s="132"/>
      <c r="E819" s="132"/>
      <c r="F819" s="132"/>
      <c r="G819" s="132"/>
      <c r="H819" s="132"/>
      <c r="I819" s="132"/>
      <c r="J819" s="132"/>
      <c r="K819" s="132"/>
      <c r="L819" s="132"/>
      <c r="M819" s="132"/>
      <c r="N819" s="132"/>
      <c r="O819" s="132"/>
      <c r="P819" s="132"/>
      <c r="Q819" s="132"/>
      <c r="R819" s="132"/>
      <c r="S819" s="132"/>
      <c r="T819" s="132"/>
      <c r="U819" s="132"/>
      <c r="V819" s="132"/>
      <c r="W819" s="132"/>
      <c r="X819" s="132"/>
      <c r="Y819" s="132"/>
      <c r="Z819" s="132"/>
    </row>
    <row r="820" spans="1:26" ht="11.25" customHeight="1" x14ac:dyDescent="0.3">
      <c r="A820" s="132"/>
      <c r="B820" s="132"/>
      <c r="C820" s="132"/>
      <c r="D820" s="132"/>
      <c r="E820" s="132"/>
      <c r="F820" s="132"/>
      <c r="G820" s="132"/>
      <c r="H820" s="132"/>
      <c r="I820" s="132"/>
      <c r="J820" s="132"/>
      <c r="K820" s="132"/>
      <c r="L820" s="132"/>
      <c r="M820" s="132"/>
      <c r="N820" s="132"/>
      <c r="O820" s="132"/>
      <c r="P820" s="132"/>
      <c r="Q820" s="132"/>
      <c r="R820" s="132"/>
      <c r="S820" s="132"/>
      <c r="T820" s="132"/>
      <c r="U820" s="132"/>
      <c r="V820" s="132"/>
      <c r="W820" s="132"/>
      <c r="X820" s="132"/>
      <c r="Y820" s="132"/>
      <c r="Z820" s="132"/>
    </row>
    <row r="821" spans="1:26" ht="11.25" customHeight="1" x14ac:dyDescent="0.3">
      <c r="A821" s="132"/>
      <c r="B821" s="132"/>
      <c r="C821" s="132"/>
      <c r="D821" s="132"/>
      <c r="E821" s="132"/>
      <c r="F821" s="132"/>
      <c r="G821" s="132"/>
      <c r="H821" s="132"/>
      <c r="I821" s="132"/>
      <c r="J821" s="132"/>
      <c r="K821" s="132"/>
      <c r="L821" s="132"/>
      <c r="M821" s="132"/>
      <c r="N821" s="132"/>
      <c r="O821" s="132"/>
      <c r="P821" s="132"/>
      <c r="Q821" s="132"/>
      <c r="R821" s="132"/>
      <c r="S821" s="132"/>
      <c r="T821" s="132"/>
      <c r="U821" s="132"/>
      <c r="V821" s="132"/>
      <c r="W821" s="132"/>
      <c r="X821" s="132"/>
      <c r="Y821" s="132"/>
      <c r="Z821" s="132"/>
    </row>
    <row r="822" spans="1:26" ht="11.25" customHeight="1" x14ac:dyDescent="0.3">
      <c r="A822" s="132"/>
      <c r="B822" s="132"/>
      <c r="C822" s="132"/>
      <c r="D822" s="132"/>
      <c r="E822" s="132"/>
      <c r="F822" s="132"/>
      <c r="G822" s="132"/>
      <c r="H822" s="132"/>
      <c r="I822" s="132"/>
      <c r="J822" s="132"/>
      <c r="K822" s="132"/>
      <c r="L822" s="132"/>
      <c r="M822" s="132"/>
      <c r="N822" s="132"/>
      <c r="O822" s="132"/>
      <c r="P822" s="132"/>
      <c r="Q822" s="132"/>
      <c r="R822" s="132"/>
      <c r="S822" s="132"/>
      <c r="T822" s="132"/>
      <c r="U822" s="132"/>
      <c r="V822" s="132"/>
      <c r="W822" s="132"/>
      <c r="X822" s="132"/>
      <c r="Y822" s="132"/>
      <c r="Z822" s="132"/>
    </row>
    <row r="823" spans="1:26" ht="11.25" customHeight="1" x14ac:dyDescent="0.3">
      <c r="A823" s="132"/>
      <c r="B823" s="132"/>
      <c r="C823" s="132"/>
      <c r="D823" s="132"/>
      <c r="E823" s="132"/>
      <c r="F823" s="132"/>
      <c r="G823" s="132"/>
      <c r="H823" s="132"/>
      <c r="I823" s="132"/>
      <c r="J823" s="132"/>
      <c r="K823" s="132"/>
      <c r="L823" s="132"/>
      <c r="M823" s="132"/>
      <c r="N823" s="132"/>
      <c r="O823" s="132"/>
      <c r="P823" s="132"/>
      <c r="Q823" s="132"/>
      <c r="R823" s="132"/>
      <c r="S823" s="132"/>
      <c r="T823" s="132"/>
      <c r="U823" s="132"/>
      <c r="V823" s="132"/>
      <c r="W823" s="132"/>
      <c r="X823" s="132"/>
      <c r="Y823" s="132"/>
      <c r="Z823" s="132"/>
    </row>
    <row r="824" spans="1:26" ht="11.25" customHeight="1" x14ac:dyDescent="0.3">
      <c r="A824" s="132"/>
      <c r="B824" s="132"/>
      <c r="C824" s="132"/>
      <c r="D824" s="132"/>
      <c r="E824" s="132"/>
      <c r="F824" s="132"/>
      <c r="G824" s="132"/>
      <c r="H824" s="132"/>
      <c r="I824" s="132"/>
      <c r="J824" s="132"/>
      <c r="K824" s="132"/>
      <c r="L824" s="132"/>
      <c r="M824" s="132"/>
      <c r="N824" s="132"/>
      <c r="O824" s="132"/>
      <c r="P824" s="132"/>
      <c r="Q824" s="132"/>
      <c r="R824" s="132"/>
      <c r="S824" s="132"/>
      <c r="T824" s="132"/>
      <c r="U824" s="132"/>
      <c r="V824" s="132"/>
      <c r="W824" s="132"/>
      <c r="X824" s="132"/>
      <c r="Y824" s="132"/>
      <c r="Z824" s="132"/>
    </row>
    <row r="825" spans="1:26" ht="11.25" customHeight="1" x14ac:dyDescent="0.3">
      <c r="A825" s="132"/>
      <c r="B825" s="132"/>
      <c r="C825" s="132"/>
      <c r="D825" s="132"/>
      <c r="E825" s="132"/>
      <c r="F825" s="132"/>
      <c r="G825" s="132"/>
      <c r="H825" s="132"/>
      <c r="I825" s="132"/>
      <c r="J825" s="132"/>
      <c r="K825" s="132"/>
      <c r="L825" s="132"/>
      <c r="M825" s="132"/>
      <c r="N825" s="132"/>
      <c r="O825" s="132"/>
      <c r="P825" s="132"/>
      <c r="Q825" s="132"/>
      <c r="R825" s="132"/>
      <c r="S825" s="132"/>
      <c r="T825" s="132"/>
      <c r="U825" s="132"/>
      <c r="V825" s="132"/>
      <c r="W825" s="132"/>
      <c r="X825" s="132"/>
      <c r="Y825" s="132"/>
      <c r="Z825" s="132"/>
    </row>
    <row r="826" spans="1:26" ht="11.25" customHeight="1" x14ac:dyDescent="0.3">
      <c r="A826" s="132"/>
      <c r="B826" s="132"/>
      <c r="C826" s="132"/>
      <c r="D826" s="132"/>
      <c r="E826" s="132"/>
      <c r="F826" s="132"/>
      <c r="G826" s="132"/>
      <c r="H826" s="132"/>
      <c r="I826" s="132"/>
      <c r="J826" s="132"/>
      <c r="K826" s="132"/>
      <c r="L826" s="132"/>
      <c r="M826" s="132"/>
      <c r="N826" s="132"/>
      <c r="O826" s="132"/>
      <c r="P826" s="132"/>
      <c r="Q826" s="132"/>
      <c r="R826" s="132"/>
      <c r="S826" s="132"/>
      <c r="T826" s="132"/>
      <c r="U826" s="132"/>
      <c r="V826" s="132"/>
      <c r="W826" s="132"/>
      <c r="X826" s="132"/>
      <c r="Y826" s="132"/>
      <c r="Z826" s="132"/>
    </row>
    <row r="827" spans="1:26" ht="11.25" customHeight="1" x14ac:dyDescent="0.3">
      <c r="A827" s="132"/>
      <c r="B827" s="132"/>
      <c r="C827" s="132"/>
      <c r="D827" s="132"/>
      <c r="E827" s="132"/>
      <c r="F827" s="132"/>
      <c r="G827" s="132"/>
      <c r="H827" s="132"/>
      <c r="I827" s="132"/>
      <c r="J827" s="132"/>
      <c r="K827" s="132"/>
      <c r="L827" s="132"/>
      <c r="M827" s="132"/>
      <c r="N827" s="132"/>
      <c r="O827" s="132"/>
      <c r="P827" s="132"/>
      <c r="Q827" s="132"/>
      <c r="R827" s="132"/>
      <c r="S827" s="132"/>
      <c r="T827" s="132"/>
      <c r="U827" s="132"/>
      <c r="V827" s="132"/>
      <c r="W827" s="132"/>
      <c r="X827" s="132"/>
      <c r="Y827" s="132"/>
      <c r="Z827" s="132"/>
    </row>
    <row r="828" spans="1:26" ht="11.25" customHeight="1" x14ac:dyDescent="0.3">
      <c r="A828" s="132"/>
      <c r="B828" s="132"/>
      <c r="C828" s="132"/>
      <c r="D828" s="132"/>
      <c r="E828" s="132"/>
      <c r="F828" s="132"/>
      <c r="G828" s="132"/>
      <c r="H828" s="132"/>
      <c r="I828" s="132"/>
      <c r="J828" s="132"/>
      <c r="K828" s="132"/>
      <c r="L828" s="132"/>
      <c r="M828" s="132"/>
      <c r="N828" s="132"/>
      <c r="O828" s="132"/>
      <c r="P828" s="132"/>
      <c r="Q828" s="132"/>
      <c r="R828" s="132"/>
      <c r="S828" s="132"/>
      <c r="T828" s="132"/>
      <c r="U828" s="132"/>
      <c r="V828" s="132"/>
      <c r="W828" s="132"/>
      <c r="X828" s="132"/>
      <c r="Y828" s="132"/>
      <c r="Z828" s="132"/>
    </row>
    <row r="829" spans="1:26" ht="11.25" customHeight="1" x14ac:dyDescent="0.3">
      <c r="A829" s="132"/>
      <c r="B829" s="132"/>
      <c r="C829" s="132"/>
      <c r="D829" s="132"/>
      <c r="E829" s="132"/>
      <c r="F829" s="132"/>
      <c r="G829" s="132"/>
      <c r="H829" s="132"/>
      <c r="I829" s="132"/>
      <c r="J829" s="132"/>
      <c r="K829" s="132"/>
      <c r="L829" s="132"/>
      <c r="M829" s="132"/>
      <c r="N829" s="132"/>
      <c r="O829" s="132"/>
      <c r="P829" s="132"/>
      <c r="Q829" s="132"/>
      <c r="R829" s="132"/>
      <c r="S829" s="132"/>
      <c r="T829" s="132"/>
      <c r="U829" s="132"/>
      <c r="V829" s="132"/>
      <c r="W829" s="132"/>
      <c r="X829" s="132"/>
      <c r="Y829" s="132"/>
      <c r="Z829" s="132"/>
    </row>
    <row r="830" spans="1:26" ht="11.25" customHeight="1" x14ac:dyDescent="0.3">
      <c r="A830" s="132"/>
      <c r="B830" s="132"/>
      <c r="C830" s="132"/>
      <c r="D830" s="132"/>
      <c r="E830" s="132"/>
      <c r="F830" s="132"/>
      <c r="G830" s="132"/>
      <c r="H830" s="132"/>
      <c r="I830" s="132"/>
      <c r="J830" s="132"/>
      <c r="K830" s="132"/>
      <c r="L830" s="132"/>
      <c r="M830" s="132"/>
      <c r="N830" s="132"/>
      <c r="O830" s="132"/>
      <c r="P830" s="132"/>
      <c r="Q830" s="132"/>
      <c r="R830" s="132"/>
      <c r="S830" s="132"/>
      <c r="T830" s="132"/>
      <c r="U830" s="132"/>
      <c r="V830" s="132"/>
      <c r="W830" s="132"/>
      <c r="X830" s="132"/>
      <c r="Y830" s="132"/>
      <c r="Z830" s="132"/>
    </row>
    <row r="831" spans="1:26" ht="11.25" customHeight="1" x14ac:dyDescent="0.3">
      <c r="A831" s="132"/>
      <c r="B831" s="132"/>
      <c r="C831" s="132"/>
      <c r="D831" s="132"/>
      <c r="E831" s="132"/>
      <c r="F831" s="132"/>
      <c r="G831" s="132"/>
      <c r="H831" s="132"/>
      <c r="I831" s="132"/>
      <c r="J831" s="132"/>
      <c r="K831" s="132"/>
      <c r="L831" s="132"/>
      <c r="M831" s="132"/>
      <c r="N831" s="132"/>
      <c r="O831" s="132"/>
      <c r="P831" s="132"/>
      <c r="Q831" s="132"/>
      <c r="R831" s="132"/>
      <c r="S831" s="132"/>
      <c r="T831" s="132"/>
      <c r="U831" s="132"/>
      <c r="V831" s="132"/>
      <c r="W831" s="132"/>
      <c r="X831" s="132"/>
      <c r="Y831" s="132"/>
      <c r="Z831" s="132"/>
    </row>
    <row r="832" spans="1:26" ht="11.25" customHeight="1" x14ac:dyDescent="0.3">
      <c r="A832" s="132"/>
      <c r="B832" s="132"/>
      <c r="C832" s="132"/>
      <c r="D832" s="132"/>
      <c r="E832" s="132"/>
      <c r="F832" s="132"/>
      <c r="G832" s="132"/>
      <c r="H832" s="132"/>
      <c r="I832" s="132"/>
      <c r="J832" s="132"/>
      <c r="K832" s="132"/>
      <c r="L832" s="132"/>
      <c r="M832" s="132"/>
      <c r="N832" s="132"/>
      <c r="O832" s="132"/>
      <c r="P832" s="132"/>
      <c r="Q832" s="132"/>
      <c r="R832" s="132"/>
      <c r="S832" s="132"/>
      <c r="T832" s="132"/>
      <c r="U832" s="132"/>
      <c r="V832" s="132"/>
      <c r="W832" s="132"/>
      <c r="X832" s="132"/>
      <c r="Y832" s="132"/>
      <c r="Z832" s="132"/>
    </row>
    <row r="833" spans="1:26" ht="11.25" customHeight="1" x14ac:dyDescent="0.3">
      <c r="A833" s="132"/>
      <c r="B833" s="132"/>
      <c r="C833" s="132"/>
      <c r="D833" s="132"/>
      <c r="E833" s="132"/>
      <c r="F833" s="132"/>
      <c r="G833" s="132"/>
      <c r="H833" s="132"/>
      <c r="I833" s="132"/>
      <c r="J833" s="132"/>
      <c r="K833" s="132"/>
      <c r="L833" s="132"/>
      <c r="M833" s="132"/>
      <c r="N833" s="132"/>
      <c r="O833" s="132"/>
      <c r="P833" s="132"/>
      <c r="Q833" s="132"/>
      <c r="R833" s="132"/>
      <c r="S833" s="132"/>
      <c r="T833" s="132"/>
      <c r="U833" s="132"/>
      <c r="V833" s="132"/>
      <c r="W833" s="132"/>
      <c r="X833" s="132"/>
      <c r="Y833" s="132"/>
      <c r="Z833" s="132"/>
    </row>
    <row r="834" spans="1:26" ht="11.25" customHeight="1" x14ac:dyDescent="0.3">
      <c r="A834" s="132"/>
      <c r="B834" s="132"/>
      <c r="C834" s="132"/>
      <c r="D834" s="132"/>
      <c r="E834" s="132"/>
      <c r="F834" s="132"/>
      <c r="G834" s="132"/>
      <c r="H834" s="132"/>
      <c r="I834" s="132"/>
      <c r="J834" s="132"/>
      <c r="K834" s="132"/>
      <c r="L834" s="132"/>
      <c r="M834" s="132"/>
      <c r="N834" s="132"/>
      <c r="O834" s="132"/>
      <c r="P834" s="132"/>
      <c r="Q834" s="132"/>
      <c r="R834" s="132"/>
      <c r="S834" s="132"/>
      <c r="T834" s="132"/>
      <c r="U834" s="132"/>
      <c r="V834" s="132"/>
      <c r="W834" s="132"/>
      <c r="X834" s="132"/>
      <c r="Y834" s="132"/>
      <c r="Z834" s="132"/>
    </row>
    <row r="835" spans="1:26" ht="11.25" customHeight="1" x14ac:dyDescent="0.3">
      <c r="A835" s="132"/>
      <c r="B835" s="132"/>
      <c r="C835" s="132"/>
      <c r="D835" s="132"/>
      <c r="E835" s="132"/>
      <c r="F835" s="132"/>
      <c r="G835" s="132"/>
      <c r="H835" s="132"/>
      <c r="I835" s="132"/>
      <c r="J835" s="132"/>
      <c r="K835" s="132"/>
      <c r="L835" s="132"/>
      <c r="M835" s="132"/>
      <c r="N835" s="132"/>
      <c r="O835" s="132"/>
      <c r="P835" s="132"/>
      <c r="Q835" s="132"/>
      <c r="R835" s="132"/>
      <c r="S835" s="132"/>
      <c r="T835" s="132"/>
      <c r="U835" s="132"/>
      <c r="V835" s="132"/>
      <c r="W835" s="132"/>
      <c r="X835" s="132"/>
      <c r="Y835" s="132"/>
      <c r="Z835" s="132"/>
    </row>
    <row r="836" spans="1:26" ht="11.25" customHeight="1" x14ac:dyDescent="0.3">
      <c r="A836" s="132"/>
      <c r="B836" s="132"/>
      <c r="C836" s="132"/>
      <c r="D836" s="132"/>
      <c r="E836" s="132"/>
      <c r="F836" s="132"/>
      <c r="G836" s="132"/>
      <c r="H836" s="132"/>
      <c r="I836" s="132"/>
      <c r="J836" s="132"/>
      <c r="K836" s="132"/>
      <c r="L836" s="132"/>
      <c r="M836" s="132"/>
      <c r="N836" s="132"/>
      <c r="O836" s="132"/>
      <c r="P836" s="132"/>
      <c r="Q836" s="132"/>
      <c r="R836" s="132"/>
      <c r="S836" s="132"/>
      <c r="T836" s="132"/>
      <c r="U836" s="132"/>
      <c r="V836" s="132"/>
      <c r="W836" s="132"/>
      <c r="X836" s="132"/>
      <c r="Y836" s="132"/>
      <c r="Z836" s="132"/>
    </row>
    <row r="837" spans="1:26" ht="11.25" customHeight="1" x14ac:dyDescent="0.3">
      <c r="A837" s="132"/>
      <c r="B837" s="132"/>
      <c r="C837" s="132"/>
      <c r="D837" s="132"/>
      <c r="E837" s="132"/>
      <c r="F837" s="132"/>
      <c r="G837" s="132"/>
      <c r="H837" s="132"/>
      <c r="I837" s="132"/>
      <c r="J837" s="132"/>
      <c r="K837" s="132"/>
      <c r="L837" s="132"/>
      <c r="M837" s="132"/>
      <c r="N837" s="132"/>
      <c r="O837" s="132"/>
      <c r="P837" s="132"/>
      <c r="Q837" s="132"/>
      <c r="R837" s="132"/>
      <c r="S837" s="132"/>
      <c r="T837" s="132"/>
      <c r="U837" s="132"/>
      <c r="V837" s="132"/>
      <c r="W837" s="132"/>
      <c r="X837" s="132"/>
      <c r="Y837" s="132"/>
      <c r="Z837" s="132"/>
    </row>
    <row r="838" spans="1:26" ht="11.25" customHeight="1" x14ac:dyDescent="0.3">
      <c r="A838" s="132"/>
      <c r="B838" s="132"/>
      <c r="C838" s="132"/>
      <c r="D838" s="132"/>
      <c r="E838" s="132"/>
      <c r="F838" s="132"/>
      <c r="G838" s="132"/>
      <c r="H838" s="132"/>
      <c r="I838" s="132"/>
      <c r="J838" s="132"/>
      <c r="K838" s="132"/>
      <c r="L838" s="132"/>
      <c r="M838" s="132"/>
      <c r="N838" s="132"/>
      <c r="O838" s="132"/>
      <c r="P838" s="132"/>
      <c r="Q838" s="132"/>
      <c r="R838" s="132"/>
      <c r="S838" s="132"/>
      <c r="T838" s="132"/>
      <c r="U838" s="132"/>
      <c r="V838" s="132"/>
      <c r="W838" s="132"/>
      <c r="X838" s="132"/>
      <c r="Y838" s="132"/>
      <c r="Z838" s="132"/>
    </row>
    <row r="839" spans="1:26" ht="11.25" customHeight="1" x14ac:dyDescent="0.3">
      <c r="A839" s="132"/>
      <c r="B839" s="132"/>
      <c r="C839" s="132"/>
      <c r="D839" s="132"/>
      <c r="E839" s="132"/>
      <c r="F839" s="132"/>
      <c r="G839" s="132"/>
      <c r="H839" s="132"/>
      <c r="I839" s="132"/>
      <c r="J839" s="132"/>
      <c r="K839" s="132"/>
      <c r="L839" s="132"/>
      <c r="M839" s="132"/>
      <c r="N839" s="132"/>
      <c r="O839" s="132"/>
      <c r="P839" s="132"/>
      <c r="Q839" s="132"/>
      <c r="R839" s="132"/>
      <c r="S839" s="132"/>
      <c r="T839" s="132"/>
      <c r="U839" s="132"/>
      <c r="V839" s="132"/>
      <c r="W839" s="132"/>
      <c r="X839" s="132"/>
      <c r="Y839" s="132"/>
      <c r="Z839" s="132"/>
    </row>
    <row r="840" spans="1:26" ht="11.25" customHeight="1" x14ac:dyDescent="0.3">
      <c r="A840" s="132"/>
      <c r="B840" s="132"/>
      <c r="C840" s="132"/>
      <c r="D840" s="132"/>
      <c r="E840" s="132"/>
      <c r="F840" s="132"/>
      <c r="G840" s="132"/>
      <c r="H840" s="132"/>
      <c r="I840" s="132"/>
      <c r="J840" s="132"/>
      <c r="K840" s="132"/>
      <c r="L840" s="132"/>
      <c r="M840" s="132"/>
      <c r="N840" s="132"/>
      <c r="O840" s="132"/>
      <c r="P840" s="132"/>
      <c r="Q840" s="132"/>
      <c r="R840" s="132"/>
      <c r="S840" s="132"/>
      <c r="T840" s="132"/>
      <c r="U840" s="132"/>
      <c r="V840" s="132"/>
      <c r="W840" s="132"/>
      <c r="X840" s="132"/>
      <c r="Y840" s="132"/>
      <c r="Z840" s="132"/>
    </row>
    <row r="841" spans="1:26" ht="11.25" customHeight="1" x14ac:dyDescent="0.3">
      <c r="A841" s="132"/>
      <c r="B841" s="132"/>
      <c r="C841" s="132"/>
      <c r="D841" s="132"/>
      <c r="E841" s="132"/>
      <c r="F841" s="132"/>
      <c r="G841" s="132"/>
      <c r="H841" s="132"/>
      <c r="I841" s="132"/>
      <c r="J841" s="132"/>
      <c r="K841" s="132"/>
      <c r="L841" s="132"/>
      <c r="M841" s="132"/>
      <c r="N841" s="132"/>
      <c r="O841" s="132"/>
      <c r="P841" s="132"/>
      <c r="Q841" s="132"/>
      <c r="R841" s="132"/>
      <c r="S841" s="132"/>
      <c r="T841" s="132"/>
      <c r="U841" s="132"/>
      <c r="V841" s="132"/>
      <c r="W841" s="132"/>
      <c r="X841" s="132"/>
      <c r="Y841" s="132"/>
      <c r="Z841" s="132"/>
    </row>
    <row r="842" spans="1:26" ht="11.25" customHeight="1" x14ac:dyDescent="0.3">
      <c r="A842" s="132"/>
      <c r="B842" s="132"/>
      <c r="C842" s="132"/>
      <c r="D842" s="132"/>
      <c r="E842" s="132"/>
      <c r="F842" s="132"/>
      <c r="G842" s="132"/>
      <c r="H842" s="132"/>
      <c r="I842" s="132"/>
      <c r="J842" s="132"/>
      <c r="K842" s="132"/>
      <c r="L842" s="132"/>
      <c r="M842" s="132"/>
      <c r="N842" s="132"/>
      <c r="O842" s="132"/>
      <c r="P842" s="132"/>
      <c r="Q842" s="132"/>
      <c r="R842" s="132"/>
      <c r="S842" s="132"/>
      <c r="T842" s="132"/>
      <c r="U842" s="132"/>
      <c r="V842" s="132"/>
      <c r="W842" s="132"/>
      <c r="X842" s="132"/>
      <c r="Y842" s="132"/>
      <c r="Z842" s="132"/>
    </row>
    <row r="843" spans="1:26" ht="11.25" customHeight="1" x14ac:dyDescent="0.3">
      <c r="A843" s="132"/>
      <c r="B843" s="132"/>
      <c r="C843" s="132"/>
      <c r="D843" s="132"/>
      <c r="E843" s="132"/>
      <c r="F843" s="132"/>
      <c r="G843" s="132"/>
      <c r="H843" s="132"/>
      <c r="I843" s="132"/>
      <c r="J843" s="132"/>
      <c r="K843" s="132"/>
      <c r="L843" s="132"/>
      <c r="M843" s="132"/>
      <c r="N843" s="132"/>
      <c r="O843" s="132"/>
      <c r="P843" s="132"/>
      <c r="Q843" s="132"/>
      <c r="R843" s="132"/>
      <c r="S843" s="132"/>
      <c r="T843" s="132"/>
      <c r="U843" s="132"/>
      <c r="V843" s="132"/>
      <c r="W843" s="132"/>
      <c r="X843" s="132"/>
      <c r="Y843" s="132"/>
      <c r="Z843" s="132"/>
    </row>
    <row r="844" spans="1:26" ht="11.25" customHeight="1" x14ac:dyDescent="0.3">
      <c r="A844" s="132"/>
      <c r="B844" s="132"/>
      <c r="C844" s="132"/>
      <c r="D844" s="132"/>
      <c r="E844" s="132"/>
      <c r="F844" s="132"/>
      <c r="G844" s="132"/>
      <c r="H844" s="132"/>
      <c r="I844" s="132"/>
      <c r="J844" s="132"/>
      <c r="K844" s="132"/>
      <c r="L844" s="132"/>
      <c r="M844" s="132"/>
      <c r="N844" s="132"/>
      <c r="O844" s="132"/>
      <c r="P844" s="132"/>
      <c r="Q844" s="132"/>
      <c r="R844" s="132"/>
      <c r="S844" s="132"/>
      <c r="T844" s="132"/>
      <c r="U844" s="132"/>
      <c r="V844" s="132"/>
      <c r="W844" s="132"/>
      <c r="X844" s="132"/>
      <c r="Y844" s="132"/>
      <c r="Z844" s="132"/>
    </row>
    <row r="845" spans="1:26" ht="11.25" customHeight="1" x14ac:dyDescent="0.3">
      <c r="A845" s="132"/>
      <c r="B845" s="132"/>
      <c r="C845" s="132"/>
      <c r="D845" s="132"/>
      <c r="E845" s="132"/>
      <c r="F845" s="132"/>
      <c r="G845" s="132"/>
      <c r="H845" s="132"/>
      <c r="I845" s="132"/>
      <c r="J845" s="132"/>
      <c r="K845" s="132"/>
      <c r="L845" s="132"/>
      <c r="M845" s="132"/>
      <c r="N845" s="132"/>
      <c r="O845" s="132"/>
      <c r="P845" s="132"/>
      <c r="Q845" s="132"/>
      <c r="R845" s="132"/>
      <c r="S845" s="132"/>
      <c r="T845" s="132"/>
      <c r="U845" s="132"/>
      <c r="V845" s="132"/>
      <c r="W845" s="132"/>
      <c r="X845" s="132"/>
      <c r="Y845" s="132"/>
      <c r="Z845" s="132"/>
    </row>
    <row r="846" spans="1:26" ht="11.25" customHeight="1" x14ac:dyDescent="0.3">
      <c r="A846" s="132"/>
      <c r="B846" s="132"/>
      <c r="C846" s="132"/>
      <c r="D846" s="132"/>
      <c r="E846" s="132"/>
      <c r="F846" s="132"/>
      <c r="G846" s="132"/>
      <c r="H846" s="132"/>
      <c r="I846" s="132"/>
      <c r="J846" s="132"/>
      <c r="K846" s="132"/>
      <c r="L846" s="132"/>
      <c r="M846" s="132"/>
      <c r="N846" s="132"/>
      <c r="O846" s="132"/>
      <c r="P846" s="132"/>
      <c r="Q846" s="132"/>
      <c r="R846" s="132"/>
      <c r="S846" s="132"/>
      <c r="T846" s="132"/>
      <c r="U846" s="132"/>
      <c r="V846" s="132"/>
      <c r="W846" s="132"/>
      <c r="X846" s="132"/>
      <c r="Y846" s="132"/>
      <c r="Z846" s="132"/>
    </row>
    <row r="847" spans="1:26" ht="11.25" customHeight="1" x14ac:dyDescent="0.3">
      <c r="A847" s="132"/>
      <c r="B847" s="132"/>
      <c r="C847" s="132"/>
      <c r="D847" s="132"/>
      <c r="E847" s="132"/>
      <c r="F847" s="132"/>
      <c r="G847" s="132"/>
      <c r="H847" s="132"/>
      <c r="I847" s="132"/>
      <c r="J847" s="132"/>
      <c r="K847" s="132"/>
      <c r="L847" s="132"/>
      <c r="M847" s="132"/>
      <c r="N847" s="132"/>
      <c r="O847" s="132"/>
      <c r="P847" s="132"/>
      <c r="Q847" s="132"/>
      <c r="R847" s="132"/>
      <c r="S847" s="132"/>
      <c r="T847" s="132"/>
      <c r="U847" s="132"/>
      <c r="V847" s="132"/>
      <c r="W847" s="132"/>
      <c r="X847" s="132"/>
      <c r="Y847" s="132"/>
      <c r="Z847" s="132"/>
    </row>
    <row r="848" spans="1:26" ht="11.25" customHeight="1" x14ac:dyDescent="0.3">
      <c r="A848" s="132"/>
      <c r="B848" s="132"/>
      <c r="C848" s="132"/>
      <c r="D848" s="132"/>
      <c r="E848" s="132"/>
      <c r="F848" s="132"/>
      <c r="G848" s="132"/>
      <c r="H848" s="132"/>
      <c r="I848" s="132"/>
      <c r="J848" s="132"/>
      <c r="K848" s="132"/>
      <c r="L848" s="132"/>
      <c r="M848" s="132"/>
      <c r="N848" s="132"/>
      <c r="O848" s="132"/>
      <c r="P848" s="132"/>
      <c r="Q848" s="132"/>
      <c r="R848" s="132"/>
      <c r="S848" s="132"/>
      <c r="T848" s="132"/>
      <c r="U848" s="132"/>
      <c r="V848" s="132"/>
      <c r="W848" s="132"/>
      <c r="X848" s="132"/>
      <c r="Y848" s="132"/>
      <c r="Z848" s="132"/>
    </row>
    <row r="849" spans="1:26" ht="11.25" customHeight="1" x14ac:dyDescent="0.3">
      <c r="A849" s="132"/>
      <c r="B849" s="132"/>
      <c r="C849" s="132"/>
      <c r="D849" s="132"/>
      <c r="E849" s="132"/>
      <c r="F849" s="132"/>
      <c r="G849" s="132"/>
      <c r="H849" s="132"/>
      <c r="I849" s="132"/>
      <c r="J849" s="132"/>
      <c r="K849" s="132"/>
      <c r="L849" s="132"/>
      <c r="M849" s="132"/>
      <c r="N849" s="132"/>
      <c r="O849" s="132"/>
      <c r="P849" s="132"/>
      <c r="Q849" s="132"/>
      <c r="R849" s="132"/>
      <c r="S849" s="132"/>
      <c r="T849" s="132"/>
      <c r="U849" s="132"/>
      <c r="V849" s="132"/>
      <c r="W849" s="132"/>
      <c r="X849" s="132"/>
      <c r="Y849" s="132"/>
      <c r="Z849" s="132"/>
    </row>
    <row r="850" spans="1:26" ht="11.25" customHeight="1" x14ac:dyDescent="0.3">
      <c r="A850" s="132"/>
      <c r="B850" s="132"/>
      <c r="C850" s="132"/>
      <c r="D850" s="132"/>
      <c r="E850" s="132"/>
      <c r="F850" s="132"/>
      <c r="G850" s="132"/>
      <c r="H850" s="132"/>
      <c r="I850" s="132"/>
      <c r="J850" s="132"/>
      <c r="K850" s="132"/>
      <c r="L850" s="132"/>
      <c r="M850" s="132"/>
      <c r="N850" s="132"/>
      <c r="O850" s="132"/>
      <c r="P850" s="132"/>
      <c r="Q850" s="132"/>
      <c r="R850" s="132"/>
      <c r="S850" s="132"/>
      <c r="T850" s="132"/>
      <c r="U850" s="132"/>
      <c r="V850" s="132"/>
      <c r="W850" s="132"/>
      <c r="X850" s="132"/>
      <c r="Y850" s="132"/>
      <c r="Z850" s="132"/>
    </row>
    <row r="851" spans="1:26" ht="11.25" customHeight="1" x14ac:dyDescent="0.3">
      <c r="A851" s="132"/>
      <c r="B851" s="132"/>
      <c r="C851" s="132"/>
      <c r="D851" s="132"/>
      <c r="E851" s="132"/>
      <c r="F851" s="132"/>
      <c r="G851" s="132"/>
      <c r="H851" s="132"/>
      <c r="I851" s="132"/>
      <c r="J851" s="132"/>
      <c r="K851" s="132"/>
      <c r="L851" s="132"/>
      <c r="M851" s="132"/>
      <c r="N851" s="132"/>
      <c r="O851" s="132"/>
      <c r="P851" s="132"/>
      <c r="Q851" s="132"/>
      <c r="R851" s="132"/>
      <c r="S851" s="132"/>
      <c r="T851" s="132"/>
      <c r="U851" s="132"/>
      <c r="V851" s="132"/>
      <c r="W851" s="132"/>
      <c r="X851" s="132"/>
      <c r="Y851" s="132"/>
      <c r="Z851" s="132"/>
    </row>
    <row r="852" spans="1:26" ht="11.25" customHeight="1" x14ac:dyDescent="0.3">
      <c r="A852" s="132"/>
      <c r="B852" s="132"/>
      <c r="C852" s="132"/>
      <c r="D852" s="132"/>
      <c r="E852" s="132"/>
      <c r="F852" s="132"/>
      <c r="G852" s="132"/>
      <c r="H852" s="132"/>
      <c r="I852" s="132"/>
      <c r="J852" s="132"/>
      <c r="K852" s="132"/>
      <c r="L852" s="132"/>
      <c r="M852" s="132"/>
      <c r="N852" s="132"/>
      <c r="O852" s="132"/>
      <c r="P852" s="132"/>
      <c r="Q852" s="132"/>
      <c r="R852" s="132"/>
      <c r="S852" s="132"/>
      <c r="T852" s="132"/>
      <c r="U852" s="132"/>
      <c r="V852" s="132"/>
      <c r="W852" s="132"/>
      <c r="X852" s="132"/>
      <c r="Y852" s="132"/>
      <c r="Z852" s="132"/>
    </row>
    <row r="853" spans="1:26" ht="11.25" customHeight="1" x14ac:dyDescent="0.3">
      <c r="A853" s="132"/>
      <c r="B853" s="132"/>
      <c r="C853" s="132"/>
      <c r="D853" s="132"/>
      <c r="E853" s="132"/>
      <c r="F853" s="132"/>
      <c r="G853" s="132"/>
      <c r="H853" s="132"/>
      <c r="I853" s="132"/>
      <c r="J853" s="132"/>
      <c r="K853" s="132"/>
      <c r="L853" s="132"/>
      <c r="M853" s="132"/>
      <c r="N853" s="132"/>
      <c r="O853" s="132"/>
      <c r="P853" s="132"/>
      <c r="Q853" s="132"/>
      <c r="R853" s="132"/>
      <c r="S853" s="132"/>
      <c r="T853" s="132"/>
      <c r="U853" s="132"/>
      <c r="V853" s="132"/>
      <c r="W853" s="132"/>
      <c r="X853" s="132"/>
      <c r="Y853" s="132"/>
      <c r="Z853" s="132"/>
    </row>
    <row r="854" spans="1:26" ht="11.25" customHeight="1" x14ac:dyDescent="0.3">
      <c r="A854" s="132"/>
      <c r="B854" s="132"/>
      <c r="C854" s="132"/>
      <c r="D854" s="132"/>
      <c r="E854" s="132"/>
      <c r="F854" s="132"/>
      <c r="G854" s="132"/>
      <c r="H854" s="132"/>
      <c r="I854" s="132"/>
      <c r="J854" s="132"/>
      <c r="K854" s="132"/>
      <c r="L854" s="132"/>
      <c r="M854" s="132"/>
      <c r="N854" s="132"/>
      <c r="O854" s="132"/>
      <c r="P854" s="132"/>
      <c r="Q854" s="132"/>
      <c r="R854" s="132"/>
      <c r="S854" s="132"/>
      <c r="T854" s="132"/>
      <c r="U854" s="132"/>
      <c r="V854" s="132"/>
      <c r="W854" s="132"/>
      <c r="X854" s="132"/>
      <c r="Y854" s="132"/>
      <c r="Z854" s="132"/>
    </row>
    <row r="855" spans="1:26" ht="11.25" customHeight="1" x14ac:dyDescent="0.3">
      <c r="A855" s="132"/>
      <c r="B855" s="132"/>
      <c r="C855" s="132"/>
      <c r="D855" s="132"/>
      <c r="E855" s="132"/>
      <c r="F855" s="132"/>
      <c r="G855" s="132"/>
      <c r="H855" s="132"/>
      <c r="I855" s="132"/>
      <c r="J855" s="132"/>
      <c r="K855" s="132"/>
      <c r="L855" s="132"/>
      <c r="M855" s="132"/>
      <c r="N855" s="132"/>
      <c r="O855" s="132"/>
      <c r="P855" s="132"/>
      <c r="Q855" s="132"/>
      <c r="R855" s="132"/>
      <c r="S855" s="132"/>
      <c r="T855" s="132"/>
      <c r="U855" s="132"/>
      <c r="V855" s="132"/>
      <c r="W855" s="132"/>
      <c r="X855" s="132"/>
      <c r="Y855" s="132"/>
      <c r="Z855" s="132"/>
    </row>
    <row r="856" spans="1:26" ht="11.25" customHeight="1" x14ac:dyDescent="0.3">
      <c r="A856" s="132"/>
      <c r="B856" s="132"/>
      <c r="C856" s="132"/>
      <c r="D856" s="132"/>
      <c r="E856" s="132"/>
      <c r="F856" s="132"/>
      <c r="G856" s="132"/>
      <c r="H856" s="132"/>
      <c r="I856" s="132"/>
      <c r="J856" s="132"/>
      <c r="K856" s="132"/>
      <c r="L856" s="132"/>
      <c r="M856" s="132"/>
      <c r="N856" s="132"/>
      <c r="O856" s="132"/>
      <c r="P856" s="132"/>
      <c r="Q856" s="132"/>
      <c r="R856" s="132"/>
      <c r="S856" s="132"/>
      <c r="T856" s="132"/>
      <c r="U856" s="132"/>
      <c r="V856" s="132"/>
      <c r="W856" s="132"/>
      <c r="X856" s="132"/>
      <c r="Y856" s="132"/>
      <c r="Z856" s="132"/>
    </row>
    <row r="857" spans="1:26" ht="11.25" customHeight="1" x14ac:dyDescent="0.3">
      <c r="A857" s="132"/>
      <c r="B857" s="132"/>
      <c r="C857" s="132"/>
      <c r="D857" s="132"/>
      <c r="E857" s="132"/>
      <c r="F857" s="132"/>
      <c r="G857" s="132"/>
      <c r="H857" s="132"/>
      <c r="I857" s="132"/>
      <c r="J857" s="132"/>
      <c r="K857" s="132"/>
      <c r="L857" s="132"/>
      <c r="M857" s="132"/>
      <c r="N857" s="132"/>
      <c r="O857" s="132"/>
      <c r="P857" s="132"/>
      <c r="Q857" s="132"/>
      <c r="R857" s="132"/>
      <c r="S857" s="132"/>
      <c r="T857" s="132"/>
      <c r="U857" s="132"/>
      <c r="V857" s="132"/>
      <c r="W857" s="132"/>
      <c r="X857" s="132"/>
      <c r="Y857" s="132"/>
      <c r="Z857" s="132"/>
    </row>
    <row r="858" spans="1:26" ht="11.25" customHeight="1" x14ac:dyDescent="0.3">
      <c r="A858" s="132"/>
      <c r="B858" s="132"/>
      <c r="C858" s="132"/>
      <c r="D858" s="132"/>
      <c r="E858" s="132"/>
      <c r="F858" s="132"/>
      <c r="G858" s="132"/>
      <c r="H858" s="132"/>
      <c r="I858" s="132"/>
      <c r="J858" s="132"/>
      <c r="K858" s="132"/>
      <c r="L858" s="132"/>
      <c r="M858" s="132"/>
      <c r="N858" s="132"/>
      <c r="O858" s="132"/>
      <c r="P858" s="132"/>
      <c r="Q858" s="132"/>
      <c r="R858" s="132"/>
      <c r="S858" s="132"/>
      <c r="T858" s="132"/>
      <c r="U858" s="132"/>
      <c r="V858" s="132"/>
      <c r="W858" s="132"/>
      <c r="X858" s="132"/>
      <c r="Y858" s="132"/>
      <c r="Z858" s="132"/>
    </row>
    <row r="859" spans="1:26" ht="11.25" customHeight="1" x14ac:dyDescent="0.3">
      <c r="A859" s="132"/>
      <c r="B859" s="132"/>
      <c r="C859" s="132"/>
      <c r="D859" s="132"/>
      <c r="E859" s="132"/>
      <c r="F859" s="132"/>
      <c r="G859" s="132"/>
      <c r="H859" s="132"/>
      <c r="I859" s="132"/>
      <c r="J859" s="132"/>
      <c r="K859" s="132"/>
      <c r="L859" s="132"/>
      <c r="M859" s="132"/>
      <c r="N859" s="132"/>
      <c r="O859" s="132"/>
      <c r="P859" s="132"/>
      <c r="Q859" s="132"/>
      <c r="R859" s="132"/>
      <c r="S859" s="132"/>
      <c r="T859" s="132"/>
      <c r="U859" s="132"/>
      <c r="V859" s="132"/>
      <c r="W859" s="132"/>
      <c r="X859" s="132"/>
      <c r="Y859" s="132"/>
      <c r="Z859" s="132"/>
    </row>
    <row r="860" spans="1:26" ht="11.25" customHeight="1" x14ac:dyDescent="0.3">
      <c r="A860" s="132"/>
      <c r="B860" s="132"/>
      <c r="C860" s="132"/>
      <c r="D860" s="132"/>
      <c r="E860" s="132"/>
      <c r="F860" s="132"/>
      <c r="G860" s="132"/>
      <c r="H860" s="132"/>
      <c r="I860" s="132"/>
      <c r="J860" s="132"/>
      <c r="K860" s="132"/>
      <c r="L860" s="132"/>
      <c r="M860" s="132"/>
      <c r="N860" s="132"/>
      <c r="O860" s="132"/>
      <c r="P860" s="132"/>
      <c r="Q860" s="132"/>
      <c r="R860" s="132"/>
      <c r="S860" s="132"/>
      <c r="T860" s="132"/>
      <c r="U860" s="132"/>
      <c r="V860" s="132"/>
      <c r="W860" s="132"/>
      <c r="X860" s="132"/>
      <c r="Y860" s="132"/>
      <c r="Z860" s="132"/>
    </row>
    <row r="861" spans="1:26" ht="11.25" customHeight="1" x14ac:dyDescent="0.3">
      <c r="A861" s="132"/>
      <c r="B861" s="132"/>
      <c r="C861" s="132"/>
      <c r="D861" s="132"/>
      <c r="E861" s="132"/>
      <c r="F861" s="132"/>
      <c r="G861" s="132"/>
      <c r="H861" s="132"/>
      <c r="I861" s="132"/>
      <c r="J861" s="132"/>
      <c r="K861" s="132"/>
      <c r="L861" s="132"/>
      <c r="M861" s="132"/>
      <c r="N861" s="132"/>
      <c r="O861" s="132"/>
      <c r="P861" s="132"/>
      <c r="Q861" s="132"/>
      <c r="R861" s="132"/>
      <c r="S861" s="132"/>
      <c r="T861" s="132"/>
      <c r="U861" s="132"/>
      <c r="V861" s="132"/>
      <c r="W861" s="132"/>
      <c r="X861" s="132"/>
      <c r="Y861" s="132"/>
      <c r="Z861" s="132"/>
    </row>
    <row r="862" spans="1:26" ht="11.25" customHeight="1" x14ac:dyDescent="0.3">
      <c r="A862" s="132"/>
      <c r="B862" s="132"/>
      <c r="C862" s="132"/>
      <c r="D862" s="132"/>
      <c r="E862" s="132"/>
      <c r="F862" s="132"/>
      <c r="G862" s="132"/>
      <c r="H862" s="132"/>
      <c r="I862" s="132"/>
      <c r="J862" s="132"/>
      <c r="K862" s="132"/>
      <c r="L862" s="132"/>
      <c r="M862" s="132"/>
      <c r="N862" s="132"/>
      <c r="O862" s="132"/>
      <c r="P862" s="132"/>
      <c r="Q862" s="132"/>
      <c r="R862" s="132"/>
      <c r="S862" s="132"/>
      <c r="T862" s="132"/>
      <c r="U862" s="132"/>
      <c r="V862" s="132"/>
      <c r="W862" s="132"/>
      <c r="X862" s="132"/>
      <c r="Y862" s="132"/>
      <c r="Z862" s="132"/>
    </row>
    <row r="863" spans="1:26" ht="11.25" customHeight="1" x14ac:dyDescent="0.3">
      <c r="A863" s="132"/>
      <c r="B863" s="132"/>
      <c r="C863" s="132"/>
      <c r="D863" s="132"/>
      <c r="E863" s="132"/>
      <c r="F863" s="132"/>
      <c r="G863" s="132"/>
      <c r="H863" s="132"/>
      <c r="I863" s="132"/>
      <c r="J863" s="132"/>
      <c r="K863" s="132"/>
      <c r="L863" s="132"/>
      <c r="M863" s="132"/>
      <c r="N863" s="132"/>
      <c r="O863" s="132"/>
      <c r="P863" s="132"/>
      <c r="Q863" s="132"/>
      <c r="R863" s="132"/>
      <c r="S863" s="132"/>
      <c r="T863" s="132"/>
      <c r="U863" s="132"/>
      <c r="V863" s="132"/>
      <c r="W863" s="132"/>
      <c r="X863" s="132"/>
      <c r="Y863" s="132"/>
      <c r="Z863" s="132"/>
    </row>
    <row r="864" spans="1:26" ht="11.25" customHeight="1" x14ac:dyDescent="0.3">
      <c r="A864" s="132"/>
      <c r="B864" s="132"/>
      <c r="C864" s="132"/>
      <c r="D864" s="132"/>
      <c r="E864" s="132"/>
      <c r="F864" s="132"/>
      <c r="G864" s="132"/>
      <c r="H864" s="132"/>
      <c r="I864" s="132"/>
      <c r="J864" s="132"/>
      <c r="K864" s="132"/>
      <c r="L864" s="132"/>
      <c r="M864" s="132"/>
      <c r="N864" s="132"/>
      <c r="O864" s="132"/>
      <c r="P864" s="132"/>
      <c r="Q864" s="132"/>
      <c r="R864" s="132"/>
      <c r="S864" s="132"/>
      <c r="T864" s="132"/>
      <c r="U864" s="132"/>
      <c r="V864" s="132"/>
      <c r="W864" s="132"/>
      <c r="X864" s="132"/>
      <c r="Y864" s="132"/>
      <c r="Z864" s="132"/>
    </row>
    <row r="865" spans="1:26" ht="11.25" customHeight="1" x14ac:dyDescent="0.3">
      <c r="A865" s="132"/>
      <c r="B865" s="132"/>
      <c r="C865" s="132"/>
      <c r="D865" s="132"/>
      <c r="E865" s="132"/>
      <c r="F865" s="132"/>
      <c r="G865" s="132"/>
      <c r="H865" s="132"/>
      <c r="I865" s="132"/>
      <c r="J865" s="132"/>
      <c r="K865" s="132"/>
      <c r="L865" s="132"/>
      <c r="M865" s="132"/>
      <c r="N865" s="132"/>
      <c r="O865" s="132"/>
      <c r="P865" s="132"/>
      <c r="Q865" s="132"/>
      <c r="R865" s="132"/>
      <c r="S865" s="132"/>
      <c r="T865" s="132"/>
      <c r="U865" s="132"/>
      <c r="V865" s="132"/>
      <c r="W865" s="132"/>
      <c r="X865" s="132"/>
      <c r="Y865" s="132"/>
      <c r="Z865" s="132"/>
    </row>
    <row r="866" spans="1:26" ht="11.25" customHeight="1" x14ac:dyDescent="0.3">
      <c r="A866" s="132"/>
      <c r="B866" s="132"/>
      <c r="C866" s="132"/>
      <c r="D866" s="132"/>
      <c r="E866" s="132"/>
      <c r="F866" s="132"/>
      <c r="G866" s="132"/>
      <c r="H866" s="132"/>
      <c r="I866" s="132"/>
      <c r="J866" s="132"/>
      <c r="K866" s="132"/>
      <c r="L866" s="132"/>
      <c r="M866" s="132"/>
      <c r="N866" s="132"/>
      <c r="O866" s="132"/>
      <c r="P866" s="132"/>
      <c r="Q866" s="132"/>
      <c r="R866" s="132"/>
      <c r="S866" s="132"/>
      <c r="T866" s="132"/>
      <c r="U866" s="132"/>
      <c r="V866" s="132"/>
      <c r="W866" s="132"/>
      <c r="X866" s="132"/>
      <c r="Y866" s="132"/>
      <c r="Z866" s="132"/>
    </row>
    <row r="867" spans="1:26" ht="11.25" customHeight="1" x14ac:dyDescent="0.3">
      <c r="A867" s="132"/>
      <c r="B867" s="132"/>
      <c r="C867" s="132"/>
      <c r="D867" s="132"/>
      <c r="E867" s="132"/>
      <c r="F867" s="132"/>
      <c r="G867" s="132"/>
      <c r="H867" s="132"/>
      <c r="I867" s="132"/>
      <c r="J867" s="132"/>
      <c r="K867" s="132"/>
      <c r="L867" s="132"/>
      <c r="M867" s="132"/>
      <c r="N867" s="132"/>
      <c r="O867" s="132"/>
      <c r="P867" s="132"/>
      <c r="Q867" s="132"/>
      <c r="R867" s="132"/>
      <c r="S867" s="132"/>
      <c r="T867" s="132"/>
      <c r="U867" s="132"/>
      <c r="V867" s="132"/>
      <c r="W867" s="132"/>
      <c r="X867" s="132"/>
      <c r="Y867" s="132"/>
      <c r="Z867" s="132"/>
    </row>
    <row r="868" spans="1:26" ht="11.25" customHeight="1" x14ac:dyDescent="0.3">
      <c r="A868" s="132"/>
      <c r="B868" s="132"/>
      <c r="C868" s="132"/>
      <c r="D868" s="132"/>
      <c r="E868" s="132"/>
      <c r="F868" s="132"/>
      <c r="G868" s="132"/>
      <c r="H868" s="132"/>
      <c r="I868" s="132"/>
      <c r="J868" s="132"/>
      <c r="K868" s="132"/>
      <c r="L868" s="132"/>
      <c r="M868" s="132"/>
      <c r="N868" s="132"/>
      <c r="O868" s="132"/>
      <c r="P868" s="132"/>
      <c r="Q868" s="132"/>
      <c r="R868" s="132"/>
      <c r="S868" s="132"/>
      <c r="T868" s="132"/>
      <c r="U868" s="132"/>
      <c r="V868" s="132"/>
      <c r="W868" s="132"/>
      <c r="X868" s="132"/>
      <c r="Y868" s="132"/>
      <c r="Z868" s="132"/>
    </row>
    <row r="869" spans="1:26" ht="11.25" customHeight="1" x14ac:dyDescent="0.3">
      <c r="A869" s="132"/>
      <c r="B869" s="132"/>
      <c r="C869" s="132"/>
      <c r="D869" s="132"/>
      <c r="E869" s="132"/>
      <c r="F869" s="132"/>
      <c r="G869" s="132"/>
      <c r="H869" s="132"/>
      <c r="I869" s="132"/>
      <c r="J869" s="132"/>
      <c r="K869" s="132"/>
      <c r="L869" s="132"/>
      <c r="M869" s="132"/>
      <c r="N869" s="132"/>
      <c r="O869" s="132"/>
      <c r="P869" s="132"/>
      <c r="Q869" s="132"/>
      <c r="R869" s="132"/>
      <c r="S869" s="132"/>
      <c r="T869" s="132"/>
      <c r="U869" s="132"/>
      <c r="V869" s="132"/>
      <c r="W869" s="132"/>
      <c r="X869" s="132"/>
      <c r="Y869" s="132"/>
      <c r="Z869" s="132"/>
    </row>
    <row r="870" spans="1:26" ht="11.25" customHeight="1" x14ac:dyDescent="0.3">
      <c r="A870" s="132"/>
      <c r="B870" s="132"/>
      <c r="C870" s="132"/>
      <c r="D870" s="132"/>
      <c r="E870" s="132"/>
      <c r="F870" s="132"/>
      <c r="G870" s="132"/>
      <c r="H870" s="132"/>
      <c r="I870" s="132"/>
      <c r="J870" s="132"/>
      <c r="K870" s="132"/>
      <c r="L870" s="132"/>
      <c r="M870" s="132"/>
      <c r="N870" s="132"/>
      <c r="O870" s="132"/>
      <c r="P870" s="132"/>
      <c r="Q870" s="132"/>
      <c r="R870" s="132"/>
      <c r="S870" s="132"/>
      <c r="T870" s="132"/>
      <c r="U870" s="132"/>
      <c r="V870" s="132"/>
      <c r="W870" s="132"/>
      <c r="X870" s="132"/>
      <c r="Y870" s="132"/>
      <c r="Z870" s="132"/>
    </row>
    <row r="871" spans="1:26" ht="11.25" customHeight="1" x14ac:dyDescent="0.3">
      <c r="A871" s="132"/>
      <c r="B871" s="132"/>
      <c r="C871" s="132"/>
      <c r="D871" s="132"/>
      <c r="E871" s="132"/>
      <c r="F871" s="132"/>
      <c r="G871" s="132"/>
      <c r="H871" s="132"/>
      <c r="I871" s="132"/>
      <c r="J871" s="132"/>
      <c r="K871" s="132"/>
      <c r="L871" s="132"/>
      <c r="M871" s="132"/>
      <c r="N871" s="132"/>
      <c r="O871" s="132"/>
      <c r="P871" s="132"/>
      <c r="Q871" s="132"/>
      <c r="R871" s="132"/>
      <c r="S871" s="132"/>
      <c r="T871" s="132"/>
      <c r="U871" s="132"/>
      <c r="V871" s="132"/>
      <c r="W871" s="132"/>
      <c r="X871" s="132"/>
      <c r="Y871" s="132"/>
      <c r="Z871" s="132"/>
    </row>
    <row r="872" spans="1:26" ht="11.25" customHeight="1" x14ac:dyDescent="0.3">
      <c r="A872" s="132"/>
      <c r="B872" s="132"/>
      <c r="C872" s="132"/>
      <c r="D872" s="132"/>
      <c r="E872" s="132"/>
      <c r="F872" s="132"/>
      <c r="G872" s="132"/>
      <c r="H872" s="132"/>
      <c r="I872" s="132"/>
      <c r="J872" s="132"/>
      <c r="K872" s="132"/>
      <c r="L872" s="132"/>
      <c r="M872" s="132"/>
      <c r="N872" s="132"/>
      <c r="O872" s="132"/>
      <c r="P872" s="132"/>
      <c r="Q872" s="132"/>
      <c r="R872" s="132"/>
      <c r="S872" s="132"/>
      <c r="T872" s="132"/>
      <c r="U872" s="132"/>
      <c r="V872" s="132"/>
      <c r="W872" s="132"/>
      <c r="X872" s="132"/>
      <c r="Y872" s="132"/>
      <c r="Z872" s="132"/>
    </row>
    <row r="873" spans="1:26" ht="11.25" customHeight="1" x14ac:dyDescent="0.3">
      <c r="A873" s="132"/>
      <c r="B873" s="132"/>
      <c r="C873" s="132"/>
      <c r="D873" s="132"/>
      <c r="E873" s="132"/>
      <c r="F873" s="132"/>
      <c r="G873" s="132"/>
      <c r="H873" s="132"/>
      <c r="I873" s="132"/>
      <c r="J873" s="132"/>
      <c r="K873" s="132"/>
      <c r="L873" s="132"/>
      <c r="M873" s="132"/>
      <c r="N873" s="132"/>
      <c r="O873" s="132"/>
      <c r="P873" s="132"/>
      <c r="Q873" s="132"/>
      <c r="R873" s="132"/>
      <c r="S873" s="132"/>
      <c r="T873" s="132"/>
      <c r="U873" s="132"/>
      <c r="V873" s="132"/>
      <c r="W873" s="132"/>
      <c r="X873" s="132"/>
      <c r="Y873" s="132"/>
      <c r="Z873" s="132"/>
    </row>
    <row r="874" spans="1:26" ht="11.25" customHeight="1" x14ac:dyDescent="0.3">
      <c r="A874" s="132"/>
      <c r="B874" s="132"/>
      <c r="C874" s="132"/>
      <c r="D874" s="132"/>
      <c r="E874" s="132"/>
      <c r="F874" s="132"/>
      <c r="G874" s="132"/>
      <c r="H874" s="132"/>
      <c r="I874" s="132"/>
      <c r="J874" s="132"/>
      <c r="K874" s="132"/>
      <c r="L874" s="132"/>
      <c r="M874" s="132"/>
      <c r="N874" s="132"/>
      <c r="O874" s="132"/>
      <c r="P874" s="132"/>
      <c r="Q874" s="132"/>
      <c r="R874" s="132"/>
      <c r="S874" s="132"/>
      <c r="T874" s="132"/>
      <c r="U874" s="132"/>
      <c r="V874" s="132"/>
      <c r="W874" s="132"/>
      <c r="X874" s="132"/>
      <c r="Y874" s="132"/>
      <c r="Z874" s="132"/>
    </row>
    <row r="875" spans="1:26" ht="11.25" customHeight="1" x14ac:dyDescent="0.3">
      <c r="A875" s="132"/>
      <c r="B875" s="132"/>
      <c r="C875" s="132"/>
      <c r="D875" s="132"/>
      <c r="E875" s="132"/>
      <c r="F875" s="132"/>
      <c r="G875" s="132"/>
      <c r="H875" s="132"/>
      <c r="I875" s="132"/>
      <c r="J875" s="132"/>
      <c r="K875" s="132"/>
      <c r="L875" s="132"/>
      <c r="M875" s="132"/>
      <c r="N875" s="132"/>
      <c r="O875" s="132"/>
      <c r="P875" s="132"/>
      <c r="Q875" s="132"/>
      <c r="R875" s="132"/>
      <c r="S875" s="132"/>
      <c r="T875" s="132"/>
      <c r="U875" s="132"/>
      <c r="V875" s="132"/>
      <c r="W875" s="132"/>
      <c r="X875" s="132"/>
      <c r="Y875" s="132"/>
      <c r="Z875" s="132"/>
    </row>
    <row r="876" spans="1:26" ht="11.25" customHeight="1" x14ac:dyDescent="0.3">
      <c r="A876" s="132"/>
      <c r="B876" s="132"/>
      <c r="C876" s="132"/>
      <c r="D876" s="132"/>
      <c r="E876" s="132"/>
      <c r="F876" s="132"/>
      <c r="G876" s="132"/>
      <c r="H876" s="132"/>
      <c r="I876" s="132"/>
      <c r="J876" s="132"/>
      <c r="K876" s="132"/>
      <c r="L876" s="132"/>
      <c r="M876" s="132"/>
      <c r="N876" s="132"/>
      <c r="O876" s="132"/>
      <c r="P876" s="132"/>
      <c r="Q876" s="132"/>
      <c r="R876" s="132"/>
      <c r="S876" s="132"/>
      <c r="T876" s="132"/>
      <c r="U876" s="132"/>
      <c r="V876" s="132"/>
      <c r="W876" s="132"/>
      <c r="X876" s="132"/>
      <c r="Y876" s="132"/>
      <c r="Z876" s="132"/>
    </row>
    <row r="877" spans="1:26" ht="11.25" customHeight="1" x14ac:dyDescent="0.3">
      <c r="A877" s="132"/>
      <c r="B877" s="132"/>
      <c r="C877" s="132"/>
      <c r="D877" s="132"/>
      <c r="E877" s="132"/>
      <c r="F877" s="132"/>
      <c r="G877" s="132"/>
      <c r="H877" s="132"/>
      <c r="I877" s="132"/>
      <c r="J877" s="132"/>
      <c r="K877" s="132"/>
      <c r="L877" s="132"/>
      <c r="M877" s="132"/>
      <c r="N877" s="132"/>
      <c r="O877" s="132"/>
      <c r="P877" s="132"/>
      <c r="Q877" s="132"/>
      <c r="R877" s="132"/>
      <c r="S877" s="132"/>
      <c r="T877" s="132"/>
      <c r="U877" s="132"/>
      <c r="V877" s="132"/>
      <c r="W877" s="132"/>
      <c r="X877" s="132"/>
      <c r="Y877" s="132"/>
      <c r="Z877" s="132"/>
    </row>
    <row r="878" spans="1:26" ht="11.25" customHeight="1" x14ac:dyDescent="0.3">
      <c r="A878" s="132"/>
      <c r="B878" s="132"/>
      <c r="C878" s="132"/>
      <c r="D878" s="132"/>
      <c r="E878" s="132"/>
      <c r="F878" s="132"/>
      <c r="G878" s="132"/>
      <c r="H878" s="132"/>
      <c r="I878" s="132"/>
      <c r="J878" s="132"/>
      <c r="K878" s="132"/>
      <c r="L878" s="132"/>
      <c r="M878" s="132"/>
      <c r="N878" s="132"/>
      <c r="O878" s="132"/>
      <c r="P878" s="132"/>
      <c r="Q878" s="132"/>
      <c r="R878" s="132"/>
      <c r="S878" s="132"/>
      <c r="T878" s="132"/>
      <c r="U878" s="132"/>
      <c r="V878" s="132"/>
      <c r="W878" s="132"/>
      <c r="X878" s="132"/>
      <c r="Y878" s="132"/>
      <c r="Z878" s="132"/>
    </row>
    <row r="879" spans="1:26" ht="11.25" customHeight="1" x14ac:dyDescent="0.3">
      <c r="A879" s="132"/>
      <c r="B879" s="132"/>
      <c r="C879" s="132"/>
      <c r="D879" s="132"/>
      <c r="E879" s="132"/>
      <c r="F879" s="132"/>
      <c r="G879" s="132"/>
      <c r="H879" s="132"/>
      <c r="I879" s="132"/>
      <c r="J879" s="132"/>
      <c r="K879" s="132"/>
      <c r="L879" s="132"/>
      <c r="M879" s="132"/>
      <c r="N879" s="132"/>
      <c r="O879" s="132"/>
      <c r="P879" s="132"/>
      <c r="Q879" s="132"/>
      <c r="R879" s="132"/>
      <c r="S879" s="132"/>
      <c r="T879" s="132"/>
      <c r="U879" s="132"/>
      <c r="V879" s="132"/>
      <c r="W879" s="132"/>
      <c r="X879" s="132"/>
      <c r="Y879" s="132"/>
      <c r="Z879" s="132"/>
    </row>
    <row r="880" spans="1:26" ht="11.25" customHeight="1" x14ac:dyDescent="0.3">
      <c r="A880" s="132"/>
      <c r="B880" s="132"/>
      <c r="C880" s="132"/>
      <c r="D880" s="132"/>
      <c r="E880" s="132"/>
      <c r="F880" s="132"/>
      <c r="G880" s="132"/>
      <c r="H880" s="132"/>
      <c r="I880" s="132"/>
      <c r="J880" s="132"/>
      <c r="K880" s="132"/>
      <c r="L880" s="132"/>
      <c r="M880" s="132"/>
      <c r="N880" s="132"/>
      <c r="O880" s="132"/>
      <c r="P880" s="132"/>
      <c r="Q880" s="132"/>
      <c r="R880" s="132"/>
      <c r="S880" s="132"/>
      <c r="T880" s="132"/>
      <c r="U880" s="132"/>
      <c r="V880" s="132"/>
      <c r="W880" s="132"/>
      <c r="X880" s="132"/>
      <c r="Y880" s="132"/>
      <c r="Z880" s="132"/>
    </row>
    <row r="881" spans="1:26" ht="11.25" customHeight="1" x14ac:dyDescent="0.3">
      <c r="A881" s="132"/>
      <c r="B881" s="132"/>
      <c r="C881" s="132"/>
      <c r="D881" s="132"/>
      <c r="E881" s="132"/>
      <c r="F881" s="132"/>
      <c r="G881" s="132"/>
      <c r="H881" s="132"/>
      <c r="I881" s="132"/>
      <c r="J881" s="132"/>
      <c r="K881" s="132"/>
      <c r="L881" s="132"/>
      <c r="M881" s="132"/>
      <c r="N881" s="132"/>
      <c r="O881" s="132"/>
      <c r="P881" s="132"/>
      <c r="Q881" s="132"/>
      <c r="R881" s="132"/>
      <c r="S881" s="132"/>
      <c r="T881" s="132"/>
      <c r="U881" s="132"/>
      <c r="V881" s="132"/>
      <c r="W881" s="132"/>
      <c r="X881" s="132"/>
      <c r="Y881" s="132"/>
      <c r="Z881" s="132"/>
    </row>
    <row r="882" spans="1:26" ht="11.25" customHeight="1" x14ac:dyDescent="0.3">
      <c r="A882" s="132"/>
      <c r="B882" s="132"/>
      <c r="C882" s="132"/>
      <c r="D882" s="132"/>
      <c r="E882" s="132"/>
      <c r="F882" s="132"/>
      <c r="G882" s="132"/>
      <c r="H882" s="132"/>
      <c r="I882" s="132"/>
      <c r="J882" s="132"/>
      <c r="K882" s="132"/>
      <c r="L882" s="132"/>
      <c r="M882" s="132"/>
      <c r="N882" s="132"/>
      <c r="O882" s="132"/>
      <c r="P882" s="132"/>
      <c r="Q882" s="132"/>
      <c r="R882" s="132"/>
      <c r="S882" s="132"/>
      <c r="T882" s="132"/>
      <c r="U882" s="132"/>
      <c r="V882" s="132"/>
      <c r="W882" s="132"/>
      <c r="X882" s="132"/>
      <c r="Y882" s="132"/>
      <c r="Z882" s="132"/>
    </row>
    <row r="883" spans="1:26" ht="11.25" customHeight="1" x14ac:dyDescent="0.3">
      <c r="A883" s="132"/>
      <c r="B883" s="132"/>
      <c r="C883" s="132"/>
      <c r="D883" s="132"/>
      <c r="E883" s="132"/>
      <c r="F883" s="132"/>
      <c r="G883" s="132"/>
      <c r="H883" s="132"/>
      <c r="I883" s="132"/>
      <c r="J883" s="132"/>
      <c r="K883" s="132"/>
      <c r="L883" s="132"/>
      <c r="M883" s="132"/>
      <c r="N883" s="132"/>
      <c r="O883" s="132"/>
      <c r="P883" s="132"/>
      <c r="Q883" s="132"/>
      <c r="R883" s="132"/>
      <c r="S883" s="132"/>
      <c r="T883" s="132"/>
      <c r="U883" s="132"/>
      <c r="V883" s="132"/>
      <c r="W883" s="132"/>
      <c r="X883" s="132"/>
      <c r="Y883" s="132"/>
      <c r="Z883" s="132"/>
    </row>
    <row r="884" spans="1:26" ht="11.25" customHeight="1" x14ac:dyDescent="0.3">
      <c r="A884" s="132"/>
      <c r="B884" s="132"/>
      <c r="C884" s="132"/>
      <c r="D884" s="132"/>
      <c r="E884" s="132"/>
      <c r="F884" s="132"/>
      <c r="G884" s="132"/>
      <c r="H884" s="132"/>
      <c r="I884" s="132"/>
      <c r="J884" s="132"/>
      <c r="K884" s="132"/>
      <c r="L884" s="132"/>
      <c r="M884" s="132"/>
      <c r="N884" s="132"/>
      <c r="O884" s="132"/>
      <c r="P884" s="132"/>
      <c r="Q884" s="132"/>
      <c r="R884" s="132"/>
      <c r="S884" s="132"/>
      <c r="T884" s="132"/>
      <c r="U884" s="132"/>
      <c r="V884" s="132"/>
      <c r="W884" s="132"/>
      <c r="X884" s="132"/>
      <c r="Y884" s="132"/>
      <c r="Z884" s="132"/>
    </row>
    <row r="885" spans="1:26" ht="11.25" customHeight="1" x14ac:dyDescent="0.3">
      <c r="A885" s="132"/>
      <c r="B885" s="132"/>
      <c r="C885" s="132"/>
      <c r="D885" s="132"/>
      <c r="E885" s="132"/>
      <c r="F885" s="132"/>
      <c r="G885" s="132"/>
      <c r="H885" s="132"/>
      <c r="I885" s="132"/>
      <c r="J885" s="132"/>
      <c r="K885" s="132"/>
      <c r="L885" s="132"/>
      <c r="M885" s="132"/>
      <c r="N885" s="132"/>
      <c r="O885" s="132"/>
      <c r="P885" s="132"/>
      <c r="Q885" s="132"/>
      <c r="R885" s="132"/>
      <c r="S885" s="132"/>
      <c r="T885" s="132"/>
      <c r="U885" s="132"/>
      <c r="V885" s="132"/>
      <c r="W885" s="132"/>
      <c r="X885" s="132"/>
      <c r="Y885" s="132"/>
      <c r="Z885" s="132"/>
    </row>
    <row r="886" spans="1:26" ht="11.25" customHeight="1" x14ac:dyDescent="0.3">
      <c r="A886" s="132"/>
      <c r="B886" s="132"/>
      <c r="C886" s="132"/>
      <c r="D886" s="132"/>
      <c r="E886" s="132"/>
      <c r="F886" s="132"/>
      <c r="G886" s="132"/>
      <c r="H886" s="132"/>
      <c r="I886" s="132"/>
      <c r="J886" s="132"/>
      <c r="K886" s="132"/>
      <c r="L886" s="132"/>
      <c r="M886" s="132"/>
      <c r="N886" s="132"/>
      <c r="O886" s="132"/>
      <c r="P886" s="132"/>
      <c r="Q886" s="132"/>
      <c r="R886" s="132"/>
      <c r="S886" s="132"/>
      <c r="T886" s="132"/>
      <c r="U886" s="132"/>
      <c r="V886" s="132"/>
      <c r="W886" s="132"/>
      <c r="X886" s="132"/>
      <c r="Y886" s="132"/>
      <c r="Z886" s="132"/>
    </row>
    <row r="887" spans="1:26" ht="11.25" customHeight="1" x14ac:dyDescent="0.3">
      <c r="A887" s="132"/>
      <c r="B887" s="132"/>
      <c r="C887" s="132"/>
      <c r="D887" s="132"/>
      <c r="E887" s="132"/>
      <c r="F887" s="132"/>
      <c r="G887" s="132"/>
      <c r="H887" s="132"/>
      <c r="I887" s="132"/>
      <c r="J887" s="132"/>
      <c r="K887" s="132"/>
      <c r="L887" s="132"/>
      <c r="M887" s="132"/>
      <c r="N887" s="132"/>
      <c r="O887" s="132"/>
      <c r="P887" s="132"/>
      <c r="Q887" s="132"/>
      <c r="R887" s="132"/>
      <c r="S887" s="132"/>
      <c r="T887" s="132"/>
      <c r="U887" s="132"/>
      <c r="V887" s="132"/>
      <c r="W887" s="132"/>
      <c r="X887" s="132"/>
      <c r="Y887" s="132"/>
      <c r="Z887" s="132"/>
    </row>
    <row r="888" spans="1:26" ht="11.25" customHeight="1" x14ac:dyDescent="0.3">
      <c r="A888" s="132"/>
      <c r="B888" s="132"/>
      <c r="C888" s="132"/>
      <c r="D888" s="132"/>
      <c r="E888" s="132"/>
      <c r="F888" s="132"/>
      <c r="G888" s="132"/>
      <c r="H888" s="132"/>
      <c r="I888" s="132"/>
      <c r="J888" s="132"/>
      <c r="K888" s="132"/>
      <c r="L888" s="132"/>
      <c r="M888" s="132"/>
      <c r="N888" s="132"/>
      <c r="O888" s="132"/>
      <c r="P888" s="132"/>
      <c r="Q888" s="132"/>
      <c r="R888" s="132"/>
      <c r="S888" s="132"/>
      <c r="T888" s="132"/>
      <c r="U888" s="132"/>
      <c r="V888" s="132"/>
      <c r="W888" s="132"/>
      <c r="X888" s="132"/>
      <c r="Y888" s="132"/>
      <c r="Z888" s="132"/>
    </row>
    <row r="889" spans="1:26" ht="11.25" customHeight="1" x14ac:dyDescent="0.3">
      <c r="A889" s="132"/>
      <c r="B889" s="132"/>
      <c r="C889" s="132"/>
      <c r="D889" s="132"/>
      <c r="E889" s="132"/>
      <c r="F889" s="132"/>
      <c r="G889" s="132"/>
      <c r="H889" s="132"/>
      <c r="I889" s="132"/>
      <c r="J889" s="132"/>
      <c r="K889" s="132"/>
      <c r="L889" s="132"/>
      <c r="M889" s="132"/>
      <c r="N889" s="132"/>
      <c r="O889" s="132"/>
      <c r="P889" s="132"/>
      <c r="Q889" s="132"/>
      <c r="R889" s="132"/>
      <c r="S889" s="132"/>
      <c r="T889" s="132"/>
      <c r="U889" s="132"/>
      <c r="V889" s="132"/>
      <c r="W889" s="132"/>
      <c r="X889" s="132"/>
      <c r="Y889" s="132"/>
      <c r="Z889" s="132"/>
    </row>
    <row r="890" spans="1:26" ht="11.25" customHeight="1" x14ac:dyDescent="0.3">
      <c r="A890" s="132"/>
      <c r="B890" s="132"/>
      <c r="C890" s="132"/>
      <c r="D890" s="132"/>
      <c r="E890" s="132"/>
      <c r="F890" s="132"/>
      <c r="G890" s="132"/>
      <c r="H890" s="132"/>
      <c r="I890" s="132"/>
      <c r="J890" s="132"/>
      <c r="K890" s="132"/>
      <c r="L890" s="132"/>
      <c r="M890" s="132"/>
      <c r="N890" s="132"/>
      <c r="O890" s="132"/>
      <c r="P890" s="132"/>
      <c r="Q890" s="132"/>
      <c r="R890" s="132"/>
      <c r="S890" s="132"/>
      <c r="T890" s="132"/>
      <c r="U890" s="132"/>
      <c r="V890" s="132"/>
      <c r="W890" s="132"/>
      <c r="X890" s="132"/>
      <c r="Y890" s="132"/>
      <c r="Z890" s="132"/>
    </row>
    <row r="891" spans="1:26" ht="11.25" customHeight="1" x14ac:dyDescent="0.3">
      <c r="A891" s="132"/>
      <c r="B891" s="132"/>
      <c r="C891" s="132"/>
      <c r="D891" s="132"/>
      <c r="E891" s="132"/>
      <c r="F891" s="132"/>
      <c r="G891" s="132"/>
      <c r="H891" s="132"/>
      <c r="I891" s="132"/>
      <c r="J891" s="132"/>
      <c r="K891" s="132"/>
      <c r="L891" s="132"/>
      <c r="M891" s="132"/>
      <c r="N891" s="132"/>
      <c r="O891" s="132"/>
      <c r="P891" s="132"/>
      <c r="Q891" s="132"/>
      <c r="R891" s="132"/>
      <c r="S891" s="132"/>
      <c r="T891" s="132"/>
      <c r="U891" s="132"/>
      <c r="V891" s="132"/>
      <c r="W891" s="132"/>
      <c r="X891" s="132"/>
      <c r="Y891" s="132"/>
      <c r="Z891" s="132"/>
    </row>
    <row r="892" spans="1:26" ht="11.25" customHeight="1" x14ac:dyDescent="0.3">
      <c r="A892" s="132"/>
      <c r="B892" s="132"/>
      <c r="C892" s="132"/>
      <c r="D892" s="132"/>
      <c r="E892" s="132"/>
      <c r="F892" s="132"/>
      <c r="G892" s="132"/>
      <c r="H892" s="132"/>
      <c r="I892" s="132"/>
      <c r="J892" s="132"/>
      <c r="K892" s="132"/>
      <c r="L892" s="132"/>
      <c r="M892" s="132"/>
      <c r="N892" s="132"/>
      <c r="O892" s="132"/>
      <c r="P892" s="132"/>
      <c r="Q892" s="132"/>
      <c r="R892" s="132"/>
      <c r="S892" s="132"/>
      <c r="T892" s="132"/>
      <c r="U892" s="132"/>
      <c r="V892" s="132"/>
      <c r="W892" s="132"/>
      <c r="X892" s="132"/>
      <c r="Y892" s="132"/>
      <c r="Z892" s="132"/>
    </row>
    <row r="893" spans="1:26" ht="11.25" customHeight="1" x14ac:dyDescent="0.3">
      <c r="A893" s="132"/>
      <c r="B893" s="132"/>
      <c r="C893" s="132"/>
      <c r="D893" s="132"/>
      <c r="E893" s="132"/>
      <c r="F893" s="132"/>
      <c r="G893" s="132"/>
      <c r="H893" s="132"/>
      <c r="I893" s="132"/>
      <c r="J893" s="132"/>
      <c r="K893" s="132"/>
      <c r="L893" s="132"/>
      <c r="M893" s="132"/>
      <c r="N893" s="132"/>
      <c r="O893" s="132"/>
      <c r="P893" s="132"/>
      <c r="Q893" s="132"/>
      <c r="R893" s="132"/>
      <c r="S893" s="132"/>
      <c r="T893" s="132"/>
      <c r="U893" s="132"/>
      <c r="V893" s="132"/>
      <c r="W893" s="132"/>
      <c r="X893" s="132"/>
      <c r="Y893" s="132"/>
      <c r="Z893" s="132"/>
    </row>
    <row r="894" spans="1:26" ht="11.25" customHeight="1" x14ac:dyDescent="0.3">
      <c r="A894" s="132"/>
      <c r="B894" s="132"/>
      <c r="C894" s="132"/>
      <c r="D894" s="132"/>
      <c r="E894" s="132"/>
      <c r="F894" s="132"/>
      <c r="G894" s="132"/>
      <c r="H894" s="132"/>
      <c r="I894" s="132"/>
      <c r="J894" s="132"/>
      <c r="K894" s="132"/>
      <c r="L894" s="132"/>
      <c r="M894" s="132"/>
      <c r="N894" s="132"/>
      <c r="O894" s="132"/>
      <c r="P894" s="132"/>
      <c r="Q894" s="132"/>
      <c r="R894" s="132"/>
      <c r="S894" s="132"/>
      <c r="T894" s="132"/>
      <c r="U894" s="132"/>
      <c r="V894" s="132"/>
      <c r="W894" s="132"/>
      <c r="X894" s="132"/>
      <c r="Y894" s="132"/>
      <c r="Z894" s="132"/>
    </row>
    <row r="895" spans="1:26" ht="11.25" customHeight="1" x14ac:dyDescent="0.3">
      <c r="A895" s="132"/>
      <c r="B895" s="132"/>
      <c r="C895" s="132"/>
      <c r="D895" s="132"/>
      <c r="E895" s="132"/>
      <c r="F895" s="132"/>
      <c r="G895" s="132"/>
      <c r="H895" s="132"/>
      <c r="I895" s="132"/>
      <c r="J895" s="132"/>
      <c r="K895" s="132"/>
      <c r="L895" s="132"/>
      <c r="M895" s="132"/>
      <c r="N895" s="132"/>
      <c r="O895" s="132"/>
      <c r="P895" s="132"/>
      <c r="Q895" s="132"/>
      <c r="R895" s="132"/>
      <c r="S895" s="132"/>
      <c r="T895" s="132"/>
      <c r="U895" s="132"/>
      <c r="V895" s="132"/>
      <c r="W895" s="132"/>
      <c r="X895" s="132"/>
      <c r="Y895" s="132"/>
      <c r="Z895" s="132"/>
    </row>
    <row r="896" spans="1:26" ht="11.25" customHeight="1" x14ac:dyDescent="0.3">
      <c r="A896" s="132"/>
      <c r="B896" s="132"/>
      <c r="C896" s="132"/>
      <c r="D896" s="132"/>
      <c r="E896" s="132"/>
      <c r="F896" s="132"/>
      <c r="G896" s="132"/>
      <c r="H896" s="132"/>
      <c r="I896" s="132"/>
      <c r="J896" s="132"/>
      <c r="K896" s="132"/>
      <c r="L896" s="132"/>
      <c r="M896" s="132"/>
      <c r="N896" s="132"/>
      <c r="O896" s="132"/>
      <c r="P896" s="132"/>
      <c r="Q896" s="132"/>
      <c r="R896" s="132"/>
      <c r="S896" s="132"/>
      <c r="T896" s="132"/>
      <c r="U896" s="132"/>
      <c r="V896" s="132"/>
      <c r="W896" s="132"/>
      <c r="X896" s="132"/>
      <c r="Y896" s="132"/>
      <c r="Z896" s="132"/>
    </row>
    <row r="897" spans="1:26" ht="11.25" customHeight="1" x14ac:dyDescent="0.3">
      <c r="A897" s="132"/>
      <c r="B897" s="132"/>
      <c r="C897" s="132"/>
      <c r="D897" s="132"/>
      <c r="E897" s="132"/>
      <c r="F897" s="132"/>
      <c r="G897" s="132"/>
      <c r="H897" s="132"/>
      <c r="I897" s="132"/>
      <c r="J897" s="132"/>
      <c r="K897" s="132"/>
      <c r="L897" s="132"/>
      <c r="M897" s="132"/>
      <c r="N897" s="132"/>
      <c r="O897" s="132"/>
      <c r="P897" s="132"/>
      <c r="Q897" s="132"/>
      <c r="R897" s="132"/>
      <c r="S897" s="132"/>
      <c r="T897" s="132"/>
      <c r="U897" s="132"/>
      <c r="V897" s="132"/>
      <c r="W897" s="132"/>
      <c r="X897" s="132"/>
      <c r="Y897" s="132"/>
      <c r="Z897" s="132"/>
    </row>
    <row r="898" spans="1:26" ht="11.25" customHeight="1" x14ac:dyDescent="0.3">
      <c r="A898" s="132"/>
      <c r="B898" s="132"/>
      <c r="C898" s="132"/>
      <c r="D898" s="132"/>
      <c r="E898" s="132"/>
      <c r="F898" s="132"/>
      <c r="G898" s="132"/>
      <c r="H898" s="132"/>
      <c r="I898" s="132"/>
      <c r="J898" s="132"/>
      <c r="K898" s="132"/>
      <c r="L898" s="132"/>
      <c r="M898" s="132"/>
      <c r="N898" s="132"/>
      <c r="O898" s="132"/>
      <c r="P898" s="132"/>
      <c r="Q898" s="132"/>
      <c r="R898" s="132"/>
      <c r="S898" s="132"/>
      <c r="T898" s="132"/>
      <c r="U898" s="132"/>
      <c r="V898" s="132"/>
      <c r="W898" s="132"/>
      <c r="X898" s="132"/>
      <c r="Y898" s="132"/>
      <c r="Z898" s="132"/>
    </row>
    <row r="899" spans="1:26" ht="11.25" customHeight="1" x14ac:dyDescent="0.3">
      <c r="A899" s="132"/>
      <c r="B899" s="132"/>
      <c r="C899" s="132"/>
      <c r="D899" s="132"/>
      <c r="E899" s="132"/>
      <c r="F899" s="132"/>
      <c r="G899" s="132"/>
      <c r="H899" s="132"/>
      <c r="I899" s="132"/>
      <c r="J899" s="132"/>
      <c r="K899" s="132"/>
      <c r="L899" s="132"/>
      <c r="M899" s="132"/>
      <c r="N899" s="132"/>
      <c r="O899" s="132"/>
      <c r="P899" s="132"/>
      <c r="Q899" s="132"/>
      <c r="R899" s="132"/>
      <c r="S899" s="132"/>
      <c r="T899" s="132"/>
      <c r="U899" s="132"/>
      <c r="V899" s="132"/>
      <c r="W899" s="132"/>
      <c r="X899" s="132"/>
      <c r="Y899" s="132"/>
      <c r="Z899" s="132"/>
    </row>
    <row r="900" spans="1:26" ht="11.25" customHeight="1" x14ac:dyDescent="0.3">
      <c r="A900" s="132"/>
      <c r="B900" s="132"/>
      <c r="C900" s="132"/>
      <c r="D900" s="132"/>
      <c r="E900" s="132"/>
      <c r="F900" s="132"/>
      <c r="G900" s="132"/>
      <c r="H900" s="132"/>
      <c r="I900" s="132"/>
      <c r="J900" s="132"/>
      <c r="K900" s="132"/>
      <c r="L900" s="132"/>
      <c r="M900" s="132"/>
      <c r="N900" s="132"/>
      <c r="O900" s="132"/>
      <c r="P900" s="132"/>
      <c r="Q900" s="132"/>
      <c r="R900" s="132"/>
      <c r="S900" s="132"/>
      <c r="T900" s="132"/>
      <c r="U900" s="132"/>
      <c r="V900" s="132"/>
      <c r="W900" s="132"/>
      <c r="X900" s="132"/>
      <c r="Y900" s="132"/>
      <c r="Z900" s="132"/>
    </row>
    <row r="901" spans="1:26" ht="11.25" customHeight="1" x14ac:dyDescent="0.3">
      <c r="A901" s="132"/>
      <c r="B901" s="132"/>
      <c r="C901" s="132"/>
      <c r="D901" s="132"/>
      <c r="E901" s="132"/>
      <c r="F901" s="132"/>
      <c r="G901" s="132"/>
      <c r="H901" s="132"/>
      <c r="I901" s="132"/>
      <c r="J901" s="132"/>
      <c r="K901" s="132"/>
      <c r="L901" s="132"/>
      <c r="M901" s="132"/>
      <c r="N901" s="132"/>
      <c r="O901" s="132"/>
      <c r="P901" s="132"/>
      <c r="Q901" s="132"/>
      <c r="R901" s="132"/>
      <c r="S901" s="132"/>
      <c r="T901" s="132"/>
      <c r="U901" s="132"/>
      <c r="V901" s="132"/>
      <c r="W901" s="132"/>
      <c r="X901" s="132"/>
      <c r="Y901" s="132"/>
      <c r="Z901" s="132"/>
    </row>
    <row r="902" spans="1:26" ht="11.25" customHeight="1" x14ac:dyDescent="0.3">
      <c r="A902" s="132"/>
      <c r="B902" s="132"/>
      <c r="C902" s="132"/>
      <c r="D902" s="132"/>
      <c r="E902" s="132"/>
      <c r="F902" s="132"/>
      <c r="G902" s="132"/>
      <c r="H902" s="132"/>
      <c r="I902" s="132"/>
      <c r="J902" s="132"/>
      <c r="K902" s="132"/>
      <c r="L902" s="132"/>
      <c r="M902" s="132"/>
      <c r="N902" s="132"/>
      <c r="O902" s="132"/>
      <c r="P902" s="132"/>
      <c r="Q902" s="132"/>
      <c r="R902" s="132"/>
      <c r="S902" s="132"/>
      <c r="T902" s="132"/>
      <c r="U902" s="132"/>
      <c r="V902" s="132"/>
      <c r="W902" s="132"/>
      <c r="X902" s="132"/>
      <c r="Y902" s="132"/>
      <c r="Z902" s="132"/>
    </row>
    <row r="903" spans="1:26" ht="11.25" customHeight="1" x14ac:dyDescent="0.3">
      <c r="A903" s="132"/>
      <c r="B903" s="132"/>
      <c r="C903" s="132"/>
      <c r="D903" s="132"/>
      <c r="E903" s="132"/>
      <c r="F903" s="132"/>
      <c r="G903" s="132"/>
      <c r="H903" s="132"/>
      <c r="I903" s="132"/>
      <c r="J903" s="132"/>
      <c r="K903" s="132"/>
      <c r="L903" s="132"/>
      <c r="M903" s="132"/>
      <c r="N903" s="132"/>
      <c r="O903" s="132"/>
      <c r="P903" s="132"/>
      <c r="Q903" s="132"/>
      <c r="R903" s="132"/>
      <c r="S903" s="132"/>
      <c r="T903" s="132"/>
      <c r="U903" s="132"/>
      <c r="V903" s="132"/>
      <c r="W903" s="132"/>
      <c r="X903" s="132"/>
      <c r="Y903" s="132"/>
      <c r="Z903" s="132"/>
    </row>
    <row r="904" spans="1:26" ht="11.25" customHeight="1" x14ac:dyDescent="0.3">
      <c r="A904" s="132"/>
      <c r="B904" s="132"/>
      <c r="C904" s="132"/>
      <c r="D904" s="132"/>
      <c r="E904" s="132"/>
      <c r="F904" s="132"/>
      <c r="G904" s="132"/>
      <c r="H904" s="132"/>
      <c r="I904" s="132"/>
      <c r="J904" s="132"/>
      <c r="K904" s="132"/>
      <c r="L904" s="132"/>
      <c r="M904" s="132"/>
      <c r="N904" s="132"/>
      <c r="O904" s="132"/>
      <c r="P904" s="132"/>
      <c r="Q904" s="132"/>
      <c r="R904" s="132"/>
      <c r="S904" s="132"/>
      <c r="T904" s="132"/>
      <c r="U904" s="132"/>
      <c r="V904" s="132"/>
      <c r="W904" s="132"/>
      <c r="X904" s="132"/>
      <c r="Y904" s="132"/>
      <c r="Z904" s="132"/>
    </row>
    <row r="905" spans="1:26" ht="11.25" customHeight="1" x14ac:dyDescent="0.3">
      <c r="A905" s="132"/>
      <c r="B905" s="132"/>
      <c r="C905" s="132"/>
      <c r="D905" s="132"/>
      <c r="E905" s="132"/>
      <c r="F905" s="132"/>
      <c r="G905" s="132"/>
      <c r="H905" s="132"/>
      <c r="I905" s="132"/>
      <c r="J905" s="132"/>
      <c r="K905" s="132"/>
      <c r="L905" s="132"/>
      <c r="M905" s="132"/>
      <c r="N905" s="132"/>
      <c r="O905" s="132"/>
      <c r="P905" s="132"/>
      <c r="Q905" s="132"/>
      <c r="R905" s="132"/>
      <c r="S905" s="132"/>
      <c r="T905" s="132"/>
      <c r="U905" s="132"/>
      <c r="V905" s="132"/>
      <c r="W905" s="132"/>
      <c r="X905" s="132"/>
      <c r="Y905" s="132"/>
      <c r="Z905" s="132"/>
    </row>
    <row r="906" spans="1:26" ht="11.25" customHeight="1" x14ac:dyDescent="0.3">
      <c r="A906" s="132"/>
      <c r="B906" s="132"/>
      <c r="C906" s="132"/>
      <c r="D906" s="132"/>
      <c r="E906" s="132"/>
      <c r="F906" s="132"/>
      <c r="G906" s="132"/>
      <c r="H906" s="132"/>
      <c r="I906" s="132"/>
      <c r="J906" s="132"/>
      <c r="K906" s="132"/>
      <c r="L906" s="132"/>
      <c r="M906" s="132"/>
      <c r="N906" s="132"/>
      <c r="O906" s="132"/>
      <c r="P906" s="132"/>
      <c r="Q906" s="132"/>
      <c r="R906" s="132"/>
      <c r="S906" s="132"/>
      <c r="T906" s="132"/>
      <c r="U906" s="132"/>
      <c r="V906" s="132"/>
      <c r="W906" s="132"/>
      <c r="X906" s="132"/>
      <c r="Y906" s="132"/>
      <c r="Z906" s="132"/>
    </row>
    <row r="907" spans="1:26" ht="11.25" customHeight="1" x14ac:dyDescent="0.3">
      <c r="A907" s="132"/>
      <c r="B907" s="132"/>
      <c r="C907" s="132"/>
      <c r="D907" s="132"/>
      <c r="E907" s="132"/>
      <c r="F907" s="132"/>
      <c r="G907" s="132"/>
      <c r="H907" s="132"/>
      <c r="I907" s="132"/>
      <c r="J907" s="132"/>
      <c r="K907" s="132"/>
      <c r="L907" s="132"/>
      <c r="M907" s="132"/>
      <c r="N907" s="132"/>
      <c r="O907" s="132"/>
      <c r="P907" s="132"/>
      <c r="Q907" s="132"/>
      <c r="R907" s="132"/>
      <c r="S907" s="132"/>
      <c r="T907" s="132"/>
      <c r="U907" s="132"/>
      <c r="V907" s="132"/>
      <c r="W907" s="132"/>
      <c r="X907" s="132"/>
      <c r="Y907" s="132"/>
      <c r="Z907" s="132"/>
    </row>
    <row r="908" spans="1:26" ht="11.25" customHeight="1" x14ac:dyDescent="0.3">
      <c r="A908" s="132"/>
      <c r="B908" s="132"/>
      <c r="C908" s="132"/>
      <c r="D908" s="132"/>
      <c r="E908" s="132"/>
      <c r="F908" s="132"/>
      <c r="G908" s="132"/>
      <c r="H908" s="132"/>
      <c r="I908" s="132"/>
      <c r="J908" s="132"/>
      <c r="K908" s="132"/>
      <c r="L908" s="132"/>
      <c r="M908" s="132"/>
      <c r="N908" s="132"/>
      <c r="O908" s="132"/>
      <c r="P908" s="132"/>
      <c r="Q908" s="132"/>
      <c r="R908" s="132"/>
      <c r="S908" s="132"/>
      <c r="T908" s="132"/>
      <c r="U908" s="132"/>
      <c r="V908" s="132"/>
      <c r="W908" s="132"/>
      <c r="X908" s="132"/>
      <c r="Y908" s="132"/>
      <c r="Z908" s="132"/>
    </row>
    <row r="909" spans="1:26" ht="11.25" customHeight="1" x14ac:dyDescent="0.3">
      <c r="A909" s="132"/>
      <c r="B909" s="132"/>
      <c r="C909" s="132"/>
      <c r="D909" s="132"/>
      <c r="E909" s="132"/>
      <c r="F909" s="132"/>
      <c r="G909" s="132"/>
      <c r="H909" s="132"/>
      <c r="I909" s="132"/>
      <c r="J909" s="132"/>
      <c r="K909" s="132"/>
      <c r="L909" s="132"/>
      <c r="M909" s="132"/>
      <c r="N909" s="132"/>
      <c r="O909" s="132"/>
      <c r="P909" s="132"/>
      <c r="Q909" s="132"/>
      <c r="R909" s="132"/>
      <c r="S909" s="132"/>
      <c r="T909" s="132"/>
      <c r="U909" s="132"/>
      <c r="V909" s="132"/>
      <c r="W909" s="132"/>
      <c r="X909" s="132"/>
      <c r="Y909" s="132"/>
      <c r="Z909" s="132"/>
    </row>
    <row r="910" spans="1:26" ht="11.25" customHeight="1" x14ac:dyDescent="0.3">
      <c r="A910" s="132"/>
      <c r="B910" s="132"/>
      <c r="C910" s="132"/>
      <c r="D910" s="132"/>
      <c r="E910" s="132"/>
      <c r="F910" s="132"/>
      <c r="G910" s="132"/>
      <c r="H910" s="132"/>
      <c r="I910" s="132"/>
      <c r="J910" s="132"/>
      <c r="K910" s="132"/>
      <c r="L910" s="132"/>
      <c r="M910" s="132"/>
      <c r="N910" s="132"/>
      <c r="O910" s="132"/>
      <c r="P910" s="132"/>
      <c r="Q910" s="132"/>
      <c r="R910" s="132"/>
      <c r="S910" s="132"/>
      <c r="T910" s="132"/>
      <c r="U910" s="132"/>
      <c r="V910" s="132"/>
      <c r="W910" s="132"/>
      <c r="X910" s="132"/>
      <c r="Y910" s="132"/>
      <c r="Z910" s="132"/>
    </row>
    <row r="911" spans="1:26" ht="11.25" customHeight="1" x14ac:dyDescent="0.3">
      <c r="A911" s="132"/>
      <c r="B911" s="132"/>
      <c r="C911" s="132"/>
      <c r="D911" s="132"/>
      <c r="E911" s="132"/>
      <c r="F911" s="132"/>
      <c r="G911" s="132"/>
      <c r="H911" s="132"/>
      <c r="I911" s="132"/>
      <c r="J911" s="132"/>
      <c r="K911" s="132"/>
      <c r="L911" s="132"/>
      <c r="M911" s="132"/>
      <c r="N911" s="132"/>
      <c r="O911" s="132"/>
      <c r="P911" s="132"/>
      <c r="Q911" s="132"/>
      <c r="R911" s="132"/>
      <c r="S911" s="132"/>
      <c r="T911" s="132"/>
      <c r="U911" s="132"/>
      <c r="V911" s="132"/>
      <c r="W911" s="132"/>
      <c r="X911" s="132"/>
      <c r="Y911" s="132"/>
      <c r="Z911" s="132"/>
    </row>
    <row r="912" spans="1:26" ht="11.25" customHeight="1" x14ac:dyDescent="0.3">
      <c r="A912" s="132"/>
      <c r="B912" s="132"/>
      <c r="C912" s="132"/>
      <c r="D912" s="132"/>
      <c r="E912" s="132"/>
      <c r="F912" s="132"/>
      <c r="G912" s="132"/>
      <c r="H912" s="132"/>
      <c r="I912" s="132"/>
      <c r="J912" s="132"/>
      <c r="K912" s="132"/>
      <c r="L912" s="132"/>
      <c r="M912" s="132"/>
      <c r="N912" s="132"/>
      <c r="O912" s="132"/>
      <c r="P912" s="132"/>
      <c r="Q912" s="132"/>
      <c r="R912" s="132"/>
      <c r="S912" s="132"/>
      <c r="T912" s="132"/>
      <c r="U912" s="132"/>
      <c r="V912" s="132"/>
      <c r="W912" s="132"/>
      <c r="X912" s="132"/>
      <c r="Y912" s="132"/>
      <c r="Z912" s="132"/>
    </row>
    <row r="913" spans="1:26" ht="11.25" customHeight="1" x14ac:dyDescent="0.3">
      <c r="A913" s="132"/>
      <c r="B913" s="132"/>
      <c r="C913" s="132"/>
      <c r="D913" s="132"/>
      <c r="E913" s="132"/>
      <c r="F913" s="132"/>
      <c r="G913" s="132"/>
      <c r="H913" s="132"/>
      <c r="I913" s="132"/>
      <c r="J913" s="132"/>
      <c r="K913" s="132"/>
      <c r="L913" s="132"/>
      <c r="M913" s="132"/>
      <c r="N913" s="132"/>
      <c r="O913" s="132"/>
      <c r="P913" s="132"/>
      <c r="Q913" s="132"/>
      <c r="R913" s="132"/>
      <c r="S913" s="132"/>
      <c r="T913" s="132"/>
      <c r="U913" s="132"/>
      <c r="V913" s="132"/>
      <c r="W913" s="132"/>
      <c r="X913" s="132"/>
      <c r="Y913" s="132"/>
      <c r="Z913" s="132"/>
    </row>
    <row r="914" spans="1:26" ht="11.25" customHeight="1" x14ac:dyDescent="0.3">
      <c r="A914" s="132"/>
      <c r="B914" s="132"/>
      <c r="C914" s="132"/>
      <c r="D914" s="132"/>
      <c r="E914" s="132"/>
      <c r="F914" s="132"/>
      <c r="G914" s="132"/>
      <c r="H914" s="132"/>
      <c r="I914" s="132"/>
      <c r="J914" s="132"/>
      <c r="K914" s="132"/>
      <c r="L914" s="132"/>
      <c r="M914" s="132"/>
      <c r="N914" s="132"/>
      <c r="O914" s="132"/>
      <c r="P914" s="132"/>
      <c r="Q914" s="132"/>
      <c r="R914" s="132"/>
      <c r="S914" s="132"/>
      <c r="T914" s="132"/>
      <c r="U914" s="132"/>
      <c r="V914" s="132"/>
      <c r="W914" s="132"/>
      <c r="X914" s="132"/>
      <c r="Y914" s="132"/>
      <c r="Z914" s="132"/>
    </row>
    <row r="915" spans="1:26" ht="11.25" customHeight="1" x14ac:dyDescent="0.3">
      <c r="A915" s="132"/>
      <c r="B915" s="132"/>
      <c r="C915" s="132"/>
      <c r="D915" s="132"/>
      <c r="E915" s="132"/>
      <c r="F915" s="132"/>
      <c r="G915" s="132"/>
      <c r="H915" s="132"/>
      <c r="I915" s="132"/>
      <c r="J915" s="132"/>
      <c r="K915" s="132"/>
      <c r="L915" s="132"/>
      <c r="M915" s="132"/>
      <c r="N915" s="132"/>
      <c r="O915" s="132"/>
      <c r="P915" s="132"/>
      <c r="Q915" s="132"/>
      <c r="R915" s="132"/>
      <c r="S915" s="132"/>
      <c r="T915" s="132"/>
      <c r="U915" s="132"/>
      <c r="V915" s="132"/>
      <c r="W915" s="132"/>
      <c r="X915" s="132"/>
      <c r="Y915" s="132"/>
      <c r="Z915" s="132"/>
    </row>
    <row r="916" spans="1:26" ht="11.25" customHeight="1" x14ac:dyDescent="0.3">
      <c r="A916" s="132"/>
      <c r="B916" s="132"/>
      <c r="C916" s="132"/>
      <c r="D916" s="132"/>
      <c r="E916" s="132"/>
      <c r="F916" s="132"/>
      <c r="G916" s="132"/>
      <c r="H916" s="132"/>
      <c r="I916" s="132"/>
      <c r="J916" s="132"/>
      <c r="K916" s="132"/>
      <c r="L916" s="132"/>
      <c r="M916" s="132"/>
      <c r="N916" s="132"/>
      <c r="O916" s="132"/>
      <c r="P916" s="132"/>
      <c r="Q916" s="132"/>
      <c r="R916" s="132"/>
      <c r="S916" s="132"/>
      <c r="T916" s="132"/>
      <c r="U916" s="132"/>
      <c r="V916" s="132"/>
      <c r="W916" s="132"/>
      <c r="X916" s="132"/>
      <c r="Y916" s="132"/>
      <c r="Z916" s="132"/>
    </row>
    <row r="917" spans="1:26" ht="11.25" customHeight="1" x14ac:dyDescent="0.3">
      <c r="A917" s="132"/>
      <c r="B917" s="132"/>
      <c r="C917" s="132"/>
      <c r="D917" s="132"/>
      <c r="E917" s="132"/>
      <c r="F917" s="132"/>
      <c r="G917" s="132"/>
      <c r="H917" s="132"/>
      <c r="I917" s="132"/>
      <c r="J917" s="132"/>
      <c r="K917" s="132"/>
      <c r="L917" s="132"/>
      <c r="M917" s="132"/>
      <c r="N917" s="132"/>
      <c r="O917" s="132"/>
      <c r="P917" s="132"/>
      <c r="Q917" s="132"/>
      <c r="R917" s="132"/>
      <c r="S917" s="132"/>
      <c r="T917" s="132"/>
      <c r="U917" s="132"/>
      <c r="V917" s="132"/>
      <c r="W917" s="132"/>
      <c r="X917" s="132"/>
      <c r="Y917" s="132"/>
      <c r="Z917" s="132"/>
    </row>
    <row r="918" spans="1:26" ht="11.25" customHeight="1" x14ac:dyDescent="0.3">
      <c r="A918" s="132"/>
      <c r="B918" s="132"/>
      <c r="C918" s="132"/>
      <c r="D918" s="132"/>
      <c r="E918" s="132"/>
      <c r="F918" s="132"/>
      <c r="G918" s="132"/>
      <c r="H918" s="132"/>
      <c r="I918" s="132"/>
      <c r="J918" s="132"/>
      <c r="K918" s="132"/>
      <c r="L918" s="132"/>
      <c r="M918" s="132"/>
      <c r="N918" s="132"/>
      <c r="O918" s="132"/>
      <c r="P918" s="132"/>
      <c r="Q918" s="132"/>
      <c r="R918" s="132"/>
      <c r="S918" s="132"/>
      <c r="T918" s="132"/>
      <c r="U918" s="132"/>
      <c r="V918" s="132"/>
      <c r="W918" s="132"/>
      <c r="X918" s="132"/>
      <c r="Y918" s="132"/>
      <c r="Z918" s="132"/>
    </row>
    <row r="919" spans="1:26" ht="11.25" customHeight="1" x14ac:dyDescent="0.3">
      <c r="A919" s="132"/>
      <c r="B919" s="132"/>
      <c r="C919" s="132"/>
      <c r="D919" s="132"/>
      <c r="E919" s="132"/>
      <c r="F919" s="132"/>
      <c r="G919" s="132"/>
      <c r="H919" s="132"/>
      <c r="I919" s="132"/>
      <c r="J919" s="132"/>
      <c r="K919" s="132"/>
      <c r="L919" s="132"/>
      <c r="M919" s="132"/>
      <c r="N919" s="132"/>
      <c r="O919" s="132"/>
      <c r="P919" s="132"/>
      <c r="Q919" s="132"/>
      <c r="R919" s="132"/>
      <c r="S919" s="132"/>
      <c r="T919" s="132"/>
      <c r="U919" s="132"/>
      <c r="V919" s="132"/>
      <c r="W919" s="132"/>
      <c r="X919" s="132"/>
      <c r="Y919" s="132"/>
      <c r="Z919" s="132"/>
    </row>
    <row r="920" spans="1:26" ht="11.25" customHeight="1" x14ac:dyDescent="0.3">
      <c r="A920" s="132"/>
      <c r="B920" s="132"/>
      <c r="C920" s="132"/>
      <c r="D920" s="132"/>
      <c r="E920" s="132"/>
      <c r="F920" s="132"/>
      <c r="G920" s="132"/>
      <c r="H920" s="132"/>
      <c r="I920" s="132"/>
      <c r="J920" s="132"/>
      <c r="K920" s="132"/>
      <c r="L920" s="132"/>
      <c r="M920" s="132"/>
      <c r="N920" s="132"/>
      <c r="O920" s="132"/>
      <c r="P920" s="132"/>
      <c r="Q920" s="132"/>
      <c r="R920" s="132"/>
      <c r="S920" s="132"/>
      <c r="T920" s="132"/>
      <c r="U920" s="132"/>
      <c r="V920" s="132"/>
      <c r="W920" s="132"/>
      <c r="X920" s="132"/>
      <c r="Y920" s="132"/>
      <c r="Z920" s="132"/>
    </row>
    <row r="921" spans="1:26" ht="11.25" customHeight="1" x14ac:dyDescent="0.3">
      <c r="A921" s="132"/>
      <c r="B921" s="132"/>
      <c r="C921" s="132"/>
      <c r="D921" s="132"/>
      <c r="E921" s="132"/>
      <c r="F921" s="132"/>
      <c r="G921" s="132"/>
      <c r="H921" s="132"/>
      <c r="I921" s="132"/>
      <c r="J921" s="132"/>
      <c r="K921" s="132"/>
      <c r="L921" s="132"/>
      <c r="M921" s="132"/>
      <c r="N921" s="132"/>
      <c r="O921" s="132"/>
      <c r="P921" s="132"/>
      <c r="Q921" s="132"/>
      <c r="R921" s="132"/>
      <c r="S921" s="132"/>
      <c r="T921" s="132"/>
      <c r="U921" s="132"/>
      <c r="V921" s="132"/>
      <c r="W921" s="132"/>
      <c r="X921" s="132"/>
      <c r="Y921" s="132"/>
      <c r="Z921" s="132"/>
    </row>
    <row r="922" spans="1:26" ht="11.25" customHeight="1" x14ac:dyDescent="0.3">
      <c r="A922" s="132"/>
      <c r="B922" s="132"/>
      <c r="C922" s="132"/>
      <c r="D922" s="132"/>
      <c r="E922" s="132"/>
      <c r="F922" s="132"/>
      <c r="G922" s="132"/>
      <c r="H922" s="132"/>
      <c r="I922" s="132"/>
      <c r="J922" s="132"/>
      <c r="K922" s="132"/>
      <c r="L922" s="132"/>
      <c r="M922" s="132"/>
      <c r="N922" s="132"/>
      <c r="O922" s="132"/>
      <c r="P922" s="132"/>
      <c r="Q922" s="132"/>
      <c r="R922" s="132"/>
      <c r="S922" s="132"/>
      <c r="T922" s="132"/>
      <c r="U922" s="132"/>
      <c r="V922" s="132"/>
      <c r="W922" s="132"/>
      <c r="X922" s="132"/>
      <c r="Y922" s="132"/>
      <c r="Z922" s="132"/>
    </row>
    <row r="923" spans="1:26" ht="11.25" customHeight="1" x14ac:dyDescent="0.3">
      <c r="A923" s="132"/>
      <c r="B923" s="132"/>
      <c r="C923" s="132"/>
      <c r="D923" s="132"/>
      <c r="E923" s="132"/>
      <c r="F923" s="132"/>
      <c r="G923" s="132"/>
      <c r="H923" s="132"/>
      <c r="I923" s="132"/>
      <c r="J923" s="132"/>
      <c r="K923" s="132"/>
      <c r="L923" s="132"/>
      <c r="M923" s="132"/>
      <c r="N923" s="132"/>
      <c r="O923" s="132"/>
      <c r="P923" s="132"/>
      <c r="Q923" s="132"/>
      <c r="R923" s="132"/>
      <c r="S923" s="132"/>
      <c r="T923" s="132"/>
      <c r="U923" s="132"/>
      <c r="V923" s="132"/>
      <c r="W923" s="132"/>
      <c r="X923" s="132"/>
      <c r="Y923" s="132"/>
      <c r="Z923" s="132"/>
    </row>
    <row r="924" spans="1:26" ht="11.25" customHeight="1" x14ac:dyDescent="0.3">
      <c r="A924" s="132"/>
      <c r="B924" s="132"/>
      <c r="C924" s="132"/>
      <c r="D924" s="132"/>
      <c r="E924" s="132"/>
      <c r="F924" s="132"/>
      <c r="G924" s="132"/>
      <c r="H924" s="132"/>
      <c r="I924" s="132"/>
      <c r="J924" s="132"/>
      <c r="K924" s="132"/>
      <c r="L924" s="132"/>
      <c r="M924" s="132"/>
      <c r="N924" s="132"/>
      <c r="O924" s="132"/>
      <c r="P924" s="132"/>
      <c r="Q924" s="132"/>
      <c r="R924" s="132"/>
      <c r="S924" s="132"/>
      <c r="T924" s="132"/>
      <c r="U924" s="132"/>
      <c r="V924" s="132"/>
      <c r="W924" s="132"/>
      <c r="X924" s="132"/>
      <c r="Y924" s="132"/>
      <c r="Z924" s="132"/>
    </row>
    <row r="925" spans="1:26" ht="11.25" customHeight="1" x14ac:dyDescent="0.3">
      <c r="A925" s="132"/>
      <c r="B925" s="132"/>
      <c r="C925" s="132"/>
      <c r="D925" s="132"/>
      <c r="E925" s="132"/>
      <c r="F925" s="132"/>
      <c r="G925" s="132"/>
      <c r="H925" s="132"/>
      <c r="I925" s="132"/>
      <c r="J925" s="132"/>
      <c r="K925" s="132"/>
      <c r="L925" s="132"/>
      <c r="M925" s="132"/>
      <c r="N925" s="132"/>
      <c r="O925" s="132"/>
      <c r="P925" s="132"/>
      <c r="Q925" s="132"/>
      <c r="R925" s="132"/>
      <c r="S925" s="132"/>
      <c r="T925" s="132"/>
      <c r="U925" s="132"/>
      <c r="V925" s="132"/>
      <c r="W925" s="132"/>
      <c r="X925" s="132"/>
      <c r="Y925" s="132"/>
      <c r="Z925" s="132"/>
    </row>
    <row r="926" spans="1:26" ht="11.25" customHeight="1" x14ac:dyDescent="0.3">
      <c r="A926" s="132"/>
      <c r="B926" s="132"/>
      <c r="C926" s="132"/>
      <c r="D926" s="132"/>
      <c r="E926" s="132"/>
      <c r="F926" s="132"/>
      <c r="G926" s="132"/>
      <c r="H926" s="132"/>
      <c r="I926" s="132"/>
      <c r="J926" s="132"/>
      <c r="K926" s="132"/>
      <c r="L926" s="132"/>
      <c r="M926" s="132"/>
      <c r="N926" s="132"/>
      <c r="O926" s="132"/>
      <c r="P926" s="132"/>
      <c r="Q926" s="132"/>
      <c r="R926" s="132"/>
      <c r="S926" s="132"/>
      <c r="T926" s="132"/>
      <c r="U926" s="132"/>
      <c r="V926" s="132"/>
      <c r="W926" s="132"/>
      <c r="X926" s="132"/>
      <c r="Y926" s="132"/>
      <c r="Z926" s="132"/>
    </row>
    <row r="927" spans="1:26" ht="11.25" customHeight="1" x14ac:dyDescent="0.3">
      <c r="A927" s="132"/>
      <c r="B927" s="132"/>
      <c r="C927" s="132"/>
      <c r="D927" s="132"/>
      <c r="E927" s="132"/>
      <c r="F927" s="132"/>
      <c r="G927" s="132"/>
      <c r="H927" s="132"/>
      <c r="I927" s="132"/>
      <c r="J927" s="132"/>
      <c r="K927" s="132"/>
      <c r="L927" s="132"/>
      <c r="M927" s="132"/>
      <c r="N927" s="132"/>
      <c r="O927" s="132"/>
      <c r="P927" s="132"/>
      <c r="Q927" s="132"/>
      <c r="R927" s="132"/>
      <c r="S927" s="132"/>
      <c r="T927" s="132"/>
      <c r="U927" s="132"/>
      <c r="V927" s="132"/>
      <c r="W927" s="132"/>
      <c r="X927" s="132"/>
      <c r="Y927" s="132"/>
      <c r="Z927" s="132"/>
    </row>
    <row r="928" spans="1:26" ht="11.25" customHeight="1" x14ac:dyDescent="0.3">
      <c r="A928" s="132"/>
      <c r="B928" s="132"/>
      <c r="C928" s="132"/>
      <c r="D928" s="132"/>
      <c r="E928" s="132"/>
      <c r="F928" s="132"/>
      <c r="G928" s="132"/>
      <c r="H928" s="132"/>
      <c r="I928" s="132"/>
      <c r="J928" s="132"/>
      <c r="K928" s="132"/>
      <c r="L928" s="132"/>
      <c r="M928" s="132"/>
      <c r="N928" s="132"/>
      <c r="O928" s="132"/>
      <c r="P928" s="132"/>
      <c r="Q928" s="132"/>
      <c r="R928" s="132"/>
      <c r="S928" s="132"/>
      <c r="T928" s="132"/>
      <c r="U928" s="132"/>
      <c r="V928" s="132"/>
      <c r="W928" s="132"/>
      <c r="X928" s="132"/>
      <c r="Y928" s="132"/>
      <c r="Z928" s="132"/>
    </row>
    <row r="929" spans="1:26" ht="11.25" customHeight="1" x14ac:dyDescent="0.3">
      <c r="A929" s="132"/>
      <c r="B929" s="132"/>
      <c r="C929" s="132"/>
      <c r="D929" s="132"/>
      <c r="E929" s="132"/>
      <c r="F929" s="132"/>
      <c r="G929" s="132"/>
      <c r="H929" s="132"/>
      <c r="I929" s="132"/>
      <c r="J929" s="132"/>
      <c r="K929" s="132"/>
      <c r="L929" s="132"/>
      <c r="M929" s="132"/>
      <c r="N929" s="132"/>
      <c r="O929" s="132"/>
      <c r="P929" s="132"/>
      <c r="Q929" s="132"/>
      <c r="R929" s="132"/>
      <c r="S929" s="132"/>
      <c r="T929" s="132"/>
      <c r="U929" s="132"/>
      <c r="V929" s="132"/>
      <c r="W929" s="132"/>
      <c r="X929" s="132"/>
      <c r="Y929" s="132"/>
      <c r="Z929" s="132"/>
    </row>
    <row r="930" spans="1:26" ht="11.25" customHeight="1" x14ac:dyDescent="0.3">
      <c r="A930" s="132"/>
      <c r="B930" s="132"/>
      <c r="C930" s="132"/>
      <c r="D930" s="132"/>
      <c r="E930" s="132"/>
      <c r="F930" s="132"/>
      <c r="G930" s="132"/>
      <c r="H930" s="132"/>
      <c r="I930" s="132"/>
      <c r="J930" s="132"/>
      <c r="K930" s="132"/>
      <c r="L930" s="132"/>
      <c r="M930" s="132"/>
      <c r="N930" s="132"/>
      <c r="O930" s="132"/>
      <c r="P930" s="132"/>
      <c r="Q930" s="132"/>
      <c r="R930" s="132"/>
      <c r="S930" s="132"/>
      <c r="T930" s="132"/>
      <c r="U930" s="132"/>
      <c r="V930" s="132"/>
      <c r="W930" s="132"/>
      <c r="X930" s="132"/>
      <c r="Y930" s="132"/>
      <c r="Z930" s="132"/>
    </row>
    <row r="931" spans="1:26" ht="11.25" customHeight="1" x14ac:dyDescent="0.3">
      <c r="A931" s="132"/>
      <c r="B931" s="132"/>
      <c r="C931" s="132"/>
      <c r="D931" s="132"/>
      <c r="E931" s="132"/>
      <c r="F931" s="132"/>
      <c r="G931" s="132"/>
      <c r="H931" s="132"/>
      <c r="I931" s="132"/>
      <c r="J931" s="132"/>
      <c r="K931" s="132"/>
      <c r="L931" s="132"/>
      <c r="M931" s="132"/>
      <c r="N931" s="132"/>
      <c r="O931" s="132"/>
      <c r="P931" s="132"/>
      <c r="Q931" s="132"/>
      <c r="R931" s="132"/>
      <c r="S931" s="132"/>
      <c r="T931" s="132"/>
      <c r="U931" s="132"/>
      <c r="V931" s="132"/>
      <c r="W931" s="132"/>
      <c r="X931" s="132"/>
      <c r="Y931" s="132"/>
      <c r="Z931" s="132"/>
    </row>
    <row r="932" spans="1:26" ht="11.25" customHeight="1" x14ac:dyDescent="0.3">
      <c r="A932" s="132"/>
      <c r="B932" s="132"/>
      <c r="C932" s="132"/>
      <c r="D932" s="132"/>
      <c r="E932" s="132"/>
      <c r="F932" s="132"/>
      <c r="G932" s="132"/>
      <c r="H932" s="132"/>
      <c r="I932" s="132"/>
      <c r="J932" s="132"/>
      <c r="K932" s="132"/>
      <c r="L932" s="132"/>
      <c r="M932" s="132"/>
      <c r="N932" s="132"/>
      <c r="O932" s="132"/>
      <c r="P932" s="132"/>
      <c r="Q932" s="132"/>
      <c r="R932" s="132"/>
      <c r="S932" s="132"/>
      <c r="T932" s="132"/>
      <c r="U932" s="132"/>
      <c r="V932" s="132"/>
      <c r="W932" s="132"/>
      <c r="X932" s="132"/>
      <c r="Y932" s="132"/>
      <c r="Z932" s="132"/>
    </row>
    <row r="933" spans="1:26" ht="11.25" customHeight="1" x14ac:dyDescent="0.3">
      <c r="A933" s="132"/>
      <c r="B933" s="132"/>
      <c r="C933" s="132"/>
      <c r="D933" s="132"/>
      <c r="E933" s="132"/>
      <c r="F933" s="132"/>
      <c r="G933" s="132"/>
      <c r="H933" s="132"/>
      <c r="I933" s="132"/>
      <c r="J933" s="132"/>
      <c r="K933" s="132"/>
      <c r="L933" s="132"/>
      <c r="M933" s="132"/>
      <c r="N933" s="132"/>
      <c r="O933" s="132"/>
      <c r="P933" s="132"/>
      <c r="Q933" s="132"/>
      <c r="R933" s="132"/>
      <c r="S933" s="132"/>
      <c r="T933" s="132"/>
      <c r="U933" s="132"/>
      <c r="V933" s="132"/>
      <c r="W933" s="132"/>
      <c r="X933" s="132"/>
      <c r="Y933" s="132"/>
      <c r="Z933" s="132"/>
    </row>
    <row r="934" spans="1:26" ht="11.25" customHeight="1" x14ac:dyDescent="0.3">
      <c r="A934" s="132"/>
      <c r="B934" s="132"/>
      <c r="C934" s="132"/>
      <c r="D934" s="132"/>
      <c r="E934" s="132"/>
      <c r="F934" s="132"/>
      <c r="G934" s="132"/>
      <c r="H934" s="132"/>
      <c r="I934" s="132"/>
      <c r="J934" s="132"/>
      <c r="K934" s="132"/>
      <c r="L934" s="132"/>
      <c r="M934" s="132"/>
      <c r="N934" s="132"/>
      <c r="O934" s="132"/>
      <c r="P934" s="132"/>
      <c r="Q934" s="132"/>
      <c r="R934" s="132"/>
      <c r="S934" s="132"/>
      <c r="T934" s="132"/>
      <c r="U934" s="132"/>
      <c r="V934" s="132"/>
      <c r="W934" s="132"/>
      <c r="X934" s="132"/>
      <c r="Y934" s="132"/>
      <c r="Z934" s="132"/>
    </row>
    <row r="935" spans="1:26" ht="11.25" customHeight="1" x14ac:dyDescent="0.3">
      <c r="A935" s="132"/>
      <c r="B935" s="132"/>
      <c r="C935" s="132"/>
      <c r="D935" s="132"/>
      <c r="E935" s="132"/>
      <c r="F935" s="132"/>
      <c r="G935" s="132"/>
      <c r="H935" s="132"/>
      <c r="I935" s="132"/>
      <c r="J935" s="132"/>
      <c r="K935" s="132"/>
      <c r="L935" s="132"/>
      <c r="M935" s="132"/>
      <c r="N935" s="132"/>
      <c r="O935" s="132"/>
      <c r="P935" s="132"/>
      <c r="Q935" s="132"/>
      <c r="R935" s="132"/>
      <c r="S935" s="132"/>
      <c r="T935" s="132"/>
      <c r="U935" s="132"/>
      <c r="V935" s="132"/>
      <c r="W935" s="132"/>
      <c r="X935" s="132"/>
      <c r="Y935" s="132"/>
      <c r="Z935" s="132"/>
    </row>
    <row r="936" spans="1:26" ht="11.25" customHeight="1" x14ac:dyDescent="0.3">
      <c r="A936" s="132"/>
      <c r="B936" s="132"/>
      <c r="C936" s="132"/>
      <c r="D936" s="132"/>
      <c r="E936" s="132"/>
      <c r="F936" s="132"/>
      <c r="G936" s="132"/>
      <c r="H936" s="132"/>
      <c r="I936" s="132"/>
      <c r="J936" s="132"/>
      <c r="K936" s="132"/>
      <c r="L936" s="132"/>
      <c r="M936" s="132"/>
      <c r="N936" s="132"/>
      <c r="O936" s="132"/>
      <c r="P936" s="132"/>
      <c r="Q936" s="132"/>
      <c r="R936" s="132"/>
      <c r="S936" s="132"/>
      <c r="T936" s="132"/>
      <c r="U936" s="132"/>
      <c r="V936" s="132"/>
      <c r="W936" s="132"/>
      <c r="X936" s="132"/>
      <c r="Y936" s="132"/>
      <c r="Z936" s="132"/>
    </row>
    <row r="937" spans="1:26" ht="11.25" customHeight="1" x14ac:dyDescent="0.3">
      <c r="A937" s="132"/>
      <c r="B937" s="132"/>
      <c r="C937" s="132"/>
      <c r="D937" s="132"/>
      <c r="E937" s="132"/>
      <c r="F937" s="132"/>
      <c r="G937" s="132"/>
      <c r="H937" s="132"/>
      <c r="I937" s="132"/>
      <c r="J937" s="132"/>
      <c r="K937" s="132"/>
      <c r="L937" s="132"/>
      <c r="M937" s="132"/>
      <c r="N937" s="132"/>
      <c r="O937" s="132"/>
      <c r="P937" s="132"/>
      <c r="Q937" s="132"/>
      <c r="R937" s="132"/>
      <c r="S937" s="132"/>
      <c r="T937" s="132"/>
      <c r="U937" s="132"/>
      <c r="V937" s="132"/>
      <c r="W937" s="132"/>
      <c r="X937" s="132"/>
      <c r="Y937" s="132"/>
      <c r="Z937" s="132"/>
    </row>
    <row r="938" spans="1:26" ht="11.25" customHeight="1" x14ac:dyDescent="0.3">
      <c r="A938" s="132"/>
      <c r="B938" s="132"/>
      <c r="C938" s="132"/>
      <c r="D938" s="132"/>
      <c r="E938" s="132"/>
      <c r="F938" s="132"/>
      <c r="G938" s="132"/>
      <c r="H938" s="132"/>
      <c r="I938" s="132"/>
      <c r="J938" s="132"/>
      <c r="K938" s="132"/>
      <c r="L938" s="132"/>
      <c r="M938" s="132"/>
      <c r="N938" s="132"/>
      <c r="O938" s="132"/>
      <c r="P938" s="132"/>
      <c r="Q938" s="132"/>
      <c r="R938" s="132"/>
      <c r="S938" s="132"/>
      <c r="T938" s="132"/>
      <c r="U938" s="132"/>
      <c r="V938" s="132"/>
      <c r="W938" s="132"/>
      <c r="X938" s="132"/>
      <c r="Y938" s="132"/>
      <c r="Z938" s="132"/>
    </row>
    <row r="939" spans="1:26" ht="11.25" customHeight="1" x14ac:dyDescent="0.3">
      <c r="A939" s="132"/>
      <c r="B939" s="132"/>
      <c r="C939" s="132"/>
      <c r="D939" s="132"/>
      <c r="E939" s="132"/>
      <c r="F939" s="132"/>
      <c r="G939" s="132"/>
      <c r="H939" s="132"/>
      <c r="I939" s="132"/>
      <c r="J939" s="132"/>
      <c r="K939" s="132"/>
      <c r="L939" s="132"/>
      <c r="M939" s="132"/>
      <c r="N939" s="132"/>
      <c r="O939" s="132"/>
      <c r="P939" s="132"/>
      <c r="Q939" s="132"/>
      <c r="R939" s="132"/>
      <c r="S939" s="132"/>
      <c r="T939" s="132"/>
      <c r="U939" s="132"/>
      <c r="V939" s="132"/>
      <c r="W939" s="132"/>
      <c r="X939" s="132"/>
      <c r="Y939" s="132"/>
      <c r="Z939" s="132"/>
    </row>
    <row r="940" spans="1:26" ht="11.25" customHeight="1" x14ac:dyDescent="0.3">
      <c r="A940" s="132"/>
      <c r="B940" s="132"/>
      <c r="C940" s="132"/>
      <c r="D940" s="132"/>
      <c r="E940" s="132"/>
      <c r="F940" s="132"/>
      <c r="G940" s="132"/>
      <c r="H940" s="132"/>
      <c r="I940" s="132"/>
      <c r="J940" s="132"/>
      <c r="K940" s="132"/>
      <c r="L940" s="132"/>
      <c r="M940" s="132"/>
      <c r="N940" s="132"/>
      <c r="O940" s="132"/>
      <c r="P940" s="132"/>
      <c r="Q940" s="132"/>
      <c r="R940" s="132"/>
      <c r="S940" s="132"/>
      <c r="T940" s="132"/>
      <c r="U940" s="132"/>
      <c r="V940" s="132"/>
      <c r="W940" s="132"/>
      <c r="X940" s="132"/>
      <c r="Y940" s="132"/>
      <c r="Z940" s="132"/>
    </row>
    <row r="941" spans="1:26" ht="11.25" customHeight="1" x14ac:dyDescent="0.3">
      <c r="A941" s="132"/>
      <c r="B941" s="132"/>
      <c r="C941" s="132"/>
      <c r="D941" s="132"/>
      <c r="E941" s="132"/>
      <c r="F941" s="132"/>
      <c r="G941" s="132"/>
      <c r="H941" s="132"/>
      <c r="I941" s="132"/>
      <c r="J941" s="132"/>
      <c r="K941" s="132"/>
      <c r="L941" s="132"/>
      <c r="M941" s="132"/>
      <c r="N941" s="132"/>
      <c r="O941" s="132"/>
      <c r="P941" s="132"/>
      <c r="Q941" s="132"/>
      <c r="R941" s="132"/>
      <c r="S941" s="132"/>
      <c r="T941" s="132"/>
      <c r="U941" s="132"/>
      <c r="V941" s="132"/>
      <c r="W941" s="132"/>
      <c r="X941" s="132"/>
      <c r="Y941" s="132"/>
      <c r="Z941" s="132"/>
    </row>
    <row r="942" spans="1:26" ht="11.25" customHeight="1" x14ac:dyDescent="0.3">
      <c r="A942" s="132"/>
      <c r="B942" s="132"/>
      <c r="C942" s="132"/>
      <c r="D942" s="132"/>
      <c r="E942" s="132"/>
      <c r="F942" s="132"/>
      <c r="G942" s="132"/>
      <c r="H942" s="132"/>
      <c r="I942" s="132"/>
      <c r="J942" s="132"/>
      <c r="K942" s="132"/>
      <c r="L942" s="132"/>
      <c r="M942" s="132"/>
      <c r="N942" s="132"/>
      <c r="O942" s="132"/>
      <c r="P942" s="132"/>
      <c r="Q942" s="132"/>
      <c r="R942" s="132"/>
      <c r="S942" s="132"/>
      <c r="T942" s="132"/>
      <c r="U942" s="132"/>
      <c r="V942" s="132"/>
      <c r="W942" s="132"/>
      <c r="X942" s="132"/>
      <c r="Y942" s="132"/>
      <c r="Z942" s="132"/>
    </row>
    <row r="943" spans="1:26" ht="11.25" customHeight="1" x14ac:dyDescent="0.3">
      <c r="A943" s="132"/>
      <c r="B943" s="132"/>
      <c r="C943" s="132"/>
      <c r="D943" s="132"/>
      <c r="E943" s="132"/>
      <c r="F943" s="132"/>
      <c r="G943" s="132"/>
      <c r="H943" s="132"/>
      <c r="I943" s="132"/>
      <c r="J943" s="132"/>
      <c r="K943" s="132"/>
      <c r="L943" s="132"/>
      <c r="M943" s="132"/>
      <c r="N943" s="132"/>
      <c r="O943" s="132"/>
      <c r="P943" s="132"/>
      <c r="Q943" s="132"/>
      <c r="R943" s="132"/>
      <c r="S943" s="132"/>
      <c r="T943" s="132"/>
      <c r="U943" s="132"/>
      <c r="V943" s="132"/>
      <c r="W943" s="132"/>
      <c r="X943" s="132"/>
      <c r="Y943" s="132"/>
      <c r="Z943" s="132"/>
    </row>
    <row r="944" spans="1:26" ht="11.25" customHeight="1" x14ac:dyDescent="0.3">
      <c r="A944" s="132"/>
      <c r="B944" s="132"/>
      <c r="C944" s="132"/>
      <c r="D944" s="132"/>
      <c r="E944" s="132"/>
      <c r="F944" s="132"/>
      <c r="G944" s="132"/>
      <c r="H944" s="132"/>
      <c r="I944" s="132"/>
      <c r="J944" s="132"/>
      <c r="K944" s="132"/>
      <c r="L944" s="132"/>
      <c r="M944" s="132"/>
      <c r="N944" s="132"/>
      <c r="O944" s="132"/>
      <c r="P944" s="132"/>
      <c r="Q944" s="132"/>
      <c r="R944" s="132"/>
      <c r="S944" s="132"/>
      <c r="T944" s="132"/>
      <c r="U944" s="132"/>
      <c r="V944" s="132"/>
      <c r="W944" s="132"/>
      <c r="X944" s="132"/>
      <c r="Y944" s="132"/>
      <c r="Z944" s="132"/>
    </row>
    <row r="945" spans="1:26" ht="11.25" customHeight="1" x14ac:dyDescent="0.3">
      <c r="A945" s="132"/>
      <c r="B945" s="132"/>
      <c r="C945" s="132"/>
      <c r="D945" s="132"/>
      <c r="E945" s="132"/>
      <c r="F945" s="132"/>
      <c r="G945" s="132"/>
      <c r="H945" s="132"/>
      <c r="I945" s="132"/>
      <c r="J945" s="132"/>
      <c r="K945" s="132"/>
      <c r="L945" s="132"/>
      <c r="M945" s="132"/>
      <c r="N945" s="132"/>
      <c r="O945" s="132"/>
      <c r="P945" s="132"/>
      <c r="Q945" s="132"/>
      <c r="R945" s="132"/>
      <c r="S945" s="132"/>
      <c r="T945" s="132"/>
      <c r="U945" s="132"/>
      <c r="V945" s="132"/>
      <c r="W945" s="132"/>
      <c r="X945" s="132"/>
      <c r="Y945" s="132"/>
      <c r="Z945" s="132"/>
    </row>
    <row r="946" spans="1:26" ht="11.25" customHeight="1" x14ac:dyDescent="0.3">
      <c r="A946" s="132"/>
      <c r="B946" s="132"/>
      <c r="C946" s="132"/>
      <c r="D946" s="132"/>
      <c r="E946" s="132"/>
      <c r="F946" s="132"/>
      <c r="G946" s="132"/>
      <c r="H946" s="132"/>
      <c r="I946" s="132"/>
      <c r="J946" s="132"/>
      <c r="K946" s="132"/>
      <c r="L946" s="132"/>
      <c r="M946" s="132"/>
      <c r="N946" s="132"/>
      <c r="O946" s="132"/>
      <c r="P946" s="132"/>
      <c r="Q946" s="132"/>
      <c r="R946" s="132"/>
      <c r="S946" s="132"/>
      <c r="T946" s="132"/>
      <c r="U946" s="132"/>
      <c r="V946" s="132"/>
      <c r="W946" s="132"/>
      <c r="X946" s="132"/>
      <c r="Y946" s="132"/>
      <c r="Z946" s="132"/>
    </row>
    <row r="947" spans="1:26" ht="11.25" customHeight="1" x14ac:dyDescent="0.3">
      <c r="A947" s="132"/>
      <c r="B947" s="132"/>
      <c r="C947" s="132"/>
      <c r="D947" s="132"/>
      <c r="E947" s="132"/>
      <c r="F947" s="132"/>
      <c r="G947" s="132"/>
      <c r="H947" s="132"/>
      <c r="I947" s="132"/>
      <c r="J947" s="132"/>
      <c r="K947" s="132"/>
      <c r="L947" s="132"/>
      <c r="M947" s="132"/>
      <c r="N947" s="132"/>
      <c r="O947" s="132"/>
      <c r="P947" s="132"/>
      <c r="Q947" s="132"/>
      <c r="R947" s="132"/>
      <c r="S947" s="132"/>
      <c r="T947" s="132"/>
      <c r="U947" s="132"/>
      <c r="V947" s="132"/>
      <c r="W947" s="132"/>
      <c r="X947" s="132"/>
      <c r="Y947" s="132"/>
      <c r="Z947" s="132"/>
    </row>
    <row r="948" spans="1:26" ht="11.25" customHeight="1" x14ac:dyDescent="0.3">
      <c r="A948" s="132"/>
      <c r="B948" s="132"/>
      <c r="C948" s="132"/>
      <c r="D948" s="132"/>
      <c r="E948" s="132"/>
      <c r="F948" s="132"/>
      <c r="G948" s="132"/>
      <c r="H948" s="132"/>
      <c r="I948" s="132"/>
      <c r="J948" s="132"/>
      <c r="K948" s="132"/>
      <c r="L948" s="132"/>
      <c r="M948" s="132"/>
      <c r="N948" s="132"/>
      <c r="O948" s="132"/>
      <c r="P948" s="132"/>
      <c r="Q948" s="132"/>
      <c r="R948" s="132"/>
      <c r="S948" s="132"/>
      <c r="T948" s="132"/>
      <c r="U948" s="132"/>
      <c r="V948" s="132"/>
      <c r="W948" s="132"/>
      <c r="X948" s="132"/>
      <c r="Y948" s="132"/>
      <c r="Z948" s="132"/>
    </row>
    <row r="949" spans="1:26" ht="11.25" customHeight="1" x14ac:dyDescent="0.3">
      <c r="A949" s="132"/>
      <c r="B949" s="132"/>
      <c r="C949" s="132"/>
      <c r="D949" s="132"/>
      <c r="E949" s="132"/>
      <c r="F949" s="132"/>
      <c r="G949" s="132"/>
      <c r="H949" s="132"/>
      <c r="I949" s="132"/>
      <c r="J949" s="132"/>
      <c r="K949" s="132"/>
      <c r="L949" s="132"/>
      <c r="M949" s="132"/>
      <c r="N949" s="132"/>
      <c r="O949" s="132"/>
      <c r="P949" s="132"/>
      <c r="Q949" s="132"/>
      <c r="R949" s="132"/>
      <c r="S949" s="132"/>
      <c r="T949" s="132"/>
      <c r="U949" s="132"/>
      <c r="V949" s="132"/>
      <c r="W949" s="132"/>
      <c r="X949" s="132"/>
      <c r="Y949" s="132"/>
      <c r="Z949" s="132"/>
    </row>
    <row r="950" spans="1:26" ht="11.25" customHeight="1" x14ac:dyDescent="0.3">
      <c r="A950" s="132"/>
      <c r="B950" s="132"/>
      <c r="C950" s="132"/>
      <c r="D950" s="132"/>
      <c r="E950" s="132"/>
      <c r="F950" s="132"/>
      <c r="G950" s="132"/>
      <c r="H950" s="132"/>
      <c r="I950" s="132"/>
      <c r="J950" s="132"/>
      <c r="K950" s="132"/>
      <c r="L950" s="132"/>
      <c r="M950" s="132"/>
      <c r="N950" s="132"/>
      <c r="O950" s="132"/>
      <c r="P950" s="132"/>
      <c r="Q950" s="132"/>
      <c r="R950" s="132"/>
      <c r="S950" s="132"/>
      <c r="T950" s="132"/>
      <c r="U950" s="132"/>
      <c r="V950" s="132"/>
      <c r="W950" s="132"/>
      <c r="X950" s="132"/>
      <c r="Y950" s="132"/>
      <c r="Z950" s="132"/>
    </row>
    <row r="951" spans="1:26" ht="11.25" customHeight="1" x14ac:dyDescent="0.3">
      <c r="A951" s="132"/>
      <c r="B951" s="132"/>
      <c r="C951" s="132"/>
      <c r="D951" s="132"/>
      <c r="E951" s="132"/>
      <c r="F951" s="132"/>
      <c r="G951" s="132"/>
      <c r="H951" s="132"/>
      <c r="I951" s="132"/>
      <c r="J951" s="132"/>
      <c r="K951" s="132"/>
      <c r="L951" s="132"/>
      <c r="M951" s="132"/>
      <c r="N951" s="132"/>
      <c r="O951" s="132"/>
      <c r="P951" s="132"/>
      <c r="Q951" s="132"/>
      <c r="R951" s="132"/>
      <c r="S951" s="132"/>
      <c r="T951" s="132"/>
      <c r="U951" s="132"/>
      <c r="V951" s="132"/>
      <c r="W951" s="132"/>
      <c r="X951" s="132"/>
      <c r="Y951" s="132"/>
      <c r="Z951" s="132"/>
    </row>
    <row r="952" spans="1:26" ht="11.25" customHeight="1" x14ac:dyDescent="0.3">
      <c r="A952" s="132"/>
      <c r="B952" s="132"/>
      <c r="C952" s="132"/>
      <c r="D952" s="132"/>
      <c r="E952" s="132"/>
      <c r="F952" s="132"/>
      <c r="G952" s="132"/>
      <c r="H952" s="132"/>
      <c r="I952" s="132"/>
      <c r="J952" s="132"/>
      <c r="K952" s="132"/>
      <c r="L952" s="132"/>
      <c r="M952" s="132"/>
      <c r="N952" s="132"/>
      <c r="O952" s="132"/>
      <c r="P952" s="132"/>
      <c r="Q952" s="132"/>
      <c r="R952" s="132"/>
      <c r="S952" s="132"/>
      <c r="T952" s="132"/>
      <c r="U952" s="132"/>
      <c r="V952" s="132"/>
      <c r="W952" s="132"/>
      <c r="X952" s="132"/>
      <c r="Y952" s="132"/>
      <c r="Z952" s="132"/>
    </row>
    <row r="953" spans="1:26" ht="11.25" customHeight="1" x14ac:dyDescent="0.3">
      <c r="A953" s="132"/>
      <c r="B953" s="132"/>
      <c r="C953" s="132"/>
      <c r="D953" s="132"/>
      <c r="E953" s="132"/>
      <c r="F953" s="132"/>
      <c r="G953" s="132"/>
      <c r="H953" s="132"/>
      <c r="I953" s="132"/>
      <c r="J953" s="132"/>
      <c r="K953" s="132"/>
      <c r="L953" s="132"/>
      <c r="M953" s="132"/>
      <c r="N953" s="132"/>
      <c r="O953" s="132"/>
      <c r="P953" s="132"/>
      <c r="Q953" s="132"/>
      <c r="R953" s="132"/>
      <c r="S953" s="132"/>
      <c r="T953" s="132"/>
      <c r="U953" s="132"/>
      <c r="V953" s="132"/>
      <c r="W953" s="132"/>
      <c r="X953" s="132"/>
      <c r="Y953" s="132"/>
      <c r="Z953" s="132"/>
    </row>
    <row r="954" spans="1:26" ht="11.25" customHeight="1" x14ac:dyDescent="0.3">
      <c r="A954" s="132"/>
      <c r="B954" s="132"/>
      <c r="C954" s="132"/>
      <c r="D954" s="132"/>
      <c r="E954" s="132"/>
      <c r="F954" s="132"/>
      <c r="G954" s="132"/>
      <c r="H954" s="132"/>
      <c r="I954" s="132"/>
      <c r="J954" s="132"/>
      <c r="K954" s="132"/>
      <c r="L954" s="132"/>
      <c r="M954" s="132"/>
      <c r="N954" s="132"/>
      <c r="O954" s="132"/>
      <c r="P954" s="132"/>
      <c r="Q954" s="132"/>
      <c r="R954" s="132"/>
      <c r="S954" s="132"/>
      <c r="T954" s="132"/>
      <c r="U954" s="132"/>
      <c r="V954" s="132"/>
      <c r="W954" s="132"/>
      <c r="X954" s="132"/>
      <c r="Y954" s="132"/>
      <c r="Z954" s="132"/>
    </row>
    <row r="955" spans="1:26" ht="11.25" customHeight="1" x14ac:dyDescent="0.3">
      <c r="A955" s="132"/>
      <c r="B955" s="132"/>
      <c r="C955" s="132"/>
      <c r="D955" s="132"/>
      <c r="E955" s="132"/>
      <c r="F955" s="132"/>
      <c r="G955" s="132"/>
      <c r="H955" s="132"/>
      <c r="I955" s="132"/>
      <c r="J955" s="132"/>
      <c r="K955" s="132"/>
      <c r="L955" s="132"/>
      <c r="M955" s="132"/>
      <c r="N955" s="132"/>
      <c r="O955" s="132"/>
      <c r="P955" s="132"/>
      <c r="Q955" s="132"/>
      <c r="R955" s="132"/>
      <c r="S955" s="132"/>
      <c r="T955" s="132"/>
      <c r="U955" s="132"/>
      <c r="V955" s="132"/>
      <c r="W955" s="132"/>
      <c r="X955" s="132"/>
      <c r="Y955" s="132"/>
      <c r="Z955" s="132"/>
    </row>
    <row r="956" spans="1:26" ht="11.25" customHeight="1" x14ac:dyDescent="0.3">
      <c r="A956" s="132"/>
      <c r="B956" s="132"/>
      <c r="C956" s="132"/>
      <c r="D956" s="132"/>
      <c r="E956" s="132"/>
      <c r="F956" s="132"/>
      <c r="G956" s="132"/>
      <c r="H956" s="132"/>
      <c r="I956" s="132"/>
      <c r="J956" s="132"/>
      <c r="K956" s="132"/>
      <c r="L956" s="132"/>
      <c r="M956" s="132"/>
      <c r="N956" s="132"/>
      <c r="O956" s="132"/>
      <c r="P956" s="132"/>
      <c r="Q956" s="132"/>
      <c r="R956" s="132"/>
      <c r="S956" s="132"/>
      <c r="T956" s="132"/>
      <c r="U956" s="132"/>
      <c r="V956" s="132"/>
      <c r="W956" s="132"/>
      <c r="X956" s="132"/>
      <c r="Y956" s="132"/>
      <c r="Z956" s="132"/>
    </row>
    <row r="957" spans="1:26" ht="11.25" customHeight="1" x14ac:dyDescent="0.3">
      <c r="A957" s="132"/>
      <c r="B957" s="132"/>
      <c r="C957" s="132"/>
      <c r="D957" s="132"/>
      <c r="E957" s="132"/>
      <c r="F957" s="132"/>
      <c r="G957" s="132"/>
      <c r="H957" s="132"/>
      <c r="I957" s="132"/>
      <c r="J957" s="132"/>
      <c r="K957" s="132"/>
      <c r="L957" s="132"/>
      <c r="M957" s="132"/>
      <c r="N957" s="132"/>
      <c r="O957" s="132"/>
      <c r="P957" s="132"/>
      <c r="Q957" s="132"/>
      <c r="R957" s="132"/>
      <c r="S957" s="132"/>
      <c r="T957" s="132"/>
      <c r="U957" s="132"/>
      <c r="V957" s="132"/>
      <c r="W957" s="132"/>
      <c r="X957" s="132"/>
      <c r="Y957" s="132"/>
      <c r="Z957" s="132"/>
    </row>
    <row r="958" spans="1:26" ht="11.25" customHeight="1" x14ac:dyDescent="0.3">
      <c r="A958" s="132"/>
      <c r="B958" s="132"/>
      <c r="C958" s="132"/>
      <c r="D958" s="132"/>
      <c r="E958" s="132"/>
      <c r="F958" s="132"/>
      <c r="G958" s="132"/>
      <c r="H958" s="132"/>
      <c r="I958" s="132"/>
      <c r="J958" s="132"/>
      <c r="K958" s="132"/>
      <c r="L958" s="132"/>
      <c r="M958" s="132"/>
      <c r="N958" s="132"/>
      <c r="O958" s="132"/>
      <c r="P958" s="132"/>
      <c r="Q958" s="132"/>
      <c r="R958" s="132"/>
      <c r="S958" s="132"/>
      <c r="T958" s="132"/>
      <c r="U958" s="132"/>
      <c r="V958" s="132"/>
      <c r="W958" s="132"/>
      <c r="X958" s="132"/>
      <c r="Y958" s="132"/>
      <c r="Z958" s="132"/>
    </row>
    <row r="959" spans="1:26" ht="11.25" customHeight="1" x14ac:dyDescent="0.3">
      <c r="A959" s="132"/>
      <c r="B959" s="132"/>
      <c r="C959" s="132"/>
      <c r="D959" s="132"/>
      <c r="E959" s="132"/>
      <c r="F959" s="132"/>
      <c r="G959" s="132"/>
      <c r="H959" s="132"/>
      <c r="I959" s="132"/>
      <c r="J959" s="132"/>
      <c r="K959" s="132"/>
      <c r="L959" s="132"/>
      <c r="M959" s="132"/>
      <c r="N959" s="132"/>
      <c r="O959" s="132"/>
      <c r="P959" s="132"/>
      <c r="Q959" s="132"/>
      <c r="R959" s="132"/>
      <c r="S959" s="132"/>
      <c r="T959" s="132"/>
      <c r="U959" s="132"/>
      <c r="V959" s="132"/>
      <c r="W959" s="132"/>
      <c r="X959" s="132"/>
      <c r="Y959" s="132"/>
      <c r="Z959" s="132"/>
    </row>
    <row r="960" spans="1:26" ht="11.25" customHeight="1" x14ac:dyDescent="0.3">
      <c r="A960" s="132"/>
      <c r="B960" s="132"/>
      <c r="C960" s="132"/>
      <c r="D960" s="132"/>
      <c r="E960" s="132"/>
      <c r="F960" s="132"/>
      <c r="G960" s="132"/>
      <c r="H960" s="132"/>
      <c r="I960" s="132"/>
      <c r="J960" s="132"/>
      <c r="K960" s="132"/>
      <c r="L960" s="132"/>
      <c r="M960" s="132"/>
      <c r="N960" s="132"/>
      <c r="O960" s="132"/>
      <c r="P960" s="132"/>
      <c r="Q960" s="132"/>
      <c r="R960" s="132"/>
      <c r="S960" s="132"/>
      <c r="T960" s="132"/>
      <c r="U960" s="132"/>
      <c r="V960" s="132"/>
      <c r="W960" s="132"/>
      <c r="X960" s="132"/>
      <c r="Y960" s="132"/>
      <c r="Z960" s="132"/>
    </row>
    <row r="961" spans="1:26" ht="11.25" customHeight="1" x14ac:dyDescent="0.3">
      <c r="A961" s="132"/>
      <c r="B961" s="132"/>
      <c r="C961" s="132"/>
      <c r="D961" s="132"/>
      <c r="E961" s="132"/>
      <c r="F961" s="132"/>
      <c r="G961" s="132"/>
      <c r="H961" s="132"/>
      <c r="I961" s="132"/>
      <c r="J961" s="132"/>
      <c r="K961" s="132"/>
      <c r="L961" s="132"/>
      <c r="M961" s="132"/>
      <c r="N961" s="132"/>
      <c r="O961" s="132"/>
      <c r="P961" s="132"/>
      <c r="Q961" s="132"/>
      <c r="R961" s="132"/>
      <c r="S961" s="132"/>
      <c r="T961" s="132"/>
      <c r="U961" s="132"/>
      <c r="V961" s="132"/>
      <c r="W961" s="132"/>
      <c r="X961" s="132"/>
      <c r="Y961" s="132"/>
      <c r="Z961" s="132"/>
    </row>
    <row r="962" spans="1:26" ht="11.25" customHeight="1" x14ac:dyDescent="0.3">
      <c r="A962" s="132"/>
      <c r="B962" s="132"/>
      <c r="C962" s="132"/>
      <c r="D962" s="132"/>
      <c r="E962" s="132"/>
      <c r="F962" s="132"/>
      <c r="G962" s="132"/>
      <c r="H962" s="132"/>
      <c r="I962" s="132"/>
      <c r="J962" s="132"/>
      <c r="K962" s="132"/>
      <c r="L962" s="132"/>
      <c r="M962" s="132"/>
      <c r="N962" s="132"/>
      <c r="O962" s="132"/>
      <c r="P962" s="132"/>
      <c r="Q962" s="132"/>
      <c r="R962" s="132"/>
      <c r="S962" s="132"/>
      <c r="T962" s="132"/>
      <c r="U962" s="132"/>
      <c r="V962" s="132"/>
      <c r="W962" s="132"/>
      <c r="X962" s="132"/>
      <c r="Y962" s="132"/>
      <c r="Z962" s="132"/>
    </row>
    <row r="963" spans="1:26" ht="11.25" customHeight="1" x14ac:dyDescent="0.3">
      <c r="A963" s="132"/>
      <c r="B963" s="132"/>
      <c r="C963" s="132"/>
      <c r="D963" s="132"/>
      <c r="E963" s="132"/>
      <c r="F963" s="132"/>
      <c r="G963" s="132"/>
      <c r="H963" s="132"/>
      <c r="I963" s="132"/>
      <c r="J963" s="132"/>
      <c r="K963" s="132"/>
      <c r="L963" s="132"/>
      <c r="M963" s="132"/>
      <c r="N963" s="132"/>
      <c r="O963" s="132"/>
      <c r="P963" s="132"/>
      <c r="Q963" s="132"/>
      <c r="R963" s="132"/>
      <c r="S963" s="132"/>
      <c r="T963" s="132"/>
      <c r="U963" s="132"/>
      <c r="V963" s="132"/>
      <c r="W963" s="132"/>
      <c r="X963" s="132"/>
      <c r="Y963" s="132"/>
      <c r="Z963" s="132"/>
    </row>
    <row r="964" spans="1:26" ht="11.25" customHeight="1" x14ac:dyDescent="0.3">
      <c r="A964" s="132"/>
      <c r="B964" s="132"/>
      <c r="C964" s="132"/>
      <c r="D964" s="132"/>
      <c r="E964" s="132"/>
      <c r="F964" s="132"/>
      <c r="G964" s="132"/>
      <c r="H964" s="132"/>
      <c r="I964" s="132"/>
      <c r="J964" s="132"/>
      <c r="K964" s="132"/>
      <c r="L964" s="132"/>
      <c r="M964" s="132"/>
      <c r="N964" s="132"/>
      <c r="O964" s="132"/>
      <c r="P964" s="132"/>
      <c r="Q964" s="132"/>
      <c r="R964" s="132"/>
      <c r="S964" s="132"/>
      <c r="T964" s="132"/>
      <c r="U964" s="132"/>
      <c r="V964" s="132"/>
      <c r="W964" s="132"/>
      <c r="X964" s="132"/>
      <c r="Y964" s="132"/>
      <c r="Z964" s="132"/>
    </row>
    <row r="965" spans="1:26" ht="11.25" customHeight="1" x14ac:dyDescent="0.3">
      <c r="A965" s="132"/>
      <c r="B965" s="132"/>
      <c r="C965" s="132"/>
      <c r="D965" s="132"/>
      <c r="E965" s="132"/>
      <c r="F965" s="132"/>
      <c r="G965" s="132"/>
      <c r="H965" s="132"/>
      <c r="I965" s="132"/>
      <c r="J965" s="132"/>
      <c r="K965" s="132"/>
      <c r="L965" s="132"/>
      <c r="M965" s="132"/>
      <c r="N965" s="132"/>
      <c r="O965" s="132"/>
      <c r="P965" s="132"/>
      <c r="Q965" s="132"/>
      <c r="R965" s="132"/>
      <c r="S965" s="132"/>
      <c r="T965" s="132"/>
      <c r="U965" s="132"/>
      <c r="V965" s="132"/>
      <c r="W965" s="132"/>
      <c r="X965" s="132"/>
      <c r="Y965" s="132"/>
      <c r="Z965" s="132"/>
    </row>
    <row r="966" spans="1:26" ht="11.25" customHeight="1" x14ac:dyDescent="0.3">
      <c r="A966" s="132"/>
      <c r="B966" s="132"/>
      <c r="C966" s="132"/>
      <c r="D966" s="132"/>
      <c r="E966" s="132"/>
      <c r="F966" s="132"/>
      <c r="G966" s="132"/>
      <c r="H966" s="132"/>
      <c r="I966" s="132"/>
      <c r="J966" s="132"/>
      <c r="K966" s="132"/>
      <c r="L966" s="132"/>
      <c r="M966" s="132"/>
      <c r="N966" s="132"/>
      <c r="O966" s="132"/>
      <c r="P966" s="132"/>
      <c r="Q966" s="132"/>
      <c r="R966" s="132"/>
      <c r="S966" s="132"/>
      <c r="T966" s="132"/>
      <c r="U966" s="132"/>
      <c r="V966" s="132"/>
      <c r="W966" s="132"/>
      <c r="X966" s="132"/>
      <c r="Y966" s="132"/>
      <c r="Z966" s="132"/>
    </row>
    <row r="967" spans="1:26" ht="11.25" customHeight="1" x14ac:dyDescent="0.3">
      <c r="A967" s="132"/>
      <c r="B967" s="132"/>
      <c r="C967" s="132"/>
      <c r="D967" s="132"/>
      <c r="E967" s="132"/>
      <c r="F967" s="132"/>
      <c r="G967" s="132"/>
      <c r="H967" s="132"/>
      <c r="I967" s="132"/>
      <c r="J967" s="132"/>
      <c r="K967" s="132"/>
      <c r="L967" s="132"/>
      <c r="M967" s="132"/>
      <c r="N967" s="132"/>
      <c r="O967" s="132"/>
      <c r="P967" s="132"/>
      <c r="Q967" s="132"/>
      <c r="R967" s="132"/>
      <c r="S967" s="132"/>
      <c r="T967" s="132"/>
      <c r="U967" s="132"/>
      <c r="V967" s="132"/>
      <c r="W967" s="132"/>
      <c r="X967" s="132"/>
      <c r="Y967" s="132"/>
      <c r="Z967" s="132"/>
    </row>
    <row r="968" spans="1:26" ht="11.25" customHeight="1" x14ac:dyDescent="0.3">
      <c r="A968" s="132"/>
      <c r="B968" s="132"/>
      <c r="C968" s="132"/>
      <c r="D968" s="132"/>
      <c r="E968" s="132"/>
      <c r="F968" s="132"/>
      <c r="G968" s="132"/>
      <c r="H968" s="132"/>
      <c r="I968" s="132"/>
      <c r="J968" s="132"/>
      <c r="K968" s="132"/>
      <c r="L968" s="132"/>
      <c r="M968" s="132"/>
      <c r="N968" s="132"/>
      <c r="O968" s="132"/>
      <c r="P968" s="132"/>
      <c r="Q968" s="132"/>
      <c r="R968" s="132"/>
      <c r="S968" s="132"/>
      <c r="T968" s="132"/>
      <c r="U968" s="132"/>
      <c r="V968" s="132"/>
      <c r="W968" s="132"/>
      <c r="X968" s="132"/>
      <c r="Y968" s="132"/>
      <c r="Z968" s="132"/>
    </row>
    <row r="969" spans="1:26" ht="11.25" customHeight="1" x14ac:dyDescent="0.3">
      <c r="A969" s="132"/>
      <c r="B969" s="132"/>
      <c r="C969" s="132"/>
      <c r="D969" s="132"/>
      <c r="E969" s="132"/>
      <c r="F969" s="132"/>
      <c r="G969" s="132"/>
      <c r="H969" s="132"/>
      <c r="I969" s="132"/>
      <c r="J969" s="132"/>
      <c r="K969" s="132"/>
      <c r="L969" s="132"/>
      <c r="M969" s="132"/>
      <c r="N969" s="132"/>
      <c r="O969" s="132"/>
      <c r="P969" s="132"/>
      <c r="Q969" s="132"/>
      <c r="R969" s="132"/>
      <c r="S969" s="132"/>
      <c r="T969" s="132"/>
      <c r="U969" s="132"/>
      <c r="V969" s="132"/>
      <c r="W969" s="132"/>
      <c r="X969" s="132"/>
      <c r="Y969" s="132"/>
      <c r="Z969" s="132"/>
    </row>
    <row r="970" spans="1:26" ht="11.25" customHeight="1" x14ac:dyDescent="0.3">
      <c r="A970" s="132"/>
      <c r="B970" s="132"/>
      <c r="C970" s="132"/>
      <c r="D970" s="132"/>
      <c r="E970" s="132"/>
      <c r="F970" s="132"/>
      <c r="G970" s="132"/>
      <c r="H970" s="132"/>
      <c r="I970" s="132"/>
      <c r="J970" s="132"/>
      <c r="K970" s="132"/>
      <c r="L970" s="132"/>
      <c r="M970" s="132"/>
      <c r="N970" s="132"/>
      <c r="O970" s="132"/>
      <c r="P970" s="132"/>
      <c r="Q970" s="132"/>
      <c r="R970" s="132"/>
      <c r="S970" s="132"/>
      <c r="T970" s="132"/>
      <c r="U970" s="132"/>
      <c r="V970" s="132"/>
      <c r="W970" s="132"/>
      <c r="X970" s="132"/>
      <c r="Y970" s="132"/>
      <c r="Z970" s="132"/>
    </row>
    <row r="971" spans="1:26" ht="11.25" customHeight="1" x14ac:dyDescent="0.3">
      <c r="A971" s="132"/>
      <c r="B971" s="132"/>
      <c r="C971" s="132"/>
      <c r="D971" s="132"/>
      <c r="E971" s="132"/>
      <c r="F971" s="132"/>
      <c r="G971" s="132"/>
      <c r="H971" s="132"/>
      <c r="I971" s="132"/>
      <c r="J971" s="132"/>
      <c r="K971" s="132"/>
      <c r="L971" s="132"/>
      <c r="M971" s="132"/>
      <c r="N971" s="132"/>
      <c r="O971" s="132"/>
      <c r="P971" s="132"/>
      <c r="Q971" s="132"/>
      <c r="R971" s="132"/>
      <c r="S971" s="132"/>
      <c r="T971" s="132"/>
      <c r="U971" s="132"/>
      <c r="V971" s="132"/>
      <c r="W971" s="132"/>
      <c r="X971" s="132"/>
      <c r="Y971" s="132"/>
      <c r="Z971" s="132"/>
    </row>
    <row r="972" spans="1:26" ht="11.25" customHeight="1" x14ac:dyDescent="0.3">
      <c r="A972" s="132"/>
      <c r="B972" s="132"/>
      <c r="C972" s="132"/>
      <c r="D972" s="132"/>
      <c r="E972" s="132"/>
      <c r="F972" s="132"/>
      <c r="G972" s="132"/>
      <c r="H972" s="132"/>
      <c r="I972" s="132"/>
      <c r="J972" s="132"/>
      <c r="K972" s="132"/>
      <c r="L972" s="132"/>
      <c r="M972" s="132"/>
      <c r="N972" s="132"/>
      <c r="O972" s="132"/>
      <c r="P972" s="132"/>
      <c r="Q972" s="132"/>
      <c r="R972" s="132"/>
      <c r="S972" s="132"/>
      <c r="T972" s="132"/>
      <c r="U972" s="132"/>
      <c r="V972" s="132"/>
      <c r="W972" s="132"/>
      <c r="X972" s="132"/>
      <c r="Y972" s="132"/>
      <c r="Z972" s="132"/>
    </row>
    <row r="973" spans="1:26" ht="11.25" customHeight="1" x14ac:dyDescent="0.3">
      <c r="A973" s="132"/>
      <c r="B973" s="132"/>
      <c r="C973" s="132"/>
      <c r="D973" s="132"/>
      <c r="E973" s="132"/>
      <c r="F973" s="132"/>
      <c r="G973" s="132"/>
      <c r="H973" s="132"/>
      <c r="I973" s="132"/>
      <c r="J973" s="132"/>
      <c r="K973" s="132"/>
      <c r="L973" s="132"/>
      <c r="M973" s="132"/>
      <c r="N973" s="132"/>
      <c r="O973" s="132"/>
      <c r="P973" s="132"/>
      <c r="Q973" s="132"/>
      <c r="R973" s="132"/>
      <c r="S973" s="132"/>
      <c r="T973" s="132"/>
      <c r="U973" s="132"/>
      <c r="V973" s="132"/>
      <c r="W973" s="132"/>
      <c r="X973" s="132"/>
      <c r="Y973" s="132"/>
      <c r="Z973" s="132"/>
    </row>
    <row r="974" spans="1:26" ht="11.25" customHeight="1" x14ac:dyDescent="0.3">
      <c r="A974" s="132"/>
      <c r="B974" s="132"/>
      <c r="C974" s="132"/>
      <c r="D974" s="132"/>
      <c r="E974" s="132"/>
      <c r="F974" s="132"/>
      <c r="G974" s="132"/>
      <c r="H974" s="132"/>
      <c r="I974" s="132"/>
      <c r="J974" s="132"/>
      <c r="K974" s="132"/>
      <c r="L974" s="132"/>
      <c r="M974" s="132"/>
      <c r="N974" s="132"/>
      <c r="O974" s="132"/>
      <c r="P974" s="132"/>
      <c r="Q974" s="132"/>
      <c r="R974" s="132"/>
      <c r="S974" s="132"/>
      <c r="T974" s="132"/>
      <c r="U974" s="132"/>
      <c r="V974" s="132"/>
      <c r="W974" s="132"/>
      <c r="X974" s="132"/>
      <c r="Y974" s="132"/>
      <c r="Z974" s="132"/>
    </row>
    <row r="975" spans="1:26" ht="11.25" customHeight="1" x14ac:dyDescent="0.3">
      <c r="A975" s="132"/>
      <c r="B975" s="132"/>
      <c r="C975" s="132"/>
      <c r="D975" s="132"/>
      <c r="E975" s="132"/>
      <c r="F975" s="132"/>
      <c r="G975" s="132"/>
      <c r="H975" s="132"/>
      <c r="I975" s="132"/>
      <c r="J975" s="132"/>
      <c r="K975" s="132"/>
      <c r="L975" s="132"/>
      <c r="M975" s="132"/>
      <c r="N975" s="132"/>
      <c r="O975" s="132"/>
      <c r="P975" s="132"/>
      <c r="Q975" s="132"/>
      <c r="R975" s="132"/>
      <c r="S975" s="132"/>
      <c r="T975" s="132"/>
      <c r="U975" s="132"/>
      <c r="V975" s="132"/>
      <c r="W975" s="132"/>
      <c r="X975" s="132"/>
      <c r="Y975" s="132"/>
      <c r="Z975" s="132"/>
    </row>
    <row r="976" spans="1:26" ht="11.25" customHeight="1" x14ac:dyDescent="0.3">
      <c r="A976" s="132"/>
      <c r="B976" s="132"/>
      <c r="C976" s="132"/>
      <c r="D976" s="132"/>
      <c r="E976" s="132"/>
      <c r="F976" s="132"/>
      <c r="G976" s="132"/>
      <c r="H976" s="132"/>
      <c r="I976" s="132"/>
      <c r="J976" s="132"/>
      <c r="K976" s="132"/>
      <c r="L976" s="132"/>
      <c r="M976" s="132"/>
      <c r="N976" s="132"/>
      <c r="O976" s="132"/>
      <c r="P976" s="132"/>
      <c r="Q976" s="132"/>
      <c r="R976" s="132"/>
      <c r="S976" s="132"/>
      <c r="T976" s="132"/>
      <c r="U976" s="132"/>
      <c r="V976" s="132"/>
      <c r="W976" s="132"/>
      <c r="X976" s="132"/>
      <c r="Y976" s="132"/>
      <c r="Z976" s="132"/>
    </row>
    <row r="977" spans="1:26" ht="11.25" customHeight="1" x14ac:dyDescent="0.3">
      <c r="A977" s="132"/>
      <c r="B977" s="132"/>
      <c r="C977" s="132"/>
      <c r="D977" s="132"/>
      <c r="E977" s="132"/>
      <c r="F977" s="132"/>
      <c r="G977" s="132"/>
      <c r="H977" s="132"/>
      <c r="I977" s="132"/>
      <c r="J977" s="132"/>
      <c r="K977" s="132"/>
      <c r="L977" s="132"/>
      <c r="M977" s="132"/>
      <c r="N977" s="132"/>
      <c r="O977" s="132"/>
      <c r="P977" s="132"/>
      <c r="Q977" s="132"/>
      <c r="R977" s="132"/>
      <c r="S977" s="132"/>
      <c r="T977" s="132"/>
      <c r="U977" s="132"/>
      <c r="V977" s="132"/>
      <c r="W977" s="132"/>
      <c r="X977" s="132"/>
      <c r="Y977" s="132"/>
      <c r="Z977" s="132"/>
    </row>
    <row r="978" spans="1:26" ht="11.25" customHeight="1" x14ac:dyDescent="0.3">
      <c r="A978" s="132"/>
      <c r="B978" s="132"/>
      <c r="C978" s="132"/>
      <c r="D978" s="132"/>
      <c r="E978" s="132"/>
      <c r="F978" s="132"/>
      <c r="G978" s="132"/>
      <c r="H978" s="132"/>
      <c r="I978" s="132"/>
      <c r="J978" s="132"/>
      <c r="K978" s="132"/>
      <c r="L978" s="132"/>
      <c r="M978" s="132"/>
      <c r="N978" s="132"/>
      <c r="O978" s="132"/>
      <c r="P978" s="132"/>
      <c r="Q978" s="132"/>
      <c r="R978" s="132"/>
      <c r="S978" s="132"/>
      <c r="T978" s="132"/>
      <c r="U978" s="132"/>
      <c r="V978" s="132"/>
      <c r="W978" s="132"/>
      <c r="X978" s="132"/>
      <c r="Y978" s="132"/>
      <c r="Z978" s="132"/>
    </row>
    <row r="979" spans="1:26" ht="11.25" customHeight="1" x14ac:dyDescent="0.3">
      <c r="A979" s="132"/>
      <c r="B979" s="132"/>
      <c r="C979" s="132"/>
      <c r="D979" s="132"/>
      <c r="E979" s="132"/>
      <c r="F979" s="132"/>
      <c r="G979" s="132"/>
      <c r="H979" s="132"/>
      <c r="I979" s="132"/>
      <c r="J979" s="132"/>
      <c r="K979" s="132"/>
      <c r="L979" s="132"/>
      <c r="M979" s="132"/>
      <c r="N979" s="132"/>
      <c r="O979" s="132"/>
      <c r="P979" s="132"/>
      <c r="Q979" s="132"/>
      <c r="R979" s="132"/>
      <c r="S979" s="132"/>
      <c r="T979" s="132"/>
      <c r="U979" s="132"/>
      <c r="V979" s="132"/>
      <c r="W979" s="132"/>
      <c r="X979" s="132"/>
      <c r="Y979" s="132"/>
      <c r="Z979" s="132"/>
    </row>
    <row r="980" spans="1:26" ht="11.25" customHeight="1" x14ac:dyDescent="0.3">
      <c r="A980" s="132"/>
      <c r="B980" s="132"/>
      <c r="C980" s="132"/>
      <c r="D980" s="132"/>
      <c r="E980" s="132"/>
      <c r="F980" s="132"/>
      <c r="G980" s="132"/>
      <c r="H980" s="132"/>
      <c r="I980" s="132"/>
      <c r="J980" s="132"/>
      <c r="K980" s="132"/>
      <c r="L980" s="132"/>
      <c r="M980" s="132"/>
      <c r="N980" s="132"/>
      <c r="O980" s="132"/>
      <c r="P980" s="132"/>
      <c r="Q980" s="132"/>
      <c r="R980" s="132"/>
      <c r="S980" s="132"/>
      <c r="T980" s="132"/>
      <c r="U980" s="132"/>
      <c r="V980" s="132"/>
      <c r="W980" s="132"/>
      <c r="X980" s="132"/>
      <c r="Y980" s="132"/>
      <c r="Z980" s="132"/>
    </row>
    <row r="981" spans="1:26" ht="11.25" customHeight="1" x14ac:dyDescent="0.3">
      <c r="A981" s="132"/>
      <c r="B981" s="132"/>
      <c r="C981" s="132"/>
      <c r="D981" s="132"/>
      <c r="E981" s="132"/>
      <c r="F981" s="132"/>
      <c r="G981" s="132"/>
      <c r="H981" s="132"/>
      <c r="I981" s="132"/>
      <c r="J981" s="132"/>
      <c r="K981" s="132"/>
      <c r="L981" s="132"/>
      <c r="M981" s="132"/>
      <c r="N981" s="132"/>
      <c r="O981" s="132"/>
      <c r="P981" s="132"/>
      <c r="Q981" s="132"/>
      <c r="R981" s="132"/>
      <c r="S981" s="132"/>
      <c r="T981" s="132"/>
      <c r="U981" s="132"/>
      <c r="V981" s="132"/>
      <c r="W981" s="132"/>
      <c r="X981" s="132"/>
      <c r="Y981" s="132"/>
      <c r="Z981" s="132"/>
    </row>
    <row r="982" spans="1:26" ht="11.25" customHeight="1" x14ac:dyDescent="0.3">
      <c r="A982" s="132"/>
      <c r="B982" s="132"/>
      <c r="C982" s="132"/>
      <c r="D982" s="132"/>
      <c r="E982" s="132"/>
      <c r="F982" s="132"/>
      <c r="G982" s="132"/>
      <c r="H982" s="132"/>
      <c r="I982" s="132"/>
      <c r="J982" s="132"/>
      <c r="K982" s="132"/>
      <c r="L982" s="132"/>
      <c r="M982" s="132"/>
      <c r="N982" s="132"/>
      <c r="O982" s="132"/>
      <c r="P982" s="132"/>
      <c r="Q982" s="132"/>
      <c r="R982" s="132"/>
      <c r="S982" s="132"/>
      <c r="T982" s="132"/>
      <c r="U982" s="132"/>
      <c r="V982" s="132"/>
      <c r="W982" s="132"/>
      <c r="X982" s="132"/>
      <c r="Y982" s="132"/>
      <c r="Z982" s="132"/>
    </row>
    <row r="983" spans="1:26" ht="11.25" customHeight="1" x14ac:dyDescent="0.3">
      <c r="A983" s="132"/>
      <c r="B983" s="132"/>
      <c r="C983" s="132"/>
      <c r="D983" s="132"/>
      <c r="E983" s="132"/>
      <c r="F983" s="132"/>
      <c r="G983" s="132"/>
      <c r="H983" s="132"/>
      <c r="I983" s="132"/>
      <c r="J983" s="132"/>
      <c r="K983" s="132"/>
      <c r="L983" s="132"/>
      <c r="M983" s="132"/>
      <c r="N983" s="132"/>
      <c r="O983" s="132"/>
      <c r="P983" s="132"/>
      <c r="Q983" s="132"/>
      <c r="R983" s="132"/>
      <c r="S983" s="132"/>
      <c r="T983" s="132"/>
      <c r="U983" s="132"/>
      <c r="V983" s="132"/>
      <c r="W983" s="132"/>
      <c r="X983" s="132"/>
      <c r="Y983" s="132"/>
      <c r="Z983" s="132"/>
    </row>
    <row r="984" spans="1:26" ht="11.25" customHeight="1" x14ac:dyDescent="0.3">
      <c r="A984" s="132"/>
      <c r="B984" s="132"/>
      <c r="C984" s="132"/>
      <c r="D984" s="132"/>
      <c r="E984" s="132"/>
      <c r="F984" s="132"/>
      <c r="G984" s="132"/>
      <c r="H984" s="132"/>
      <c r="I984" s="132"/>
      <c r="J984" s="132"/>
      <c r="K984" s="132"/>
      <c r="L984" s="132"/>
      <c r="M984" s="132"/>
      <c r="N984" s="132"/>
      <c r="O984" s="132"/>
      <c r="P984" s="132"/>
      <c r="Q984" s="132"/>
      <c r="R984" s="132"/>
      <c r="S984" s="132"/>
      <c r="T984" s="132"/>
      <c r="U984" s="132"/>
      <c r="V984" s="132"/>
      <c r="W984" s="132"/>
      <c r="X984" s="132"/>
      <c r="Y984" s="132"/>
      <c r="Z984" s="132"/>
    </row>
    <row r="985" spans="1:26" ht="11.25" customHeight="1" x14ac:dyDescent="0.3">
      <c r="A985" s="132"/>
      <c r="B985" s="132"/>
      <c r="C985" s="132"/>
      <c r="D985" s="132"/>
      <c r="E985" s="132"/>
      <c r="F985" s="132"/>
      <c r="G985" s="132"/>
      <c r="H985" s="132"/>
      <c r="I985" s="132"/>
      <c r="J985" s="132"/>
      <c r="K985" s="132"/>
      <c r="L985" s="132"/>
      <c r="M985" s="132"/>
      <c r="N985" s="132"/>
      <c r="O985" s="132"/>
      <c r="P985" s="132"/>
      <c r="Q985" s="132"/>
      <c r="R985" s="132"/>
      <c r="S985" s="132"/>
      <c r="T985" s="132"/>
      <c r="U985" s="132"/>
      <c r="V985" s="132"/>
      <c r="W985" s="132"/>
      <c r="X985" s="132"/>
      <c r="Y985" s="132"/>
      <c r="Z985" s="132"/>
    </row>
    <row r="986" spans="1:26" ht="11.25" customHeight="1" x14ac:dyDescent="0.3">
      <c r="A986" s="132"/>
      <c r="B986" s="132"/>
      <c r="C986" s="132"/>
      <c r="D986" s="132"/>
      <c r="E986" s="132"/>
      <c r="F986" s="132"/>
      <c r="G986" s="132"/>
      <c r="H986" s="132"/>
      <c r="I986" s="132"/>
      <c r="J986" s="132"/>
      <c r="K986" s="132"/>
      <c r="L986" s="132"/>
      <c r="M986" s="132"/>
      <c r="N986" s="132"/>
      <c r="O986" s="132"/>
      <c r="P986" s="132"/>
      <c r="Q986" s="132"/>
      <c r="R986" s="132"/>
      <c r="S986" s="132"/>
      <c r="T986" s="132"/>
      <c r="U986" s="132"/>
      <c r="V986" s="132"/>
      <c r="W986" s="132"/>
      <c r="X986" s="132"/>
      <c r="Y986" s="132"/>
      <c r="Z986" s="132"/>
    </row>
    <row r="987" spans="1:26" ht="11.25" customHeight="1" x14ac:dyDescent="0.3">
      <c r="A987" s="132"/>
      <c r="B987" s="132"/>
      <c r="C987" s="132"/>
      <c r="D987" s="132"/>
      <c r="E987" s="132"/>
      <c r="F987" s="132"/>
      <c r="G987" s="132"/>
      <c r="H987" s="132"/>
      <c r="I987" s="132"/>
      <c r="J987" s="132"/>
      <c r="K987" s="132"/>
      <c r="L987" s="132"/>
      <c r="M987" s="132"/>
      <c r="N987" s="132"/>
      <c r="O987" s="132"/>
      <c r="P987" s="132"/>
      <c r="Q987" s="132"/>
      <c r="R987" s="132"/>
      <c r="S987" s="132"/>
      <c r="T987" s="132"/>
      <c r="U987" s="132"/>
      <c r="V987" s="132"/>
      <c r="W987" s="132"/>
      <c r="X987" s="132"/>
      <c r="Y987" s="132"/>
      <c r="Z987" s="132"/>
    </row>
    <row r="988" spans="1:26" ht="11.25" customHeight="1" x14ac:dyDescent="0.3">
      <c r="A988" s="132"/>
      <c r="B988" s="132"/>
      <c r="C988" s="132"/>
      <c r="D988" s="132"/>
      <c r="E988" s="132"/>
      <c r="F988" s="132"/>
      <c r="G988" s="132"/>
      <c r="H988" s="132"/>
      <c r="I988" s="132"/>
      <c r="J988" s="132"/>
      <c r="K988" s="132"/>
      <c r="L988" s="132"/>
      <c r="M988" s="132"/>
      <c r="N988" s="132"/>
      <c r="O988" s="132"/>
      <c r="P988" s="132"/>
      <c r="Q988" s="132"/>
      <c r="R988" s="132"/>
      <c r="S988" s="132"/>
      <c r="T988" s="132"/>
      <c r="U988" s="132"/>
      <c r="V988" s="132"/>
      <c r="W988" s="132"/>
      <c r="X988" s="132"/>
      <c r="Y988" s="132"/>
      <c r="Z988" s="132"/>
    </row>
    <row r="989" spans="1:26" ht="11.25" customHeight="1" x14ac:dyDescent="0.3">
      <c r="A989" s="132"/>
      <c r="B989" s="132"/>
      <c r="C989" s="132"/>
      <c r="D989" s="132"/>
      <c r="E989" s="132"/>
      <c r="F989" s="132"/>
      <c r="G989" s="132"/>
      <c r="H989" s="132"/>
      <c r="I989" s="132"/>
      <c r="J989" s="132"/>
      <c r="K989" s="132"/>
      <c r="L989" s="132"/>
      <c r="M989" s="132"/>
      <c r="N989" s="132"/>
      <c r="O989" s="132"/>
      <c r="P989" s="132"/>
      <c r="Q989" s="132"/>
      <c r="R989" s="132"/>
      <c r="S989" s="132"/>
      <c r="T989" s="132"/>
      <c r="U989" s="132"/>
      <c r="V989" s="132"/>
      <c r="W989" s="132"/>
      <c r="X989" s="132"/>
      <c r="Y989" s="132"/>
      <c r="Z989" s="132"/>
    </row>
    <row r="990" spans="1:26" ht="11.25" customHeight="1" x14ac:dyDescent="0.3">
      <c r="A990" s="132"/>
      <c r="B990" s="132"/>
      <c r="C990" s="132"/>
      <c r="D990" s="132"/>
      <c r="E990" s="132"/>
      <c r="F990" s="132"/>
      <c r="G990" s="132"/>
      <c r="H990" s="132"/>
      <c r="I990" s="132"/>
      <c r="J990" s="132"/>
      <c r="K990" s="132"/>
      <c r="L990" s="132"/>
      <c r="M990" s="132"/>
      <c r="N990" s="132"/>
      <c r="O990" s="132"/>
      <c r="P990" s="132"/>
      <c r="Q990" s="132"/>
      <c r="R990" s="132"/>
      <c r="S990" s="132"/>
      <c r="T990" s="132"/>
      <c r="U990" s="132"/>
      <c r="V990" s="132"/>
      <c r="W990" s="132"/>
      <c r="X990" s="132"/>
      <c r="Y990" s="132"/>
      <c r="Z990" s="132"/>
    </row>
    <row r="991" spans="1:26" ht="11.25" customHeight="1" x14ac:dyDescent="0.3">
      <c r="A991" s="132"/>
      <c r="B991" s="132"/>
      <c r="C991" s="132"/>
      <c r="D991" s="132"/>
      <c r="E991" s="132"/>
      <c r="F991" s="132"/>
      <c r="G991" s="132"/>
      <c r="H991" s="132"/>
      <c r="I991" s="132"/>
      <c r="J991" s="132"/>
      <c r="K991" s="132"/>
      <c r="L991" s="132"/>
      <c r="M991" s="132"/>
      <c r="N991" s="132"/>
      <c r="O991" s="132"/>
      <c r="P991" s="132"/>
      <c r="Q991" s="132"/>
      <c r="R991" s="132"/>
      <c r="S991" s="132"/>
      <c r="T991" s="132"/>
      <c r="U991" s="132"/>
      <c r="V991" s="132"/>
      <c r="W991" s="132"/>
      <c r="X991" s="132"/>
      <c r="Y991" s="132"/>
      <c r="Z991" s="132"/>
    </row>
    <row r="992" spans="1:26" ht="11.25" customHeight="1" x14ac:dyDescent="0.3">
      <c r="A992" s="132"/>
      <c r="B992" s="132"/>
      <c r="C992" s="132"/>
      <c r="D992" s="132"/>
      <c r="E992" s="132"/>
      <c r="F992" s="132"/>
      <c r="G992" s="132"/>
      <c r="H992" s="132"/>
      <c r="I992" s="132"/>
      <c r="J992" s="132"/>
      <c r="K992" s="132"/>
      <c r="L992" s="132"/>
      <c r="M992" s="132"/>
      <c r="N992" s="132"/>
      <c r="O992" s="132"/>
      <c r="P992" s="132"/>
      <c r="Q992" s="132"/>
      <c r="R992" s="132"/>
      <c r="S992" s="132"/>
      <c r="T992" s="132"/>
      <c r="U992" s="132"/>
      <c r="V992" s="132"/>
      <c r="W992" s="132"/>
      <c r="X992" s="132"/>
      <c r="Y992" s="132"/>
      <c r="Z992" s="132"/>
    </row>
    <row r="993" spans="1:26" ht="11.25" customHeight="1" x14ac:dyDescent="0.3">
      <c r="A993" s="132"/>
      <c r="B993" s="132"/>
      <c r="C993" s="132"/>
      <c r="D993" s="132"/>
      <c r="E993" s="132"/>
      <c r="F993" s="132"/>
      <c r="G993" s="132"/>
      <c r="H993" s="132"/>
      <c r="I993" s="132"/>
      <c r="J993" s="132"/>
      <c r="K993" s="132"/>
      <c r="L993" s="132"/>
      <c r="M993" s="132"/>
      <c r="N993" s="132"/>
      <c r="O993" s="132"/>
      <c r="P993" s="132"/>
      <c r="Q993" s="132"/>
      <c r="R993" s="132"/>
      <c r="S993" s="132"/>
      <c r="T993" s="132"/>
      <c r="U993" s="132"/>
      <c r="V993" s="132"/>
      <c r="W993" s="132"/>
      <c r="X993" s="132"/>
      <c r="Y993" s="132"/>
      <c r="Z993" s="132"/>
    </row>
    <row r="994" spans="1:26" ht="11.25" customHeight="1" x14ac:dyDescent="0.3">
      <c r="A994" s="132"/>
      <c r="B994" s="132"/>
      <c r="C994" s="132"/>
      <c r="D994" s="132"/>
      <c r="E994" s="132"/>
      <c r="F994" s="132"/>
      <c r="G994" s="132"/>
      <c r="H994" s="132"/>
      <c r="I994" s="132"/>
      <c r="J994" s="132"/>
      <c r="K994" s="132"/>
      <c r="L994" s="132"/>
      <c r="M994" s="132"/>
      <c r="N994" s="132"/>
      <c r="O994" s="132"/>
      <c r="P994" s="132"/>
      <c r="Q994" s="132"/>
      <c r="R994" s="132"/>
      <c r="S994" s="132"/>
      <c r="T994" s="132"/>
      <c r="U994" s="132"/>
      <c r="V994" s="132"/>
      <c r="W994" s="132"/>
      <c r="X994" s="132"/>
      <c r="Y994" s="132"/>
      <c r="Z994" s="132"/>
    </row>
    <row r="995" spans="1:26" ht="11.25" customHeight="1" x14ac:dyDescent="0.3">
      <c r="A995" s="132"/>
      <c r="B995" s="132"/>
      <c r="C995" s="132"/>
      <c r="D995" s="132"/>
      <c r="E995" s="132"/>
      <c r="F995" s="132"/>
      <c r="G995" s="132"/>
      <c r="H995" s="132"/>
      <c r="I995" s="132"/>
      <c r="J995" s="132"/>
      <c r="K995" s="132"/>
      <c r="L995" s="132"/>
      <c r="M995" s="132"/>
      <c r="N995" s="132"/>
      <c r="O995" s="132"/>
      <c r="P995" s="132"/>
      <c r="Q995" s="132"/>
      <c r="R995" s="132"/>
      <c r="S995" s="132"/>
      <c r="T995" s="132"/>
      <c r="U995" s="132"/>
      <c r="V995" s="132"/>
      <c r="W995" s="132"/>
      <c r="X995" s="132"/>
      <c r="Y995" s="132"/>
      <c r="Z995" s="132"/>
    </row>
    <row r="996" spans="1:26" ht="11.25" customHeight="1" x14ac:dyDescent="0.3">
      <c r="A996" s="132"/>
      <c r="B996" s="132"/>
      <c r="C996" s="132"/>
      <c r="D996" s="132"/>
      <c r="E996" s="132"/>
      <c r="F996" s="132"/>
      <c r="G996" s="132"/>
      <c r="H996" s="132"/>
      <c r="I996" s="132"/>
      <c r="J996" s="132"/>
      <c r="K996" s="132"/>
      <c r="L996" s="132"/>
      <c r="M996" s="132"/>
      <c r="N996" s="132"/>
      <c r="O996" s="132"/>
      <c r="P996" s="132"/>
      <c r="Q996" s="132"/>
      <c r="R996" s="132"/>
      <c r="S996" s="132"/>
      <c r="T996" s="132"/>
      <c r="U996" s="132"/>
      <c r="V996" s="132"/>
      <c r="W996" s="132"/>
      <c r="X996" s="132"/>
      <c r="Y996" s="132"/>
      <c r="Z996" s="132"/>
    </row>
    <row r="997" spans="1:26" ht="11.25" customHeight="1" x14ac:dyDescent="0.3">
      <c r="A997" s="132"/>
      <c r="B997" s="132"/>
      <c r="C997" s="132"/>
      <c r="D997" s="132"/>
      <c r="E997" s="132"/>
      <c r="F997" s="132"/>
      <c r="G997" s="132"/>
      <c r="H997" s="132"/>
      <c r="I997" s="132"/>
      <c r="J997" s="132"/>
      <c r="K997" s="132"/>
      <c r="L997" s="132"/>
      <c r="M997" s="132"/>
      <c r="N997" s="132"/>
      <c r="O997" s="132"/>
      <c r="P997" s="132"/>
      <c r="Q997" s="132"/>
      <c r="R997" s="132"/>
      <c r="S997" s="132"/>
      <c r="T997" s="132"/>
      <c r="U997" s="132"/>
      <c r="V997" s="132"/>
      <c r="W997" s="132"/>
      <c r="X997" s="132"/>
      <c r="Y997" s="132"/>
      <c r="Z997" s="132"/>
    </row>
    <row r="998" spans="1:26" ht="11.25" customHeight="1" x14ac:dyDescent="0.3">
      <c r="A998" s="132"/>
      <c r="B998" s="132"/>
      <c r="C998" s="132"/>
      <c r="D998" s="132"/>
      <c r="E998" s="132"/>
      <c r="F998" s="132"/>
      <c r="G998" s="132"/>
      <c r="H998" s="132"/>
      <c r="I998" s="132"/>
      <c r="J998" s="132"/>
      <c r="K998" s="132"/>
      <c r="L998" s="132"/>
      <c r="M998" s="132"/>
      <c r="N998" s="132"/>
      <c r="O998" s="132"/>
      <c r="P998" s="132"/>
      <c r="Q998" s="132"/>
      <c r="R998" s="132"/>
      <c r="S998" s="132"/>
      <c r="T998" s="132"/>
      <c r="U998" s="132"/>
      <c r="V998" s="132"/>
      <c r="W998" s="132"/>
      <c r="X998" s="132"/>
      <c r="Y998" s="132"/>
      <c r="Z998" s="132"/>
    </row>
    <row r="999" spans="1:26" ht="11.25" customHeight="1" x14ac:dyDescent="0.3">
      <c r="A999" s="132"/>
      <c r="B999" s="132"/>
      <c r="C999" s="132"/>
      <c r="D999" s="132"/>
      <c r="E999" s="132"/>
      <c r="F999" s="132"/>
      <c r="G999" s="132"/>
      <c r="H999" s="132"/>
      <c r="I999" s="132"/>
      <c r="J999" s="132"/>
      <c r="K999" s="132"/>
      <c r="L999" s="132"/>
      <c r="M999" s="132"/>
      <c r="N999" s="132"/>
      <c r="O999" s="132"/>
      <c r="P999" s="132"/>
      <c r="Q999" s="132"/>
      <c r="R999" s="132"/>
      <c r="S999" s="132"/>
      <c r="T999" s="132"/>
      <c r="U999" s="132"/>
      <c r="V999" s="132"/>
      <c r="W999" s="132"/>
      <c r="X999" s="132"/>
      <c r="Y999" s="132"/>
      <c r="Z999" s="132"/>
    </row>
    <row r="1000" spans="1:26" ht="11.25" customHeight="1" x14ac:dyDescent="0.3">
      <c r="A1000" s="132"/>
      <c r="B1000" s="132"/>
      <c r="C1000" s="132"/>
      <c r="D1000" s="132"/>
      <c r="E1000" s="132"/>
      <c r="F1000" s="132"/>
      <c r="G1000" s="132"/>
      <c r="H1000" s="132"/>
      <c r="I1000" s="132"/>
      <c r="J1000" s="132"/>
      <c r="K1000" s="132"/>
      <c r="L1000" s="132"/>
      <c r="M1000" s="132"/>
      <c r="N1000" s="132"/>
      <c r="O1000" s="132"/>
      <c r="P1000" s="132"/>
      <c r="Q1000" s="132"/>
      <c r="R1000" s="132"/>
      <c r="S1000" s="132"/>
      <c r="T1000" s="132"/>
      <c r="U1000" s="132"/>
      <c r="V1000" s="132"/>
      <c r="W1000" s="132"/>
      <c r="X1000" s="132"/>
      <c r="Y1000" s="132"/>
      <c r="Z1000" s="132"/>
    </row>
  </sheetData>
  <mergeCells count="1">
    <mergeCell ref="A1:M1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T1000"/>
  <sheetViews>
    <sheetView tabSelected="1" workbookViewId="0">
      <selection activeCell="D6" sqref="D6"/>
    </sheetView>
  </sheetViews>
  <sheetFormatPr defaultColWidth="14.44140625" defaultRowHeight="15" customHeight="1" x14ac:dyDescent="0.3"/>
  <cols>
    <col min="1" max="1" width="6" customWidth="1"/>
    <col min="2" max="3" width="2" customWidth="1"/>
    <col min="4" max="4" width="2.33203125" customWidth="1"/>
    <col min="5" max="6" width="14.109375" customWidth="1"/>
    <col min="7" max="7" width="15.109375" customWidth="1"/>
    <col min="8" max="8" width="9" customWidth="1"/>
    <col min="9" max="9" width="1.33203125" customWidth="1"/>
    <col min="10" max="12" width="14.109375" customWidth="1"/>
    <col min="13" max="13" width="9" customWidth="1"/>
    <col min="14" max="14" width="1.33203125" customWidth="1"/>
    <col min="15" max="16" width="13.109375" customWidth="1"/>
    <col min="17" max="17" width="14.109375" customWidth="1"/>
    <col min="18" max="18" width="8" customWidth="1"/>
    <col min="19" max="19" width="1.33203125" customWidth="1"/>
    <col min="20" max="20" width="14.109375" customWidth="1"/>
  </cols>
  <sheetData>
    <row r="1" spans="1:20" ht="11.25" customHeight="1" x14ac:dyDescent="0.3">
      <c r="A1" s="196" t="s">
        <v>224</v>
      </c>
      <c r="B1" s="197" t="s">
        <v>225</v>
      </c>
      <c r="C1" s="198" t="s">
        <v>226</v>
      </c>
      <c r="D1" s="199"/>
      <c r="E1" s="200" t="s">
        <v>227</v>
      </c>
      <c r="F1" s="201" t="s">
        <v>228</v>
      </c>
      <c r="G1" s="202" t="s">
        <v>229</v>
      </c>
      <c r="H1" s="203" t="s">
        <v>230</v>
      </c>
      <c r="I1" s="204"/>
      <c r="J1" s="205" t="s">
        <v>231</v>
      </c>
      <c r="K1" s="206" t="s">
        <v>232</v>
      </c>
      <c r="L1" s="207" t="s">
        <v>229</v>
      </c>
      <c r="M1" s="208" t="s">
        <v>233</v>
      </c>
      <c r="N1" s="209"/>
      <c r="O1" s="210" t="s">
        <v>234</v>
      </c>
      <c r="P1" s="211" t="s">
        <v>235</v>
      </c>
      <c r="Q1" s="212" t="s">
        <v>229</v>
      </c>
      <c r="R1" s="209"/>
      <c r="S1" s="204"/>
      <c r="T1" s="209"/>
    </row>
    <row r="2" spans="1:20" ht="11.25" customHeight="1" x14ac:dyDescent="0.3">
      <c r="A2" s="213" t="s">
        <v>236</v>
      </c>
      <c r="B2" s="214">
        <v>2</v>
      </c>
      <c r="C2" s="215">
        <v>2</v>
      </c>
      <c r="D2" s="199" t="s">
        <v>287</v>
      </c>
      <c r="E2" s="216">
        <f>(B2*'Proposed Budget'!$O$68)+(C2*'Proposed Budget'!$O$44)+'Proposed Budget'!$L$21+'Proposed Budget'!$L$22</f>
        <v>16606.55292099333</v>
      </c>
      <c r="F2" s="217">
        <f>SUM('Monthly Breakdown'!I49:I52)</f>
        <v>15639.36</v>
      </c>
      <c r="G2" s="218">
        <f t="shared" ref="G2:G13" si="0">F2-E2</f>
        <v>-967.19292099332961</v>
      </c>
      <c r="H2" s="219">
        <f t="shared" ref="H2:H13" si="1">((F2-E2)/E2)</f>
        <v>-5.8241642657257522E-2</v>
      </c>
      <c r="I2" s="209"/>
      <c r="J2" s="220">
        <f t="shared" ref="J2:K2" si="2">SUM(O20,E20,J20)</f>
        <v>13000</v>
      </c>
      <c r="K2" s="221">
        <f t="shared" si="2"/>
        <v>12394.720000000001</v>
      </c>
      <c r="L2" s="222">
        <f t="shared" ref="L2:L13" si="3">J2-K2</f>
        <v>605.27999999999884</v>
      </c>
      <c r="M2" s="223">
        <f t="shared" ref="M2:M13" si="4">((K2-J2)/J2)</f>
        <v>-4.6559999999999907E-2</v>
      </c>
      <c r="N2" s="209"/>
      <c r="O2" s="224">
        <f t="shared" ref="O2:O13" si="5">E2-O20-E20-J20</f>
        <v>3606.5529209933302</v>
      </c>
      <c r="P2" s="225">
        <f>SUM('Monthly Breakdown'!I45:I46)</f>
        <v>3244.64</v>
      </c>
      <c r="Q2" s="226">
        <f t="shared" ref="Q2:Q13" si="6">P2-O2</f>
        <v>-361.91292099333032</v>
      </c>
      <c r="R2" s="209"/>
      <c r="S2" s="209"/>
      <c r="T2" s="209">
        <f t="shared" ref="T2:T13" si="7">F2-K2-P2</f>
        <v>0</v>
      </c>
    </row>
    <row r="3" spans="1:20" ht="11.25" customHeight="1" x14ac:dyDescent="0.3">
      <c r="A3" s="213" t="s">
        <v>237</v>
      </c>
      <c r="B3" s="214">
        <v>2</v>
      </c>
      <c r="C3" s="215">
        <v>2</v>
      </c>
      <c r="D3" s="199" t="s">
        <v>287</v>
      </c>
      <c r="E3" s="216">
        <f>(B3*'Proposed Budget'!$O$68)+(C3*'Proposed Budget'!$O$44)+'Proposed Budget'!$L$21+'Proposed Budget'!$L$22</f>
        <v>16606.55292099333</v>
      </c>
      <c r="F3" s="217">
        <f>SUM('Monthly Breakdown'!K49:K52)</f>
        <v>16615.62</v>
      </c>
      <c r="G3" s="218">
        <f t="shared" si="0"/>
        <v>9.0670790066687914</v>
      </c>
      <c r="H3" s="219">
        <f t="shared" si="1"/>
        <v>5.4599404523057629E-4</v>
      </c>
      <c r="I3" s="209"/>
      <c r="J3" s="220">
        <f t="shared" ref="J3:K3" si="8">SUM(O21,E21,J21)</f>
        <v>13000</v>
      </c>
      <c r="K3" s="221">
        <f t="shared" si="8"/>
        <v>12800.71</v>
      </c>
      <c r="L3" s="222">
        <f t="shared" si="3"/>
        <v>199.29000000000087</v>
      </c>
      <c r="M3" s="223">
        <f t="shared" si="4"/>
        <v>-1.5330000000000068E-2</v>
      </c>
      <c r="N3" s="209"/>
      <c r="O3" s="224">
        <f t="shared" si="5"/>
        <v>3606.5529209933302</v>
      </c>
      <c r="P3" s="225">
        <f>SUM('Monthly Breakdown'!K45:K46)</f>
        <v>3814.91</v>
      </c>
      <c r="Q3" s="226">
        <f t="shared" si="6"/>
        <v>208.35707900666966</v>
      </c>
      <c r="R3" s="209"/>
      <c r="S3" s="209"/>
      <c r="T3" s="209">
        <f t="shared" si="7"/>
        <v>0</v>
      </c>
    </row>
    <row r="4" spans="1:20" ht="11.25" customHeight="1" x14ac:dyDescent="0.3">
      <c r="A4" s="213" t="s">
        <v>238</v>
      </c>
      <c r="B4" s="214">
        <v>2</v>
      </c>
      <c r="C4" s="215">
        <v>2</v>
      </c>
      <c r="D4" s="199" t="s">
        <v>287</v>
      </c>
      <c r="E4" s="216">
        <f>(B4*'Proposed Budget'!$O$68)+(C4*'Proposed Budget'!$O$44)+'Proposed Budget'!$L$21+'Proposed Budget'!$L$22</f>
        <v>16606.55292099333</v>
      </c>
      <c r="F4" s="217">
        <f>SUM('Monthly Breakdown'!M49:M52)</f>
        <v>16971.29</v>
      </c>
      <c r="G4" s="218">
        <f t="shared" si="0"/>
        <v>364.73707900667068</v>
      </c>
      <c r="H4" s="219">
        <f t="shared" si="1"/>
        <v>2.1963443030105594E-2</v>
      </c>
      <c r="I4" s="209"/>
      <c r="J4" s="220">
        <f t="shared" ref="J4:K4" si="9">SUM(O22,E22,J22)</f>
        <v>13000</v>
      </c>
      <c r="K4" s="221">
        <f t="shared" si="9"/>
        <v>12611.71</v>
      </c>
      <c r="L4" s="222">
        <f t="shared" si="3"/>
        <v>388.29000000000087</v>
      </c>
      <c r="M4" s="223">
        <f t="shared" si="4"/>
        <v>-2.9868461538461604E-2</v>
      </c>
      <c r="N4" s="209"/>
      <c r="O4" s="224">
        <f t="shared" si="5"/>
        <v>3606.5529209933302</v>
      </c>
      <c r="P4" s="225">
        <f>SUM('Monthly Breakdown'!M45:M46)</f>
        <v>4359.58</v>
      </c>
      <c r="Q4" s="226">
        <f t="shared" si="6"/>
        <v>753.02707900666974</v>
      </c>
      <c r="R4" s="209"/>
      <c r="S4" s="209"/>
      <c r="T4" s="209">
        <f t="shared" si="7"/>
        <v>0</v>
      </c>
    </row>
    <row r="5" spans="1:20" ht="11.25" customHeight="1" x14ac:dyDescent="0.3">
      <c r="A5" s="213" t="s">
        <v>239</v>
      </c>
      <c r="B5" s="214">
        <v>2</v>
      </c>
      <c r="C5" s="215">
        <v>3</v>
      </c>
      <c r="D5" s="199" t="s">
        <v>287</v>
      </c>
      <c r="E5" s="216">
        <f>(B5*'Proposed Budget'!$O$68)+(C5*'Proposed Budget'!$O$44)+'Proposed Budget'!$L$21+'Proposed Budget'!$L$22</f>
        <v>19370.33642599333</v>
      </c>
      <c r="F5" s="217">
        <f>SUM('Monthly Breakdown'!O49:O52)</f>
        <v>18875.669999999998</v>
      </c>
      <c r="G5" s="218">
        <f t="shared" si="0"/>
        <v>-494.66642599333136</v>
      </c>
      <c r="H5" s="219">
        <f t="shared" si="1"/>
        <v>-2.5537317221270946E-2</v>
      </c>
      <c r="I5" s="209"/>
      <c r="J5" s="220">
        <f t="shared" ref="J5:K5" si="10">SUM(O23,E23,J23)</f>
        <v>13000</v>
      </c>
      <c r="K5" s="221">
        <f t="shared" si="10"/>
        <v>13208.85</v>
      </c>
      <c r="L5" s="222">
        <f t="shared" si="3"/>
        <v>-208.85000000000036</v>
      </c>
      <c r="M5" s="223">
        <f t="shared" si="4"/>
        <v>1.6065384615384645E-2</v>
      </c>
      <c r="N5" s="209"/>
      <c r="O5" s="224">
        <f t="shared" si="5"/>
        <v>6370.3364259933296</v>
      </c>
      <c r="P5" s="225">
        <f>SUM('Monthly Breakdown'!O45:O46)</f>
        <v>5666.82</v>
      </c>
      <c r="Q5" s="226">
        <f t="shared" si="6"/>
        <v>-703.5164259933299</v>
      </c>
      <c r="R5" s="209"/>
      <c r="S5" s="209"/>
      <c r="T5" s="209">
        <f t="shared" si="7"/>
        <v>0</v>
      </c>
    </row>
    <row r="6" spans="1:20" ht="11.25" customHeight="1" x14ac:dyDescent="0.3">
      <c r="A6" s="213" t="s">
        <v>240</v>
      </c>
      <c r="B6" s="214">
        <v>2</v>
      </c>
      <c r="C6" s="215">
        <v>2</v>
      </c>
      <c r="D6" s="199"/>
      <c r="E6" s="216">
        <f>(B6*'Proposed Budget'!$O$68)+(C6*'Proposed Budget'!$O$44)+'Proposed Budget'!$L$21+'Proposed Budget'!$L$22</f>
        <v>16606.55292099333</v>
      </c>
      <c r="F6" s="217">
        <f>SUM('Monthly Breakdown'!Q49:Q52)</f>
        <v>0</v>
      </c>
      <c r="G6" s="218">
        <f t="shared" si="0"/>
        <v>-16606.55292099333</v>
      </c>
      <c r="H6" s="219">
        <f t="shared" si="1"/>
        <v>-1</v>
      </c>
      <c r="I6" s="209"/>
      <c r="J6" s="220">
        <f t="shared" ref="J6:K6" si="11">SUM(O24,E24,J24)</f>
        <v>13000</v>
      </c>
      <c r="K6" s="221">
        <f t="shared" si="11"/>
        <v>4461.5800000000008</v>
      </c>
      <c r="L6" s="222">
        <f t="shared" si="3"/>
        <v>8538.4199999999983</v>
      </c>
      <c r="M6" s="223">
        <f t="shared" si="4"/>
        <v>-0.65680153846153833</v>
      </c>
      <c r="N6" s="209"/>
      <c r="O6" s="224">
        <f t="shared" si="5"/>
        <v>3606.5529209933302</v>
      </c>
      <c r="P6" s="225">
        <f>SUM('Monthly Breakdown'!Q45:Q46)</f>
        <v>50</v>
      </c>
      <c r="Q6" s="226">
        <f t="shared" si="6"/>
        <v>-3556.5529209933302</v>
      </c>
      <c r="R6" s="209"/>
      <c r="S6" s="209"/>
      <c r="T6" s="209">
        <f t="shared" si="7"/>
        <v>-4511.5800000000008</v>
      </c>
    </row>
    <row r="7" spans="1:20" ht="11.25" customHeight="1" x14ac:dyDescent="0.3">
      <c r="A7" s="213" t="s">
        <v>241</v>
      </c>
      <c r="B7" s="214">
        <v>2</v>
      </c>
      <c r="C7" s="215">
        <v>2</v>
      </c>
      <c r="D7" s="199"/>
      <c r="E7" s="216">
        <f>(B7*'Proposed Budget'!$O$68)+(C7*'Proposed Budget'!$O$44)+'Proposed Budget'!$L$21+'Proposed Budget'!$L$22</f>
        <v>16606.55292099333</v>
      </c>
      <c r="F7" s="217">
        <f>SUM('Monthly Breakdown'!S49:S52)</f>
        <v>0</v>
      </c>
      <c r="G7" s="218">
        <f t="shared" si="0"/>
        <v>-16606.55292099333</v>
      </c>
      <c r="H7" s="219">
        <f t="shared" si="1"/>
        <v>-1</v>
      </c>
      <c r="I7" s="209"/>
      <c r="J7" s="220">
        <f t="shared" ref="J7:K7" si="12">SUM(O25,E25,J25)</f>
        <v>13000</v>
      </c>
      <c r="K7" s="221">
        <f t="shared" si="12"/>
        <v>0</v>
      </c>
      <c r="L7" s="222">
        <f t="shared" si="3"/>
        <v>13000</v>
      </c>
      <c r="M7" s="223">
        <f t="shared" si="4"/>
        <v>-1</v>
      </c>
      <c r="N7" s="209"/>
      <c r="O7" s="224">
        <f t="shared" si="5"/>
        <v>3606.5529209933302</v>
      </c>
      <c r="P7" s="225">
        <f>SUM('Monthly Breakdown'!S45:S46)</f>
        <v>0</v>
      </c>
      <c r="Q7" s="226">
        <f t="shared" si="6"/>
        <v>-3606.5529209933302</v>
      </c>
      <c r="R7" s="209"/>
      <c r="S7" s="209"/>
      <c r="T7" s="209">
        <f t="shared" si="7"/>
        <v>0</v>
      </c>
    </row>
    <row r="8" spans="1:20" ht="11.25" customHeight="1" x14ac:dyDescent="0.3">
      <c r="A8" s="213" t="s">
        <v>242</v>
      </c>
      <c r="B8" s="214">
        <v>2</v>
      </c>
      <c r="C8" s="215">
        <v>2</v>
      </c>
      <c r="D8" s="199"/>
      <c r="E8" s="216">
        <f>(B8*'Proposed Budget'!$O$68)+(C8*'Proposed Budget'!$O$44)+'Proposed Budget'!$L$21+'Proposed Budget'!$L$22</f>
        <v>16606.55292099333</v>
      </c>
      <c r="F8" s="217">
        <f>SUM('Monthly Breakdown'!U49:U52)</f>
        <v>0</v>
      </c>
      <c r="G8" s="218">
        <f t="shared" si="0"/>
        <v>-16606.55292099333</v>
      </c>
      <c r="H8" s="219">
        <f t="shared" si="1"/>
        <v>-1</v>
      </c>
      <c r="I8" s="209"/>
      <c r="J8" s="220">
        <f t="shared" ref="J8:K8" si="13">SUM(O26,E26,J26)</f>
        <v>13000</v>
      </c>
      <c r="K8" s="221">
        <f t="shared" si="13"/>
        <v>0</v>
      </c>
      <c r="L8" s="222">
        <f t="shared" si="3"/>
        <v>13000</v>
      </c>
      <c r="M8" s="223">
        <f t="shared" si="4"/>
        <v>-1</v>
      </c>
      <c r="N8" s="209"/>
      <c r="O8" s="224">
        <f t="shared" si="5"/>
        <v>3606.5529209933302</v>
      </c>
      <c r="P8" s="225">
        <f>SUM('Monthly Breakdown'!U45:U46)</f>
        <v>0</v>
      </c>
      <c r="Q8" s="226">
        <f t="shared" si="6"/>
        <v>-3606.5529209933302</v>
      </c>
      <c r="R8" s="209"/>
      <c r="S8" s="209"/>
      <c r="T8" s="209">
        <f t="shared" si="7"/>
        <v>0</v>
      </c>
    </row>
    <row r="9" spans="1:20" ht="11.25" customHeight="1" x14ac:dyDescent="0.3">
      <c r="A9" s="213" t="s">
        <v>243</v>
      </c>
      <c r="B9" s="214">
        <v>2</v>
      </c>
      <c r="C9" s="215">
        <v>2</v>
      </c>
      <c r="D9" s="199"/>
      <c r="E9" s="216">
        <f>(B9*'Proposed Budget'!$O$68)+(C9*'Proposed Budget'!$O$44)+'Proposed Budget'!$L$21+'Proposed Budget'!$L$22</f>
        <v>16606.55292099333</v>
      </c>
      <c r="F9" s="217">
        <f>SUM('Monthly Breakdown'!W49:W52)</f>
        <v>0</v>
      </c>
      <c r="G9" s="218">
        <f t="shared" si="0"/>
        <v>-16606.55292099333</v>
      </c>
      <c r="H9" s="219">
        <f t="shared" si="1"/>
        <v>-1</v>
      </c>
      <c r="I9" s="209"/>
      <c r="J9" s="220">
        <f t="shared" ref="J9:K9" si="14">SUM(O27,E27,J27)</f>
        <v>13000</v>
      </c>
      <c r="K9" s="221">
        <f t="shared" si="14"/>
        <v>0</v>
      </c>
      <c r="L9" s="222">
        <f t="shared" si="3"/>
        <v>13000</v>
      </c>
      <c r="M9" s="223">
        <f t="shared" si="4"/>
        <v>-1</v>
      </c>
      <c r="N9" s="209"/>
      <c r="O9" s="224">
        <f t="shared" si="5"/>
        <v>3606.5529209933302</v>
      </c>
      <c r="P9" s="225">
        <f>SUM('Monthly Breakdown'!W45:W46)</f>
        <v>0</v>
      </c>
      <c r="Q9" s="226">
        <f t="shared" si="6"/>
        <v>-3606.5529209933302</v>
      </c>
      <c r="R9" s="209"/>
      <c r="S9" s="209"/>
      <c r="T9" s="209">
        <f t="shared" si="7"/>
        <v>0</v>
      </c>
    </row>
    <row r="10" spans="1:20" ht="11.25" customHeight="1" x14ac:dyDescent="0.3">
      <c r="A10" s="227" t="s">
        <v>244</v>
      </c>
      <c r="B10" s="214">
        <v>2</v>
      </c>
      <c r="C10" s="215">
        <v>3</v>
      </c>
      <c r="D10" s="199"/>
      <c r="E10" s="216">
        <f>(B10*'Proposed Budget'!$O$68)+(C10*'Proposed Budget'!$O$44)+'Proposed Budget'!$L$21+'Proposed Budget'!$L$22</f>
        <v>19370.33642599333</v>
      </c>
      <c r="F10" s="217">
        <f>SUM('Monthly Breakdown'!Y49:Y52)</f>
        <v>0</v>
      </c>
      <c r="G10" s="218">
        <f t="shared" si="0"/>
        <v>-19370.33642599333</v>
      </c>
      <c r="H10" s="219">
        <f t="shared" si="1"/>
        <v>-1</v>
      </c>
      <c r="I10" s="209"/>
      <c r="J10" s="220">
        <f t="shared" ref="J10:K10" si="15">SUM(O28,E28,J28)</f>
        <v>13000</v>
      </c>
      <c r="K10" s="221">
        <f t="shared" si="15"/>
        <v>0</v>
      </c>
      <c r="L10" s="222">
        <f t="shared" si="3"/>
        <v>13000</v>
      </c>
      <c r="M10" s="223">
        <f t="shared" si="4"/>
        <v>-1</v>
      </c>
      <c r="N10" s="209"/>
      <c r="O10" s="224">
        <f t="shared" si="5"/>
        <v>6370.3364259933296</v>
      </c>
      <c r="P10" s="225">
        <f>SUM('Monthly Breakdown'!Y45:Y46)</f>
        <v>0</v>
      </c>
      <c r="Q10" s="226">
        <f t="shared" si="6"/>
        <v>-6370.3364259933296</v>
      </c>
      <c r="R10" s="209"/>
      <c r="S10" s="209"/>
      <c r="T10" s="209">
        <f t="shared" si="7"/>
        <v>0</v>
      </c>
    </row>
    <row r="11" spans="1:20" ht="11.25" customHeight="1" x14ac:dyDescent="0.3">
      <c r="A11" s="227" t="s">
        <v>245</v>
      </c>
      <c r="B11" s="214">
        <v>2</v>
      </c>
      <c r="C11" s="215">
        <v>2</v>
      </c>
      <c r="D11" s="199"/>
      <c r="E11" s="216">
        <f>(B11*'Proposed Budget'!$O$68)+(C11*'Proposed Budget'!$O$44)+'Proposed Budget'!$L$21+'Proposed Budget'!$L$22</f>
        <v>16606.55292099333</v>
      </c>
      <c r="F11" s="217">
        <f>SUM('Monthly Breakdown'!AA49:AA52)</f>
        <v>0</v>
      </c>
      <c r="G11" s="218">
        <f t="shared" si="0"/>
        <v>-16606.55292099333</v>
      </c>
      <c r="H11" s="219">
        <f t="shared" si="1"/>
        <v>-1</v>
      </c>
      <c r="I11" s="209"/>
      <c r="J11" s="220">
        <f t="shared" ref="J11:K11" si="16">SUM(O29,E29,J29)</f>
        <v>13000</v>
      </c>
      <c r="K11" s="221">
        <f t="shared" si="16"/>
        <v>0</v>
      </c>
      <c r="L11" s="222">
        <f t="shared" si="3"/>
        <v>13000</v>
      </c>
      <c r="M11" s="223">
        <f t="shared" si="4"/>
        <v>-1</v>
      </c>
      <c r="N11" s="209"/>
      <c r="O11" s="224">
        <f t="shared" si="5"/>
        <v>3606.5529209933302</v>
      </c>
      <c r="P11" s="225">
        <f>SUM('Monthly Breakdown'!AA45:AA46)</f>
        <v>0</v>
      </c>
      <c r="Q11" s="226">
        <f t="shared" si="6"/>
        <v>-3606.5529209933302</v>
      </c>
      <c r="R11" s="209"/>
      <c r="S11" s="209"/>
      <c r="T11" s="209">
        <f t="shared" si="7"/>
        <v>0</v>
      </c>
    </row>
    <row r="12" spans="1:20" ht="11.25" customHeight="1" x14ac:dyDescent="0.3">
      <c r="A12" s="227" t="s">
        <v>246</v>
      </c>
      <c r="B12" s="214">
        <v>2</v>
      </c>
      <c r="C12" s="215">
        <v>2</v>
      </c>
      <c r="D12" s="199"/>
      <c r="E12" s="216">
        <f>(B12*'Proposed Budget'!$O$68)+(C12*'Proposed Budget'!$O$44)+'Proposed Budget'!$L$21+'Proposed Budget'!$L$22</f>
        <v>16606.55292099333</v>
      </c>
      <c r="F12" s="217">
        <f>SUM('Monthly Breakdown'!AC49:AC52)</f>
        <v>0</v>
      </c>
      <c r="G12" s="218">
        <f t="shared" si="0"/>
        <v>-16606.55292099333</v>
      </c>
      <c r="H12" s="219">
        <f t="shared" si="1"/>
        <v>-1</v>
      </c>
      <c r="I12" s="209"/>
      <c r="J12" s="220">
        <f t="shared" ref="J12:K12" si="17">SUM(O30,E30,J30)</f>
        <v>13000</v>
      </c>
      <c r="K12" s="221">
        <f t="shared" si="17"/>
        <v>0</v>
      </c>
      <c r="L12" s="222">
        <f t="shared" si="3"/>
        <v>13000</v>
      </c>
      <c r="M12" s="223">
        <f t="shared" si="4"/>
        <v>-1</v>
      </c>
      <c r="N12" s="209"/>
      <c r="O12" s="224">
        <f t="shared" si="5"/>
        <v>3606.5529209933302</v>
      </c>
      <c r="P12" s="225">
        <f>SUM('Monthly Breakdown'!AC45:AC46)</f>
        <v>0</v>
      </c>
      <c r="Q12" s="226">
        <f t="shared" si="6"/>
        <v>-3606.5529209933302</v>
      </c>
      <c r="R12" s="209"/>
      <c r="S12" s="209"/>
      <c r="T12" s="209">
        <f t="shared" si="7"/>
        <v>0</v>
      </c>
    </row>
    <row r="13" spans="1:20" ht="11.25" customHeight="1" x14ac:dyDescent="0.3">
      <c r="A13" s="227" t="s">
        <v>247</v>
      </c>
      <c r="B13" s="214">
        <v>2</v>
      </c>
      <c r="C13" s="215">
        <v>2</v>
      </c>
      <c r="D13" s="199"/>
      <c r="E13" s="216">
        <f>(B13*'Proposed Budget'!$O$68)+(C13*'Proposed Budget'!$O$44)+'Proposed Budget'!$L$21+'Proposed Budget'!$L$22</f>
        <v>16606.55292099333</v>
      </c>
      <c r="F13" s="217">
        <f>SUM('Monthly Breakdown'!AE49:AE52)</f>
        <v>0</v>
      </c>
      <c r="G13" s="218">
        <f t="shared" si="0"/>
        <v>-16606.55292099333</v>
      </c>
      <c r="H13" s="219">
        <f t="shared" si="1"/>
        <v>-1</v>
      </c>
      <c r="I13" s="209"/>
      <c r="J13" s="220">
        <f t="shared" ref="J13:K13" si="18">SUM(O31,E31,J31)</f>
        <v>13000</v>
      </c>
      <c r="K13" s="221">
        <f t="shared" si="18"/>
        <v>0</v>
      </c>
      <c r="L13" s="222">
        <f t="shared" si="3"/>
        <v>13000</v>
      </c>
      <c r="M13" s="223">
        <f t="shared" si="4"/>
        <v>-1</v>
      </c>
      <c r="N13" s="209"/>
      <c r="O13" s="224">
        <f t="shared" si="5"/>
        <v>3606.5529209933302</v>
      </c>
      <c r="P13" s="225">
        <f>SUM('Monthly Breakdown'!AE45:AE46)</f>
        <v>0</v>
      </c>
      <c r="Q13" s="226">
        <f t="shared" si="6"/>
        <v>-3606.5529209933302</v>
      </c>
      <c r="R13" s="209"/>
      <c r="S13" s="209"/>
      <c r="T13" s="209">
        <f t="shared" si="7"/>
        <v>0</v>
      </c>
    </row>
    <row r="14" spans="1:20" ht="11.25" customHeight="1" x14ac:dyDescent="0.3">
      <c r="A14" s="228"/>
      <c r="B14" s="214"/>
      <c r="C14" s="215"/>
      <c r="D14" s="199"/>
      <c r="E14" s="216"/>
      <c r="F14" s="217"/>
      <c r="G14" s="218"/>
      <c r="H14" s="219"/>
      <c r="I14" s="209"/>
      <c r="J14" s="220"/>
      <c r="K14" s="221"/>
      <c r="L14" s="222"/>
      <c r="M14" s="223"/>
      <c r="N14" s="209"/>
      <c r="O14" s="224"/>
      <c r="P14" s="225"/>
      <c r="Q14" s="226"/>
      <c r="R14" s="209"/>
      <c r="S14" s="209"/>
      <c r="T14" s="209"/>
    </row>
    <row r="15" spans="1:20" ht="11.25" customHeight="1" x14ac:dyDescent="0.3">
      <c r="A15" s="228"/>
      <c r="B15" s="214"/>
      <c r="C15" s="215"/>
      <c r="D15" s="199"/>
      <c r="E15" s="216"/>
      <c r="F15" s="217"/>
      <c r="G15" s="218"/>
      <c r="H15" s="219"/>
      <c r="I15" s="209"/>
      <c r="J15" s="220"/>
      <c r="K15" s="221"/>
      <c r="L15" s="222"/>
      <c r="M15" s="223"/>
      <c r="N15" s="209"/>
      <c r="O15" s="224"/>
      <c r="P15" s="225"/>
      <c r="Q15" s="226"/>
      <c r="R15" s="209"/>
      <c r="S15" s="209"/>
      <c r="T15" s="209"/>
    </row>
    <row r="16" spans="1:20" ht="11.25" customHeight="1" x14ac:dyDescent="0.3">
      <c r="A16" s="228" t="s">
        <v>68</v>
      </c>
      <c r="B16" s="214"/>
      <c r="C16" s="215"/>
      <c r="D16" s="199"/>
      <c r="E16" s="216">
        <f>SUM(E2:E6)</f>
        <v>85796.54810996665</v>
      </c>
      <c r="F16" s="216">
        <f>SUM(F2:F6)</f>
        <v>68101.94</v>
      </c>
      <c r="G16" s="216">
        <f>SUM(G2:G6)</f>
        <v>-17694.608109966652</v>
      </c>
      <c r="H16" s="219">
        <f>((SUM(F16))-SUM(E16))/SUM(E16)</f>
        <v>-0.2062391611290377</v>
      </c>
      <c r="I16" s="209"/>
      <c r="J16" s="220">
        <f>SUM(J2:J6)</f>
        <v>65000</v>
      </c>
      <c r="K16" s="220">
        <f>SUM(K2:K6)</f>
        <v>55477.57</v>
      </c>
      <c r="L16" s="220">
        <f>SUM(L2:L6)</f>
        <v>9522.4299999999985</v>
      </c>
      <c r="M16" s="223">
        <f>((K16-SUM(J16))/SUM(J16))</f>
        <v>-0.14649892307692308</v>
      </c>
      <c r="N16" s="209"/>
      <c r="O16" s="224">
        <f>SUM(O2:O6)</f>
        <v>20796.54810996665</v>
      </c>
      <c r="P16" s="224">
        <f>SUM(P2:P6)</f>
        <v>17135.949999999997</v>
      </c>
      <c r="Q16" s="224">
        <f>SUM(Q2:Q6)</f>
        <v>-3660.598109966651</v>
      </c>
      <c r="R16" s="229">
        <f>((P16-SUM(O16))/SUM(O16))</f>
        <v>-0.17601950528570309</v>
      </c>
      <c r="S16" s="209"/>
      <c r="T16" s="209">
        <f>F16-K16-P16</f>
        <v>-4511.5799999999945</v>
      </c>
    </row>
    <row r="19" spans="1:17" ht="11.25" customHeight="1" x14ac:dyDescent="0.3">
      <c r="A19" s="196" t="s">
        <v>224</v>
      </c>
      <c r="B19" s="199"/>
      <c r="C19" s="199"/>
      <c r="D19" s="199"/>
      <c r="E19" s="230" t="s">
        <v>248</v>
      </c>
      <c r="F19" s="231" t="s">
        <v>249</v>
      </c>
      <c r="G19" s="232" t="s">
        <v>229</v>
      </c>
      <c r="H19" s="233" t="s">
        <v>233</v>
      </c>
      <c r="I19" s="209"/>
      <c r="J19" s="234" t="s">
        <v>250</v>
      </c>
      <c r="K19" s="235" t="s">
        <v>251</v>
      </c>
      <c r="L19" s="236" t="s">
        <v>229</v>
      </c>
      <c r="M19" s="237" t="s">
        <v>233</v>
      </c>
      <c r="N19" s="209"/>
      <c r="O19" s="238" t="s">
        <v>252</v>
      </c>
      <c r="P19" s="239" t="s">
        <v>253</v>
      </c>
      <c r="Q19" s="240" t="s">
        <v>229</v>
      </c>
    </row>
    <row r="20" spans="1:17" ht="11.25" customHeight="1" x14ac:dyDescent="0.3">
      <c r="A20" s="213" t="s">
        <v>236</v>
      </c>
      <c r="B20" s="199"/>
      <c r="C20" s="199"/>
      <c r="D20" s="199"/>
      <c r="E20" s="241">
        <f>SUM('Proposed Budget'!$D$14:$D$31)</f>
        <v>5200</v>
      </c>
      <c r="F20" s="242">
        <f>SUM('Monthly Breakdown'!I14:I31)</f>
        <v>4819.04</v>
      </c>
      <c r="G20" s="243">
        <f t="shared" ref="G20:G31" si="19">E20-F20</f>
        <v>380.96000000000004</v>
      </c>
      <c r="H20" s="244">
        <f t="shared" ref="H20:H31" si="20">((F20-E20)/E20)</f>
        <v>-7.3261538461538475E-2</v>
      </c>
      <c r="I20" s="209"/>
      <c r="J20" s="245">
        <f>SUM('Proposed Budget'!$D$5:$D$12)</f>
        <v>5800</v>
      </c>
      <c r="K20" s="246">
        <f>SUM('Monthly Breakdown'!I5:I12)</f>
        <v>5575.68</v>
      </c>
      <c r="L20" s="247">
        <f t="shared" ref="L20:L31" si="21">J20-K20</f>
        <v>224.31999999999971</v>
      </c>
      <c r="M20" s="248">
        <f t="shared" ref="M20:M31" si="22">((K20-J20)/J20)</f>
        <v>-3.8675862068965464E-2</v>
      </c>
      <c r="N20" s="209"/>
      <c r="O20" s="249">
        <f>SUM('Proposed Budget'!$D$33:$D$43)</f>
        <v>2000</v>
      </c>
      <c r="P20" s="250">
        <f>SUM('Monthly Breakdown'!I33:I43)</f>
        <v>2000</v>
      </c>
      <c r="Q20" s="251">
        <f t="shared" ref="Q20:Q31" si="23">O20-P20</f>
        <v>0</v>
      </c>
    </row>
    <row r="21" spans="1:17" ht="11.25" customHeight="1" x14ac:dyDescent="0.3">
      <c r="A21" s="213" t="s">
        <v>237</v>
      </c>
      <c r="B21" s="199"/>
      <c r="C21" s="199"/>
      <c r="D21" s="199"/>
      <c r="E21" s="241">
        <f>SUM('Proposed Budget'!$D$14:$D$31)</f>
        <v>5200</v>
      </c>
      <c r="F21" s="242">
        <f>SUM('Monthly Breakdown'!K14:K31)</f>
        <v>4930.4799999999996</v>
      </c>
      <c r="G21" s="243">
        <f t="shared" si="19"/>
        <v>269.52000000000044</v>
      </c>
      <c r="H21" s="244">
        <f t="shared" si="20"/>
        <v>-5.1830769230769312E-2</v>
      </c>
      <c r="I21" s="209"/>
      <c r="J21" s="245">
        <f>SUM('Proposed Budget'!$D$5:$D$12)</f>
        <v>5800</v>
      </c>
      <c r="K21" s="246">
        <f>SUM('Monthly Breakdown'!K5:K12)</f>
        <v>5870.2300000000005</v>
      </c>
      <c r="L21" s="247">
        <f t="shared" si="21"/>
        <v>-70.230000000000473</v>
      </c>
      <c r="M21" s="248">
        <f t="shared" si="22"/>
        <v>1.2108620689655254E-2</v>
      </c>
      <c r="N21" s="209"/>
      <c r="O21" s="249">
        <f>SUM('Proposed Budget'!$D$33:$D$43)</f>
        <v>2000</v>
      </c>
      <c r="P21" s="250">
        <f>SUM('Monthly Breakdown'!K33:K43)</f>
        <v>2000</v>
      </c>
      <c r="Q21" s="251">
        <f t="shared" si="23"/>
        <v>0</v>
      </c>
    </row>
    <row r="22" spans="1:17" ht="11.25" customHeight="1" x14ac:dyDescent="0.3">
      <c r="A22" s="213" t="s">
        <v>238</v>
      </c>
      <c r="B22" s="199"/>
      <c r="C22" s="199"/>
      <c r="D22" s="199"/>
      <c r="E22" s="241">
        <f>SUM('Proposed Budget'!$D$14:$D$31)</f>
        <v>5200</v>
      </c>
      <c r="F22" s="242">
        <f>SUM('Monthly Breakdown'!M14:M31)</f>
        <v>5444.89</v>
      </c>
      <c r="G22" s="243">
        <f t="shared" si="19"/>
        <v>-244.89000000000033</v>
      </c>
      <c r="H22" s="244">
        <f t="shared" si="20"/>
        <v>4.7094230769230833E-2</v>
      </c>
      <c r="I22" s="209"/>
      <c r="J22" s="245">
        <f>SUM('Proposed Budget'!$D$5:$D$12)</f>
        <v>5800</v>
      </c>
      <c r="K22" s="246">
        <f>SUM('Monthly Breakdown'!M5:M12)</f>
        <v>5166.82</v>
      </c>
      <c r="L22" s="247">
        <f t="shared" si="21"/>
        <v>633.18000000000029</v>
      </c>
      <c r="M22" s="248">
        <f t="shared" si="22"/>
        <v>-0.10916896551724142</v>
      </c>
      <c r="N22" s="209"/>
      <c r="O22" s="249">
        <f>SUM('Proposed Budget'!$D$33:$D$43)</f>
        <v>2000</v>
      </c>
      <c r="P22" s="250">
        <f>SUM('Monthly Breakdown'!M33:M43)</f>
        <v>2000</v>
      </c>
      <c r="Q22" s="251">
        <f t="shared" si="23"/>
        <v>0</v>
      </c>
    </row>
    <row r="23" spans="1:17" ht="11.25" customHeight="1" x14ac:dyDescent="0.3">
      <c r="A23" s="213" t="s">
        <v>239</v>
      </c>
      <c r="B23" s="199"/>
      <c r="C23" s="199"/>
      <c r="D23" s="199"/>
      <c r="E23" s="241">
        <f>SUM('Proposed Budget'!$D$14:$D$31)</f>
        <v>5200</v>
      </c>
      <c r="F23" s="242">
        <f>SUM('Monthly Breakdown'!O14:O31)</f>
        <v>4511.1900000000005</v>
      </c>
      <c r="G23" s="243">
        <f t="shared" si="19"/>
        <v>688.80999999999949</v>
      </c>
      <c r="H23" s="244">
        <f t="shared" si="20"/>
        <v>-0.13246346153846145</v>
      </c>
      <c r="I23" s="209"/>
      <c r="J23" s="245">
        <f>SUM('Proposed Budget'!$D$5:$D$12)</f>
        <v>5800</v>
      </c>
      <c r="K23" s="246">
        <f>SUM('Monthly Breakdown'!O5:O12)</f>
        <v>6697.66</v>
      </c>
      <c r="L23" s="247">
        <f t="shared" si="21"/>
        <v>-897.65999999999985</v>
      </c>
      <c r="M23" s="248">
        <f t="shared" si="22"/>
        <v>0.15476896551724134</v>
      </c>
      <c r="N23" s="209"/>
      <c r="O23" s="249">
        <f>SUM('Proposed Budget'!$D$33:$D$43)</f>
        <v>2000</v>
      </c>
      <c r="P23" s="250">
        <f>SUM('Monthly Breakdown'!O33:O43)</f>
        <v>2000</v>
      </c>
      <c r="Q23" s="251">
        <f t="shared" si="23"/>
        <v>0</v>
      </c>
    </row>
    <row r="24" spans="1:17" ht="11.25" customHeight="1" x14ac:dyDescent="0.3">
      <c r="A24" s="213" t="s">
        <v>240</v>
      </c>
      <c r="B24" s="199"/>
      <c r="C24" s="199"/>
      <c r="D24" s="199"/>
      <c r="E24" s="241">
        <f>SUM('Proposed Budget'!$D$14:$D$31)</f>
        <v>5200</v>
      </c>
      <c r="F24" s="242">
        <f>SUM('Monthly Breakdown'!Q14:Q31)</f>
        <v>2244.0400000000004</v>
      </c>
      <c r="G24" s="243">
        <f t="shared" si="19"/>
        <v>2955.9599999999996</v>
      </c>
      <c r="H24" s="244">
        <f t="shared" si="20"/>
        <v>-0.56845384615384609</v>
      </c>
      <c r="I24" s="209"/>
      <c r="J24" s="245">
        <f>SUM('Proposed Budget'!$D$5:$D$12)</f>
        <v>5800</v>
      </c>
      <c r="K24" s="246">
        <f>SUM('Monthly Breakdown'!Q5:Q12)</f>
        <v>2217.5400000000004</v>
      </c>
      <c r="L24" s="247">
        <f t="shared" si="21"/>
        <v>3582.4599999999996</v>
      </c>
      <c r="M24" s="248">
        <f t="shared" si="22"/>
        <v>-0.61766551724137919</v>
      </c>
      <c r="N24" s="209"/>
      <c r="O24" s="249">
        <f>SUM('Proposed Budget'!$D$33:$D$43)</f>
        <v>2000</v>
      </c>
      <c r="P24" s="250">
        <f>SUM('Monthly Breakdown'!Q33:Q43)</f>
        <v>0</v>
      </c>
      <c r="Q24" s="251">
        <f t="shared" si="23"/>
        <v>2000</v>
      </c>
    </row>
    <row r="25" spans="1:17" ht="11.25" customHeight="1" x14ac:dyDescent="0.3">
      <c r="A25" s="213" t="s">
        <v>241</v>
      </c>
      <c r="B25" s="199"/>
      <c r="C25" s="199"/>
      <c r="D25" s="199"/>
      <c r="E25" s="241">
        <f>SUM('Proposed Budget'!$D$14:$D$31)</f>
        <v>5200</v>
      </c>
      <c r="F25" s="242">
        <f>SUM('Monthly Breakdown'!S14:S31)</f>
        <v>0</v>
      </c>
      <c r="G25" s="243">
        <f t="shared" si="19"/>
        <v>5200</v>
      </c>
      <c r="H25" s="244">
        <f t="shared" si="20"/>
        <v>-1</v>
      </c>
      <c r="I25" s="209"/>
      <c r="J25" s="245">
        <f>SUM('Proposed Budget'!$D$5:$D$12)</f>
        <v>5800</v>
      </c>
      <c r="K25" s="246">
        <f>SUM('Monthly Breakdown'!S5:S12)</f>
        <v>0</v>
      </c>
      <c r="L25" s="247">
        <f t="shared" si="21"/>
        <v>5800</v>
      </c>
      <c r="M25" s="248">
        <f t="shared" si="22"/>
        <v>-1</v>
      </c>
      <c r="N25" s="209"/>
      <c r="O25" s="249">
        <f>SUM('Proposed Budget'!$D$33:$D$43)</f>
        <v>2000</v>
      </c>
      <c r="P25" s="250">
        <f>SUM('Monthly Breakdown'!S33:S43)</f>
        <v>0</v>
      </c>
      <c r="Q25" s="251">
        <f t="shared" si="23"/>
        <v>2000</v>
      </c>
    </row>
    <row r="26" spans="1:17" ht="11.25" customHeight="1" x14ac:dyDescent="0.3">
      <c r="A26" s="213" t="s">
        <v>242</v>
      </c>
      <c r="B26" s="199"/>
      <c r="C26" s="199"/>
      <c r="D26" s="199"/>
      <c r="E26" s="241">
        <f>SUM('Proposed Budget'!$D$14:$D$31)</f>
        <v>5200</v>
      </c>
      <c r="F26" s="242">
        <f>SUM('Monthly Breakdown'!U14:U31)</f>
        <v>0</v>
      </c>
      <c r="G26" s="243">
        <f t="shared" si="19"/>
        <v>5200</v>
      </c>
      <c r="H26" s="244">
        <f t="shared" si="20"/>
        <v>-1</v>
      </c>
      <c r="I26" s="209"/>
      <c r="J26" s="245">
        <f>SUM('Proposed Budget'!$D$5:$D$12)</f>
        <v>5800</v>
      </c>
      <c r="K26" s="246">
        <f>SUM('Monthly Breakdown'!U5:U12)</f>
        <v>0</v>
      </c>
      <c r="L26" s="247">
        <f t="shared" si="21"/>
        <v>5800</v>
      </c>
      <c r="M26" s="248">
        <f t="shared" si="22"/>
        <v>-1</v>
      </c>
      <c r="N26" s="209"/>
      <c r="O26" s="249">
        <f>SUM('Proposed Budget'!$D$33:$D$43)</f>
        <v>2000</v>
      </c>
      <c r="P26" s="250">
        <f>SUM('Monthly Breakdown'!U33:U43)</f>
        <v>0</v>
      </c>
      <c r="Q26" s="251">
        <f t="shared" si="23"/>
        <v>2000</v>
      </c>
    </row>
    <row r="27" spans="1:17" ht="11.25" customHeight="1" x14ac:dyDescent="0.3">
      <c r="A27" s="213" t="s">
        <v>243</v>
      </c>
      <c r="B27" s="199"/>
      <c r="C27" s="199"/>
      <c r="D27" s="199"/>
      <c r="E27" s="241">
        <f>SUM('Proposed Budget'!$D$14:$D$31)</f>
        <v>5200</v>
      </c>
      <c r="F27" s="242">
        <f>SUM('Monthly Breakdown'!W14:W31)</f>
        <v>0</v>
      </c>
      <c r="G27" s="243">
        <f t="shared" si="19"/>
        <v>5200</v>
      </c>
      <c r="H27" s="244">
        <f t="shared" si="20"/>
        <v>-1</v>
      </c>
      <c r="I27" s="209"/>
      <c r="J27" s="245">
        <f>SUM('Proposed Budget'!$D$5:$D$12)</f>
        <v>5800</v>
      </c>
      <c r="K27" s="246">
        <f>SUM('Monthly Breakdown'!W5:W12)</f>
        <v>0</v>
      </c>
      <c r="L27" s="247">
        <f t="shared" si="21"/>
        <v>5800</v>
      </c>
      <c r="M27" s="248">
        <f t="shared" si="22"/>
        <v>-1</v>
      </c>
      <c r="N27" s="209"/>
      <c r="O27" s="249">
        <f>SUM('Proposed Budget'!$D$33:$D$43)</f>
        <v>2000</v>
      </c>
      <c r="P27" s="250">
        <f>SUM('Monthly Breakdown'!W33:W43)</f>
        <v>0</v>
      </c>
      <c r="Q27" s="251">
        <f t="shared" si="23"/>
        <v>2000</v>
      </c>
    </row>
    <row r="28" spans="1:17" ht="11.25" customHeight="1" x14ac:dyDescent="0.3">
      <c r="A28" s="227" t="s">
        <v>244</v>
      </c>
      <c r="B28" s="199"/>
      <c r="C28" s="199"/>
      <c r="D28" s="199"/>
      <c r="E28" s="241">
        <f>SUM('Proposed Budget'!$D$14:$D$31)</f>
        <v>5200</v>
      </c>
      <c r="F28" s="242">
        <f>SUM('Monthly Breakdown'!Y14:Y31)</f>
        <v>0</v>
      </c>
      <c r="G28" s="243">
        <f t="shared" si="19"/>
        <v>5200</v>
      </c>
      <c r="H28" s="244">
        <f t="shared" si="20"/>
        <v>-1</v>
      </c>
      <c r="I28" s="209"/>
      <c r="J28" s="245">
        <f>SUM('Proposed Budget'!$D$5:$D$12)</f>
        <v>5800</v>
      </c>
      <c r="K28" s="246">
        <f>SUM('Monthly Breakdown'!Y5:Y12)</f>
        <v>0</v>
      </c>
      <c r="L28" s="247">
        <f t="shared" si="21"/>
        <v>5800</v>
      </c>
      <c r="M28" s="248">
        <f t="shared" si="22"/>
        <v>-1</v>
      </c>
      <c r="N28" s="209"/>
      <c r="O28" s="249">
        <f>SUM('Proposed Budget'!$D$33:$D$43)</f>
        <v>2000</v>
      </c>
      <c r="P28" s="250">
        <f>SUM('Monthly Breakdown'!Y33:Y43)</f>
        <v>0</v>
      </c>
      <c r="Q28" s="251">
        <f t="shared" si="23"/>
        <v>2000</v>
      </c>
    </row>
    <row r="29" spans="1:17" ht="11.25" customHeight="1" x14ac:dyDescent="0.3">
      <c r="A29" s="227" t="s">
        <v>245</v>
      </c>
      <c r="B29" s="199"/>
      <c r="C29" s="199"/>
      <c r="D29" s="199"/>
      <c r="E29" s="241">
        <f>SUM('Proposed Budget'!$D$14:$D$31)</f>
        <v>5200</v>
      </c>
      <c r="F29" s="242">
        <f>SUM('Monthly Breakdown'!AA14:AA31)</f>
        <v>0</v>
      </c>
      <c r="G29" s="243">
        <f t="shared" si="19"/>
        <v>5200</v>
      </c>
      <c r="H29" s="244">
        <f t="shared" si="20"/>
        <v>-1</v>
      </c>
      <c r="I29" s="209"/>
      <c r="J29" s="245">
        <f>SUM('Proposed Budget'!$D$5:$D$12)</f>
        <v>5800</v>
      </c>
      <c r="K29" s="246">
        <f>SUM('Monthly Breakdown'!AA5:AA12)</f>
        <v>0</v>
      </c>
      <c r="L29" s="247">
        <f t="shared" si="21"/>
        <v>5800</v>
      </c>
      <c r="M29" s="248">
        <f t="shared" si="22"/>
        <v>-1</v>
      </c>
      <c r="N29" s="209"/>
      <c r="O29" s="249">
        <f>SUM('Proposed Budget'!$D$33:$D$43)</f>
        <v>2000</v>
      </c>
      <c r="P29" s="250">
        <f>SUM('Monthly Breakdown'!AA33:AA43)</f>
        <v>0</v>
      </c>
      <c r="Q29" s="251">
        <f t="shared" si="23"/>
        <v>2000</v>
      </c>
    </row>
    <row r="30" spans="1:17" ht="11.25" customHeight="1" x14ac:dyDescent="0.3">
      <c r="A30" s="227" t="s">
        <v>246</v>
      </c>
      <c r="B30" s="199"/>
      <c r="C30" s="199"/>
      <c r="D30" s="199"/>
      <c r="E30" s="241">
        <f>SUM('Proposed Budget'!$D$14:$D$31)</f>
        <v>5200</v>
      </c>
      <c r="F30" s="242">
        <f>SUM('Monthly Breakdown'!AC14:AC31)</f>
        <v>0</v>
      </c>
      <c r="G30" s="243">
        <f t="shared" si="19"/>
        <v>5200</v>
      </c>
      <c r="H30" s="244">
        <f t="shared" si="20"/>
        <v>-1</v>
      </c>
      <c r="I30" s="209"/>
      <c r="J30" s="245">
        <f>SUM('Proposed Budget'!$D$5:$D$12)</f>
        <v>5800</v>
      </c>
      <c r="K30" s="246">
        <f>SUM('Monthly Breakdown'!AC5:AC12)</f>
        <v>0</v>
      </c>
      <c r="L30" s="247">
        <f t="shared" si="21"/>
        <v>5800</v>
      </c>
      <c r="M30" s="248">
        <f t="shared" si="22"/>
        <v>-1</v>
      </c>
      <c r="N30" s="209"/>
      <c r="O30" s="249">
        <f>SUM('Proposed Budget'!$D$33:$D$43)</f>
        <v>2000</v>
      </c>
      <c r="P30" s="250">
        <f>SUM('Monthly Breakdown'!AC33:AC43)</f>
        <v>0</v>
      </c>
      <c r="Q30" s="251">
        <f t="shared" si="23"/>
        <v>2000</v>
      </c>
    </row>
    <row r="31" spans="1:17" ht="11.25" customHeight="1" x14ac:dyDescent="0.3">
      <c r="A31" s="227" t="s">
        <v>247</v>
      </c>
      <c r="B31" s="199"/>
      <c r="C31" s="199"/>
      <c r="D31" s="199"/>
      <c r="E31" s="241">
        <f>SUM('Proposed Budget'!$D$14:$D$31)</f>
        <v>5200</v>
      </c>
      <c r="F31" s="242">
        <f>SUM('Monthly Breakdown'!AE14:AE31)</f>
        <v>0</v>
      </c>
      <c r="G31" s="243">
        <f t="shared" si="19"/>
        <v>5200</v>
      </c>
      <c r="H31" s="244">
        <f t="shared" si="20"/>
        <v>-1</v>
      </c>
      <c r="I31" s="209"/>
      <c r="J31" s="245">
        <f>SUM('Proposed Budget'!$D$5:$D$12)</f>
        <v>5800</v>
      </c>
      <c r="K31" s="246">
        <f>SUM('Monthly Breakdown'!AE5:AE12)</f>
        <v>0</v>
      </c>
      <c r="L31" s="247">
        <f t="shared" si="21"/>
        <v>5800</v>
      </c>
      <c r="M31" s="248">
        <f t="shared" si="22"/>
        <v>-1</v>
      </c>
      <c r="N31" s="209"/>
      <c r="O31" s="249">
        <f>SUM('Proposed Budget'!$D$33:$D$43)</f>
        <v>2000</v>
      </c>
      <c r="P31" s="250">
        <f>SUM('Monthly Breakdown'!AE33:AE43)</f>
        <v>0</v>
      </c>
      <c r="Q31" s="251">
        <f t="shared" si="23"/>
        <v>2000</v>
      </c>
    </row>
    <row r="32" spans="1:17" ht="15.75" customHeight="1" x14ac:dyDescent="0.3"/>
    <row r="33" spans="1:17" ht="15.75" customHeight="1" x14ac:dyDescent="0.3"/>
    <row r="34" spans="1:17" ht="11.25" customHeight="1" x14ac:dyDescent="0.3">
      <c r="A34" s="228" t="s">
        <v>68</v>
      </c>
      <c r="B34" s="199"/>
      <c r="C34" s="199"/>
      <c r="D34" s="199"/>
      <c r="E34" s="241">
        <f>SUM(E20:E24)</f>
        <v>26000</v>
      </c>
      <c r="F34" s="241">
        <f>SUM(F20:F24)</f>
        <v>21949.64</v>
      </c>
      <c r="G34" s="241">
        <f>SUM(G20:G24)</f>
        <v>4050.3599999999992</v>
      </c>
      <c r="H34" s="244">
        <f>((F34-SUM(E34)))/SUM(E34)</f>
        <v>-0.15578307692307694</v>
      </c>
      <c r="I34" s="209"/>
      <c r="J34" s="245">
        <f>SUM(J20:J24)</f>
        <v>29000</v>
      </c>
      <c r="K34" s="245">
        <f>SUM(K20:K24)</f>
        <v>25527.93</v>
      </c>
      <c r="L34" s="245">
        <f>SUM(L20:L24)</f>
        <v>3472.0699999999993</v>
      </c>
      <c r="M34" s="248">
        <f>((K34-SUM(J34))/SUM(J34))</f>
        <v>-0.11972655172413792</v>
      </c>
      <c r="N34" s="209"/>
      <c r="O34" s="249">
        <f t="shared" ref="O34:Q34" si="24">SUM(O20:O31)</f>
        <v>24000</v>
      </c>
      <c r="P34" s="249">
        <f t="shared" si="24"/>
        <v>8000</v>
      </c>
      <c r="Q34" s="249">
        <f t="shared" si="24"/>
        <v>16000</v>
      </c>
    </row>
    <row r="35" spans="1:17" ht="15.75" customHeight="1" x14ac:dyDescent="0.3"/>
    <row r="36" spans="1:17" ht="15.75" customHeight="1" x14ac:dyDescent="0.3"/>
    <row r="37" spans="1:17" ht="15.75" customHeight="1" x14ac:dyDescent="0.3"/>
    <row r="38" spans="1:17" ht="15.75" customHeight="1" x14ac:dyDescent="0.3"/>
    <row r="39" spans="1:17" ht="15.75" customHeight="1" x14ac:dyDescent="0.3"/>
    <row r="40" spans="1:17" ht="15.75" customHeight="1" x14ac:dyDescent="0.3"/>
    <row r="41" spans="1:17" ht="15.75" customHeight="1" x14ac:dyDescent="0.3"/>
    <row r="42" spans="1:17" ht="15.75" customHeight="1" x14ac:dyDescent="0.3"/>
    <row r="43" spans="1:17" ht="15.75" customHeight="1" x14ac:dyDescent="0.3"/>
    <row r="44" spans="1:17" ht="15.75" customHeight="1" x14ac:dyDescent="0.3"/>
    <row r="45" spans="1:17" ht="15.75" customHeight="1" x14ac:dyDescent="0.3"/>
    <row r="46" spans="1:17" ht="15.75" customHeight="1" x14ac:dyDescent="0.3"/>
    <row r="47" spans="1:17" ht="15.75" customHeight="1" x14ac:dyDescent="0.3"/>
    <row r="48" spans="1:17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F1000"/>
  <sheetViews>
    <sheetView workbookViewId="0">
      <pane xSplit="8" topLeftCell="I1" activePane="topRight" state="frozen"/>
      <selection pane="topRight" activeCell="R2" sqref="R2"/>
    </sheetView>
  </sheetViews>
  <sheetFormatPr defaultColWidth="14.44140625" defaultRowHeight="15" customHeight="1" x14ac:dyDescent="0.3"/>
  <cols>
    <col min="1" max="1" width="3.88671875" customWidth="1"/>
    <col min="2" max="2" width="2.88671875" customWidth="1"/>
    <col min="3" max="3" width="25.6640625" customWidth="1"/>
    <col min="4" max="4" width="12" customWidth="1"/>
    <col min="5" max="6" width="13.6640625" customWidth="1"/>
    <col min="7" max="7" width="7.6640625" customWidth="1"/>
    <col min="8" max="11" width="12.6640625" customWidth="1"/>
    <col min="12" max="12" width="11.6640625" customWidth="1"/>
    <col min="13" max="13" width="12.6640625" customWidth="1"/>
    <col min="14" max="14" width="11.6640625" customWidth="1"/>
    <col min="15" max="17" width="12.6640625" customWidth="1"/>
    <col min="18" max="18" width="11.6640625" customWidth="1"/>
    <col min="19" max="21" width="12.6640625" customWidth="1"/>
    <col min="22" max="22" width="11.6640625" customWidth="1"/>
    <col min="23" max="30" width="12.6640625" customWidth="1"/>
    <col min="31" max="32" width="11.6640625" customWidth="1"/>
  </cols>
  <sheetData>
    <row r="1" spans="1:32" ht="11.25" customHeight="1" x14ac:dyDescent="0.3">
      <c r="A1" s="252"/>
      <c r="B1" s="253"/>
      <c r="C1" s="254"/>
      <c r="D1" s="255" t="s">
        <v>254</v>
      </c>
      <c r="E1" s="256" t="s">
        <v>68</v>
      </c>
      <c r="F1" s="256" t="s">
        <v>68</v>
      </c>
      <c r="G1" s="257" t="s">
        <v>255</v>
      </c>
      <c r="H1" s="256" t="s">
        <v>254</v>
      </c>
      <c r="I1" s="258">
        <v>46023</v>
      </c>
      <c r="J1" s="258">
        <v>46053</v>
      </c>
      <c r="K1" s="259">
        <v>46054</v>
      </c>
      <c r="L1" s="259">
        <v>46081</v>
      </c>
      <c r="M1" s="260">
        <v>46082</v>
      </c>
      <c r="N1" s="260">
        <v>46112</v>
      </c>
      <c r="O1" s="261">
        <v>46113</v>
      </c>
      <c r="P1" s="261">
        <v>46142</v>
      </c>
      <c r="Q1" s="258">
        <v>46143</v>
      </c>
      <c r="R1" s="258">
        <v>46173</v>
      </c>
      <c r="S1" s="259">
        <v>45809</v>
      </c>
      <c r="T1" s="259">
        <v>45838</v>
      </c>
      <c r="U1" s="260">
        <v>45839</v>
      </c>
      <c r="V1" s="260">
        <v>45869</v>
      </c>
      <c r="W1" s="261">
        <v>45870</v>
      </c>
      <c r="X1" s="261">
        <v>45900</v>
      </c>
      <c r="Y1" s="262">
        <v>45901</v>
      </c>
      <c r="Z1" s="262">
        <v>45930</v>
      </c>
      <c r="AA1" s="263">
        <v>45931</v>
      </c>
      <c r="AB1" s="263">
        <v>45961</v>
      </c>
      <c r="AC1" s="264">
        <v>45962</v>
      </c>
      <c r="AD1" s="264">
        <v>45991</v>
      </c>
      <c r="AE1" s="265">
        <v>45627</v>
      </c>
      <c r="AF1" s="265">
        <v>45657</v>
      </c>
    </row>
    <row r="2" spans="1:32" ht="11.25" customHeight="1" x14ac:dyDescent="0.3">
      <c r="A2" s="266"/>
      <c r="B2" s="266"/>
      <c r="C2" s="267"/>
      <c r="D2" s="268" t="s">
        <v>256</v>
      </c>
      <c r="E2" s="256" t="s">
        <v>257</v>
      </c>
      <c r="F2" s="256" t="s">
        <v>258</v>
      </c>
      <c r="G2" s="257" t="s">
        <v>259</v>
      </c>
      <c r="H2" s="256" t="s">
        <v>260</v>
      </c>
      <c r="I2" s="269" t="s">
        <v>257</v>
      </c>
      <c r="J2" s="269" t="s">
        <v>258</v>
      </c>
      <c r="K2" s="270" t="s">
        <v>257</v>
      </c>
      <c r="L2" s="270" t="s">
        <v>258</v>
      </c>
      <c r="M2" s="271" t="s">
        <v>257</v>
      </c>
      <c r="N2" s="271" t="s">
        <v>258</v>
      </c>
      <c r="O2" s="272" t="s">
        <v>257</v>
      </c>
      <c r="P2" s="272"/>
      <c r="Q2" s="269" t="s">
        <v>257</v>
      </c>
      <c r="R2" s="269" t="s">
        <v>258</v>
      </c>
      <c r="S2" s="270" t="s">
        <v>257</v>
      </c>
      <c r="T2" s="270" t="s">
        <v>258</v>
      </c>
      <c r="U2" s="271" t="s">
        <v>257</v>
      </c>
      <c r="V2" s="271" t="s">
        <v>258</v>
      </c>
      <c r="W2" s="272" t="s">
        <v>257</v>
      </c>
      <c r="X2" s="272" t="s">
        <v>258</v>
      </c>
      <c r="Y2" s="273" t="s">
        <v>257</v>
      </c>
      <c r="Z2" s="273" t="s">
        <v>258</v>
      </c>
      <c r="AA2" s="274" t="s">
        <v>257</v>
      </c>
      <c r="AB2" s="274" t="s">
        <v>258</v>
      </c>
      <c r="AC2" s="275" t="s">
        <v>257</v>
      </c>
      <c r="AD2" s="275" t="s">
        <v>258</v>
      </c>
      <c r="AE2" s="276" t="s">
        <v>257</v>
      </c>
      <c r="AF2" s="276" t="s">
        <v>258</v>
      </c>
    </row>
    <row r="3" spans="1:32" ht="11.25" customHeight="1" x14ac:dyDescent="0.3">
      <c r="A3" s="551" t="s">
        <v>261</v>
      </c>
      <c r="B3" s="537"/>
      <c r="C3" s="277" t="s">
        <v>156</v>
      </c>
      <c r="D3" s="278"/>
      <c r="E3" s="279">
        <f t="shared" ref="E3:F3" si="0">SUM(E5:E46)</f>
        <v>72613.51999999999</v>
      </c>
      <c r="F3" s="279">
        <f t="shared" si="0"/>
        <v>166.79402063998816</v>
      </c>
      <c r="G3" s="280">
        <f>1-((E3/SUM(E3:F3)))</f>
        <v>2.2917463724145826E-3</v>
      </c>
      <c r="H3" s="279">
        <f>SUM(H5:H67)</f>
        <v>17067.183505159996</v>
      </c>
      <c r="I3" s="281">
        <f>SUM(I5:I46)</f>
        <v>15639.36</v>
      </c>
      <c r="J3" s="282"/>
      <c r="K3" s="243">
        <f>SUM(K5:K46)</f>
        <v>16615.620000000003</v>
      </c>
      <c r="L3" s="283"/>
      <c r="M3" s="284">
        <f>SUM(M5:M46)</f>
        <v>16971.29</v>
      </c>
      <c r="N3" s="285"/>
      <c r="O3" s="247">
        <f>SUM(O5:O46)</f>
        <v>18875.669999999998</v>
      </c>
      <c r="P3" s="286"/>
      <c r="Q3" s="281">
        <f>SUM(Q5:Q46)</f>
        <v>4511.58</v>
      </c>
      <c r="R3" s="282"/>
      <c r="S3" s="243">
        <f>SUM(S5:S46)</f>
        <v>0</v>
      </c>
      <c r="T3" s="283"/>
      <c r="U3" s="284">
        <f>SUM(U5:U46)</f>
        <v>0</v>
      </c>
      <c r="V3" s="285"/>
      <c r="W3" s="247">
        <f>SUM(W5:W46)</f>
        <v>0</v>
      </c>
      <c r="X3" s="286"/>
      <c r="Y3" s="287">
        <f>SUM(Y5:Y46)</f>
        <v>0</v>
      </c>
      <c r="Z3" s="288"/>
      <c r="AA3" s="289">
        <f>SUM(AA5:AA46)</f>
        <v>0</v>
      </c>
      <c r="AB3" s="290"/>
      <c r="AC3" s="291">
        <f>SUM(AC5:AC46)</f>
        <v>0</v>
      </c>
      <c r="AD3" s="292"/>
      <c r="AE3" s="293">
        <f>SUM(AE5:AE46)</f>
        <v>0</v>
      </c>
      <c r="AF3" s="294"/>
    </row>
    <row r="4" spans="1:32" ht="11.25" customHeight="1" x14ac:dyDescent="0.3">
      <c r="A4" s="551" t="s">
        <v>262</v>
      </c>
      <c r="B4" s="552"/>
      <c r="C4" s="537"/>
      <c r="D4" s="278"/>
      <c r="E4" s="295"/>
      <c r="F4" s="295"/>
      <c r="G4" s="296"/>
      <c r="H4" s="297"/>
      <c r="I4" s="282"/>
      <c r="J4" s="282"/>
      <c r="K4" s="283"/>
      <c r="L4" s="283"/>
      <c r="M4" s="285"/>
      <c r="N4" s="285"/>
      <c r="O4" s="286"/>
      <c r="P4" s="286"/>
      <c r="Q4" s="282"/>
      <c r="R4" s="282"/>
      <c r="S4" s="283"/>
      <c r="T4" s="283"/>
      <c r="U4" s="285"/>
      <c r="V4" s="285"/>
      <c r="W4" s="286"/>
      <c r="X4" s="286"/>
      <c r="Y4" s="288"/>
      <c r="Z4" s="288"/>
      <c r="AA4" s="290"/>
      <c r="AB4" s="290"/>
      <c r="AC4" s="292"/>
      <c r="AD4" s="292"/>
      <c r="AE4" s="294"/>
      <c r="AF4" s="294"/>
    </row>
    <row r="5" spans="1:32" ht="11.25" customHeight="1" x14ac:dyDescent="0.3">
      <c r="A5" s="295" t="str">
        <f>'Proposed Budget'!A5</f>
        <v>D</v>
      </c>
      <c r="B5" s="266">
        <f>'Proposed Budget'!B5</f>
        <v>1</v>
      </c>
      <c r="C5" s="298" t="str">
        <f>'Proposed Budget'!C5</f>
        <v>Groceries/Household</v>
      </c>
      <c r="D5" s="299">
        <f t="shared" ref="D5:D12" ca="1" si="1">(E5/(TODAY()-$I$1))*30.42</f>
        <v>1203.0902590909093</v>
      </c>
      <c r="E5" s="300">
        <f>I5+K5+M5+O5+Q5+S5+U5+W5+Y5+AA5+AC5+AE5</f>
        <v>5220.51</v>
      </c>
      <c r="F5" s="300">
        <f t="shared" ref="F5:F12" si="2">J5+L5+N5+P5</f>
        <v>95.529999999999973</v>
      </c>
      <c r="G5" s="280">
        <f t="shared" ref="G5:G12" si="3">1-((E5/SUM(E5:F5)))</f>
        <v>1.7970143189291243E-2</v>
      </c>
      <c r="H5" s="300">
        <f>'Proposed Budget'!D5</f>
        <v>1200</v>
      </c>
      <c r="I5" s="281">
        <f>SUMIFS('Checking Transaction Log'!$E:$E,'Checking Transaction Log'!$C:$C,"&gt;="&amp;I1,'Checking Transaction Log'!$C:$C,"&lt;="&amp;J1,'Checking Transaction Log'!$A:$A,"D",'Checking Transaction Log'!$B:$B,1)</f>
        <v>1067.56</v>
      </c>
      <c r="J5" s="281">
        <f t="shared" ref="J5:J12" si="4">H5-I5</f>
        <v>132.44000000000005</v>
      </c>
      <c r="K5" s="243">
        <f>SUMIFS('Checking Transaction Log'!$E:$E,'Checking Transaction Log'!$C:$C,"&gt;="&amp;K1,'Checking Transaction Log'!$C:$C,"&lt;="&amp;L1,'Checking Transaction Log'!$A:$A,"D",'Checking Transaction Log'!$B:$B,1)</f>
        <v>1033.9000000000001</v>
      </c>
      <c r="L5" s="243">
        <f t="shared" ref="L5:L12" si="5">H5-K5</f>
        <v>166.09999999999991</v>
      </c>
      <c r="M5" s="284">
        <f>SUMIFS('Checking Transaction Log'!$E:$E,'Checking Transaction Log'!$C:$C,"&gt;="&amp;M1,'Checking Transaction Log'!$C:$C,"&lt;="&amp;N1,'Checking Transaction Log'!$A:$A,"D",'Checking Transaction Log'!$B:$B,1)</f>
        <v>1318.18</v>
      </c>
      <c r="N5" s="284">
        <f t="shared" ref="N5:N12" si="6">H5-M5</f>
        <v>-118.18000000000006</v>
      </c>
      <c r="O5" s="247">
        <f>SUMIFS('Checking Transaction Log'!$E:$E,'Checking Transaction Log'!$C:$C,"&gt;="&amp;O1,'Checking Transaction Log'!$C:$C,"&lt;="&amp;P1,'Checking Transaction Log'!$A:$A,"D",'Checking Transaction Log'!$B:$B,1)</f>
        <v>1284.83</v>
      </c>
      <c r="P5" s="247">
        <f t="shared" ref="P5:P12" si="7">H5-O5</f>
        <v>-84.829999999999927</v>
      </c>
      <c r="Q5" s="281">
        <f>SUMIFS('Checking Transaction Log'!$E:$E,'Checking Transaction Log'!$C:$C,"&gt;="&amp;Q1,'Checking Transaction Log'!$C:$C,"&lt;="&amp;R1,'Checking Transaction Log'!$A:$A,"D",'Checking Transaction Log'!$B:$B,1)</f>
        <v>516.04000000000008</v>
      </c>
      <c r="R5" s="281">
        <f t="shared" ref="R5:R12" si="8">H5-Q5</f>
        <v>683.95999999999992</v>
      </c>
      <c r="S5" s="243">
        <f>SUMIFS('Checking Transaction Log'!$E:$E,'Checking Transaction Log'!$C:$C,"&gt;="&amp;S1,'Checking Transaction Log'!$C:$C,"&lt;="&amp;T1,'Checking Transaction Log'!$A:$A,"D",'Checking Transaction Log'!$B:$B,1)</f>
        <v>0</v>
      </c>
      <c r="T5" s="243">
        <f t="shared" ref="T5:T12" si="9">H5-S5</f>
        <v>1200</v>
      </c>
      <c r="U5" s="284">
        <f>SUMIFS('Checking Transaction Log'!$E:$E,'Checking Transaction Log'!$C:$C,"&gt;="&amp;U1,'Checking Transaction Log'!$C:$C,"&lt;="&amp;V1,'Checking Transaction Log'!$A:$A,"D",'Checking Transaction Log'!$B:$B,1)</f>
        <v>0</v>
      </c>
      <c r="V5" s="284">
        <f t="shared" ref="V5:V12" si="10">H5-U5</f>
        <v>1200</v>
      </c>
      <c r="W5" s="247">
        <f>SUMIFS('Checking Transaction Log'!$E:$E,'Checking Transaction Log'!$C:$C,"&gt;="&amp;W1,'Checking Transaction Log'!$C:$C,"&lt;="&amp;X1,'Checking Transaction Log'!$A:$A,"D",'Checking Transaction Log'!$B:$B,1)</f>
        <v>0</v>
      </c>
      <c r="X5" s="247">
        <f t="shared" ref="X5:X12" si="11">H5-W5</f>
        <v>1200</v>
      </c>
      <c r="Y5" s="287">
        <f>SUMIFS('Checking Transaction Log'!$E:$E,'Checking Transaction Log'!$C:$C,"&gt;="&amp;Y1,'Checking Transaction Log'!$C:$C,"&lt;="&amp;Z1,'Checking Transaction Log'!$A:$A,"D",'Checking Transaction Log'!$B:$B,1)</f>
        <v>0</v>
      </c>
      <c r="Z5" s="287">
        <f t="shared" ref="Z5:Z12" si="12">H5-Y5</f>
        <v>1200</v>
      </c>
      <c r="AA5" s="289">
        <f>SUMIFS('Checking Transaction Log'!$E:$E,'Checking Transaction Log'!$C:$C,"&gt;="&amp;AA1,'Checking Transaction Log'!$C:$C,"&lt;="&amp;AB1,'Checking Transaction Log'!$A:$A,"D",'Checking Transaction Log'!$B:$B,1)</f>
        <v>0</v>
      </c>
      <c r="AB5" s="289">
        <f t="shared" ref="AB5:AB12" si="13">H5-AA5</f>
        <v>1200</v>
      </c>
      <c r="AC5" s="291">
        <f>SUMIFS('Checking Transaction Log'!$E:$E,'Checking Transaction Log'!$C:$C,"&gt;="&amp;AC1,'Checking Transaction Log'!$C:$C,"&lt;="&amp;AD1,'Checking Transaction Log'!$A:$A,"D",'Checking Transaction Log'!$B:$B,1)</f>
        <v>0</v>
      </c>
      <c r="AD5" s="291">
        <f t="shared" ref="AD5:AD12" si="14">H5-AC5</f>
        <v>1200</v>
      </c>
      <c r="AE5" s="293">
        <f>SUMIFS('Checking Transaction Log'!$E:$E,'Checking Transaction Log'!$C:$C,"&gt;="&amp;AE1,'Checking Transaction Log'!$C:$C,"&lt;="&amp;AF1,'Checking Transaction Log'!$A:$A,"D",'Checking Transaction Log'!$B:$B,1)</f>
        <v>0</v>
      </c>
      <c r="AF5" s="293">
        <f t="shared" ref="AF5:AF12" si="15">H5-AE5</f>
        <v>1200</v>
      </c>
    </row>
    <row r="6" spans="1:32" ht="11.25" customHeight="1" x14ac:dyDescent="0.3">
      <c r="A6" s="295" t="str">
        <f>'Proposed Budget'!A6</f>
        <v>D</v>
      </c>
      <c r="B6" s="266">
        <f>'Proposed Budget'!B6</f>
        <v>2</v>
      </c>
      <c r="C6" s="298" t="str">
        <f>'Proposed Budget'!C6</f>
        <v>Dining Out</v>
      </c>
      <c r="D6" s="299">
        <f t="shared" ca="1" si="1"/>
        <v>1094.4032863636362</v>
      </c>
      <c r="E6" s="300">
        <f t="shared" ref="E6:E12" si="16">Q6+S6+U6+W6+Y6+AA6+AC6+AE6+I6+K6+M6+O6</f>
        <v>4748.8899999999994</v>
      </c>
      <c r="F6" s="300">
        <f t="shared" si="2"/>
        <v>609.23000000000059</v>
      </c>
      <c r="G6" s="280">
        <f t="shared" si="3"/>
        <v>0.11370219405313808</v>
      </c>
      <c r="H6" s="300">
        <f>'Proposed Budget'!D6</f>
        <v>1200</v>
      </c>
      <c r="I6" s="281">
        <f>SUMIFS('Checking Transaction Log'!E:E,'Checking Transaction Log'!C:C,"&gt;="&amp;I1,'Checking Transaction Log'!C:C,"&lt;="&amp;J1,'Checking Transaction Log'!A:A,"D",'Checking Transaction Log'!B:B,2)</f>
        <v>1061.45</v>
      </c>
      <c r="J6" s="281">
        <f t="shared" si="4"/>
        <v>138.54999999999995</v>
      </c>
      <c r="K6" s="243">
        <f>SUMIFS('Checking Transaction Log'!E:E,'Checking Transaction Log'!C:C,"&gt;="&amp;K1,'Checking Transaction Log'!C:C,"&lt;="&amp;L1,'Checking Transaction Log'!A:A,"D",'Checking Transaction Log'!B:B,2)</f>
        <v>911.68</v>
      </c>
      <c r="L6" s="243">
        <f t="shared" si="5"/>
        <v>288.32000000000005</v>
      </c>
      <c r="M6" s="284">
        <f>SUMIFS('Checking Transaction Log'!$E:$E,'Checking Transaction Log'!$C:$C,"&gt;="&amp;M1,'Checking Transaction Log'!$C:$C,"&lt;="&amp;N1,'Checking Transaction Log'!$A:$A,"D",'Checking Transaction Log'!$B:$B,2)</f>
        <v>1233.4599999999996</v>
      </c>
      <c r="N6" s="284">
        <f t="shared" si="6"/>
        <v>-33.459999999999582</v>
      </c>
      <c r="O6" s="247">
        <f>SUMIFS('Checking Transaction Log'!$E:$E,'Checking Transaction Log'!$C:$C,"&gt;="&amp;O1,'Checking Transaction Log'!$C:$C,"&lt;="&amp;P1,'Checking Transaction Log'!$A:$A,"D",'Checking Transaction Log'!$B:$B,2)</f>
        <v>984.17999999999984</v>
      </c>
      <c r="P6" s="247">
        <f t="shared" si="7"/>
        <v>215.82000000000016</v>
      </c>
      <c r="Q6" s="281">
        <f>SUMIFS('Checking Transaction Log'!$E:$E,'Checking Transaction Log'!$C:$C,"&gt;="&amp;Q1,'Checking Transaction Log'!$C:$C,"&lt;="&amp;R1,'Checking Transaction Log'!$A:$A,"D",'Checking Transaction Log'!$B:$B,2)</f>
        <v>558.12000000000012</v>
      </c>
      <c r="R6" s="281">
        <f t="shared" si="8"/>
        <v>641.87999999999988</v>
      </c>
      <c r="S6" s="243">
        <f>SUMIFS('Checking Transaction Log'!$E:$E,'Checking Transaction Log'!$C:$C,"&gt;="&amp;S1,'Checking Transaction Log'!$C:$C,"&lt;="&amp;T1,'Checking Transaction Log'!$A:$A,"D",'Checking Transaction Log'!$B:$B,2)</f>
        <v>0</v>
      </c>
      <c r="T6" s="243">
        <f t="shared" si="9"/>
        <v>1200</v>
      </c>
      <c r="U6" s="284">
        <f>SUMIFS('Checking Transaction Log'!$E:$E,'Checking Transaction Log'!$C:$C,"&gt;="&amp;U1,'Checking Transaction Log'!$C:$C,"&lt;="&amp;V1,'Checking Transaction Log'!$A:$A,"D",'Checking Transaction Log'!$B:$B,2)</f>
        <v>0</v>
      </c>
      <c r="V6" s="284">
        <f t="shared" si="10"/>
        <v>1200</v>
      </c>
      <c r="W6" s="247">
        <f>SUMIFS('Checking Transaction Log'!$E:$E,'Checking Transaction Log'!$C:$C,"&gt;="&amp;W1,'Checking Transaction Log'!$C:$C,"&lt;="&amp;X1,'Checking Transaction Log'!$A:$A,"D",'Checking Transaction Log'!$B:$B,2)</f>
        <v>0</v>
      </c>
      <c r="X6" s="247">
        <f t="shared" si="11"/>
        <v>1200</v>
      </c>
      <c r="Y6" s="287">
        <f>SUMIFS('Checking Transaction Log'!$E:$E,'Checking Transaction Log'!$C:$C,"&gt;="&amp;Y1,'Checking Transaction Log'!$C:$C,"&lt;="&amp;Z1,'Checking Transaction Log'!$A:$A,"D",'Checking Transaction Log'!$B:$B,2)</f>
        <v>0</v>
      </c>
      <c r="Z6" s="287">
        <f t="shared" si="12"/>
        <v>1200</v>
      </c>
      <c r="AA6" s="289">
        <f>SUMIFS('Checking Transaction Log'!$E:$E,'Checking Transaction Log'!$C:$C,"&gt;="&amp;AA1,'Checking Transaction Log'!$C:$C,"&lt;="&amp;AB1,'Checking Transaction Log'!$A:$A,"D",'Checking Transaction Log'!$B:$B,2)</f>
        <v>0</v>
      </c>
      <c r="AB6" s="289">
        <f t="shared" si="13"/>
        <v>1200</v>
      </c>
      <c r="AC6" s="291">
        <f>SUMIFS('Checking Transaction Log'!$E:$E,'Checking Transaction Log'!$C:$C,"&gt;="&amp;AC1,'Checking Transaction Log'!$C:$C,"&lt;="&amp;AD1,'Checking Transaction Log'!$A:$A,"D",'Checking Transaction Log'!$B:$B,2)</f>
        <v>0</v>
      </c>
      <c r="AD6" s="291">
        <f t="shared" si="14"/>
        <v>1200</v>
      </c>
      <c r="AE6" s="293">
        <f>SUMIFS('Checking Transaction Log'!$E:$E,'Checking Transaction Log'!$C:$C,"&gt;="&amp;AE1,'Checking Transaction Log'!$C:$C,"&lt;="&amp;AF1,'Checking Transaction Log'!$A:$A,"D",'Checking Transaction Log'!$B:$B,2)</f>
        <v>0</v>
      </c>
      <c r="AF6" s="293">
        <f t="shared" si="15"/>
        <v>1200</v>
      </c>
    </row>
    <row r="7" spans="1:32" ht="11.25" customHeight="1" x14ac:dyDescent="0.3">
      <c r="A7" s="295" t="str">
        <f>'Proposed Budget'!A7</f>
        <v>D</v>
      </c>
      <c r="B7" s="266">
        <f>'Proposed Budget'!B7</f>
        <v>3</v>
      </c>
      <c r="C7" s="298" t="str">
        <f>'Proposed Budget'!C7</f>
        <v>Misc Food</v>
      </c>
      <c r="D7" s="299">
        <f t="shared" ca="1" si="1"/>
        <v>135.54644999999999</v>
      </c>
      <c r="E7" s="300">
        <f t="shared" si="16"/>
        <v>588.16999999999996</v>
      </c>
      <c r="F7" s="300">
        <f t="shared" si="2"/>
        <v>99.54000000000002</v>
      </c>
      <c r="G7" s="280">
        <f t="shared" si="3"/>
        <v>0.1447412426749648</v>
      </c>
      <c r="H7" s="300">
        <f>'Proposed Budget'!D7</f>
        <v>150</v>
      </c>
      <c r="I7" s="281">
        <f>SUMIFS('Checking Transaction Log'!E:E,'Checking Transaction Log'!C:C,"&gt;="&amp;I1,'Checking Transaction Log'!C:C,"&lt;="&amp;J1,'Checking Transaction Log'!A:A,"D",'Checking Transaction Log'!B:B,3)</f>
        <v>144.51</v>
      </c>
      <c r="J7" s="281">
        <f t="shared" si="4"/>
        <v>5.4900000000000091</v>
      </c>
      <c r="K7" s="243">
        <f>SUMIFS('Checking Transaction Log'!E:E,'Checking Transaction Log'!C:C,"&gt;="&amp;K1,'Checking Transaction Log'!C:C,"&lt;="&amp;L1,'Checking Transaction Log'!A:A,"D",'Checking Transaction Log'!B:B,3)</f>
        <v>90.76</v>
      </c>
      <c r="L7" s="243">
        <f t="shared" si="5"/>
        <v>59.239999999999995</v>
      </c>
      <c r="M7" s="284">
        <f>SUMIFS('Checking Transaction Log'!$E:$E,'Checking Transaction Log'!$C:$C,"&gt;="&amp;M1,'Checking Transaction Log'!$C:$C,"&lt;="&amp;N1,'Checking Transaction Log'!$A:$A,"D",'Checking Transaction Log'!$B:$B,3)</f>
        <v>173.53</v>
      </c>
      <c r="N7" s="284">
        <f t="shared" si="6"/>
        <v>-23.53</v>
      </c>
      <c r="O7" s="247">
        <f>SUMIFS('Checking Transaction Log'!$E:$E,'Checking Transaction Log'!$C:$C,"&gt;="&amp;O1,'Checking Transaction Log'!$C:$C,"&lt;="&amp;P1,'Checking Transaction Log'!$A:$A,"D",'Checking Transaction Log'!$B:$B,3)</f>
        <v>91.659999999999982</v>
      </c>
      <c r="P7" s="247">
        <f t="shared" si="7"/>
        <v>58.340000000000018</v>
      </c>
      <c r="Q7" s="281">
        <f>SUMIFS('Checking Transaction Log'!$E:$E,'Checking Transaction Log'!$C:$C,"&gt;="&amp;Q1,'Checking Transaction Log'!$C:$C,"&lt;="&amp;R1,'Checking Transaction Log'!$A:$A,"D",'Checking Transaction Log'!$B:$B,3)</f>
        <v>87.710000000000008</v>
      </c>
      <c r="R7" s="281">
        <f t="shared" si="8"/>
        <v>62.289999999999992</v>
      </c>
      <c r="S7" s="243">
        <f>SUMIFS('Checking Transaction Log'!$E:$E,'Checking Transaction Log'!$C:$C,"&gt;="&amp;S1,'Checking Transaction Log'!$C:$C,"&lt;="&amp;T1,'Checking Transaction Log'!$A:$A,"D",'Checking Transaction Log'!$B:$B,3)</f>
        <v>0</v>
      </c>
      <c r="T7" s="243">
        <f t="shared" si="9"/>
        <v>150</v>
      </c>
      <c r="U7" s="284">
        <f>SUMIFS('Checking Transaction Log'!$E:$E,'Checking Transaction Log'!$C:$C,"&gt;="&amp;U1,'Checking Transaction Log'!$C:$C,"&lt;="&amp;V1,'Checking Transaction Log'!$A:$A,"D",'Checking Transaction Log'!$B:$B,3)</f>
        <v>0</v>
      </c>
      <c r="V7" s="284">
        <f t="shared" si="10"/>
        <v>150</v>
      </c>
      <c r="W7" s="247">
        <f>SUMIFS('Checking Transaction Log'!$E:$E,'Checking Transaction Log'!$C:$C,"&gt;="&amp;W1,'Checking Transaction Log'!$C:$C,"&lt;="&amp;X1,'Checking Transaction Log'!$A:$A,"D",'Checking Transaction Log'!$B:$B,3)</f>
        <v>0</v>
      </c>
      <c r="X7" s="247">
        <f t="shared" si="11"/>
        <v>150</v>
      </c>
      <c r="Y7" s="287">
        <f>SUMIFS('Checking Transaction Log'!$E:$E,'Checking Transaction Log'!$C:$C,"&gt;="&amp;Y1,'Checking Transaction Log'!$C:$C,"&lt;="&amp;Z1,'Checking Transaction Log'!$A:$A,"D",'Checking Transaction Log'!$B:$B,3)</f>
        <v>0</v>
      </c>
      <c r="Z7" s="287">
        <f t="shared" si="12"/>
        <v>150</v>
      </c>
      <c r="AA7" s="289">
        <f>SUMIFS('Checking Transaction Log'!$E:$E,'Checking Transaction Log'!$C:$C,"&gt;="&amp;AA1,'Checking Transaction Log'!$C:$C,"&lt;="&amp;AB1,'Checking Transaction Log'!$A:$A,"D",'Checking Transaction Log'!$B:$B,3)</f>
        <v>0</v>
      </c>
      <c r="AB7" s="289">
        <f t="shared" si="13"/>
        <v>150</v>
      </c>
      <c r="AC7" s="291">
        <f>SUMIFS('Checking Transaction Log'!$E:$E,'Checking Transaction Log'!$C:$C,"&gt;="&amp;AC1,'Checking Transaction Log'!$C:$C,"&lt;="&amp;AD1,'Checking Transaction Log'!$A:$A,"D",'Checking Transaction Log'!$B:$B,3)</f>
        <v>0</v>
      </c>
      <c r="AD7" s="291">
        <f t="shared" si="14"/>
        <v>150</v>
      </c>
      <c r="AE7" s="293">
        <f>SUMIFS('Checking Transaction Log'!$E:$E,'Checking Transaction Log'!$C:$C,"&gt;="&amp;AE1,'Checking Transaction Log'!$C:$C,"&lt;="&amp;AF1,'Checking Transaction Log'!$A:$A,"D",'Checking Transaction Log'!$B:$B,3)</f>
        <v>0</v>
      </c>
      <c r="AF7" s="293">
        <f t="shared" si="15"/>
        <v>150</v>
      </c>
    </row>
    <row r="8" spans="1:32" ht="11.25" customHeight="1" x14ac:dyDescent="0.3">
      <c r="A8" s="295" t="str">
        <f>'Proposed Budget'!A8</f>
        <v>D</v>
      </c>
      <c r="B8" s="266">
        <f>'Proposed Budget'!B8</f>
        <v>4</v>
      </c>
      <c r="C8" s="298" t="str">
        <f>'Proposed Budget'!C8</f>
        <v>Gasoline</v>
      </c>
      <c r="D8" s="299">
        <f t="shared" ca="1" si="1"/>
        <v>627.61069090909086</v>
      </c>
      <c r="E8" s="300">
        <f t="shared" si="16"/>
        <v>2723.3599999999997</v>
      </c>
      <c r="F8" s="300">
        <f t="shared" si="2"/>
        <v>-1.9300000000000637</v>
      </c>
      <c r="G8" s="280">
        <f t="shared" si="3"/>
        <v>-7.0918597943014916E-4</v>
      </c>
      <c r="H8" s="300">
        <f>'Proposed Budget'!D8</f>
        <v>600</v>
      </c>
      <c r="I8" s="281">
        <f>SUMIFS('Checking Transaction Log'!E:E,'Checking Transaction Log'!C:C,"&gt;="&amp;I1,'Checking Transaction Log'!C:C,"&lt;="&amp;J1,'Checking Transaction Log'!A:A,"D",'Checking Transaction Log'!B:B,4)</f>
        <v>561.41</v>
      </c>
      <c r="J8" s="281">
        <f t="shared" si="4"/>
        <v>38.590000000000032</v>
      </c>
      <c r="K8" s="243">
        <f>SUMIFS('Checking Transaction Log'!E:E,'Checking Transaction Log'!C:C,"&gt;="&amp;K1,'Checking Transaction Log'!C:C,"&lt;="&amp;L1,'Checking Transaction Log'!A:A,"D",'Checking Transaction Log'!B:B,4)</f>
        <v>710.78</v>
      </c>
      <c r="L8" s="243">
        <f t="shared" si="5"/>
        <v>-110.77999999999997</v>
      </c>
      <c r="M8" s="284">
        <f>SUMIFS('Checking Transaction Log'!$E:$E,'Checking Transaction Log'!$C:$C,"&gt;="&amp;M1,'Checking Transaction Log'!$C:$C,"&lt;="&amp;N1,'Checking Transaction Log'!$A:$A,"D",'Checking Transaction Log'!$B:$B,4)</f>
        <v>537.41000000000008</v>
      </c>
      <c r="N8" s="284">
        <f t="shared" si="6"/>
        <v>62.589999999999918</v>
      </c>
      <c r="O8" s="247">
        <f>SUMIFS('Checking Transaction Log'!$E:$E,'Checking Transaction Log'!$C:$C,"&gt;="&amp;O1,'Checking Transaction Log'!$C:$C,"&lt;="&amp;P1,'Checking Transaction Log'!$A:$A,"D",'Checking Transaction Log'!$B:$B,4)</f>
        <v>592.33000000000004</v>
      </c>
      <c r="P8" s="247">
        <f t="shared" si="7"/>
        <v>7.6699999999999591</v>
      </c>
      <c r="Q8" s="281">
        <f>SUMIFS('Checking Transaction Log'!$E:$E,'Checking Transaction Log'!$C:$C,"&gt;="&amp;Q1,'Checking Transaction Log'!$C:$C,"&lt;="&amp;R1,'Checking Transaction Log'!$A:$A,"D",'Checking Transaction Log'!$B:$B,4)</f>
        <v>321.43</v>
      </c>
      <c r="R8" s="281">
        <f t="shared" si="8"/>
        <v>278.57</v>
      </c>
      <c r="S8" s="243">
        <f>SUMIFS('Checking Transaction Log'!$E:$E,'Checking Transaction Log'!$C:$C,"&gt;="&amp;S1,'Checking Transaction Log'!$C:$C,"&lt;="&amp;T1,'Checking Transaction Log'!$A:$A,"D",'Checking Transaction Log'!$B:$B,4)</f>
        <v>0</v>
      </c>
      <c r="T8" s="243">
        <f t="shared" si="9"/>
        <v>600</v>
      </c>
      <c r="U8" s="284">
        <f>SUMIFS('Checking Transaction Log'!$E:$E,'Checking Transaction Log'!$C:$C,"&gt;="&amp;U1,'Checking Transaction Log'!$C:$C,"&lt;="&amp;V1,'Checking Transaction Log'!$A:$A,"D",'Checking Transaction Log'!$B:$B,4)</f>
        <v>0</v>
      </c>
      <c r="V8" s="284">
        <f t="shared" si="10"/>
        <v>600</v>
      </c>
      <c r="W8" s="247">
        <f>SUMIFS('Checking Transaction Log'!$E:$E,'Checking Transaction Log'!$C:$C,"&gt;="&amp;W1,'Checking Transaction Log'!$C:$C,"&lt;="&amp;X1,'Checking Transaction Log'!$A:$A,"D",'Checking Transaction Log'!$B:$B,4)</f>
        <v>0</v>
      </c>
      <c r="X8" s="247">
        <f t="shared" si="11"/>
        <v>600</v>
      </c>
      <c r="Y8" s="287">
        <f>SUMIFS('Checking Transaction Log'!$E:$E,'Checking Transaction Log'!$C:$C,"&gt;="&amp;Y1,'Checking Transaction Log'!$C:$C,"&lt;="&amp;Z1,'Checking Transaction Log'!$A:$A,"D",'Checking Transaction Log'!$B:$B,4)</f>
        <v>0</v>
      </c>
      <c r="Z8" s="287">
        <f t="shared" si="12"/>
        <v>600</v>
      </c>
      <c r="AA8" s="289">
        <f>SUMIFS('Checking Transaction Log'!$E:$E,'Checking Transaction Log'!$C:$C,"&gt;="&amp;AA1,'Checking Transaction Log'!$C:$C,"&lt;="&amp;AB1,'Checking Transaction Log'!$A:$A,"D",'Checking Transaction Log'!$B:$B,4)</f>
        <v>0</v>
      </c>
      <c r="AB8" s="289">
        <f t="shared" si="13"/>
        <v>600</v>
      </c>
      <c r="AC8" s="291">
        <f>SUMIFS('Checking Transaction Log'!$E:$E,'Checking Transaction Log'!$C:$C,"&gt;="&amp;AC1,'Checking Transaction Log'!$C:$C,"&lt;="&amp;AD1,'Checking Transaction Log'!$A:$A,"D",'Checking Transaction Log'!$B:$B,4)</f>
        <v>0</v>
      </c>
      <c r="AD8" s="291">
        <f t="shared" si="14"/>
        <v>600</v>
      </c>
      <c r="AE8" s="293">
        <f>SUMIFS('Checking Transaction Log'!$E:$E,'Checking Transaction Log'!$C:$C,"&gt;="&amp;AE1,'Checking Transaction Log'!$C:$C,"&lt;="&amp;AF1,'Checking Transaction Log'!$A:$A,"D",'Checking Transaction Log'!$B:$B,4)</f>
        <v>0</v>
      </c>
      <c r="AF8" s="293">
        <f t="shared" si="15"/>
        <v>600</v>
      </c>
    </row>
    <row r="9" spans="1:32" ht="11.25" customHeight="1" x14ac:dyDescent="0.3">
      <c r="A9" s="295" t="str">
        <f>'Proposed Budget'!A9</f>
        <v>D</v>
      </c>
      <c r="B9" s="266">
        <f>'Proposed Budget'!B9</f>
        <v>5</v>
      </c>
      <c r="C9" s="298" t="str">
        <f>'Proposed Budget'!C9</f>
        <v>Family Entertainment</v>
      </c>
      <c r="D9" s="299">
        <f t="shared" ca="1" si="1"/>
        <v>871.76806363636376</v>
      </c>
      <c r="E9" s="300">
        <f t="shared" si="16"/>
        <v>3782.82</v>
      </c>
      <c r="F9" s="300">
        <f t="shared" si="2"/>
        <v>-888.01</v>
      </c>
      <c r="G9" s="280">
        <f t="shared" si="3"/>
        <v>-0.30675933826399637</v>
      </c>
      <c r="H9" s="300">
        <f>'Proposed Budget'!D9</f>
        <v>700</v>
      </c>
      <c r="I9" s="281">
        <f>SUMIFS('Checking Transaction Log'!E:E,'Checking Transaction Log'!C:C,"&gt;="&amp;I1,'Checking Transaction Log'!C:C,"&lt;="&amp;J1,'Checking Transaction Log'!A:A,"D",'Checking Transaction Log'!B:B,5)</f>
        <v>717.1</v>
      </c>
      <c r="J9" s="281">
        <f t="shared" si="4"/>
        <v>-17.100000000000023</v>
      </c>
      <c r="K9" s="243">
        <f>SUMIFS('Checking Transaction Log'!E:E,'Checking Transaction Log'!C:C,"&gt;="&amp;K1,'Checking Transaction Log'!C:C,"&lt;="&amp;L1,'Checking Transaction Log'!A:A,"D",'Checking Transaction Log'!B:B,5)</f>
        <v>780.14</v>
      </c>
      <c r="L9" s="243">
        <f t="shared" si="5"/>
        <v>-80.139999999999986</v>
      </c>
      <c r="M9" s="284">
        <f>SUMIFS('Checking Transaction Log'!$E:$E,'Checking Transaction Log'!$C:$C,"&gt;="&amp;M1,'Checking Transaction Log'!$C:$C,"&lt;="&amp;N1,'Checking Transaction Log'!$A:$A,"D",'Checking Transaction Log'!$B:$B,5)</f>
        <v>516.79</v>
      </c>
      <c r="N9" s="284">
        <f t="shared" si="6"/>
        <v>183.21000000000004</v>
      </c>
      <c r="O9" s="247">
        <f>SUMIFS('Checking Transaction Log'!$E:$E,'Checking Transaction Log'!$C:$C,"&gt;="&amp;O1,'Checking Transaction Log'!$C:$C,"&lt;="&amp;P1,'Checking Transaction Log'!$A:$A,"D",'Checking Transaction Log'!$B:$B,5)</f>
        <v>1673.98</v>
      </c>
      <c r="P9" s="247">
        <f t="shared" si="7"/>
        <v>-973.98</v>
      </c>
      <c r="Q9" s="281">
        <f>SUMIFS('Checking Transaction Log'!$E:$E,'Checking Transaction Log'!$C:$C,"&gt;="&amp;Q1,'Checking Transaction Log'!$C:$C,"&lt;="&amp;R1,'Checking Transaction Log'!$A:$A,"D",'Checking Transaction Log'!$B:$B,5)</f>
        <v>94.81</v>
      </c>
      <c r="R9" s="281">
        <f t="shared" si="8"/>
        <v>605.19000000000005</v>
      </c>
      <c r="S9" s="243">
        <f>SUMIFS('Checking Transaction Log'!$E:$E,'Checking Transaction Log'!$C:$C,"&gt;="&amp;S1,'Checking Transaction Log'!$C:$C,"&lt;="&amp;T1,'Checking Transaction Log'!$A:$A,"D",'Checking Transaction Log'!$B:$B,5)</f>
        <v>0</v>
      </c>
      <c r="T9" s="243">
        <f t="shared" si="9"/>
        <v>700</v>
      </c>
      <c r="U9" s="284">
        <f>SUMIFS('Checking Transaction Log'!$E:$E,'Checking Transaction Log'!$C:$C,"&gt;="&amp;U1,'Checking Transaction Log'!$C:$C,"&lt;="&amp;V1,'Checking Transaction Log'!$A:$A,"D",'Checking Transaction Log'!$B:$B,5)</f>
        <v>0</v>
      </c>
      <c r="V9" s="284">
        <f t="shared" si="10"/>
        <v>700</v>
      </c>
      <c r="W9" s="247">
        <f>SUMIFS('Checking Transaction Log'!$E:$E,'Checking Transaction Log'!$C:$C,"&gt;="&amp;W1,'Checking Transaction Log'!$C:$C,"&lt;="&amp;X1,'Checking Transaction Log'!$A:$A,"D",'Checking Transaction Log'!$B:$B,5)</f>
        <v>0</v>
      </c>
      <c r="X9" s="247">
        <f t="shared" si="11"/>
        <v>700</v>
      </c>
      <c r="Y9" s="287">
        <f>SUMIFS('Checking Transaction Log'!$E:$E,'Checking Transaction Log'!$C:$C,"&gt;="&amp;Y1,'Checking Transaction Log'!$C:$C,"&lt;="&amp;Z1,'Checking Transaction Log'!$A:$A,"D",'Checking Transaction Log'!$B:$B,5)</f>
        <v>0</v>
      </c>
      <c r="Z9" s="287">
        <f t="shared" si="12"/>
        <v>700</v>
      </c>
      <c r="AA9" s="289">
        <f>SUMIFS('Checking Transaction Log'!$E:$E,'Checking Transaction Log'!$C:$C,"&gt;="&amp;AA1,'Checking Transaction Log'!$C:$C,"&lt;="&amp;AB1,'Checking Transaction Log'!$A:$A,"D",'Checking Transaction Log'!$B:$B,5)</f>
        <v>0</v>
      </c>
      <c r="AB9" s="289">
        <f t="shared" si="13"/>
        <v>700</v>
      </c>
      <c r="AC9" s="291">
        <f>SUMIFS('Checking Transaction Log'!$E:$E,'Checking Transaction Log'!$C:$C,"&gt;="&amp;AC1,'Checking Transaction Log'!$C:$C,"&lt;="&amp;AD1,'Checking Transaction Log'!$A:$A,"D",'Checking Transaction Log'!$B:$B,5)</f>
        <v>0</v>
      </c>
      <c r="AD9" s="291">
        <f t="shared" si="14"/>
        <v>700</v>
      </c>
      <c r="AE9" s="293">
        <f>SUMIFS('Checking Transaction Log'!$E:$E,'Checking Transaction Log'!$C:$C,"&gt;="&amp;AE1,'Checking Transaction Log'!$C:$C,"&lt;="&amp;AF1,'Checking Transaction Log'!$A:$A,"D",'Checking Transaction Log'!$B:$B,5)</f>
        <v>0</v>
      </c>
      <c r="AF9" s="293">
        <f t="shared" si="15"/>
        <v>700</v>
      </c>
    </row>
    <row r="10" spans="1:32" ht="11.25" customHeight="1" x14ac:dyDescent="0.3">
      <c r="A10" s="295" t="str">
        <f>'Proposed Budget'!A10</f>
        <v>D</v>
      </c>
      <c r="B10" s="266">
        <f>'Proposed Budget'!B10</f>
        <v>6</v>
      </c>
      <c r="C10" s="298" t="str">
        <f>'Proposed Budget'!C10</f>
        <v>Miscellaneous Spending</v>
      </c>
      <c r="D10" s="299">
        <f t="shared" ca="1" si="1"/>
        <v>765.94103181818195</v>
      </c>
      <c r="E10" s="300">
        <f t="shared" si="16"/>
        <v>3323.6100000000006</v>
      </c>
      <c r="F10" s="300">
        <f t="shared" si="2"/>
        <v>520.62999999999977</v>
      </c>
      <c r="G10" s="280">
        <f t="shared" si="3"/>
        <v>0.13543119056042274</v>
      </c>
      <c r="H10" s="300">
        <f>'Proposed Budget'!D10</f>
        <v>900</v>
      </c>
      <c r="I10" s="281">
        <f>SUMIFS('Checking Transaction Log'!E:E,'Checking Transaction Log'!C:C,"&gt;="&amp;I1,'Checking Transaction Log'!C:C,"&lt;="&amp;J1,'Checking Transaction Log'!A:A,"D",'Checking Transaction Log'!B:B,6)</f>
        <v>714.12000000000012</v>
      </c>
      <c r="J10" s="281">
        <f t="shared" si="4"/>
        <v>185.87999999999988</v>
      </c>
      <c r="K10" s="243">
        <f>SUMIFS('Checking Transaction Log'!E:E,'Checking Transaction Log'!C:C,"&gt;="&amp;K1,'Checking Transaction Log'!C:C,"&lt;="&amp;L1,'Checking Transaction Log'!A:A,"D",'Checking Transaction Log'!B:B,6)</f>
        <v>693.07999999999993</v>
      </c>
      <c r="L10" s="243">
        <f t="shared" si="5"/>
        <v>206.92000000000007</v>
      </c>
      <c r="M10" s="284">
        <f>SUMIFS('Checking Transaction Log'!$E:$E,'Checking Transaction Log'!$C:$C,"&gt;="&amp;M1,'Checking Transaction Log'!$C:$C,"&lt;="&amp;N1,'Checking Transaction Log'!$A:$A,"D",'Checking Transaction Log'!$B:$B,6)</f>
        <v>525.38</v>
      </c>
      <c r="N10" s="284">
        <f t="shared" si="6"/>
        <v>374.62</v>
      </c>
      <c r="O10" s="247">
        <f>SUMIFS('Checking Transaction Log'!$E:$E,'Checking Transaction Log'!$C:$C,"&gt;="&amp;O1,'Checking Transaction Log'!$C:$C,"&lt;="&amp;P1,'Checking Transaction Log'!$A:$A,"D",'Checking Transaction Log'!$B:$B,6)</f>
        <v>1146.7900000000002</v>
      </c>
      <c r="P10" s="247">
        <f t="shared" si="7"/>
        <v>-246.79000000000019</v>
      </c>
      <c r="Q10" s="281">
        <f>SUMIFS('Checking Transaction Log'!$E:$E,'Checking Transaction Log'!$C:$C,"&gt;="&amp;Q1,'Checking Transaction Log'!$C:$C,"&lt;="&amp;R1,'Checking Transaction Log'!$A:$A,"D",'Checking Transaction Log'!$B:$B,6)</f>
        <v>244.24</v>
      </c>
      <c r="R10" s="281">
        <f t="shared" si="8"/>
        <v>655.76</v>
      </c>
      <c r="S10" s="243">
        <f>SUMIFS('Checking Transaction Log'!$E:$E,'Checking Transaction Log'!$C:$C,"&gt;="&amp;S1,'Checking Transaction Log'!$C:$C,"&lt;="&amp;T1,'Checking Transaction Log'!$A:$A,"D",'Checking Transaction Log'!$B:$B,6)</f>
        <v>0</v>
      </c>
      <c r="T10" s="243">
        <f t="shared" si="9"/>
        <v>900</v>
      </c>
      <c r="U10" s="284">
        <f>SUMIFS('Checking Transaction Log'!$E:$E,'Checking Transaction Log'!$C:$C,"&gt;="&amp;U1,'Checking Transaction Log'!$C:$C,"&lt;="&amp;V1,'Checking Transaction Log'!$A:$A,"D",'Checking Transaction Log'!$B:$B,6)</f>
        <v>0</v>
      </c>
      <c r="V10" s="284">
        <f t="shared" si="10"/>
        <v>900</v>
      </c>
      <c r="W10" s="247">
        <f>SUMIFS('Checking Transaction Log'!$E:$E,'Checking Transaction Log'!$C:$C,"&gt;="&amp;W1,'Checking Transaction Log'!$C:$C,"&lt;="&amp;X1,'Checking Transaction Log'!$A:$A,"D",'Checking Transaction Log'!$B:$B,6)</f>
        <v>0</v>
      </c>
      <c r="X10" s="247">
        <f t="shared" si="11"/>
        <v>900</v>
      </c>
      <c r="Y10" s="287">
        <f>SUMIFS('Checking Transaction Log'!$E:$E,'Checking Transaction Log'!$C:$C,"&gt;="&amp;Y1,'Checking Transaction Log'!$C:$C,"&lt;="&amp;Z1,'Checking Transaction Log'!$A:$A,"D",'Checking Transaction Log'!$B:$B,6)</f>
        <v>0</v>
      </c>
      <c r="Z10" s="287">
        <f t="shared" si="12"/>
        <v>900</v>
      </c>
      <c r="AA10" s="289">
        <f>SUMIFS('Checking Transaction Log'!$E:$E,'Checking Transaction Log'!$C:$C,"&gt;="&amp;AA1,'Checking Transaction Log'!$C:$C,"&lt;="&amp;AB1,'Checking Transaction Log'!$A:$A,"D",'Checking Transaction Log'!$B:$B,6)</f>
        <v>0</v>
      </c>
      <c r="AB10" s="289">
        <f t="shared" si="13"/>
        <v>900</v>
      </c>
      <c r="AC10" s="291">
        <f>SUMIFS('Checking Transaction Log'!$E:$E,'Checking Transaction Log'!$C:$C,"&gt;="&amp;AC1,'Checking Transaction Log'!$C:$C,"&lt;="&amp;AD1,'Checking Transaction Log'!$A:$A,"D",'Checking Transaction Log'!$B:$B,6)</f>
        <v>0</v>
      </c>
      <c r="AD10" s="291">
        <f t="shared" si="14"/>
        <v>900</v>
      </c>
      <c r="AE10" s="293">
        <f>SUMIFS('Checking Transaction Log'!$E:$E,'Checking Transaction Log'!$C:$C,"&gt;="&amp;AE1,'Checking Transaction Log'!$C:$C,"&lt;="&amp;AF1,'Checking Transaction Log'!$A:$A,"D",'Checking Transaction Log'!$B:$B,6)</f>
        <v>0</v>
      </c>
      <c r="AF10" s="293">
        <f t="shared" si="15"/>
        <v>900</v>
      </c>
    </row>
    <row r="11" spans="1:32" ht="11.25" customHeight="1" x14ac:dyDescent="0.3">
      <c r="A11" s="295" t="str">
        <f>'Proposed Budget'!A11</f>
        <v>D</v>
      </c>
      <c r="B11" s="266">
        <f>'Proposed Budget'!B11</f>
        <v>7</v>
      </c>
      <c r="C11" s="298" t="str">
        <f>'Proposed Budget'!C11</f>
        <v>Department Stores/Clothes</v>
      </c>
      <c r="D11" s="299">
        <f t="shared" ca="1" si="1"/>
        <v>466.50452727272739</v>
      </c>
      <c r="E11" s="300">
        <f t="shared" si="16"/>
        <v>2024.2800000000002</v>
      </c>
      <c r="F11" s="300">
        <f t="shared" si="2"/>
        <v>-387.74999999999989</v>
      </c>
      <c r="G11" s="280">
        <f t="shared" si="3"/>
        <v>-0.23693424501842308</v>
      </c>
      <c r="H11" s="300">
        <f>'Proposed Budget'!D11</f>
        <v>350</v>
      </c>
      <c r="I11" s="281">
        <f>SUMIFS('Checking Transaction Log'!E:E,'Checking Transaction Log'!C:C,"&gt;="&amp;I1,'Checking Transaction Log'!C:C,"&lt;="&amp;J1,'Checking Transaction Log'!A:A,"D",'Checking Transaction Log'!B:B,7)</f>
        <v>626.04</v>
      </c>
      <c r="J11" s="281">
        <f t="shared" si="4"/>
        <v>-276.03999999999996</v>
      </c>
      <c r="K11" s="243">
        <f>SUMIFS('Checking Transaction Log'!E:E,'Checking Transaction Log'!C:C,"&gt;="&amp;K1,'Checking Transaction Log'!C:C,"&lt;="&amp;L1,'Checking Transaction Log'!A:A,"D",'Checking Transaction Log'!B:B,7)</f>
        <v>670.18</v>
      </c>
      <c r="L11" s="243">
        <f t="shared" si="5"/>
        <v>-320.17999999999995</v>
      </c>
      <c r="M11" s="284">
        <f>SUMIFS('Checking Transaction Log'!$E:$E,'Checking Transaction Log'!$C:$C,"&gt;="&amp;M1,'Checking Transaction Log'!$C:$C,"&lt;="&amp;N1,'Checking Transaction Log'!$A:$A,"D",'Checking Transaction Log'!$B:$B,7)</f>
        <v>221.64999999999998</v>
      </c>
      <c r="N11" s="284">
        <f t="shared" si="6"/>
        <v>128.35000000000002</v>
      </c>
      <c r="O11" s="247">
        <f>SUMIFS('Checking Transaction Log'!$E:$E,'Checking Transaction Log'!$C:$C,"&gt;="&amp;O1,'Checking Transaction Log'!$C:$C,"&lt;="&amp;P1,'Checking Transaction Log'!$A:$A,"D",'Checking Transaction Log'!$B:$B,7)</f>
        <v>269.88</v>
      </c>
      <c r="P11" s="247">
        <f t="shared" si="7"/>
        <v>80.12</v>
      </c>
      <c r="Q11" s="281">
        <f>SUMIFS('Checking Transaction Log'!$E:$E,'Checking Transaction Log'!$C:$C,"&gt;="&amp;Q1,'Checking Transaction Log'!$C:$C,"&lt;="&amp;R1,'Checking Transaction Log'!$A:$A,"D",'Checking Transaction Log'!$B:$B,7)</f>
        <v>236.53</v>
      </c>
      <c r="R11" s="281">
        <f t="shared" si="8"/>
        <v>113.47</v>
      </c>
      <c r="S11" s="243">
        <f>SUMIFS('Checking Transaction Log'!$E:$E,'Checking Transaction Log'!$C:$C,"&gt;="&amp;S1,'Checking Transaction Log'!$C:$C,"&lt;="&amp;T1,'Checking Transaction Log'!$A:$A,"D",'Checking Transaction Log'!$B:$B,7)</f>
        <v>0</v>
      </c>
      <c r="T11" s="243">
        <f t="shared" si="9"/>
        <v>350</v>
      </c>
      <c r="U11" s="284">
        <f>SUMIFS('Checking Transaction Log'!$E:$E,'Checking Transaction Log'!$C:$C,"&gt;="&amp;U1,'Checking Transaction Log'!$C:$C,"&lt;="&amp;V1,'Checking Transaction Log'!$A:$A,"D",'Checking Transaction Log'!$B:$B,7)</f>
        <v>0</v>
      </c>
      <c r="V11" s="284">
        <f t="shared" si="10"/>
        <v>350</v>
      </c>
      <c r="W11" s="247">
        <f>SUMIFS('Checking Transaction Log'!$E:$E,'Checking Transaction Log'!$C:$C,"&gt;="&amp;W1,'Checking Transaction Log'!$C:$C,"&lt;="&amp;X1,'Checking Transaction Log'!$A:$A,"D",'Checking Transaction Log'!$B:$B,7)</f>
        <v>0</v>
      </c>
      <c r="X11" s="247">
        <f t="shared" si="11"/>
        <v>350</v>
      </c>
      <c r="Y11" s="287">
        <f>SUMIFS('Checking Transaction Log'!$E:$E,'Checking Transaction Log'!$C:$C,"&gt;="&amp;Y1,'Checking Transaction Log'!$C:$C,"&lt;="&amp;Z1,'Checking Transaction Log'!$A:$A,"D",'Checking Transaction Log'!$B:$B,7)</f>
        <v>0</v>
      </c>
      <c r="Z11" s="287">
        <f t="shared" si="12"/>
        <v>350</v>
      </c>
      <c r="AA11" s="289">
        <f>SUMIFS('Checking Transaction Log'!$E:$E,'Checking Transaction Log'!$C:$C,"&gt;="&amp;AA1,'Checking Transaction Log'!$C:$C,"&lt;="&amp;AB1,'Checking Transaction Log'!$A:$A,"D",'Checking Transaction Log'!$B:$B,7)</f>
        <v>0</v>
      </c>
      <c r="AB11" s="289">
        <f t="shared" si="13"/>
        <v>350</v>
      </c>
      <c r="AC11" s="291">
        <f>SUMIFS('Checking Transaction Log'!$E:$E,'Checking Transaction Log'!$C:$C,"&gt;="&amp;AC1,'Checking Transaction Log'!$C:$C,"&lt;="&amp;AD1,'Checking Transaction Log'!$A:$A,"D",'Checking Transaction Log'!$B:$B,7)</f>
        <v>0</v>
      </c>
      <c r="AD11" s="291">
        <f t="shared" si="14"/>
        <v>350</v>
      </c>
      <c r="AE11" s="293">
        <f>SUMIFS('Checking Transaction Log'!$E:$E,'Checking Transaction Log'!$C:$C,"&gt;="&amp;AE1,'Checking Transaction Log'!$C:$C,"&lt;="&amp;AF1,'Checking Transaction Log'!$A:$A,"D",'Checking Transaction Log'!$B:$B,7)</f>
        <v>0</v>
      </c>
      <c r="AF11" s="293">
        <f t="shared" si="15"/>
        <v>350</v>
      </c>
    </row>
    <row r="12" spans="1:32" ht="11.25" customHeight="1" x14ac:dyDescent="0.3">
      <c r="A12" s="295" t="str">
        <f>'Proposed Budget'!A12</f>
        <v>D</v>
      </c>
      <c r="B12" s="266">
        <f>'Proposed Budget'!B12</f>
        <v>8</v>
      </c>
      <c r="C12" s="298" t="str">
        <f>'Proposed Budget'!C12</f>
        <v>Alcohol/Bars</v>
      </c>
      <c r="D12" s="299">
        <f t="shared" ca="1" si="1"/>
        <v>718.16319545454553</v>
      </c>
      <c r="E12" s="300">
        <f t="shared" si="16"/>
        <v>3116.29</v>
      </c>
      <c r="F12" s="300">
        <f t="shared" si="2"/>
        <v>-157.63000000000011</v>
      </c>
      <c r="G12" s="280">
        <f t="shared" si="3"/>
        <v>-5.3277497245374672E-2</v>
      </c>
      <c r="H12" s="300">
        <f>'Proposed Budget'!D12</f>
        <v>700</v>
      </c>
      <c r="I12" s="281">
        <f>SUMIFS('Checking Transaction Log'!E:E,'Checking Transaction Log'!C:C,"&gt;="&amp;I1,'Checking Transaction Log'!C:C,"&lt;="&amp;J1,'Checking Transaction Log'!A:A,"D",'Checking Transaction Log'!B:B,8)</f>
        <v>683.49</v>
      </c>
      <c r="J12" s="281">
        <f t="shared" si="4"/>
        <v>16.509999999999991</v>
      </c>
      <c r="K12" s="243">
        <f>SUMIFS('Checking Transaction Log'!E:E,'Checking Transaction Log'!C:C,"&gt;="&amp;K1,'Checking Transaction Log'!C:C,"&lt;="&amp;L1,'Checking Transaction Log'!A:A,"D",'Checking Transaction Log'!B:B,8)</f>
        <v>979.71</v>
      </c>
      <c r="L12" s="243">
        <f t="shared" si="5"/>
        <v>-279.71000000000004</v>
      </c>
      <c r="M12" s="284">
        <f>SUMIFS('Checking Transaction Log'!$E:$E,'Checking Transaction Log'!$C:$C,"&gt;="&amp;M1,'Checking Transaction Log'!$C:$C,"&lt;="&amp;N1,'Checking Transaction Log'!$A:$A,"D",'Checking Transaction Log'!$B:$B,8)</f>
        <v>640.42000000000019</v>
      </c>
      <c r="N12" s="284">
        <f t="shared" si="6"/>
        <v>59.579999999999814</v>
      </c>
      <c r="O12" s="247">
        <f>SUMIFS('Checking Transaction Log'!$E:$E,'Checking Transaction Log'!$C:$C,"&gt;="&amp;O1,'Checking Transaction Log'!$C:$C,"&lt;="&amp;P1,'Checking Transaction Log'!$A:$A,"D",'Checking Transaction Log'!$B:$B,8)</f>
        <v>654.00999999999988</v>
      </c>
      <c r="P12" s="247">
        <f t="shared" si="7"/>
        <v>45.990000000000123</v>
      </c>
      <c r="Q12" s="281">
        <f>SUMIFS('Checking Transaction Log'!$E:$E,'Checking Transaction Log'!$C:$C,"&gt;="&amp;Q1,'Checking Transaction Log'!$C:$C,"&lt;="&amp;R1,'Checking Transaction Log'!$A:$A,"D",'Checking Transaction Log'!$B:$B,8)</f>
        <v>158.66000000000003</v>
      </c>
      <c r="R12" s="281">
        <f t="shared" si="8"/>
        <v>541.33999999999992</v>
      </c>
      <c r="S12" s="243">
        <f>SUMIFS('Checking Transaction Log'!$E:$E,'Checking Transaction Log'!$C:$C,"&gt;="&amp;S1,'Checking Transaction Log'!$C:$C,"&lt;="&amp;T1,'Checking Transaction Log'!$A:$A,"D",'Checking Transaction Log'!$B:$B,8)</f>
        <v>0</v>
      </c>
      <c r="T12" s="243">
        <f t="shared" si="9"/>
        <v>700</v>
      </c>
      <c r="U12" s="284">
        <f>SUMIFS('Checking Transaction Log'!$E:$E,'Checking Transaction Log'!$C:$C,"&gt;="&amp;U1,'Checking Transaction Log'!$C:$C,"&lt;="&amp;V1,'Checking Transaction Log'!$A:$A,"D",'Checking Transaction Log'!$B:$B,8)</f>
        <v>0</v>
      </c>
      <c r="V12" s="284">
        <f t="shared" si="10"/>
        <v>700</v>
      </c>
      <c r="W12" s="247">
        <f>SUMIFS('Checking Transaction Log'!$E:$E,'Checking Transaction Log'!$C:$C,"&gt;="&amp;W1,'Checking Transaction Log'!$C:$C,"&lt;="&amp;X1,'Checking Transaction Log'!$A:$A,"D",'Checking Transaction Log'!$B:$B,8)</f>
        <v>0</v>
      </c>
      <c r="X12" s="247">
        <f t="shared" si="11"/>
        <v>700</v>
      </c>
      <c r="Y12" s="287">
        <f>SUMIFS('Checking Transaction Log'!$E:$E,'Checking Transaction Log'!$C:$C,"&gt;="&amp;Y1,'Checking Transaction Log'!$C:$C,"&lt;="&amp;Z1,'Checking Transaction Log'!$A:$A,"D",'Checking Transaction Log'!$B:$B,8)</f>
        <v>0</v>
      </c>
      <c r="Z12" s="287">
        <f t="shared" si="12"/>
        <v>700</v>
      </c>
      <c r="AA12" s="289">
        <f>SUMIFS('Checking Transaction Log'!$E:$E,'Checking Transaction Log'!$C:$C,"&gt;="&amp;AA1,'Checking Transaction Log'!$C:$C,"&lt;="&amp;AB1,'Checking Transaction Log'!$A:$A,"D",'Checking Transaction Log'!$B:$B,8)</f>
        <v>0</v>
      </c>
      <c r="AB12" s="289">
        <f t="shared" si="13"/>
        <v>700</v>
      </c>
      <c r="AC12" s="291">
        <f>SUMIFS('Checking Transaction Log'!$E:$E,'Checking Transaction Log'!$C:$C,"&gt;="&amp;AC1,'Checking Transaction Log'!$C:$C,"&lt;="&amp;AD1,'Checking Transaction Log'!$A:$A,"D",'Checking Transaction Log'!$B:$B,8)</f>
        <v>0</v>
      </c>
      <c r="AD12" s="291">
        <f t="shared" si="14"/>
        <v>700</v>
      </c>
      <c r="AE12" s="293">
        <f>SUMIFS('Checking Transaction Log'!$E:$E,'Checking Transaction Log'!$C:$C,"&gt;="&amp;AE1,'Checking Transaction Log'!$C:$C,"&lt;="&amp;AF1,'Checking Transaction Log'!$A:$A,"D",'Checking Transaction Log'!$B:$B,8)</f>
        <v>0</v>
      </c>
      <c r="AF12" s="293">
        <f t="shared" si="15"/>
        <v>700</v>
      </c>
    </row>
    <row r="13" spans="1:32" ht="11.25" customHeight="1" x14ac:dyDescent="0.3">
      <c r="A13" s="295"/>
      <c r="B13" s="266"/>
      <c r="C13" s="298"/>
      <c r="D13" s="299"/>
      <c r="E13" s="301"/>
      <c r="F13" s="301"/>
      <c r="G13" s="280"/>
      <c r="H13" s="300"/>
      <c r="I13" s="281"/>
      <c r="J13" s="281"/>
      <c r="K13" s="243"/>
      <c r="L13" s="243"/>
      <c r="M13" s="284"/>
      <c r="N13" s="284"/>
      <c r="O13" s="247"/>
      <c r="P13" s="247"/>
      <c r="Q13" s="281"/>
      <c r="R13" s="281"/>
      <c r="S13" s="243"/>
      <c r="T13" s="243"/>
      <c r="U13" s="284"/>
      <c r="V13" s="284"/>
      <c r="W13" s="247"/>
      <c r="X13" s="247"/>
      <c r="Y13" s="287"/>
      <c r="Z13" s="287"/>
      <c r="AA13" s="289"/>
      <c r="AB13" s="289"/>
      <c r="AC13" s="291"/>
      <c r="AD13" s="291"/>
      <c r="AE13" s="293"/>
      <c r="AF13" s="293"/>
    </row>
    <row r="14" spans="1:32" ht="11.25" customHeight="1" x14ac:dyDescent="0.3">
      <c r="A14" s="295" t="str">
        <f>'Proposed Budget'!A14</f>
        <v>F</v>
      </c>
      <c r="B14" s="266">
        <f>'Proposed Budget'!B14</f>
        <v>9</v>
      </c>
      <c r="C14" s="298" t="str">
        <f>'Proposed Budget'!C14</f>
        <v>Rocket Mortgage</v>
      </c>
      <c r="D14" s="299">
        <f t="shared" ref="D14:D31" ca="1" si="17">(E14/(TODAY()-$I$1))*30.42</f>
        <v>1465.1839090909089</v>
      </c>
      <c r="E14" s="300">
        <f t="shared" ref="E14:E31" si="18">Q14+S14+U14+W14+Y14+AA14+AC14+AE14+I14+K14+M14+O14</f>
        <v>6357.7999999999993</v>
      </c>
      <c r="F14" s="300">
        <f t="shared" ref="F14:F31" si="19">J14+L14+N14+P14</f>
        <v>13.880000000000109</v>
      </c>
      <c r="G14" s="280">
        <f t="shared" ref="G14:G31" si="20">1-((E14/SUM(E14:F14)))</f>
        <v>2.1783893729754311E-3</v>
      </c>
      <c r="H14" s="300">
        <f>'Proposed Budget'!D14</f>
        <v>1285</v>
      </c>
      <c r="I14" s="281">
        <f>SUMIFS('Checking Transaction Log'!E:E,'Checking Transaction Log'!C:C,"&gt;="&amp;I1,'Checking Transaction Log'!C:C,"&lt;="&amp;J1,'Checking Transaction Log'!A:A,"F",'Checking Transaction Log'!B:B,9)</f>
        <v>1281.53</v>
      </c>
      <c r="J14" s="281">
        <f t="shared" ref="J14:J31" si="21">H14-I14</f>
        <v>3.4700000000000273</v>
      </c>
      <c r="K14" s="243">
        <f>SUMIFS('Checking Transaction Log'!E:E,'Checking Transaction Log'!C:C,"&gt;="&amp;K1,'Checking Transaction Log'!C:C,"&lt;="&amp;L1,'Checking Transaction Log'!A:A,"F",'Checking Transaction Log'!B:B,9)</f>
        <v>1281.53</v>
      </c>
      <c r="L14" s="243">
        <f t="shared" ref="L14:L31" si="22">H14-K14</f>
        <v>3.4700000000000273</v>
      </c>
      <c r="M14" s="284">
        <f>SUMIFS('Checking Transaction Log'!$E:$E,'Checking Transaction Log'!$C:$C,"&gt;="&amp;M1,'Checking Transaction Log'!$C:$C,"&lt;="&amp;N1,'Checking Transaction Log'!$A:$A,"F",'Checking Transaction Log'!$B:$B,9)</f>
        <v>1281.53</v>
      </c>
      <c r="N14" s="284">
        <f t="shared" ref="N14:N31" si="23">H14-M14</f>
        <v>3.4700000000000273</v>
      </c>
      <c r="O14" s="247">
        <f>SUMIFS('Checking Transaction Log'!$E:$E,'Checking Transaction Log'!$C:$C,"&gt;="&amp;O1,'Checking Transaction Log'!$C:$C,"&lt;="&amp;P1,'Checking Transaction Log'!$A:$A,"F",'Checking Transaction Log'!$B:$B,9)</f>
        <v>1281.53</v>
      </c>
      <c r="P14" s="247">
        <f t="shared" ref="P14:P31" si="24">H14-O14</f>
        <v>3.4700000000000273</v>
      </c>
      <c r="Q14" s="281">
        <f>SUMIFS('Checking Transaction Log'!$E:$E,'Checking Transaction Log'!$C:$C,"&gt;="&amp;Q1,'Checking Transaction Log'!$C:$C,"&lt;="&amp;R1,'Checking Transaction Log'!$A:$A,"F",'Checking Transaction Log'!$B:$B,9)</f>
        <v>1231.68</v>
      </c>
      <c r="R14" s="281">
        <f t="shared" ref="R14:R31" si="25">H14-Q14</f>
        <v>53.319999999999936</v>
      </c>
      <c r="S14" s="243">
        <f>SUMIFS('Checking Transaction Log'!$E:$E,'Checking Transaction Log'!$C:$C,"&gt;="&amp;S1,'Checking Transaction Log'!$C:$C,"&lt;="&amp;T1,'Checking Transaction Log'!$A:$A,"F",'Checking Transaction Log'!$B:$B,9)</f>
        <v>0</v>
      </c>
      <c r="T14" s="243">
        <f t="shared" ref="T14:T31" si="26">H14-S14</f>
        <v>1285</v>
      </c>
      <c r="U14" s="284">
        <f>SUMIFS('Checking Transaction Log'!$E:$E,'Checking Transaction Log'!$C:$C,"&gt;="&amp;U1,'Checking Transaction Log'!$C:$C,"&lt;="&amp;V1,'Checking Transaction Log'!$A:$A,"F",'Checking Transaction Log'!$B:$B,9)</f>
        <v>0</v>
      </c>
      <c r="V14" s="284">
        <f t="shared" ref="V14:V31" si="27">H14-U14</f>
        <v>1285</v>
      </c>
      <c r="W14" s="247">
        <f>SUMIFS('Checking Transaction Log'!$E:$E,'Checking Transaction Log'!$C:$C,"&gt;="&amp;W1,'Checking Transaction Log'!$C:$C,"&lt;="&amp;X1,'Checking Transaction Log'!$A:$A,"F",'Checking Transaction Log'!$B:$B,9)</f>
        <v>0</v>
      </c>
      <c r="X14" s="247">
        <f t="shared" ref="X14:X31" si="28">H14-W14</f>
        <v>1285</v>
      </c>
      <c r="Y14" s="287">
        <f>SUMIFS('Checking Transaction Log'!$E:$E,'Checking Transaction Log'!$C:$C,"&gt;="&amp;Y1,'Checking Transaction Log'!$C:$C,"&lt;="&amp;Z1,'Checking Transaction Log'!$A:$A,"F",'Checking Transaction Log'!$B:$B,9)</f>
        <v>0</v>
      </c>
      <c r="Z14" s="287">
        <f t="shared" ref="Z14:Z31" si="29">H14-Y14</f>
        <v>1285</v>
      </c>
      <c r="AA14" s="289">
        <f>SUMIFS('Checking Transaction Log'!$E:$E,'Checking Transaction Log'!$C:$C,"&gt;="&amp;AA1,'Checking Transaction Log'!$C:$C,"&lt;="&amp;AB1,'Checking Transaction Log'!$A:$A,"F",'Checking Transaction Log'!$B:$B,9)</f>
        <v>0</v>
      </c>
      <c r="AB14" s="289">
        <f t="shared" ref="AB14:AB31" si="30">H14-AA14</f>
        <v>1285</v>
      </c>
      <c r="AC14" s="291">
        <f>SUMIFS('Checking Transaction Log'!$E:$E,'Checking Transaction Log'!$C:$C,"&gt;="&amp;AC1,'Checking Transaction Log'!$C:$C,"&lt;="&amp;AD1,'Checking Transaction Log'!$A:$A,"F",'Checking Transaction Log'!$B:$B,9)</f>
        <v>0</v>
      </c>
      <c r="AD14" s="291">
        <f t="shared" ref="AD14:AD31" si="31">H14-AC14</f>
        <v>1285</v>
      </c>
      <c r="AE14" s="293">
        <f>SUMIFS('Checking Transaction Log'!$E:$E,'Checking Transaction Log'!$C:$C,"&gt;="&amp;AE1,'Checking Transaction Log'!$C:$C,"&lt;="&amp;AF1,'Checking Transaction Log'!$A:$A,"F",'Checking Transaction Log'!$B:$B,9)</f>
        <v>0</v>
      </c>
      <c r="AF14" s="293">
        <f t="shared" ref="AF14:AF31" si="32">H14-AE14</f>
        <v>1285</v>
      </c>
    </row>
    <row r="15" spans="1:32" ht="11.25" customHeight="1" x14ac:dyDescent="0.3">
      <c r="A15" s="295" t="str">
        <f>'Proposed Budget'!A15</f>
        <v>F</v>
      </c>
      <c r="B15" s="266">
        <f>'Proposed Budget'!B15</f>
        <v>10</v>
      </c>
      <c r="C15" s="298" t="str">
        <f>'Proposed Budget'!C15</f>
        <v>EH Roberts</v>
      </c>
      <c r="D15" s="299">
        <f t="shared" ca="1" si="17"/>
        <v>16.500545454545453</v>
      </c>
      <c r="E15" s="300">
        <f t="shared" si="18"/>
        <v>71.599999999999994</v>
      </c>
      <c r="F15" s="300">
        <f t="shared" si="19"/>
        <v>8.4000000000000057</v>
      </c>
      <c r="G15" s="280">
        <f t="shared" si="20"/>
        <v>0.10500000000000009</v>
      </c>
      <c r="H15" s="300">
        <f>'Proposed Budget'!D15</f>
        <v>20</v>
      </c>
      <c r="I15" s="281">
        <f>SUMIFS('Checking Transaction Log'!E:E,'Checking Transaction Log'!C:C,"&gt;="&amp;I1,'Checking Transaction Log'!C:C,"&lt;="&amp;J1,'Checking Transaction Log'!A:A,"F",'Checking Transaction Log'!B:B,10)</f>
        <v>17.899999999999999</v>
      </c>
      <c r="J15" s="281">
        <f t="shared" si="21"/>
        <v>2.1000000000000014</v>
      </c>
      <c r="K15" s="243">
        <f>SUMIFS('Checking Transaction Log'!E:E,'Checking Transaction Log'!C:C,"&gt;="&amp;K1,'Checking Transaction Log'!C:C,"&lt;="&amp;L1,'Checking Transaction Log'!A:A,"F",'Checking Transaction Log'!B:B,10)</f>
        <v>17.899999999999999</v>
      </c>
      <c r="L15" s="243">
        <f t="shared" si="22"/>
        <v>2.1000000000000014</v>
      </c>
      <c r="M15" s="284">
        <f>SUMIFS('Checking Transaction Log'!$E:$E,'Checking Transaction Log'!$C:$C,"&gt;="&amp;M1,'Checking Transaction Log'!$C:$C,"&lt;="&amp;N1,'Checking Transaction Log'!$A:$A,"F",'Checking Transaction Log'!$B:$B,10)</f>
        <v>17.899999999999999</v>
      </c>
      <c r="N15" s="284">
        <f t="shared" si="23"/>
        <v>2.1000000000000014</v>
      </c>
      <c r="O15" s="247">
        <f>SUMIFS('Checking Transaction Log'!$E:$E,'Checking Transaction Log'!$C:$C,"&gt;="&amp;O1,'Checking Transaction Log'!$C:$C,"&lt;="&amp;P1,'Checking Transaction Log'!$A:$A,"F",'Checking Transaction Log'!$B:$B,10)</f>
        <v>17.899999999999999</v>
      </c>
      <c r="P15" s="247">
        <f t="shared" si="24"/>
        <v>2.1000000000000014</v>
      </c>
      <c r="Q15" s="281">
        <f>SUMIFS('Checking Transaction Log'!$E:$E,'Checking Transaction Log'!$C:$C,"&gt;="&amp;Q1,'Checking Transaction Log'!$C:$C,"&lt;="&amp;R1,'Checking Transaction Log'!$A:$A,"F",'Checking Transaction Log'!$B:$B,10)</f>
        <v>0</v>
      </c>
      <c r="R15" s="281">
        <f t="shared" si="25"/>
        <v>20</v>
      </c>
      <c r="S15" s="243">
        <f>SUMIFS('Checking Transaction Log'!$E:$E,'Checking Transaction Log'!$C:$C,"&gt;="&amp;S1,'Checking Transaction Log'!$C:$C,"&lt;="&amp;T1,'Checking Transaction Log'!$A:$A,"F",'Checking Transaction Log'!$B:$B,10)</f>
        <v>0</v>
      </c>
      <c r="T15" s="243">
        <f t="shared" si="26"/>
        <v>20</v>
      </c>
      <c r="U15" s="284">
        <f>SUMIFS('Checking Transaction Log'!$E:$E,'Checking Transaction Log'!$C:$C,"&gt;="&amp;U1,'Checking Transaction Log'!$C:$C,"&lt;="&amp;V1,'Checking Transaction Log'!$A:$A,"F",'Checking Transaction Log'!$B:$B,10)</f>
        <v>0</v>
      </c>
      <c r="V15" s="284">
        <f t="shared" si="27"/>
        <v>20</v>
      </c>
      <c r="W15" s="247">
        <f>SUMIFS('Checking Transaction Log'!$E:$E,'Checking Transaction Log'!$C:$C,"&gt;="&amp;W1,'Checking Transaction Log'!$C:$C,"&lt;="&amp;X1,'Checking Transaction Log'!$A:$A,"F",'Checking Transaction Log'!$B:$B,10)</f>
        <v>0</v>
      </c>
      <c r="X15" s="247">
        <f t="shared" si="28"/>
        <v>20</v>
      </c>
      <c r="Y15" s="287">
        <f>SUMIFS('Checking Transaction Log'!$E:$E,'Checking Transaction Log'!$C:$C,"&gt;="&amp;Y1,'Checking Transaction Log'!$C:$C,"&lt;="&amp;Z1,'Checking Transaction Log'!$A:$A,"F",'Checking Transaction Log'!$B:$B,10)</f>
        <v>0</v>
      </c>
      <c r="Z15" s="287">
        <f t="shared" si="29"/>
        <v>20</v>
      </c>
      <c r="AA15" s="289">
        <f>SUMIFS('Checking Transaction Log'!$E:$E,'Checking Transaction Log'!$C:$C,"&gt;="&amp;AA1,'Checking Transaction Log'!$C:$C,"&lt;="&amp;AB1,'Checking Transaction Log'!$A:$A,"F",'Checking Transaction Log'!$B:$B,10)</f>
        <v>0</v>
      </c>
      <c r="AB15" s="289">
        <f t="shared" si="30"/>
        <v>20</v>
      </c>
      <c r="AC15" s="291">
        <f>SUMIFS('Checking Transaction Log'!$E:$E,'Checking Transaction Log'!$C:$C,"&gt;="&amp;AC1,'Checking Transaction Log'!$C:$C,"&lt;="&amp;AD1,'Checking Transaction Log'!$A:$A,"F",'Checking Transaction Log'!$B:$B,10)</f>
        <v>0</v>
      </c>
      <c r="AD15" s="291">
        <f t="shared" si="31"/>
        <v>20</v>
      </c>
      <c r="AE15" s="293">
        <f>SUMIFS('Checking Transaction Log'!$E:$E,'Checking Transaction Log'!$C:$C,"&gt;="&amp;AE1,'Checking Transaction Log'!$C:$C,"&lt;="&amp;AF1,'Checking Transaction Log'!$A:$A,"F",'Checking Transaction Log'!$B:$B,10)</f>
        <v>0</v>
      </c>
      <c r="AF15" s="293">
        <f t="shared" si="32"/>
        <v>20</v>
      </c>
    </row>
    <row r="16" spans="1:32" ht="11.25" customHeight="1" x14ac:dyDescent="0.3">
      <c r="A16" s="295" t="str">
        <f>'Proposed Budget'!A16</f>
        <v>F</v>
      </c>
      <c r="B16" s="266">
        <f>'Proposed Budget'!B16</f>
        <v>11</v>
      </c>
      <c r="C16" s="298" t="str">
        <f>'Proposed Budget'!C16</f>
        <v>Verizon Wireless</v>
      </c>
      <c r="D16" s="299">
        <f t="shared" ca="1" si="17"/>
        <v>296.06265000000002</v>
      </c>
      <c r="E16" s="300">
        <f t="shared" si="18"/>
        <v>1284.69</v>
      </c>
      <c r="F16" s="300">
        <f t="shared" si="19"/>
        <v>-204.69000000000005</v>
      </c>
      <c r="G16" s="280">
        <f t="shared" si="20"/>
        <v>-0.18952777777777774</v>
      </c>
      <c r="H16" s="300">
        <f>'Proposed Budget'!D16</f>
        <v>270</v>
      </c>
      <c r="I16" s="281">
        <f>SUMIFS('Checking Transaction Log'!E:E,'Checking Transaction Log'!C:C,"&gt;="&amp;I1,'Checking Transaction Log'!C:C,"&lt;="&amp;J1,'Checking Transaction Log'!A:A,"F",'Checking Transaction Log'!B:B,11)</f>
        <v>267.95999999999998</v>
      </c>
      <c r="J16" s="281">
        <f t="shared" si="21"/>
        <v>2.0400000000000205</v>
      </c>
      <c r="K16" s="243">
        <f>SUMIFS('Checking Transaction Log'!E:E,'Checking Transaction Log'!C:C,"&gt;="&amp;K1,'Checking Transaction Log'!C:C,"&lt;="&amp;L1,'Checking Transaction Log'!A:A,"F",'Checking Transaction Log'!B:B,11)</f>
        <v>480.91</v>
      </c>
      <c r="L16" s="243">
        <f t="shared" si="22"/>
        <v>-210.91000000000003</v>
      </c>
      <c r="M16" s="284">
        <f>SUMIFS('Checking Transaction Log'!$E:$E,'Checking Transaction Log'!$C:$C,"&gt;="&amp;M1,'Checking Transaction Log'!$C:$C,"&lt;="&amp;N1,'Checking Transaction Log'!$A:$A,"F",'Checking Transaction Log'!$B:$B,11)</f>
        <v>267.91000000000003</v>
      </c>
      <c r="N16" s="284">
        <f t="shared" si="23"/>
        <v>2.089999999999975</v>
      </c>
      <c r="O16" s="247">
        <f>SUMIFS('Checking Transaction Log'!$E:$E,'Checking Transaction Log'!$C:$C,"&gt;="&amp;O1,'Checking Transaction Log'!$C:$C,"&lt;="&amp;P1,'Checking Transaction Log'!$A:$A,"F",'Checking Transaction Log'!$B:$B,11)</f>
        <v>267.91000000000003</v>
      </c>
      <c r="P16" s="247">
        <f t="shared" si="24"/>
        <v>2.089999999999975</v>
      </c>
      <c r="Q16" s="281">
        <f>SUMIFS('Checking Transaction Log'!$E:$E,'Checking Transaction Log'!$C:$C,"&gt;="&amp;Q1,'Checking Transaction Log'!$C:$C,"&lt;="&amp;R1,'Checking Transaction Log'!$A:$A,"F",'Checking Transaction Log'!$B:$B,11)</f>
        <v>0</v>
      </c>
      <c r="R16" s="281">
        <f t="shared" si="25"/>
        <v>270</v>
      </c>
      <c r="S16" s="243">
        <f>SUMIFS('Checking Transaction Log'!$E:$E,'Checking Transaction Log'!$C:$C,"&gt;="&amp;S1,'Checking Transaction Log'!$C:$C,"&lt;="&amp;T1,'Checking Transaction Log'!$A:$A,"F",'Checking Transaction Log'!$B:$B,11)</f>
        <v>0</v>
      </c>
      <c r="T16" s="243">
        <f t="shared" si="26"/>
        <v>270</v>
      </c>
      <c r="U16" s="284">
        <f>SUMIFS('Checking Transaction Log'!$E:$E,'Checking Transaction Log'!$C:$C,"&gt;="&amp;U1,'Checking Transaction Log'!$C:$C,"&lt;="&amp;V1,'Checking Transaction Log'!$A:$A,"F",'Checking Transaction Log'!$B:$B,11)</f>
        <v>0</v>
      </c>
      <c r="V16" s="284">
        <f t="shared" si="27"/>
        <v>270</v>
      </c>
      <c r="W16" s="247">
        <f>SUMIFS('Checking Transaction Log'!$E:$E,'Checking Transaction Log'!$C:$C,"&gt;="&amp;W1,'Checking Transaction Log'!$C:$C,"&lt;="&amp;X1,'Checking Transaction Log'!$A:$A,"F",'Checking Transaction Log'!$B:$B,11)</f>
        <v>0</v>
      </c>
      <c r="X16" s="247">
        <f t="shared" si="28"/>
        <v>270</v>
      </c>
      <c r="Y16" s="287">
        <f>SUMIFS('Checking Transaction Log'!$E:$E,'Checking Transaction Log'!$C:$C,"&gt;="&amp;Y1,'Checking Transaction Log'!$C:$C,"&lt;="&amp;Z1,'Checking Transaction Log'!$A:$A,"F",'Checking Transaction Log'!$B:$B,11)</f>
        <v>0</v>
      </c>
      <c r="Z16" s="287">
        <f t="shared" si="29"/>
        <v>270</v>
      </c>
      <c r="AA16" s="289">
        <f>SUMIFS('Checking Transaction Log'!$E:$E,'Checking Transaction Log'!$C:$C,"&gt;="&amp;AA1,'Checking Transaction Log'!$C:$C,"&lt;="&amp;AB1,'Checking Transaction Log'!$A:$A,"F",'Checking Transaction Log'!$B:$B,11)</f>
        <v>0</v>
      </c>
      <c r="AB16" s="289">
        <f t="shared" si="30"/>
        <v>270</v>
      </c>
      <c r="AC16" s="291">
        <f>SUMIFS('Checking Transaction Log'!$E:$E,'Checking Transaction Log'!$C:$C,"&gt;="&amp;AC1,'Checking Transaction Log'!$C:$C,"&lt;="&amp;AD1,'Checking Transaction Log'!$A:$A,"F",'Checking Transaction Log'!$B:$B,11)</f>
        <v>0</v>
      </c>
      <c r="AD16" s="291">
        <f t="shared" si="31"/>
        <v>270</v>
      </c>
      <c r="AE16" s="293">
        <f>SUMIFS('Checking Transaction Log'!$E:$E,'Checking Transaction Log'!$C:$C,"&gt;="&amp;AE1,'Checking Transaction Log'!$C:$C,"&lt;="&amp;AF1,'Checking Transaction Log'!$A:$A,"F",'Checking Transaction Log'!$B:$B,11)</f>
        <v>0</v>
      </c>
      <c r="AF16" s="293">
        <f t="shared" si="32"/>
        <v>270</v>
      </c>
    </row>
    <row r="17" spans="1:32" ht="11.25" customHeight="1" x14ac:dyDescent="0.3">
      <c r="A17" s="295" t="str">
        <f>'Proposed Budget'!A17</f>
        <v>F</v>
      </c>
      <c r="B17" s="266">
        <f>'Proposed Budget'!B17</f>
        <v>12</v>
      </c>
      <c r="C17" s="298" t="str">
        <f>'Proposed Budget'!C17</f>
        <v>Spectrum TV/Internet</v>
      </c>
      <c r="D17" s="299">
        <f t="shared" ca="1" si="17"/>
        <v>190.93389545454545</v>
      </c>
      <c r="E17" s="300">
        <f t="shared" si="18"/>
        <v>828.51</v>
      </c>
      <c r="F17" s="300">
        <f t="shared" si="19"/>
        <v>-8.5100000000000193</v>
      </c>
      <c r="G17" s="280">
        <f t="shared" si="20"/>
        <v>-1.037804878048787E-2</v>
      </c>
      <c r="H17" s="300">
        <f>'Proposed Budget'!D17</f>
        <v>205</v>
      </c>
      <c r="I17" s="281">
        <f>SUMIFS('Checking Transaction Log'!E:E,'Checking Transaction Log'!C:C,"&gt;="&amp;I1,'Checking Transaction Log'!C:C,"&lt;="&amp;J1,'Checking Transaction Log'!A:A,"F",'Checking Transaction Log'!B:B,12)</f>
        <v>204.83</v>
      </c>
      <c r="J17" s="281">
        <f t="shared" si="21"/>
        <v>0.16999999999998749</v>
      </c>
      <c r="K17" s="243">
        <f>SUMIFS('Checking Transaction Log'!E:E,'Checking Transaction Log'!C:C,"&gt;="&amp;K1,'Checking Transaction Log'!C:C,"&lt;="&amp;L1,'Checking Transaction Log'!A:A,"F",'Checking Transaction Log'!B:B,12)</f>
        <v>204.47</v>
      </c>
      <c r="L17" s="243">
        <f t="shared" si="22"/>
        <v>0.53000000000000114</v>
      </c>
      <c r="M17" s="284">
        <f>SUMIFS('Checking Transaction Log'!$E:$E,'Checking Transaction Log'!$C:$C,"&gt;="&amp;M1,'Checking Transaction Log'!$C:$C,"&lt;="&amp;N1,'Checking Transaction Log'!$A:$A,"F",'Checking Transaction Log'!$B:$B,12)</f>
        <v>204.47</v>
      </c>
      <c r="N17" s="284">
        <f t="shared" si="23"/>
        <v>0.53000000000000114</v>
      </c>
      <c r="O17" s="247">
        <f>SUMIFS('Checking Transaction Log'!$E:$E,'Checking Transaction Log'!$C:$C,"&gt;="&amp;O1,'Checking Transaction Log'!$C:$C,"&lt;="&amp;P1,'Checking Transaction Log'!$A:$A,"F",'Checking Transaction Log'!$B:$B,12)</f>
        <v>214.74</v>
      </c>
      <c r="P17" s="247">
        <f t="shared" si="24"/>
        <v>-9.7400000000000091</v>
      </c>
      <c r="Q17" s="281">
        <f>SUMIFS('Checking Transaction Log'!$E:$E,'Checking Transaction Log'!$C:$C,"&gt;="&amp;Q1,'Checking Transaction Log'!$C:$C,"&lt;="&amp;R1,'Checking Transaction Log'!$A:$A,"F",'Checking Transaction Log'!$B:$B,12)</f>
        <v>0</v>
      </c>
      <c r="R17" s="281">
        <f t="shared" si="25"/>
        <v>205</v>
      </c>
      <c r="S17" s="243">
        <f>SUMIFS('Checking Transaction Log'!$E:$E,'Checking Transaction Log'!$C:$C,"&gt;="&amp;S1,'Checking Transaction Log'!$C:$C,"&lt;="&amp;T1,'Checking Transaction Log'!$A:$A,"F",'Checking Transaction Log'!$B:$B,12)</f>
        <v>0</v>
      </c>
      <c r="T17" s="243">
        <f t="shared" si="26"/>
        <v>205</v>
      </c>
      <c r="U17" s="284">
        <f>SUMIFS('Checking Transaction Log'!$E:$E,'Checking Transaction Log'!$C:$C,"&gt;="&amp;U1,'Checking Transaction Log'!$C:$C,"&lt;="&amp;V1,'Checking Transaction Log'!$A:$A,"F",'Checking Transaction Log'!$B:$B,12)</f>
        <v>0</v>
      </c>
      <c r="V17" s="284">
        <f t="shared" si="27"/>
        <v>205</v>
      </c>
      <c r="W17" s="247">
        <f>SUMIFS('Checking Transaction Log'!$E:$E,'Checking Transaction Log'!$C:$C,"&gt;="&amp;W1,'Checking Transaction Log'!$C:$C,"&lt;="&amp;X1,'Checking Transaction Log'!$A:$A,"F",'Checking Transaction Log'!$B:$B,12)</f>
        <v>0</v>
      </c>
      <c r="X17" s="247">
        <f t="shared" si="28"/>
        <v>205</v>
      </c>
      <c r="Y17" s="287">
        <f>SUMIFS('Checking Transaction Log'!$E:$E,'Checking Transaction Log'!$C:$C,"&gt;="&amp;Y1,'Checking Transaction Log'!$C:$C,"&lt;="&amp;Z1,'Checking Transaction Log'!$A:$A,"F",'Checking Transaction Log'!$B:$B,12)</f>
        <v>0</v>
      </c>
      <c r="Z17" s="287">
        <f t="shared" si="29"/>
        <v>205</v>
      </c>
      <c r="AA17" s="289">
        <f>SUMIFS('Checking Transaction Log'!$E:$E,'Checking Transaction Log'!$C:$C,"&gt;="&amp;AA1,'Checking Transaction Log'!$C:$C,"&lt;="&amp;AB1,'Checking Transaction Log'!$A:$A,"F",'Checking Transaction Log'!$B:$B,12)</f>
        <v>0</v>
      </c>
      <c r="AB17" s="289">
        <f t="shared" si="30"/>
        <v>205</v>
      </c>
      <c r="AC17" s="291">
        <f>SUMIFS('Checking Transaction Log'!$E:$E,'Checking Transaction Log'!$C:$C,"&gt;="&amp;AC1,'Checking Transaction Log'!$C:$C,"&lt;="&amp;AD1,'Checking Transaction Log'!$A:$A,"F",'Checking Transaction Log'!$B:$B,12)</f>
        <v>0</v>
      </c>
      <c r="AD17" s="291">
        <f t="shared" si="31"/>
        <v>205</v>
      </c>
      <c r="AE17" s="293">
        <f>SUMIFS('Checking Transaction Log'!$E:$E,'Checking Transaction Log'!$C:$C,"&gt;="&amp;AE1,'Checking Transaction Log'!$C:$C,"&lt;="&amp;AF1,'Checking Transaction Log'!$A:$A,"F",'Checking Transaction Log'!$B:$B,12)</f>
        <v>0</v>
      </c>
      <c r="AF17" s="293">
        <f t="shared" si="32"/>
        <v>205</v>
      </c>
    </row>
    <row r="18" spans="1:32" ht="11.25" customHeight="1" x14ac:dyDescent="0.3">
      <c r="A18" s="295" t="str">
        <f>'Proposed Budget'!A18</f>
        <v>F</v>
      </c>
      <c r="B18" s="266">
        <f>'Proposed Budget'!B18</f>
        <v>13</v>
      </c>
      <c r="C18" s="298" t="str">
        <f>'Proposed Budget'!C18</f>
        <v>First Energy</v>
      </c>
      <c r="D18" s="299">
        <f t="shared" ca="1" si="17"/>
        <v>158.75091818181821</v>
      </c>
      <c r="E18" s="300">
        <f t="shared" si="18"/>
        <v>688.86000000000013</v>
      </c>
      <c r="F18" s="300">
        <f t="shared" si="19"/>
        <v>153.32</v>
      </c>
      <c r="G18" s="280">
        <f t="shared" si="20"/>
        <v>0.18205134294331371</v>
      </c>
      <c r="H18" s="300">
        <f>'Proposed Budget'!D18</f>
        <v>180</v>
      </c>
      <c r="I18" s="281">
        <f>SUMIFS('Checking Transaction Log'!E:E,'Checking Transaction Log'!C:C,"&gt;="&amp;I1,'Checking Transaction Log'!C:C,"&lt;="&amp;J1,'Checking Transaction Log'!A:A,"F",'Checking Transaction Log'!B:B,13)</f>
        <v>167.42</v>
      </c>
      <c r="J18" s="281">
        <f t="shared" si="21"/>
        <v>12.580000000000013</v>
      </c>
      <c r="K18" s="243">
        <f>SUMIFS('Checking Transaction Log'!E:E,'Checking Transaction Log'!C:C,"&gt;="&amp;K1,'Checking Transaction Log'!C:C,"&lt;="&amp;L1,'Checking Transaction Log'!A:A,"F",'Checking Transaction Log'!B:B,13)</f>
        <v>159.35</v>
      </c>
      <c r="L18" s="243">
        <f t="shared" si="22"/>
        <v>20.650000000000006</v>
      </c>
      <c r="M18" s="284">
        <f>SUMIFS('Checking Transaction Log'!$E:$E,'Checking Transaction Log'!$C:$C,"&gt;="&amp;M1,'Checking Transaction Log'!$C:$C,"&lt;="&amp;N1,'Checking Transaction Log'!$A:$A,"F",'Checking Transaction Log'!$B:$B,13)</f>
        <v>134.93</v>
      </c>
      <c r="N18" s="284">
        <f t="shared" si="23"/>
        <v>45.069999999999993</v>
      </c>
      <c r="O18" s="247">
        <f>SUMIFS('Checking Transaction Log'!$E:$E,'Checking Transaction Log'!$C:$C,"&gt;="&amp;O1,'Checking Transaction Log'!$C:$C,"&lt;="&amp;P1,'Checking Transaction Log'!$A:$A,"F",'Checking Transaction Log'!$B:$B,13)</f>
        <v>104.98</v>
      </c>
      <c r="P18" s="247">
        <f t="shared" si="24"/>
        <v>75.02</v>
      </c>
      <c r="Q18" s="281">
        <f>SUMIFS('Checking Transaction Log'!$E:$E,'Checking Transaction Log'!$C:$C,"&gt;="&amp;Q1,'Checking Transaction Log'!$C:$C,"&lt;="&amp;R1,'Checking Transaction Log'!$A:$A,"F",'Checking Transaction Log'!$B:$B,13)</f>
        <v>122.18</v>
      </c>
      <c r="R18" s="281">
        <f t="shared" si="25"/>
        <v>57.819999999999993</v>
      </c>
      <c r="S18" s="243">
        <f>SUMIFS('Checking Transaction Log'!$E:$E,'Checking Transaction Log'!$C:$C,"&gt;="&amp;S1,'Checking Transaction Log'!$C:$C,"&lt;="&amp;T1,'Checking Transaction Log'!$A:$A,"F",'Checking Transaction Log'!$B:$B,13)</f>
        <v>0</v>
      </c>
      <c r="T18" s="243">
        <f t="shared" si="26"/>
        <v>180</v>
      </c>
      <c r="U18" s="284">
        <f>SUMIFS('Checking Transaction Log'!$E:$E,'Checking Transaction Log'!$C:$C,"&gt;="&amp;U1,'Checking Transaction Log'!$C:$C,"&lt;="&amp;V1,'Checking Transaction Log'!$A:$A,"F",'Checking Transaction Log'!$B:$B,13)</f>
        <v>0</v>
      </c>
      <c r="V18" s="284">
        <f t="shared" si="27"/>
        <v>180</v>
      </c>
      <c r="W18" s="247">
        <f>SUMIFS('Checking Transaction Log'!$E:$E,'Checking Transaction Log'!$C:$C,"&gt;="&amp;W1,'Checking Transaction Log'!$C:$C,"&lt;="&amp;X1,'Checking Transaction Log'!$A:$A,"F",'Checking Transaction Log'!$B:$B,13)</f>
        <v>0</v>
      </c>
      <c r="X18" s="247">
        <f t="shared" si="28"/>
        <v>180</v>
      </c>
      <c r="Y18" s="287">
        <f>SUMIFS('Checking Transaction Log'!$E:$E,'Checking Transaction Log'!$C:$C,"&gt;="&amp;Y1,'Checking Transaction Log'!$C:$C,"&lt;="&amp;Z1,'Checking Transaction Log'!$A:$A,"F",'Checking Transaction Log'!$B:$B,13)</f>
        <v>0</v>
      </c>
      <c r="Z18" s="287">
        <f t="shared" si="29"/>
        <v>180</v>
      </c>
      <c r="AA18" s="289">
        <f>SUMIFS('Checking Transaction Log'!$E:$E,'Checking Transaction Log'!$C:$C,"&gt;="&amp;AA1,'Checking Transaction Log'!$C:$C,"&lt;="&amp;AB1,'Checking Transaction Log'!$A:$A,"F",'Checking Transaction Log'!$B:$B,13)</f>
        <v>0</v>
      </c>
      <c r="AB18" s="289">
        <f t="shared" si="30"/>
        <v>180</v>
      </c>
      <c r="AC18" s="291">
        <f>SUMIFS('Checking Transaction Log'!$E:$E,'Checking Transaction Log'!$C:$C,"&gt;="&amp;AC1,'Checking Transaction Log'!$C:$C,"&lt;="&amp;AD1,'Checking Transaction Log'!$A:$A,"F",'Checking Transaction Log'!$B:$B,13)</f>
        <v>0</v>
      </c>
      <c r="AD18" s="291">
        <f t="shared" si="31"/>
        <v>180</v>
      </c>
      <c r="AE18" s="293">
        <f>SUMIFS('Checking Transaction Log'!$E:$E,'Checking Transaction Log'!$C:$C,"&gt;="&amp;AE1,'Checking Transaction Log'!$C:$C,"&lt;="&amp;AF1,'Checking Transaction Log'!$A:$A,"F",'Checking Transaction Log'!$B:$B,13)</f>
        <v>0</v>
      </c>
      <c r="AF18" s="293">
        <f t="shared" si="32"/>
        <v>180</v>
      </c>
    </row>
    <row r="19" spans="1:32" ht="11.25" customHeight="1" x14ac:dyDescent="0.3">
      <c r="A19" s="295" t="str">
        <f>'Proposed Budget'!A19</f>
        <v>F</v>
      </c>
      <c r="B19" s="266">
        <f>'Proposed Budget'!B19</f>
        <v>14</v>
      </c>
      <c r="C19" s="298" t="str">
        <f>'Proposed Budget'!C19</f>
        <v>Vivint Home Security</v>
      </c>
      <c r="D19" s="299">
        <f t="shared" ca="1" si="17"/>
        <v>156.72522272727272</v>
      </c>
      <c r="E19" s="300">
        <f t="shared" si="18"/>
        <v>680.06999999999994</v>
      </c>
      <c r="F19" s="300">
        <f t="shared" si="19"/>
        <v>16.849999999999994</v>
      </c>
      <c r="G19" s="280">
        <f t="shared" si="20"/>
        <v>2.4177810939562727E-2</v>
      </c>
      <c r="H19" s="300">
        <f>'Proposed Budget'!D19</f>
        <v>140</v>
      </c>
      <c r="I19" s="281">
        <f>SUMIFS('Checking Transaction Log'!E:E,'Checking Transaction Log'!C:C,"&gt;="&amp;I1,'Checking Transaction Log'!C:C,"&lt;="&amp;J1,'Checking Transaction Log'!A:A,"F",'Checking Transaction Log'!B:B,14)</f>
        <v>135.41</v>
      </c>
      <c r="J19" s="281">
        <f t="shared" si="21"/>
        <v>4.5900000000000034</v>
      </c>
      <c r="K19" s="243">
        <f>SUMIFS('Checking Transaction Log'!E:E,'Checking Transaction Log'!C:C,"&gt;="&amp;K1,'Checking Transaction Log'!C:C,"&lt;="&amp;L1,'Checking Transaction Log'!A:A,"F",'Checking Transaction Log'!B:B,14)</f>
        <v>135.41</v>
      </c>
      <c r="L19" s="243">
        <f t="shared" si="22"/>
        <v>4.5900000000000034</v>
      </c>
      <c r="M19" s="284">
        <f>SUMIFS('Checking Transaction Log'!$E:$E,'Checking Transaction Log'!$C:$C,"&gt;="&amp;M1,'Checking Transaction Log'!$C:$C,"&lt;="&amp;N1,'Checking Transaction Log'!$A:$A,"F",'Checking Transaction Log'!$B:$B,14)</f>
        <v>135.41</v>
      </c>
      <c r="N19" s="284">
        <f t="shared" si="23"/>
        <v>4.5900000000000034</v>
      </c>
      <c r="O19" s="247">
        <f>SUMIFS('Checking Transaction Log'!$E:$E,'Checking Transaction Log'!$C:$C,"&gt;="&amp;O1,'Checking Transaction Log'!$C:$C,"&lt;="&amp;P1,'Checking Transaction Log'!$A:$A,"F",'Checking Transaction Log'!$B:$B,14)</f>
        <v>136.92000000000002</v>
      </c>
      <c r="P19" s="247">
        <f t="shared" si="24"/>
        <v>3.0799999999999841</v>
      </c>
      <c r="Q19" s="281">
        <f>SUMIFS('Checking Transaction Log'!$E:$E,'Checking Transaction Log'!$C:$C,"&gt;="&amp;Q1,'Checking Transaction Log'!$C:$C,"&lt;="&amp;R1,'Checking Transaction Log'!$A:$A,"F",'Checking Transaction Log'!$B:$B,14)</f>
        <v>136.92000000000002</v>
      </c>
      <c r="R19" s="281">
        <f t="shared" si="25"/>
        <v>3.0799999999999841</v>
      </c>
      <c r="S19" s="243">
        <f>SUMIFS('Checking Transaction Log'!$E:$E,'Checking Transaction Log'!$C:$C,"&gt;="&amp;S1,'Checking Transaction Log'!$C:$C,"&lt;="&amp;T1,'Checking Transaction Log'!$A:$A,"F",'Checking Transaction Log'!$B:$B,14)</f>
        <v>0</v>
      </c>
      <c r="T19" s="243">
        <f t="shared" si="26"/>
        <v>140</v>
      </c>
      <c r="U19" s="284">
        <f>SUMIFS('Checking Transaction Log'!$E:$E,'Checking Transaction Log'!$C:$C,"&gt;="&amp;U1,'Checking Transaction Log'!$C:$C,"&lt;="&amp;V1,'Checking Transaction Log'!$A:$A,"F",'Checking Transaction Log'!$B:$B,14)</f>
        <v>0</v>
      </c>
      <c r="V19" s="284">
        <f t="shared" si="27"/>
        <v>140</v>
      </c>
      <c r="W19" s="247">
        <f>SUMIFS('Checking Transaction Log'!$E:$E,'Checking Transaction Log'!$C:$C,"&gt;="&amp;W1,'Checking Transaction Log'!$C:$C,"&lt;="&amp;X1,'Checking Transaction Log'!$A:$A,"F",'Checking Transaction Log'!$B:$B,14)</f>
        <v>0</v>
      </c>
      <c r="X19" s="247">
        <f t="shared" si="28"/>
        <v>140</v>
      </c>
      <c r="Y19" s="287">
        <f>SUMIFS('Checking Transaction Log'!$E:$E,'Checking Transaction Log'!$C:$C,"&gt;="&amp;Y1,'Checking Transaction Log'!$C:$C,"&lt;="&amp;Z1,'Checking Transaction Log'!$A:$A,"F",'Checking Transaction Log'!$B:$B,14)</f>
        <v>0</v>
      </c>
      <c r="Z19" s="287">
        <f t="shared" si="29"/>
        <v>140</v>
      </c>
      <c r="AA19" s="289">
        <f>SUMIFS('Checking Transaction Log'!$E:$E,'Checking Transaction Log'!$C:$C,"&gt;="&amp;AA1,'Checking Transaction Log'!$C:$C,"&lt;="&amp;AB1,'Checking Transaction Log'!$A:$A,"F",'Checking Transaction Log'!$B:$B,14)</f>
        <v>0</v>
      </c>
      <c r="AB19" s="289">
        <f t="shared" si="30"/>
        <v>140</v>
      </c>
      <c r="AC19" s="291">
        <f>SUMIFS('Checking Transaction Log'!$E:$E,'Checking Transaction Log'!$C:$C,"&gt;="&amp;AC1,'Checking Transaction Log'!$C:$C,"&lt;="&amp;AD1,'Checking Transaction Log'!$A:$A,"F",'Checking Transaction Log'!$B:$B,14)</f>
        <v>0</v>
      </c>
      <c r="AD19" s="291">
        <f t="shared" si="31"/>
        <v>140</v>
      </c>
      <c r="AE19" s="293">
        <f>SUMIFS('Checking Transaction Log'!$E:$E,'Checking Transaction Log'!$C:$C,"&gt;="&amp;AE1,'Checking Transaction Log'!$C:$C,"&lt;="&amp;AF1,'Checking Transaction Log'!$A:$A,"F",'Checking Transaction Log'!$B:$B,14)</f>
        <v>0</v>
      </c>
      <c r="AF19" s="293">
        <f t="shared" si="32"/>
        <v>140</v>
      </c>
    </row>
    <row r="20" spans="1:32" ht="11.25" customHeight="1" x14ac:dyDescent="0.3">
      <c r="A20" s="295" t="str">
        <f>'Proposed Budget'!A20</f>
        <v>F</v>
      </c>
      <c r="B20" s="266">
        <f>'Proposed Budget'!B20</f>
        <v>15</v>
      </c>
      <c r="C20" s="298" t="str">
        <f>'Proposed Budget'!C20</f>
        <v>Columbia Gas</v>
      </c>
      <c r="D20" s="299">
        <f t="shared" ca="1" si="17"/>
        <v>144.46734545454547</v>
      </c>
      <c r="E20" s="300">
        <f t="shared" si="18"/>
        <v>626.88</v>
      </c>
      <c r="F20" s="300">
        <f t="shared" si="19"/>
        <v>-226.88</v>
      </c>
      <c r="G20" s="280">
        <f t="shared" si="20"/>
        <v>-0.56719999999999993</v>
      </c>
      <c r="H20" s="300">
        <f>'Proposed Budget'!D20</f>
        <v>100</v>
      </c>
      <c r="I20" s="281">
        <f>SUMIFS('Checking Transaction Log'!E:E,'Checking Transaction Log'!C:C,"&gt;="&amp;I1,'Checking Transaction Log'!C:C,"&lt;="&amp;J1,'Checking Transaction Log'!A:A,"F",'Checking Transaction Log'!B:B,15)</f>
        <v>132.4</v>
      </c>
      <c r="J20" s="281">
        <f t="shared" si="21"/>
        <v>-32.400000000000006</v>
      </c>
      <c r="K20" s="243">
        <f>SUMIFS('Checking Transaction Log'!E:E,'Checking Transaction Log'!C:C,"&gt;="&amp;K1,'Checking Transaction Log'!C:C,"&lt;="&amp;L1,'Checking Transaction Log'!A:A,"F",'Checking Transaction Log'!B:B,15)</f>
        <v>188.16</v>
      </c>
      <c r="L20" s="243">
        <f t="shared" si="22"/>
        <v>-88.16</v>
      </c>
      <c r="M20" s="284">
        <f>SUMIFS('Checking Transaction Log'!$E:$E,'Checking Transaction Log'!$C:$C,"&gt;="&amp;M1,'Checking Transaction Log'!$C:$C,"&lt;="&amp;N1,'Checking Transaction Log'!$A:$A,"F",'Checking Transaction Log'!$B:$B,15)</f>
        <v>175.09</v>
      </c>
      <c r="N20" s="284">
        <f t="shared" si="23"/>
        <v>-75.09</v>
      </c>
      <c r="O20" s="247">
        <f>SUMIFS('Checking Transaction Log'!$E:$E,'Checking Transaction Log'!$C:$C,"&gt;="&amp;O1,'Checking Transaction Log'!$C:$C,"&lt;="&amp;P1,'Checking Transaction Log'!$A:$A,"F",'Checking Transaction Log'!$B:$B,15)</f>
        <v>131.22999999999999</v>
      </c>
      <c r="P20" s="247">
        <f t="shared" si="24"/>
        <v>-31.22999999999999</v>
      </c>
      <c r="Q20" s="281">
        <f>SUMIFS('Checking Transaction Log'!$E:$E,'Checking Transaction Log'!$C:$C,"&gt;="&amp;Q1,'Checking Transaction Log'!$C:$C,"&lt;="&amp;R1,'Checking Transaction Log'!$A:$A,"F",'Checking Transaction Log'!$B:$B,15)</f>
        <v>0</v>
      </c>
      <c r="R20" s="281">
        <f t="shared" si="25"/>
        <v>100</v>
      </c>
      <c r="S20" s="243">
        <f>SUMIFS('Checking Transaction Log'!$E:$E,'Checking Transaction Log'!$C:$C,"&gt;="&amp;S1,'Checking Transaction Log'!$C:$C,"&lt;="&amp;T1,'Checking Transaction Log'!$A:$A,"F",'Checking Transaction Log'!$B:$B,15)</f>
        <v>0</v>
      </c>
      <c r="T20" s="243">
        <f t="shared" si="26"/>
        <v>100</v>
      </c>
      <c r="U20" s="284">
        <f>SUMIFS('Checking Transaction Log'!$E:$E,'Checking Transaction Log'!$C:$C,"&gt;="&amp;U1,'Checking Transaction Log'!$C:$C,"&lt;="&amp;V1,'Checking Transaction Log'!$A:$A,"F",'Checking Transaction Log'!$B:$B,15)</f>
        <v>0</v>
      </c>
      <c r="V20" s="284">
        <f t="shared" si="27"/>
        <v>100</v>
      </c>
      <c r="W20" s="247">
        <f>SUMIFS('Checking Transaction Log'!$E:$E,'Checking Transaction Log'!$C:$C,"&gt;="&amp;W1,'Checking Transaction Log'!$C:$C,"&lt;="&amp;X1,'Checking Transaction Log'!$A:$A,"F",'Checking Transaction Log'!$B:$B,15)</f>
        <v>0</v>
      </c>
      <c r="X20" s="247">
        <f t="shared" si="28"/>
        <v>100</v>
      </c>
      <c r="Y20" s="287">
        <f>SUMIFS('Checking Transaction Log'!$E:$E,'Checking Transaction Log'!$C:$C,"&gt;="&amp;Y1,'Checking Transaction Log'!$C:$C,"&lt;="&amp;Z1,'Checking Transaction Log'!$A:$A,"F",'Checking Transaction Log'!$B:$B,15)</f>
        <v>0</v>
      </c>
      <c r="Z20" s="287">
        <f t="shared" si="29"/>
        <v>100</v>
      </c>
      <c r="AA20" s="289">
        <f>SUMIFS('Checking Transaction Log'!$E:$E,'Checking Transaction Log'!$C:$C,"&gt;="&amp;AA1,'Checking Transaction Log'!$C:$C,"&lt;="&amp;AB1,'Checking Transaction Log'!$A:$A,"F",'Checking Transaction Log'!$B:$B,15)</f>
        <v>0</v>
      </c>
      <c r="AB20" s="289">
        <f t="shared" si="30"/>
        <v>100</v>
      </c>
      <c r="AC20" s="291">
        <f>SUMIFS('Checking Transaction Log'!$E:$E,'Checking Transaction Log'!$C:$C,"&gt;="&amp;AC1,'Checking Transaction Log'!$C:$C,"&lt;="&amp;AD1,'Checking Transaction Log'!$A:$A,"F",'Checking Transaction Log'!$B:$B,15)</f>
        <v>0</v>
      </c>
      <c r="AD20" s="291">
        <f t="shared" si="31"/>
        <v>100</v>
      </c>
      <c r="AE20" s="293">
        <f>SUMIFS('Checking Transaction Log'!$E:$E,'Checking Transaction Log'!$C:$C,"&gt;="&amp;AE1,'Checking Transaction Log'!$C:$C,"&lt;="&amp;AF1,'Checking Transaction Log'!$A:$A,"F",'Checking Transaction Log'!$B:$B,15)</f>
        <v>0</v>
      </c>
      <c r="AF20" s="293">
        <f t="shared" si="32"/>
        <v>100</v>
      </c>
    </row>
    <row r="21" spans="1:32" ht="11.25" customHeight="1" x14ac:dyDescent="0.3">
      <c r="A21" s="295" t="str">
        <f>'Proposed Budget'!A21</f>
        <v>F</v>
      </c>
      <c r="B21" s="266">
        <f>'Proposed Budget'!B21</f>
        <v>16</v>
      </c>
      <c r="C21" s="298" t="str">
        <f>'Proposed Budget'!C21</f>
        <v>Medical Bills</v>
      </c>
      <c r="D21" s="299">
        <f t="shared" ca="1" si="17"/>
        <v>192.44337272727273</v>
      </c>
      <c r="E21" s="300">
        <f t="shared" si="18"/>
        <v>835.06</v>
      </c>
      <c r="F21" s="300">
        <f t="shared" si="19"/>
        <v>-835.06</v>
      </c>
      <c r="G21" s="280" t="e">
        <f t="shared" si="20"/>
        <v>#DIV/0!</v>
      </c>
      <c r="H21" s="300">
        <f>'Proposed Budget'!D21</f>
        <v>0</v>
      </c>
      <c r="I21" s="281">
        <f>SUMIFS('Checking Transaction Log'!E:E,'Checking Transaction Log'!C:C,"&gt;="&amp;I1,'Checking Transaction Log'!C:C,"&lt;="&amp;J1,'Checking Transaction Log'!A:A,"F",'Checking Transaction Log'!B:B,16)</f>
        <v>0</v>
      </c>
      <c r="J21" s="281">
        <f t="shared" si="21"/>
        <v>0</v>
      </c>
      <c r="K21" s="243">
        <f>SUMIFS('Checking Transaction Log'!E:E,'Checking Transaction Log'!C:C,"&gt;="&amp;K1,'Checking Transaction Log'!C:C,"&lt;="&amp;L1,'Checking Transaction Log'!A:A,"F",'Checking Transaction Log'!B:B,16)</f>
        <v>0</v>
      </c>
      <c r="L21" s="243">
        <f t="shared" si="22"/>
        <v>0</v>
      </c>
      <c r="M21" s="284">
        <f>SUMIFS('Checking Transaction Log'!$E:$E,'Checking Transaction Log'!$C:$C,"&gt;="&amp;M1,'Checking Transaction Log'!$C:$C,"&lt;="&amp;N1,'Checking Transaction Log'!$A:$A,"F",'Checking Transaction Log'!$B:$B,16)</f>
        <v>820.06</v>
      </c>
      <c r="N21" s="284">
        <f t="shared" si="23"/>
        <v>-820.06</v>
      </c>
      <c r="O21" s="247">
        <f>SUMIFS('Checking Transaction Log'!$E:$E,'Checking Transaction Log'!$C:$C,"&gt;="&amp;O1,'Checking Transaction Log'!$C:$C,"&lt;="&amp;P1,'Checking Transaction Log'!$A:$A,"F",'Checking Transaction Log'!$B:$B,16)</f>
        <v>15</v>
      </c>
      <c r="P21" s="247">
        <f t="shared" si="24"/>
        <v>-15</v>
      </c>
      <c r="Q21" s="281">
        <f>SUMIFS('Checking Transaction Log'!$E:$E,'Checking Transaction Log'!$C:$C,"&gt;="&amp;Q1,'Checking Transaction Log'!$C:$C,"&lt;="&amp;R1,'Checking Transaction Log'!$A:$A,"F",'Checking Transaction Log'!$B:$B,16)</f>
        <v>0</v>
      </c>
      <c r="R21" s="281">
        <f t="shared" si="25"/>
        <v>0</v>
      </c>
      <c r="S21" s="243">
        <f>SUMIFS('Checking Transaction Log'!$E:$E,'Checking Transaction Log'!$C:$C,"&gt;="&amp;S1,'Checking Transaction Log'!$C:$C,"&lt;="&amp;T1,'Checking Transaction Log'!$A:$A,"F",'Checking Transaction Log'!$B:$B,16)</f>
        <v>0</v>
      </c>
      <c r="T21" s="243">
        <f t="shared" si="26"/>
        <v>0</v>
      </c>
      <c r="U21" s="284">
        <f>SUMIFS('Checking Transaction Log'!$E:$E,'Checking Transaction Log'!$C:$C,"&gt;="&amp;U1,'Checking Transaction Log'!$C:$C,"&lt;="&amp;V1,'Checking Transaction Log'!$A:$A,"F",'Checking Transaction Log'!$B:$B,16)</f>
        <v>0</v>
      </c>
      <c r="V21" s="284">
        <f t="shared" si="27"/>
        <v>0</v>
      </c>
      <c r="W21" s="247">
        <f>SUMIFS('Checking Transaction Log'!$E:$E,'Checking Transaction Log'!$C:$C,"&gt;="&amp;W1,'Checking Transaction Log'!$C:$C,"&lt;="&amp;X1,'Checking Transaction Log'!$A:$A,"F",'Checking Transaction Log'!$B:$B,16)</f>
        <v>0</v>
      </c>
      <c r="X21" s="247">
        <f t="shared" si="28"/>
        <v>0</v>
      </c>
      <c r="Y21" s="287">
        <f>SUMIFS('Checking Transaction Log'!$E:$E,'Checking Transaction Log'!$C:$C,"&gt;="&amp;Y1,'Checking Transaction Log'!$C:$C,"&lt;="&amp;Z1,'Checking Transaction Log'!$A:$A,"F",'Checking Transaction Log'!$B:$B,16)</f>
        <v>0</v>
      </c>
      <c r="Z21" s="287">
        <f t="shared" si="29"/>
        <v>0</v>
      </c>
      <c r="AA21" s="289">
        <f>SUMIFS('Checking Transaction Log'!$E:$E,'Checking Transaction Log'!$C:$C,"&gt;="&amp;AA1,'Checking Transaction Log'!$C:$C,"&lt;="&amp;AB1,'Checking Transaction Log'!$A:$A,"F",'Checking Transaction Log'!$B:$B,16)</f>
        <v>0</v>
      </c>
      <c r="AB21" s="289">
        <f t="shared" si="30"/>
        <v>0</v>
      </c>
      <c r="AC21" s="291">
        <f>SUMIFS('Checking Transaction Log'!$E:$E,'Checking Transaction Log'!$C:$C,"&gt;="&amp;AC1,'Checking Transaction Log'!$C:$C,"&lt;="&amp;AD1,'Checking Transaction Log'!$A:$A,"F",'Checking Transaction Log'!$B:$B,16)</f>
        <v>0</v>
      </c>
      <c r="AD21" s="291">
        <f t="shared" si="31"/>
        <v>0</v>
      </c>
      <c r="AE21" s="293">
        <f>SUMIFS('Checking Transaction Log'!$E:$E,'Checking Transaction Log'!$C:$C,"&gt;="&amp;AE1,'Checking Transaction Log'!$C:$C,"&lt;="&amp;AF1,'Checking Transaction Log'!$A:$A,"F",'Checking Transaction Log'!$B:$B,16)</f>
        <v>0</v>
      </c>
      <c r="AF21" s="293">
        <f t="shared" si="32"/>
        <v>0</v>
      </c>
    </row>
    <row r="22" spans="1:32" ht="11.25" customHeight="1" x14ac:dyDescent="0.3">
      <c r="A22" s="295" t="str">
        <f>'Proposed Budget'!A22</f>
        <v>F</v>
      </c>
      <c r="B22" s="266">
        <f>'Proposed Budget'!B22</f>
        <v>17</v>
      </c>
      <c r="C22" s="298" t="str">
        <f>'Proposed Budget'!C22</f>
        <v>Planet Fitness</v>
      </c>
      <c r="D22" s="299">
        <f t="shared" ca="1" si="17"/>
        <v>204.68511818181821</v>
      </c>
      <c r="E22" s="300">
        <f t="shared" si="18"/>
        <v>888.18000000000006</v>
      </c>
      <c r="F22" s="300">
        <f t="shared" si="19"/>
        <v>-209.18</v>
      </c>
      <c r="G22" s="280">
        <f t="shared" si="20"/>
        <v>-0.30807069219440364</v>
      </c>
      <c r="H22" s="300">
        <f>'Proposed Budget'!D22</f>
        <v>145</v>
      </c>
      <c r="I22" s="281">
        <f>SUMIFS('Checking Transaction Log'!E:E,'Checking Transaction Log'!C:C,"&gt;="&amp;I1,'Checking Transaction Log'!C:C,"&lt;="&amp;J1,'Checking Transaction Log'!A:A,"F",'Checking Transaction Log'!B:B,17)</f>
        <v>281.25</v>
      </c>
      <c r="J22" s="281">
        <f t="shared" si="21"/>
        <v>-136.25</v>
      </c>
      <c r="K22" s="243">
        <f>SUMIFS('Checking Transaction Log'!E:E,'Checking Transaction Log'!C:C,"&gt;="&amp;K1,'Checking Transaction Log'!C:C,"&lt;="&amp;L1,'Checking Transaction Log'!A:A,"F",'Checking Transaction Log'!B:B,17)</f>
        <v>183.19</v>
      </c>
      <c r="L22" s="243">
        <f t="shared" si="22"/>
        <v>-38.19</v>
      </c>
      <c r="M22" s="284">
        <f>SUMIFS('Checking Transaction Log'!$E:$E,'Checking Transaction Log'!$C:$C,"&gt;="&amp;M1,'Checking Transaction Log'!$C:$C,"&lt;="&amp;N1,'Checking Transaction Log'!$A:$A,"F",'Checking Transaction Log'!$B:$B,17)</f>
        <v>183.09</v>
      </c>
      <c r="N22" s="284">
        <f t="shared" si="23"/>
        <v>-38.090000000000003</v>
      </c>
      <c r="O22" s="247">
        <f>SUMIFS('Checking Transaction Log'!$E:$E,'Checking Transaction Log'!$C:$C,"&gt;="&amp;O1,'Checking Transaction Log'!$C:$C,"&lt;="&amp;P1,'Checking Transaction Log'!$A:$A,"F",'Checking Transaction Log'!$B:$B,17)</f>
        <v>141.65</v>
      </c>
      <c r="P22" s="247">
        <f t="shared" si="24"/>
        <v>3.3499999999999943</v>
      </c>
      <c r="Q22" s="281">
        <f>SUMIFS('Checking Transaction Log'!$E:$E,'Checking Transaction Log'!$C:$C,"&gt;="&amp;Q1,'Checking Transaction Log'!$C:$C,"&lt;="&amp;R1,'Checking Transaction Log'!$A:$A,"F",'Checking Transaction Log'!$B:$B,17)</f>
        <v>99</v>
      </c>
      <c r="R22" s="281">
        <f t="shared" si="25"/>
        <v>46</v>
      </c>
      <c r="S22" s="243">
        <f>SUMIFS('Checking Transaction Log'!$E:$E,'Checking Transaction Log'!$C:$C,"&gt;="&amp;S1,'Checking Transaction Log'!$C:$C,"&lt;="&amp;T1,'Checking Transaction Log'!$A:$A,"F",'Checking Transaction Log'!$B:$B,17)</f>
        <v>0</v>
      </c>
      <c r="T22" s="243">
        <f t="shared" si="26"/>
        <v>145</v>
      </c>
      <c r="U22" s="284">
        <f>SUMIFS('Checking Transaction Log'!$E:$E,'Checking Transaction Log'!$C:$C,"&gt;="&amp;U1,'Checking Transaction Log'!$C:$C,"&lt;="&amp;V1,'Checking Transaction Log'!$A:$A,"F",'Checking Transaction Log'!$B:$B,17)</f>
        <v>0</v>
      </c>
      <c r="V22" s="284">
        <f t="shared" si="27"/>
        <v>145</v>
      </c>
      <c r="W22" s="247">
        <f>SUMIFS('Checking Transaction Log'!$E:$E,'Checking Transaction Log'!$C:$C,"&gt;="&amp;W1,'Checking Transaction Log'!$C:$C,"&lt;="&amp;X1,'Checking Transaction Log'!$A:$A,"F",'Checking Transaction Log'!$B:$B,17)</f>
        <v>0</v>
      </c>
      <c r="X22" s="247">
        <f t="shared" si="28"/>
        <v>145</v>
      </c>
      <c r="Y22" s="287">
        <f>SUMIFS('Checking Transaction Log'!$E:$E,'Checking Transaction Log'!$C:$C,"&gt;="&amp;Y1,'Checking Transaction Log'!$C:$C,"&lt;="&amp;Z1,'Checking Transaction Log'!$A:$A,"F",'Checking Transaction Log'!$B:$B,17)</f>
        <v>0</v>
      </c>
      <c r="Z22" s="287">
        <f t="shared" si="29"/>
        <v>145</v>
      </c>
      <c r="AA22" s="289">
        <f>SUMIFS('Checking Transaction Log'!$E:$E,'Checking Transaction Log'!$C:$C,"&gt;="&amp;AA1,'Checking Transaction Log'!$C:$C,"&lt;="&amp;AB1,'Checking Transaction Log'!$A:$A,"F",'Checking Transaction Log'!$B:$B,17)</f>
        <v>0</v>
      </c>
      <c r="AB22" s="289">
        <f t="shared" si="30"/>
        <v>145</v>
      </c>
      <c r="AC22" s="291">
        <f>SUMIFS('Checking Transaction Log'!$E:$E,'Checking Transaction Log'!$C:$C,"&gt;="&amp;AC1,'Checking Transaction Log'!$C:$C,"&lt;="&amp;AD1,'Checking Transaction Log'!$A:$A,"F",'Checking Transaction Log'!$B:$B,17)</f>
        <v>0</v>
      </c>
      <c r="AD22" s="291">
        <f t="shared" si="31"/>
        <v>145</v>
      </c>
      <c r="AE22" s="293">
        <f>SUMIFS('Checking Transaction Log'!$E:$E,'Checking Transaction Log'!$C:$C,"&gt;="&amp;AE1,'Checking Transaction Log'!$C:$C,"&lt;="&amp;AF1,'Checking Transaction Log'!$A:$A,"F",'Checking Transaction Log'!$B:$B,17)</f>
        <v>0</v>
      </c>
      <c r="AF22" s="293">
        <f t="shared" si="32"/>
        <v>145</v>
      </c>
    </row>
    <row r="23" spans="1:32" ht="11.25" customHeight="1" x14ac:dyDescent="0.3">
      <c r="A23" s="295" t="str">
        <f>'Proposed Budget'!A23</f>
        <v>F</v>
      </c>
      <c r="B23" s="266">
        <f>'Proposed Budget'!B23</f>
        <v>18</v>
      </c>
      <c r="C23" s="298" t="str">
        <f>'Proposed Budget'!C23</f>
        <v>Lowes Rewards</v>
      </c>
      <c r="D23" s="299">
        <f t="shared" ca="1" si="17"/>
        <v>460.90909090909093</v>
      </c>
      <c r="E23" s="300">
        <f t="shared" si="18"/>
        <v>2000</v>
      </c>
      <c r="F23" s="300">
        <f t="shared" si="19"/>
        <v>0</v>
      </c>
      <c r="G23" s="280">
        <f t="shared" si="20"/>
        <v>0</v>
      </c>
      <c r="H23" s="300">
        <f>'Proposed Budget'!D23</f>
        <v>400</v>
      </c>
      <c r="I23" s="281">
        <f>SUMIFS('Checking Transaction Log'!E:E,'Checking Transaction Log'!C:C,"&gt;="&amp;I1,'Checking Transaction Log'!C:C,"&lt;="&amp;J1,'Checking Transaction Log'!A:A,"F",'Checking Transaction Log'!B:B,18)</f>
        <v>400</v>
      </c>
      <c r="J23" s="281">
        <f t="shared" si="21"/>
        <v>0</v>
      </c>
      <c r="K23" s="243">
        <f>SUMIFS('Checking Transaction Log'!E:E,'Checking Transaction Log'!C:C,"&gt;="&amp;K1,'Checking Transaction Log'!C:C,"&lt;="&amp;L1,'Checking Transaction Log'!A:A,"F",'Checking Transaction Log'!B:B,18)</f>
        <v>400</v>
      </c>
      <c r="L23" s="243">
        <f t="shared" si="22"/>
        <v>0</v>
      </c>
      <c r="M23" s="284">
        <f>SUMIFS('Checking Transaction Log'!$E:$E,'Checking Transaction Log'!$C:$C,"&gt;="&amp;M1,'Checking Transaction Log'!$C:$C,"&lt;="&amp;N1,'Checking Transaction Log'!$A:$A,"F",'Checking Transaction Log'!$B:$B,18)</f>
        <v>400</v>
      </c>
      <c r="N23" s="284">
        <f t="shared" si="23"/>
        <v>0</v>
      </c>
      <c r="O23" s="247">
        <f>SUMIFS('Checking Transaction Log'!$E:$E,'Checking Transaction Log'!$C:$C,"&gt;="&amp;O1,'Checking Transaction Log'!$C:$C,"&lt;="&amp;P1,'Checking Transaction Log'!$A:$A,"F",'Checking Transaction Log'!$B:$B,18)</f>
        <v>400</v>
      </c>
      <c r="P23" s="247">
        <f t="shared" si="24"/>
        <v>0</v>
      </c>
      <c r="Q23" s="281">
        <f>SUMIFS('Checking Transaction Log'!$E:$E,'Checking Transaction Log'!$C:$C,"&gt;="&amp;Q1,'Checking Transaction Log'!$C:$C,"&lt;="&amp;R1,'Checking Transaction Log'!$A:$A,"F",'Checking Transaction Log'!$B:$B,18)</f>
        <v>400</v>
      </c>
      <c r="R23" s="281">
        <f t="shared" si="25"/>
        <v>0</v>
      </c>
      <c r="S23" s="243">
        <f>SUMIFS('Checking Transaction Log'!$E:$E,'Checking Transaction Log'!$C:$C,"&gt;="&amp;S1,'Checking Transaction Log'!$C:$C,"&lt;="&amp;T1,'Checking Transaction Log'!$A:$A,"F",'Checking Transaction Log'!$B:$B,18)</f>
        <v>0</v>
      </c>
      <c r="T23" s="243">
        <f t="shared" si="26"/>
        <v>400</v>
      </c>
      <c r="U23" s="284">
        <f>SUMIFS('Checking Transaction Log'!$E:$E,'Checking Transaction Log'!$C:$C,"&gt;="&amp;U1,'Checking Transaction Log'!$C:$C,"&lt;="&amp;V1,'Checking Transaction Log'!$A:$A,"F",'Checking Transaction Log'!$B:$B,18)</f>
        <v>0</v>
      </c>
      <c r="V23" s="284">
        <f t="shared" si="27"/>
        <v>400</v>
      </c>
      <c r="W23" s="247">
        <f>SUMIFS('Checking Transaction Log'!$E:$E,'Checking Transaction Log'!$C:$C,"&gt;="&amp;W1,'Checking Transaction Log'!$C:$C,"&lt;="&amp;X1,'Checking Transaction Log'!$A:$A,"F",'Checking Transaction Log'!$B:$B,18)</f>
        <v>0</v>
      </c>
      <c r="X23" s="247">
        <f t="shared" si="28"/>
        <v>400</v>
      </c>
      <c r="Y23" s="287">
        <f>SUMIFS('Checking Transaction Log'!$E:$E,'Checking Transaction Log'!$C:$C,"&gt;="&amp;Y1,'Checking Transaction Log'!$C:$C,"&lt;="&amp;Z1,'Checking Transaction Log'!$A:$A,"F",'Checking Transaction Log'!$B:$B,18)</f>
        <v>0</v>
      </c>
      <c r="Z23" s="287">
        <f t="shared" si="29"/>
        <v>400</v>
      </c>
      <c r="AA23" s="289">
        <f>SUMIFS('Checking Transaction Log'!$E:$E,'Checking Transaction Log'!$C:$C,"&gt;="&amp;AA1,'Checking Transaction Log'!$C:$C,"&lt;="&amp;AB1,'Checking Transaction Log'!$A:$A,"F",'Checking Transaction Log'!$B:$B,18)</f>
        <v>0</v>
      </c>
      <c r="AB23" s="289">
        <f t="shared" si="30"/>
        <v>400</v>
      </c>
      <c r="AC23" s="291">
        <f>SUMIFS('Checking Transaction Log'!$E:$E,'Checking Transaction Log'!$C:$C,"&gt;="&amp;AC1,'Checking Transaction Log'!$C:$C,"&lt;="&amp;AD1,'Checking Transaction Log'!$A:$A,"F",'Checking Transaction Log'!$B:$B,18)</f>
        <v>0</v>
      </c>
      <c r="AD23" s="291">
        <f t="shared" si="31"/>
        <v>400</v>
      </c>
      <c r="AE23" s="293">
        <f>SUMIFS('Checking Transaction Log'!$E:$E,'Checking Transaction Log'!$C:$C,"&gt;="&amp;AE1,'Checking Transaction Log'!$C:$C,"&lt;="&amp;AF1,'Checking Transaction Log'!$A:$A,"F",'Checking Transaction Log'!$B:$B,18)</f>
        <v>0</v>
      </c>
      <c r="AF23" s="293">
        <f t="shared" si="32"/>
        <v>400</v>
      </c>
    </row>
    <row r="24" spans="1:32" ht="11.25" customHeight="1" x14ac:dyDescent="0.3">
      <c r="A24" s="295" t="str">
        <f>'Proposed Budget'!A24</f>
        <v>F</v>
      </c>
      <c r="B24" s="266">
        <f>'Proposed Budget'!B24</f>
        <v>19</v>
      </c>
      <c r="C24" s="298" t="str">
        <f>'Proposed Budget'!C24</f>
        <v>Wells Fargo - Pool</v>
      </c>
      <c r="D24" s="299">
        <f t="shared" ca="1" si="17"/>
        <v>230.45454545454547</v>
      </c>
      <c r="E24" s="300">
        <f t="shared" si="18"/>
        <v>1000</v>
      </c>
      <c r="F24" s="300">
        <f t="shared" si="19"/>
        <v>0</v>
      </c>
      <c r="G24" s="280">
        <f t="shared" si="20"/>
        <v>0</v>
      </c>
      <c r="H24" s="300">
        <f>'Proposed Budget'!D24</f>
        <v>200</v>
      </c>
      <c r="I24" s="281">
        <f>SUMIFS('Checking Transaction Log'!E:E,'Checking Transaction Log'!C:C,"&gt;="&amp;I1,'Checking Transaction Log'!C:C,"&lt;="&amp;J1,'Checking Transaction Log'!A:A,"F",'Checking Transaction Log'!B:B,19)</f>
        <v>200</v>
      </c>
      <c r="J24" s="281">
        <f t="shared" si="21"/>
        <v>0</v>
      </c>
      <c r="K24" s="243">
        <f>SUMIFS('Checking Transaction Log'!E:E,'Checking Transaction Log'!C:C,"&gt;="&amp;K1,'Checking Transaction Log'!C:C,"&lt;="&amp;L1,'Checking Transaction Log'!A:A,"F",'Checking Transaction Log'!B:B,19)</f>
        <v>200</v>
      </c>
      <c r="L24" s="243">
        <f t="shared" si="22"/>
        <v>0</v>
      </c>
      <c r="M24" s="284">
        <f>SUMIFS('Checking Transaction Log'!$E:$E,'Checking Transaction Log'!$C:$C,"&gt;="&amp;M1,'Checking Transaction Log'!$C:$C,"&lt;="&amp;N1,'Checking Transaction Log'!$A:$A,"F",'Checking Transaction Log'!$B:$B,19)</f>
        <v>200</v>
      </c>
      <c r="N24" s="284">
        <f t="shared" si="23"/>
        <v>0</v>
      </c>
      <c r="O24" s="247">
        <f>SUMIFS('Checking Transaction Log'!$E:$E,'Checking Transaction Log'!$C:$C,"&gt;="&amp;O1,'Checking Transaction Log'!$C:$C,"&lt;="&amp;P1,'Checking Transaction Log'!$A:$A,"F",'Checking Transaction Log'!$B:$B,19)</f>
        <v>200</v>
      </c>
      <c r="P24" s="247">
        <f t="shared" si="24"/>
        <v>0</v>
      </c>
      <c r="Q24" s="281">
        <f>SUMIFS('Checking Transaction Log'!$E:$E,'Checking Transaction Log'!$C:$C,"&gt;="&amp;Q1,'Checking Transaction Log'!$C:$C,"&lt;="&amp;R1,'Checking Transaction Log'!$A:$A,"F",'Checking Transaction Log'!$B:$B,19)</f>
        <v>200</v>
      </c>
      <c r="R24" s="281">
        <f t="shared" si="25"/>
        <v>0</v>
      </c>
      <c r="S24" s="243">
        <f>SUMIFS('Checking Transaction Log'!$E:$E,'Checking Transaction Log'!$C:$C,"&gt;="&amp;S1,'Checking Transaction Log'!$C:$C,"&lt;="&amp;T1,'Checking Transaction Log'!$A:$A,"F",'Checking Transaction Log'!$B:$B,19)</f>
        <v>0</v>
      </c>
      <c r="T24" s="243">
        <f t="shared" si="26"/>
        <v>200</v>
      </c>
      <c r="U24" s="284">
        <f>SUMIFS('Checking Transaction Log'!$E:$E,'Checking Transaction Log'!$C:$C,"&gt;="&amp;U1,'Checking Transaction Log'!$C:$C,"&lt;="&amp;V1,'Checking Transaction Log'!$A:$A,"F",'Checking Transaction Log'!$B:$B,19)</f>
        <v>0</v>
      </c>
      <c r="V24" s="284">
        <f t="shared" si="27"/>
        <v>200</v>
      </c>
      <c r="W24" s="247">
        <f>SUMIFS('Checking Transaction Log'!$E:$E,'Checking Transaction Log'!$C:$C,"&gt;="&amp;W1,'Checking Transaction Log'!$C:$C,"&lt;="&amp;X1,'Checking Transaction Log'!$A:$A,"F",'Checking Transaction Log'!$B:$B,19)</f>
        <v>0</v>
      </c>
      <c r="X24" s="247">
        <f t="shared" si="28"/>
        <v>200</v>
      </c>
      <c r="Y24" s="287">
        <f>SUMIFS('Checking Transaction Log'!$E:$E,'Checking Transaction Log'!$C:$C,"&gt;="&amp;Y1,'Checking Transaction Log'!$C:$C,"&lt;="&amp;Z1,'Checking Transaction Log'!$A:$A,"F",'Checking Transaction Log'!$B:$B,19)</f>
        <v>0</v>
      </c>
      <c r="Z24" s="287">
        <f t="shared" si="29"/>
        <v>200</v>
      </c>
      <c r="AA24" s="289">
        <f>SUMIFS('Checking Transaction Log'!$E:$E,'Checking Transaction Log'!$C:$C,"&gt;="&amp;AA1,'Checking Transaction Log'!$C:$C,"&lt;="&amp;AB1,'Checking Transaction Log'!$A:$A,"F",'Checking Transaction Log'!$B:$B,19)</f>
        <v>0</v>
      </c>
      <c r="AB24" s="289">
        <f t="shared" si="30"/>
        <v>200</v>
      </c>
      <c r="AC24" s="291">
        <f>SUMIFS('Checking Transaction Log'!$E:$E,'Checking Transaction Log'!$C:$C,"&gt;="&amp;AC1,'Checking Transaction Log'!$C:$C,"&lt;="&amp;AD1,'Checking Transaction Log'!$A:$A,"F",'Checking Transaction Log'!$B:$B,19)</f>
        <v>0</v>
      </c>
      <c r="AD24" s="291">
        <f t="shared" si="31"/>
        <v>200</v>
      </c>
      <c r="AE24" s="293">
        <f>SUMIFS('Checking Transaction Log'!$E:$E,'Checking Transaction Log'!$C:$C,"&gt;="&amp;AE1,'Checking Transaction Log'!$C:$C,"&lt;="&amp;AF1,'Checking Transaction Log'!$A:$A,"F",'Checking Transaction Log'!$B:$B,19)</f>
        <v>0</v>
      </c>
      <c r="AF24" s="293">
        <f t="shared" si="32"/>
        <v>200</v>
      </c>
    </row>
    <row r="25" spans="1:32" ht="11.25" customHeight="1" x14ac:dyDescent="0.3">
      <c r="A25" s="295" t="str">
        <f>'Proposed Budget'!A25</f>
        <v>F</v>
      </c>
      <c r="B25" s="266">
        <f>'Proposed Budget'!B25</f>
        <v>20</v>
      </c>
      <c r="C25" s="298" t="str">
        <f>'Proposed Budget'!C25</f>
        <v>Wells Fargo - Deck</v>
      </c>
      <c r="D25" s="299">
        <f t="shared" ca="1" si="17"/>
        <v>0</v>
      </c>
      <c r="E25" s="300">
        <f t="shared" si="18"/>
        <v>0</v>
      </c>
      <c r="F25" s="300">
        <f t="shared" si="19"/>
        <v>2400</v>
      </c>
      <c r="G25" s="280">
        <f t="shared" si="20"/>
        <v>1</v>
      </c>
      <c r="H25" s="300">
        <f>'Proposed Budget'!D25</f>
        <v>600</v>
      </c>
      <c r="I25" s="281">
        <f>SUMIFS('Checking Transaction Log'!E:E,'Checking Transaction Log'!C:C,"&gt;="&amp;I1,'Checking Transaction Log'!C:C,"&lt;="&amp;J1,'Checking Transaction Log'!A:A,"F",'Checking Transaction Log'!B:B,20)</f>
        <v>0</v>
      </c>
      <c r="J25" s="281">
        <f t="shared" si="21"/>
        <v>600</v>
      </c>
      <c r="K25" s="243">
        <f>SUMIFS('Checking Transaction Log'!E:E,'Checking Transaction Log'!C:C,"&gt;="&amp;K1,'Checking Transaction Log'!C:C,"&lt;="&amp;L1,'Checking Transaction Log'!A:A,"F",'Checking Transaction Log'!B:B,20)</f>
        <v>0</v>
      </c>
      <c r="L25" s="243">
        <f t="shared" si="22"/>
        <v>600</v>
      </c>
      <c r="M25" s="284">
        <f>SUMIFS('Checking Transaction Log'!$E:$E,'Checking Transaction Log'!$C:$C,"&gt;="&amp;M1,'Checking Transaction Log'!$C:$C,"&lt;="&amp;N1,'Checking Transaction Log'!$A:$A,"F",'Checking Transaction Log'!$B:$B,20)</f>
        <v>0</v>
      </c>
      <c r="N25" s="284">
        <f t="shared" si="23"/>
        <v>600</v>
      </c>
      <c r="O25" s="247">
        <f>SUMIFS('Checking Transaction Log'!$E:$E,'Checking Transaction Log'!$C:$C,"&gt;="&amp;O1,'Checking Transaction Log'!$C:$C,"&lt;="&amp;P1,'Checking Transaction Log'!$A:$A,"F",'Checking Transaction Log'!$B:$B,20)</f>
        <v>0</v>
      </c>
      <c r="P25" s="247">
        <f t="shared" si="24"/>
        <v>600</v>
      </c>
      <c r="Q25" s="281">
        <f>SUMIFS('Checking Transaction Log'!$E:$E,'Checking Transaction Log'!$C:$C,"&gt;="&amp;Q1,'Checking Transaction Log'!$C:$C,"&lt;="&amp;R1,'Checking Transaction Log'!$A:$A,"F",'Checking Transaction Log'!$B:$B,20)</f>
        <v>0</v>
      </c>
      <c r="R25" s="281">
        <f t="shared" si="25"/>
        <v>600</v>
      </c>
      <c r="S25" s="243">
        <f>SUMIFS('Checking Transaction Log'!$E:$E,'Checking Transaction Log'!$C:$C,"&gt;="&amp;S1,'Checking Transaction Log'!$C:$C,"&lt;="&amp;T1,'Checking Transaction Log'!$A:$A,"F",'Checking Transaction Log'!$B:$B,20)</f>
        <v>0</v>
      </c>
      <c r="T25" s="243">
        <f t="shared" si="26"/>
        <v>600</v>
      </c>
      <c r="U25" s="284">
        <f>SUMIFS('Checking Transaction Log'!$E:$E,'Checking Transaction Log'!$C:$C,"&gt;="&amp;U1,'Checking Transaction Log'!$C:$C,"&lt;="&amp;V1,'Checking Transaction Log'!$A:$A,"F",'Checking Transaction Log'!$B:$B,20)</f>
        <v>0</v>
      </c>
      <c r="V25" s="284">
        <f t="shared" si="27"/>
        <v>600</v>
      </c>
      <c r="W25" s="247">
        <f>SUMIFS('Checking Transaction Log'!$E:$E,'Checking Transaction Log'!$C:$C,"&gt;="&amp;W1,'Checking Transaction Log'!$C:$C,"&lt;="&amp;X1,'Checking Transaction Log'!$A:$A,"F",'Checking Transaction Log'!$B:$B,20)</f>
        <v>0</v>
      </c>
      <c r="X25" s="247">
        <f t="shared" si="28"/>
        <v>600</v>
      </c>
      <c r="Y25" s="287">
        <f>SUMIFS('Checking Transaction Log'!$E:$E,'Checking Transaction Log'!$C:$C,"&gt;="&amp;Y1,'Checking Transaction Log'!$C:$C,"&lt;="&amp;Z1,'Checking Transaction Log'!$A:$A,"F",'Checking Transaction Log'!$B:$B,20)</f>
        <v>0</v>
      </c>
      <c r="Z25" s="287">
        <f t="shared" si="29"/>
        <v>600</v>
      </c>
      <c r="AA25" s="289">
        <f>SUMIFS('Checking Transaction Log'!$E:$E,'Checking Transaction Log'!$C:$C,"&gt;="&amp;AA1,'Checking Transaction Log'!$C:$C,"&lt;="&amp;AB1,'Checking Transaction Log'!$A:$A,"F",'Checking Transaction Log'!$B:$B,20)</f>
        <v>0</v>
      </c>
      <c r="AB25" s="289">
        <f t="shared" si="30"/>
        <v>600</v>
      </c>
      <c r="AC25" s="291">
        <f>SUMIFS('Checking Transaction Log'!$E:$E,'Checking Transaction Log'!$C:$C,"&gt;="&amp;AC1,'Checking Transaction Log'!$C:$C,"&lt;="&amp;AD1,'Checking Transaction Log'!$A:$A,"F",'Checking Transaction Log'!$B:$B,20)</f>
        <v>0</v>
      </c>
      <c r="AD25" s="291">
        <f t="shared" si="31"/>
        <v>600</v>
      </c>
      <c r="AE25" s="293">
        <f>SUMIFS('Checking Transaction Log'!$E:$E,'Checking Transaction Log'!$C:$C,"&gt;="&amp;AE1,'Checking Transaction Log'!$C:$C,"&lt;="&amp;AF1,'Checking Transaction Log'!$A:$A,"F",'Checking Transaction Log'!$B:$B,20)</f>
        <v>0</v>
      </c>
      <c r="AF25" s="293">
        <f t="shared" si="32"/>
        <v>600</v>
      </c>
    </row>
    <row r="26" spans="1:32" ht="11.25" customHeight="1" x14ac:dyDescent="0.3">
      <c r="A26" s="295" t="str">
        <f>'Proposed Budget'!A26</f>
        <v>F</v>
      </c>
      <c r="B26" s="266">
        <f>'Proposed Budget'!B26</f>
        <v>21</v>
      </c>
      <c r="C26" s="298" t="str">
        <f>'Proposed Budget'!C26</f>
        <v>Massage Envy</v>
      </c>
      <c r="D26" s="299">
        <f t="shared" ca="1" si="17"/>
        <v>92.426100000000005</v>
      </c>
      <c r="E26" s="300">
        <f t="shared" si="18"/>
        <v>401.05999999999995</v>
      </c>
      <c r="F26" s="300">
        <f t="shared" si="19"/>
        <v>-61.059999999999988</v>
      </c>
      <c r="G26" s="280">
        <f t="shared" si="20"/>
        <v>-0.1795882352941176</v>
      </c>
      <c r="H26" s="300">
        <f>'Proposed Budget'!D26</f>
        <v>85</v>
      </c>
      <c r="I26" s="281">
        <f>SUMIFS('Checking Transaction Log'!E:E,'Checking Transaction Log'!C:C,"&gt;="&amp;I1,'Checking Transaction Log'!C:C,"&lt;="&amp;J1,'Checking Transaction Log'!A:A,"F",'Checking Transaction Log'!B:B,21)</f>
        <v>100.79</v>
      </c>
      <c r="J26" s="281">
        <f t="shared" si="21"/>
        <v>-15.790000000000006</v>
      </c>
      <c r="K26" s="243">
        <f>SUMIFS('Checking Transaction Log'!E:E,'Checking Transaction Log'!C:C,"&gt;="&amp;K1,'Checking Transaction Log'!C:C,"&lt;="&amp;L1,'Checking Transaction Log'!A:A,"F",'Checking Transaction Log'!B:B,21)</f>
        <v>108.35</v>
      </c>
      <c r="L26" s="243">
        <f t="shared" si="22"/>
        <v>-23.349999999999994</v>
      </c>
      <c r="M26" s="284">
        <f>SUMIFS('Checking Transaction Log'!$E:$E,'Checking Transaction Log'!$C:$C,"&gt;="&amp;M1,'Checking Transaction Log'!$C:$C,"&lt;="&amp;N1,'Checking Transaction Log'!$A:$A,"F",'Checking Transaction Log'!$B:$B,21)</f>
        <v>116.32</v>
      </c>
      <c r="N26" s="284">
        <f t="shared" si="23"/>
        <v>-31.319999999999993</v>
      </c>
      <c r="O26" s="247">
        <f>SUMIFS('Checking Transaction Log'!$E:$E,'Checking Transaction Log'!$C:$C,"&gt;="&amp;O1,'Checking Transaction Log'!$C:$C,"&lt;="&amp;P1,'Checking Transaction Log'!$A:$A,"F",'Checking Transaction Log'!$B:$B,21)</f>
        <v>75.599999999999994</v>
      </c>
      <c r="P26" s="247">
        <f t="shared" si="24"/>
        <v>9.4000000000000057</v>
      </c>
      <c r="Q26" s="281">
        <f>SUMIFS('Checking Transaction Log'!$E:$E,'Checking Transaction Log'!$C:$C,"&gt;="&amp;Q1,'Checking Transaction Log'!$C:$C,"&lt;="&amp;R1,'Checking Transaction Log'!$A:$A,"F",'Checking Transaction Log'!$B:$B,21)</f>
        <v>0</v>
      </c>
      <c r="R26" s="281">
        <f t="shared" si="25"/>
        <v>85</v>
      </c>
      <c r="S26" s="243">
        <f>SUMIFS('Checking Transaction Log'!$E:$E,'Checking Transaction Log'!$C:$C,"&gt;="&amp;S1,'Checking Transaction Log'!$C:$C,"&lt;="&amp;T1,'Checking Transaction Log'!$A:$A,"F",'Checking Transaction Log'!$B:$B,21)</f>
        <v>0</v>
      </c>
      <c r="T26" s="243">
        <f t="shared" si="26"/>
        <v>85</v>
      </c>
      <c r="U26" s="284">
        <f>SUMIFS('Checking Transaction Log'!$E:$E,'Checking Transaction Log'!$C:$C,"&gt;="&amp;U1,'Checking Transaction Log'!$C:$C,"&lt;="&amp;V1,'Checking Transaction Log'!$A:$A,"F",'Checking Transaction Log'!$B:$B,21)</f>
        <v>0</v>
      </c>
      <c r="V26" s="284">
        <f t="shared" si="27"/>
        <v>85</v>
      </c>
      <c r="W26" s="247">
        <f>SUMIFS('Checking Transaction Log'!$E:$E,'Checking Transaction Log'!$C:$C,"&gt;="&amp;W1,'Checking Transaction Log'!$C:$C,"&lt;="&amp;X1,'Checking Transaction Log'!$A:$A,"F",'Checking Transaction Log'!$B:$B,21)</f>
        <v>0</v>
      </c>
      <c r="X26" s="247">
        <f t="shared" si="28"/>
        <v>85</v>
      </c>
      <c r="Y26" s="287">
        <f>SUMIFS('Checking Transaction Log'!$E:$E,'Checking Transaction Log'!$C:$C,"&gt;="&amp;Y1,'Checking Transaction Log'!$C:$C,"&lt;="&amp;Z1,'Checking Transaction Log'!$A:$A,"F",'Checking Transaction Log'!$B:$B,21)</f>
        <v>0</v>
      </c>
      <c r="Z26" s="287">
        <f t="shared" si="29"/>
        <v>85</v>
      </c>
      <c r="AA26" s="289">
        <f>SUMIFS('Checking Transaction Log'!$E:$E,'Checking Transaction Log'!$C:$C,"&gt;="&amp;AA1,'Checking Transaction Log'!$C:$C,"&lt;="&amp;AB1,'Checking Transaction Log'!$A:$A,"F",'Checking Transaction Log'!$B:$B,21)</f>
        <v>0</v>
      </c>
      <c r="AB26" s="289">
        <f t="shared" si="30"/>
        <v>85</v>
      </c>
      <c r="AC26" s="291">
        <f>SUMIFS('Checking Transaction Log'!$E:$E,'Checking Transaction Log'!$C:$C,"&gt;="&amp;AC1,'Checking Transaction Log'!$C:$C,"&lt;="&amp;AD1,'Checking Transaction Log'!$A:$A,"F",'Checking Transaction Log'!$B:$B,21)</f>
        <v>0</v>
      </c>
      <c r="AD26" s="291">
        <f t="shared" si="31"/>
        <v>85</v>
      </c>
      <c r="AE26" s="293">
        <f>SUMIFS('Checking Transaction Log'!$E:$E,'Checking Transaction Log'!$C:$C,"&gt;="&amp;AE1,'Checking Transaction Log'!$C:$C,"&lt;="&amp;AF1,'Checking Transaction Log'!$A:$A,"F",'Checking Transaction Log'!$B:$B,21)</f>
        <v>0</v>
      </c>
      <c r="AF26" s="293">
        <f t="shared" si="32"/>
        <v>85</v>
      </c>
    </row>
    <row r="27" spans="1:32" ht="11.25" customHeight="1" x14ac:dyDescent="0.3">
      <c r="A27" s="295" t="str">
        <f>'Proposed Budget'!A27</f>
        <v>F</v>
      </c>
      <c r="B27" s="266">
        <f>'Proposed Budget'!B27</f>
        <v>22</v>
      </c>
      <c r="C27" s="298" t="str">
        <f>'Proposed Budget'!C27</f>
        <v>Streaming/Music</v>
      </c>
      <c r="D27" s="299">
        <f t="shared" ca="1" si="17"/>
        <v>114.31006363636365</v>
      </c>
      <c r="E27" s="300">
        <f t="shared" si="18"/>
        <v>496.02</v>
      </c>
      <c r="F27" s="300">
        <f t="shared" si="19"/>
        <v>-41.759999999999977</v>
      </c>
      <c r="G27" s="280">
        <f t="shared" si="20"/>
        <v>-9.1929731871615461E-2</v>
      </c>
      <c r="H27" s="300">
        <f>'Proposed Budget'!D27</f>
        <v>100</v>
      </c>
      <c r="I27" s="281">
        <f>SUMIFS('Checking Transaction Log'!E:E,'Checking Transaction Log'!C:C,"&gt;="&amp;I1,'Checking Transaction Log'!C:C,"&lt;="&amp;J1,'Checking Transaction Log'!A:A,"F",'Checking Transaction Log'!B:B,22)</f>
        <v>218.26999999999998</v>
      </c>
      <c r="J27" s="281">
        <f t="shared" si="21"/>
        <v>-118.26999999999998</v>
      </c>
      <c r="K27" s="243">
        <f>SUMIFS('Checking Transaction Log'!E:E,'Checking Transaction Log'!C:C,"&gt;="&amp;K1,'Checking Transaction Log'!C:C,"&lt;="&amp;L1,'Checking Transaction Log'!A:A,"F",'Checking Transaction Log'!B:B,22)</f>
        <v>67.05</v>
      </c>
      <c r="L27" s="243">
        <f t="shared" si="22"/>
        <v>32.950000000000003</v>
      </c>
      <c r="M27" s="284">
        <f>SUMIFS('Checking Transaction Log'!$E:$E,'Checking Transaction Log'!$C:$C,"&gt;="&amp;M1,'Checking Transaction Log'!$C:$C,"&lt;="&amp;N1,'Checking Transaction Log'!$A:$A,"F",'Checking Transaction Log'!$B:$B,22)</f>
        <v>79.819999999999993</v>
      </c>
      <c r="N27" s="284">
        <f t="shared" si="23"/>
        <v>20.180000000000007</v>
      </c>
      <c r="O27" s="247">
        <f>SUMIFS('Checking Transaction Log'!$E:$E,'Checking Transaction Log'!$C:$C,"&gt;="&amp;O1,'Checking Transaction Log'!$C:$C,"&lt;="&amp;P1,'Checking Transaction Log'!$A:$A,"F",'Checking Transaction Log'!$B:$B,22)</f>
        <v>76.62</v>
      </c>
      <c r="P27" s="247">
        <f t="shared" si="24"/>
        <v>23.379999999999995</v>
      </c>
      <c r="Q27" s="281">
        <f>SUMIFS('Checking Transaction Log'!$E:$E,'Checking Transaction Log'!$C:$C,"&gt;="&amp;Q1,'Checking Transaction Log'!$C:$C,"&lt;="&amp;R1,'Checking Transaction Log'!$A:$A,"F",'Checking Transaction Log'!$B:$B,22)</f>
        <v>54.26</v>
      </c>
      <c r="R27" s="281">
        <f t="shared" si="25"/>
        <v>45.74</v>
      </c>
      <c r="S27" s="243">
        <f>SUMIFS('Checking Transaction Log'!$E:$E,'Checking Transaction Log'!$C:$C,"&gt;="&amp;S1,'Checking Transaction Log'!$C:$C,"&lt;="&amp;T1,'Checking Transaction Log'!$A:$A,"F",'Checking Transaction Log'!$B:$B,22)</f>
        <v>0</v>
      </c>
      <c r="T27" s="243">
        <f t="shared" si="26"/>
        <v>100</v>
      </c>
      <c r="U27" s="284">
        <f>SUMIFS('Checking Transaction Log'!$E:$E,'Checking Transaction Log'!$C:$C,"&gt;="&amp;U1,'Checking Transaction Log'!$C:$C,"&lt;="&amp;V1,'Checking Transaction Log'!$A:$A,"F",'Checking Transaction Log'!$B:$B,22)</f>
        <v>0</v>
      </c>
      <c r="V27" s="284">
        <f t="shared" si="27"/>
        <v>100</v>
      </c>
      <c r="W27" s="247">
        <f>SUMIFS('Checking Transaction Log'!$E:$E,'Checking Transaction Log'!$C:$C,"&gt;="&amp;W1,'Checking Transaction Log'!$C:$C,"&lt;="&amp;X1,'Checking Transaction Log'!$A:$A,"F",'Checking Transaction Log'!$B:$B,22)</f>
        <v>0</v>
      </c>
      <c r="X27" s="247">
        <f t="shared" si="28"/>
        <v>100</v>
      </c>
      <c r="Y27" s="287">
        <f>SUMIFS('Checking Transaction Log'!$E:$E,'Checking Transaction Log'!$C:$C,"&gt;="&amp;Y1,'Checking Transaction Log'!$C:$C,"&lt;="&amp;Z1,'Checking Transaction Log'!$A:$A,"F",'Checking Transaction Log'!$B:$B,22)</f>
        <v>0</v>
      </c>
      <c r="Z27" s="287">
        <f t="shared" si="29"/>
        <v>100</v>
      </c>
      <c r="AA27" s="289">
        <f>SUMIFS('Checking Transaction Log'!$E:$E,'Checking Transaction Log'!$C:$C,"&gt;="&amp;AA1,'Checking Transaction Log'!$C:$C,"&lt;="&amp;AB1,'Checking Transaction Log'!$A:$A,"F",'Checking Transaction Log'!$B:$B,22)</f>
        <v>0</v>
      </c>
      <c r="AB27" s="289">
        <f t="shared" si="30"/>
        <v>100</v>
      </c>
      <c r="AC27" s="291">
        <f>SUMIFS('Checking Transaction Log'!$E:$E,'Checking Transaction Log'!$C:$C,"&gt;="&amp;AC1,'Checking Transaction Log'!$C:$C,"&lt;="&amp;AD1,'Checking Transaction Log'!$A:$A,"F",'Checking Transaction Log'!$B:$B,22)</f>
        <v>0</v>
      </c>
      <c r="AD27" s="291">
        <f t="shared" si="31"/>
        <v>100</v>
      </c>
      <c r="AE27" s="293">
        <f>SUMIFS('Checking Transaction Log'!$E:$E,'Checking Transaction Log'!$C:$C,"&gt;="&amp;AE1,'Checking Transaction Log'!$C:$C,"&lt;="&amp;AF1,'Checking Transaction Log'!$A:$A,"F",'Checking Transaction Log'!$B:$B,22)</f>
        <v>0</v>
      </c>
      <c r="AF27" s="293">
        <f t="shared" si="32"/>
        <v>100</v>
      </c>
    </row>
    <row r="28" spans="1:32" ht="11.25" customHeight="1" x14ac:dyDescent="0.3">
      <c r="A28" s="295" t="str">
        <f>'Proposed Budget'!A28</f>
        <v>F</v>
      </c>
      <c r="B28" s="266">
        <f>'Proposed Budget'!B28</f>
        <v>23</v>
      </c>
      <c r="C28" s="298" t="str">
        <f>'Proposed Budget'!C28</f>
        <v>GM Financial/Toyota</v>
      </c>
      <c r="D28" s="299">
        <f t="shared" ca="1" si="17"/>
        <v>1088.058872727273</v>
      </c>
      <c r="E28" s="300">
        <f t="shared" si="18"/>
        <v>4721.3600000000006</v>
      </c>
      <c r="F28" s="300">
        <f t="shared" si="19"/>
        <v>78.639999999999418</v>
      </c>
      <c r="G28" s="280">
        <f t="shared" si="20"/>
        <v>1.6383333333333194E-2</v>
      </c>
      <c r="H28" s="300">
        <f>'Proposed Budget'!D28</f>
        <v>1200</v>
      </c>
      <c r="I28" s="281">
        <f>SUMIFS('Checking Transaction Log'!E:E,'Checking Transaction Log'!C:C,"&gt;="&amp;I1,'Checking Transaction Log'!C:C,"&lt;="&amp;J1,'Checking Transaction Log'!A:A,"F",'Checking Transaction Log'!B:B,23)</f>
        <v>1180.3400000000001</v>
      </c>
      <c r="J28" s="281">
        <f t="shared" si="21"/>
        <v>19.659999999999854</v>
      </c>
      <c r="K28" s="243">
        <f>SUMIFS('Checking Transaction Log'!E:E,'Checking Transaction Log'!C:C,"&gt;="&amp;K1,'Checking Transaction Log'!C:C,"&lt;="&amp;L1,'Checking Transaction Log'!A:A,"F",'Checking Transaction Log'!B:B,23)</f>
        <v>1180.3400000000001</v>
      </c>
      <c r="L28" s="243">
        <f t="shared" si="22"/>
        <v>19.659999999999854</v>
      </c>
      <c r="M28" s="284">
        <f>SUMIFS('Checking Transaction Log'!$E:$E,'Checking Transaction Log'!$C:$C,"&gt;="&amp;M1,'Checking Transaction Log'!$C:$C,"&lt;="&amp;N1,'Checking Transaction Log'!$A:$A,"F",'Checking Transaction Log'!$B:$B,23)</f>
        <v>1180.3400000000001</v>
      </c>
      <c r="N28" s="284">
        <f t="shared" si="23"/>
        <v>19.659999999999854</v>
      </c>
      <c r="O28" s="247">
        <f>SUMIFS('Checking Transaction Log'!$E:$E,'Checking Transaction Log'!$C:$C,"&gt;="&amp;O1,'Checking Transaction Log'!$C:$C,"&lt;="&amp;P1,'Checking Transaction Log'!$A:$A,"F",'Checking Transaction Log'!$B:$B,23)</f>
        <v>1180.3400000000001</v>
      </c>
      <c r="P28" s="247">
        <f t="shared" si="24"/>
        <v>19.659999999999854</v>
      </c>
      <c r="Q28" s="281">
        <f>SUMIFS('Checking Transaction Log'!$E:$E,'Checking Transaction Log'!$C:$C,"&gt;="&amp;Q1,'Checking Transaction Log'!$C:$C,"&lt;="&amp;R1,'Checking Transaction Log'!$A:$A,"F",'Checking Transaction Log'!$B:$B,23)</f>
        <v>0</v>
      </c>
      <c r="R28" s="281">
        <f t="shared" si="25"/>
        <v>1200</v>
      </c>
      <c r="S28" s="243">
        <f>SUMIFS('Checking Transaction Log'!$E:$E,'Checking Transaction Log'!$C:$C,"&gt;="&amp;S1,'Checking Transaction Log'!$C:$C,"&lt;="&amp;T1,'Checking Transaction Log'!$A:$A,"F",'Checking Transaction Log'!$B:$B,23)</f>
        <v>0</v>
      </c>
      <c r="T28" s="243">
        <f t="shared" si="26"/>
        <v>1200</v>
      </c>
      <c r="U28" s="284">
        <f>SUMIFS('Checking Transaction Log'!$E:$E,'Checking Transaction Log'!$C:$C,"&gt;="&amp;U1,'Checking Transaction Log'!$C:$C,"&lt;="&amp;V1,'Checking Transaction Log'!$A:$A,"F",'Checking Transaction Log'!$B:$B,23)</f>
        <v>0</v>
      </c>
      <c r="V28" s="284">
        <f t="shared" si="27"/>
        <v>1200</v>
      </c>
      <c r="W28" s="247">
        <f>SUMIFS('Checking Transaction Log'!$E:$E,'Checking Transaction Log'!$C:$C,"&gt;="&amp;W1,'Checking Transaction Log'!$C:$C,"&lt;="&amp;X1,'Checking Transaction Log'!$A:$A,"F",'Checking Transaction Log'!$B:$B,23)</f>
        <v>0</v>
      </c>
      <c r="X28" s="247">
        <f t="shared" si="28"/>
        <v>1200</v>
      </c>
      <c r="Y28" s="287">
        <f>SUMIFS('Checking Transaction Log'!$E:$E,'Checking Transaction Log'!$C:$C,"&gt;="&amp;Y1,'Checking Transaction Log'!$C:$C,"&lt;="&amp;Z1,'Checking Transaction Log'!$A:$A,"F",'Checking Transaction Log'!$B:$B,23)</f>
        <v>0</v>
      </c>
      <c r="Z28" s="287">
        <f t="shared" si="29"/>
        <v>1200</v>
      </c>
      <c r="AA28" s="289">
        <f>SUMIFS('Checking Transaction Log'!$E:$E,'Checking Transaction Log'!$C:$C,"&gt;="&amp;AA1,'Checking Transaction Log'!$C:$C,"&lt;="&amp;AB1,'Checking Transaction Log'!$A:$A,"F",'Checking Transaction Log'!$B:$B,23)</f>
        <v>0</v>
      </c>
      <c r="AB28" s="289">
        <f t="shared" si="30"/>
        <v>1200</v>
      </c>
      <c r="AC28" s="291">
        <f>SUMIFS('Checking Transaction Log'!$E:$E,'Checking Transaction Log'!$C:$C,"&gt;="&amp;AC1,'Checking Transaction Log'!$C:$C,"&lt;="&amp;AD1,'Checking Transaction Log'!$A:$A,"F",'Checking Transaction Log'!$B:$B,23)</f>
        <v>0</v>
      </c>
      <c r="AD28" s="291">
        <f t="shared" si="31"/>
        <v>1200</v>
      </c>
      <c r="AE28" s="293">
        <f>SUMIFS('Checking Transaction Log'!$E:$E,'Checking Transaction Log'!$C:$C,"&gt;="&amp;AE1,'Checking Transaction Log'!$C:$C,"&lt;="&amp;AF1,'Checking Transaction Log'!$A:$A,"F",'Checking Transaction Log'!$B:$B,23)</f>
        <v>0</v>
      </c>
      <c r="AF28" s="293">
        <f t="shared" si="32"/>
        <v>1200</v>
      </c>
    </row>
    <row r="29" spans="1:32" ht="11.25" customHeight="1" x14ac:dyDescent="0.3">
      <c r="A29" s="295" t="str">
        <f>'Proposed Budget'!A29</f>
        <v>F</v>
      </c>
      <c r="B29" s="266">
        <f>'Proposed Budget'!B29</f>
        <v>24</v>
      </c>
      <c r="C29" s="298" t="str">
        <f>'Proposed Budget'!C29</f>
        <v>Ohio Turnpike</v>
      </c>
      <c r="D29" s="299">
        <f t="shared" ca="1" si="17"/>
        <v>102.2619</v>
      </c>
      <c r="E29" s="300">
        <f t="shared" si="18"/>
        <v>443.73999999999995</v>
      </c>
      <c r="F29" s="300">
        <f t="shared" si="19"/>
        <v>36.260000000000005</v>
      </c>
      <c r="G29" s="280">
        <f t="shared" si="20"/>
        <v>7.5541666666666618E-2</v>
      </c>
      <c r="H29" s="300">
        <f>'Proposed Budget'!D29</f>
        <v>120</v>
      </c>
      <c r="I29" s="281">
        <f>SUMIFS('Checking Transaction Log'!E:E,'Checking Transaction Log'!C:C,"&gt;="&amp;I1,'Checking Transaction Log'!C:C,"&lt;="&amp;J1,'Checking Transaction Log'!A:A,"F",'Checking Transaction Log'!B:B,24)</f>
        <v>83.42</v>
      </c>
      <c r="J29" s="281">
        <f t="shared" si="21"/>
        <v>36.58</v>
      </c>
      <c r="K29" s="243">
        <f>SUMIFS('Checking Transaction Log'!E:E,'Checking Transaction Log'!C:C,"&gt;="&amp;K1,'Checking Transaction Log'!C:C,"&lt;="&amp;L1,'Checking Transaction Log'!A:A,"F",'Checking Transaction Log'!B:B,24)</f>
        <v>168.41</v>
      </c>
      <c r="L29" s="243">
        <f t="shared" si="22"/>
        <v>-48.41</v>
      </c>
      <c r="M29" s="284">
        <f>SUMIFS('Checking Transaction Log'!$E:$E,'Checking Transaction Log'!$C:$C,"&gt;="&amp;M1,'Checking Transaction Log'!$C:$C,"&lt;="&amp;N1,'Checking Transaction Log'!$A:$A,"F",'Checking Transaction Log'!$B:$B,24)</f>
        <v>86.58</v>
      </c>
      <c r="N29" s="284">
        <f t="shared" si="23"/>
        <v>33.42</v>
      </c>
      <c r="O29" s="247">
        <f>SUMIFS('Checking Transaction Log'!$E:$E,'Checking Transaction Log'!$C:$C,"&gt;="&amp;O1,'Checking Transaction Log'!$C:$C,"&lt;="&amp;P1,'Checking Transaction Log'!$A:$A,"F",'Checking Transaction Log'!$B:$B,24)</f>
        <v>105.33</v>
      </c>
      <c r="P29" s="247">
        <f t="shared" si="24"/>
        <v>14.670000000000002</v>
      </c>
      <c r="Q29" s="281">
        <f>SUMIFS('Checking Transaction Log'!$E:$E,'Checking Transaction Log'!$C:$C,"&gt;="&amp;Q1,'Checking Transaction Log'!$C:$C,"&lt;="&amp;R1,'Checking Transaction Log'!$A:$A,"F",'Checking Transaction Log'!$B:$B,24)</f>
        <v>0</v>
      </c>
      <c r="R29" s="281">
        <f t="shared" si="25"/>
        <v>120</v>
      </c>
      <c r="S29" s="243">
        <f>SUMIFS('Checking Transaction Log'!$E:$E,'Checking Transaction Log'!$C:$C,"&gt;="&amp;S1,'Checking Transaction Log'!$C:$C,"&lt;="&amp;T1,'Checking Transaction Log'!$A:$A,"F",'Checking Transaction Log'!$B:$B,24)</f>
        <v>0</v>
      </c>
      <c r="T29" s="243">
        <f t="shared" si="26"/>
        <v>120</v>
      </c>
      <c r="U29" s="284">
        <f>SUMIFS('Checking Transaction Log'!$E:$E,'Checking Transaction Log'!$C:$C,"&gt;="&amp;U1,'Checking Transaction Log'!$C:$C,"&lt;="&amp;V1,'Checking Transaction Log'!$A:$A,"F",'Checking Transaction Log'!$B:$B,24)</f>
        <v>0</v>
      </c>
      <c r="V29" s="284">
        <f t="shared" si="27"/>
        <v>120</v>
      </c>
      <c r="W29" s="247">
        <f>SUMIFS('Checking Transaction Log'!$E:$E,'Checking Transaction Log'!$C:$C,"&gt;="&amp;W1,'Checking Transaction Log'!$C:$C,"&lt;="&amp;X1,'Checking Transaction Log'!$A:$A,"F",'Checking Transaction Log'!$B:$B,24)</f>
        <v>0</v>
      </c>
      <c r="X29" s="247">
        <f t="shared" si="28"/>
        <v>120</v>
      </c>
      <c r="Y29" s="287">
        <f>SUMIFS('Checking Transaction Log'!$E:$E,'Checking Transaction Log'!$C:$C,"&gt;="&amp;Y1,'Checking Transaction Log'!$C:$C,"&lt;="&amp;Z1,'Checking Transaction Log'!$A:$A,"F",'Checking Transaction Log'!$B:$B,24)</f>
        <v>0</v>
      </c>
      <c r="Z29" s="287">
        <f t="shared" si="29"/>
        <v>120</v>
      </c>
      <c r="AA29" s="289">
        <f>SUMIFS('Checking Transaction Log'!$E:$E,'Checking Transaction Log'!$C:$C,"&gt;="&amp;AA1,'Checking Transaction Log'!$C:$C,"&lt;="&amp;AB1,'Checking Transaction Log'!$A:$A,"F",'Checking Transaction Log'!$B:$B,24)</f>
        <v>0</v>
      </c>
      <c r="AB29" s="289">
        <f t="shared" si="30"/>
        <v>120</v>
      </c>
      <c r="AC29" s="291">
        <f>SUMIFS('Checking Transaction Log'!$E:$E,'Checking Transaction Log'!$C:$C,"&gt;="&amp;AC1,'Checking Transaction Log'!$C:$C,"&lt;="&amp;AD1,'Checking Transaction Log'!$A:$A,"F",'Checking Transaction Log'!$B:$B,24)</f>
        <v>0</v>
      </c>
      <c r="AD29" s="291">
        <f t="shared" si="31"/>
        <v>120</v>
      </c>
      <c r="AE29" s="293">
        <f>SUMIFS('Checking Transaction Log'!$E:$E,'Checking Transaction Log'!$C:$C,"&gt;="&amp;AE1,'Checking Transaction Log'!$C:$C,"&lt;="&amp;AF1,'Checking Transaction Log'!$A:$A,"F",'Checking Transaction Log'!$B:$B,24)</f>
        <v>0</v>
      </c>
      <c r="AF29" s="293">
        <f t="shared" si="32"/>
        <v>120</v>
      </c>
    </row>
    <row r="30" spans="1:32" ht="11.25" customHeight="1" x14ac:dyDescent="0.3">
      <c r="A30" s="295" t="str">
        <f>'Proposed Budget'!A30</f>
        <v>F</v>
      </c>
      <c r="B30" s="266">
        <f>'Proposed Budget'!B30</f>
        <v>42</v>
      </c>
      <c r="C30" s="298" t="str">
        <f>'Proposed Budget'!C30</f>
        <v>Water Bill - Main</v>
      </c>
      <c r="D30" s="299">
        <f t="shared" ca="1" si="17"/>
        <v>81.546340909090915</v>
      </c>
      <c r="E30" s="300">
        <f t="shared" si="18"/>
        <v>353.85</v>
      </c>
      <c r="F30" s="300">
        <f t="shared" si="19"/>
        <v>-53.849999999999994</v>
      </c>
      <c r="G30" s="280">
        <f t="shared" si="20"/>
        <v>-0.17949999999999999</v>
      </c>
      <c r="H30" s="300">
        <f>'Proposed Budget'!D30</f>
        <v>75</v>
      </c>
      <c r="I30" s="281">
        <f>SUMIFS('Checking Transaction Log'!E:E,'Checking Transaction Log'!C:C,"&gt;="&amp;I1,'Checking Transaction Log'!C:C,"&lt;="&amp;J1,'Checking Transaction Log'!A:A,"F",'Checking Transaction Log'!B:B,42)</f>
        <v>80.989999999999995</v>
      </c>
      <c r="J30" s="281">
        <f t="shared" si="21"/>
        <v>-5.9899999999999949</v>
      </c>
      <c r="K30" s="243">
        <f>SUMIFS('Checking Transaction Log'!E:E,'Checking Transaction Log'!C:C,"&gt;="&amp;K1,'Checking Transaction Log'!C:C,"&lt;="&amp;L1,'Checking Transaction Log'!A:A,"F",'Checking Transaction Log'!B:B,42)</f>
        <v>88.44</v>
      </c>
      <c r="L30" s="243">
        <f t="shared" si="22"/>
        <v>-13.439999999999998</v>
      </c>
      <c r="M30" s="284">
        <f>SUMIFS('Checking Transaction Log'!$E:$E,'Checking Transaction Log'!$C:$C,"&gt;="&amp;M1,'Checking Transaction Log'!$C:$C,"&lt;="&amp;N1,'Checking Transaction Log'!$A:$A,"F",'Checking Transaction Log'!$B:$B,42)</f>
        <v>96.25</v>
      </c>
      <c r="N30" s="284">
        <f t="shared" si="23"/>
        <v>-21.25</v>
      </c>
      <c r="O30" s="247">
        <f>SUMIFS('Checking Transaction Log'!$E:$E,'Checking Transaction Log'!$C:$C,"&gt;="&amp;O1,'Checking Transaction Log'!$C:$C,"&lt;="&amp;P1,'Checking Transaction Log'!$A:$A,"F",'Checking Transaction Log'!$B:$B,42)</f>
        <v>88.17</v>
      </c>
      <c r="P30" s="247">
        <f t="shared" si="24"/>
        <v>-13.170000000000002</v>
      </c>
      <c r="Q30" s="281">
        <f>SUMIFS('Checking Transaction Log'!$E:$E,'Checking Transaction Log'!$C:$C,"&gt;="&amp;Q1,'Checking Transaction Log'!$C:$C,"&lt;="&amp;R1,'Checking Transaction Log'!$A:$A,"F",'Checking Transaction Log'!$B:$B,42)</f>
        <v>0</v>
      </c>
      <c r="R30" s="281">
        <f t="shared" si="25"/>
        <v>75</v>
      </c>
      <c r="S30" s="243">
        <f>SUMIFS('Checking Transaction Log'!$E:$E,'Checking Transaction Log'!$C:$C,"&gt;="&amp;S1,'Checking Transaction Log'!$C:$C,"&lt;="&amp;T1,'Checking Transaction Log'!$A:$A,"F",'Checking Transaction Log'!$B:$B,42)</f>
        <v>0</v>
      </c>
      <c r="T30" s="243">
        <f t="shared" si="26"/>
        <v>75</v>
      </c>
      <c r="U30" s="284">
        <f>SUMIFS('Checking Transaction Log'!$E:$E,'Checking Transaction Log'!$C:$C,"&gt;="&amp;U1,'Checking Transaction Log'!$C:$C,"&lt;="&amp;V1,'Checking Transaction Log'!$A:$A,"F",'Checking Transaction Log'!$B:$B,42)</f>
        <v>0</v>
      </c>
      <c r="V30" s="284">
        <f t="shared" si="27"/>
        <v>75</v>
      </c>
      <c r="W30" s="247">
        <f>SUMIFS('Checking Transaction Log'!$E:$E,'Checking Transaction Log'!$C:$C,"&gt;="&amp;W1,'Checking Transaction Log'!$C:$C,"&lt;="&amp;X1,'Checking Transaction Log'!$A:$A,"F",'Checking Transaction Log'!$B:$B,42)</f>
        <v>0</v>
      </c>
      <c r="X30" s="247">
        <f t="shared" si="28"/>
        <v>75</v>
      </c>
      <c r="Y30" s="287">
        <f>SUMIFS('Checking Transaction Log'!$E:$E,'Checking Transaction Log'!$C:$C,"&gt;="&amp;Y1,'Checking Transaction Log'!$C:$C,"&lt;="&amp;Z1,'Checking Transaction Log'!$A:$A,"F",'Checking Transaction Log'!$B:$B,42)</f>
        <v>0</v>
      </c>
      <c r="Z30" s="287">
        <f t="shared" si="29"/>
        <v>75</v>
      </c>
      <c r="AA30" s="289">
        <f>SUMIFS('Checking Transaction Log'!$E:$E,'Checking Transaction Log'!$C:$C,"&gt;="&amp;AA1,'Checking Transaction Log'!$C:$C,"&lt;="&amp;AB1,'Checking Transaction Log'!$A:$A,"F",'Checking Transaction Log'!$B:$B,42)</f>
        <v>0</v>
      </c>
      <c r="AB30" s="289">
        <f t="shared" si="30"/>
        <v>75</v>
      </c>
      <c r="AC30" s="291">
        <f>SUMIFS('Checking Transaction Log'!$E:$E,'Checking Transaction Log'!$C:$C,"&gt;="&amp;AC1,'Checking Transaction Log'!$C:$C,"&lt;="&amp;AD1,'Checking Transaction Log'!$A:$A,"F",'Checking Transaction Log'!$B:$B,42)</f>
        <v>0</v>
      </c>
      <c r="AD30" s="291">
        <f t="shared" si="31"/>
        <v>75</v>
      </c>
      <c r="AE30" s="293">
        <f>SUMIFS('Checking Transaction Log'!$E:$E,'Checking Transaction Log'!$C:$C,"&gt;="&amp;AE1,'Checking Transaction Log'!$C:$C,"&lt;="&amp;AF1,'Checking Transaction Log'!$A:$A,"F",'Checking Transaction Log'!$B:$B,42)</f>
        <v>0</v>
      </c>
      <c r="AF30" s="293">
        <f t="shared" si="32"/>
        <v>75</v>
      </c>
    </row>
    <row r="31" spans="1:32" ht="11.25" customHeight="1" x14ac:dyDescent="0.3">
      <c r="A31" s="295" t="str">
        <f>'Proposed Budget'!A31</f>
        <v>F</v>
      </c>
      <c r="B31" s="266">
        <f>'Proposed Budget'!B31</f>
        <v>43</v>
      </c>
      <c r="C31" s="298" t="str">
        <f>'Proposed Budget'!C31</f>
        <v>Water Bill - Rental</v>
      </c>
      <c r="D31" s="299">
        <f t="shared" ca="1" si="17"/>
        <v>62.67441818181819</v>
      </c>
      <c r="E31" s="300">
        <f t="shared" si="18"/>
        <v>271.96000000000004</v>
      </c>
      <c r="F31" s="300">
        <f t="shared" si="19"/>
        <v>28.039999999999992</v>
      </c>
      <c r="G31" s="280">
        <f t="shared" si="20"/>
        <v>9.3466666666666587E-2</v>
      </c>
      <c r="H31" s="300">
        <f>'Proposed Budget'!D31</f>
        <v>75</v>
      </c>
      <c r="I31" s="281">
        <f>SUMIFS('Checking Transaction Log'!E:E,'Checking Transaction Log'!C:C,"&gt;="&amp;I1,'Checking Transaction Log'!C:C,"&lt;="&amp;J1,'Checking Transaction Log'!A:A,"F",'Checking Transaction Log'!B:B,43)</f>
        <v>66.53</v>
      </c>
      <c r="J31" s="281">
        <f t="shared" si="21"/>
        <v>8.4699999999999989</v>
      </c>
      <c r="K31" s="243">
        <f>SUMIFS('Checking Transaction Log'!E:E,'Checking Transaction Log'!C:C,"&gt;="&amp;K1,'Checking Transaction Log'!C:C,"&lt;="&amp;L1,'Checking Transaction Log'!A:A,"F",'Checking Transaction Log'!B:B,43)</f>
        <v>66.97</v>
      </c>
      <c r="L31" s="243">
        <f t="shared" si="22"/>
        <v>8.0300000000000011</v>
      </c>
      <c r="M31" s="284">
        <f>SUMIFS('Checking Transaction Log'!$E:$E,'Checking Transaction Log'!$C:$C,"&gt;="&amp;M1,'Checking Transaction Log'!$C:$C,"&lt;="&amp;N1,'Checking Transaction Log'!$A:$A,"F",'Checking Transaction Log'!$B:$B,43)</f>
        <v>65.19</v>
      </c>
      <c r="N31" s="284">
        <f t="shared" si="23"/>
        <v>9.8100000000000023</v>
      </c>
      <c r="O31" s="247">
        <f>SUMIFS('Checking Transaction Log'!$E:$E,'Checking Transaction Log'!$C:$C,"&gt;="&amp;O1,'Checking Transaction Log'!$C:$C,"&lt;="&amp;P1,'Checking Transaction Log'!$A:$A,"F",'Checking Transaction Log'!$B:$B,43)</f>
        <v>73.27000000000001</v>
      </c>
      <c r="P31" s="247">
        <f t="shared" si="24"/>
        <v>1.7299999999999898</v>
      </c>
      <c r="Q31" s="281">
        <f>SUMIFS('Checking Transaction Log'!$E:$E,'Checking Transaction Log'!$C:$C,"&gt;="&amp;Q1,'Checking Transaction Log'!$C:$C,"&lt;="&amp;R1,'Checking Transaction Log'!$A:$A,"F",'Checking Transaction Log'!$B:$B,43)</f>
        <v>0</v>
      </c>
      <c r="R31" s="281">
        <f t="shared" si="25"/>
        <v>75</v>
      </c>
      <c r="S31" s="243">
        <f>SUMIFS('Checking Transaction Log'!$E:$E,'Checking Transaction Log'!$C:$C,"&gt;="&amp;S1,'Checking Transaction Log'!$C:$C,"&lt;="&amp;T1,'Checking Transaction Log'!$A:$A,"F",'Checking Transaction Log'!$B:$B,43)</f>
        <v>0</v>
      </c>
      <c r="T31" s="243">
        <f t="shared" si="26"/>
        <v>75</v>
      </c>
      <c r="U31" s="284">
        <f>SUMIFS('Checking Transaction Log'!$E:$E,'Checking Transaction Log'!$C:$C,"&gt;="&amp;U1,'Checking Transaction Log'!$C:$C,"&lt;="&amp;V1,'Checking Transaction Log'!$A:$A,"F",'Checking Transaction Log'!$B:$B,43)</f>
        <v>0</v>
      </c>
      <c r="V31" s="284">
        <f t="shared" si="27"/>
        <v>75</v>
      </c>
      <c r="W31" s="247">
        <f>SUMIFS('Checking Transaction Log'!$E:$E,'Checking Transaction Log'!$C:$C,"&gt;="&amp;W1,'Checking Transaction Log'!$C:$C,"&lt;="&amp;X1,'Checking Transaction Log'!$A:$A,"F",'Checking Transaction Log'!$B:$B,43)</f>
        <v>0</v>
      </c>
      <c r="X31" s="247">
        <f t="shared" si="28"/>
        <v>75</v>
      </c>
      <c r="Y31" s="287">
        <f>SUMIFS('Checking Transaction Log'!$E:$E,'Checking Transaction Log'!$C:$C,"&gt;="&amp;Y1,'Checking Transaction Log'!$C:$C,"&lt;="&amp;Z1,'Checking Transaction Log'!$A:$A,"F",'Checking Transaction Log'!$B:$B,43)</f>
        <v>0</v>
      </c>
      <c r="Z31" s="287">
        <f t="shared" si="29"/>
        <v>75</v>
      </c>
      <c r="AA31" s="289">
        <f>SUMIFS('Checking Transaction Log'!$E:$E,'Checking Transaction Log'!$C:$C,"&gt;="&amp;AA1,'Checking Transaction Log'!$C:$C,"&lt;="&amp;AB1,'Checking Transaction Log'!$A:$A,"F",'Checking Transaction Log'!$B:$B,43)</f>
        <v>0</v>
      </c>
      <c r="AB31" s="289">
        <f t="shared" si="30"/>
        <v>75</v>
      </c>
      <c r="AC31" s="291">
        <f>SUMIFS('Checking Transaction Log'!$E:$E,'Checking Transaction Log'!$C:$C,"&gt;="&amp;AC1,'Checking Transaction Log'!$C:$C,"&lt;="&amp;AD1,'Checking Transaction Log'!$A:$A,"F",'Checking Transaction Log'!$B:$B,43)</f>
        <v>0</v>
      </c>
      <c r="AD31" s="291">
        <f t="shared" si="31"/>
        <v>75</v>
      </c>
      <c r="AE31" s="293">
        <f>SUMIFS('Checking Transaction Log'!$E:$E,'Checking Transaction Log'!$C:$C,"&gt;="&amp;AE1,'Checking Transaction Log'!$C:$C,"&lt;="&amp;AF1,'Checking Transaction Log'!$A:$A,"F",'Checking Transaction Log'!$B:$B,43)</f>
        <v>0</v>
      </c>
      <c r="AF31" s="293">
        <f t="shared" si="32"/>
        <v>75</v>
      </c>
    </row>
    <row r="32" spans="1:32" ht="15" customHeight="1" x14ac:dyDescent="0.3">
      <c r="D32" s="39"/>
    </row>
    <row r="33" spans="1:32" ht="11.25" customHeight="1" x14ac:dyDescent="0.3">
      <c r="A33" s="295" t="str">
        <f>'Proposed Budget'!A33</f>
        <v>R</v>
      </c>
      <c r="B33" s="266">
        <f>'Proposed Budget'!B33</f>
        <v>25</v>
      </c>
      <c r="C33" s="298" t="str">
        <f>'Proposed Budget'!C33</f>
        <v>Vehicle Maintenance</v>
      </c>
      <c r="D33" s="299">
        <f t="shared" ref="D33:D43" ca="1" si="33">(E33/(TODAY()-$I$1))*30.42</f>
        <v>322.63636363636363</v>
      </c>
      <c r="E33" s="300">
        <f t="shared" ref="E33:E43" si="34">Q33+S33+U33+W33+Y33+AA33+AC33+AE33+I33+K33+M33+O33</f>
        <v>1400</v>
      </c>
      <c r="F33" s="300">
        <f t="shared" ref="F33:F43" si="35">J33+L33+N33+P33</f>
        <v>0</v>
      </c>
      <c r="G33" s="280">
        <f t="shared" ref="G33:G43" si="36">1-((E33/SUM(E33:F33)))</f>
        <v>0</v>
      </c>
      <c r="H33" s="300">
        <f>'Proposed Budget'!D33</f>
        <v>350</v>
      </c>
      <c r="I33" s="281">
        <f>SUMIFS('Checking Transaction Log'!$E:$E,'Checking Transaction Log'!$C:$C,"&gt;="&amp;I1,'Checking Transaction Log'!$C:$C,"&lt;="&amp;J1,'Checking Transaction Log'!$A:$A,"R",'Checking Transaction Log'!$B:$B,25)</f>
        <v>350</v>
      </c>
      <c r="J33" s="281">
        <f t="shared" ref="J33:J43" si="37">H33-I33</f>
        <v>0</v>
      </c>
      <c r="K33" s="243">
        <f>SUMIFS('Checking Transaction Log'!$E:$E,'Checking Transaction Log'!$C:$C,"&gt;="&amp;K1,'Checking Transaction Log'!$C:$C,"&lt;="&amp;L1,'Checking Transaction Log'!$A:$A,"R",'Checking Transaction Log'!$B:$B,25)</f>
        <v>350</v>
      </c>
      <c r="L33" s="243">
        <f t="shared" ref="L33:L43" si="38">H33-K33</f>
        <v>0</v>
      </c>
      <c r="M33" s="284">
        <f>SUMIFS('Checking Transaction Log'!$E:$E,'Checking Transaction Log'!$C:$C,"&gt;="&amp;M1,'Checking Transaction Log'!$C:$C,"&lt;="&amp;N1,'Checking Transaction Log'!$A:$A,"R",'Checking Transaction Log'!$B:$B,25)</f>
        <v>350</v>
      </c>
      <c r="N33" s="284">
        <f t="shared" ref="N33:N43" si="39">H33-M33</f>
        <v>0</v>
      </c>
      <c r="O33" s="247">
        <f>SUMIFS('Checking Transaction Log'!$E:$E,'Checking Transaction Log'!$C:$C,"&gt;="&amp;O1,'Checking Transaction Log'!$C:$C,"&lt;="&amp;P1,'Checking Transaction Log'!$A:$A,"R",'Checking Transaction Log'!$B:$B,25)</f>
        <v>350</v>
      </c>
      <c r="P33" s="247">
        <f t="shared" ref="P33:P43" si="40">H33-O33</f>
        <v>0</v>
      </c>
      <c r="Q33" s="281">
        <f>SUMIFS('Checking Transaction Log'!$E:$E,'Checking Transaction Log'!$C:$C,"&gt;="&amp;Q1,'Checking Transaction Log'!$C:$C,"&lt;="&amp;R1,'Checking Transaction Log'!$A:$A,"R",'Checking Transaction Log'!$B:$B,25)</f>
        <v>0</v>
      </c>
      <c r="R33" s="281">
        <f t="shared" ref="R33:R43" si="41">H33-Q33</f>
        <v>350</v>
      </c>
      <c r="S33" s="243">
        <f>SUMIFS('Checking Transaction Log'!$E:$E,'Checking Transaction Log'!$C:$C,"&gt;="&amp;S1,'Checking Transaction Log'!$C:$C,"&lt;="&amp;T1,'Checking Transaction Log'!$A:$A,"R",'Checking Transaction Log'!$B:$B,25)</f>
        <v>0</v>
      </c>
      <c r="T33" s="243">
        <f t="shared" ref="T33:T43" si="42">H33-S33</f>
        <v>350</v>
      </c>
      <c r="U33" s="284">
        <f>SUMIFS('Checking Transaction Log'!$E:$E,'Checking Transaction Log'!$C:$C,"&gt;="&amp;U1,'Checking Transaction Log'!$C:$C,"&lt;="&amp;V1,'Checking Transaction Log'!$A:$A,"R",'Checking Transaction Log'!$B:$B,25)</f>
        <v>0</v>
      </c>
      <c r="V33" s="284">
        <f t="shared" ref="V33:V43" si="43">H33-U33</f>
        <v>350</v>
      </c>
      <c r="W33" s="247">
        <f>SUMIFS('Checking Transaction Log'!$E:$E,'Checking Transaction Log'!$C:$C,"&gt;="&amp;W1,'Checking Transaction Log'!$C:$C,"&lt;="&amp;X1,'Checking Transaction Log'!$A:$A,"R",'Checking Transaction Log'!$B:$B,25)</f>
        <v>0</v>
      </c>
      <c r="X33" s="247">
        <f t="shared" ref="X33:X43" si="44">H33-W33</f>
        <v>350</v>
      </c>
      <c r="Y33" s="287">
        <f>SUMIFS('Checking Transaction Log'!$E:$E,'Checking Transaction Log'!$C:$C,"&gt;="&amp;Y1,'Checking Transaction Log'!$C:$C,"&lt;="&amp;Z1,'Checking Transaction Log'!$A:$A,"R",'Checking Transaction Log'!$B:$B,25)</f>
        <v>0</v>
      </c>
      <c r="Z33" s="287">
        <f t="shared" ref="Z33:Z43" si="45">H33-Y33</f>
        <v>350</v>
      </c>
      <c r="AA33" s="289">
        <f>SUMIFS('Checking Transaction Log'!$E:$E,'Checking Transaction Log'!$C:$C,"&gt;="&amp;AA1,'Checking Transaction Log'!$C:$C,"&lt;="&amp;AB1,'Checking Transaction Log'!$A:$A,"R",'Checking Transaction Log'!$B:$B,25)</f>
        <v>0</v>
      </c>
      <c r="AB33" s="289">
        <f t="shared" ref="AB33:AB43" si="46">H33-AA33</f>
        <v>350</v>
      </c>
      <c r="AC33" s="291">
        <f>SUMIFS('Checking Transaction Log'!$E:$E,'Checking Transaction Log'!$C:$C,"&gt;="&amp;AC1,'Checking Transaction Log'!$C:$C,"&lt;="&amp;AD1,'Checking Transaction Log'!$A:$A,"R",'Checking Transaction Log'!$B:$B,25)</f>
        <v>0</v>
      </c>
      <c r="AD33" s="291">
        <f t="shared" ref="AD33:AD43" si="47">H33-AC33</f>
        <v>350</v>
      </c>
      <c r="AE33" s="293">
        <f>SUMIFS('Checking Transaction Log'!$E:$E,'Checking Transaction Log'!$C:$C,"&gt;="&amp;AE1,'Checking Transaction Log'!$C:$C,"&lt;="&amp;AF1,'Checking Transaction Log'!$A:$A,"R",'Checking Transaction Log'!$B:$B,25)</f>
        <v>0</v>
      </c>
      <c r="AF33" s="293">
        <f t="shared" ref="AF33:AF43" si="48">H33-AE33</f>
        <v>350</v>
      </c>
    </row>
    <row r="34" spans="1:32" ht="11.25" customHeight="1" x14ac:dyDescent="0.3">
      <c r="A34" s="295" t="str">
        <f>'Proposed Budget'!A34</f>
        <v>R</v>
      </c>
      <c r="B34" s="266">
        <f>'Proposed Budget'!B34</f>
        <v>26</v>
      </c>
      <c r="C34" s="298" t="str">
        <f>'Proposed Budget'!C34</f>
        <v>Car Insurance</v>
      </c>
      <c r="D34" s="299">
        <f t="shared" ca="1" si="33"/>
        <v>294.9818181818182</v>
      </c>
      <c r="E34" s="300">
        <f t="shared" si="34"/>
        <v>1280</v>
      </c>
      <c r="F34" s="300">
        <f t="shared" si="35"/>
        <v>0</v>
      </c>
      <c r="G34" s="280">
        <f t="shared" si="36"/>
        <v>0</v>
      </c>
      <c r="H34" s="300">
        <f>'Proposed Budget'!D34</f>
        <v>320</v>
      </c>
      <c r="I34" s="281">
        <f>SUMIFS('Checking Transaction Log'!E:E,'Checking Transaction Log'!C:C,"&gt;="&amp;I1,'Checking Transaction Log'!C:C,"&lt;="&amp;J1,'Checking Transaction Log'!A:A,"R",'Checking Transaction Log'!B:B,26)</f>
        <v>320</v>
      </c>
      <c r="J34" s="281">
        <f t="shared" si="37"/>
        <v>0</v>
      </c>
      <c r="K34" s="243">
        <f>SUMIFS('Checking Transaction Log'!$E:$E,'Checking Transaction Log'!$C:$C,"&gt;="&amp;K1,'Checking Transaction Log'!$C:$C,"&lt;="&amp;L1,'Checking Transaction Log'!$A:$A,"R",'Checking Transaction Log'!$B:$B,26)</f>
        <v>320</v>
      </c>
      <c r="L34" s="243">
        <f t="shared" si="38"/>
        <v>0</v>
      </c>
      <c r="M34" s="284">
        <f>SUMIFS('Checking Transaction Log'!$E:$E,'Checking Transaction Log'!$C:$C,"&gt;="&amp;M1,'Checking Transaction Log'!$C:$C,"&lt;="&amp;N1,'Checking Transaction Log'!$A:$A,"R",'Checking Transaction Log'!$B:$B,26)</f>
        <v>320</v>
      </c>
      <c r="N34" s="284">
        <f t="shared" si="39"/>
        <v>0</v>
      </c>
      <c r="O34" s="247">
        <f>SUMIFS('Checking Transaction Log'!$E:$E,'Checking Transaction Log'!$C:$C,"&gt;="&amp;O1,'Checking Transaction Log'!$C:$C,"&lt;="&amp;P1,'Checking Transaction Log'!$A:$A,"R",'Checking Transaction Log'!$B:$B,26)</f>
        <v>320</v>
      </c>
      <c r="P34" s="247">
        <f t="shared" si="40"/>
        <v>0</v>
      </c>
      <c r="Q34" s="281">
        <f>SUMIFS('Checking Transaction Log'!$E:$E,'Checking Transaction Log'!$C:$C,"&gt;="&amp;Q1,'Checking Transaction Log'!$C:$C,"&lt;="&amp;R1,'Checking Transaction Log'!$A:$A,"R",'Checking Transaction Log'!$B:$B,26)</f>
        <v>0</v>
      </c>
      <c r="R34" s="281">
        <f t="shared" si="41"/>
        <v>320</v>
      </c>
      <c r="S34" s="243">
        <f>SUMIFS('Checking Transaction Log'!$E:$E,'Checking Transaction Log'!$C:$C,"&gt;="&amp;S1,'Checking Transaction Log'!$C:$C,"&lt;="&amp;T1,'Checking Transaction Log'!$A:$A,"R",'Checking Transaction Log'!$B:$B,26)</f>
        <v>0</v>
      </c>
      <c r="T34" s="243">
        <f t="shared" si="42"/>
        <v>320</v>
      </c>
      <c r="U34" s="284">
        <f>SUMIFS('Checking Transaction Log'!$E:$E,'Checking Transaction Log'!$C:$C,"&gt;="&amp;U1,'Checking Transaction Log'!$C:$C,"&lt;="&amp;V1,'Checking Transaction Log'!$A:$A,"R",'Checking Transaction Log'!$B:$B,26)</f>
        <v>0</v>
      </c>
      <c r="V34" s="284">
        <f t="shared" si="43"/>
        <v>320</v>
      </c>
      <c r="W34" s="247">
        <f>SUMIFS('Checking Transaction Log'!$E:$E,'Checking Transaction Log'!$C:$C,"&gt;="&amp;W1,'Checking Transaction Log'!$C:$C,"&lt;="&amp;X1,'Checking Transaction Log'!$A:$A,"R",'Checking Transaction Log'!$B:$B,26)</f>
        <v>0</v>
      </c>
      <c r="X34" s="247">
        <f t="shared" si="44"/>
        <v>320</v>
      </c>
      <c r="Y34" s="287">
        <f>SUMIFS('Checking Transaction Log'!$E:$E,'Checking Transaction Log'!$C:$C,"&gt;="&amp;Y1,'Checking Transaction Log'!$C:$C,"&lt;="&amp;Z1,'Checking Transaction Log'!$A:$A,"R",'Checking Transaction Log'!$B:$B,26)</f>
        <v>0</v>
      </c>
      <c r="Z34" s="287">
        <f t="shared" si="45"/>
        <v>320</v>
      </c>
      <c r="AA34" s="289">
        <f>SUMIFS('Checking Transaction Log'!$E:$E,'Checking Transaction Log'!$C:$C,"&gt;="&amp;AA1,'Checking Transaction Log'!$C:$C,"&lt;="&amp;AB1,'Checking Transaction Log'!$A:$A,"R",'Checking Transaction Log'!$B:$B,26)</f>
        <v>0</v>
      </c>
      <c r="AB34" s="289">
        <f t="shared" si="46"/>
        <v>320</v>
      </c>
      <c r="AC34" s="291">
        <f>SUMIFS('Checking Transaction Log'!$E:$E,'Checking Transaction Log'!$C:$C,"&gt;="&amp;AC1,'Checking Transaction Log'!$C:$C,"&lt;="&amp;AD1,'Checking Transaction Log'!$A:$A,"R",'Checking Transaction Log'!$B:$B,26)</f>
        <v>0</v>
      </c>
      <c r="AD34" s="291">
        <f t="shared" si="47"/>
        <v>320</v>
      </c>
      <c r="AE34" s="293">
        <f>SUMIFS('Checking Transaction Log'!$E:$E,'Checking Transaction Log'!$C:$C,"&gt;="&amp;AE1,'Checking Transaction Log'!$C:$C,"&lt;="&amp;AF1,'Checking Transaction Log'!$A:$A,"R",'Checking Transaction Log'!$B:$B,26)</f>
        <v>0</v>
      </c>
      <c r="AF34" s="293">
        <f t="shared" si="48"/>
        <v>320</v>
      </c>
    </row>
    <row r="35" spans="1:32" ht="11.25" customHeight="1" x14ac:dyDescent="0.3">
      <c r="A35" s="295" t="str">
        <f>'Proposed Budget'!A35</f>
        <v>R</v>
      </c>
      <c r="B35" s="266">
        <f>'Proposed Budget'!B35</f>
        <v>27</v>
      </c>
      <c r="C35" s="298" t="str">
        <f>'Proposed Budget'!C35</f>
        <v>Rental Garbage</v>
      </c>
      <c r="D35" s="299">
        <f t="shared" ca="1" si="33"/>
        <v>23.045454545454547</v>
      </c>
      <c r="E35" s="300">
        <f t="shared" si="34"/>
        <v>100</v>
      </c>
      <c r="F35" s="300">
        <f t="shared" si="35"/>
        <v>0</v>
      </c>
      <c r="G35" s="280">
        <f t="shared" si="36"/>
        <v>0</v>
      </c>
      <c r="H35" s="300">
        <f>'Proposed Budget'!D35</f>
        <v>25</v>
      </c>
      <c r="I35" s="281">
        <f>SUMIFS('Checking Transaction Log'!E:E,'Checking Transaction Log'!C:C,"&gt;="&amp;I1,'Checking Transaction Log'!C:C,"&lt;="&amp;J1,'Checking Transaction Log'!A:A,"R",'Checking Transaction Log'!B:B,27)</f>
        <v>25</v>
      </c>
      <c r="J35" s="281">
        <f t="shared" si="37"/>
        <v>0</v>
      </c>
      <c r="K35" s="243">
        <f>SUMIFS('Checking Transaction Log'!$E:$E,'Checking Transaction Log'!$C:$C,"&gt;="&amp;K1,'Checking Transaction Log'!$C:$C,"&lt;="&amp;L1,'Checking Transaction Log'!$A:$A,"R",'Checking Transaction Log'!$B:$B,27)</f>
        <v>25</v>
      </c>
      <c r="L35" s="243">
        <f t="shared" si="38"/>
        <v>0</v>
      </c>
      <c r="M35" s="284">
        <f>SUMIFS('Checking Transaction Log'!$E:$E,'Checking Transaction Log'!$C:$C,"&gt;="&amp;M1,'Checking Transaction Log'!$C:$C,"&lt;="&amp;N1,'Checking Transaction Log'!$A:$A,"R",'Checking Transaction Log'!$B:$B,27)</f>
        <v>25</v>
      </c>
      <c r="N35" s="284">
        <f t="shared" si="39"/>
        <v>0</v>
      </c>
      <c r="O35" s="247">
        <f>SUMIFS('Checking Transaction Log'!$E:$E,'Checking Transaction Log'!$C:$C,"&gt;="&amp;O1,'Checking Transaction Log'!$C:$C,"&lt;="&amp;P1,'Checking Transaction Log'!$A:$A,"R",'Checking Transaction Log'!$B:$B,27)</f>
        <v>25</v>
      </c>
      <c r="P35" s="247">
        <f t="shared" si="40"/>
        <v>0</v>
      </c>
      <c r="Q35" s="281">
        <f>SUMIFS('Checking Transaction Log'!$E:$E,'Checking Transaction Log'!$C:$C,"&gt;="&amp;Q1,'Checking Transaction Log'!$C:$C,"&lt;="&amp;R1,'Checking Transaction Log'!$A:$A,"R",'Checking Transaction Log'!$B:$B,27)</f>
        <v>0</v>
      </c>
      <c r="R35" s="281">
        <f t="shared" si="41"/>
        <v>25</v>
      </c>
      <c r="S35" s="243">
        <f>SUMIFS('Checking Transaction Log'!$E:$E,'Checking Transaction Log'!$C:$C,"&gt;="&amp;S1,'Checking Transaction Log'!$C:$C,"&lt;="&amp;T1,'Checking Transaction Log'!$A:$A,"R",'Checking Transaction Log'!$B:$B,27)</f>
        <v>0</v>
      </c>
      <c r="T35" s="243">
        <f t="shared" si="42"/>
        <v>25</v>
      </c>
      <c r="U35" s="284">
        <f>SUMIFS('Checking Transaction Log'!$E:$E,'Checking Transaction Log'!$C:$C,"&gt;="&amp;U1,'Checking Transaction Log'!$C:$C,"&lt;="&amp;V1,'Checking Transaction Log'!$A:$A,"R",'Checking Transaction Log'!$B:$B,27)</f>
        <v>0</v>
      </c>
      <c r="V35" s="284">
        <f t="shared" si="43"/>
        <v>25</v>
      </c>
      <c r="W35" s="247">
        <f>SUMIFS('Checking Transaction Log'!$E:$E,'Checking Transaction Log'!$C:$C,"&gt;="&amp;W1,'Checking Transaction Log'!$C:$C,"&lt;="&amp;X1,'Checking Transaction Log'!$A:$A,"R",'Checking Transaction Log'!$B:$B,27)</f>
        <v>0</v>
      </c>
      <c r="X35" s="247">
        <f t="shared" si="44"/>
        <v>25</v>
      </c>
      <c r="Y35" s="287">
        <f>SUMIFS('Checking Transaction Log'!$E:$E,'Checking Transaction Log'!$C:$C,"&gt;="&amp;Y1,'Checking Transaction Log'!$C:$C,"&lt;="&amp;Z1,'Checking Transaction Log'!$A:$A,"R",'Checking Transaction Log'!$B:$B,27)</f>
        <v>0</v>
      </c>
      <c r="Z35" s="287">
        <f t="shared" si="45"/>
        <v>25</v>
      </c>
      <c r="AA35" s="289">
        <f>SUMIFS('Checking Transaction Log'!$E:$E,'Checking Transaction Log'!$C:$C,"&gt;="&amp;AA1,'Checking Transaction Log'!$C:$C,"&lt;="&amp;AB1,'Checking Transaction Log'!$A:$A,"R",'Checking Transaction Log'!$B:$B,27)</f>
        <v>0</v>
      </c>
      <c r="AB35" s="289">
        <f t="shared" si="46"/>
        <v>25</v>
      </c>
      <c r="AC35" s="291">
        <f>SUMIFS('Checking Transaction Log'!$E:$E,'Checking Transaction Log'!$C:$C,"&gt;="&amp;AC1,'Checking Transaction Log'!$C:$C,"&lt;="&amp;AD1,'Checking Transaction Log'!$A:$A,"R",'Checking Transaction Log'!$B:$B,27)</f>
        <v>0</v>
      </c>
      <c r="AD35" s="291">
        <f t="shared" si="47"/>
        <v>25</v>
      </c>
      <c r="AE35" s="293">
        <f>SUMIFS('Checking Transaction Log'!$E:$E,'Checking Transaction Log'!$C:$C,"&gt;="&amp;AE1,'Checking Transaction Log'!$C:$C,"&lt;="&amp;AF1,'Checking Transaction Log'!$A:$A,"R",'Checking Transaction Log'!$B:$B,27)</f>
        <v>0</v>
      </c>
      <c r="AF35" s="293">
        <f t="shared" si="48"/>
        <v>25</v>
      </c>
    </row>
    <row r="36" spans="1:32" ht="11.25" customHeight="1" x14ac:dyDescent="0.3">
      <c r="A36" s="295" t="str">
        <f>'Proposed Budget'!A36</f>
        <v>R</v>
      </c>
      <c r="B36" s="266">
        <f>'Proposed Budget'!B36</f>
        <v>28</v>
      </c>
      <c r="C36" s="298" t="str">
        <f>'Proposed Budget'!C36</f>
        <v>Garbage</v>
      </c>
      <c r="D36" s="299">
        <f t="shared" ca="1" si="33"/>
        <v>23.045454545454547</v>
      </c>
      <c r="E36" s="300">
        <f t="shared" si="34"/>
        <v>100</v>
      </c>
      <c r="F36" s="300">
        <f t="shared" si="35"/>
        <v>0</v>
      </c>
      <c r="G36" s="280">
        <f t="shared" si="36"/>
        <v>0</v>
      </c>
      <c r="H36" s="300">
        <f>'Proposed Budget'!D36</f>
        <v>25</v>
      </c>
      <c r="I36" s="281">
        <f>SUMIFS('Checking Transaction Log'!E:E,'Checking Transaction Log'!C:C,"&gt;="&amp;I1,'Checking Transaction Log'!C:C,"&lt;="&amp;J1,'Checking Transaction Log'!A:A,"R",'Checking Transaction Log'!B:B,28)</f>
        <v>25</v>
      </c>
      <c r="J36" s="281">
        <f t="shared" si="37"/>
        <v>0</v>
      </c>
      <c r="K36" s="243">
        <f>SUMIFS('Checking Transaction Log'!$E:$E,'Checking Transaction Log'!$C:$C,"&gt;="&amp;K1,'Checking Transaction Log'!$C:$C,"&lt;="&amp;L1,'Checking Transaction Log'!$A:$A,"R",'Checking Transaction Log'!$B:$B,28)</f>
        <v>25</v>
      </c>
      <c r="L36" s="243">
        <f t="shared" si="38"/>
        <v>0</v>
      </c>
      <c r="M36" s="284">
        <f>SUMIFS('Checking Transaction Log'!$E:$E,'Checking Transaction Log'!$C:$C,"&gt;="&amp;M1,'Checking Transaction Log'!$C:$C,"&lt;="&amp;N1,'Checking Transaction Log'!$A:$A,"R",'Checking Transaction Log'!$B:$B,28)</f>
        <v>25</v>
      </c>
      <c r="N36" s="284">
        <f t="shared" si="39"/>
        <v>0</v>
      </c>
      <c r="O36" s="247">
        <f>SUMIFS('Checking Transaction Log'!$E:$E,'Checking Transaction Log'!$C:$C,"&gt;="&amp;O1,'Checking Transaction Log'!$C:$C,"&lt;="&amp;P1,'Checking Transaction Log'!$A:$A,"R",'Checking Transaction Log'!$B:$B,28)</f>
        <v>25</v>
      </c>
      <c r="P36" s="247">
        <f t="shared" si="40"/>
        <v>0</v>
      </c>
      <c r="Q36" s="281">
        <f>SUMIFS('Checking Transaction Log'!$E:$E,'Checking Transaction Log'!$C:$C,"&gt;="&amp;Q1,'Checking Transaction Log'!$C:$C,"&lt;="&amp;R1,'Checking Transaction Log'!$A:$A,"R",'Checking Transaction Log'!$B:$B,28)</f>
        <v>0</v>
      </c>
      <c r="R36" s="281">
        <f t="shared" si="41"/>
        <v>25</v>
      </c>
      <c r="S36" s="243">
        <f>SUMIFS('Checking Transaction Log'!$E:$E,'Checking Transaction Log'!$C:$C,"&gt;="&amp;S1,'Checking Transaction Log'!$C:$C,"&lt;="&amp;T1,'Checking Transaction Log'!$A:$A,"R",'Checking Transaction Log'!$B:$B,28)</f>
        <v>0</v>
      </c>
      <c r="T36" s="243">
        <f t="shared" si="42"/>
        <v>25</v>
      </c>
      <c r="U36" s="284">
        <f>SUMIFS('Checking Transaction Log'!$E:$E,'Checking Transaction Log'!$C:$C,"&gt;="&amp;U1,'Checking Transaction Log'!$C:$C,"&lt;="&amp;V1,'Checking Transaction Log'!$A:$A,"R",'Checking Transaction Log'!$B:$B,28)</f>
        <v>0</v>
      </c>
      <c r="V36" s="284">
        <f t="shared" si="43"/>
        <v>25</v>
      </c>
      <c r="W36" s="247">
        <f>SUMIFS('Checking Transaction Log'!$E:$E,'Checking Transaction Log'!$C:$C,"&gt;="&amp;W1,'Checking Transaction Log'!$C:$C,"&lt;="&amp;X1,'Checking Transaction Log'!$A:$A,"R",'Checking Transaction Log'!$B:$B,28)</f>
        <v>0</v>
      </c>
      <c r="X36" s="247">
        <f t="shared" si="44"/>
        <v>25</v>
      </c>
      <c r="Y36" s="287">
        <f>SUMIFS('Checking Transaction Log'!$E:$E,'Checking Transaction Log'!$C:$C,"&gt;="&amp;Y1,'Checking Transaction Log'!$C:$C,"&lt;="&amp;Z1,'Checking Transaction Log'!$A:$A,"R",'Checking Transaction Log'!$B:$B,28)</f>
        <v>0</v>
      </c>
      <c r="Z36" s="287">
        <f t="shared" si="45"/>
        <v>25</v>
      </c>
      <c r="AA36" s="289">
        <f>SUMIFS('Checking Transaction Log'!$E:$E,'Checking Transaction Log'!$C:$C,"&gt;="&amp;AA1,'Checking Transaction Log'!$C:$C,"&lt;="&amp;AB1,'Checking Transaction Log'!$A:$A,"R",'Checking Transaction Log'!$B:$B,28)</f>
        <v>0</v>
      </c>
      <c r="AB36" s="289">
        <f t="shared" si="46"/>
        <v>25</v>
      </c>
      <c r="AC36" s="291">
        <f>SUMIFS('Checking Transaction Log'!$E:$E,'Checking Transaction Log'!$C:$C,"&gt;="&amp;AC1,'Checking Transaction Log'!$C:$C,"&lt;="&amp;AD1,'Checking Transaction Log'!$A:$A,"R",'Checking Transaction Log'!$B:$B,28)</f>
        <v>0</v>
      </c>
      <c r="AD36" s="291">
        <f t="shared" si="47"/>
        <v>25</v>
      </c>
      <c r="AE36" s="293">
        <f>SUMIFS('Checking Transaction Log'!$E:$E,'Checking Transaction Log'!$C:$C,"&gt;="&amp;AE1,'Checking Transaction Log'!$C:$C,"&lt;="&amp;AF1,'Checking Transaction Log'!$A:$A,"R",'Checking Transaction Log'!$B:$B,28)</f>
        <v>0</v>
      </c>
      <c r="AF36" s="293">
        <f t="shared" si="48"/>
        <v>25</v>
      </c>
    </row>
    <row r="37" spans="1:32" ht="11.25" customHeight="1" x14ac:dyDescent="0.3">
      <c r="A37" s="295" t="str">
        <f>'Proposed Budget'!A37</f>
        <v>R</v>
      </c>
      <c r="B37" s="266">
        <f>'Proposed Budget'!B37</f>
        <v>29</v>
      </c>
      <c r="C37" s="298" t="str">
        <f>'Proposed Budget'!C37</f>
        <v>Sanitation - Main</v>
      </c>
      <c r="D37" s="299">
        <f t="shared" ca="1" si="33"/>
        <v>41.481818181818184</v>
      </c>
      <c r="E37" s="300">
        <f t="shared" si="34"/>
        <v>180</v>
      </c>
      <c r="F37" s="300">
        <f t="shared" si="35"/>
        <v>0</v>
      </c>
      <c r="G37" s="280">
        <f t="shared" si="36"/>
        <v>0</v>
      </c>
      <c r="H37" s="300">
        <f>'Proposed Budget'!D37</f>
        <v>45</v>
      </c>
      <c r="I37" s="281">
        <f>SUMIFS('Checking Transaction Log'!E:E,'Checking Transaction Log'!C:C,"&gt;="&amp;I1,'Checking Transaction Log'!C:C,"&lt;="&amp;J1,'Checking Transaction Log'!A:A,"R",'Checking Transaction Log'!B:B,29)</f>
        <v>45</v>
      </c>
      <c r="J37" s="281">
        <f t="shared" si="37"/>
        <v>0</v>
      </c>
      <c r="K37" s="243">
        <f>SUMIFS('Checking Transaction Log'!$E:$E,'Checking Transaction Log'!$C:$C,"&gt;="&amp;K1,'Checking Transaction Log'!$C:$C,"&lt;="&amp;L1,'Checking Transaction Log'!$A:$A,"R",'Checking Transaction Log'!$B:$B,29)</f>
        <v>45</v>
      </c>
      <c r="L37" s="243">
        <f t="shared" si="38"/>
        <v>0</v>
      </c>
      <c r="M37" s="284">
        <f>SUMIFS('Checking Transaction Log'!$E:$E,'Checking Transaction Log'!$C:$C,"&gt;="&amp;M1,'Checking Transaction Log'!$C:$C,"&lt;="&amp;N1,'Checking Transaction Log'!$A:$A,"R",'Checking Transaction Log'!$B:$B,29)</f>
        <v>45</v>
      </c>
      <c r="N37" s="284">
        <f t="shared" si="39"/>
        <v>0</v>
      </c>
      <c r="O37" s="247">
        <f>SUMIFS('Checking Transaction Log'!$E:$E,'Checking Transaction Log'!$C:$C,"&gt;="&amp;O1,'Checking Transaction Log'!$C:$C,"&lt;="&amp;P1,'Checking Transaction Log'!$A:$A,"R",'Checking Transaction Log'!$B:$B,29)</f>
        <v>45</v>
      </c>
      <c r="P37" s="247">
        <f t="shared" si="40"/>
        <v>0</v>
      </c>
      <c r="Q37" s="281">
        <f>SUMIFS('Checking Transaction Log'!$E:$E,'Checking Transaction Log'!$C:$C,"&gt;="&amp;Q1,'Checking Transaction Log'!$C:$C,"&lt;="&amp;R1,'Checking Transaction Log'!$A:$A,"R",'Checking Transaction Log'!$B:$B,29)</f>
        <v>0</v>
      </c>
      <c r="R37" s="281">
        <f t="shared" si="41"/>
        <v>45</v>
      </c>
      <c r="S37" s="243">
        <f>SUMIFS('Checking Transaction Log'!$E:$E,'Checking Transaction Log'!$C:$C,"&gt;="&amp;S1,'Checking Transaction Log'!$C:$C,"&lt;="&amp;T1,'Checking Transaction Log'!$A:$A,"R",'Checking Transaction Log'!$B:$B,29)</f>
        <v>0</v>
      </c>
      <c r="T37" s="243">
        <f t="shared" si="42"/>
        <v>45</v>
      </c>
      <c r="U37" s="284">
        <f>SUMIFS('Checking Transaction Log'!$E:$E,'Checking Transaction Log'!$C:$C,"&gt;="&amp;U1,'Checking Transaction Log'!$C:$C,"&lt;="&amp;V1,'Checking Transaction Log'!$A:$A,"R",'Checking Transaction Log'!$B:$B,29)</f>
        <v>0</v>
      </c>
      <c r="V37" s="284">
        <f t="shared" si="43"/>
        <v>45</v>
      </c>
      <c r="W37" s="247">
        <f>SUMIFS('Checking Transaction Log'!$E:$E,'Checking Transaction Log'!$C:$C,"&gt;="&amp;W1,'Checking Transaction Log'!$C:$C,"&lt;="&amp;X1,'Checking Transaction Log'!$A:$A,"R",'Checking Transaction Log'!$B:$B,29)</f>
        <v>0</v>
      </c>
      <c r="X37" s="247">
        <f t="shared" si="44"/>
        <v>45</v>
      </c>
      <c r="Y37" s="287">
        <f>SUMIFS('Checking Transaction Log'!$E:$E,'Checking Transaction Log'!$C:$C,"&gt;="&amp;Y1,'Checking Transaction Log'!$C:$C,"&lt;="&amp;Z1,'Checking Transaction Log'!$A:$A,"R",'Checking Transaction Log'!$B:$B,29)</f>
        <v>0</v>
      </c>
      <c r="Z37" s="287">
        <f t="shared" si="45"/>
        <v>45</v>
      </c>
      <c r="AA37" s="289">
        <f>SUMIFS('Checking Transaction Log'!$E:$E,'Checking Transaction Log'!$C:$C,"&gt;="&amp;AA1,'Checking Transaction Log'!$C:$C,"&lt;="&amp;AB1,'Checking Transaction Log'!$A:$A,"R",'Checking Transaction Log'!$B:$B,29)</f>
        <v>0</v>
      </c>
      <c r="AB37" s="289">
        <f t="shared" si="46"/>
        <v>45</v>
      </c>
      <c r="AC37" s="291">
        <f>SUMIFS('Checking Transaction Log'!$E:$E,'Checking Transaction Log'!$C:$C,"&gt;="&amp;AC1,'Checking Transaction Log'!$C:$C,"&lt;="&amp;AD1,'Checking Transaction Log'!$A:$A,"R",'Checking Transaction Log'!$B:$B,29)</f>
        <v>0</v>
      </c>
      <c r="AD37" s="291">
        <f t="shared" si="47"/>
        <v>45</v>
      </c>
      <c r="AE37" s="293">
        <f>SUMIFS('Checking Transaction Log'!$E:$E,'Checking Transaction Log'!$C:$C,"&gt;="&amp;AE1,'Checking Transaction Log'!$C:$C,"&lt;="&amp;AF1,'Checking Transaction Log'!$A:$A,"R",'Checking Transaction Log'!$B:$B,29)</f>
        <v>0</v>
      </c>
      <c r="AF37" s="293">
        <f t="shared" si="48"/>
        <v>45</v>
      </c>
    </row>
    <row r="38" spans="1:32" ht="11.25" customHeight="1" x14ac:dyDescent="0.3">
      <c r="A38" s="295" t="str">
        <f>'Proposed Budget'!A38</f>
        <v>R</v>
      </c>
      <c r="B38" s="266">
        <f>'Proposed Budget'!B38</f>
        <v>30</v>
      </c>
      <c r="C38" s="298" t="str">
        <f>'Proposed Budget'!C38</f>
        <v>Camping/Vacation</v>
      </c>
      <c r="D38" s="299">
        <f t="shared" ca="1" si="33"/>
        <v>368.72727272727275</v>
      </c>
      <c r="E38" s="300">
        <f t="shared" si="34"/>
        <v>1600</v>
      </c>
      <c r="F38" s="300">
        <f t="shared" si="35"/>
        <v>0</v>
      </c>
      <c r="G38" s="280">
        <f t="shared" si="36"/>
        <v>0</v>
      </c>
      <c r="H38" s="300">
        <f>'Proposed Budget'!D38</f>
        <v>400</v>
      </c>
      <c r="I38" s="281">
        <f>SUMIFS('Checking Transaction Log'!E:E,'Checking Transaction Log'!C:C,"&gt;="&amp;I1,'Checking Transaction Log'!C:C,"&lt;="&amp;J1,'Checking Transaction Log'!A:A,"R",'Checking Transaction Log'!B:B,30)</f>
        <v>400</v>
      </c>
      <c r="J38" s="281">
        <f t="shared" si="37"/>
        <v>0</v>
      </c>
      <c r="K38" s="243">
        <f>SUMIFS('Checking Transaction Log'!$E:$E,'Checking Transaction Log'!$C:$C,"&gt;="&amp;K1,'Checking Transaction Log'!$C:$C,"&lt;="&amp;L1,'Checking Transaction Log'!$A:$A,"R",'Checking Transaction Log'!$B:$B,30)</f>
        <v>400</v>
      </c>
      <c r="L38" s="243">
        <f t="shared" si="38"/>
        <v>0</v>
      </c>
      <c r="M38" s="284">
        <f>SUMIFS('Checking Transaction Log'!$E:$E,'Checking Transaction Log'!$C:$C,"&gt;="&amp;M1,'Checking Transaction Log'!$C:$C,"&lt;="&amp;N1,'Checking Transaction Log'!$A:$A,"R",'Checking Transaction Log'!$B:$B,30)</f>
        <v>400</v>
      </c>
      <c r="N38" s="284">
        <f t="shared" si="39"/>
        <v>0</v>
      </c>
      <c r="O38" s="247">
        <f>SUMIFS('Checking Transaction Log'!$E:$E,'Checking Transaction Log'!$C:$C,"&gt;="&amp;O1,'Checking Transaction Log'!$C:$C,"&lt;="&amp;P1,'Checking Transaction Log'!$A:$A,"R",'Checking Transaction Log'!$B:$B,30)</f>
        <v>400</v>
      </c>
      <c r="P38" s="247">
        <f t="shared" si="40"/>
        <v>0</v>
      </c>
      <c r="Q38" s="281">
        <f>SUMIFS('Checking Transaction Log'!$E:$E,'Checking Transaction Log'!$C:$C,"&gt;="&amp;Q1,'Checking Transaction Log'!$C:$C,"&lt;="&amp;R1,'Checking Transaction Log'!$A:$A,"R",'Checking Transaction Log'!$B:$B,30)</f>
        <v>0</v>
      </c>
      <c r="R38" s="281">
        <f t="shared" si="41"/>
        <v>400</v>
      </c>
      <c r="S38" s="243">
        <f>SUMIFS('Checking Transaction Log'!$E:$E,'Checking Transaction Log'!$C:$C,"&gt;="&amp;S1,'Checking Transaction Log'!$C:$C,"&lt;="&amp;T1,'Checking Transaction Log'!$A:$A,"R",'Checking Transaction Log'!$B:$B,30)</f>
        <v>0</v>
      </c>
      <c r="T38" s="243">
        <f t="shared" si="42"/>
        <v>400</v>
      </c>
      <c r="U38" s="284">
        <f>SUMIFS('Checking Transaction Log'!$E:$E,'Checking Transaction Log'!$C:$C,"&gt;="&amp;U1,'Checking Transaction Log'!$C:$C,"&lt;="&amp;V1,'Checking Transaction Log'!$A:$A,"R",'Checking Transaction Log'!$B:$B,30)</f>
        <v>0</v>
      </c>
      <c r="V38" s="284">
        <f t="shared" si="43"/>
        <v>400</v>
      </c>
      <c r="W38" s="247">
        <f>SUMIFS('Checking Transaction Log'!$E:$E,'Checking Transaction Log'!$C:$C,"&gt;="&amp;W1,'Checking Transaction Log'!$C:$C,"&lt;="&amp;X1,'Checking Transaction Log'!$A:$A,"R",'Checking Transaction Log'!$B:$B,30)</f>
        <v>0</v>
      </c>
      <c r="X38" s="247">
        <f t="shared" si="44"/>
        <v>400</v>
      </c>
      <c r="Y38" s="287">
        <f>SUMIFS('Checking Transaction Log'!$E:$E,'Checking Transaction Log'!$C:$C,"&gt;="&amp;Y1,'Checking Transaction Log'!$C:$C,"&lt;="&amp;Z1,'Checking Transaction Log'!$A:$A,"R",'Checking Transaction Log'!$B:$B,30)</f>
        <v>0</v>
      </c>
      <c r="Z38" s="287">
        <f t="shared" si="45"/>
        <v>400</v>
      </c>
      <c r="AA38" s="289">
        <f>SUMIFS('Checking Transaction Log'!$E:$E,'Checking Transaction Log'!$C:$C,"&gt;="&amp;AA1,'Checking Transaction Log'!$C:$C,"&lt;="&amp;AB1,'Checking Transaction Log'!$A:$A,"R",'Checking Transaction Log'!$B:$B,30)</f>
        <v>0</v>
      </c>
      <c r="AB38" s="289">
        <f t="shared" si="46"/>
        <v>400</v>
      </c>
      <c r="AC38" s="291">
        <f>SUMIFS('Checking Transaction Log'!$E:$E,'Checking Transaction Log'!$C:$C,"&gt;="&amp;AC1,'Checking Transaction Log'!$C:$C,"&lt;="&amp;AD1,'Checking Transaction Log'!$A:$A,"R",'Checking Transaction Log'!$B:$B,30)</f>
        <v>0</v>
      </c>
      <c r="AD38" s="291">
        <f t="shared" si="47"/>
        <v>400</v>
      </c>
      <c r="AE38" s="293">
        <f>SUMIFS('Checking Transaction Log'!$E:$E,'Checking Transaction Log'!$C:$C,"&gt;="&amp;AE1,'Checking Transaction Log'!$C:$C,"&lt;="&amp;AF1,'Checking Transaction Log'!$A:$A,"R",'Checking Transaction Log'!$B:$B,30)</f>
        <v>0</v>
      </c>
      <c r="AF38" s="293">
        <f t="shared" si="48"/>
        <v>400</v>
      </c>
    </row>
    <row r="39" spans="1:32" ht="11.25" customHeight="1" x14ac:dyDescent="0.3">
      <c r="A39" s="295" t="str">
        <f>'Proposed Budget'!A39</f>
        <v>R</v>
      </c>
      <c r="B39" s="266">
        <f>'Proposed Budget'!B39</f>
        <v>31</v>
      </c>
      <c r="C39" s="298" t="str">
        <f>'Proposed Budget'!C39</f>
        <v>Home Maintenance</v>
      </c>
      <c r="D39" s="299">
        <f t="shared" ca="1" si="33"/>
        <v>345.68181818181819</v>
      </c>
      <c r="E39" s="300">
        <f t="shared" si="34"/>
        <v>1500</v>
      </c>
      <c r="F39" s="300">
        <f t="shared" si="35"/>
        <v>0</v>
      </c>
      <c r="G39" s="280">
        <f t="shared" si="36"/>
        <v>0</v>
      </c>
      <c r="H39" s="300">
        <f>'Proposed Budget'!D39</f>
        <v>375</v>
      </c>
      <c r="I39" s="281">
        <f>SUMIFS('Checking Transaction Log'!E:E,'Checking Transaction Log'!C:C,"&gt;="&amp;I1,'Checking Transaction Log'!C:C,"&lt;="&amp;J1,'Checking Transaction Log'!A:A,"R",'Checking Transaction Log'!B:B,31)</f>
        <v>375</v>
      </c>
      <c r="J39" s="281">
        <f t="shared" si="37"/>
        <v>0</v>
      </c>
      <c r="K39" s="243">
        <f>SUMIFS('Checking Transaction Log'!$E:$E,'Checking Transaction Log'!$C:$C,"&gt;="&amp;K1,'Checking Transaction Log'!$C:$C,"&lt;="&amp;L1,'Checking Transaction Log'!$A:$A,"R",'Checking Transaction Log'!$B:$B,31)</f>
        <v>375</v>
      </c>
      <c r="L39" s="243">
        <f t="shared" si="38"/>
        <v>0</v>
      </c>
      <c r="M39" s="284">
        <f>SUMIFS('Checking Transaction Log'!$E:$E,'Checking Transaction Log'!$C:$C,"&gt;="&amp;M1,'Checking Transaction Log'!$C:$C,"&lt;="&amp;N1,'Checking Transaction Log'!$A:$A,"R",'Checking Transaction Log'!$B:$B,31)</f>
        <v>375</v>
      </c>
      <c r="N39" s="284">
        <f t="shared" si="39"/>
        <v>0</v>
      </c>
      <c r="O39" s="247">
        <f>SUMIFS('Checking Transaction Log'!$E:$E,'Checking Transaction Log'!$C:$C,"&gt;="&amp;O1,'Checking Transaction Log'!$C:$C,"&lt;="&amp;P1,'Checking Transaction Log'!$A:$A,"R",'Checking Transaction Log'!$B:$B,31)</f>
        <v>375</v>
      </c>
      <c r="P39" s="247">
        <f t="shared" si="40"/>
        <v>0</v>
      </c>
      <c r="Q39" s="281">
        <f>SUMIFS('Checking Transaction Log'!$E:$E,'Checking Transaction Log'!$C:$C,"&gt;="&amp;Q1,'Checking Transaction Log'!$C:$C,"&lt;="&amp;R1,'Checking Transaction Log'!$A:$A,"R",'Checking Transaction Log'!$B:$B,31)</f>
        <v>0</v>
      </c>
      <c r="R39" s="281">
        <f t="shared" si="41"/>
        <v>375</v>
      </c>
      <c r="S39" s="243">
        <f>SUMIFS('Checking Transaction Log'!$E:$E,'Checking Transaction Log'!$C:$C,"&gt;="&amp;S1,'Checking Transaction Log'!$C:$C,"&lt;="&amp;T1,'Checking Transaction Log'!$A:$A,"R",'Checking Transaction Log'!$B:$B,31)</f>
        <v>0</v>
      </c>
      <c r="T39" s="243">
        <f t="shared" si="42"/>
        <v>375</v>
      </c>
      <c r="U39" s="284">
        <f>SUMIFS('Checking Transaction Log'!$E:$E,'Checking Transaction Log'!$C:$C,"&gt;="&amp;U1,'Checking Transaction Log'!$C:$C,"&lt;="&amp;V1,'Checking Transaction Log'!$A:$A,"R",'Checking Transaction Log'!$B:$B,31)</f>
        <v>0</v>
      </c>
      <c r="V39" s="284">
        <f t="shared" si="43"/>
        <v>375</v>
      </c>
      <c r="W39" s="247">
        <f>SUMIFS('Checking Transaction Log'!$E:$E,'Checking Transaction Log'!$C:$C,"&gt;="&amp;W1,'Checking Transaction Log'!$C:$C,"&lt;="&amp;X1,'Checking Transaction Log'!$A:$A,"R",'Checking Transaction Log'!$B:$B,31)</f>
        <v>0</v>
      </c>
      <c r="X39" s="247">
        <f t="shared" si="44"/>
        <v>375</v>
      </c>
      <c r="Y39" s="287">
        <f>SUMIFS('Checking Transaction Log'!$E:$E,'Checking Transaction Log'!$C:$C,"&gt;="&amp;Y1,'Checking Transaction Log'!$C:$C,"&lt;="&amp;Z1,'Checking Transaction Log'!$A:$A,"R",'Checking Transaction Log'!$B:$B,31)</f>
        <v>0</v>
      </c>
      <c r="Z39" s="287">
        <f t="shared" si="45"/>
        <v>375</v>
      </c>
      <c r="AA39" s="289">
        <f>SUMIFS('Checking Transaction Log'!$E:$E,'Checking Transaction Log'!$C:$C,"&gt;="&amp;AA1,'Checking Transaction Log'!$C:$C,"&lt;="&amp;AB1,'Checking Transaction Log'!$A:$A,"R",'Checking Transaction Log'!$B:$B,31)</f>
        <v>0</v>
      </c>
      <c r="AB39" s="289">
        <f t="shared" si="46"/>
        <v>375</v>
      </c>
      <c r="AC39" s="291">
        <f>SUMIFS('Checking Transaction Log'!$E:$E,'Checking Transaction Log'!$C:$C,"&gt;="&amp;AC1,'Checking Transaction Log'!$C:$C,"&lt;="&amp;AD1,'Checking Transaction Log'!$A:$A,"R",'Checking Transaction Log'!$B:$B,31)</f>
        <v>0</v>
      </c>
      <c r="AD39" s="291">
        <f t="shared" si="47"/>
        <v>375</v>
      </c>
      <c r="AE39" s="293">
        <f>SUMIFS('Checking Transaction Log'!$E:$E,'Checking Transaction Log'!$C:$C,"&gt;="&amp;AE1,'Checking Transaction Log'!$C:$C,"&lt;="&amp;AF1,'Checking Transaction Log'!$A:$A,"R",'Checking Transaction Log'!$B:$B,31)</f>
        <v>0</v>
      </c>
      <c r="AF39" s="293">
        <f t="shared" si="48"/>
        <v>375</v>
      </c>
    </row>
    <row r="40" spans="1:32" ht="11.25" customHeight="1" x14ac:dyDescent="0.3">
      <c r="A40" s="295" t="str">
        <f>'Proposed Budget'!A40</f>
        <v>R</v>
      </c>
      <c r="B40" s="266">
        <f>'Proposed Budget'!B40</f>
        <v>32</v>
      </c>
      <c r="C40" s="298" t="str">
        <f>'Proposed Budget'!C40</f>
        <v>Rental Repairs</v>
      </c>
      <c r="D40" s="299">
        <f t="shared" ca="1" si="33"/>
        <v>92.181818181818187</v>
      </c>
      <c r="E40" s="300">
        <f t="shared" si="34"/>
        <v>400</v>
      </c>
      <c r="F40" s="300">
        <f t="shared" si="35"/>
        <v>0</v>
      </c>
      <c r="G40" s="280">
        <f t="shared" si="36"/>
        <v>0</v>
      </c>
      <c r="H40" s="300">
        <f>'Proposed Budget'!D40</f>
        <v>100</v>
      </c>
      <c r="I40" s="281">
        <f>SUMIFS('Checking Transaction Log'!E:E,'Checking Transaction Log'!C:C,"&gt;="&amp;I1,'Checking Transaction Log'!C:C,"&lt;="&amp;J1,'Checking Transaction Log'!A:A,"R",'Checking Transaction Log'!B:B,32)</f>
        <v>100</v>
      </c>
      <c r="J40" s="281">
        <f t="shared" si="37"/>
        <v>0</v>
      </c>
      <c r="K40" s="243">
        <f>SUMIFS('Checking Transaction Log'!$E:$E,'Checking Transaction Log'!$C:$C,"&gt;="&amp;K1,'Checking Transaction Log'!$C:$C,"&lt;="&amp;L1,'Checking Transaction Log'!$A:$A,"R",'Checking Transaction Log'!$B:$B,32)</f>
        <v>100</v>
      </c>
      <c r="L40" s="243">
        <f t="shared" si="38"/>
        <v>0</v>
      </c>
      <c r="M40" s="284">
        <f>SUMIFS('Checking Transaction Log'!$E:$E,'Checking Transaction Log'!$C:$C,"&gt;="&amp;M1,'Checking Transaction Log'!$C:$C,"&lt;="&amp;N1,'Checking Transaction Log'!$A:$A,"R",'Checking Transaction Log'!$B:$B,32)</f>
        <v>100</v>
      </c>
      <c r="N40" s="284">
        <f t="shared" si="39"/>
        <v>0</v>
      </c>
      <c r="O40" s="247">
        <f>SUMIFS('Checking Transaction Log'!$E:$E,'Checking Transaction Log'!$C:$C,"&gt;="&amp;O1,'Checking Transaction Log'!$C:$C,"&lt;="&amp;P1,'Checking Transaction Log'!$A:$A,"R",'Checking Transaction Log'!$B:$B,32)</f>
        <v>100</v>
      </c>
      <c r="P40" s="247">
        <f t="shared" si="40"/>
        <v>0</v>
      </c>
      <c r="Q40" s="281">
        <f>SUMIFS('Checking Transaction Log'!$E:$E,'Checking Transaction Log'!$C:$C,"&gt;="&amp;Q1,'Checking Transaction Log'!$C:$C,"&lt;="&amp;R1,'Checking Transaction Log'!$A:$A,"R",'Checking Transaction Log'!$B:$B,32)</f>
        <v>0</v>
      </c>
      <c r="R40" s="281">
        <f t="shared" si="41"/>
        <v>100</v>
      </c>
      <c r="S40" s="243">
        <f>SUMIFS('Checking Transaction Log'!$E:$E,'Checking Transaction Log'!$C:$C,"&gt;="&amp;S1,'Checking Transaction Log'!$C:$C,"&lt;="&amp;T1,'Checking Transaction Log'!$A:$A,"R",'Checking Transaction Log'!$B:$B,32)</f>
        <v>0</v>
      </c>
      <c r="T40" s="243">
        <f t="shared" si="42"/>
        <v>100</v>
      </c>
      <c r="U40" s="284">
        <f>SUMIFS('Checking Transaction Log'!$E:$E,'Checking Transaction Log'!$C:$C,"&gt;="&amp;U1,'Checking Transaction Log'!$C:$C,"&lt;="&amp;V1,'Checking Transaction Log'!$A:$A,"R",'Checking Transaction Log'!$B:$B,32)</f>
        <v>0</v>
      </c>
      <c r="V40" s="284">
        <f t="shared" si="43"/>
        <v>100</v>
      </c>
      <c r="W40" s="247">
        <f>SUMIFS('Checking Transaction Log'!$E:$E,'Checking Transaction Log'!$C:$C,"&gt;="&amp;W1,'Checking Transaction Log'!$C:$C,"&lt;="&amp;X1,'Checking Transaction Log'!$A:$A,"R",'Checking Transaction Log'!$B:$B,32)</f>
        <v>0</v>
      </c>
      <c r="X40" s="247">
        <f t="shared" si="44"/>
        <v>100</v>
      </c>
      <c r="Y40" s="287">
        <f>SUMIFS('Checking Transaction Log'!$E:$E,'Checking Transaction Log'!$C:$C,"&gt;="&amp;Y1,'Checking Transaction Log'!$C:$C,"&lt;="&amp;Z1,'Checking Transaction Log'!$A:$A,"R",'Checking Transaction Log'!$B:$B,32)</f>
        <v>0</v>
      </c>
      <c r="Z40" s="287">
        <f t="shared" si="45"/>
        <v>100</v>
      </c>
      <c r="AA40" s="289">
        <f>SUMIFS('Checking Transaction Log'!$E:$E,'Checking Transaction Log'!$C:$C,"&gt;="&amp;AA1,'Checking Transaction Log'!$C:$C,"&lt;="&amp;AB1,'Checking Transaction Log'!$A:$A,"R",'Checking Transaction Log'!$B:$B,32)</f>
        <v>0</v>
      </c>
      <c r="AB40" s="289">
        <f t="shared" si="46"/>
        <v>100</v>
      </c>
      <c r="AC40" s="291">
        <f>SUMIFS('Checking Transaction Log'!$E:$E,'Checking Transaction Log'!$C:$C,"&gt;="&amp;AC1,'Checking Transaction Log'!$C:$C,"&lt;="&amp;AD1,'Checking Transaction Log'!$A:$A,"R",'Checking Transaction Log'!$B:$B,32)</f>
        <v>0</v>
      </c>
      <c r="AD40" s="291">
        <f t="shared" si="47"/>
        <v>100</v>
      </c>
      <c r="AE40" s="293">
        <f>SUMIFS('Checking Transaction Log'!$E:$E,'Checking Transaction Log'!$C:$C,"&gt;="&amp;AE1,'Checking Transaction Log'!$C:$C,"&lt;="&amp;AF1,'Checking Transaction Log'!$A:$A,"R",'Checking Transaction Log'!$B:$B,32)</f>
        <v>0</v>
      </c>
      <c r="AF40" s="293">
        <f t="shared" si="48"/>
        <v>100</v>
      </c>
    </row>
    <row r="41" spans="1:32" ht="11.25" customHeight="1" x14ac:dyDescent="0.3">
      <c r="A41" s="295" t="str">
        <f>'Proposed Budget'!A41</f>
        <v>R</v>
      </c>
      <c r="B41" s="266">
        <f>'Proposed Budget'!B41</f>
        <v>33</v>
      </c>
      <c r="C41" s="298" t="str">
        <f>'Proposed Budget'!C41</f>
        <v>Rental Insurance</v>
      </c>
      <c r="D41" s="299">
        <f t="shared" ca="1" si="33"/>
        <v>78.354545454545459</v>
      </c>
      <c r="E41" s="300">
        <f t="shared" si="34"/>
        <v>340</v>
      </c>
      <c r="F41" s="300">
        <f t="shared" si="35"/>
        <v>0</v>
      </c>
      <c r="G41" s="280">
        <f t="shared" si="36"/>
        <v>0</v>
      </c>
      <c r="H41" s="300">
        <f>'Proposed Budget'!D41</f>
        <v>85</v>
      </c>
      <c r="I41" s="281">
        <f>SUMIFS('Checking Transaction Log'!E:E,'Checking Transaction Log'!C:C,"&gt;="&amp;I1,'Checking Transaction Log'!C:C,"&lt;="&amp;J1,'Checking Transaction Log'!A:A,"R",'Checking Transaction Log'!B:B,33)</f>
        <v>85</v>
      </c>
      <c r="J41" s="281">
        <f t="shared" si="37"/>
        <v>0</v>
      </c>
      <c r="K41" s="243">
        <f>SUMIFS('Checking Transaction Log'!$E:$E,'Checking Transaction Log'!$C:$C,"&gt;="&amp;K1,'Checking Transaction Log'!$C:$C,"&lt;="&amp;L1,'Checking Transaction Log'!$A:$A,"R",'Checking Transaction Log'!$B:$B,33)</f>
        <v>85</v>
      </c>
      <c r="L41" s="243">
        <f t="shared" si="38"/>
        <v>0</v>
      </c>
      <c r="M41" s="284">
        <f>SUMIFS('Checking Transaction Log'!$E:$E,'Checking Transaction Log'!$C:$C,"&gt;="&amp;M1,'Checking Transaction Log'!$C:$C,"&lt;="&amp;N1,'Checking Transaction Log'!$A:$A,"R",'Checking Transaction Log'!$B:$B,33)</f>
        <v>85</v>
      </c>
      <c r="N41" s="284">
        <f t="shared" si="39"/>
        <v>0</v>
      </c>
      <c r="O41" s="247">
        <f>SUMIFS('Checking Transaction Log'!$E:$E,'Checking Transaction Log'!$C:$C,"&gt;="&amp;O1,'Checking Transaction Log'!$C:$C,"&lt;="&amp;P1,'Checking Transaction Log'!$A:$A,"R",'Checking Transaction Log'!$B:$B,33)</f>
        <v>85</v>
      </c>
      <c r="P41" s="247">
        <f t="shared" si="40"/>
        <v>0</v>
      </c>
      <c r="Q41" s="281">
        <f>SUMIFS('Checking Transaction Log'!$E:$E,'Checking Transaction Log'!$C:$C,"&gt;="&amp;Q1,'Checking Transaction Log'!$C:$C,"&lt;="&amp;R1,'Checking Transaction Log'!$A:$A,"R",'Checking Transaction Log'!$B:$B,33)</f>
        <v>0</v>
      </c>
      <c r="R41" s="281">
        <f t="shared" si="41"/>
        <v>85</v>
      </c>
      <c r="S41" s="243">
        <f>SUMIFS('Checking Transaction Log'!$E:$E,'Checking Transaction Log'!$C:$C,"&gt;="&amp;S1,'Checking Transaction Log'!$C:$C,"&lt;="&amp;T1,'Checking Transaction Log'!$A:$A,"R",'Checking Transaction Log'!$B:$B,33)</f>
        <v>0</v>
      </c>
      <c r="T41" s="243">
        <f t="shared" si="42"/>
        <v>85</v>
      </c>
      <c r="U41" s="284">
        <f>SUMIFS('Checking Transaction Log'!$E:$E,'Checking Transaction Log'!$C:$C,"&gt;="&amp;U1,'Checking Transaction Log'!$C:$C,"&lt;="&amp;V1,'Checking Transaction Log'!$A:$A,"R",'Checking Transaction Log'!$B:$B,33)</f>
        <v>0</v>
      </c>
      <c r="V41" s="284">
        <f t="shared" si="43"/>
        <v>85</v>
      </c>
      <c r="W41" s="247">
        <f>SUMIFS('Checking Transaction Log'!$E:$E,'Checking Transaction Log'!$C:$C,"&gt;="&amp;W1,'Checking Transaction Log'!$C:$C,"&lt;="&amp;X1,'Checking Transaction Log'!$A:$A,"R",'Checking Transaction Log'!$B:$B,33)</f>
        <v>0</v>
      </c>
      <c r="X41" s="247">
        <f t="shared" si="44"/>
        <v>85</v>
      </c>
      <c r="Y41" s="287">
        <f>SUMIFS('Checking Transaction Log'!$E:$E,'Checking Transaction Log'!$C:$C,"&gt;="&amp;Y1,'Checking Transaction Log'!$C:$C,"&lt;="&amp;Z1,'Checking Transaction Log'!$A:$A,"R",'Checking Transaction Log'!$B:$B,33)</f>
        <v>0</v>
      </c>
      <c r="Z41" s="287">
        <f t="shared" si="45"/>
        <v>85</v>
      </c>
      <c r="AA41" s="289">
        <f>SUMIFS('Checking Transaction Log'!$E:$E,'Checking Transaction Log'!$C:$C,"&gt;="&amp;AA1,'Checking Transaction Log'!$C:$C,"&lt;="&amp;AB1,'Checking Transaction Log'!$A:$A,"R",'Checking Transaction Log'!$B:$B,33)</f>
        <v>0</v>
      </c>
      <c r="AB41" s="289">
        <f t="shared" si="46"/>
        <v>85</v>
      </c>
      <c r="AC41" s="291">
        <f>SUMIFS('Checking Transaction Log'!$E:$E,'Checking Transaction Log'!$C:$C,"&gt;="&amp;AC1,'Checking Transaction Log'!$C:$C,"&lt;="&amp;AD1,'Checking Transaction Log'!$A:$A,"R",'Checking Transaction Log'!$B:$B,33)</f>
        <v>0</v>
      </c>
      <c r="AD41" s="291">
        <f t="shared" si="47"/>
        <v>85</v>
      </c>
      <c r="AE41" s="293">
        <f>SUMIFS('Checking Transaction Log'!$E:$E,'Checking Transaction Log'!$C:$C,"&gt;="&amp;AE1,'Checking Transaction Log'!$C:$C,"&lt;="&amp;AF1,'Checking Transaction Log'!$A:$A,"R",'Checking Transaction Log'!$B:$B,33)</f>
        <v>0</v>
      </c>
      <c r="AF41" s="293">
        <f t="shared" si="48"/>
        <v>85</v>
      </c>
    </row>
    <row r="42" spans="1:32" ht="11.25" customHeight="1" x14ac:dyDescent="0.3">
      <c r="A42" s="295" t="str">
        <f>'Proposed Budget'!A42</f>
        <v>R</v>
      </c>
      <c r="B42" s="266">
        <f>'Proposed Budget'!B42</f>
        <v>34</v>
      </c>
      <c r="C42" s="298" t="str">
        <f>'Proposed Budget'!C42</f>
        <v>Rental Property Taxes</v>
      </c>
      <c r="D42" s="299">
        <f t="shared" ca="1" si="33"/>
        <v>212.01818181818183</v>
      </c>
      <c r="E42" s="300">
        <f t="shared" si="34"/>
        <v>920</v>
      </c>
      <c r="F42" s="300">
        <f t="shared" si="35"/>
        <v>0</v>
      </c>
      <c r="G42" s="280">
        <f t="shared" si="36"/>
        <v>0</v>
      </c>
      <c r="H42" s="300">
        <f>'Proposed Budget'!D42</f>
        <v>230</v>
      </c>
      <c r="I42" s="281">
        <f>SUMIFS('Checking Transaction Log'!E:E,'Checking Transaction Log'!C:C,"&gt;="&amp;I1,'Checking Transaction Log'!C:C,"&lt;="&amp;J1,'Checking Transaction Log'!A:A,"R",'Checking Transaction Log'!B:B,34)</f>
        <v>230</v>
      </c>
      <c r="J42" s="281">
        <f t="shared" si="37"/>
        <v>0</v>
      </c>
      <c r="K42" s="243">
        <f>SUMIFS('Checking Transaction Log'!$E:$E,'Checking Transaction Log'!$C:$C,"&gt;="&amp;K1,'Checking Transaction Log'!$C:$C,"&lt;="&amp;L1,'Checking Transaction Log'!$A:$A,"R",'Checking Transaction Log'!$B:$B,34)</f>
        <v>230</v>
      </c>
      <c r="L42" s="243">
        <f t="shared" si="38"/>
        <v>0</v>
      </c>
      <c r="M42" s="284">
        <f>SUMIFS('Checking Transaction Log'!$E:$E,'Checking Transaction Log'!$C:$C,"&gt;="&amp;M1,'Checking Transaction Log'!$C:$C,"&lt;="&amp;N1,'Checking Transaction Log'!$A:$A,"R",'Checking Transaction Log'!$B:$B,34)</f>
        <v>230</v>
      </c>
      <c r="N42" s="284">
        <f t="shared" si="39"/>
        <v>0</v>
      </c>
      <c r="O42" s="247">
        <f>SUMIFS('Checking Transaction Log'!$E:$E,'Checking Transaction Log'!$C:$C,"&gt;="&amp;O1,'Checking Transaction Log'!$C:$C,"&lt;="&amp;P1,'Checking Transaction Log'!$A:$A,"R",'Checking Transaction Log'!$B:$B,34)</f>
        <v>230</v>
      </c>
      <c r="P42" s="247">
        <f t="shared" si="40"/>
        <v>0</v>
      </c>
      <c r="Q42" s="281">
        <f>SUMIFS('Checking Transaction Log'!$E:$E,'Checking Transaction Log'!$C:$C,"&gt;="&amp;Q1,'Checking Transaction Log'!$C:$C,"&lt;="&amp;R1,'Checking Transaction Log'!$A:$A,"R",'Checking Transaction Log'!$B:$B,34)</f>
        <v>0</v>
      </c>
      <c r="R42" s="281">
        <f t="shared" si="41"/>
        <v>230</v>
      </c>
      <c r="S42" s="243">
        <f>SUMIFS('Checking Transaction Log'!$E:$E,'Checking Transaction Log'!$C:$C,"&gt;="&amp;S1,'Checking Transaction Log'!$C:$C,"&lt;="&amp;T1,'Checking Transaction Log'!$A:$A,"R",'Checking Transaction Log'!$B:$B,34)</f>
        <v>0</v>
      </c>
      <c r="T42" s="243">
        <f t="shared" si="42"/>
        <v>230</v>
      </c>
      <c r="U42" s="284">
        <f>SUMIFS('Checking Transaction Log'!$E:$E,'Checking Transaction Log'!$C:$C,"&gt;="&amp;U1,'Checking Transaction Log'!$C:$C,"&lt;="&amp;V1,'Checking Transaction Log'!$A:$A,"R",'Checking Transaction Log'!$B:$B,34)</f>
        <v>0</v>
      </c>
      <c r="V42" s="284">
        <f t="shared" si="43"/>
        <v>230</v>
      </c>
      <c r="W42" s="247">
        <f>SUMIFS('Checking Transaction Log'!$E:$E,'Checking Transaction Log'!$C:$C,"&gt;="&amp;W1,'Checking Transaction Log'!$C:$C,"&lt;="&amp;X1,'Checking Transaction Log'!$A:$A,"R",'Checking Transaction Log'!$B:$B,34)</f>
        <v>0</v>
      </c>
      <c r="X42" s="247">
        <f t="shared" si="44"/>
        <v>230</v>
      </c>
      <c r="Y42" s="287">
        <f>SUMIFS('Checking Transaction Log'!$E:$E,'Checking Transaction Log'!$C:$C,"&gt;="&amp;Y1,'Checking Transaction Log'!$C:$C,"&lt;="&amp;Z1,'Checking Transaction Log'!$A:$A,"R",'Checking Transaction Log'!$B:$B,34)</f>
        <v>0</v>
      </c>
      <c r="Z42" s="287">
        <f t="shared" si="45"/>
        <v>230</v>
      </c>
      <c r="AA42" s="289">
        <f>SUMIFS('Checking Transaction Log'!$E:$E,'Checking Transaction Log'!$C:$C,"&gt;="&amp;AA1,'Checking Transaction Log'!$C:$C,"&lt;="&amp;AB1,'Checking Transaction Log'!$A:$A,"R",'Checking Transaction Log'!$B:$B,34)</f>
        <v>0</v>
      </c>
      <c r="AB42" s="289">
        <f t="shared" si="46"/>
        <v>230</v>
      </c>
      <c r="AC42" s="291">
        <f>SUMIFS('Checking Transaction Log'!$E:$E,'Checking Transaction Log'!$C:$C,"&gt;="&amp;AC1,'Checking Transaction Log'!$C:$C,"&lt;="&amp;AD1,'Checking Transaction Log'!$A:$A,"R",'Checking Transaction Log'!$B:$B,34)</f>
        <v>0</v>
      </c>
      <c r="AD42" s="291">
        <f t="shared" si="47"/>
        <v>230</v>
      </c>
      <c r="AE42" s="293">
        <f>SUMIFS('Checking Transaction Log'!$E:$E,'Checking Transaction Log'!$C:$C,"&gt;="&amp;AE1,'Checking Transaction Log'!$C:$C,"&lt;="&amp;AF1,'Checking Transaction Log'!$A:$A,"R",'Checking Transaction Log'!$B:$B,34)</f>
        <v>0</v>
      </c>
      <c r="AF42" s="293">
        <f t="shared" si="48"/>
        <v>230</v>
      </c>
    </row>
    <row r="43" spans="1:32" ht="11.25" customHeight="1" x14ac:dyDescent="0.3">
      <c r="A43" s="295" t="str">
        <f>'Proposed Budget'!A43</f>
        <v>R</v>
      </c>
      <c r="B43" s="266">
        <f>'Proposed Budget'!B43</f>
        <v>35</v>
      </c>
      <c r="C43" s="298" t="str">
        <f>'Proposed Budget'!C43</f>
        <v>Rental Sanitation</v>
      </c>
      <c r="D43" s="299">
        <f t="shared" ca="1" si="33"/>
        <v>41.481818181818184</v>
      </c>
      <c r="E43" s="300">
        <f t="shared" si="34"/>
        <v>180</v>
      </c>
      <c r="F43" s="300">
        <f t="shared" si="35"/>
        <v>0</v>
      </c>
      <c r="G43" s="280">
        <f t="shared" si="36"/>
        <v>0</v>
      </c>
      <c r="H43" s="300">
        <f>'Proposed Budget'!D43</f>
        <v>45</v>
      </c>
      <c r="I43" s="281">
        <f>SUMIFS('Checking Transaction Log'!E:E,'Checking Transaction Log'!C:C,"&gt;="&amp;I1,'Checking Transaction Log'!C:C,"&lt;="&amp;J1,'Checking Transaction Log'!A:A,"R",'Checking Transaction Log'!B:B,35)</f>
        <v>45</v>
      </c>
      <c r="J43" s="281">
        <f t="shared" si="37"/>
        <v>0</v>
      </c>
      <c r="K43" s="243">
        <f>SUMIFS('Checking Transaction Log'!$E:$E,'Checking Transaction Log'!$C:$C,"&gt;="&amp;K1,'Checking Transaction Log'!$C:$C,"&lt;="&amp;L1,'Checking Transaction Log'!$A:$A,"R",'Checking Transaction Log'!$B:$B,35)</f>
        <v>45</v>
      </c>
      <c r="L43" s="243">
        <f t="shared" si="38"/>
        <v>0</v>
      </c>
      <c r="M43" s="284">
        <f>SUMIFS('Checking Transaction Log'!$E:$E,'Checking Transaction Log'!$C:$C,"&gt;="&amp;M1,'Checking Transaction Log'!$C:$C,"&lt;="&amp;N1,'Checking Transaction Log'!$A:$A,"R",'Checking Transaction Log'!$B:$B,35)</f>
        <v>45</v>
      </c>
      <c r="N43" s="284">
        <f t="shared" si="39"/>
        <v>0</v>
      </c>
      <c r="O43" s="247">
        <f>SUMIFS('Checking Transaction Log'!$E:$E,'Checking Transaction Log'!$C:$C,"&gt;="&amp;O1,'Checking Transaction Log'!$C:$C,"&lt;="&amp;P1,'Checking Transaction Log'!$A:$A,"R",'Checking Transaction Log'!$B:$B,35)</f>
        <v>45</v>
      </c>
      <c r="P43" s="247">
        <f t="shared" si="40"/>
        <v>0</v>
      </c>
      <c r="Q43" s="281">
        <f>SUMIFS('Checking Transaction Log'!$E:$E,'Checking Transaction Log'!$C:$C,"&gt;="&amp;Q1,'Checking Transaction Log'!$C:$C,"&lt;="&amp;R1,'Checking Transaction Log'!$A:$A,"R",'Checking Transaction Log'!$B:$B,35)</f>
        <v>0</v>
      </c>
      <c r="R43" s="281">
        <f t="shared" si="41"/>
        <v>45</v>
      </c>
      <c r="S43" s="243">
        <f>SUMIFS('Checking Transaction Log'!$E:$E,'Checking Transaction Log'!$C:$C,"&gt;="&amp;S1,'Checking Transaction Log'!$C:$C,"&lt;="&amp;T1,'Checking Transaction Log'!$A:$A,"R",'Checking Transaction Log'!$B:$B,35)</f>
        <v>0</v>
      </c>
      <c r="T43" s="243">
        <f t="shared" si="42"/>
        <v>45</v>
      </c>
      <c r="U43" s="284">
        <f>SUMIFS('Checking Transaction Log'!$E:$E,'Checking Transaction Log'!$C:$C,"&gt;="&amp;U1,'Checking Transaction Log'!$C:$C,"&lt;="&amp;V1,'Checking Transaction Log'!$A:$A,"R",'Checking Transaction Log'!$B:$B,35)</f>
        <v>0</v>
      </c>
      <c r="V43" s="284">
        <f t="shared" si="43"/>
        <v>45</v>
      </c>
      <c r="W43" s="247">
        <f>SUMIFS('Checking Transaction Log'!$E:$E,'Checking Transaction Log'!$C:$C,"&gt;="&amp;W1,'Checking Transaction Log'!$C:$C,"&lt;="&amp;X1,'Checking Transaction Log'!$A:$A,"R",'Checking Transaction Log'!$B:$B,35)</f>
        <v>0</v>
      </c>
      <c r="X43" s="247">
        <f t="shared" si="44"/>
        <v>45</v>
      </c>
      <c r="Y43" s="287">
        <f>SUMIFS('Checking Transaction Log'!$E:$E,'Checking Transaction Log'!$C:$C,"&gt;="&amp;Y1,'Checking Transaction Log'!$C:$C,"&lt;="&amp;Z1,'Checking Transaction Log'!$A:$A,"R",'Checking Transaction Log'!$B:$B,35)</f>
        <v>0</v>
      </c>
      <c r="Z43" s="287">
        <f t="shared" si="45"/>
        <v>45</v>
      </c>
      <c r="AA43" s="289">
        <f>SUMIFS('Checking Transaction Log'!$E:$E,'Checking Transaction Log'!$C:$C,"&gt;="&amp;AA1,'Checking Transaction Log'!$C:$C,"&lt;="&amp;AB1,'Checking Transaction Log'!$A:$A,"R",'Checking Transaction Log'!$B:$B,35)</f>
        <v>0</v>
      </c>
      <c r="AB43" s="289">
        <f t="shared" si="46"/>
        <v>45</v>
      </c>
      <c r="AC43" s="291">
        <f>SUMIFS('Checking Transaction Log'!$E:$E,'Checking Transaction Log'!$C:$C,"&gt;="&amp;AC1,'Checking Transaction Log'!$C:$C,"&lt;="&amp;AD1,'Checking Transaction Log'!$A:$A,"R",'Checking Transaction Log'!$B:$B,35)</f>
        <v>0</v>
      </c>
      <c r="AD43" s="291">
        <f t="shared" si="47"/>
        <v>45</v>
      </c>
      <c r="AE43" s="293">
        <f>SUMIFS('Checking Transaction Log'!$E:$E,'Checking Transaction Log'!$C:$C,"&gt;="&amp;AE1,'Checking Transaction Log'!$C:$C,"&lt;="&amp;AF1,'Checking Transaction Log'!$A:$A,"R",'Checking Transaction Log'!$B:$B,35)</f>
        <v>0</v>
      </c>
      <c r="AF43" s="293">
        <f t="shared" si="48"/>
        <v>45</v>
      </c>
    </row>
    <row r="44" spans="1:32" ht="11.25" customHeight="1" x14ac:dyDescent="0.3">
      <c r="A44" s="295"/>
      <c r="B44" s="266"/>
      <c r="C44" s="298"/>
      <c r="D44" s="299"/>
      <c r="E44" s="300"/>
      <c r="F44" s="300"/>
      <c r="G44" s="280"/>
      <c r="H44" s="300"/>
      <c r="I44" s="281"/>
      <c r="J44" s="281"/>
      <c r="K44" s="243"/>
      <c r="L44" s="243"/>
      <c r="M44" s="284"/>
      <c r="N44" s="284"/>
      <c r="O44" s="247"/>
      <c r="P44" s="247"/>
      <c r="Q44" s="281"/>
      <c r="R44" s="281"/>
      <c r="S44" s="243"/>
      <c r="T44" s="243"/>
      <c r="U44" s="284"/>
      <c r="V44" s="284"/>
      <c r="W44" s="247"/>
      <c r="X44" s="247"/>
      <c r="Y44" s="287"/>
      <c r="Z44" s="287"/>
      <c r="AA44" s="289"/>
      <c r="AB44" s="289"/>
      <c r="AC44" s="291"/>
      <c r="AD44" s="291"/>
      <c r="AE44" s="293"/>
      <c r="AF44" s="293"/>
    </row>
    <row r="45" spans="1:32" ht="11.25" customHeight="1" x14ac:dyDescent="0.3">
      <c r="A45" s="295" t="str">
        <f>'Proposed Budget'!A45</f>
        <v>S</v>
      </c>
      <c r="B45" s="266">
        <f>'Proposed Budget'!B45</f>
        <v>36</v>
      </c>
      <c r="C45" s="298" t="str">
        <f>'Proposed Budget'!C45</f>
        <v>Kids Savings</v>
      </c>
      <c r="D45" s="299">
        <f t="shared" ref="D45:D46" ca="1" si="49">(E45/(TODAY()-$I$1))*30.42</f>
        <v>57.613636363636367</v>
      </c>
      <c r="E45" s="300">
        <f t="shared" ref="E45:E46" si="50">Q45+S45+U45+W45+Y45+AA45+AC45+AE45+I45+K45+M45+O45</f>
        <v>250</v>
      </c>
      <c r="F45" s="300">
        <f t="shared" ref="F45:F46" si="51">J45+L45+N45+P45</f>
        <v>0</v>
      </c>
      <c r="G45" s="280">
        <f t="shared" ref="G45:G46" si="52">1-((E45/SUM(E45:F45)))</f>
        <v>0</v>
      </c>
      <c r="H45" s="300">
        <f>'Proposed Budget'!D45</f>
        <v>50</v>
      </c>
      <c r="I45" s="281">
        <f>SUMIFS('Checking Transaction Log'!E:E,'Checking Transaction Log'!C:C,"&gt;="&amp;I1,'Checking Transaction Log'!C:C,"&lt;="&amp;J1,'Checking Transaction Log'!A:A,"S",'Checking Transaction Log'!B:B,36)</f>
        <v>50</v>
      </c>
      <c r="J45" s="281">
        <f t="shared" ref="J45:J46" si="53">H45-I45</f>
        <v>0</v>
      </c>
      <c r="K45" s="243">
        <f>SUMIFS('Checking Transaction Log'!E:E,'Checking Transaction Log'!C:C,"&gt;="&amp;K1,'Checking Transaction Log'!C:C,"&lt;="&amp;L1,'Checking Transaction Log'!A:A,"S",'Checking Transaction Log'!B:B,36)</f>
        <v>50</v>
      </c>
      <c r="L45" s="243">
        <f t="shared" ref="L45:L46" si="54">H45-K45</f>
        <v>0</v>
      </c>
      <c r="M45" s="284">
        <f>SUMIFS('Checking Transaction Log'!$E:$E,'Checking Transaction Log'!$C:$C,"&gt;="&amp;M1,'Checking Transaction Log'!$C:$C,"&lt;="&amp;N1,'Checking Transaction Log'!$A:$A,"s",'Checking Transaction Log'!$B:$B,36)</f>
        <v>50</v>
      </c>
      <c r="N45" s="284">
        <f t="shared" ref="N45:N46" si="55">H45-M45</f>
        <v>0</v>
      </c>
      <c r="O45" s="247">
        <f>SUMIFS('Checking Transaction Log'!$E:$E,'Checking Transaction Log'!$C:$C,"&gt;="&amp;O1,'Checking Transaction Log'!$C:$C,"&lt;="&amp;P1,'Checking Transaction Log'!$A:$A,"s",'Checking Transaction Log'!$B:$B,36)</f>
        <v>50</v>
      </c>
      <c r="P45" s="247">
        <f t="shared" ref="P45:P46" si="56">H45-O45</f>
        <v>0</v>
      </c>
      <c r="Q45" s="281">
        <f>SUMIFS('Checking Transaction Log'!$E:$E,'Checking Transaction Log'!$C:$C,"&gt;="&amp;Q1,'Checking Transaction Log'!$C:$C,"&lt;="&amp;R1,'Checking Transaction Log'!$A:$A,"s",'Checking Transaction Log'!$B:$B,36)</f>
        <v>50</v>
      </c>
      <c r="R45" s="281">
        <f t="shared" ref="R45:R46" si="57">H45-Q45</f>
        <v>0</v>
      </c>
      <c r="S45" s="243">
        <f>SUMIFS('Checking Transaction Log'!$E:$E,'Checking Transaction Log'!$C:$C,"&gt;="&amp;S1,'Checking Transaction Log'!$C:$C,"&lt;="&amp;T1,'Checking Transaction Log'!$A:$A,"s",'Checking Transaction Log'!$B:$B,36)</f>
        <v>0</v>
      </c>
      <c r="T45" s="243">
        <f t="shared" ref="T45:T46" si="58">H45-S45</f>
        <v>50</v>
      </c>
      <c r="U45" s="284">
        <f>SUMIFS('Checking Transaction Log'!$E:$E,'Checking Transaction Log'!$C:$C,"&gt;="&amp;U1,'Checking Transaction Log'!$C:$C,"&lt;="&amp;V1,'Checking Transaction Log'!$A:$A,"s",'Checking Transaction Log'!$B:$B,36)</f>
        <v>0</v>
      </c>
      <c r="V45" s="284">
        <f t="shared" ref="V45:V46" si="59">H45-U45</f>
        <v>50</v>
      </c>
      <c r="W45" s="247">
        <f>SUMIFS('Checking Transaction Log'!$E:$E,'Checking Transaction Log'!$C:$C,"&gt;="&amp;W1,'Checking Transaction Log'!$C:$C,"&lt;="&amp;X1,'Checking Transaction Log'!$A:$A,"s",'Checking Transaction Log'!$B:$B,36)</f>
        <v>0</v>
      </c>
      <c r="X45" s="247">
        <f t="shared" ref="X45:X46" si="60">H45-W45</f>
        <v>50</v>
      </c>
      <c r="Y45" s="287">
        <f>SUMIFS('Checking Transaction Log'!$E:$E,'Checking Transaction Log'!$C:$C,"&gt;="&amp;Y1,'Checking Transaction Log'!$C:$C,"&lt;="&amp;Z1,'Checking Transaction Log'!$A:$A,"s",'Checking Transaction Log'!$B:$B,36)</f>
        <v>0</v>
      </c>
      <c r="Z45" s="287">
        <f t="shared" ref="Z45:Z46" si="61">H45-Y45</f>
        <v>50</v>
      </c>
      <c r="AA45" s="289">
        <f>SUMIFS('Checking Transaction Log'!$E:$E,'Checking Transaction Log'!$C:$C,"&gt;="&amp;AA1,'Checking Transaction Log'!$C:$C,"&lt;="&amp;AB1,'Checking Transaction Log'!$A:$A,"s",'Checking Transaction Log'!$B:$B,36)</f>
        <v>0</v>
      </c>
      <c r="AB45" s="289">
        <f t="shared" ref="AB45:AB46" si="62">H45-AA45</f>
        <v>50</v>
      </c>
      <c r="AC45" s="291">
        <f>SUMIFS('Checking Transaction Log'!$E:$E,'Checking Transaction Log'!$C:$C,"&gt;="&amp;AC1,'Checking Transaction Log'!$C:$C,"&lt;="&amp;AD1,'Checking Transaction Log'!$A:$A,"s",'Checking Transaction Log'!$B:$B,36)</f>
        <v>0</v>
      </c>
      <c r="AD45" s="291">
        <f t="shared" ref="AD45:AD46" si="63">H45-AC45</f>
        <v>50</v>
      </c>
      <c r="AE45" s="293">
        <f>SUMIFS('Checking Transaction Log'!$E:$E,'Checking Transaction Log'!$C:$C,"&gt;="&amp;AE1,'Checking Transaction Log'!$C:$C,"&lt;="&amp;AF1,'Checking Transaction Log'!$A:$A,"s",'Checking Transaction Log'!$B:$B,36)</f>
        <v>0</v>
      </c>
      <c r="AF45" s="293">
        <f t="shared" ref="AF45:AF46" si="64">H45-AE45</f>
        <v>50</v>
      </c>
    </row>
    <row r="46" spans="1:32" ht="11.25" customHeight="1" x14ac:dyDescent="0.3">
      <c r="A46" s="295" t="str">
        <f>'Proposed Budget'!A46</f>
        <v>S</v>
      </c>
      <c r="B46" s="266">
        <f>'Proposed Budget'!B46</f>
        <v>37</v>
      </c>
      <c r="C46" s="298" t="str">
        <f>'Proposed Budget'!C46</f>
        <v>Our Savings</v>
      </c>
      <c r="D46" s="299">
        <f t="shared" ca="1" si="49"/>
        <v>3891.4439318181817</v>
      </c>
      <c r="E46" s="300">
        <f t="shared" si="50"/>
        <v>16885.949999999997</v>
      </c>
      <c r="F46" s="300">
        <f t="shared" si="51"/>
        <v>-817.21597936001172</v>
      </c>
      <c r="G46" s="280">
        <f t="shared" si="52"/>
        <v>-5.0857521090977853E-2</v>
      </c>
      <c r="H46" s="300">
        <f>'Proposed Budget'!D46</f>
        <v>4017.1835051599969</v>
      </c>
      <c r="I46" s="281">
        <f>SUMIFS('Checking Transaction Log'!E:E,'Checking Transaction Log'!C:C,"&gt;="&amp;I1,'Checking Transaction Log'!C:C,"&lt;="&amp;J1,'Checking Transaction Log'!A:A,"S",'Checking Transaction Log'!B:B,37)</f>
        <v>3194.64</v>
      </c>
      <c r="J46" s="281">
        <f t="shared" si="53"/>
        <v>822.54350515999704</v>
      </c>
      <c r="K46" s="243">
        <f>SUMIFS('Checking Transaction Log'!E:E,'Checking Transaction Log'!C:C,"&gt;="&amp;K1,'Checking Transaction Log'!C:C,"&lt;="&amp;L1,'Checking Transaction Log'!A:A,"S",'Checking Transaction Log'!B:B,37)</f>
        <v>3764.91</v>
      </c>
      <c r="L46" s="243">
        <f t="shared" si="54"/>
        <v>252.27350515999706</v>
      </c>
      <c r="M46" s="284">
        <f>SUMIFS('Checking Transaction Log'!$E:$E,'Checking Transaction Log'!$C:$C,"&gt;="&amp;M1,'Checking Transaction Log'!$C:$C,"&lt;="&amp;N1,'Checking Transaction Log'!$A:$A,"s",'Checking Transaction Log'!$B:$B,37)</f>
        <v>4309.58</v>
      </c>
      <c r="N46" s="284">
        <f t="shared" si="55"/>
        <v>-292.39649484000302</v>
      </c>
      <c r="O46" s="247">
        <f>SUMIFS('Checking Transaction Log'!$E:$E,'Checking Transaction Log'!$C:$C,"&gt;="&amp;O1,'Checking Transaction Log'!$C:$C,"&lt;="&amp;P1,'Checking Transaction Log'!$A:$A,"s",'Checking Transaction Log'!$B:$B,37)</f>
        <v>5616.82</v>
      </c>
      <c r="P46" s="247">
        <f t="shared" si="56"/>
        <v>-1599.6364948400028</v>
      </c>
      <c r="Q46" s="281">
        <f>SUMIFS('Checking Transaction Log'!$E:$E,'Checking Transaction Log'!$C:$C,"&gt;="&amp;Q1,'Checking Transaction Log'!$C:$C,"&lt;="&amp;R1,'Checking Transaction Log'!$A:$A,"s",'Checking Transaction Log'!$B:$B,37)</f>
        <v>0</v>
      </c>
      <c r="R46" s="281">
        <f t="shared" si="57"/>
        <v>4017.1835051599969</v>
      </c>
      <c r="S46" s="243">
        <f>SUMIFS('Checking Transaction Log'!$E:$E,'Checking Transaction Log'!$C:$C,"&gt;="&amp;S1,'Checking Transaction Log'!$C:$C,"&lt;="&amp;T1,'Checking Transaction Log'!$A:$A,"s",'Checking Transaction Log'!$B:$B,37)</f>
        <v>0</v>
      </c>
      <c r="T46" s="243">
        <f t="shared" si="58"/>
        <v>4017.1835051599969</v>
      </c>
      <c r="U46" s="284">
        <f>SUMIFS('Checking Transaction Log'!$E:$E,'Checking Transaction Log'!$C:$C,"&gt;="&amp;U1,'Checking Transaction Log'!$C:$C,"&lt;="&amp;V1,'Checking Transaction Log'!$A:$A,"s",'Checking Transaction Log'!$B:$B,37)</f>
        <v>0</v>
      </c>
      <c r="V46" s="284">
        <f t="shared" si="59"/>
        <v>4017.1835051599969</v>
      </c>
      <c r="W46" s="247">
        <f>SUMIFS('Checking Transaction Log'!$E:$E,'Checking Transaction Log'!$C:$C,"&gt;="&amp;W1,'Checking Transaction Log'!$C:$C,"&lt;="&amp;X1,'Checking Transaction Log'!$A:$A,"s",'Checking Transaction Log'!$B:$B,37)</f>
        <v>0</v>
      </c>
      <c r="X46" s="247">
        <f t="shared" si="60"/>
        <v>4017.1835051599969</v>
      </c>
      <c r="Y46" s="287">
        <f>SUMIFS('Checking Transaction Log'!$E:$E,'Checking Transaction Log'!$C:$C,"&gt;="&amp;Y1,'Checking Transaction Log'!$C:$C,"&lt;="&amp;Z1,'Checking Transaction Log'!$A:$A,"s",'Checking Transaction Log'!$B:$B,37)</f>
        <v>0</v>
      </c>
      <c r="Z46" s="287">
        <f t="shared" si="61"/>
        <v>4017.1835051599969</v>
      </c>
      <c r="AA46" s="289">
        <f>SUMIFS('Checking Transaction Log'!$E:$E,'Checking Transaction Log'!$C:$C,"&gt;="&amp;AA1,'Checking Transaction Log'!$C:$C,"&lt;="&amp;AB1,'Checking Transaction Log'!$A:$A,"s",'Checking Transaction Log'!$B:$B,37)</f>
        <v>0</v>
      </c>
      <c r="AB46" s="289">
        <f t="shared" si="62"/>
        <v>4017.1835051599969</v>
      </c>
      <c r="AC46" s="291">
        <f>SUMIFS('Checking Transaction Log'!$E:$E,'Checking Transaction Log'!$C:$C,"&gt;="&amp;AC1,'Checking Transaction Log'!$C:$C,"&lt;="&amp;AD1,'Checking Transaction Log'!$A:$A,"s",'Checking Transaction Log'!$B:$B,37)</f>
        <v>0</v>
      </c>
      <c r="AD46" s="291">
        <f t="shared" si="63"/>
        <v>4017.1835051599969</v>
      </c>
      <c r="AE46" s="293">
        <f>SUMIFS('Checking Transaction Log'!$E:$E,'Checking Transaction Log'!$C:$C,"&gt;="&amp;AE1,'Checking Transaction Log'!$C:$C,"&lt;="&amp;AF1,'Checking Transaction Log'!$A:$A,"s",'Checking Transaction Log'!$B:$B,37)</f>
        <v>0</v>
      </c>
      <c r="AF46" s="293">
        <f t="shared" si="64"/>
        <v>4017.1835051599969</v>
      </c>
    </row>
    <row r="47" spans="1:32" ht="11.25" customHeight="1" x14ac:dyDescent="0.3">
      <c r="A47" s="295"/>
      <c r="B47" s="266"/>
      <c r="C47" s="298"/>
      <c r="D47" s="302"/>
      <c r="E47" s="256" t="s">
        <v>68</v>
      </c>
      <c r="F47" s="256" t="s">
        <v>68</v>
      </c>
      <c r="G47" s="257" t="s">
        <v>153</v>
      </c>
      <c r="H47" s="297"/>
      <c r="I47" s="281"/>
      <c r="J47" s="281"/>
      <c r="K47" s="243"/>
      <c r="L47" s="243"/>
      <c r="M47" s="284"/>
      <c r="N47" s="284"/>
      <c r="O47" s="247"/>
      <c r="P47" s="247"/>
      <c r="Q47" s="281"/>
      <c r="R47" s="281"/>
      <c r="S47" s="243"/>
      <c r="T47" s="243"/>
      <c r="U47" s="284"/>
      <c r="V47" s="284"/>
      <c r="W47" s="247"/>
      <c r="X47" s="247"/>
      <c r="Y47" s="287"/>
      <c r="Z47" s="287"/>
      <c r="AA47" s="289"/>
      <c r="AB47" s="289"/>
      <c r="AC47" s="291"/>
      <c r="AD47" s="291"/>
      <c r="AE47" s="293"/>
    </row>
    <row r="48" spans="1:32" ht="11.25" customHeight="1" x14ac:dyDescent="0.3">
      <c r="A48" s="295"/>
      <c r="B48" s="266"/>
      <c r="C48" s="298"/>
      <c r="D48" s="302"/>
      <c r="E48" s="256" t="s">
        <v>263</v>
      </c>
      <c r="F48" s="256" t="s">
        <v>258</v>
      </c>
      <c r="G48" s="257" t="s">
        <v>264</v>
      </c>
      <c r="H48" s="295"/>
      <c r="I48" s="282"/>
      <c r="J48" s="282"/>
      <c r="K48" s="283"/>
      <c r="L48" s="283"/>
      <c r="M48" s="285"/>
      <c r="N48" s="285"/>
      <c r="O48" s="286"/>
      <c r="P48" s="286"/>
      <c r="Q48" s="282"/>
      <c r="R48" s="282"/>
      <c r="S48" s="283"/>
      <c r="T48" s="283"/>
      <c r="U48" s="285"/>
      <c r="V48" s="285"/>
      <c r="W48" s="286"/>
      <c r="X48" s="286"/>
      <c r="Y48" s="288"/>
      <c r="Z48" s="288"/>
      <c r="AA48" s="290"/>
      <c r="AB48" s="290"/>
      <c r="AC48" s="292"/>
      <c r="AD48" s="292"/>
      <c r="AE48" s="294"/>
    </row>
    <row r="49" spans="1:31" ht="11.25" customHeight="1" x14ac:dyDescent="0.3">
      <c r="A49" s="297" t="s">
        <v>226</v>
      </c>
      <c r="B49" s="266">
        <v>38</v>
      </c>
      <c r="C49" s="303" t="s">
        <v>265</v>
      </c>
      <c r="D49" s="299">
        <f t="shared" ref="D49:D52" ca="1" si="65">(E49/(TODAY()-$I$1))*30.42</f>
        <v>8178.4469590909102</v>
      </c>
      <c r="E49" s="279">
        <f t="shared" ref="E49:E52" si="66">Q49+S49+U49+W49+Y49+AA49+AC49+AE49+I49+K49+M49+O49</f>
        <v>35488.33</v>
      </c>
      <c r="F49" s="279">
        <f>E49-('Proposed Budget'!J68*14)</f>
        <v>-28881.238043619989</v>
      </c>
      <c r="G49" s="257">
        <f t="shared" ref="G49:G50" si="67">(E49/(E49-F49))-1</f>
        <v>-0.44867845041384524</v>
      </c>
      <c r="H49" s="297"/>
      <c r="I49" s="281">
        <f>SUMIFS('Checking Transaction Log'!F:F,'Checking Transaction Log'!C:C,"&gt;="&amp;I1,'Checking Transaction Log'!C:C,"&lt;="&amp;J1,'Checking Transaction Log'!A:A,"i",'Checking Transaction Log'!B:B,38)</f>
        <v>8731.32</v>
      </c>
      <c r="J49" s="281"/>
      <c r="K49" s="243">
        <f>SUMIFS('Checking Transaction Log'!F:F,'Checking Transaction Log'!C:C,"&gt;="&amp;K1,'Checking Transaction Log'!C:C,"&lt;="&amp;L1,'Checking Transaction Log'!A:A,"i",'Checking Transaction Log'!B:B,38)</f>
        <v>8556.31</v>
      </c>
      <c r="L49" s="243"/>
      <c r="M49" s="284">
        <f>SUMIFS('Checking Transaction Log'!$F:$F,'Checking Transaction Log'!$C:$C,"&gt;="&amp;M1,'Checking Transaction Log'!$C:$C,"&lt;="&amp;N1,'Checking Transaction Log'!$A:$A,"i",'Checking Transaction Log'!$B:$B,38)</f>
        <v>9005.0600000000013</v>
      </c>
      <c r="N49" s="284"/>
      <c r="O49" s="247">
        <f>SUMIFS('Checking Transaction Log'!$F:$F,'Checking Transaction Log'!$C:$C,"&gt;="&amp;O1,'Checking Transaction Log'!$C:$C,"&lt;="&amp;P1,'Checking Transaction Log'!$A:$A,"i",'Checking Transaction Log'!$B:$B,38)</f>
        <v>9195.64</v>
      </c>
      <c r="P49" s="247"/>
      <c r="Q49" s="281">
        <f>SUMIFS('Checking Transaction Log'!$F:$F,'Checking Transaction Log'!$C:$C,"&gt;="&amp;Q1,'Checking Transaction Log'!$C:$C,"&lt;="&amp;R1,'Checking Transaction Log'!$A:$A,"i",'Checking Transaction Log'!$B:$B,38)</f>
        <v>0</v>
      </c>
      <c r="R49" s="281"/>
      <c r="S49" s="243">
        <f>SUMIFS('Checking Transaction Log'!$F:$F,'Checking Transaction Log'!$C:$C,"&gt;="&amp;S1,'Checking Transaction Log'!$C:$C,"&lt;="&amp;T1,'Checking Transaction Log'!$A:$A,"i",'Checking Transaction Log'!$B:$B,38)</f>
        <v>0</v>
      </c>
      <c r="T49" s="243"/>
      <c r="U49" s="284">
        <f>SUMIFS('Checking Transaction Log'!$F:$F,'Checking Transaction Log'!$C:$C,"&gt;="&amp;U1,'Checking Transaction Log'!$C:$C,"&lt;="&amp;V1,'Checking Transaction Log'!$A:$A,"i",'Checking Transaction Log'!$B:$B,38)</f>
        <v>0</v>
      </c>
      <c r="V49" s="284"/>
      <c r="W49" s="247">
        <f>SUMIFS('Checking Transaction Log'!$F:$F,'Checking Transaction Log'!$C:$C,"&gt;="&amp;W1,'Checking Transaction Log'!$C:$C,"&lt;="&amp;X1,'Checking Transaction Log'!$A:$A,"i",'Checking Transaction Log'!$B:$B,38)</f>
        <v>0</v>
      </c>
      <c r="X49" s="247"/>
      <c r="Y49" s="287">
        <f>SUMIFS('Checking Transaction Log'!$F:$F,'Checking Transaction Log'!$C:$C,"&gt;="&amp;Y1,'Checking Transaction Log'!$C:$C,"&lt;="&amp;Z1,'Checking Transaction Log'!$A:$A,"i",'Checking Transaction Log'!$B:$B,38)</f>
        <v>0</v>
      </c>
      <c r="Z49" s="287"/>
      <c r="AA49" s="289">
        <f>SUMIFS('Checking Transaction Log'!$F:$F,'Checking Transaction Log'!$C:$C,"&gt;="&amp;AA1,'Checking Transaction Log'!$C:$C,"&lt;="&amp;AB1,'Checking Transaction Log'!$A:$A,"i",'Checking Transaction Log'!$B:$B,38)</f>
        <v>0</v>
      </c>
      <c r="AB49" s="289"/>
      <c r="AC49" s="291">
        <f>SUMIFS('Checking Transaction Log'!$F:$F,'Checking Transaction Log'!$C:$C,"&gt;="&amp;AC1,'Checking Transaction Log'!$C:$C,"&lt;="&amp;AD1,'Checking Transaction Log'!$A:$A,"i",'Checking Transaction Log'!$B:$B,38)</f>
        <v>0</v>
      </c>
      <c r="AD49" s="291"/>
      <c r="AE49" s="293">
        <f>SUMIFS('Checking Transaction Log'!$F:$F,'Checking Transaction Log'!$C:$C,"&gt;="&amp;AE1,'Checking Transaction Log'!$C:$C,"&lt;="&amp;AF1,'Checking Transaction Log'!$A:$A,"i",'Checking Transaction Log'!$B:$B,38)</f>
        <v>0</v>
      </c>
    </row>
    <row r="50" spans="1:31" ht="11.25" customHeight="1" x14ac:dyDescent="0.3">
      <c r="A50" s="297" t="s">
        <v>226</v>
      </c>
      <c r="B50" s="266">
        <v>39</v>
      </c>
      <c r="C50" s="303" t="s">
        <v>266</v>
      </c>
      <c r="D50" s="299">
        <f t="shared" ca="1" si="65"/>
        <v>5866.1052272727275</v>
      </c>
      <c r="E50" s="279">
        <f t="shared" si="66"/>
        <v>25454.5</v>
      </c>
      <c r="F50" s="279">
        <f>E50-('Proposed Budget'!J44*14)</f>
        <v>-13238.469069999992</v>
      </c>
      <c r="G50" s="257">
        <f t="shared" si="67"/>
        <v>-0.34214146363516562</v>
      </c>
      <c r="H50" s="297"/>
      <c r="I50" s="281">
        <f>SUMIFS('Checking Transaction Log'!F:F,'Checking Transaction Log'!C:C,"&gt;="&amp;I1,'Checking Transaction Log'!C:C,"&lt;="&amp;J1,'Checking Transaction Log'!A:A,"i",'Checking Transaction Log'!B:B,39)</f>
        <v>6108.04</v>
      </c>
      <c r="J50" s="281"/>
      <c r="K50" s="243">
        <f>SUMIFS('Checking Transaction Log'!F:F,'Checking Transaction Log'!C:C,"&gt;="&amp;K1,'Checking Transaction Log'!C:C,"&lt;="&amp;L1,'Checking Transaction Log'!A:A,"i",'Checking Transaction Log'!B:B,39)</f>
        <v>5527.5599999999995</v>
      </c>
      <c r="L50" s="243"/>
      <c r="M50" s="284">
        <f>SUMIFS('Checking Transaction Log'!$F:$F,'Checking Transaction Log'!$C:$C,"&gt;="&amp;M1,'Checking Transaction Log'!$C:$C,"&lt;="&amp;N1,'Checking Transaction Log'!$A:$A,"i",'Checking Transaction Log'!$B:$B,39)</f>
        <v>5527.56</v>
      </c>
      <c r="N50" s="284"/>
      <c r="O50" s="247">
        <f>SUMIFS('Checking Transaction Log'!$F:$F,'Checking Transaction Log'!$C:$C,"&gt;="&amp;O1,'Checking Transaction Log'!$C:$C,"&lt;="&amp;P1,'Checking Transaction Log'!$A:$A,"i",'Checking Transaction Log'!$B:$B,39)</f>
        <v>8291.34</v>
      </c>
      <c r="P50" s="247"/>
      <c r="Q50" s="281">
        <f>SUMIFS('Checking Transaction Log'!$F:$F,'Checking Transaction Log'!$C:$C,"&gt;="&amp;Q1,'Checking Transaction Log'!$C:$C,"&lt;="&amp;R1,'Checking Transaction Log'!$A:$A,"i",'Checking Transaction Log'!$B:$B,39)</f>
        <v>0</v>
      </c>
      <c r="R50" s="281"/>
      <c r="S50" s="243">
        <f>SUMIFS('Checking Transaction Log'!$F:$F,'Checking Transaction Log'!$C:$C,"&gt;="&amp;S1,'Checking Transaction Log'!$C:$C,"&lt;="&amp;T1,'Checking Transaction Log'!$A:$A,"i",'Checking Transaction Log'!$B:$B,39)</f>
        <v>0</v>
      </c>
      <c r="T50" s="243"/>
      <c r="U50" s="284">
        <f>SUMIFS('Checking Transaction Log'!$F:$F,'Checking Transaction Log'!$C:$C,"&gt;="&amp;U1,'Checking Transaction Log'!$C:$C,"&lt;="&amp;V1,'Checking Transaction Log'!$A:$A,"i",'Checking Transaction Log'!$B:$B,39)</f>
        <v>0</v>
      </c>
      <c r="V50" s="284"/>
      <c r="W50" s="247">
        <f>SUMIFS('Checking Transaction Log'!$F:$F,'Checking Transaction Log'!$C:$C,"&gt;="&amp;W1,'Checking Transaction Log'!$C:$C,"&lt;="&amp;X1,'Checking Transaction Log'!$A:$A,"i",'Checking Transaction Log'!$B:$B,39)</f>
        <v>0</v>
      </c>
      <c r="X50" s="247"/>
      <c r="Y50" s="287">
        <f>SUMIFS('Checking Transaction Log'!$F:$F,'Checking Transaction Log'!$C:$C,"&gt;="&amp;Y1,'Checking Transaction Log'!$C:$C,"&lt;="&amp;Z1,'Checking Transaction Log'!$A:$A,"i",'Checking Transaction Log'!$B:$B,39)</f>
        <v>0</v>
      </c>
      <c r="Z50" s="287"/>
      <c r="AA50" s="289">
        <f>SUMIFS('Checking Transaction Log'!$F:$F,'Checking Transaction Log'!$C:$C,"&gt;="&amp;AA1,'Checking Transaction Log'!$C:$C,"&lt;="&amp;AB1,'Checking Transaction Log'!$A:$A,"i",'Checking Transaction Log'!$B:$B,39)</f>
        <v>0</v>
      </c>
      <c r="AB50" s="289"/>
      <c r="AC50" s="291">
        <f>SUMIFS('Checking Transaction Log'!$F:$F,'Checking Transaction Log'!$C:$C,"&gt;="&amp;AC1,'Checking Transaction Log'!$C:$C,"&lt;="&amp;AD1,'Checking Transaction Log'!$A:$A,"i",'Checking Transaction Log'!$B:$B,39)</f>
        <v>0</v>
      </c>
      <c r="AD50" s="291"/>
      <c r="AE50" s="293">
        <f>SUMIFS('Checking Transaction Log'!$F:$F,'Checking Transaction Log'!$C:$C,"&gt;="&amp;AE1,'Checking Transaction Log'!$C:$C,"&lt;="&amp;AF1,'Checking Transaction Log'!$A:$A,"i",'Checking Transaction Log'!$B:$B,39)</f>
        <v>0</v>
      </c>
    </row>
    <row r="51" spans="1:31" ht="11.25" customHeight="1" x14ac:dyDescent="0.3">
      <c r="A51" s="297" t="s">
        <v>226</v>
      </c>
      <c r="B51" s="266">
        <v>40</v>
      </c>
      <c r="C51" s="303" t="s">
        <v>267</v>
      </c>
      <c r="D51" s="299">
        <f t="shared" ca="1" si="65"/>
        <v>970.00853181818195</v>
      </c>
      <c r="E51" s="279">
        <f t="shared" si="66"/>
        <v>4209.1100000000006</v>
      </c>
      <c r="F51" s="279"/>
      <c r="G51" s="257"/>
      <c r="H51" s="297"/>
      <c r="I51" s="281">
        <f>SUMIFS('Checking Transaction Log'!F:F,'Checking Transaction Log'!C:C,"&gt;="&amp;I1,'Checking Transaction Log'!C:C,"&lt;="&amp;J1,'Checking Transaction Log'!A:A,"i",'Checking Transaction Log'!B:B,40)</f>
        <v>0</v>
      </c>
      <c r="J51" s="281"/>
      <c r="K51" s="243">
        <f>SUMIFS('Checking Transaction Log'!F:F,'Checking Transaction Log'!C:C,"&gt;="&amp;K1,'Checking Transaction Log'!C:C,"&lt;="&amp;L1,'Checking Transaction Log'!A:A,"i",'Checking Transaction Log'!B:B,40)</f>
        <v>2531.75</v>
      </c>
      <c r="L51" s="243"/>
      <c r="M51" s="284">
        <f>SUMIFS('Checking Transaction Log'!$F:$F,'Checking Transaction Log'!$C:$C,"&gt;="&amp;M1,'Checking Transaction Log'!$C:$C,"&lt;="&amp;N1,'Checking Transaction Log'!$A:$A,"i",'Checking Transaction Log'!$B:$B,40)</f>
        <v>838.67</v>
      </c>
      <c r="N51" s="284"/>
      <c r="O51" s="247">
        <f>SUMIFS('Checking Transaction Log'!$F:$F,'Checking Transaction Log'!$C:$C,"&gt;="&amp;O1,'Checking Transaction Log'!$C:$C,"&lt;="&amp;P1,'Checking Transaction Log'!$A:$A,"i",'Checking Transaction Log'!$B:$B,40)</f>
        <v>838.69</v>
      </c>
      <c r="P51" s="247"/>
      <c r="Q51" s="281">
        <f>SUMIFS('Checking Transaction Log'!$F:$F,'Checking Transaction Log'!$C:$C,"&gt;="&amp;Q1,'Checking Transaction Log'!$C:$C,"&lt;="&amp;R1,'Checking Transaction Log'!$A:$A,"i",'Checking Transaction Log'!$B:$B,40)</f>
        <v>0</v>
      </c>
      <c r="R51" s="281"/>
      <c r="S51" s="243">
        <f>SUMIFS('Checking Transaction Log'!$F:$F,'Checking Transaction Log'!$C:$C,"&gt;="&amp;S1,'Checking Transaction Log'!$C:$C,"&lt;="&amp;T1,'Checking Transaction Log'!$A:$A,"i",'Checking Transaction Log'!$B:$B,40)</f>
        <v>0</v>
      </c>
      <c r="T51" s="243"/>
      <c r="U51" s="284">
        <f>SUMIFS('Checking Transaction Log'!$F:$F,'Checking Transaction Log'!$C:$C,"&gt;="&amp;U1,'Checking Transaction Log'!$C:$C,"&lt;="&amp;V1,'Checking Transaction Log'!$A:$A,"i",'Checking Transaction Log'!$B:$B,40)</f>
        <v>0</v>
      </c>
      <c r="V51" s="284"/>
      <c r="W51" s="247">
        <f>SUMIFS('Checking Transaction Log'!$F:$F,'Checking Transaction Log'!$C:$C,"&gt;="&amp;W1,'Checking Transaction Log'!$C:$C,"&lt;="&amp;X1,'Checking Transaction Log'!$A:$A,"i",'Checking Transaction Log'!$B:$B,40)</f>
        <v>0</v>
      </c>
      <c r="X51" s="247"/>
      <c r="Y51" s="287">
        <f>SUMIFS('Checking Transaction Log'!$F:$F,'Checking Transaction Log'!$C:$C,"&gt;="&amp;Y1,'Checking Transaction Log'!$C:$C,"&lt;="&amp;Z1,'Checking Transaction Log'!$A:$A,"i",'Checking Transaction Log'!$B:$B,40)</f>
        <v>0</v>
      </c>
      <c r="Z51" s="287"/>
      <c r="AA51" s="289">
        <f>SUMIFS('Checking Transaction Log'!$F:$F,'Checking Transaction Log'!$C:$C,"&gt;="&amp;AA1,'Checking Transaction Log'!$C:$C,"&lt;="&amp;AB1,'Checking Transaction Log'!$A:$A,"i",'Checking Transaction Log'!$B:$B,40)</f>
        <v>0</v>
      </c>
      <c r="AB51" s="289"/>
      <c r="AC51" s="291">
        <f>SUMIFS('Checking Transaction Log'!$F:$F,'Checking Transaction Log'!$C:$C,"&gt;="&amp;AC1,'Checking Transaction Log'!$C:$C,"&lt;="&amp;AD1,'Checking Transaction Log'!$A:$A,"i",'Checking Transaction Log'!$B:$B,40)</f>
        <v>0</v>
      </c>
      <c r="AD51" s="291"/>
      <c r="AE51" s="293">
        <f>SUMIFS('Checking Transaction Log'!$F:$F,'Checking Transaction Log'!$C:$C,"&gt;="&amp;AE1,'Checking Transaction Log'!$C:$C,"&lt;="&amp;AF1,'Checking Transaction Log'!$A:$A,"i",'Checking Transaction Log'!$B:$B,40)</f>
        <v>0</v>
      </c>
    </row>
    <row r="52" spans="1:31" ht="11.25" customHeight="1" x14ac:dyDescent="0.3">
      <c r="A52" s="297" t="s">
        <v>226</v>
      </c>
      <c r="B52" s="266">
        <v>41</v>
      </c>
      <c r="C52" s="303" t="s">
        <v>189</v>
      </c>
      <c r="D52" s="299">
        <f t="shared" ca="1" si="65"/>
        <v>679.84090909090912</v>
      </c>
      <c r="E52" s="279">
        <f t="shared" si="66"/>
        <v>2950</v>
      </c>
      <c r="F52" s="279"/>
      <c r="G52" s="257"/>
      <c r="H52" s="297"/>
      <c r="I52" s="281">
        <f>SUMIFS('Checking Transaction Log'!F:F,'Checking Transaction Log'!C:C,"&gt;="&amp;I1,'Checking Transaction Log'!C:C,"&lt;="&amp;J1,'Checking Transaction Log'!A:A,"i",'Checking Transaction Log'!B:B,41)</f>
        <v>800</v>
      </c>
      <c r="J52" s="281"/>
      <c r="K52" s="243">
        <f>SUMIFS('Checking Transaction Log'!F:F,'Checking Transaction Log'!C:C,"&gt;="&amp;K1,'Checking Transaction Log'!C:C,"&lt;="&amp;L1,'Checking Transaction Log'!A:A,"i",'Checking Transaction Log'!B:B,41)</f>
        <v>0</v>
      </c>
      <c r="L52" s="243"/>
      <c r="M52" s="284">
        <f>SUMIFS('Checking Transaction Log'!$F:$F,'Checking Transaction Log'!$C:$C,"&gt;="&amp;M1,'Checking Transaction Log'!$C:$C,"&lt;="&amp;N1,'Checking Transaction Log'!$A:$A,"i",'Checking Transaction Log'!$B:$B,41)</f>
        <v>1600</v>
      </c>
      <c r="N52" s="284"/>
      <c r="O52" s="247">
        <f>SUMIFS('Checking Transaction Log'!$F:$F,'Checking Transaction Log'!$C:$C,"&gt;="&amp;O1,'Checking Transaction Log'!$C:$C,"&lt;="&amp;P1,'Checking Transaction Log'!$A:$A,"i",'Checking Transaction Log'!$B:$B,41)</f>
        <v>550</v>
      </c>
      <c r="P52" s="247"/>
      <c r="Q52" s="281">
        <f>SUMIFS('Checking Transaction Log'!$F:$F,'Checking Transaction Log'!$C:$C,"&gt;="&amp;Q1,'Checking Transaction Log'!$C:$C,"&lt;="&amp;R1,'Checking Transaction Log'!$A:$A,"i",'Checking Transaction Log'!$B:$B,41)</f>
        <v>0</v>
      </c>
      <c r="R52" s="281"/>
      <c r="S52" s="243">
        <f>SUMIFS('Checking Transaction Log'!$F:$F,'Checking Transaction Log'!$C:$C,"&gt;="&amp;S1,'Checking Transaction Log'!$C:$C,"&lt;="&amp;T1,'Checking Transaction Log'!$A:$A,"i",'Checking Transaction Log'!$B:$B,41)</f>
        <v>0</v>
      </c>
      <c r="T52" s="243"/>
      <c r="U52" s="284">
        <f>SUMIFS('Checking Transaction Log'!$F:$F,'Checking Transaction Log'!$C:$C,"&gt;="&amp;U1,'Checking Transaction Log'!$C:$C,"&lt;="&amp;V1,'Checking Transaction Log'!$A:$A,"i",'Checking Transaction Log'!$B:$B,41)</f>
        <v>0</v>
      </c>
      <c r="V52" s="284"/>
      <c r="W52" s="247">
        <f>SUMIFS('Checking Transaction Log'!$F:$F,'Checking Transaction Log'!$C:$C,"&gt;="&amp;W1,'Checking Transaction Log'!$C:$C,"&lt;="&amp;X1,'Checking Transaction Log'!$A:$A,"i",'Checking Transaction Log'!$B:$B,41)</f>
        <v>0</v>
      </c>
      <c r="X52" s="247"/>
      <c r="Y52" s="287">
        <f>SUMIFS('Checking Transaction Log'!$F:$F,'Checking Transaction Log'!$C:$C,"&gt;="&amp;Y1,'Checking Transaction Log'!$C:$C,"&lt;="&amp;Z1,'Checking Transaction Log'!$A:$A,"i",'Checking Transaction Log'!$B:$B,41)</f>
        <v>0</v>
      </c>
      <c r="Z52" s="287"/>
      <c r="AA52" s="289">
        <f>SUMIFS('Checking Transaction Log'!$F:$F,'Checking Transaction Log'!$C:$C,"&gt;="&amp;AA1,'Checking Transaction Log'!$C:$C,"&lt;="&amp;AB1,'Checking Transaction Log'!$A:$A,"i",'Checking Transaction Log'!$B:$B,41)</f>
        <v>0</v>
      </c>
      <c r="AB52" s="289"/>
      <c r="AC52" s="291">
        <f>SUMIFS('Checking Transaction Log'!$F:$F,'Checking Transaction Log'!$C:$C,"&gt;="&amp;AC1,'Checking Transaction Log'!$C:$C,"&lt;="&amp;AD1,'Checking Transaction Log'!$A:$A,"i",'Checking Transaction Log'!$B:$B,41)</f>
        <v>0</v>
      </c>
      <c r="AD52" s="291"/>
      <c r="AE52" s="293">
        <f>SUMIFS('Checking Transaction Log'!$F:$F,'Checking Transaction Log'!$C:$C,"&gt;="&amp;AE1,'Checking Transaction Log'!$C:$C,"&lt;="&amp;AF1,'Checking Transaction Log'!$A:$A,"i",'Checking Transaction Log'!$B:$B,41)</f>
        <v>0</v>
      </c>
    </row>
    <row r="53" spans="1:31" ht="11.25" customHeight="1" x14ac:dyDescent="0.3">
      <c r="A53" s="199"/>
      <c r="B53" s="304"/>
      <c r="C53" s="305"/>
      <c r="D53" s="133"/>
      <c r="E53" s="306"/>
      <c r="F53" s="306"/>
      <c r="G53" s="307"/>
      <c r="H53" s="306"/>
      <c r="I53" s="306"/>
      <c r="J53" s="306"/>
      <c r="K53" s="306"/>
      <c r="L53" s="306"/>
      <c r="M53" s="306"/>
      <c r="N53" s="306"/>
      <c r="O53" s="306"/>
      <c r="P53" s="306"/>
      <c r="Q53" s="306"/>
      <c r="R53" s="306"/>
      <c r="S53" s="306"/>
      <c r="T53" s="306"/>
      <c r="U53" s="306"/>
      <c r="V53" s="306"/>
      <c r="W53" s="306"/>
      <c r="X53" s="306"/>
      <c r="Y53" s="306"/>
      <c r="Z53" s="306"/>
      <c r="AA53" s="306"/>
      <c r="AB53" s="306"/>
      <c r="AC53" s="306"/>
      <c r="AD53" s="306"/>
      <c r="AE53" s="306"/>
    </row>
    <row r="54" spans="1:31" ht="11.25" customHeight="1" x14ac:dyDescent="0.3">
      <c r="A54" s="199"/>
      <c r="B54" s="304"/>
      <c r="C54" s="305"/>
      <c r="D54" s="133"/>
      <c r="E54" s="308">
        <f>SUM(E49:E52)</f>
        <v>68101.94</v>
      </c>
      <c r="F54" s="308">
        <f>F49+F50+E52</f>
        <v>-39169.707113619981</v>
      </c>
      <c r="G54" s="257">
        <f>(E54/(E54-F54))-1</f>
        <v>-0.36514501424716828</v>
      </c>
      <c r="H54" s="306"/>
      <c r="I54" s="209">
        <f>SUM(I49:I52)</f>
        <v>15639.36</v>
      </c>
      <c r="J54" s="306"/>
      <c r="K54" s="209">
        <f>SUM(K49:K52)</f>
        <v>16615.62</v>
      </c>
      <c r="L54" s="306"/>
      <c r="M54" s="209">
        <f>SUM(M49:M52)</f>
        <v>16971.29</v>
      </c>
      <c r="N54" s="306"/>
      <c r="O54" s="209">
        <f>SUM(O49:O52)</f>
        <v>18875.669999999998</v>
      </c>
      <c r="P54" s="306"/>
      <c r="Q54" s="209">
        <f>SUM(Q49:Q52)</f>
        <v>0</v>
      </c>
      <c r="R54" s="306"/>
      <c r="S54" s="209">
        <f>SUM(S49:S52)</f>
        <v>0</v>
      </c>
      <c r="T54" s="306"/>
      <c r="U54" s="209">
        <f>SUM(U49:U52)</f>
        <v>0</v>
      </c>
      <c r="V54" s="306"/>
      <c r="W54" s="209">
        <f>SUM(W49:W52)</f>
        <v>0</v>
      </c>
      <c r="X54" s="306"/>
      <c r="Y54" s="209">
        <f>SUM(Y49:Y52)</f>
        <v>0</v>
      </c>
      <c r="Z54" s="306"/>
      <c r="AA54" s="209">
        <f>SUM(AA49:AA52)</f>
        <v>0</v>
      </c>
      <c r="AB54" s="306"/>
      <c r="AC54" s="209">
        <f>SUM(AC49:AC52)</f>
        <v>0</v>
      </c>
      <c r="AD54" s="306"/>
      <c r="AE54" s="209">
        <f>SUM(AE49:AE52)</f>
        <v>0</v>
      </c>
    </row>
    <row r="55" spans="1:31" ht="15.75" customHeight="1" x14ac:dyDescent="0.3">
      <c r="D55" s="11"/>
    </row>
    <row r="56" spans="1:31" ht="15.75" customHeight="1" x14ac:dyDescent="0.3">
      <c r="D56" s="11"/>
    </row>
    <row r="57" spans="1:31" ht="15.75" customHeight="1" x14ac:dyDescent="0.3">
      <c r="D57" s="11"/>
    </row>
    <row r="58" spans="1:31" ht="15.75" customHeight="1" x14ac:dyDescent="0.3">
      <c r="D58" s="11"/>
    </row>
    <row r="59" spans="1:31" ht="15.75" customHeight="1" x14ac:dyDescent="0.3">
      <c r="D59" s="11"/>
    </row>
    <row r="60" spans="1:31" ht="15.75" customHeight="1" x14ac:dyDescent="0.3">
      <c r="D60" s="11"/>
    </row>
    <row r="61" spans="1:31" ht="15.75" customHeight="1" x14ac:dyDescent="0.3">
      <c r="D61" s="11"/>
    </row>
    <row r="62" spans="1:31" ht="15.75" customHeight="1" x14ac:dyDescent="0.3">
      <c r="D62" s="11"/>
    </row>
    <row r="63" spans="1:31" ht="15.75" customHeight="1" x14ac:dyDescent="0.3">
      <c r="D63" s="11"/>
    </row>
    <row r="64" spans="1:31" ht="15.75" customHeight="1" x14ac:dyDescent="0.3">
      <c r="D64" s="11"/>
    </row>
    <row r="65" spans="4:4" ht="15.75" customHeight="1" x14ac:dyDescent="0.3">
      <c r="D65" s="11"/>
    </row>
    <row r="66" spans="4:4" ht="15.75" customHeight="1" x14ac:dyDescent="0.3">
      <c r="D66" s="11"/>
    </row>
    <row r="67" spans="4:4" ht="15.75" customHeight="1" x14ac:dyDescent="0.3">
      <c r="D67" s="11"/>
    </row>
    <row r="68" spans="4:4" ht="15.75" customHeight="1" x14ac:dyDescent="0.3">
      <c r="D68" s="11"/>
    </row>
    <row r="69" spans="4:4" ht="15.75" customHeight="1" x14ac:dyDescent="0.3">
      <c r="D69" s="11"/>
    </row>
    <row r="70" spans="4:4" ht="15.75" customHeight="1" x14ac:dyDescent="0.3">
      <c r="D70" s="11"/>
    </row>
    <row r="71" spans="4:4" ht="15.75" customHeight="1" x14ac:dyDescent="0.3">
      <c r="D71" s="11"/>
    </row>
    <row r="72" spans="4:4" ht="15.75" customHeight="1" x14ac:dyDescent="0.3">
      <c r="D72" s="11"/>
    </row>
    <row r="73" spans="4:4" ht="15.75" customHeight="1" x14ac:dyDescent="0.3">
      <c r="D73" s="11"/>
    </row>
    <row r="74" spans="4:4" ht="15.75" customHeight="1" x14ac:dyDescent="0.3">
      <c r="D74" s="11"/>
    </row>
    <row r="75" spans="4:4" ht="15.75" customHeight="1" x14ac:dyDescent="0.3">
      <c r="D75" s="11"/>
    </row>
    <row r="76" spans="4:4" ht="15.75" customHeight="1" x14ac:dyDescent="0.3">
      <c r="D76" s="11"/>
    </row>
    <row r="77" spans="4:4" ht="15.75" customHeight="1" x14ac:dyDescent="0.3">
      <c r="D77" s="11"/>
    </row>
    <row r="78" spans="4:4" ht="15.75" customHeight="1" x14ac:dyDescent="0.3">
      <c r="D78" s="11"/>
    </row>
    <row r="79" spans="4:4" ht="15.75" customHeight="1" x14ac:dyDescent="0.3">
      <c r="D79" s="11"/>
    </row>
    <row r="80" spans="4:4" ht="15.75" customHeight="1" x14ac:dyDescent="0.3">
      <c r="D80" s="11"/>
    </row>
    <row r="81" spans="4:4" ht="15.75" customHeight="1" x14ac:dyDescent="0.3">
      <c r="D81" s="11"/>
    </row>
    <row r="82" spans="4:4" ht="15.75" customHeight="1" x14ac:dyDescent="0.3">
      <c r="D82" s="11"/>
    </row>
    <row r="83" spans="4:4" ht="15.75" customHeight="1" x14ac:dyDescent="0.3">
      <c r="D83" s="11"/>
    </row>
    <row r="84" spans="4:4" ht="15.75" customHeight="1" x14ac:dyDescent="0.3">
      <c r="D84" s="11"/>
    </row>
    <row r="85" spans="4:4" ht="15.75" customHeight="1" x14ac:dyDescent="0.3">
      <c r="D85" s="11"/>
    </row>
    <row r="86" spans="4:4" ht="15.75" customHeight="1" x14ac:dyDescent="0.3">
      <c r="D86" s="11"/>
    </row>
    <row r="87" spans="4:4" ht="15.75" customHeight="1" x14ac:dyDescent="0.3">
      <c r="D87" s="11"/>
    </row>
    <row r="88" spans="4:4" ht="15.75" customHeight="1" x14ac:dyDescent="0.3">
      <c r="D88" s="11"/>
    </row>
    <row r="89" spans="4:4" ht="15.75" customHeight="1" x14ac:dyDescent="0.3">
      <c r="D89" s="11"/>
    </row>
    <row r="90" spans="4:4" ht="15.75" customHeight="1" x14ac:dyDescent="0.3">
      <c r="D90" s="11"/>
    </row>
    <row r="91" spans="4:4" ht="15.75" customHeight="1" x14ac:dyDescent="0.3">
      <c r="D91" s="11"/>
    </row>
    <row r="92" spans="4:4" ht="15.75" customHeight="1" x14ac:dyDescent="0.3">
      <c r="D92" s="11"/>
    </row>
    <row r="93" spans="4:4" ht="15.75" customHeight="1" x14ac:dyDescent="0.3">
      <c r="D93" s="11"/>
    </row>
    <row r="94" spans="4:4" ht="15.75" customHeight="1" x14ac:dyDescent="0.3">
      <c r="D94" s="11"/>
    </row>
    <row r="95" spans="4:4" ht="15.75" customHeight="1" x14ac:dyDescent="0.3">
      <c r="D95" s="11"/>
    </row>
    <row r="96" spans="4:4" ht="15.75" customHeight="1" x14ac:dyDescent="0.3">
      <c r="D96" s="11"/>
    </row>
    <row r="97" spans="4:4" ht="15.75" customHeight="1" x14ac:dyDescent="0.3">
      <c r="D97" s="11"/>
    </row>
    <row r="98" spans="4:4" ht="15.75" customHeight="1" x14ac:dyDescent="0.3">
      <c r="D98" s="11"/>
    </row>
    <row r="99" spans="4:4" ht="15.75" customHeight="1" x14ac:dyDescent="0.3">
      <c r="D99" s="11"/>
    </row>
    <row r="100" spans="4:4" ht="15.75" customHeight="1" x14ac:dyDescent="0.3">
      <c r="D100" s="11"/>
    </row>
    <row r="101" spans="4:4" ht="15.75" customHeight="1" x14ac:dyDescent="0.3">
      <c r="D101" s="11"/>
    </row>
    <row r="102" spans="4:4" ht="15.75" customHeight="1" x14ac:dyDescent="0.3">
      <c r="D102" s="11"/>
    </row>
    <row r="103" spans="4:4" ht="15.75" customHeight="1" x14ac:dyDescent="0.3">
      <c r="D103" s="11"/>
    </row>
    <row r="104" spans="4:4" ht="15.75" customHeight="1" x14ac:dyDescent="0.3">
      <c r="D104" s="11"/>
    </row>
    <row r="105" spans="4:4" ht="15.75" customHeight="1" x14ac:dyDescent="0.3">
      <c r="D105" s="11"/>
    </row>
    <row r="106" spans="4:4" ht="15.75" customHeight="1" x14ac:dyDescent="0.3">
      <c r="D106" s="11"/>
    </row>
    <row r="107" spans="4:4" ht="15.75" customHeight="1" x14ac:dyDescent="0.3">
      <c r="D107" s="11"/>
    </row>
    <row r="108" spans="4:4" ht="15.75" customHeight="1" x14ac:dyDescent="0.3">
      <c r="D108" s="11"/>
    </row>
    <row r="109" spans="4:4" ht="15.75" customHeight="1" x14ac:dyDescent="0.3">
      <c r="D109" s="11"/>
    </row>
    <row r="110" spans="4:4" ht="15.75" customHeight="1" x14ac:dyDescent="0.3">
      <c r="D110" s="11"/>
    </row>
    <row r="111" spans="4:4" ht="15.75" customHeight="1" x14ac:dyDescent="0.3">
      <c r="D111" s="11"/>
    </row>
    <row r="112" spans="4:4" ht="15.75" customHeight="1" x14ac:dyDescent="0.3">
      <c r="D112" s="11"/>
    </row>
    <row r="113" spans="4:4" ht="15.75" customHeight="1" x14ac:dyDescent="0.3">
      <c r="D113" s="11"/>
    </row>
    <row r="114" spans="4:4" ht="15.75" customHeight="1" x14ac:dyDescent="0.3">
      <c r="D114" s="11"/>
    </row>
    <row r="115" spans="4:4" ht="15.75" customHeight="1" x14ac:dyDescent="0.3">
      <c r="D115" s="11"/>
    </row>
    <row r="116" spans="4:4" ht="15.75" customHeight="1" x14ac:dyDescent="0.3">
      <c r="D116" s="11"/>
    </row>
    <row r="117" spans="4:4" ht="15.75" customHeight="1" x14ac:dyDescent="0.3">
      <c r="D117" s="11"/>
    </row>
    <row r="118" spans="4:4" ht="15.75" customHeight="1" x14ac:dyDescent="0.3">
      <c r="D118" s="11"/>
    </row>
    <row r="119" spans="4:4" ht="15.75" customHeight="1" x14ac:dyDescent="0.3">
      <c r="D119" s="11"/>
    </row>
    <row r="120" spans="4:4" ht="15.75" customHeight="1" x14ac:dyDescent="0.3">
      <c r="D120" s="11"/>
    </row>
    <row r="121" spans="4:4" ht="15.75" customHeight="1" x14ac:dyDescent="0.3">
      <c r="D121" s="11"/>
    </row>
    <row r="122" spans="4:4" ht="15.75" customHeight="1" x14ac:dyDescent="0.3">
      <c r="D122" s="11"/>
    </row>
    <row r="123" spans="4:4" ht="15.75" customHeight="1" x14ac:dyDescent="0.3">
      <c r="D123" s="11"/>
    </row>
    <row r="124" spans="4:4" ht="15.75" customHeight="1" x14ac:dyDescent="0.3">
      <c r="D124" s="11"/>
    </row>
    <row r="125" spans="4:4" ht="15.75" customHeight="1" x14ac:dyDescent="0.3">
      <c r="D125" s="11"/>
    </row>
    <row r="126" spans="4:4" ht="15.75" customHeight="1" x14ac:dyDescent="0.3">
      <c r="D126" s="11"/>
    </row>
    <row r="127" spans="4:4" ht="15.75" customHeight="1" x14ac:dyDescent="0.3">
      <c r="D127" s="11"/>
    </row>
    <row r="128" spans="4:4" ht="15.75" customHeight="1" x14ac:dyDescent="0.3">
      <c r="D128" s="11"/>
    </row>
    <row r="129" spans="4:4" ht="15.75" customHeight="1" x14ac:dyDescent="0.3">
      <c r="D129" s="11"/>
    </row>
    <row r="130" spans="4:4" ht="15.75" customHeight="1" x14ac:dyDescent="0.3">
      <c r="D130" s="11"/>
    </row>
    <row r="131" spans="4:4" ht="15.75" customHeight="1" x14ac:dyDescent="0.3">
      <c r="D131" s="11"/>
    </row>
    <row r="132" spans="4:4" ht="15.75" customHeight="1" x14ac:dyDescent="0.3">
      <c r="D132" s="11"/>
    </row>
    <row r="133" spans="4:4" ht="15.75" customHeight="1" x14ac:dyDescent="0.3">
      <c r="D133" s="11"/>
    </row>
    <row r="134" spans="4:4" ht="15.75" customHeight="1" x14ac:dyDescent="0.3">
      <c r="D134" s="11"/>
    </row>
    <row r="135" spans="4:4" ht="15.75" customHeight="1" x14ac:dyDescent="0.3">
      <c r="D135" s="11"/>
    </row>
    <row r="136" spans="4:4" ht="15.75" customHeight="1" x14ac:dyDescent="0.3">
      <c r="D136" s="11"/>
    </row>
    <row r="137" spans="4:4" ht="15.75" customHeight="1" x14ac:dyDescent="0.3">
      <c r="D137" s="11"/>
    </row>
    <row r="138" spans="4:4" ht="15.75" customHeight="1" x14ac:dyDescent="0.3">
      <c r="D138" s="11"/>
    </row>
    <row r="139" spans="4:4" ht="15.75" customHeight="1" x14ac:dyDescent="0.3">
      <c r="D139" s="11"/>
    </row>
    <row r="140" spans="4:4" ht="15.75" customHeight="1" x14ac:dyDescent="0.3">
      <c r="D140" s="11"/>
    </row>
    <row r="141" spans="4:4" ht="15.75" customHeight="1" x14ac:dyDescent="0.3">
      <c r="D141" s="11"/>
    </row>
    <row r="142" spans="4:4" ht="15.75" customHeight="1" x14ac:dyDescent="0.3">
      <c r="D142" s="11"/>
    </row>
    <row r="143" spans="4:4" ht="15.75" customHeight="1" x14ac:dyDescent="0.3">
      <c r="D143" s="11"/>
    </row>
    <row r="144" spans="4:4" ht="15.75" customHeight="1" x14ac:dyDescent="0.3">
      <c r="D144" s="11"/>
    </row>
    <row r="145" spans="4:4" ht="15.75" customHeight="1" x14ac:dyDescent="0.3">
      <c r="D145" s="11"/>
    </row>
    <row r="146" spans="4:4" ht="15.75" customHeight="1" x14ac:dyDescent="0.3">
      <c r="D146" s="11"/>
    </row>
    <row r="147" spans="4:4" ht="15.75" customHeight="1" x14ac:dyDescent="0.3">
      <c r="D147" s="11"/>
    </row>
    <row r="148" spans="4:4" ht="15.75" customHeight="1" x14ac:dyDescent="0.3">
      <c r="D148" s="11"/>
    </row>
    <row r="149" spans="4:4" ht="15.75" customHeight="1" x14ac:dyDescent="0.3">
      <c r="D149" s="11"/>
    </row>
    <row r="150" spans="4:4" ht="15.75" customHeight="1" x14ac:dyDescent="0.3">
      <c r="D150" s="11"/>
    </row>
    <row r="151" spans="4:4" ht="15.75" customHeight="1" x14ac:dyDescent="0.3">
      <c r="D151" s="11"/>
    </row>
    <row r="152" spans="4:4" ht="15.75" customHeight="1" x14ac:dyDescent="0.3">
      <c r="D152" s="11"/>
    </row>
    <row r="153" spans="4:4" ht="15.75" customHeight="1" x14ac:dyDescent="0.3">
      <c r="D153" s="11"/>
    </row>
    <row r="154" spans="4:4" ht="15.75" customHeight="1" x14ac:dyDescent="0.3">
      <c r="D154" s="11"/>
    </row>
    <row r="155" spans="4:4" ht="15.75" customHeight="1" x14ac:dyDescent="0.3">
      <c r="D155" s="11"/>
    </row>
    <row r="156" spans="4:4" ht="15.75" customHeight="1" x14ac:dyDescent="0.3">
      <c r="D156" s="11"/>
    </row>
    <row r="157" spans="4:4" ht="15.75" customHeight="1" x14ac:dyDescent="0.3">
      <c r="D157" s="11"/>
    </row>
    <row r="158" spans="4:4" ht="15.75" customHeight="1" x14ac:dyDescent="0.3">
      <c r="D158" s="11"/>
    </row>
    <row r="159" spans="4:4" ht="15.75" customHeight="1" x14ac:dyDescent="0.3">
      <c r="D159" s="11"/>
    </row>
    <row r="160" spans="4:4" ht="15.75" customHeight="1" x14ac:dyDescent="0.3">
      <c r="D160" s="11"/>
    </row>
    <row r="161" spans="4:4" ht="15.75" customHeight="1" x14ac:dyDescent="0.3">
      <c r="D161" s="11"/>
    </row>
    <row r="162" spans="4:4" ht="15.75" customHeight="1" x14ac:dyDescent="0.3">
      <c r="D162" s="11"/>
    </row>
    <row r="163" spans="4:4" ht="15.75" customHeight="1" x14ac:dyDescent="0.3">
      <c r="D163" s="11"/>
    </row>
    <row r="164" spans="4:4" ht="15.75" customHeight="1" x14ac:dyDescent="0.3">
      <c r="D164" s="11"/>
    </row>
    <row r="165" spans="4:4" ht="15.75" customHeight="1" x14ac:dyDescent="0.3">
      <c r="D165" s="11"/>
    </row>
    <row r="166" spans="4:4" ht="15.75" customHeight="1" x14ac:dyDescent="0.3">
      <c r="D166" s="11"/>
    </row>
    <row r="167" spans="4:4" ht="15.75" customHeight="1" x14ac:dyDescent="0.3">
      <c r="D167" s="11"/>
    </row>
    <row r="168" spans="4:4" ht="15.75" customHeight="1" x14ac:dyDescent="0.3">
      <c r="D168" s="11"/>
    </row>
    <row r="169" spans="4:4" ht="15.75" customHeight="1" x14ac:dyDescent="0.3">
      <c r="D169" s="11"/>
    </row>
    <row r="170" spans="4:4" ht="15.75" customHeight="1" x14ac:dyDescent="0.3">
      <c r="D170" s="11"/>
    </row>
    <row r="171" spans="4:4" ht="15.75" customHeight="1" x14ac:dyDescent="0.3">
      <c r="D171" s="11"/>
    </row>
    <row r="172" spans="4:4" ht="15.75" customHeight="1" x14ac:dyDescent="0.3">
      <c r="D172" s="11"/>
    </row>
    <row r="173" spans="4:4" ht="15.75" customHeight="1" x14ac:dyDescent="0.3">
      <c r="D173" s="11"/>
    </row>
    <row r="174" spans="4:4" ht="15.75" customHeight="1" x14ac:dyDescent="0.3">
      <c r="D174" s="11"/>
    </row>
    <row r="175" spans="4:4" ht="15.75" customHeight="1" x14ac:dyDescent="0.3">
      <c r="D175" s="11"/>
    </row>
    <row r="176" spans="4:4" ht="15.75" customHeight="1" x14ac:dyDescent="0.3">
      <c r="D176" s="11"/>
    </row>
    <row r="177" spans="4:4" ht="15.75" customHeight="1" x14ac:dyDescent="0.3">
      <c r="D177" s="11"/>
    </row>
    <row r="178" spans="4:4" ht="15.75" customHeight="1" x14ac:dyDescent="0.3">
      <c r="D178" s="11"/>
    </row>
    <row r="179" spans="4:4" ht="15.75" customHeight="1" x14ac:dyDescent="0.3">
      <c r="D179" s="11"/>
    </row>
    <row r="180" spans="4:4" ht="15.75" customHeight="1" x14ac:dyDescent="0.3">
      <c r="D180" s="11"/>
    </row>
    <row r="181" spans="4:4" ht="15.75" customHeight="1" x14ac:dyDescent="0.3">
      <c r="D181" s="11"/>
    </row>
    <row r="182" spans="4:4" ht="15.75" customHeight="1" x14ac:dyDescent="0.3">
      <c r="D182" s="11"/>
    </row>
    <row r="183" spans="4:4" ht="15.75" customHeight="1" x14ac:dyDescent="0.3">
      <c r="D183" s="11"/>
    </row>
    <row r="184" spans="4:4" ht="15.75" customHeight="1" x14ac:dyDescent="0.3">
      <c r="D184" s="11"/>
    </row>
    <row r="185" spans="4:4" ht="15.75" customHeight="1" x14ac:dyDescent="0.3">
      <c r="D185" s="11"/>
    </row>
    <row r="186" spans="4:4" ht="15.75" customHeight="1" x14ac:dyDescent="0.3">
      <c r="D186" s="11"/>
    </row>
    <row r="187" spans="4:4" ht="15.75" customHeight="1" x14ac:dyDescent="0.3">
      <c r="D187" s="11"/>
    </row>
    <row r="188" spans="4:4" ht="15.75" customHeight="1" x14ac:dyDescent="0.3">
      <c r="D188" s="11"/>
    </row>
    <row r="189" spans="4:4" ht="15.75" customHeight="1" x14ac:dyDescent="0.3">
      <c r="D189" s="11"/>
    </row>
    <row r="190" spans="4:4" ht="15.75" customHeight="1" x14ac:dyDescent="0.3">
      <c r="D190" s="11"/>
    </row>
    <row r="191" spans="4:4" ht="15.75" customHeight="1" x14ac:dyDescent="0.3">
      <c r="D191" s="11"/>
    </row>
    <row r="192" spans="4:4" ht="15.75" customHeight="1" x14ac:dyDescent="0.3">
      <c r="D192" s="11"/>
    </row>
    <row r="193" spans="4:4" ht="15.75" customHeight="1" x14ac:dyDescent="0.3">
      <c r="D193" s="11"/>
    </row>
    <row r="194" spans="4:4" ht="15.75" customHeight="1" x14ac:dyDescent="0.3">
      <c r="D194" s="11"/>
    </row>
    <row r="195" spans="4:4" ht="15.75" customHeight="1" x14ac:dyDescent="0.3">
      <c r="D195" s="11"/>
    </row>
    <row r="196" spans="4:4" ht="15.75" customHeight="1" x14ac:dyDescent="0.3">
      <c r="D196" s="11"/>
    </row>
    <row r="197" spans="4:4" ht="15.75" customHeight="1" x14ac:dyDescent="0.3">
      <c r="D197" s="11"/>
    </row>
    <row r="198" spans="4:4" ht="15.75" customHeight="1" x14ac:dyDescent="0.3">
      <c r="D198" s="11"/>
    </row>
    <row r="199" spans="4:4" ht="15.75" customHeight="1" x14ac:dyDescent="0.3">
      <c r="D199" s="11"/>
    </row>
    <row r="200" spans="4:4" ht="15.75" customHeight="1" x14ac:dyDescent="0.3">
      <c r="D200" s="11"/>
    </row>
    <row r="201" spans="4:4" ht="15.75" customHeight="1" x14ac:dyDescent="0.3">
      <c r="D201" s="11"/>
    </row>
    <row r="202" spans="4:4" ht="15.75" customHeight="1" x14ac:dyDescent="0.3">
      <c r="D202" s="11"/>
    </row>
    <row r="203" spans="4:4" ht="15.75" customHeight="1" x14ac:dyDescent="0.3">
      <c r="D203" s="11"/>
    </row>
    <row r="204" spans="4:4" ht="15.75" customHeight="1" x14ac:dyDescent="0.3">
      <c r="D204" s="11"/>
    </row>
    <row r="205" spans="4:4" ht="15.75" customHeight="1" x14ac:dyDescent="0.3">
      <c r="D205" s="11"/>
    </row>
    <row r="206" spans="4:4" ht="15.75" customHeight="1" x14ac:dyDescent="0.3">
      <c r="D206" s="11"/>
    </row>
    <row r="207" spans="4:4" ht="15.75" customHeight="1" x14ac:dyDescent="0.3">
      <c r="D207" s="11"/>
    </row>
    <row r="208" spans="4:4" ht="15.75" customHeight="1" x14ac:dyDescent="0.3">
      <c r="D208" s="11"/>
    </row>
    <row r="209" spans="4:4" ht="15.75" customHeight="1" x14ac:dyDescent="0.3">
      <c r="D209" s="11"/>
    </row>
    <row r="210" spans="4:4" ht="15.75" customHeight="1" x14ac:dyDescent="0.3">
      <c r="D210" s="11"/>
    </row>
    <row r="211" spans="4:4" ht="15.75" customHeight="1" x14ac:dyDescent="0.3">
      <c r="D211" s="11"/>
    </row>
    <row r="212" spans="4:4" ht="15.75" customHeight="1" x14ac:dyDescent="0.3">
      <c r="D212" s="11"/>
    </row>
    <row r="213" spans="4:4" ht="15.75" customHeight="1" x14ac:dyDescent="0.3">
      <c r="D213" s="11"/>
    </row>
    <row r="214" spans="4:4" ht="15.75" customHeight="1" x14ac:dyDescent="0.3">
      <c r="D214" s="11"/>
    </row>
    <row r="215" spans="4:4" ht="15.75" customHeight="1" x14ac:dyDescent="0.3">
      <c r="D215" s="11"/>
    </row>
    <row r="216" spans="4:4" ht="15.75" customHeight="1" x14ac:dyDescent="0.3">
      <c r="D216" s="11"/>
    </row>
    <row r="217" spans="4:4" ht="15.75" customHeight="1" x14ac:dyDescent="0.3">
      <c r="D217" s="11"/>
    </row>
    <row r="218" spans="4:4" ht="15.75" customHeight="1" x14ac:dyDescent="0.3">
      <c r="D218" s="11"/>
    </row>
    <row r="219" spans="4:4" ht="15.75" customHeight="1" x14ac:dyDescent="0.3">
      <c r="D219" s="11"/>
    </row>
    <row r="220" spans="4:4" ht="15.75" customHeight="1" x14ac:dyDescent="0.3">
      <c r="D220" s="11"/>
    </row>
    <row r="221" spans="4:4" ht="15.75" customHeight="1" x14ac:dyDescent="0.3">
      <c r="D221" s="11"/>
    </row>
    <row r="222" spans="4:4" ht="15.75" customHeight="1" x14ac:dyDescent="0.3">
      <c r="D222" s="11"/>
    </row>
    <row r="223" spans="4:4" ht="15.75" customHeight="1" x14ac:dyDescent="0.3">
      <c r="D223" s="11"/>
    </row>
    <row r="224" spans="4:4" ht="15.75" customHeight="1" x14ac:dyDescent="0.3">
      <c r="D224" s="11"/>
    </row>
    <row r="225" spans="4:4" ht="15.75" customHeight="1" x14ac:dyDescent="0.3">
      <c r="D225" s="11"/>
    </row>
    <row r="226" spans="4:4" ht="15.75" customHeight="1" x14ac:dyDescent="0.3">
      <c r="D226" s="11"/>
    </row>
    <row r="227" spans="4:4" ht="15.75" customHeight="1" x14ac:dyDescent="0.3">
      <c r="D227" s="11"/>
    </row>
    <row r="228" spans="4:4" ht="15.75" customHeight="1" x14ac:dyDescent="0.3">
      <c r="D228" s="11"/>
    </row>
    <row r="229" spans="4:4" ht="15.75" customHeight="1" x14ac:dyDescent="0.3">
      <c r="D229" s="11"/>
    </row>
    <row r="230" spans="4:4" ht="15.75" customHeight="1" x14ac:dyDescent="0.3">
      <c r="D230" s="11"/>
    </row>
    <row r="231" spans="4:4" ht="15.75" customHeight="1" x14ac:dyDescent="0.3">
      <c r="D231" s="11"/>
    </row>
    <row r="232" spans="4:4" ht="15.75" customHeight="1" x14ac:dyDescent="0.3">
      <c r="D232" s="11"/>
    </row>
    <row r="233" spans="4:4" ht="15.75" customHeight="1" x14ac:dyDescent="0.3">
      <c r="D233" s="11"/>
    </row>
    <row r="234" spans="4:4" ht="15.75" customHeight="1" x14ac:dyDescent="0.3">
      <c r="D234" s="11"/>
    </row>
    <row r="235" spans="4:4" ht="15.75" customHeight="1" x14ac:dyDescent="0.3">
      <c r="D235" s="11"/>
    </row>
    <row r="236" spans="4:4" ht="15.75" customHeight="1" x14ac:dyDescent="0.3">
      <c r="D236" s="11"/>
    </row>
    <row r="237" spans="4:4" ht="15.75" customHeight="1" x14ac:dyDescent="0.3">
      <c r="D237" s="11"/>
    </row>
    <row r="238" spans="4:4" ht="15.75" customHeight="1" x14ac:dyDescent="0.3">
      <c r="D238" s="11"/>
    </row>
    <row r="239" spans="4:4" ht="15.75" customHeight="1" x14ac:dyDescent="0.3">
      <c r="D239" s="11"/>
    </row>
    <row r="240" spans="4:4" ht="15.75" customHeight="1" x14ac:dyDescent="0.3">
      <c r="D240" s="11"/>
    </row>
    <row r="241" spans="4:4" ht="15.75" customHeight="1" x14ac:dyDescent="0.3">
      <c r="D241" s="11"/>
    </row>
    <row r="242" spans="4:4" ht="15.75" customHeight="1" x14ac:dyDescent="0.3">
      <c r="D242" s="11"/>
    </row>
    <row r="243" spans="4:4" ht="15.75" customHeight="1" x14ac:dyDescent="0.3">
      <c r="D243" s="11"/>
    </row>
    <row r="244" spans="4:4" ht="15.75" customHeight="1" x14ac:dyDescent="0.3">
      <c r="D244" s="11"/>
    </row>
    <row r="245" spans="4:4" ht="15.75" customHeight="1" x14ac:dyDescent="0.3">
      <c r="D245" s="11"/>
    </row>
    <row r="246" spans="4:4" ht="15.75" customHeight="1" x14ac:dyDescent="0.3">
      <c r="D246" s="11"/>
    </row>
    <row r="247" spans="4:4" ht="15.75" customHeight="1" x14ac:dyDescent="0.3">
      <c r="D247" s="11"/>
    </row>
    <row r="248" spans="4:4" ht="15.75" customHeight="1" x14ac:dyDescent="0.3">
      <c r="D248" s="11"/>
    </row>
    <row r="249" spans="4:4" ht="15.75" customHeight="1" x14ac:dyDescent="0.3">
      <c r="D249" s="11"/>
    </row>
    <row r="250" spans="4:4" ht="15.75" customHeight="1" x14ac:dyDescent="0.3">
      <c r="D250" s="11"/>
    </row>
    <row r="251" spans="4:4" ht="15.75" customHeight="1" x14ac:dyDescent="0.3">
      <c r="D251" s="11"/>
    </row>
    <row r="252" spans="4:4" ht="15.75" customHeight="1" x14ac:dyDescent="0.3">
      <c r="D252" s="11"/>
    </row>
    <row r="253" spans="4:4" ht="15.75" customHeight="1" x14ac:dyDescent="0.3">
      <c r="D253" s="11"/>
    </row>
    <row r="254" spans="4:4" ht="15.75" customHeight="1" x14ac:dyDescent="0.3">
      <c r="D254" s="11"/>
    </row>
    <row r="255" spans="4:4" ht="15.75" customHeight="1" x14ac:dyDescent="0.3">
      <c r="D255" s="11"/>
    </row>
    <row r="256" spans="4:4" ht="15.75" customHeight="1" x14ac:dyDescent="0.3">
      <c r="D256" s="11"/>
    </row>
    <row r="257" spans="4:4" ht="15.75" customHeight="1" x14ac:dyDescent="0.3">
      <c r="D257" s="11"/>
    </row>
    <row r="258" spans="4:4" ht="15.75" customHeight="1" x14ac:dyDescent="0.3">
      <c r="D258" s="11"/>
    </row>
    <row r="259" spans="4:4" ht="15.75" customHeight="1" x14ac:dyDescent="0.3">
      <c r="D259" s="11"/>
    </row>
    <row r="260" spans="4:4" ht="15.75" customHeight="1" x14ac:dyDescent="0.3">
      <c r="D260" s="11"/>
    </row>
    <row r="261" spans="4:4" ht="15.75" customHeight="1" x14ac:dyDescent="0.3">
      <c r="D261" s="11"/>
    </row>
    <row r="262" spans="4:4" ht="15.75" customHeight="1" x14ac:dyDescent="0.3">
      <c r="D262" s="11"/>
    </row>
    <row r="263" spans="4:4" ht="15.75" customHeight="1" x14ac:dyDescent="0.3">
      <c r="D263" s="11"/>
    </row>
    <row r="264" spans="4:4" ht="15.75" customHeight="1" x14ac:dyDescent="0.3">
      <c r="D264" s="11"/>
    </row>
    <row r="265" spans="4:4" ht="15.75" customHeight="1" x14ac:dyDescent="0.3">
      <c r="D265" s="11"/>
    </row>
    <row r="266" spans="4:4" ht="15.75" customHeight="1" x14ac:dyDescent="0.3">
      <c r="D266" s="11"/>
    </row>
    <row r="267" spans="4:4" ht="15.75" customHeight="1" x14ac:dyDescent="0.3">
      <c r="D267" s="11"/>
    </row>
    <row r="268" spans="4:4" ht="15.75" customHeight="1" x14ac:dyDescent="0.3">
      <c r="D268" s="11"/>
    </row>
    <row r="269" spans="4:4" ht="15.75" customHeight="1" x14ac:dyDescent="0.3">
      <c r="D269" s="11"/>
    </row>
    <row r="270" spans="4:4" ht="15.75" customHeight="1" x14ac:dyDescent="0.3">
      <c r="D270" s="11"/>
    </row>
    <row r="271" spans="4:4" ht="15.75" customHeight="1" x14ac:dyDescent="0.3">
      <c r="D271" s="11"/>
    </row>
    <row r="272" spans="4:4" ht="15.75" customHeight="1" x14ac:dyDescent="0.3">
      <c r="D272" s="11"/>
    </row>
    <row r="273" spans="4:4" ht="15.75" customHeight="1" x14ac:dyDescent="0.3">
      <c r="D273" s="11"/>
    </row>
    <row r="274" spans="4:4" ht="15.75" customHeight="1" x14ac:dyDescent="0.3">
      <c r="D274" s="11"/>
    </row>
    <row r="275" spans="4:4" ht="15.75" customHeight="1" x14ac:dyDescent="0.3">
      <c r="D275" s="11"/>
    </row>
    <row r="276" spans="4:4" ht="15.75" customHeight="1" x14ac:dyDescent="0.3">
      <c r="D276" s="11"/>
    </row>
    <row r="277" spans="4:4" ht="15.75" customHeight="1" x14ac:dyDescent="0.3">
      <c r="D277" s="11"/>
    </row>
    <row r="278" spans="4:4" ht="15.75" customHeight="1" x14ac:dyDescent="0.3">
      <c r="D278" s="11"/>
    </row>
    <row r="279" spans="4:4" ht="15.75" customHeight="1" x14ac:dyDescent="0.3">
      <c r="D279" s="11"/>
    </row>
    <row r="280" spans="4:4" ht="15.75" customHeight="1" x14ac:dyDescent="0.3">
      <c r="D280" s="11"/>
    </row>
    <row r="281" spans="4:4" ht="15.75" customHeight="1" x14ac:dyDescent="0.3">
      <c r="D281" s="11"/>
    </row>
    <row r="282" spans="4:4" ht="15.75" customHeight="1" x14ac:dyDescent="0.3">
      <c r="D282" s="11"/>
    </row>
    <row r="283" spans="4:4" ht="15.75" customHeight="1" x14ac:dyDescent="0.3">
      <c r="D283" s="11"/>
    </row>
    <row r="284" spans="4:4" ht="15.75" customHeight="1" x14ac:dyDescent="0.3">
      <c r="D284" s="11"/>
    </row>
    <row r="285" spans="4:4" ht="15.75" customHeight="1" x14ac:dyDescent="0.3">
      <c r="D285" s="11"/>
    </row>
    <row r="286" spans="4:4" ht="15.75" customHeight="1" x14ac:dyDescent="0.3">
      <c r="D286" s="11"/>
    </row>
    <row r="287" spans="4:4" ht="15.75" customHeight="1" x14ac:dyDescent="0.3">
      <c r="D287" s="11"/>
    </row>
    <row r="288" spans="4:4" ht="15.75" customHeight="1" x14ac:dyDescent="0.3">
      <c r="D288" s="11"/>
    </row>
    <row r="289" spans="4:4" ht="15.75" customHeight="1" x14ac:dyDescent="0.3">
      <c r="D289" s="11"/>
    </row>
    <row r="290" spans="4:4" ht="15.75" customHeight="1" x14ac:dyDescent="0.3">
      <c r="D290" s="11"/>
    </row>
    <row r="291" spans="4:4" ht="15.75" customHeight="1" x14ac:dyDescent="0.3">
      <c r="D291" s="11"/>
    </row>
    <row r="292" spans="4:4" ht="15.75" customHeight="1" x14ac:dyDescent="0.3">
      <c r="D292" s="11"/>
    </row>
    <row r="293" spans="4:4" ht="15.75" customHeight="1" x14ac:dyDescent="0.3">
      <c r="D293" s="11"/>
    </row>
    <row r="294" spans="4:4" ht="15.75" customHeight="1" x14ac:dyDescent="0.3">
      <c r="D294" s="11"/>
    </row>
    <row r="295" spans="4:4" ht="15.75" customHeight="1" x14ac:dyDescent="0.3">
      <c r="D295" s="11"/>
    </row>
    <row r="296" spans="4:4" ht="15.75" customHeight="1" x14ac:dyDescent="0.3">
      <c r="D296" s="11"/>
    </row>
    <row r="297" spans="4:4" ht="15.75" customHeight="1" x14ac:dyDescent="0.3">
      <c r="D297" s="11"/>
    </row>
    <row r="298" spans="4:4" ht="15.75" customHeight="1" x14ac:dyDescent="0.3">
      <c r="D298" s="11"/>
    </row>
    <row r="299" spans="4:4" ht="15.75" customHeight="1" x14ac:dyDescent="0.3">
      <c r="D299" s="11"/>
    </row>
    <row r="300" spans="4:4" ht="15.75" customHeight="1" x14ac:dyDescent="0.3">
      <c r="D300" s="11"/>
    </row>
    <row r="301" spans="4:4" ht="15.75" customHeight="1" x14ac:dyDescent="0.3">
      <c r="D301" s="11"/>
    </row>
    <row r="302" spans="4:4" ht="15.75" customHeight="1" x14ac:dyDescent="0.3">
      <c r="D302" s="11"/>
    </row>
    <row r="303" spans="4:4" ht="15.75" customHeight="1" x14ac:dyDescent="0.3">
      <c r="D303" s="11"/>
    </row>
    <row r="304" spans="4:4" ht="15.75" customHeight="1" x14ac:dyDescent="0.3">
      <c r="D304" s="11"/>
    </row>
    <row r="305" spans="4:4" ht="15.75" customHeight="1" x14ac:dyDescent="0.3">
      <c r="D305" s="11"/>
    </row>
    <row r="306" spans="4:4" ht="15.75" customHeight="1" x14ac:dyDescent="0.3">
      <c r="D306" s="11"/>
    </row>
    <row r="307" spans="4:4" ht="15.75" customHeight="1" x14ac:dyDescent="0.3">
      <c r="D307" s="11"/>
    </row>
    <row r="308" spans="4:4" ht="15.75" customHeight="1" x14ac:dyDescent="0.3">
      <c r="D308" s="11"/>
    </row>
    <row r="309" spans="4:4" ht="15.75" customHeight="1" x14ac:dyDescent="0.3">
      <c r="D309" s="11"/>
    </row>
    <row r="310" spans="4:4" ht="15.75" customHeight="1" x14ac:dyDescent="0.3">
      <c r="D310" s="11"/>
    </row>
    <row r="311" spans="4:4" ht="15.75" customHeight="1" x14ac:dyDescent="0.3">
      <c r="D311" s="11"/>
    </row>
    <row r="312" spans="4:4" ht="15.75" customHeight="1" x14ac:dyDescent="0.3">
      <c r="D312" s="11"/>
    </row>
    <row r="313" spans="4:4" ht="15.75" customHeight="1" x14ac:dyDescent="0.3">
      <c r="D313" s="11"/>
    </row>
    <row r="314" spans="4:4" ht="15.75" customHeight="1" x14ac:dyDescent="0.3">
      <c r="D314" s="11"/>
    </row>
    <row r="315" spans="4:4" ht="15.75" customHeight="1" x14ac:dyDescent="0.3">
      <c r="D315" s="11"/>
    </row>
    <row r="316" spans="4:4" ht="15.75" customHeight="1" x14ac:dyDescent="0.3">
      <c r="D316" s="11"/>
    </row>
    <row r="317" spans="4:4" ht="15.75" customHeight="1" x14ac:dyDescent="0.3">
      <c r="D317" s="11"/>
    </row>
    <row r="318" spans="4:4" ht="15.75" customHeight="1" x14ac:dyDescent="0.3">
      <c r="D318" s="11"/>
    </row>
    <row r="319" spans="4:4" ht="15.75" customHeight="1" x14ac:dyDescent="0.3">
      <c r="D319" s="11"/>
    </row>
    <row r="320" spans="4:4" ht="15.75" customHeight="1" x14ac:dyDescent="0.3">
      <c r="D320" s="11"/>
    </row>
    <row r="321" spans="4:4" ht="15.75" customHeight="1" x14ac:dyDescent="0.3">
      <c r="D321" s="11"/>
    </row>
    <row r="322" spans="4:4" ht="15.75" customHeight="1" x14ac:dyDescent="0.3">
      <c r="D322" s="11"/>
    </row>
    <row r="323" spans="4:4" ht="15.75" customHeight="1" x14ac:dyDescent="0.3">
      <c r="D323" s="11"/>
    </row>
    <row r="324" spans="4:4" ht="15.75" customHeight="1" x14ac:dyDescent="0.3">
      <c r="D324" s="11"/>
    </row>
    <row r="325" spans="4:4" ht="15.75" customHeight="1" x14ac:dyDescent="0.3">
      <c r="D325" s="11"/>
    </row>
    <row r="326" spans="4:4" ht="15.75" customHeight="1" x14ac:dyDescent="0.3">
      <c r="D326" s="11"/>
    </row>
    <row r="327" spans="4:4" ht="15.75" customHeight="1" x14ac:dyDescent="0.3">
      <c r="D327" s="11"/>
    </row>
    <row r="328" spans="4:4" ht="15.75" customHeight="1" x14ac:dyDescent="0.3">
      <c r="D328" s="11"/>
    </row>
    <row r="329" spans="4:4" ht="15.75" customHeight="1" x14ac:dyDescent="0.3">
      <c r="D329" s="11"/>
    </row>
    <row r="330" spans="4:4" ht="15.75" customHeight="1" x14ac:dyDescent="0.3">
      <c r="D330" s="11"/>
    </row>
    <row r="331" spans="4:4" ht="15.75" customHeight="1" x14ac:dyDescent="0.3">
      <c r="D331" s="11"/>
    </row>
    <row r="332" spans="4:4" ht="15.75" customHeight="1" x14ac:dyDescent="0.3">
      <c r="D332" s="11"/>
    </row>
    <row r="333" spans="4:4" ht="15.75" customHeight="1" x14ac:dyDescent="0.3">
      <c r="D333" s="11"/>
    </row>
    <row r="334" spans="4:4" ht="15.75" customHeight="1" x14ac:dyDescent="0.3">
      <c r="D334" s="11"/>
    </row>
    <row r="335" spans="4:4" ht="15.75" customHeight="1" x14ac:dyDescent="0.3">
      <c r="D335" s="11"/>
    </row>
    <row r="336" spans="4:4" ht="15.75" customHeight="1" x14ac:dyDescent="0.3">
      <c r="D336" s="11"/>
    </row>
    <row r="337" spans="4:4" ht="15.75" customHeight="1" x14ac:dyDescent="0.3">
      <c r="D337" s="11"/>
    </row>
    <row r="338" spans="4:4" ht="15.75" customHeight="1" x14ac:dyDescent="0.3">
      <c r="D338" s="11"/>
    </row>
    <row r="339" spans="4:4" ht="15.75" customHeight="1" x14ac:dyDescent="0.3">
      <c r="D339" s="11"/>
    </row>
    <row r="340" spans="4:4" ht="15.75" customHeight="1" x14ac:dyDescent="0.3">
      <c r="D340" s="11"/>
    </row>
    <row r="341" spans="4:4" ht="15.75" customHeight="1" x14ac:dyDescent="0.3">
      <c r="D341" s="11"/>
    </row>
    <row r="342" spans="4:4" ht="15.75" customHeight="1" x14ac:dyDescent="0.3">
      <c r="D342" s="11"/>
    </row>
    <row r="343" spans="4:4" ht="15.75" customHeight="1" x14ac:dyDescent="0.3">
      <c r="D343" s="11"/>
    </row>
    <row r="344" spans="4:4" ht="15.75" customHeight="1" x14ac:dyDescent="0.3">
      <c r="D344" s="11"/>
    </row>
    <row r="345" spans="4:4" ht="15.75" customHeight="1" x14ac:dyDescent="0.3">
      <c r="D345" s="11"/>
    </row>
    <row r="346" spans="4:4" ht="15.75" customHeight="1" x14ac:dyDescent="0.3">
      <c r="D346" s="11"/>
    </row>
    <row r="347" spans="4:4" ht="15.75" customHeight="1" x14ac:dyDescent="0.3">
      <c r="D347" s="11"/>
    </row>
    <row r="348" spans="4:4" ht="15.75" customHeight="1" x14ac:dyDescent="0.3">
      <c r="D348" s="11"/>
    </row>
    <row r="349" spans="4:4" ht="15.75" customHeight="1" x14ac:dyDescent="0.3">
      <c r="D349" s="11"/>
    </row>
    <row r="350" spans="4:4" ht="15.75" customHeight="1" x14ac:dyDescent="0.3">
      <c r="D350" s="11"/>
    </row>
    <row r="351" spans="4:4" ht="15.75" customHeight="1" x14ac:dyDescent="0.3">
      <c r="D351" s="11"/>
    </row>
    <row r="352" spans="4:4" ht="15.75" customHeight="1" x14ac:dyDescent="0.3">
      <c r="D352" s="11"/>
    </row>
    <row r="353" spans="4:4" ht="15.75" customHeight="1" x14ac:dyDescent="0.3">
      <c r="D353" s="11"/>
    </row>
    <row r="354" spans="4:4" ht="15.75" customHeight="1" x14ac:dyDescent="0.3">
      <c r="D354" s="11"/>
    </row>
    <row r="355" spans="4:4" ht="15.75" customHeight="1" x14ac:dyDescent="0.3">
      <c r="D355" s="11"/>
    </row>
    <row r="356" spans="4:4" ht="15.75" customHeight="1" x14ac:dyDescent="0.3">
      <c r="D356" s="11"/>
    </row>
    <row r="357" spans="4:4" ht="15.75" customHeight="1" x14ac:dyDescent="0.3">
      <c r="D357" s="11"/>
    </row>
    <row r="358" spans="4:4" ht="15.75" customHeight="1" x14ac:dyDescent="0.3">
      <c r="D358" s="11"/>
    </row>
    <row r="359" spans="4:4" ht="15.75" customHeight="1" x14ac:dyDescent="0.3">
      <c r="D359" s="11"/>
    </row>
    <row r="360" spans="4:4" ht="15.75" customHeight="1" x14ac:dyDescent="0.3">
      <c r="D360" s="11"/>
    </row>
    <row r="361" spans="4:4" ht="15.75" customHeight="1" x14ac:dyDescent="0.3">
      <c r="D361" s="11"/>
    </row>
    <row r="362" spans="4:4" ht="15.75" customHeight="1" x14ac:dyDescent="0.3">
      <c r="D362" s="11"/>
    </row>
    <row r="363" spans="4:4" ht="15.75" customHeight="1" x14ac:dyDescent="0.3">
      <c r="D363" s="11"/>
    </row>
    <row r="364" spans="4:4" ht="15.75" customHeight="1" x14ac:dyDescent="0.3">
      <c r="D364" s="11"/>
    </row>
    <row r="365" spans="4:4" ht="15.75" customHeight="1" x14ac:dyDescent="0.3">
      <c r="D365" s="11"/>
    </row>
    <row r="366" spans="4:4" ht="15.75" customHeight="1" x14ac:dyDescent="0.3">
      <c r="D366" s="11"/>
    </row>
    <row r="367" spans="4:4" ht="15.75" customHeight="1" x14ac:dyDescent="0.3">
      <c r="D367" s="11"/>
    </row>
    <row r="368" spans="4:4" ht="15.75" customHeight="1" x14ac:dyDescent="0.3">
      <c r="D368" s="11"/>
    </row>
    <row r="369" spans="4:4" ht="15.75" customHeight="1" x14ac:dyDescent="0.3">
      <c r="D369" s="11"/>
    </row>
    <row r="370" spans="4:4" ht="15.75" customHeight="1" x14ac:dyDescent="0.3">
      <c r="D370" s="11"/>
    </row>
    <row r="371" spans="4:4" ht="15.75" customHeight="1" x14ac:dyDescent="0.3">
      <c r="D371" s="11"/>
    </row>
    <row r="372" spans="4:4" ht="15.75" customHeight="1" x14ac:dyDescent="0.3">
      <c r="D372" s="11"/>
    </row>
    <row r="373" spans="4:4" ht="15.75" customHeight="1" x14ac:dyDescent="0.3">
      <c r="D373" s="11"/>
    </row>
    <row r="374" spans="4:4" ht="15.75" customHeight="1" x14ac:dyDescent="0.3">
      <c r="D374" s="11"/>
    </row>
    <row r="375" spans="4:4" ht="15.75" customHeight="1" x14ac:dyDescent="0.3">
      <c r="D375" s="11"/>
    </row>
    <row r="376" spans="4:4" ht="15.75" customHeight="1" x14ac:dyDescent="0.3">
      <c r="D376" s="11"/>
    </row>
    <row r="377" spans="4:4" ht="15.75" customHeight="1" x14ac:dyDescent="0.3">
      <c r="D377" s="11"/>
    </row>
    <row r="378" spans="4:4" ht="15.75" customHeight="1" x14ac:dyDescent="0.3">
      <c r="D378" s="11"/>
    </row>
    <row r="379" spans="4:4" ht="15.75" customHeight="1" x14ac:dyDescent="0.3">
      <c r="D379" s="11"/>
    </row>
    <row r="380" spans="4:4" ht="15.75" customHeight="1" x14ac:dyDescent="0.3">
      <c r="D380" s="11"/>
    </row>
    <row r="381" spans="4:4" ht="15.75" customHeight="1" x14ac:dyDescent="0.3">
      <c r="D381" s="11"/>
    </row>
    <row r="382" spans="4:4" ht="15.75" customHeight="1" x14ac:dyDescent="0.3">
      <c r="D382" s="11"/>
    </row>
    <row r="383" spans="4:4" ht="15.75" customHeight="1" x14ac:dyDescent="0.3">
      <c r="D383" s="11"/>
    </row>
    <row r="384" spans="4:4" ht="15.75" customHeight="1" x14ac:dyDescent="0.3">
      <c r="D384" s="11"/>
    </row>
    <row r="385" spans="4:4" ht="15.75" customHeight="1" x14ac:dyDescent="0.3">
      <c r="D385" s="11"/>
    </row>
    <row r="386" spans="4:4" ht="15.75" customHeight="1" x14ac:dyDescent="0.3">
      <c r="D386" s="11"/>
    </row>
    <row r="387" spans="4:4" ht="15.75" customHeight="1" x14ac:dyDescent="0.3">
      <c r="D387" s="11"/>
    </row>
    <row r="388" spans="4:4" ht="15.75" customHeight="1" x14ac:dyDescent="0.3">
      <c r="D388" s="11"/>
    </row>
    <row r="389" spans="4:4" ht="15.75" customHeight="1" x14ac:dyDescent="0.3">
      <c r="D389" s="11"/>
    </row>
    <row r="390" spans="4:4" ht="15.75" customHeight="1" x14ac:dyDescent="0.3">
      <c r="D390" s="11"/>
    </row>
    <row r="391" spans="4:4" ht="15.75" customHeight="1" x14ac:dyDescent="0.3">
      <c r="D391" s="11"/>
    </row>
    <row r="392" spans="4:4" ht="15.75" customHeight="1" x14ac:dyDescent="0.3">
      <c r="D392" s="11"/>
    </row>
    <row r="393" spans="4:4" ht="15.75" customHeight="1" x14ac:dyDescent="0.3">
      <c r="D393" s="11"/>
    </row>
    <row r="394" spans="4:4" ht="15.75" customHeight="1" x14ac:dyDescent="0.3">
      <c r="D394" s="11"/>
    </row>
    <row r="395" spans="4:4" ht="15.75" customHeight="1" x14ac:dyDescent="0.3">
      <c r="D395" s="11"/>
    </row>
    <row r="396" spans="4:4" ht="15.75" customHeight="1" x14ac:dyDescent="0.3">
      <c r="D396" s="11"/>
    </row>
    <row r="397" spans="4:4" ht="15.75" customHeight="1" x14ac:dyDescent="0.3">
      <c r="D397" s="11"/>
    </row>
    <row r="398" spans="4:4" ht="15.75" customHeight="1" x14ac:dyDescent="0.3">
      <c r="D398" s="11"/>
    </row>
    <row r="399" spans="4:4" ht="15.75" customHeight="1" x14ac:dyDescent="0.3">
      <c r="D399" s="11"/>
    </row>
    <row r="400" spans="4:4" ht="15.75" customHeight="1" x14ac:dyDescent="0.3">
      <c r="D400" s="11"/>
    </row>
    <row r="401" spans="4:4" ht="15.75" customHeight="1" x14ac:dyDescent="0.3">
      <c r="D401" s="11"/>
    </row>
    <row r="402" spans="4:4" ht="15.75" customHeight="1" x14ac:dyDescent="0.3">
      <c r="D402" s="11"/>
    </row>
    <row r="403" spans="4:4" ht="15.75" customHeight="1" x14ac:dyDescent="0.3">
      <c r="D403" s="11"/>
    </row>
    <row r="404" spans="4:4" ht="15.75" customHeight="1" x14ac:dyDescent="0.3">
      <c r="D404" s="11"/>
    </row>
    <row r="405" spans="4:4" ht="15.75" customHeight="1" x14ac:dyDescent="0.3">
      <c r="D405" s="11"/>
    </row>
    <row r="406" spans="4:4" ht="15.75" customHeight="1" x14ac:dyDescent="0.3">
      <c r="D406" s="11"/>
    </row>
    <row r="407" spans="4:4" ht="15.75" customHeight="1" x14ac:dyDescent="0.3">
      <c r="D407" s="11"/>
    </row>
    <row r="408" spans="4:4" ht="15.75" customHeight="1" x14ac:dyDescent="0.3">
      <c r="D408" s="11"/>
    </row>
    <row r="409" spans="4:4" ht="15.75" customHeight="1" x14ac:dyDescent="0.3">
      <c r="D409" s="11"/>
    </row>
    <row r="410" spans="4:4" ht="15.75" customHeight="1" x14ac:dyDescent="0.3">
      <c r="D410" s="11"/>
    </row>
    <row r="411" spans="4:4" ht="15.75" customHeight="1" x14ac:dyDescent="0.3">
      <c r="D411" s="11"/>
    </row>
    <row r="412" spans="4:4" ht="15.75" customHeight="1" x14ac:dyDescent="0.3">
      <c r="D412" s="11"/>
    </row>
    <row r="413" spans="4:4" ht="15.75" customHeight="1" x14ac:dyDescent="0.3">
      <c r="D413" s="11"/>
    </row>
    <row r="414" spans="4:4" ht="15.75" customHeight="1" x14ac:dyDescent="0.3">
      <c r="D414" s="11"/>
    </row>
    <row r="415" spans="4:4" ht="15.75" customHeight="1" x14ac:dyDescent="0.3">
      <c r="D415" s="11"/>
    </row>
    <row r="416" spans="4:4" ht="15.75" customHeight="1" x14ac:dyDescent="0.3">
      <c r="D416" s="11"/>
    </row>
    <row r="417" spans="4:4" ht="15.75" customHeight="1" x14ac:dyDescent="0.3">
      <c r="D417" s="11"/>
    </row>
    <row r="418" spans="4:4" ht="15.75" customHeight="1" x14ac:dyDescent="0.3">
      <c r="D418" s="11"/>
    </row>
    <row r="419" spans="4:4" ht="15.75" customHeight="1" x14ac:dyDescent="0.3">
      <c r="D419" s="11"/>
    </row>
    <row r="420" spans="4:4" ht="15.75" customHeight="1" x14ac:dyDescent="0.3">
      <c r="D420" s="11"/>
    </row>
    <row r="421" spans="4:4" ht="15.75" customHeight="1" x14ac:dyDescent="0.3">
      <c r="D421" s="11"/>
    </row>
    <row r="422" spans="4:4" ht="15.75" customHeight="1" x14ac:dyDescent="0.3">
      <c r="D422" s="11"/>
    </row>
    <row r="423" spans="4:4" ht="15.75" customHeight="1" x14ac:dyDescent="0.3">
      <c r="D423" s="11"/>
    </row>
    <row r="424" spans="4:4" ht="15.75" customHeight="1" x14ac:dyDescent="0.3">
      <c r="D424" s="11"/>
    </row>
    <row r="425" spans="4:4" ht="15.75" customHeight="1" x14ac:dyDescent="0.3">
      <c r="D425" s="11"/>
    </row>
    <row r="426" spans="4:4" ht="15.75" customHeight="1" x14ac:dyDescent="0.3">
      <c r="D426" s="11"/>
    </row>
    <row r="427" spans="4:4" ht="15.75" customHeight="1" x14ac:dyDescent="0.3">
      <c r="D427" s="11"/>
    </row>
    <row r="428" spans="4:4" ht="15.75" customHeight="1" x14ac:dyDescent="0.3">
      <c r="D428" s="11"/>
    </row>
    <row r="429" spans="4:4" ht="15.75" customHeight="1" x14ac:dyDescent="0.3">
      <c r="D429" s="11"/>
    </row>
    <row r="430" spans="4:4" ht="15.75" customHeight="1" x14ac:dyDescent="0.3">
      <c r="D430" s="11"/>
    </row>
    <row r="431" spans="4:4" ht="15.75" customHeight="1" x14ac:dyDescent="0.3">
      <c r="D431" s="11"/>
    </row>
    <row r="432" spans="4:4" ht="15.75" customHeight="1" x14ac:dyDescent="0.3">
      <c r="D432" s="11"/>
    </row>
    <row r="433" spans="4:4" ht="15.75" customHeight="1" x14ac:dyDescent="0.3">
      <c r="D433" s="11"/>
    </row>
    <row r="434" spans="4:4" ht="15.75" customHeight="1" x14ac:dyDescent="0.3">
      <c r="D434" s="11"/>
    </row>
    <row r="435" spans="4:4" ht="15.75" customHeight="1" x14ac:dyDescent="0.3">
      <c r="D435" s="11"/>
    </row>
    <row r="436" spans="4:4" ht="15.75" customHeight="1" x14ac:dyDescent="0.3">
      <c r="D436" s="11"/>
    </row>
    <row r="437" spans="4:4" ht="15.75" customHeight="1" x14ac:dyDescent="0.3">
      <c r="D437" s="11"/>
    </row>
    <row r="438" spans="4:4" ht="15.75" customHeight="1" x14ac:dyDescent="0.3">
      <c r="D438" s="11"/>
    </row>
    <row r="439" spans="4:4" ht="15.75" customHeight="1" x14ac:dyDescent="0.3">
      <c r="D439" s="11"/>
    </row>
    <row r="440" spans="4:4" ht="15.75" customHeight="1" x14ac:dyDescent="0.3">
      <c r="D440" s="11"/>
    </row>
    <row r="441" spans="4:4" ht="15.75" customHeight="1" x14ac:dyDescent="0.3">
      <c r="D441" s="11"/>
    </row>
    <row r="442" spans="4:4" ht="15.75" customHeight="1" x14ac:dyDescent="0.3">
      <c r="D442" s="11"/>
    </row>
    <row r="443" spans="4:4" ht="15.75" customHeight="1" x14ac:dyDescent="0.3">
      <c r="D443" s="11"/>
    </row>
    <row r="444" spans="4:4" ht="15.75" customHeight="1" x14ac:dyDescent="0.3">
      <c r="D444" s="11"/>
    </row>
    <row r="445" spans="4:4" ht="15.75" customHeight="1" x14ac:dyDescent="0.3">
      <c r="D445" s="11"/>
    </row>
    <row r="446" spans="4:4" ht="15.75" customHeight="1" x14ac:dyDescent="0.3">
      <c r="D446" s="11"/>
    </row>
    <row r="447" spans="4:4" ht="15.75" customHeight="1" x14ac:dyDescent="0.3">
      <c r="D447" s="11"/>
    </row>
    <row r="448" spans="4:4" ht="15.75" customHeight="1" x14ac:dyDescent="0.3">
      <c r="D448" s="11"/>
    </row>
    <row r="449" spans="4:4" ht="15.75" customHeight="1" x14ac:dyDescent="0.3">
      <c r="D449" s="11"/>
    </row>
    <row r="450" spans="4:4" ht="15.75" customHeight="1" x14ac:dyDescent="0.3">
      <c r="D450" s="11"/>
    </row>
    <row r="451" spans="4:4" ht="15.75" customHeight="1" x14ac:dyDescent="0.3">
      <c r="D451" s="11"/>
    </row>
    <row r="452" spans="4:4" ht="15.75" customHeight="1" x14ac:dyDescent="0.3">
      <c r="D452" s="11"/>
    </row>
    <row r="453" spans="4:4" ht="15.75" customHeight="1" x14ac:dyDescent="0.3">
      <c r="D453" s="11"/>
    </row>
    <row r="454" spans="4:4" ht="15.75" customHeight="1" x14ac:dyDescent="0.3">
      <c r="D454" s="11"/>
    </row>
    <row r="455" spans="4:4" ht="15.75" customHeight="1" x14ac:dyDescent="0.3">
      <c r="D455" s="11"/>
    </row>
    <row r="456" spans="4:4" ht="15.75" customHeight="1" x14ac:dyDescent="0.3">
      <c r="D456" s="11"/>
    </row>
    <row r="457" spans="4:4" ht="15.75" customHeight="1" x14ac:dyDescent="0.3">
      <c r="D457" s="11"/>
    </row>
    <row r="458" spans="4:4" ht="15.75" customHeight="1" x14ac:dyDescent="0.3">
      <c r="D458" s="11"/>
    </row>
    <row r="459" spans="4:4" ht="15.75" customHeight="1" x14ac:dyDescent="0.3">
      <c r="D459" s="11"/>
    </row>
    <row r="460" spans="4:4" ht="15.75" customHeight="1" x14ac:dyDescent="0.3">
      <c r="D460" s="11"/>
    </row>
    <row r="461" spans="4:4" ht="15.75" customHeight="1" x14ac:dyDescent="0.3">
      <c r="D461" s="11"/>
    </row>
    <row r="462" spans="4:4" ht="15.75" customHeight="1" x14ac:dyDescent="0.3">
      <c r="D462" s="11"/>
    </row>
    <row r="463" spans="4:4" ht="15.75" customHeight="1" x14ac:dyDescent="0.3">
      <c r="D463" s="11"/>
    </row>
    <row r="464" spans="4:4" ht="15.75" customHeight="1" x14ac:dyDescent="0.3">
      <c r="D464" s="11"/>
    </row>
    <row r="465" spans="4:4" ht="15.75" customHeight="1" x14ac:dyDescent="0.3">
      <c r="D465" s="11"/>
    </row>
    <row r="466" spans="4:4" ht="15.75" customHeight="1" x14ac:dyDescent="0.3">
      <c r="D466" s="11"/>
    </row>
    <row r="467" spans="4:4" ht="15.75" customHeight="1" x14ac:dyDescent="0.3">
      <c r="D467" s="11"/>
    </row>
    <row r="468" spans="4:4" ht="15.75" customHeight="1" x14ac:dyDescent="0.3">
      <c r="D468" s="11"/>
    </row>
    <row r="469" spans="4:4" ht="15.75" customHeight="1" x14ac:dyDescent="0.3">
      <c r="D469" s="11"/>
    </row>
    <row r="470" spans="4:4" ht="15.75" customHeight="1" x14ac:dyDescent="0.3">
      <c r="D470" s="11"/>
    </row>
    <row r="471" spans="4:4" ht="15.75" customHeight="1" x14ac:dyDescent="0.3">
      <c r="D471" s="11"/>
    </row>
    <row r="472" spans="4:4" ht="15.75" customHeight="1" x14ac:dyDescent="0.3">
      <c r="D472" s="11"/>
    </row>
    <row r="473" spans="4:4" ht="15.75" customHeight="1" x14ac:dyDescent="0.3">
      <c r="D473" s="11"/>
    </row>
    <row r="474" spans="4:4" ht="15.75" customHeight="1" x14ac:dyDescent="0.3">
      <c r="D474" s="11"/>
    </row>
    <row r="475" spans="4:4" ht="15.75" customHeight="1" x14ac:dyDescent="0.3">
      <c r="D475" s="11"/>
    </row>
    <row r="476" spans="4:4" ht="15.75" customHeight="1" x14ac:dyDescent="0.3">
      <c r="D476" s="11"/>
    </row>
    <row r="477" spans="4:4" ht="15.75" customHeight="1" x14ac:dyDescent="0.3">
      <c r="D477" s="11"/>
    </row>
    <row r="478" spans="4:4" ht="15.75" customHeight="1" x14ac:dyDescent="0.3">
      <c r="D478" s="11"/>
    </row>
    <row r="479" spans="4:4" ht="15.75" customHeight="1" x14ac:dyDescent="0.3">
      <c r="D479" s="11"/>
    </row>
    <row r="480" spans="4:4" ht="15.75" customHeight="1" x14ac:dyDescent="0.3">
      <c r="D480" s="11"/>
    </row>
    <row r="481" spans="4:4" ht="15.75" customHeight="1" x14ac:dyDescent="0.3">
      <c r="D481" s="11"/>
    </row>
    <row r="482" spans="4:4" ht="15.75" customHeight="1" x14ac:dyDescent="0.3">
      <c r="D482" s="11"/>
    </row>
    <row r="483" spans="4:4" ht="15.75" customHeight="1" x14ac:dyDescent="0.3">
      <c r="D483" s="11"/>
    </row>
    <row r="484" spans="4:4" ht="15.75" customHeight="1" x14ac:dyDescent="0.3">
      <c r="D484" s="11"/>
    </row>
    <row r="485" spans="4:4" ht="15.75" customHeight="1" x14ac:dyDescent="0.3">
      <c r="D485" s="11"/>
    </row>
    <row r="486" spans="4:4" ht="15.75" customHeight="1" x14ac:dyDescent="0.3">
      <c r="D486" s="11"/>
    </row>
    <row r="487" spans="4:4" ht="15.75" customHeight="1" x14ac:dyDescent="0.3">
      <c r="D487" s="11"/>
    </row>
    <row r="488" spans="4:4" ht="15.75" customHeight="1" x14ac:dyDescent="0.3">
      <c r="D488" s="11"/>
    </row>
    <row r="489" spans="4:4" ht="15.75" customHeight="1" x14ac:dyDescent="0.3">
      <c r="D489" s="11"/>
    </row>
    <row r="490" spans="4:4" ht="15.75" customHeight="1" x14ac:dyDescent="0.3">
      <c r="D490" s="11"/>
    </row>
    <row r="491" spans="4:4" ht="15.75" customHeight="1" x14ac:dyDescent="0.3">
      <c r="D491" s="11"/>
    </row>
    <row r="492" spans="4:4" ht="15.75" customHeight="1" x14ac:dyDescent="0.3">
      <c r="D492" s="11"/>
    </row>
    <row r="493" spans="4:4" ht="15.75" customHeight="1" x14ac:dyDescent="0.3">
      <c r="D493" s="11"/>
    </row>
    <row r="494" spans="4:4" ht="15.75" customHeight="1" x14ac:dyDescent="0.3">
      <c r="D494" s="11"/>
    </row>
    <row r="495" spans="4:4" ht="15.75" customHeight="1" x14ac:dyDescent="0.3">
      <c r="D495" s="11"/>
    </row>
    <row r="496" spans="4:4" ht="15.75" customHeight="1" x14ac:dyDescent="0.3">
      <c r="D496" s="11"/>
    </row>
    <row r="497" spans="4:4" ht="15.75" customHeight="1" x14ac:dyDescent="0.3">
      <c r="D497" s="11"/>
    </row>
    <row r="498" spans="4:4" ht="15.75" customHeight="1" x14ac:dyDescent="0.3">
      <c r="D498" s="11"/>
    </row>
    <row r="499" spans="4:4" ht="15.75" customHeight="1" x14ac:dyDescent="0.3">
      <c r="D499" s="11"/>
    </row>
    <row r="500" spans="4:4" ht="15.75" customHeight="1" x14ac:dyDescent="0.3">
      <c r="D500" s="11"/>
    </row>
    <row r="501" spans="4:4" ht="15.75" customHeight="1" x14ac:dyDescent="0.3">
      <c r="D501" s="11"/>
    </row>
    <row r="502" spans="4:4" ht="15.75" customHeight="1" x14ac:dyDescent="0.3">
      <c r="D502" s="11"/>
    </row>
    <row r="503" spans="4:4" ht="15.75" customHeight="1" x14ac:dyDescent="0.3">
      <c r="D503" s="11"/>
    </row>
    <row r="504" spans="4:4" ht="15.75" customHeight="1" x14ac:dyDescent="0.3">
      <c r="D504" s="11"/>
    </row>
    <row r="505" spans="4:4" ht="15.75" customHeight="1" x14ac:dyDescent="0.3">
      <c r="D505" s="11"/>
    </row>
    <row r="506" spans="4:4" ht="15.75" customHeight="1" x14ac:dyDescent="0.3">
      <c r="D506" s="11"/>
    </row>
    <row r="507" spans="4:4" ht="15.75" customHeight="1" x14ac:dyDescent="0.3">
      <c r="D507" s="11"/>
    </row>
    <row r="508" spans="4:4" ht="15.75" customHeight="1" x14ac:dyDescent="0.3">
      <c r="D508" s="11"/>
    </row>
    <row r="509" spans="4:4" ht="15.75" customHeight="1" x14ac:dyDescent="0.3">
      <c r="D509" s="11"/>
    </row>
    <row r="510" spans="4:4" ht="15.75" customHeight="1" x14ac:dyDescent="0.3">
      <c r="D510" s="11"/>
    </row>
    <row r="511" spans="4:4" ht="15.75" customHeight="1" x14ac:dyDescent="0.3">
      <c r="D511" s="11"/>
    </row>
    <row r="512" spans="4:4" ht="15.75" customHeight="1" x14ac:dyDescent="0.3">
      <c r="D512" s="11"/>
    </row>
    <row r="513" spans="4:4" ht="15.75" customHeight="1" x14ac:dyDescent="0.3">
      <c r="D513" s="11"/>
    </row>
    <row r="514" spans="4:4" ht="15.75" customHeight="1" x14ac:dyDescent="0.3">
      <c r="D514" s="11"/>
    </row>
    <row r="515" spans="4:4" ht="15.75" customHeight="1" x14ac:dyDescent="0.3">
      <c r="D515" s="11"/>
    </row>
    <row r="516" spans="4:4" ht="15.75" customHeight="1" x14ac:dyDescent="0.3">
      <c r="D516" s="11"/>
    </row>
    <row r="517" spans="4:4" ht="15.75" customHeight="1" x14ac:dyDescent="0.3">
      <c r="D517" s="11"/>
    </row>
    <row r="518" spans="4:4" ht="15.75" customHeight="1" x14ac:dyDescent="0.3">
      <c r="D518" s="11"/>
    </row>
    <row r="519" spans="4:4" ht="15.75" customHeight="1" x14ac:dyDescent="0.3">
      <c r="D519" s="11"/>
    </row>
    <row r="520" spans="4:4" ht="15.75" customHeight="1" x14ac:dyDescent="0.3">
      <c r="D520" s="11"/>
    </row>
    <row r="521" spans="4:4" ht="15.75" customHeight="1" x14ac:dyDescent="0.3">
      <c r="D521" s="11"/>
    </row>
    <row r="522" spans="4:4" ht="15.75" customHeight="1" x14ac:dyDescent="0.3">
      <c r="D522" s="11"/>
    </row>
    <row r="523" spans="4:4" ht="15.75" customHeight="1" x14ac:dyDescent="0.3">
      <c r="D523" s="11"/>
    </row>
    <row r="524" spans="4:4" ht="15.75" customHeight="1" x14ac:dyDescent="0.3">
      <c r="D524" s="11"/>
    </row>
    <row r="525" spans="4:4" ht="15.75" customHeight="1" x14ac:dyDescent="0.3">
      <c r="D525" s="11"/>
    </row>
    <row r="526" spans="4:4" ht="15.75" customHeight="1" x14ac:dyDescent="0.3">
      <c r="D526" s="11"/>
    </row>
    <row r="527" spans="4:4" ht="15.75" customHeight="1" x14ac:dyDescent="0.3">
      <c r="D527" s="11"/>
    </row>
    <row r="528" spans="4:4" ht="15.75" customHeight="1" x14ac:dyDescent="0.3">
      <c r="D528" s="11"/>
    </row>
    <row r="529" spans="4:4" ht="15.75" customHeight="1" x14ac:dyDescent="0.3">
      <c r="D529" s="11"/>
    </row>
    <row r="530" spans="4:4" ht="15.75" customHeight="1" x14ac:dyDescent="0.3">
      <c r="D530" s="11"/>
    </row>
    <row r="531" spans="4:4" ht="15.75" customHeight="1" x14ac:dyDescent="0.3">
      <c r="D531" s="11"/>
    </row>
    <row r="532" spans="4:4" ht="15.75" customHeight="1" x14ac:dyDescent="0.3">
      <c r="D532" s="11"/>
    </row>
    <row r="533" spans="4:4" ht="15.75" customHeight="1" x14ac:dyDescent="0.3">
      <c r="D533" s="11"/>
    </row>
    <row r="534" spans="4:4" ht="15.75" customHeight="1" x14ac:dyDescent="0.3">
      <c r="D534" s="11"/>
    </row>
    <row r="535" spans="4:4" ht="15.75" customHeight="1" x14ac:dyDescent="0.3">
      <c r="D535" s="11"/>
    </row>
    <row r="536" spans="4:4" ht="15.75" customHeight="1" x14ac:dyDescent="0.3">
      <c r="D536" s="11"/>
    </row>
    <row r="537" spans="4:4" ht="15.75" customHeight="1" x14ac:dyDescent="0.3">
      <c r="D537" s="11"/>
    </row>
    <row r="538" spans="4:4" ht="15.75" customHeight="1" x14ac:dyDescent="0.3">
      <c r="D538" s="11"/>
    </row>
    <row r="539" spans="4:4" ht="15.75" customHeight="1" x14ac:dyDescent="0.3">
      <c r="D539" s="11"/>
    </row>
    <row r="540" spans="4:4" ht="15.75" customHeight="1" x14ac:dyDescent="0.3">
      <c r="D540" s="11"/>
    </row>
    <row r="541" spans="4:4" ht="15.75" customHeight="1" x14ac:dyDescent="0.3">
      <c r="D541" s="11"/>
    </row>
    <row r="542" spans="4:4" ht="15.75" customHeight="1" x14ac:dyDescent="0.3">
      <c r="D542" s="11"/>
    </row>
    <row r="543" spans="4:4" ht="15.75" customHeight="1" x14ac:dyDescent="0.3">
      <c r="D543" s="11"/>
    </row>
    <row r="544" spans="4:4" ht="15.75" customHeight="1" x14ac:dyDescent="0.3">
      <c r="D544" s="11"/>
    </row>
    <row r="545" spans="4:4" ht="15.75" customHeight="1" x14ac:dyDescent="0.3">
      <c r="D545" s="11"/>
    </row>
    <row r="546" spans="4:4" ht="15.75" customHeight="1" x14ac:dyDescent="0.3">
      <c r="D546" s="11"/>
    </row>
    <row r="547" spans="4:4" ht="15.75" customHeight="1" x14ac:dyDescent="0.3">
      <c r="D547" s="11"/>
    </row>
    <row r="548" spans="4:4" ht="15.75" customHeight="1" x14ac:dyDescent="0.3">
      <c r="D548" s="11"/>
    </row>
    <row r="549" spans="4:4" ht="15.75" customHeight="1" x14ac:dyDescent="0.3">
      <c r="D549" s="11"/>
    </row>
    <row r="550" spans="4:4" ht="15.75" customHeight="1" x14ac:dyDescent="0.3">
      <c r="D550" s="11"/>
    </row>
    <row r="551" spans="4:4" ht="15.75" customHeight="1" x14ac:dyDescent="0.3">
      <c r="D551" s="11"/>
    </row>
    <row r="552" spans="4:4" ht="15.75" customHeight="1" x14ac:dyDescent="0.3">
      <c r="D552" s="11"/>
    </row>
    <row r="553" spans="4:4" ht="15.75" customHeight="1" x14ac:dyDescent="0.3">
      <c r="D553" s="11"/>
    </row>
    <row r="554" spans="4:4" ht="15.75" customHeight="1" x14ac:dyDescent="0.3">
      <c r="D554" s="11"/>
    </row>
    <row r="555" spans="4:4" ht="15.75" customHeight="1" x14ac:dyDescent="0.3">
      <c r="D555" s="11"/>
    </row>
    <row r="556" spans="4:4" ht="15.75" customHeight="1" x14ac:dyDescent="0.3">
      <c r="D556" s="11"/>
    </row>
    <row r="557" spans="4:4" ht="15.75" customHeight="1" x14ac:dyDescent="0.3">
      <c r="D557" s="11"/>
    </row>
    <row r="558" spans="4:4" ht="15.75" customHeight="1" x14ac:dyDescent="0.3">
      <c r="D558" s="11"/>
    </row>
    <row r="559" spans="4:4" ht="15.75" customHeight="1" x14ac:dyDescent="0.3">
      <c r="D559" s="11"/>
    </row>
    <row r="560" spans="4:4" ht="15.75" customHeight="1" x14ac:dyDescent="0.3">
      <c r="D560" s="11"/>
    </row>
    <row r="561" spans="4:4" ht="15.75" customHeight="1" x14ac:dyDescent="0.3">
      <c r="D561" s="11"/>
    </row>
    <row r="562" spans="4:4" ht="15.75" customHeight="1" x14ac:dyDescent="0.3">
      <c r="D562" s="11"/>
    </row>
    <row r="563" spans="4:4" ht="15.75" customHeight="1" x14ac:dyDescent="0.3">
      <c r="D563" s="11"/>
    </row>
    <row r="564" spans="4:4" ht="15.75" customHeight="1" x14ac:dyDescent="0.3">
      <c r="D564" s="11"/>
    </row>
    <row r="565" spans="4:4" ht="15.75" customHeight="1" x14ac:dyDescent="0.3">
      <c r="D565" s="11"/>
    </row>
    <row r="566" spans="4:4" ht="15.75" customHeight="1" x14ac:dyDescent="0.3">
      <c r="D566" s="11"/>
    </row>
    <row r="567" spans="4:4" ht="15.75" customHeight="1" x14ac:dyDescent="0.3">
      <c r="D567" s="11"/>
    </row>
    <row r="568" spans="4:4" ht="15.75" customHeight="1" x14ac:dyDescent="0.3">
      <c r="D568" s="11"/>
    </row>
    <row r="569" spans="4:4" ht="15.75" customHeight="1" x14ac:dyDescent="0.3">
      <c r="D569" s="11"/>
    </row>
    <row r="570" spans="4:4" ht="15.75" customHeight="1" x14ac:dyDescent="0.3">
      <c r="D570" s="11"/>
    </row>
    <row r="571" spans="4:4" ht="15.75" customHeight="1" x14ac:dyDescent="0.3">
      <c r="D571" s="11"/>
    </row>
    <row r="572" spans="4:4" ht="15.75" customHeight="1" x14ac:dyDescent="0.3">
      <c r="D572" s="11"/>
    </row>
    <row r="573" spans="4:4" ht="15.75" customHeight="1" x14ac:dyDescent="0.3">
      <c r="D573" s="11"/>
    </row>
    <row r="574" spans="4:4" ht="15.75" customHeight="1" x14ac:dyDescent="0.3">
      <c r="D574" s="11"/>
    </row>
    <row r="575" spans="4:4" ht="15.75" customHeight="1" x14ac:dyDescent="0.3">
      <c r="D575" s="11"/>
    </row>
    <row r="576" spans="4:4" ht="15.75" customHeight="1" x14ac:dyDescent="0.3">
      <c r="D576" s="11"/>
    </row>
    <row r="577" spans="4:4" ht="15.75" customHeight="1" x14ac:dyDescent="0.3">
      <c r="D577" s="11"/>
    </row>
    <row r="578" spans="4:4" ht="15.75" customHeight="1" x14ac:dyDescent="0.3">
      <c r="D578" s="11"/>
    </row>
    <row r="579" spans="4:4" ht="15.75" customHeight="1" x14ac:dyDescent="0.3">
      <c r="D579" s="11"/>
    </row>
    <row r="580" spans="4:4" ht="15.75" customHeight="1" x14ac:dyDescent="0.3">
      <c r="D580" s="11"/>
    </row>
    <row r="581" spans="4:4" ht="15.75" customHeight="1" x14ac:dyDescent="0.3">
      <c r="D581" s="11"/>
    </row>
    <row r="582" spans="4:4" ht="15.75" customHeight="1" x14ac:dyDescent="0.3">
      <c r="D582" s="11"/>
    </row>
    <row r="583" spans="4:4" ht="15.75" customHeight="1" x14ac:dyDescent="0.3">
      <c r="D583" s="11"/>
    </row>
    <row r="584" spans="4:4" ht="15.75" customHeight="1" x14ac:dyDescent="0.3">
      <c r="D584" s="11"/>
    </row>
    <row r="585" spans="4:4" ht="15.75" customHeight="1" x14ac:dyDescent="0.3">
      <c r="D585" s="11"/>
    </row>
    <row r="586" spans="4:4" ht="15.75" customHeight="1" x14ac:dyDescent="0.3">
      <c r="D586" s="11"/>
    </row>
    <row r="587" spans="4:4" ht="15.75" customHeight="1" x14ac:dyDescent="0.3">
      <c r="D587" s="11"/>
    </row>
    <row r="588" spans="4:4" ht="15.75" customHeight="1" x14ac:dyDescent="0.3">
      <c r="D588" s="11"/>
    </row>
    <row r="589" spans="4:4" ht="15.75" customHeight="1" x14ac:dyDescent="0.3">
      <c r="D589" s="11"/>
    </row>
    <row r="590" spans="4:4" ht="15.75" customHeight="1" x14ac:dyDescent="0.3">
      <c r="D590" s="11"/>
    </row>
    <row r="591" spans="4:4" ht="15.75" customHeight="1" x14ac:dyDescent="0.3">
      <c r="D591" s="11"/>
    </row>
    <row r="592" spans="4:4" ht="15.75" customHeight="1" x14ac:dyDescent="0.3">
      <c r="D592" s="11"/>
    </row>
    <row r="593" spans="4:4" ht="15.75" customHeight="1" x14ac:dyDescent="0.3">
      <c r="D593" s="11"/>
    </row>
    <row r="594" spans="4:4" ht="15.75" customHeight="1" x14ac:dyDescent="0.3">
      <c r="D594" s="11"/>
    </row>
    <row r="595" spans="4:4" ht="15.75" customHeight="1" x14ac:dyDescent="0.3">
      <c r="D595" s="11"/>
    </row>
    <row r="596" spans="4:4" ht="15.75" customHeight="1" x14ac:dyDescent="0.3">
      <c r="D596" s="11"/>
    </row>
    <row r="597" spans="4:4" ht="15.75" customHeight="1" x14ac:dyDescent="0.3">
      <c r="D597" s="11"/>
    </row>
    <row r="598" spans="4:4" ht="15.75" customHeight="1" x14ac:dyDescent="0.3">
      <c r="D598" s="11"/>
    </row>
    <row r="599" spans="4:4" ht="15.75" customHeight="1" x14ac:dyDescent="0.3">
      <c r="D599" s="11"/>
    </row>
    <row r="600" spans="4:4" ht="15.75" customHeight="1" x14ac:dyDescent="0.3">
      <c r="D600" s="11"/>
    </row>
    <row r="601" spans="4:4" ht="15.75" customHeight="1" x14ac:dyDescent="0.3">
      <c r="D601" s="11"/>
    </row>
    <row r="602" spans="4:4" ht="15.75" customHeight="1" x14ac:dyDescent="0.3">
      <c r="D602" s="11"/>
    </row>
    <row r="603" spans="4:4" ht="15.75" customHeight="1" x14ac:dyDescent="0.3">
      <c r="D603" s="11"/>
    </row>
    <row r="604" spans="4:4" ht="15.75" customHeight="1" x14ac:dyDescent="0.3">
      <c r="D604" s="11"/>
    </row>
    <row r="605" spans="4:4" ht="15.75" customHeight="1" x14ac:dyDescent="0.3">
      <c r="D605" s="11"/>
    </row>
    <row r="606" spans="4:4" ht="15.75" customHeight="1" x14ac:dyDescent="0.3">
      <c r="D606" s="11"/>
    </row>
    <row r="607" spans="4:4" ht="15.75" customHeight="1" x14ac:dyDescent="0.3">
      <c r="D607" s="11"/>
    </row>
    <row r="608" spans="4:4" ht="15.75" customHeight="1" x14ac:dyDescent="0.3">
      <c r="D608" s="11"/>
    </row>
    <row r="609" spans="4:4" ht="15.75" customHeight="1" x14ac:dyDescent="0.3">
      <c r="D609" s="11"/>
    </row>
    <row r="610" spans="4:4" ht="15.75" customHeight="1" x14ac:dyDescent="0.3">
      <c r="D610" s="11"/>
    </row>
    <row r="611" spans="4:4" ht="15.75" customHeight="1" x14ac:dyDescent="0.3">
      <c r="D611" s="11"/>
    </row>
    <row r="612" spans="4:4" ht="15.75" customHeight="1" x14ac:dyDescent="0.3">
      <c r="D612" s="11"/>
    </row>
    <row r="613" spans="4:4" ht="15.75" customHeight="1" x14ac:dyDescent="0.3">
      <c r="D613" s="11"/>
    </row>
    <row r="614" spans="4:4" ht="15.75" customHeight="1" x14ac:dyDescent="0.3">
      <c r="D614" s="11"/>
    </row>
    <row r="615" spans="4:4" ht="15.75" customHeight="1" x14ac:dyDescent="0.3">
      <c r="D615" s="11"/>
    </row>
    <row r="616" spans="4:4" ht="15.75" customHeight="1" x14ac:dyDescent="0.3">
      <c r="D616" s="11"/>
    </row>
    <row r="617" spans="4:4" ht="15.75" customHeight="1" x14ac:dyDescent="0.3">
      <c r="D617" s="11"/>
    </row>
    <row r="618" spans="4:4" ht="15.75" customHeight="1" x14ac:dyDescent="0.3">
      <c r="D618" s="11"/>
    </row>
    <row r="619" spans="4:4" ht="15.75" customHeight="1" x14ac:dyDescent="0.3">
      <c r="D619" s="11"/>
    </row>
    <row r="620" spans="4:4" ht="15.75" customHeight="1" x14ac:dyDescent="0.3">
      <c r="D620" s="11"/>
    </row>
    <row r="621" spans="4:4" ht="15.75" customHeight="1" x14ac:dyDescent="0.3">
      <c r="D621" s="11"/>
    </row>
    <row r="622" spans="4:4" ht="15.75" customHeight="1" x14ac:dyDescent="0.3">
      <c r="D622" s="11"/>
    </row>
    <row r="623" spans="4:4" ht="15.75" customHeight="1" x14ac:dyDescent="0.3">
      <c r="D623" s="11"/>
    </row>
    <row r="624" spans="4:4" ht="15.75" customHeight="1" x14ac:dyDescent="0.3">
      <c r="D624" s="11"/>
    </row>
    <row r="625" spans="4:4" ht="15.75" customHeight="1" x14ac:dyDescent="0.3">
      <c r="D625" s="11"/>
    </row>
    <row r="626" spans="4:4" ht="15.75" customHeight="1" x14ac:dyDescent="0.3">
      <c r="D626" s="11"/>
    </row>
    <row r="627" spans="4:4" ht="15.75" customHeight="1" x14ac:dyDescent="0.3">
      <c r="D627" s="11"/>
    </row>
    <row r="628" spans="4:4" ht="15.75" customHeight="1" x14ac:dyDescent="0.3">
      <c r="D628" s="11"/>
    </row>
    <row r="629" spans="4:4" ht="15.75" customHeight="1" x14ac:dyDescent="0.3">
      <c r="D629" s="11"/>
    </row>
    <row r="630" spans="4:4" ht="15.75" customHeight="1" x14ac:dyDescent="0.3">
      <c r="D630" s="11"/>
    </row>
    <row r="631" spans="4:4" ht="15.75" customHeight="1" x14ac:dyDescent="0.3">
      <c r="D631" s="11"/>
    </row>
    <row r="632" spans="4:4" ht="15.75" customHeight="1" x14ac:dyDescent="0.3">
      <c r="D632" s="11"/>
    </row>
    <row r="633" spans="4:4" ht="15.75" customHeight="1" x14ac:dyDescent="0.3">
      <c r="D633" s="11"/>
    </row>
    <row r="634" spans="4:4" ht="15.75" customHeight="1" x14ac:dyDescent="0.3">
      <c r="D634" s="11"/>
    </row>
    <row r="635" spans="4:4" ht="15.75" customHeight="1" x14ac:dyDescent="0.3">
      <c r="D635" s="11"/>
    </row>
    <row r="636" spans="4:4" ht="15.75" customHeight="1" x14ac:dyDescent="0.3">
      <c r="D636" s="11"/>
    </row>
    <row r="637" spans="4:4" ht="15.75" customHeight="1" x14ac:dyDescent="0.3">
      <c r="D637" s="11"/>
    </row>
    <row r="638" spans="4:4" ht="15.75" customHeight="1" x14ac:dyDescent="0.3">
      <c r="D638" s="11"/>
    </row>
    <row r="639" spans="4:4" ht="15.75" customHeight="1" x14ac:dyDescent="0.3">
      <c r="D639" s="11"/>
    </row>
    <row r="640" spans="4:4" ht="15.75" customHeight="1" x14ac:dyDescent="0.3">
      <c r="D640" s="11"/>
    </row>
    <row r="641" spans="4:4" ht="15.75" customHeight="1" x14ac:dyDescent="0.3">
      <c r="D641" s="11"/>
    </row>
    <row r="642" spans="4:4" ht="15.75" customHeight="1" x14ac:dyDescent="0.3">
      <c r="D642" s="11"/>
    </row>
    <row r="643" spans="4:4" ht="15.75" customHeight="1" x14ac:dyDescent="0.3">
      <c r="D643" s="11"/>
    </row>
    <row r="644" spans="4:4" ht="15.75" customHeight="1" x14ac:dyDescent="0.3">
      <c r="D644" s="11"/>
    </row>
    <row r="645" spans="4:4" ht="15.75" customHeight="1" x14ac:dyDescent="0.3">
      <c r="D645" s="11"/>
    </row>
    <row r="646" spans="4:4" ht="15.75" customHeight="1" x14ac:dyDescent="0.3">
      <c r="D646" s="11"/>
    </row>
    <row r="647" spans="4:4" ht="15.75" customHeight="1" x14ac:dyDescent="0.3">
      <c r="D647" s="11"/>
    </row>
    <row r="648" spans="4:4" ht="15.75" customHeight="1" x14ac:dyDescent="0.3">
      <c r="D648" s="11"/>
    </row>
    <row r="649" spans="4:4" ht="15.75" customHeight="1" x14ac:dyDescent="0.3">
      <c r="D649" s="11"/>
    </row>
    <row r="650" spans="4:4" ht="15.75" customHeight="1" x14ac:dyDescent="0.3">
      <c r="D650" s="11"/>
    </row>
    <row r="651" spans="4:4" ht="15.75" customHeight="1" x14ac:dyDescent="0.3">
      <c r="D651" s="11"/>
    </row>
    <row r="652" spans="4:4" ht="15.75" customHeight="1" x14ac:dyDescent="0.3">
      <c r="D652" s="11"/>
    </row>
    <row r="653" spans="4:4" ht="15.75" customHeight="1" x14ac:dyDescent="0.3">
      <c r="D653" s="11"/>
    </row>
    <row r="654" spans="4:4" ht="15.75" customHeight="1" x14ac:dyDescent="0.3">
      <c r="D654" s="11"/>
    </row>
    <row r="655" spans="4:4" ht="15.75" customHeight="1" x14ac:dyDescent="0.3">
      <c r="D655" s="11"/>
    </row>
    <row r="656" spans="4:4" ht="15.75" customHeight="1" x14ac:dyDescent="0.3">
      <c r="D656" s="11"/>
    </row>
    <row r="657" spans="4:4" ht="15.75" customHeight="1" x14ac:dyDescent="0.3">
      <c r="D657" s="11"/>
    </row>
    <row r="658" spans="4:4" ht="15.75" customHeight="1" x14ac:dyDescent="0.3">
      <c r="D658" s="11"/>
    </row>
    <row r="659" spans="4:4" ht="15.75" customHeight="1" x14ac:dyDescent="0.3">
      <c r="D659" s="11"/>
    </row>
    <row r="660" spans="4:4" ht="15.75" customHeight="1" x14ac:dyDescent="0.3">
      <c r="D660" s="11"/>
    </row>
    <row r="661" spans="4:4" ht="15.75" customHeight="1" x14ac:dyDescent="0.3">
      <c r="D661" s="11"/>
    </row>
    <row r="662" spans="4:4" ht="15.75" customHeight="1" x14ac:dyDescent="0.3">
      <c r="D662" s="11"/>
    </row>
    <row r="663" spans="4:4" ht="15.75" customHeight="1" x14ac:dyDescent="0.3">
      <c r="D663" s="11"/>
    </row>
    <row r="664" spans="4:4" ht="15.75" customHeight="1" x14ac:dyDescent="0.3">
      <c r="D664" s="11"/>
    </row>
    <row r="665" spans="4:4" ht="15.75" customHeight="1" x14ac:dyDescent="0.3">
      <c r="D665" s="11"/>
    </row>
    <row r="666" spans="4:4" ht="15.75" customHeight="1" x14ac:dyDescent="0.3">
      <c r="D666" s="11"/>
    </row>
    <row r="667" spans="4:4" ht="15.75" customHeight="1" x14ac:dyDescent="0.3">
      <c r="D667" s="11"/>
    </row>
    <row r="668" spans="4:4" ht="15.75" customHeight="1" x14ac:dyDescent="0.3">
      <c r="D668" s="11"/>
    </row>
    <row r="669" spans="4:4" ht="15.75" customHeight="1" x14ac:dyDescent="0.3">
      <c r="D669" s="11"/>
    </row>
    <row r="670" spans="4:4" ht="15.75" customHeight="1" x14ac:dyDescent="0.3">
      <c r="D670" s="11"/>
    </row>
    <row r="671" spans="4:4" ht="15.75" customHeight="1" x14ac:dyDescent="0.3">
      <c r="D671" s="11"/>
    </row>
    <row r="672" spans="4:4" ht="15.75" customHeight="1" x14ac:dyDescent="0.3">
      <c r="D672" s="11"/>
    </row>
    <row r="673" spans="4:4" ht="15.75" customHeight="1" x14ac:dyDescent="0.3">
      <c r="D673" s="11"/>
    </row>
    <row r="674" spans="4:4" ht="15.75" customHeight="1" x14ac:dyDescent="0.3">
      <c r="D674" s="11"/>
    </row>
    <row r="675" spans="4:4" ht="15.75" customHeight="1" x14ac:dyDescent="0.3">
      <c r="D675" s="11"/>
    </row>
    <row r="676" spans="4:4" ht="15.75" customHeight="1" x14ac:dyDescent="0.3">
      <c r="D676" s="11"/>
    </row>
    <row r="677" spans="4:4" ht="15.75" customHeight="1" x14ac:dyDescent="0.3">
      <c r="D677" s="11"/>
    </row>
    <row r="678" spans="4:4" ht="15.75" customHeight="1" x14ac:dyDescent="0.3">
      <c r="D678" s="11"/>
    </row>
    <row r="679" spans="4:4" ht="15.75" customHeight="1" x14ac:dyDescent="0.3">
      <c r="D679" s="11"/>
    </row>
    <row r="680" spans="4:4" ht="15.75" customHeight="1" x14ac:dyDescent="0.3">
      <c r="D680" s="11"/>
    </row>
    <row r="681" spans="4:4" ht="15.75" customHeight="1" x14ac:dyDescent="0.3">
      <c r="D681" s="11"/>
    </row>
    <row r="682" spans="4:4" ht="15.75" customHeight="1" x14ac:dyDescent="0.3">
      <c r="D682" s="11"/>
    </row>
    <row r="683" spans="4:4" ht="15.75" customHeight="1" x14ac:dyDescent="0.3">
      <c r="D683" s="11"/>
    </row>
    <row r="684" spans="4:4" ht="15.75" customHeight="1" x14ac:dyDescent="0.3">
      <c r="D684" s="11"/>
    </row>
    <row r="685" spans="4:4" ht="15.75" customHeight="1" x14ac:dyDescent="0.3">
      <c r="D685" s="11"/>
    </row>
    <row r="686" spans="4:4" ht="15.75" customHeight="1" x14ac:dyDescent="0.3">
      <c r="D686" s="11"/>
    </row>
    <row r="687" spans="4:4" ht="15.75" customHeight="1" x14ac:dyDescent="0.3">
      <c r="D687" s="11"/>
    </row>
    <row r="688" spans="4:4" ht="15.75" customHeight="1" x14ac:dyDescent="0.3">
      <c r="D688" s="11"/>
    </row>
    <row r="689" spans="4:4" ht="15.75" customHeight="1" x14ac:dyDescent="0.3">
      <c r="D689" s="11"/>
    </row>
    <row r="690" spans="4:4" ht="15.75" customHeight="1" x14ac:dyDescent="0.3">
      <c r="D690" s="11"/>
    </row>
    <row r="691" spans="4:4" ht="15.75" customHeight="1" x14ac:dyDescent="0.3">
      <c r="D691" s="11"/>
    </row>
    <row r="692" spans="4:4" ht="15.75" customHeight="1" x14ac:dyDescent="0.3">
      <c r="D692" s="11"/>
    </row>
    <row r="693" spans="4:4" ht="15.75" customHeight="1" x14ac:dyDescent="0.3">
      <c r="D693" s="11"/>
    </row>
    <row r="694" spans="4:4" ht="15.75" customHeight="1" x14ac:dyDescent="0.3">
      <c r="D694" s="11"/>
    </row>
    <row r="695" spans="4:4" ht="15.75" customHeight="1" x14ac:dyDescent="0.3">
      <c r="D695" s="11"/>
    </row>
    <row r="696" spans="4:4" ht="15.75" customHeight="1" x14ac:dyDescent="0.3">
      <c r="D696" s="11"/>
    </row>
    <row r="697" spans="4:4" ht="15.75" customHeight="1" x14ac:dyDescent="0.3">
      <c r="D697" s="11"/>
    </row>
    <row r="698" spans="4:4" ht="15.75" customHeight="1" x14ac:dyDescent="0.3">
      <c r="D698" s="11"/>
    </row>
    <row r="699" spans="4:4" ht="15.75" customHeight="1" x14ac:dyDescent="0.3">
      <c r="D699" s="11"/>
    </row>
    <row r="700" spans="4:4" ht="15.75" customHeight="1" x14ac:dyDescent="0.3">
      <c r="D700" s="11"/>
    </row>
    <row r="701" spans="4:4" ht="15.75" customHeight="1" x14ac:dyDescent="0.3">
      <c r="D701" s="11"/>
    </row>
    <row r="702" spans="4:4" ht="15.75" customHeight="1" x14ac:dyDescent="0.3">
      <c r="D702" s="11"/>
    </row>
    <row r="703" spans="4:4" ht="15.75" customHeight="1" x14ac:dyDescent="0.3">
      <c r="D703" s="11"/>
    </row>
    <row r="704" spans="4:4" ht="15.75" customHeight="1" x14ac:dyDescent="0.3">
      <c r="D704" s="11"/>
    </row>
    <row r="705" spans="4:4" ht="15.75" customHeight="1" x14ac:dyDescent="0.3">
      <c r="D705" s="11"/>
    </row>
    <row r="706" spans="4:4" ht="15.75" customHeight="1" x14ac:dyDescent="0.3">
      <c r="D706" s="11"/>
    </row>
    <row r="707" spans="4:4" ht="15.75" customHeight="1" x14ac:dyDescent="0.3">
      <c r="D707" s="11"/>
    </row>
    <row r="708" spans="4:4" ht="15.75" customHeight="1" x14ac:dyDescent="0.3">
      <c r="D708" s="11"/>
    </row>
    <row r="709" spans="4:4" ht="15.75" customHeight="1" x14ac:dyDescent="0.3">
      <c r="D709" s="11"/>
    </row>
    <row r="710" spans="4:4" ht="15.75" customHeight="1" x14ac:dyDescent="0.3">
      <c r="D710" s="11"/>
    </row>
    <row r="711" spans="4:4" ht="15.75" customHeight="1" x14ac:dyDescent="0.3">
      <c r="D711" s="11"/>
    </row>
    <row r="712" spans="4:4" ht="15.75" customHeight="1" x14ac:dyDescent="0.3">
      <c r="D712" s="11"/>
    </row>
    <row r="713" spans="4:4" ht="15.75" customHeight="1" x14ac:dyDescent="0.3">
      <c r="D713" s="11"/>
    </row>
    <row r="714" spans="4:4" ht="15.75" customHeight="1" x14ac:dyDescent="0.3">
      <c r="D714" s="11"/>
    </row>
    <row r="715" spans="4:4" ht="15.75" customHeight="1" x14ac:dyDescent="0.3">
      <c r="D715" s="11"/>
    </row>
    <row r="716" spans="4:4" ht="15.75" customHeight="1" x14ac:dyDescent="0.3">
      <c r="D716" s="11"/>
    </row>
    <row r="717" spans="4:4" ht="15.75" customHeight="1" x14ac:dyDescent="0.3">
      <c r="D717" s="11"/>
    </row>
    <row r="718" spans="4:4" ht="15.75" customHeight="1" x14ac:dyDescent="0.3">
      <c r="D718" s="11"/>
    </row>
    <row r="719" spans="4:4" ht="15.75" customHeight="1" x14ac:dyDescent="0.3">
      <c r="D719" s="11"/>
    </row>
    <row r="720" spans="4:4" ht="15.75" customHeight="1" x14ac:dyDescent="0.3">
      <c r="D720" s="11"/>
    </row>
    <row r="721" spans="4:4" ht="15.75" customHeight="1" x14ac:dyDescent="0.3">
      <c r="D721" s="11"/>
    </row>
    <row r="722" spans="4:4" ht="15.75" customHeight="1" x14ac:dyDescent="0.3">
      <c r="D722" s="11"/>
    </row>
    <row r="723" spans="4:4" ht="15.75" customHeight="1" x14ac:dyDescent="0.3">
      <c r="D723" s="11"/>
    </row>
    <row r="724" spans="4:4" ht="15.75" customHeight="1" x14ac:dyDescent="0.3">
      <c r="D724" s="11"/>
    </row>
    <row r="725" spans="4:4" ht="15.75" customHeight="1" x14ac:dyDescent="0.3">
      <c r="D725" s="11"/>
    </row>
    <row r="726" spans="4:4" ht="15.75" customHeight="1" x14ac:dyDescent="0.3">
      <c r="D726" s="11"/>
    </row>
    <row r="727" spans="4:4" ht="15.75" customHeight="1" x14ac:dyDescent="0.3">
      <c r="D727" s="11"/>
    </row>
    <row r="728" spans="4:4" ht="15.75" customHeight="1" x14ac:dyDescent="0.3">
      <c r="D728" s="11"/>
    </row>
    <row r="729" spans="4:4" ht="15.75" customHeight="1" x14ac:dyDescent="0.3">
      <c r="D729" s="11"/>
    </row>
    <row r="730" spans="4:4" ht="15.75" customHeight="1" x14ac:dyDescent="0.3">
      <c r="D730" s="11"/>
    </row>
    <row r="731" spans="4:4" ht="15.75" customHeight="1" x14ac:dyDescent="0.3">
      <c r="D731" s="11"/>
    </row>
    <row r="732" spans="4:4" ht="15.75" customHeight="1" x14ac:dyDescent="0.3">
      <c r="D732" s="11"/>
    </row>
    <row r="733" spans="4:4" ht="15.75" customHeight="1" x14ac:dyDescent="0.3">
      <c r="D733" s="11"/>
    </row>
    <row r="734" spans="4:4" ht="15.75" customHeight="1" x14ac:dyDescent="0.3">
      <c r="D734" s="11"/>
    </row>
    <row r="735" spans="4:4" ht="15.75" customHeight="1" x14ac:dyDescent="0.3">
      <c r="D735" s="11"/>
    </row>
    <row r="736" spans="4:4" ht="15.75" customHeight="1" x14ac:dyDescent="0.3">
      <c r="D736" s="11"/>
    </row>
    <row r="737" spans="4:4" ht="15.75" customHeight="1" x14ac:dyDescent="0.3">
      <c r="D737" s="11"/>
    </row>
    <row r="738" spans="4:4" ht="15.75" customHeight="1" x14ac:dyDescent="0.3">
      <c r="D738" s="11"/>
    </row>
    <row r="739" spans="4:4" ht="15.75" customHeight="1" x14ac:dyDescent="0.3">
      <c r="D739" s="11"/>
    </row>
    <row r="740" spans="4:4" ht="15.75" customHeight="1" x14ac:dyDescent="0.3">
      <c r="D740" s="11"/>
    </row>
    <row r="741" spans="4:4" ht="15.75" customHeight="1" x14ac:dyDescent="0.3">
      <c r="D741" s="11"/>
    </row>
    <row r="742" spans="4:4" ht="15.75" customHeight="1" x14ac:dyDescent="0.3">
      <c r="D742" s="11"/>
    </row>
    <row r="743" spans="4:4" ht="15.75" customHeight="1" x14ac:dyDescent="0.3">
      <c r="D743" s="11"/>
    </row>
    <row r="744" spans="4:4" ht="15.75" customHeight="1" x14ac:dyDescent="0.3">
      <c r="D744" s="11"/>
    </row>
    <row r="745" spans="4:4" ht="15.75" customHeight="1" x14ac:dyDescent="0.3">
      <c r="D745" s="11"/>
    </row>
    <row r="746" spans="4:4" ht="15.75" customHeight="1" x14ac:dyDescent="0.3">
      <c r="D746" s="11"/>
    </row>
    <row r="747" spans="4:4" ht="15.75" customHeight="1" x14ac:dyDescent="0.3">
      <c r="D747" s="11"/>
    </row>
    <row r="748" spans="4:4" ht="15.75" customHeight="1" x14ac:dyDescent="0.3">
      <c r="D748" s="11"/>
    </row>
    <row r="749" spans="4:4" ht="15.75" customHeight="1" x14ac:dyDescent="0.3">
      <c r="D749" s="11"/>
    </row>
    <row r="750" spans="4:4" ht="15.75" customHeight="1" x14ac:dyDescent="0.3">
      <c r="D750" s="11"/>
    </row>
    <row r="751" spans="4:4" ht="15.75" customHeight="1" x14ac:dyDescent="0.3">
      <c r="D751" s="11"/>
    </row>
    <row r="752" spans="4:4" ht="15.75" customHeight="1" x14ac:dyDescent="0.3">
      <c r="D752" s="11"/>
    </row>
    <row r="753" spans="4:4" ht="15.75" customHeight="1" x14ac:dyDescent="0.3">
      <c r="D753" s="11"/>
    </row>
    <row r="754" spans="4:4" ht="15.75" customHeight="1" x14ac:dyDescent="0.3">
      <c r="D754" s="11"/>
    </row>
    <row r="755" spans="4:4" ht="15.75" customHeight="1" x14ac:dyDescent="0.3">
      <c r="D755" s="11"/>
    </row>
    <row r="756" spans="4:4" ht="15.75" customHeight="1" x14ac:dyDescent="0.3">
      <c r="D756" s="11"/>
    </row>
    <row r="757" spans="4:4" ht="15.75" customHeight="1" x14ac:dyDescent="0.3">
      <c r="D757" s="11"/>
    </row>
    <row r="758" spans="4:4" ht="15.75" customHeight="1" x14ac:dyDescent="0.3">
      <c r="D758" s="11"/>
    </row>
    <row r="759" spans="4:4" ht="15.75" customHeight="1" x14ac:dyDescent="0.3">
      <c r="D759" s="11"/>
    </row>
    <row r="760" spans="4:4" ht="15.75" customHeight="1" x14ac:dyDescent="0.3">
      <c r="D760" s="11"/>
    </row>
    <row r="761" spans="4:4" ht="15.75" customHeight="1" x14ac:dyDescent="0.3">
      <c r="D761" s="11"/>
    </row>
    <row r="762" spans="4:4" ht="15.75" customHeight="1" x14ac:dyDescent="0.3">
      <c r="D762" s="11"/>
    </row>
    <row r="763" spans="4:4" ht="15.75" customHeight="1" x14ac:dyDescent="0.3">
      <c r="D763" s="11"/>
    </row>
    <row r="764" spans="4:4" ht="15.75" customHeight="1" x14ac:dyDescent="0.3">
      <c r="D764" s="11"/>
    </row>
    <row r="765" spans="4:4" ht="15.75" customHeight="1" x14ac:dyDescent="0.3">
      <c r="D765" s="11"/>
    </row>
    <row r="766" spans="4:4" ht="15.75" customHeight="1" x14ac:dyDescent="0.3">
      <c r="D766" s="11"/>
    </row>
    <row r="767" spans="4:4" ht="15.75" customHeight="1" x14ac:dyDescent="0.3">
      <c r="D767" s="11"/>
    </row>
    <row r="768" spans="4:4" ht="15.75" customHeight="1" x14ac:dyDescent="0.3">
      <c r="D768" s="11"/>
    </row>
    <row r="769" spans="4:4" ht="15.75" customHeight="1" x14ac:dyDescent="0.3">
      <c r="D769" s="11"/>
    </row>
    <row r="770" spans="4:4" ht="15.75" customHeight="1" x14ac:dyDescent="0.3">
      <c r="D770" s="11"/>
    </row>
    <row r="771" spans="4:4" ht="15.75" customHeight="1" x14ac:dyDescent="0.3">
      <c r="D771" s="11"/>
    </row>
    <row r="772" spans="4:4" ht="15.75" customHeight="1" x14ac:dyDescent="0.3">
      <c r="D772" s="11"/>
    </row>
    <row r="773" spans="4:4" ht="15.75" customHeight="1" x14ac:dyDescent="0.3">
      <c r="D773" s="11"/>
    </row>
    <row r="774" spans="4:4" ht="15.75" customHeight="1" x14ac:dyDescent="0.3">
      <c r="D774" s="11"/>
    </row>
    <row r="775" spans="4:4" ht="15.75" customHeight="1" x14ac:dyDescent="0.3">
      <c r="D775" s="11"/>
    </row>
    <row r="776" spans="4:4" ht="15.75" customHeight="1" x14ac:dyDescent="0.3">
      <c r="D776" s="11"/>
    </row>
    <row r="777" spans="4:4" ht="15.75" customHeight="1" x14ac:dyDescent="0.3">
      <c r="D777" s="11"/>
    </row>
    <row r="778" spans="4:4" ht="15.75" customHeight="1" x14ac:dyDescent="0.3">
      <c r="D778" s="11"/>
    </row>
    <row r="779" spans="4:4" ht="15.75" customHeight="1" x14ac:dyDescent="0.3">
      <c r="D779" s="11"/>
    </row>
    <row r="780" spans="4:4" ht="15.75" customHeight="1" x14ac:dyDescent="0.3">
      <c r="D780" s="11"/>
    </row>
    <row r="781" spans="4:4" ht="15.75" customHeight="1" x14ac:dyDescent="0.3">
      <c r="D781" s="11"/>
    </row>
    <row r="782" spans="4:4" ht="15.75" customHeight="1" x14ac:dyDescent="0.3">
      <c r="D782" s="11"/>
    </row>
    <row r="783" spans="4:4" ht="15.75" customHeight="1" x14ac:dyDescent="0.3">
      <c r="D783" s="11"/>
    </row>
    <row r="784" spans="4:4" ht="15.75" customHeight="1" x14ac:dyDescent="0.3">
      <c r="D784" s="11"/>
    </row>
    <row r="785" spans="4:4" ht="15.75" customHeight="1" x14ac:dyDescent="0.3">
      <c r="D785" s="11"/>
    </row>
    <row r="786" spans="4:4" ht="15.75" customHeight="1" x14ac:dyDescent="0.3">
      <c r="D786" s="11"/>
    </row>
    <row r="787" spans="4:4" ht="15.75" customHeight="1" x14ac:dyDescent="0.3">
      <c r="D787" s="11"/>
    </row>
    <row r="788" spans="4:4" ht="15.75" customHeight="1" x14ac:dyDescent="0.3">
      <c r="D788" s="11"/>
    </row>
    <row r="789" spans="4:4" ht="15.75" customHeight="1" x14ac:dyDescent="0.3">
      <c r="D789" s="11"/>
    </row>
    <row r="790" spans="4:4" ht="15.75" customHeight="1" x14ac:dyDescent="0.3">
      <c r="D790" s="11"/>
    </row>
    <row r="791" spans="4:4" ht="15.75" customHeight="1" x14ac:dyDescent="0.3">
      <c r="D791" s="11"/>
    </row>
    <row r="792" spans="4:4" ht="15.75" customHeight="1" x14ac:dyDescent="0.3">
      <c r="D792" s="11"/>
    </row>
    <row r="793" spans="4:4" ht="15.75" customHeight="1" x14ac:dyDescent="0.3">
      <c r="D793" s="11"/>
    </row>
    <row r="794" spans="4:4" ht="15.75" customHeight="1" x14ac:dyDescent="0.3">
      <c r="D794" s="11"/>
    </row>
    <row r="795" spans="4:4" ht="15.75" customHeight="1" x14ac:dyDescent="0.3">
      <c r="D795" s="11"/>
    </row>
    <row r="796" spans="4:4" ht="15.75" customHeight="1" x14ac:dyDescent="0.3">
      <c r="D796" s="11"/>
    </row>
    <row r="797" spans="4:4" ht="15.75" customHeight="1" x14ac:dyDescent="0.3">
      <c r="D797" s="11"/>
    </row>
    <row r="798" spans="4:4" ht="15.75" customHeight="1" x14ac:dyDescent="0.3">
      <c r="D798" s="11"/>
    </row>
    <row r="799" spans="4:4" ht="15.75" customHeight="1" x14ac:dyDescent="0.3">
      <c r="D799" s="11"/>
    </row>
    <row r="800" spans="4:4" ht="15.75" customHeight="1" x14ac:dyDescent="0.3">
      <c r="D800" s="11"/>
    </row>
    <row r="801" spans="4:4" ht="15.75" customHeight="1" x14ac:dyDescent="0.3">
      <c r="D801" s="11"/>
    </row>
    <row r="802" spans="4:4" ht="15.75" customHeight="1" x14ac:dyDescent="0.3">
      <c r="D802" s="11"/>
    </row>
    <row r="803" spans="4:4" ht="15.75" customHeight="1" x14ac:dyDescent="0.3">
      <c r="D803" s="11"/>
    </row>
    <row r="804" spans="4:4" ht="15.75" customHeight="1" x14ac:dyDescent="0.3">
      <c r="D804" s="11"/>
    </row>
    <row r="805" spans="4:4" ht="15.75" customHeight="1" x14ac:dyDescent="0.3">
      <c r="D805" s="11"/>
    </row>
    <row r="806" spans="4:4" ht="15.75" customHeight="1" x14ac:dyDescent="0.3">
      <c r="D806" s="11"/>
    </row>
    <row r="807" spans="4:4" ht="15.75" customHeight="1" x14ac:dyDescent="0.3">
      <c r="D807" s="11"/>
    </row>
    <row r="808" spans="4:4" ht="15.75" customHeight="1" x14ac:dyDescent="0.3">
      <c r="D808" s="11"/>
    </row>
    <row r="809" spans="4:4" ht="15.75" customHeight="1" x14ac:dyDescent="0.3">
      <c r="D809" s="11"/>
    </row>
    <row r="810" spans="4:4" ht="15.75" customHeight="1" x14ac:dyDescent="0.3">
      <c r="D810" s="11"/>
    </row>
    <row r="811" spans="4:4" ht="15.75" customHeight="1" x14ac:dyDescent="0.3">
      <c r="D811" s="11"/>
    </row>
    <row r="812" spans="4:4" ht="15.75" customHeight="1" x14ac:dyDescent="0.3">
      <c r="D812" s="11"/>
    </row>
    <row r="813" spans="4:4" ht="15.75" customHeight="1" x14ac:dyDescent="0.3">
      <c r="D813" s="11"/>
    </row>
    <row r="814" spans="4:4" ht="15.75" customHeight="1" x14ac:dyDescent="0.3">
      <c r="D814" s="11"/>
    </row>
    <row r="815" spans="4:4" ht="15.75" customHeight="1" x14ac:dyDescent="0.3">
      <c r="D815" s="11"/>
    </row>
    <row r="816" spans="4:4" ht="15.75" customHeight="1" x14ac:dyDescent="0.3">
      <c r="D816" s="11"/>
    </row>
    <row r="817" spans="4:4" ht="15.75" customHeight="1" x14ac:dyDescent="0.3">
      <c r="D817" s="11"/>
    </row>
    <row r="818" spans="4:4" ht="15.75" customHeight="1" x14ac:dyDescent="0.3">
      <c r="D818" s="11"/>
    </row>
    <row r="819" spans="4:4" ht="15.75" customHeight="1" x14ac:dyDescent="0.3">
      <c r="D819" s="11"/>
    </row>
    <row r="820" spans="4:4" ht="15.75" customHeight="1" x14ac:dyDescent="0.3">
      <c r="D820" s="11"/>
    </row>
    <row r="821" spans="4:4" ht="15.75" customHeight="1" x14ac:dyDescent="0.3">
      <c r="D821" s="11"/>
    </row>
    <row r="822" spans="4:4" ht="15.75" customHeight="1" x14ac:dyDescent="0.3">
      <c r="D822" s="11"/>
    </row>
    <row r="823" spans="4:4" ht="15.75" customHeight="1" x14ac:dyDescent="0.3">
      <c r="D823" s="11"/>
    </row>
    <row r="824" spans="4:4" ht="15.75" customHeight="1" x14ac:dyDescent="0.3">
      <c r="D824" s="11"/>
    </row>
    <row r="825" spans="4:4" ht="15.75" customHeight="1" x14ac:dyDescent="0.3">
      <c r="D825" s="11"/>
    </row>
    <row r="826" spans="4:4" ht="15.75" customHeight="1" x14ac:dyDescent="0.3">
      <c r="D826" s="11"/>
    </row>
    <row r="827" spans="4:4" ht="15.75" customHeight="1" x14ac:dyDescent="0.3">
      <c r="D827" s="11"/>
    </row>
    <row r="828" spans="4:4" ht="15.75" customHeight="1" x14ac:dyDescent="0.3">
      <c r="D828" s="11"/>
    </row>
    <row r="829" spans="4:4" ht="15.75" customHeight="1" x14ac:dyDescent="0.3">
      <c r="D829" s="11"/>
    </row>
    <row r="830" spans="4:4" ht="15.75" customHeight="1" x14ac:dyDescent="0.3">
      <c r="D830" s="11"/>
    </row>
    <row r="831" spans="4:4" ht="15.75" customHeight="1" x14ac:dyDescent="0.3">
      <c r="D831" s="11"/>
    </row>
    <row r="832" spans="4:4" ht="15.75" customHeight="1" x14ac:dyDescent="0.3">
      <c r="D832" s="11"/>
    </row>
    <row r="833" spans="4:4" ht="15.75" customHeight="1" x14ac:dyDescent="0.3">
      <c r="D833" s="11"/>
    </row>
    <row r="834" spans="4:4" ht="15.75" customHeight="1" x14ac:dyDescent="0.3">
      <c r="D834" s="11"/>
    </row>
    <row r="835" spans="4:4" ht="15.75" customHeight="1" x14ac:dyDescent="0.3">
      <c r="D835" s="11"/>
    </row>
    <row r="836" spans="4:4" ht="15.75" customHeight="1" x14ac:dyDescent="0.3">
      <c r="D836" s="11"/>
    </row>
    <row r="837" spans="4:4" ht="15.75" customHeight="1" x14ac:dyDescent="0.3">
      <c r="D837" s="11"/>
    </row>
    <row r="838" spans="4:4" ht="15.75" customHeight="1" x14ac:dyDescent="0.3">
      <c r="D838" s="11"/>
    </row>
    <row r="839" spans="4:4" ht="15.75" customHeight="1" x14ac:dyDescent="0.3">
      <c r="D839" s="11"/>
    </row>
    <row r="840" spans="4:4" ht="15.75" customHeight="1" x14ac:dyDescent="0.3">
      <c r="D840" s="11"/>
    </row>
    <row r="841" spans="4:4" ht="15.75" customHeight="1" x14ac:dyDescent="0.3">
      <c r="D841" s="11"/>
    </row>
    <row r="842" spans="4:4" ht="15.75" customHeight="1" x14ac:dyDescent="0.3">
      <c r="D842" s="11"/>
    </row>
    <row r="843" spans="4:4" ht="15.75" customHeight="1" x14ac:dyDescent="0.3">
      <c r="D843" s="11"/>
    </row>
    <row r="844" spans="4:4" ht="15.75" customHeight="1" x14ac:dyDescent="0.3">
      <c r="D844" s="11"/>
    </row>
    <row r="845" spans="4:4" ht="15.75" customHeight="1" x14ac:dyDescent="0.3">
      <c r="D845" s="11"/>
    </row>
    <row r="846" spans="4:4" ht="15.75" customHeight="1" x14ac:dyDescent="0.3">
      <c r="D846" s="11"/>
    </row>
    <row r="847" spans="4:4" ht="15.75" customHeight="1" x14ac:dyDescent="0.3">
      <c r="D847" s="11"/>
    </row>
    <row r="848" spans="4:4" ht="15.75" customHeight="1" x14ac:dyDescent="0.3">
      <c r="D848" s="11"/>
    </row>
    <row r="849" spans="4:4" ht="15.75" customHeight="1" x14ac:dyDescent="0.3">
      <c r="D849" s="11"/>
    </row>
    <row r="850" spans="4:4" ht="15.75" customHeight="1" x14ac:dyDescent="0.3">
      <c r="D850" s="11"/>
    </row>
    <row r="851" spans="4:4" ht="15.75" customHeight="1" x14ac:dyDescent="0.3">
      <c r="D851" s="11"/>
    </row>
    <row r="852" spans="4:4" ht="15.75" customHeight="1" x14ac:dyDescent="0.3">
      <c r="D852" s="11"/>
    </row>
    <row r="853" spans="4:4" ht="15.75" customHeight="1" x14ac:dyDescent="0.3">
      <c r="D853" s="11"/>
    </row>
    <row r="854" spans="4:4" ht="15.75" customHeight="1" x14ac:dyDescent="0.3">
      <c r="D854" s="11"/>
    </row>
    <row r="855" spans="4:4" ht="15.75" customHeight="1" x14ac:dyDescent="0.3">
      <c r="D855" s="11"/>
    </row>
    <row r="856" spans="4:4" ht="15.75" customHeight="1" x14ac:dyDescent="0.3">
      <c r="D856" s="11"/>
    </row>
    <row r="857" spans="4:4" ht="15.75" customHeight="1" x14ac:dyDescent="0.3">
      <c r="D857" s="11"/>
    </row>
    <row r="858" spans="4:4" ht="15.75" customHeight="1" x14ac:dyDescent="0.3">
      <c r="D858" s="11"/>
    </row>
    <row r="859" spans="4:4" ht="15.75" customHeight="1" x14ac:dyDescent="0.3">
      <c r="D859" s="11"/>
    </row>
    <row r="860" spans="4:4" ht="15.75" customHeight="1" x14ac:dyDescent="0.3">
      <c r="D860" s="11"/>
    </row>
    <row r="861" spans="4:4" ht="15.75" customHeight="1" x14ac:dyDescent="0.3">
      <c r="D861" s="11"/>
    </row>
    <row r="862" spans="4:4" ht="15.75" customHeight="1" x14ac:dyDescent="0.3">
      <c r="D862" s="11"/>
    </row>
    <row r="863" spans="4:4" ht="15.75" customHeight="1" x14ac:dyDescent="0.3">
      <c r="D863" s="11"/>
    </row>
    <row r="864" spans="4:4" ht="15.75" customHeight="1" x14ac:dyDescent="0.3">
      <c r="D864" s="11"/>
    </row>
    <row r="865" spans="4:4" ht="15.75" customHeight="1" x14ac:dyDescent="0.3">
      <c r="D865" s="11"/>
    </row>
    <row r="866" spans="4:4" ht="15.75" customHeight="1" x14ac:dyDescent="0.3">
      <c r="D866" s="11"/>
    </row>
    <row r="867" spans="4:4" ht="15.75" customHeight="1" x14ac:dyDescent="0.3">
      <c r="D867" s="11"/>
    </row>
    <row r="868" spans="4:4" ht="15.75" customHeight="1" x14ac:dyDescent="0.3">
      <c r="D868" s="11"/>
    </row>
    <row r="869" spans="4:4" ht="15.75" customHeight="1" x14ac:dyDescent="0.3">
      <c r="D869" s="11"/>
    </row>
    <row r="870" spans="4:4" ht="15.75" customHeight="1" x14ac:dyDescent="0.3">
      <c r="D870" s="11"/>
    </row>
    <row r="871" spans="4:4" ht="15.75" customHeight="1" x14ac:dyDescent="0.3">
      <c r="D871" s="11"/>
    </row>
    <row r="872" spans="4:4" ht="15.75" customHeight="1" x14ac:dyDescent="0.3">
      <c r="D872" s="11"/>
    </row>
    <row r="873" spans="4:4" ht="15.75" customHeight="1" x14ac:dyDescent="0.3">
      <c r="D873" s="11"/>
    </row>
    <row r="874" spans="4:4" ht="15.75" customHeight="1" x14ac:dyDescent="0.3">
      <c r="D874" s="11"/>
    </row>
    <row r="875" spans="4:4" ht="15.75" customHeight="1" x14ac:dyDescent="0.3">
      <c r="D875" s="11"/>
    </row>
    <row r="876" spans="4:4" ht="15.75" customHeight="1" x14ac:dyDescent="0.3">
      <c r="D876" s="11"/>
    </row>
    <row r="877" spans="4:4" ht="15.75" customHeight="1" x14ac:dyDescent="0.3">
      <c r="D877" s="11"/>
    </row>
    <row r="878" spans="4:4" ht="15.75" customHeight="1" x14ac:dyDescent="0.3">
      <c r="D878" s="11"/>
    </row>
    <row r="879" spans="4:4" ht="15.75" customHeight="1" x14ac:dyDescent="0.3">
      <c r="D879" s="11"/>
    </row>
    <row r="880" spans="4:4" ht="15.75" customHeight="1" x14ac:dyDescent="0.3">
      <c r="D880" s="11"/>
    </row>
    <row r="881" spans="4:4" ht="15.75" customHeight="1" x14ac:dyDescent="0.3">
      <c r="D881" s="11"/>
    </row>
    <row r="882" spans="4:4" ht="15.75" customHeight="1" x14ac:dyDescent="0.3">
      <c r="D882" s="11"/>
    </row>
    <row r="883" spans="4:4" ht="15.75" customHeight="1" x14ac:dyDescent="0.3">
      <c r="D883" s="11"/>
    </row>
    <row r="884" spans="4:4" ht="15.75" customHeight="1" x14ac:dyDescent="0.3">
      <c r="D884" s="11"/>
    </row>
    <row r="885" spans="4:4" ht="15.75" customHeight="1" x14ac:dyDescent="0.3">
      <c r="D885" s="11"/>
    </row>
    <row r="886" spans="4:4" ht="15.75" customHeight="1" x14ac:dyDescent="0.3">
      <c r="D886" s="11"/>
    </row>
    <row r="887" spans="4:4" ht="15.75" customHeight="1" x14ac:dyDescent="0.3">
      <c r="D887" s="11"/>
    </row>
    <row r="888" spans="4:4" ht="15.75" customHeight="1" x14ac:dyDescent="0.3">
      <c r="D888" s="11"/>
    </row>
    <row r="889" spans="4:4" ht="15.75" customHeight="1" x14ac:dyDescent="0.3">
      <c r="D889" s="11"/>
    </row>
    <row r="890" spans="4:4" ht="15.75" customHeight="1" x14ac:dyDescent="0.3">
      <c r="D890" s="11"/>
    </row>
    <row r="891" spans="4:4" ht="15.75" customHeight="1" x14ac:dyDescent="0.3">
      <c r="D891" s="11"/>
    </row>
    <row r="892" spans="4:4" ht="15.75" customHeight="1" x14ac:dyDescent="0.3">
      <c r="D892" s="11"/>
    </row>
    <row r="893" spans="4:4" ht="15.75" customHeight="1" x14ac:dyDescent="0.3">
      <c r="D893" s="11"/>
    </row>
    <row r="894" spans="4:4" ht="15.75" customHeight="1" x14ac:dyDescent="0.3">
      <c r="D894" s="11"/>
    </row>
    <row r="895" spans="4:4" ht="15.75" customHeight="1" x14ac:dyDescent="0.3">
      <c r="D895" s="11"/>
    </row>
    <row r="896" spans="4:4" ht="15.75" customHeight="1" x14ac:dyDescent="0.3">
      <c r="D896" s="11"/>
    </row>
    <row r="897" spans="4:4" ht="15.75" customHeight="1" x14ac:dyDescent="0.3">
      <c r="D897" s="11"/>
    </row>
    <row r="898" spans="4:4" ht="15.75" customHeight="1" x14ac:dyDescent="0.3">
      <c r="D898" s="11"/>
    </row>
    <row r="899" spans="4:4" ht="15.75" customHeight="1" x14ac:dyDescent="0.3">
      <c r="D899" s="11"/>
    </row>
    <row r="900" spans="4:4" ht="15.75" customHeight="1" x14ac:dyDescent="0.3">
      <c r="D900" s="11"/>
    </row>
    <row r="901" spans="4:4" ht="15.75" customHeight="1" x14ac:dyDescent="0.3">
      <c r="D901" s="11"/>
    </row>
    <row r="902" spans="4:4" ht="15.75" customHeight="1" x14ac:dyDescent="0.3">
      <c r="D902" s="11"/>
    </row>
    <row r="903" spans="4:4" ht="15.75" customHeight="1" x14ac:dyDescent="0.3">
      <c r="D903" s="11"/>
    </row>
    <row r="904" spans="4:4" ht="15.75" customHeight="1" x14ac:dyDescent="0.3">
      <c r="D904" s="11"/>
    </row>
    <row r="905" spans="4:4" ht="15.75" customHeight="1" x14ac:dyDescent="0.3">
      <c r="D905" s="11"/>
    </row>
    <row r="906" spans="4:4" ht="15.75" customHeight="1" x14ac:dyDescent="0.3">
      <c r="D906" s="11"/>
    </row>
    <row r="907" spans="4:4" ht="15.75" customHeight="1" x14ac:dyDescent="0.3">
      <c r="D907" s="11"/>
    </row>
    <row r="908" spans="4:4" ht="15.75" customHeight="1" x14ac:dyDescent="0.3">
      <c r="D908" s="11"/>
    </row>
    <row r="909" spans="4:4" ht="15.75" customHeight="1" x14ac:dyDescent="0.3">
      <c r="D909" s="11"/>
    </row>
    <row r="910" spans="4:4" ht="15.75" customHeight="1" x14ac:dyDescent="0.3">
      <c r="D910" s="11"/>
    </row>
    <row r="911" spans="4:4" ht="15.75" customHeight="1" x14ac:dyDescent="0.3">
      <c r="D911" s="11"/>
    </row>
    <row r="912" spans="4:4" ht="15.75" customHeight="1" x14ac:dyDescent="0.3">
      <c r="D912" s="11"/>
    </row>
    <row r="913" spans="4:4" ht="15.75" customHeight="1" x14ac:dyDescent="0.3">
      <c r="D913" s="11"/>
    </row>
    <row r="914" spans="4:4" ht="15.75" customHeight="1" x14ac:dyDescent="0.3">
      <c r="D914" s="11"/>
    </row>
    <row r="915" spans="4:4" ht="15.75" customHeight="1" x14ac:dyDescent="0.3">
      <c r="D915" s="11"/>
    </row>
    <row r="916" spans="4:4" ht="15.75" customHeight="1" x14ac:dyDescent="0.3">
      <c r="D916" s="11"/>
    </row>
    <row r="917" spans="4:4" ht="15.75" customHeight="1" x14ac:dyDescent="0.3">
      <c r="D917" s="11"/>
    </row>
    <row r="918" spans="4:4" ht="15.75" customHeight="1" x14ac:dyDescent="0.3">
      <c r="D918" s="11"/>
    </row>
    <row r="919" spans="4:4" ht="15.75" customHeight="1" x14ac:dyDescent="0.3">
      <c r="D919" s="11"/>
    </row>
    <row r="920" spans="4:4" ht="15.75" customHeight="1" x14ac:dyDescent="0.3">
      <c r="D920" s="11"/>
    </row>
    <row r="921" spans="4:4" ht="15.75" customHeight="1" x14ac:dyDescent="0.3">
      <c r="D921" s="11"/>
    </row>
    <row r="922" spans="4:4" ht="15.75" customHeight="1" x14ac:dyDescent="0.3">
      <c r="D922" s="11"/>
    </row>
    <row r="923" spans="4:4" ht="15.75" customHeight="1" x14ac:dyDescent="0.3">
      <c r="D923" s="11"/>
    </row>
    <row r="924" spans="4:4" ht="15.75" customHeight="1" x14ac:dyDescent="0.3">
      <c r="D924" s="11"/>
    </row>
    <row r="925" spans="4:4" ht="15.75" customHeight="1" x14ac:dyDescent="0.3">
      <c r="D925" s="11"/>
    </row>
    <row r="926" spans="4:4" ht="15.75" customHeight="1" x14ac:dyDescent="0.3">
      <c r="D926" s="11"/>
    </row>
    <row r="927" spans="4:4" ht="15.75" customHeight="1" x14ac:dyDescent="0.3">
      <c r="D927" s="11"/>
    </row>
    <row r="928" spans="4:4" ht="15.75" customHeight="1" x14ac:dyDescent="0.3">
      <c r="D928" s="11"/>
    </row>
    <row r="929" spans="4:4" ht="15.75" customHeight="1" x14ac:dyDescent="0.3">
      <c r="D929" s="11"/>
    </row>
    <row r="930" spans="4:4" ht="15.75" customHeight="1" x14ac:dyDescent="0.3">
      <c r="D930" s="11"/>
    </row>
    <row r="931" spans="4:4" ht="15.75" customHeight="1" x14ac:dyDescent="0.3">
      <c r="D931" s="11"/>
    </row>
    <row r="932" spans="4:4" ht="15.75" customHeight="1" x14ac:dyDescent="0.3">
      <c r="D932" s="11"/>
    </row>
    <row r="933" spans="4:4" ht="15.75" customHeight="1" x14ac:dyDescent="0.3">
      <c r="D933" s="11"/>
    </row>
    <row r="934" spans="4:4" ht="15.75" customHeight="1" x14ac:dyDescent="0.3">
      <c r="D934" s="11"/>
    </row>
    <row r="935" spans="4:4" ht="15.75" customHeight="1" x14ac:dyDescent="0.3">
      <c r="D935" s="11"/>
    </row>
    <row r="936" spans="4:4" ht="15.75" customHeight="1" x14ac:dyDescent="0.3">
      <c r="D936" s="11"/>
    </row>
    <row r="937" spans="4:4" ht="15.75" customHeight="1" x14ac:dyDescent="0.3">
      <c r="D937" s="11"/>
    </row>
    <row r="938" spans="4:4" ht="15.75" customHeight="1" x14ac:dyDescent="0.3">
      <c r="D938" s="11"/>
    </row>
    <row r="939" spans="4:4" ht="15.75" customHeight="1" x14ac:dyDescent="0.3">
      <c r="D939" s="11"/>
    </row>
    <row r="940" spans="4:4" ht="15.75" customHeight="1" x14ac:dyDescent="0.3">
      <c r="D940" s="11"/>
    </row>
    <row r="941" spans="4:4" ht="15.75" customHeight="1" x14ac:dyDescent="0.3">
      <c r="D941" s="11"/>
    </row>
    <row r="942" spans="4:4" ht="15.75" customHeight="1" x14ac:dyDescent="0.3">
      <c r="D942" s="11"/>
    </row>
    <row r="943" spans="4:4" ht="15.75" customHeight="1" x14ac:dyDescent="0.3">
      <c r="D943" s="11"/>
    </row>
    <row r="944" spans="4:4" ht="15.75" customHeight="1" x14ac:dyDescent="0.3">
      <c r="D944" s="11"/>
    </row>
    <row r="945" spans="4:4" ht="15.75" customHeight="1" x14ac:dyDescent="0.3">
      <c r="D945" s="11"/>
    </row>
    <row r="946" spans="4:4" ht="15.75" customHeight="1" x14ac:dyDescent="0.3">
      <c r="D946" s="11"/>
    </row>
    <row r="947" spans="4:4" ht="15.75" customHeight="1" x14ac:dyDescent="0.3">
      <c r="D947" s="11"/>
    </row>
    <row r="948" spans="4:4" ht="15.75" customHeight="1" x14ac:dyDescent="0.3">
      <c r="D948" s="11"/>
    </row>
    <row r="949" spans="4:4" ht="15.75" customHeight="1" x14ac:dyDescent="0.3">
      <c r="D949" s="11"/>
    </row>
    <row r="950" spans="4:4" ht="15.75" customHeight="1" x14ac:dyDescent="0.3">
      <c r="D950" s="11"/>
    </row>
    <row r="951" spans="4:4" ht="15.75" customHeight="1" x14ac:dyDescent="0.3">
      <c r="D951" s="11"/>
    </row>
    <row r="952" spans="4:4" ht="15.75" customHeight="1" x14ac:dyDescent="0.3">
      <c r="D952" s="11"/>
    </row>
    <row r="953" spans="4:4" ht="15.75" customHeight="1" x14ac:dyDescent="0.3">
      <c r="D953" s="11"/>
    </row>
    <row r="954" spans="4:4" ht="15.75" customHeight="1" x14ac:dyDescent="0.3">
      <c r="D954" s="11"/>
    </row>
    <row r="955" spans="4:4" ht="15.75" customHeight="1" x14ac:dyDescent="0.3">
      <c r="D955" s="11"/>
    </row>
    <row r="956" spans="4:4" ht="15.75" customHeight="1" x14ac:dyDescent="0.3">
      <c r="D956" s="11"/>
    </row>
    <row r="957" spans="4:4" ht="15.75" customHeight="1" x14ac:dyDescent="0.3">
      <c r="D957" s="11"/>
    </row>
    <row r="958" spans="4:4" ht="15.75" customHeight="1" x14ac:dyDescent="0.3">
      <c r="D958" s="11"/>
    </row>
    <row r="959" spans="4:4" ht="15.75" customHeight="1" x14ac:dyDescent="0.3">
      <c r="D959" s="11"/>
    </row>
    <row r="960" spans="4:4" ht="15.75" customHeight="1" x14ac:dyDescent="0.3">
      <c r="D960" s="11"/>
    </row>
    <row r="961" spans="4:4" ht="15.75" customHeight="1" x14ac:dyDescent="0.3">
      <c r="D961" s="11"/>
    </row>
    <row r="962" spans="4:4" ht="15.75" customHeight="1" x14ac:dyDescent="0.3">
      <c r="D962" s="11"/>
    </row>
    <row r="963" spans="4:4" ht="15.75" customHeight="1" x14ac:dyDescent="0.3">
      <c r="D963" s="11"/>
    </row>
    <row r="964" spans="4:4" ht="15.75" customHeight="1" x14ac:dyDescent="0.3">
      <c r="D964" s="11"/>
    </row>
    <row r="965" spans="4:4" ht="15.75" customHeight="1" x14ac:dyDescent="0.3">
      <c r="D965" s="11"/>
    </row>
    <row r="966" spans="4:4" ht="15.75" customHeight="1" x14ac:dyDescent="0.3">
      <c r="D966" s="11"/>
    </row>
    <row r="967" spans="4:4" ht="15.75" customHeight="1" x14ac:dyDescent="0.3">
      <c r="D967" s="11"/>
    </row>
    <row r="968" spans="4:4" ht="15.75" customHeight="1" x14ac:dyDescent="0.3">
      <c r="D968" s="11"/>
    </row>
    <row r="969" spans="4:4" ht="15.75" customHeight="1" x14ac:dyDescent="0.3">
      <c r="D969" s="11"/>
    </row>
    <row r="970" spans="4:4" ht="15.75" customHeight="1" x14ac:dyDescent="0.3">
      <c r="D970" s="11"/>
    </row>
    <row r="971" spans="4:4" ht="15.75" customHeight="1" x14ac:dyDescent="0.3">
      <c r="D971" s="11"/>
    </row>
    <row r="972" spans="4:4" ht="15.75" customHeight="1" x14ac:dyDescent="0.3">
      <c r="D972" s="11"/>
    </row>
    <row r="973" spans="4:4" ht="15.75" customHeight="1" x14ac:dyDescent="0.3">
      <c r="D973" s="11"/>
    </row>
    <row r="974" spans="4:4" ht="15.75" customHeight="1" x14ac:dyDescent="0.3">
      <c r="D974" s="11"/>
    </row>
    <row r="975" spans="4:4" ht="15.75" customHeight="1" x14ac:dyDescent="0.3">
      <c r="D975" s="11"/>
    </row>
    <row r="976" spans="4:4" ht="15.75" customHeight="1" x14ac:dyDescent="0.3">
      <c r="D976" s="11"/>
    </row>
    <row r="977" spans="4:4" ht="15.75" customHeight="1" x14ac:dyDescent="0.3">
      <c r="D977" s="11"/>
    </row>
    <row r="978" spans="4:4" ht="15.75" customHeight="1" x14ac:dyDescent="0.3">
      <c r="D978" s="11"/>
    </row>
    <row r="979" spans="4:4" ht="15.75" customHeight="1" x14ac:dyDescent="0.3">
      <c r="D979" s="11"/>
    </row>
    <row r="980" spans="4:4" ht="15.75" customHeight="1" x14ac:dyDescent="0.3">
      <c r="D980" s="11"/>
    </row>
    <row r="981" spans="4:4" ht="15.75" customHeight="1" x14ac:dyDescent="0.3">
      <c r="D981" s="11"/>
    </row>
    <row r="982" spans="4:4" ht="15.75" customHeight="1" x14ac:dyDescent="0.3">
      <c r="D982" s="11"/>
    </row>
    <row r="983" spans="4:4" ht="15.75" customHeight="1" x14ac:dyDescent="0.3">
      <c r="D983" s="11"/>
    </row>
    <row r="984" spans="4:4" ht="15.75" customHeight="1" x14ac:dyDescent="0.3">
      <c r="D984" s="11"/>
    </row>
    <row r="985" spans="4:4" ht="15.75" customHeight="1" x14ac:dyDescent="0.3">
      <c r="D985" s="11"/>
    </row>
    <row r="986" spans="4:4" ht="15.75" customHeight="1" x14ac:dyDescent="0.3">
      <c r="D986" s="11"/>
    </row>
    <row r="987" spans="4:4" ht="15.75" customHeight="1" x14ac:dyDescent="0.3">
      <c r="D987" s="11"/>
    </row>
    <row r="988" spans="4:4" ht="15.75" customHeight="1" x14ac:dyDescent="0.3">
      <c r="D988" s="11"/>
    </row>
    <row r="989" spans="4:4" ht="15.75" customHeight="1" x14ac:dyDescent="0.3">
      <c r="D989" s="11"/>
    </row>
    <row r="990" spans="4:4" ht="15.75" customHeight="1" x14ac:dyDescent="0.3">
      <c r="D990" s="11"/>
    </row>
    <row r="991" spans="4:4" ht="15.75" customHeight="1" x14ac:dyDescent="0.3">
      <c r="D991" s="11"/>
    </row>
    <row r="992" spans="4:4" ht="15.75" customHeight="1" x14ac:dyDescent="0.3">
      <c r="D992" s="11"/>
    </row>
    <row r="993" spans="4:4" ht="15.75" customHeight="1" x14ac:dyDescent="0.3">
      <c r="D993" s="11"/>
    </row>
    <row r="994" spans="4:4" ht="15.75" customHeight="1" x14ac:dyDescent="0.3">
      <c r="D994" s="11"/>
    </row>
    <row r="995" spans="4:4" ht="15.75" customHeight="1" x14ac:dyDescent="0.3">
      <c r="D995" s="11"/>
    </row>
    <row r="996" spans="4:4" ht="15.75" customHeight="1" x14ac:dyDescent="0.3">
      <c r="D996" s="11"/>
    </row>
    <row r="997" spans="4:4" ht="15.75" customHeight="1" x14ac:dyDescent="0.3">
      <c r="D997" s="11"/>
    </row>
    <row r="998" spans="4:4" ht="15.75" customHeight="1" x14ac:dyDescent="0.3">
      <c r="D998" s="11"/>
    </row>
    <row r="999" spans="4:4" ht="15.75" customHeight="1" x14ac:dyDescent="0.3">
      <c r="D999" s="11"/>
    </row>
    <row r="1000" spans="4:4" ht="15.75" customHeight="1" x14ac:dyDescent="0.3">
      <c r="D1000" s="11"/>
    </row>
  </sheetData>
  <mergeCells count="2">
    <mergeCell ref="A3:B3"/>
    <mergeCell ref="A4:C4"/>
  </mergeCell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T2636"/>
  <sheetViews>
    <sheetView workbookViewId="0">
      <pane ySplit="4" topLeftCell="A5" activePane="bottomLeft" state="frozen"/>
      <selection pane="bottomLeft" activeCell="D14" sqref="D14"/>
    </sheetView>
  </sheetViews>
  <sheetFormatPr defaultColWidth="14.44140625" defaultRowHeight="15" customHeight="1" x14ac:dyDescent="0.3"/>
  <cols>
    <col min="1" max="2" width="4" customWidth="1"/>
    <col min="3" max="3" width="12.109375" customWidth="1"/>
    <col min="4" max="4" width="49" customWidth="1"/>
    <col min="5" max="6" width="14.5546875" customWidth="1"/>
    <col min="7" max="7" width="13.33203125" customWidth="1"/>
    <col min="8" max="8" width="5" customWidth="1"/>
    <col min="9" max="9" width="8" customWidth="1"/>
    <col min="10" max="10" width="14.5546875" customWidth="1"/>
    <col min="11" max="11" width="7.88671875" customWidth="1"/>
    <col min="12" max="12" width="14.5546875" customWidth="1"/>
    <col min="13" max="13" width="7.88671875" customWidth="1"/>
    <col min="14" max="14" width="14.5546875" customWidth="1"/>
    <col min="15" max="15" width="8" customWidth="1"/>
    <col min="16" max="16" width="13.33203125" customWidth="1"/>
    <col min="17" max="17" width="6.6640625" customWidth="1"/>
    <col min="18" max="18" width="12" customWidth="1"/>
    <col min="19" max="19" width="7.88671875" customWidth="1"/>
    <col min="20" max="20" width="13.33203125" customWidth="1"/>
  </cols>
  <sheetData>
    <row r="1" spans="1:20" ht="12" customHeight="1" x14ac:dyDescent="0.3">
      <c r="A1" s="536" t="s">
        <v>261</v>
      </c>
      <c r="B1" s="537"/>
      <c r="C1" s="309" t="s">
        <v>268</v>
      </c>
      <c r="D1" s="310" t="s">
        <v>269</v>
      </c>
      <c r="E1" s="538" t="s">
        <v>270</v>
      </c>
      <c r="F1" s="537"/>
      <c r="G1" s="311">
        <f t="array" aca="1" ref="G1" ca="1">(SUM(INDIRECT("g5:g5")))+J2+L2+N2+P2-R2+T2-G839</f>
        <v>3229.1499999999842</v>
      </c>
      <c r="H1" s="312"/>
      <c r="I1" s="313" t="s">
        <v>271</v>
      </c>
      <c r="J1" s="314">
        <v>25000</v>
      </c>
      <c r="K1" s="315" t="s">
        <v>272</v>
      </c>
      <c r="L1" s="316">
        <v>25000</v>
      </c>
      <c r="M1" s="317" t="s">
        <v>273</v>
      </c>
      <c r="N1" s="318">
        <f>10500-N2</f>
        <v>10500</v>
      </c>
      <c r="O1" s="319" t="s">
        <v>274</v>
      </c>
      <c r="P1" s="320">
        <f>5000-P2</f>
        <v>5000</v>
      </c>
      <c r="Q1" s="539" t="s">
        <v>39</v>
      </c>
      <c r="R1" s="537"/>
      <c r="S1" s="321" t="s">
        <v>273</v>
      </c>
      <c r="T1" s="322">
        <f>1200-T2</f>
        <v>1200</v>
      </c>
    </row>
    <row r="2" spans="1:20" ht="12" customHeight="1" x14ac:dyDescent="0.3">
      <c r="A2" s="310"/>
      <c r="B2" s="323"/>
      <c r="C2" s="309"/>
      <c r="D2" s="324"/>
      <c r="E2" s="538" t="s">
        <v>39</v>
      </c>
      <c r="F2" s="537"/>
      <c r="G2" s="311">
        <f>R2</f>
        <v>100</v>
      </c>
      <c r="H2" s="312"/>
      <c r="I2" s="325" t="s">
        <v>275</v>
      </c>
      <c r="J2" s="314">
        <f>SUMIFS(E:E,I:I,"1")</f>
        <v>4060.16</v>
      </c>
      <c r="K2" s="315" t="s">
        <v>276</v>
      </c>
      <c r="L2" s="316">
        <f>(SUMIFS(E:E,I:I,"2"))</f>
        <v>1277.21</v>
      </c>
      <c r="M2" s="317" t="s">
        <v>277</v>
      </c>
      <c r="N2" s="318">
        <f>SUMIFS(E:E,I:I,"3")</f>
        <v>0</v>
      </c>
      <c r="O2" s="319" t="s">
        <v>278</v>
      </c>
      <c r="P2" s="320">
        <f>SUMIFS(E:E,I:I,"4")</f>
        <v>0</v>
      </c>
      <c r="Q2" s="326"/>
      <c r="R2" s="327">
        <f>SUMIFS(F:F,H:H,"cash")-SUMIFS(E:E,H:H,"cash")</f>
        <v>100</v>
      </c>
      <c r="S2" s="321" t="s">
        <v>279</v>
      </c>
      <c r="T2" s="322">
        <f>SUMIFS(E:E,I:I,"6")</f>
        <v>0</v>
      </c>
    </row>
    <row r="3" spans="1:20" ht="12" customHeight="1" x14ac:dyDescent="0.3">
      <c r="A3" s="310"/>
      <c r="B3" s="323"/>
      <c r="C3" s="309"/>
      <c r="D3" s="324"/>
      <c r="E3" s="538" t="s">
        <v>280</v>
      </c>
      <c r="F3" s="537"/>
      <c r="G3" s="311">
        <f>SUM(J1,L1,N1,P1,T1)</f>
        <v>66700</v>
      </c>
      <c r="H3" s="312"/>
      <c r="I3" s="328"/>
      <c r="J3" s="329"/>
      <c r="K3" s="330"/>
      <c r="L3" s="331"/>
      <c r="M3" s="332"/>
      <c r="N3" s="333"/>
      <c r="O3" s="334"/>
      <c r="P3" s="335"/>
      <c r="Q3" s="336"/>
      <c r="R3" s="337"/>
      <c r="S3" s="338"/>
      <c r="T3" s="339"/>
    </row>
    <row r="4" spans="1:20" ht="12" customHeight="1" x14ac:dyDescent="0.3">
      <c r="A4" s="340"/>
      <c r="B4" s="341"/>
      <c r="C4" s="309"/>
      <c r="D4" s="310"/>
      <c r="E4" s="342" t="s">
        <v>281</v>
      </c>
      <c r="F4" s="343" t="s">
        <v>282</v>
      </c>
      <c r="G4" s="344" t="s">
        <v>283</v>
      </c>
      <c r="H4" s="345"/>
      <c r="I4" s="346"/>
      <c r="J4" s="347"/>
      <c r="K4" s="312"/>
      <c r="L4" s="347"/>
      <c r="M4" s="312"/>
      <c r="N4" s="347"/>
      <c r="O4" s="312"/>
      <c r="P4" s="347"/>
      <c r="Q4" s="312"/>
      <c r="R4" s="347"/>
      <c r="S4" s="312"/>
      <c r="T4" s="347"/>
    </row>
    <row r="5" spans="1:20" ht="12" customHeight="1" x14ac:dyDescent="0.3">
      <c r="A5" s="340" t="s">
        <v>287</v>
      </c>
      <c r="B5" s="341" t="s">
        <v>287</v>
      </c>
      <c r="C5" s="309">
        <v>46155</v>
      </c>
      <c r="D5" s="310" t="s">
        <v>872</v>
      </c>
      <c r="E5" s="533">
        <v>100</v>
      </c>
      <c r="F5" s="533">
        <v>100</v>
      </c>
      <c r="G5" s="344">
        <f t="shared" ref="G5:G42" si="0">G6-E5+F5</f>
        <v>-2008.2200000000157</v>
      </c>
      <c r="H5" s="345"/>
      <c r="I5" s="346"/>
      <c r="J5" s="347"/>
      <c r="K5" s="312"/>
      <c r="L5" s="347"/>
      <c r="M5" s="312"/>
      <c r="N5" s="347"/>
      <c r="O5" s="312"/>
      <c r="P5" s="347"/>
      <c r="Q5" s="312"/>
      <c r="R5" s="347"/>
      <c r="S5" s="312"/>
      <c r="T5" s="347"/>
    </row>
    <row r="6" spans="1:20" ht="12" customHeight="1" x14ac:dyDescent="0.3">
      <c r="A6" s="340" t="s">
        <v>294</v>
      </c>
      <c r="B6" s="341">
        <v>19</v>
      </c>
      <c r="C6" s="309">
        <v>46154</v>
      </c>
      <c r="D6" s="310" t="s">
        <v>191</v>
      </c>
      <c r="E6" s="533">
        <v>200</v>
      </c>
      <c r="F6" s="533"/>
      <c r="G6" s="344">
        <f t="shared" si="0"/>
        <v>-2008.2200000000155</v>
      </c>
      <c r="H6" s="345"/>
      <c r="I6" s="346"/>
      <c r="J6" s="347"/>
      <c r="K6" s="312"/>
      <c r="L6" s="347"/>
      <c r="M6" s="312"/>
      <c r="N6" s="347"/>
      <c r="O6" s="312"/>
      <c r="P6" s="347"/>
      <c r="Q6" s="312"/>
      <c r="R6" s="347"/>
      <c r="S6" s="312"/>
      <c r="T6" s="347"/>
    </row>
    <row r="7" spans="1:20" ht="12" customHeight="1" x14ac:dyDescent="0.3">
      <c r="A7" s="340" t="s">
        <v>289</v>
      </c>
      <c r="B7" s="341">
        <v>6</v>
      </c>
      <c r="C7" s="309">
        <v>46154</v>
      </c>
      <c r="D7" s="310" t="s">
        <v>455</v>
      </c>
      <c r="E7" s="533">
        <v>-0.06</v>
      </c>
      <c r="F7" s="533"/>
      <c r="G7" s="344">
        <f t="shared" si="0"/>
        <v>-1808.2200000000155</v>
      </c>
      <c r="H7" s="345"/>
      <c r="I7" s="346"/>
      <c r="J7" s="347"/>
      <c r="K7" s="312"/>
      <c r="L7" s="347"/>
      <c r="M7" s="312"/>
      <c r="N7" s="347"/>
      <c r="O7" s="312"/>
      <c r="P7" s="347"/>
      <c r="Q7" s="312"/>
      <c r="R7" s="347"/>
      <c r="S7" s="312"/>
      <c r="T7" s="347"/>
    </row>
    <row r="8" spans="1:20" ht="12" customHeight="1" x14ac:dyDescent="0.3">
      <c r="A8" s="340" t="s">
        <v>289</v>
      </c>
      <c r="B8" s="341">
        <v>3</v>
      </c>
      <c r="C8" s="309">
        <v>46153</v>
      </c>
      <c r="D8" s="310" t="s">
        <v>296</v>
      </c>
      <c r="E8" s="533">
        <v>4.79</v>
      </c>
      <c r="F8" s="533"/>
      <c r="G8" s="344">
        <f t="shared" si="0"/>
        <v>-1808.2800000000154</v>
      </c>
      <c r="H8" s="345"/>
      <c r="I8" s="346">
        <v>1</v>
      </c>
      <c r="J8" s="347"/>
      <c r="K8" s="312"/>
      <c r="L8" s="347"/>
      <c r="M8" s="312"/>
      <c r="N8" s="347"/>
      <c r="O8" s="312"/>
      <c r="P8" s="347"/>
      <c r="Q8" s="312"/>
      <c r="R8" s="347"/>
      <c r="S8" s="312"/>
      <c r="T8" s="347"/>
    </row>
    <row r="9" spans="1:20" ht="12" customHeight="1" x14ac:dyDescent="0.3">
      <c r="A9" s="340" t="s">
        <v>289</v>
      </c>
      <c r="B9" s="341">
        <v>4</v>
      </c>
      <c r="C9" s="309">
        <v>46153</v>
      </c>
      <c r="D9" s="310" t="s">
        <v>296</v>
      </c>
      <c r="E9" s="533">
        <v>66.59</v>
      </c>
      <c r="F9" s="533"/>
      <c r="G9" s="344">
        <f t="shared" si="0"/>
        <v>-1803.4900000000155</v>
      </c>
      <c r="H9" s="345"/>
      <c r="I9" s="346">
        <v>1</v>
      </c>
      <c r="J9" s="347"/>
      <c r="K9" s="312"/>
      <c r="L9" s="347"/>
      <c r="M9" s="312"/>
      <c r="N9" s="347"/>
      <c r="O9" s="312"/>
      <c r="P9" s="347"/>
      <c r="Q9" s="312"/>
      <c r="R9" s="347"/>
      <c r="S9" s="312"/>
      <c r="T9" s="347"/>
    </row>
    <row r="10" spans="1:20" ht="12" customHeight="1" x14ac:dyDescent="0.3">
      <c r="A10" s="340" t="s">
        <v>287</v>
      </c>
      <c r="B10" s="341" t="s">
        <v>287</v>
      </c>
      <c r="C10" s="309">
        <v>46153</v>
      </c>
      <c r="D10" s="310" t="s">
        <v>860</v>
      </c>
      <c r="E10" s="533">
        <v>-51.06</v>
      </c>
      <c r="F10" s="533">
        <v>-51.06</v>
      </c>
      <c r="G10" s="344">
        <f t="shared" si="0"/>
        <v>-1736.9000000000156</v>
      </c>
      <c r="H10" s="345"/>
      <c r="I10" s="346">
        <v>1</v>
      </c>
      <c r="J10" s="347"/>
      <c r="K10" s="312"/>
      <c r="L10" s="347"/>
      <c r="M10" s="312"/>
      <c r="N10" s="347"/>
      <c r="O10" s="312"/>
      <c r="P10" s="347"/>
      <c r="Q10" s="312"/>
      <c r="R10" s="347"/>
      <c r="S10" s="312"/>
      <c r="T10" s="347"/>
    </row>
    <row r="11" spans="1:20" ht="12" customHeight="1" x14ac:dyDescent="0.3">
      <c r="A11" s="340" t="s">
        <v>294</v>
      </c>
      <c r="B11" s="341">
        <v>22</v>
      </c>
      <c r="C11" s="309">
        <v>46153</v>
      </c>
      <c r="D11" s="310" t="s">
        <v>356</v>
      </c>
      <c r="E11" s="533">
        <v>21.29</v>
      </c>
      <c r="F11" s="533"/>
      <c r="G11" s="344">
        <f t="shared" si="0"/>
        <v>-1736.9000000000156</v>
      </c>
      <c r="H11" s="345"/>
      <c r="I11" s="346">
        <v>1</v>
      </c>
      <c r="J11" s="347"/>
      <c r="K11" s="312"/>
      <c r="L11" s="347"/>
      <c r="M11" s="312"/>
      <c r="N11" s="347"/>
      <c r="O11" s="312"/>
      <c r="P11" s="347"/>
      <c r="Q11" s="312"/>
      <c r="R11" s="347"/>
      <c r="S11" s="312"/>
      <c r="T11" s="347"/>
    </row>
    <row r="12" spans="1:20" ht="12" customHeight="1" x14ac:dyDescent="0.3">
      <c r="A12" s="340" t="s">
        <v>289</v>
      </c>
      <c r="B12" s="341">
        <v>8</v>
      </c>
      <c r="C12" s="309">
        <v>46152</v>
      </c>
      <c r="D12" s="310" t="s">
        <v>321</v>
      </c>
      <c r="E12" s="533">
        <v>59.25</v>
      </c>
      <c r="F12" s="533"/>
      <c r="G12" s="344">
        <f t="shared" si="0"/>
        <v>-1715.6100000000156</v>
      </c>
      <c r="H12" s="345"/>
      <c r="I12" s="346">
        <v>1</v>
      </c>
      <c r="J12" s="347"/>
      <c r="K12" s="312"/>
      <c r="L12" s="347"/>
      <c r="M12" s="312"/>
      <c r="N12" s="347"/>
      <c r="O12" s="312"/>
      <c r="P12" s="347"/>
      <c r="Q12" s="312"/>
      <c r="R12" s="347"/>
      <c r="S12" s="312"/>
      <c r="T12" s="347"/>
    </row>
    <row r="13" spans="1:20" ht="12" customHeight="1" x14ac:dyDescent="0.3">
      <c r="A13" s="340" t="s">
        <v>289</v>
      </c>
      <c r="B13" s="341">
        <v>1</v>
      </c>
      <c r="C13" s="309">
        <v>46152</v>
      </c>
      <c r="D13" s="310" t="s">
        <v>304</v>
      </c>
      <c r="E13" s="533">
        <v>145.94999999999999</v>
      </c>
      <c r="F13" s="533"/>
      <c r="G13" s="344">
        <f t="shared" si="0"/>
        <v>-1656.3600000000156</v>
      </c>
      <c r="H13" s="345"/>
      <c r="I13" s="346">
        <v>2</v>
      </c>
      <c r="J13" s="347"/>
      <c r="K13" s="312"/>
      <c r="L13" s="347"/>
      <c r="M13" s="312"/>
      <c r="N13" s="347"/>
      <c r="O13" s="312"/>
      <c r="P13" s="347"/>
      <c r="Q13" s="312"/>
      <c r="R13" s="347"/>
      <c r="S13" s="312"/>
      <c r="T13" s="347"/>
    </row>
    <row r="14" spans="1:20" ht="12" customHeight="1" x14ac:dyDescent="0.3">
      <c r="A14" s="340" t="s">
        <v>289</v>
      </c>
      <c r="B14" s="341">
        <v>1</v>
      </c>
      <c r="C14" s="309">
        <v>46152</v>
      </c>
      <c r="D14" s="310" t="s">
        <v>312</v>
      </c>
      <c r="E14" s="533">
        <v>131.9</v>
      </c>
      <c r="F14" s="533"/>
      <c r="G14" s="344">
        <f t="shared" si="0"/>
        <v>-1510.4100000000155</v>
      </c>
      <c r="H14" s="345"/>
      <c r="I14" s="346">
        <v>2</v>
      </c>
      <c r="J14" s="347"/>
      <c r="K14" s="312"/>
      <c r="L14" s="347"/>
      <c r="M14" s="312"/>
      <c r="N14" s="347"/>
      <c r="O14" s="312"/>
      <c r="P14" s="347"/>
      <c r="Q14" s="312"/>
      <c r="R14" s="347"/>
      <c r="S14" s="312"/>
      <c r="T14" s="347"/>
    </row>
    <row r="15" spans="1:20" ht="12" customHeight="1" x14ac:dyDescent="0.3">
      <c r="A15" s="340" t="s">
        <v>289</v>
      </c>
      <c r="B15" s="341">
        <v>2</v>
      </c>
      <c r="C15" s="309">
        <v>46152</v>
      </c>
      <c r="D15" s="310" t="s">
        <v>867</v>
      </c>
      <c r="E15" s="533">
        <v>96.46</v>
      </c>
      <c r="F15" s="533"/>
      <c r="G15" s="344">
        <f t="shared" si="0"/>
        <v>-1378.5100000000155</v>
      </c>
      <c r="H15" s="345"/>
      <c r="I15" s="346">
        <v>2</v>
      </c>
      <c r="J15" s="347"/>
      <c r="K15" s="312"/>
      <c r="L15" s="347"/>
      <c r="M15" s="312"/>
      <c r="N15" s="347"/>
      <c r="O15" s="312"/>
      <c r="P15" s="347"/>
      <c r="Q15" s="312"/>
      <c r="R15" s="347"/>
      <c r="S15" s="312"/>
      <c r="T15" s="347"/>
    </row>
    <row r="16" spans="1:20" ht="12" customHeight="1" x14ac:dyDescent="0.3">
      <c r="A16" s="340" t="s">
        <v>289</v>
      </c>
      <c r="B16" s="341">
        <v>7</v>
      </c>
      <c r="C16" s="309">
        <v>46152</v>
      </c>
      <c r="D16" s="310" t="s">
        <v>868</v>
      </c>
      <c r="E16" s="533">
        <v>162</v>
      </c>
      <c r="F16" s="533"/>
      <c r="G16" s="344">
        <f t="shared" si="0"/>
        <v>-1282.0500000000154</v>
      </c>
      <c r="H16" s="345"/>
      <c r="I16" s="346">
        <v>2</v>
      </c>
      <c r="J16" s="347"/>
      <c r="K16" s="312"/>
      <c r="L16" s="347"/>
      <c r="M16" s="312"/>
      <c r="N16" s="347"/>
      <c r="O16" s="312"/>
      <c r="P16" s="347"/>
      <c r="Q16" s="312"/>
      <c r="R16" s="347"/>
      <c r="S16" s="312"/>
      <c r="T16" s="347"/>
    </row>
    <row r="17" spans="1:20" ht="12" customHeight="1" x14ac:dyDescent="0.3">
      <c r="A17" s="340" t="s">
        <v>289</v>
      </c>
      <c r="B17" s="341">
        <v>3</v>
      </c>
      <c r="C17" s="309">
        <v>46152</v>
      </c>
      <c r="D17" s="310" t="s">
        <v>352</v>
      </c>
      <c r="E17" s="533">
        <v>25</v>
      </c>
      <c r="F17" s="533"/>
      <c r="G17" s="344">
        <f t="shared" si="0"/>
        <v>-1120.0500000000154</v>
      </c>
      <c r="H17" s="345"/>
      <c r="I17" s="346">
        <v>2</v>
      </c>
      <c r="J17" s="347"/>
      <c r="K17" s="312"/>
      <c r="L17" s="347"/>
      <c r="M17" s="312"/>
      <c r="N17" s="347"/>
      <c r="O17" s="312"/>
      <c r="P17" s="347"/>
      <c r="Q17" s="312"/>
      <c r="R17" s="347"/>
      <c r="S17" s="312"/>
      <c r="T17" s="347"/>
    </row>
    <row r="18" spans="1:20" ht="12" customHeight="1" x14ac:dyDescent="0.3">
      <c r="A18" s="340" t="s">
        <v>289</v>
      </c>
      <c r="B18" s="341">
        <v>2</v>
      </c>
      <c r="C18" s="309">
        <v>46151</v>
      </c>
      <c r="D18" s="310" t="s">
        <v>869</v>
      </c>
      <c r="E18" s="533">
        <v>35.83</v>
      </c>
      <c r="F18" s="533"/>
      <c r="G18" s="344">
        <f t="shared" si="0"/>
        <v>-1095.0500000000154</v>
      </c>
      <c r="H18" s="345"/>
      <c r="I18" s="346">
        <v>2</v>
      </c>
      <c r="J18" s="347"/>
      <c r="K18" s="312"/>
      <c r="L18" s="347"/>
      <c r="M18" s="312"/>
      <c r="N18" s="347"/>
      <c r="O18" s="312"/>
      <c r="P18" s="347"/>
      <c r="Q18" s="312"/>
      <c r="R18" s="347"/>
      <c r="S18" s="312"/>
      <c r="T18" s="347"/>
    </row>
    <row r="19" spans="1:20" ht="12" customHeight="1" x14ac:dyDescent="0.3">
      <c r="A19" s="340" t="s">
        <v>289</v>
      </c>
      <c r="B19" s="341">
        <v>4</v>
      </c>
      <c r="C19" s="309">
        <v>46151</v>
      </c>
      <c r="D19" s="310" t="s">
        <v>311</v>
      </c>
      <c r="E19" s="533">
        <v>50.58</v>
      </c>
      <c r="F19" s="533"/>
      <c r="G19" s="344">
        <f t="shared" si="0"/>
        <v>-1059.2200000000155</v>
      </c>
      <c r="H19" s="345"/>
      <c r="I19" s="346">
        <v>2</v>
      </c>
      <c r="J19" s="347"/>
      <c r="K19" s="312"/>
      <c r="L19" s="347"/>
      <c r="M19" s="312"/>
      <c r="N19" s="347"/>
      <c r="O19" s="312"/>
      <c r="P19" s="347"/>
      <c r="Q19" s="312"/>
      <c r="R19" s="347"/>
      <c r="S19" s="312"/>
      <c r="T19" s="347"/>
    </row>
    <row r="20" spans="1:20" ht="12" customHeight="1" x14ac:dyDescent="0.3">
      <c r="A20" s="340" t="s">
        <v>289</v>
      </c>
      <c r="B20" s="341">
        <v>2</v>
      </c>
      <c r="C20" s="309">
        <v>46151</v>
      </c>
      <c r="D20" s="310" t="s">
        <v>870</v>
      </c>
      <c r="E20" s="533">
        <v>20.65</v>
      </c>
      <c r="F20" s="533"/>
      <c r="G20" s="344">
        <f t="shared" si="0"/>
        <v>-1008.6400000000156</v>
      </c>
      <c r="H20" s="345"/>
      <c r="I20" s="346">
        <v>2</v>
      </c>
      <c r="J20" s="347"/>
      <c r="K20" s="312"/>
      <c r="L20" s="347"/>
      <c r="M20" s="312"/>
      <c r="N20" s="347"/>
      <c r="O20" s="312"/>
      <c r="P20" s="347"/>
      <c r="Q20" s="312"/>
      <c r="R20" s="347"/>
      <c r="S20" s="312"/>
      <c r="T20" s="347"/>
    </row>
    <row r="21" spans="1:20" ht="12" customHeight="1" x14ac:dyDescent="0.3">
      <c r="A21" s="340" t="s">
        <v>289</v>
      </c>
      <c r="B21" s="341">
        <v>8</v>
      </c>
      <c r="C21" s="309">
        <v>46151</v>
      </c>
      <c r="D21" s="310" t="s">
        <v>321</v>
      </c>
      <c r="E21" s="533">
        <v>38.770000000000003</v>
      </c>
      <c r="F21" s="533"/>
      <c r="G21" s="344">
        <f t="shared" si="0"/>
        <v>-987.99000000001558</v>
      </c>
      <c r="H21" s="345"/>
      <c r="I21" s="346">
        <v>1</v>
      </c>
      <c r="J21" s="347"/>
      <c r="K21" s="312"/>
      <c r="L21" s="347"/>
      <c r="M21" s="312"/>
      <c r="N21" s="347"/>
      <c r="O21" s="312"/>
      <c r="P21" s="347"/>
      <c r="Q21" s="312"/>
      <c r="R21" s="347"/>
      <c r="S21" s="312"/>
      <c r="T21" s="347"/>
    </row>
    <row r="22" spans="1:20" ht="12" customHeight="1" x14ac:dyDescent="0.3">
      <c r="A22" s="340" t="s">
        <v>287</v>
      </c>
      <c r="B22" s="341" t="s">
        <v>287</v>
      </c>
      <c r="C22" s="309">
        <v>46151</v>
      </c>
      <c r="D22" s="310" t="s">
        <v>860</v>
      </c>
      <c r="E22" s="533">
        <v>383.63</v>
      </c>
      <c r="F22" s="533">
        <v>383.63</v>
      </c>
      <c r="G22" s="344">
        <f t="shared" si="0"/>
        <v>-949.2200000000156</v>
      </c>
      <c r="H22" s="345"/>
      <c r="I22" s="346">
        <v>1</v>
      </c>
      <c r="J22" s="347"/>
      <c r="K22" s="312"/>
      <c r="L22" s="347"/>
      <c r="M22" s="312"/>
      <c r="N22" s="347"/>
      <c r="O22" s="312"/>
      <c r="P22" s="347"/>
      <c r="Q22" s="312"/>
      <c r="R22" s="347"/>
      <c r="S22" s="312"/>
      <c r="T22" s="347"/>
    </row>
    <row r="23" spans="1:20" ht="12" customHeight="1" x14ac:dyDescent="0.3">
      <c r="A23" s="340" t="s">
        <v>289</v>
      </c>
      <c r="B23" s="341">
        <v>5</v>
      </c>
      <c r="C23" s="309">
        <v>46151</v>
      </c>
      <c r="D23" s="310" t="s">
        <v>871</v>
      </c>
      <c r="E23" s="533">
        <v>10.68</v>
      </c>
      <c r="F23" s="533"/>
      <c r="G23" s="344">
        <f t="shared" si="0"/>
        <v>-949.2200000000156</v>
      </c>
      <c r="H23" s="345"/>
      <c r="I23" s="346">
        <v>1</v>
      </c>
      <c r="J23" s="347"/>
      <c r="K23" s="312"/>
      <c r="L23" s="347"/>
      <c r="M23" s="312"/>
      <c r="N23" s="347"/>
      <c r="O23" s="312"/>
      <c r="P23" s="347"/>
      <c r="Q23" s="312"/>
      <c r="R23" s="347"/>
      <c r="S23" s="312"/>
      <c r="T23" s="347"/>
    </row>
    <row r="24" spans="1:20" ht="12" customHeight="1" x14ac:dyDescent="0.3">
      <c r="A24" s="340" t="s">
        <v>289</v>
      </c>
      <c r="B24" s="341">
        <v>3</v>
      </c>
      <c r="C24" s="309">
        <v>46151</v>
      </c>
      <c r="D24" s="310" t="s">
        <v>352</v>
      </c>
      <c r="E24" s="533">
        <v>9.35</v>
      </c>
      <c r="F24" s="533"/>
      <c r="G24" s="344">
        <f t="shared" si="0"/>
        <v>-938.54000000001565</v>
      </c>
      <c r="H24" s="345"/>
      <c r="I24" s="346">
        <v>1</v>
      </c>
      <c r="J24" s="347"/>
      <c r="K24" s="312"/>
      <c r="L24" s="347"/>
      <c r="M24" s="312"/>
      <c r="N24" s="347"/>
      <c r="O24" s="312"/>
      <c r="P24" s="347"/>
      <c r="Q24" s="312"/>
      <c r="R24" s="347"/>
      <c r="S24" s="312"/>
      <c r="T24" s="347"/>
    </row>
    <row r="25" spans="1:20" ht="12" customHeight="1" x14ac:dyDescent="0.3">
      <c r="A25" s="340" t="s">
        <v>287</v>
      </c>
      <c r="B25" s="341" t="s">
        <v>287</v>
      </c>
      <c r="C25" s="309">
        <v>46151</v>
      </c>
      <c r="D25" s="310" t="s">
        <v>335</v>
      </c>
      <c r="E25" s="533">
        <v>-150.9</v>
      </c>
      <c r="F25" s="533">
        <v>-150.9</v>
      </c>
      <c r="G25" s="344">
        <f t="shared" si="0"/>
        <v>-929.19000000001563</v>
      </c>
      <c r="H25" s="345"/>
      <c r="I25" s="346">
        <v>1</v>
      </c>
      <c r="J25" s="347"/>
      <c r="K25" s="312"/>
      <c r="L25" s="347"/>
      <c r="M25" s="312"/>
      <c r="N25" s="347"/>
      <c r="O25" s="312"/>
      <c r="P25" s="347"/>
      <c r="Q25" s="312"/>
      <c r="R25" s="347"/>
      <c r="S25" s="312"/>
      <c r="T25" s="347"/>
    </row>
    <row r="26" spans="1:20" ht="12" customHeight="1" x14ac:dyDescent="0.3">
      <c r="A26" s="340" t="s">
        <v>287</v>
      </c>
      <c r="B26" s="341" t="s">
        <v>287</v>
      </c>
      <c r="C26" s="309">
        <v>46151</v>
      </c>
      <c r="D26" s="310" t="s">
        <v>864</v>
      </c>
      <c r="E26" s="533">
        <v>557.9</v>
      </c>
      <c r="F26" s="533">
        <v>557.9</v>
      </c>
      <c r="G26" s="344">
        <f t="shared" si="0"/>
        <v>-929.19000000001563</v>
      </c>
      <c r="H26" s="345"/>
      <c r="I26" s="346">
        <v>1</v>
      </c>
      <c r="J26" s="347"/>
      <c r="K26" s="312"/>
      <c r="L26" s="347"/>
      <c r="M26" s="312"/>
      <c r="N26" s="347"/>
      <c r="O26" s="312"/>
      <c r="P26" s="347"/>
      <c r="Q26" s="312"/>
      <c r="R26" s="347"/>
      <c r="S26" s="312"/>
      <c r="T26" s="347"/>
    </row>
    <row r="27" spans="1:20" ht="12" customHeight="1" x14ac:dyDescent="0.3">
      <c r="A27" s="340" t="s">
        <v>294</v>
      </c>
      <c r="B27" s="341">
        <v>18</v>
      </c>
      <c r="C27" s="309">
        <v>46150</v>
      </c>
      <c r="D27" s="310" t="s">
        <v>365</v>
      </c>
      <c r="E27" s="533">
        <v>400</v>
      </c>
      <c r="F27" s="533"/>
      <c r="G27" s="344">
        <f t="shared" si="0"/>
        <v>-929.19000000001574</v>
      </c>
      <c r="H27" s="345"/>
      <c r="I27" s="346"/>
      <c r="J27" s="347"/>
      <c r="K27" s="312"/>
      <c r="L27" s="347"/>
      <c r="M27" s="312"/>
      <c r="N27" s="347"/>
      <c r="O27" s="312"/>
      <c r="P27" s="347"/>
      <c r="Q27" s="312"/>
      <c r="R27" s="347"/>
      <c r="S27" s="312"/>
      <c r="T27" s="347"/>
    </row>
    <row r="28" spans="1:20" ht="12" customHeight="1" x14ac:dyDescent="0.3">
      <c r="A28" s="340" t="s">
        <v>287</v>
      </c>
      <c r="B28" s="341" t="s">
        <v>287</v>
      </c>
      <c r="C28" s="309">
        <v>46150</v>
      </c>
      <c r="D28" s="310" t="s">
        <v>859</v>
      </c>
      <c r="E28" s="533">
        <v>200</v>
      </c>
      <c r="F28" s="533">
        <v>200</v>
      </c>
      <c r="G28" s="344">
        <f t="shared" si="0"/>
        <v>-529.19000000001574</v>
      </c>
      <c r="H28" s="345"/>
      <c r="I28" s="346"/>
      <c r="J28" s="347"/>
      <c r="K28" s="312"/>
      <c r="L28" s="347"/>
      <c r="M28" s="312"/>
      <c r="N28" s="347"/>
      <c r="O28" s="312"/>
      <c r="P28" s="347"/>
      <c r="Q28" s="312"/>
      <c r="R28" s="347"/>
      <c r="S28" s="312"/>
      <c r="T28" s="347"/>
    </row>
    <row r="29" spans="1:20" ht="12" customHeight="1" x14ac:dyDescent="0.3">
      <c r="A29" s="340" t="s">
        <v>289</v>
      </c>
      <c r="B29" s="341">
        <v>2</v>
      </c>
      <c r="C29" s="309">
        <v>46150</v>
      </c>
      <c r="D29" s="310" t="s">
        <v>487</v>
      </c>
      <c r="E29" s="533">
        <v>52.78</v>
      </c>
      <c r="F29" s="533"/>
      <c r="G29" s="344">
        <f t="shared" si="0"/>
        <v>-529.19000000001574</v>
      </c>
      <c r="H29" s="345"/>
      <c r="I29" s="346">
        <v>1</v>
      </c>
      <c r="J29" s="347"/>
      <c r="K29" s="312"/>
      <c r="L29" s="347"/>
      <c r="M29" s="312"/>
      <c r="N29" s="347"/>
      <c r="O29" s="312"/>
      <c r="P29" s="347"/>
      <c r="Q29" s="312"/>
      <c r="R29" s="347"/>
      <c r="S29" s="312"/>
      <c r="T29" s="347"/>
    </row>
    <row r="30" spans="1:20" ht="12" customHeight="1" x14ac:dyDescent="0.3">
      <c r="A30" s="340" t="s">
        <v>287</v>
      </c>
      <c r="B30" s="341" t="s">
        <v>287</v>
      </c>
      <c r="C30" s="309">
        <v>46150</v>
      </c>
      <c r="D30" s="310" t="s">
        <v>865</v>
      </c>
      <c r="E30" s="533">
        <v>137.07</v>
      </c>
      <c r="F30" s="533">
        <v>137.07</v>
      </c>
      <c r="G30" s="344">
        <f t="shared" si="0"/>
        <v>-476.41000000001571</v>
      </c>
      <c r="H30" s="345"/>
      <c r="I30" s="346">
        <v>1</v>
      </c>
      <c r="J30" s="347"/>
      <c r="K30" s="312"/>
      <c r="L30" s="347"/>
      <c r="M30" s="312"/>
      <c r="N30" s="347"/>
      <c r="O30" s="312"/>
      <c r="P30" s="347"/>
      <c r="Q30" s="312"/>
      <c r="R30" s="347"/>
      <c r="S30" s="312"/>
      <c r="T30" s="347"/>
    </row>
    <row r="31" spans="1:20" ht="12" customHeight="1" x14ac:dyDescent="0.3">
      <c r="A31" s="340" t="s">
        <v>289</v>
      </c>
      <c r="B31" s="341">
        <v>2</v>
      </c>
      <c r="C31" s="309">
        <v>46150</v>
      </c>
      <c r="D31" s="310" t="s">
        <v>362</v>
      </c>
      <c r="E31" s="533">
        <v>17.440000000000001</v>
      </c>
      <c r="F31" s="533"/>
      <c r="G31" s="344">
        <f t="shared" si="0"/>
        <v>-476.41000000001566</v>
      </c>
      <c r="H31" s="345"/>
      <c r="I31" s="346">
        <v>1</v>
      </c>
      <c r="J31" s="347"/>
      <c r="K31" s="312"/>
      <c r="L31" s="347"/>
      <c r="M31" s="312"/>
      <c r="N31" s="347"/>
      <c r="O31" s="312"/>
      <c r="P31" s="347"/>
      <c r="Q31" s="312"/>
      <c r="R31" s="347"/>
      <c r="S31" s="312"/>
      <c r="T31" s="347"/>
    </row>
    <row r="32" spans="1:20" ht="12" customHeight="1" x14ac:dyDescent="0.3">
      <c r="A32" s="340" t="s">
        <v>287</v>
      </c>
      <c r="B32" s="341" t="s">
        <v>287</v>
      </c>
      <c r="C32" s="309">
        <v>46150</v>
      </c>
      <c r="D32" s="310" t="s">
        <v>866</v>
      </c>
      <c r="E32" s="533">
        <v>359.81</v>
      </c>
      <c r="F32" s="533">
        <v>359.81</v>
      </c>
      <c r="G32" s="344">
        <f t="shared" si="0"/>
        <v>-458.97000000001566</v>
      </c>
      <c r="H32" s="345"/>
      <c r="I32" s="346">
        <v>1</v>
      </c>
      <c r="J32" s="347"/>
      <c r="K32" s="312"/>
      <c r="L32" s="347"/>
      <c r="M32" s="312"/>
      <c r="N32" s="347"/>
      <c r="O32" s="312"/>
      <c r="P32" s="347"/>
      <c r="Q32" s="312"/>
      <c r="R32" s="347"/>
      <c r="S32" s="312"/>
      <c r="T32" s="347"/>
    </row>
    <row r="33" spans="1:20" ht="12" customHeight="1" x14ac:dyDescent="0.3">
      <c r="A33" s="340" t="s">
        <v>289</v>
      </c>
      <c r="B33" s="341">
        <v>6</v>
      </c>
      <c r="C33" s="309">
        <v>46149</v>
      </c>
      <c r="D33" s="310" t="s">
        <v>863</v>
      </c>
      <c r="E33" s="533">
        <v>23.7</v>
      </c>
      <c r="F33" s="533"/>
      <c r="G33" s="344">
        <f t="shared" si="0"/>
        <v>-458.97000000001566</v>
      </c>
      <c r="H33" s="345"/>
      <c r="I33" s="346">
        <v>2</v>
      </c>
      <c r="J33" s="347"/>
      <c r="K33" s="312"/>
      <c r="L33" s="347"/>
      <c r="M33" s="312"/>
      <c r="N33" s="347"/>
      <c r="O33" s="312"/>
      <c r="P33" s="347"/>
      <c r="Q33" s="312"/>
      <c r="R33" s="347"/>
      <c r="S33" s="312"/>
      <c r="T33" s="347"/>
    </row>
    <row r="34" spans="1:20" ht="12" customHeight="1" x14ac:dyDescent="0.3">
      <c r="A34" s="340" t="s">
        <v>289</v>
      </c>
      <c r="B34" s="341">
        <v>2</v>
      </c>
      <c r="C34" s="309">
        <v>46149</v>
      </c>
      <c r="D34" s="310" t="s">
        <v>375</v>
      </c>
      <c r="E34" s="533">
        <v>13.43</v>
      </c>
      <c r="F34" s="533"/>
      <c r="G34" s="344">
        <f t="shared" si="0"/>
        <v>-435.27000000001567</v>
      </c>
      <c r="H34" s="345"/>
      <c r="I34" s="346">
        <v>2</v>
      </c>
      <c r="J34" s="347"/>
      <c r="K34" s="312"/>
      <c r="L34" s="347"/>
      <c r="M34" s="312"/>
      <c r="N34" s="347"/>
      <c r="O34" s="312"/>
      <c r="P34" s="347"/>
      <c r="Q34" s="312"/>
      <c r="R34" s="347"/>
      <c r="S34" s="312"/>
      <c r="T34" s="347"/>
    </row>
    <row r="35" spans="1:20" ht="12" customHeight="1" x14ac:dyDescent="0.3">
      <c r="A35" s="340" t="s">
        <v>294</v>
      </c>
      <c r="B35" s="341">
        <v>13</v>
      </c>
      <c r="C35" s="309">
        <v>46149</v>
      </c>
      <c r="D35" s="310" t="s">
        <v>182</v>
      </c>
      <c r="E35" s="533">
        <v>122.18</v>
      </c>
      <c r="F35" s="533"/>
      <c r="G35" s="344">
        <f t="shared" si="0"/>
        <v>-421.84000000001566</v>
      </c>
      <c r="H35" s="345"/>
      <c r="I35" s="346"/>
      <c r="J35" s="347"/>
      <c r="K35" s="312"/>
      <c r="L35" s="347"/>
      <c r="M35" s="312"/>
      <c r="N35" s="347"/>
      <c r="O35" s="312"/>
      <c r="P35" s="347"/>
      <c r="Q35" s="312"/>
      <c r="R35" s="347"/>
      <c r="S35" s="312"/>
      <c r="T35" s="347"/>
    </row>
    <row r="36" spans="1:20" ht="12" customHeight="1" x14ac:dyDescent="0.3">
      <c r="A36" s="340" t="s">
        <v>339</v>
      </c>
      <c r="B36" s="341" t="s">
        <v>339</v>
      </c>
      <c r="C36" s="309">
        <v>46149</v>
      </c>
      <c r="D36" s="310" t="s">
        <v>456</v>
      </c>
      <c r="E36" s="533">
        <v>43.62</v>
      </c>
      <c r="F36" s="533"/>
      <c r="G36" s="344">
        <f t="shared" si="0"/>
        <v>-299.66000000001566</v>
      </c>
      <c r="H36" s="345"/>
      <c r="I36" s="346"/>
      <c r="J36" s="347"/>
      <c r="K36" s="312"/>
      <c r="L36" s="347"/>
      <c r="M36" s="312"/>
      <c r="N36" s="347"/>
      <c r="O36" s="312"/>
      <c r="P36" s="347"/>
      <c r="Q36" s="312"/>
      <c r="R36" s="347"/>
      <c r="S36" s="312"/>
      <c r="T36" s="347"/>
    </row>
    <row r="37" spans="1:20" ht="12" customHeight="1" x14ac:dyDescent="0.3">
      <c r="A37" s="340" t="s">
        <v>294</v>
      </c>
      <c r="B37" s="341">
        <v>9</v>
      </c>
      <c r="C37" s="309">
        <v>46149</v>
      </c>
      <c r="D37" s="310" t="s">
        <v>58</v>
      </c>
      <c r="E37" s="533">
        <v>1231.68</v>
      </c>
      <c r="F37" s="533"/>
      <c r="G37" s="344">
        <f t="shared" si="0"/>
        <v>-256.04000000001565</v>
      </c>
      <c r="H37" s="345"/>
      <c r="I37" s="346"/>
      <c r="J37" s="347"/>
      <c r="K37" s="312"/>
      <c r="L37" s="347"/>
      <c r="M37" s="312"/>
      <c r="N37" s="347"/>
      <c r="O37" s="312"/>
      <c r="P37" s="347"/>
      <c r="Q37" s="312"/>
      <c r="R37" s="347"/>
      <c r="S37" s="312"/>
      <c r="T37" s="347"/>
    </row>
    <row r="38" spans="1:20" ht="12" customHeight="1" x14ac:dyDescent="0.3">
      <c r="A38" s="340" t="s">
        <v>289</v>
      </c>
      <c r="B38" s="341">
        <v>3</v>
      </c>
      <c r="C38" s="309">
        <v>46149</v>
      </c>
      <c r="D38" s="310" t="s">
        <v>310</v>
      </c>
      <c r="E38" s="533">
        <v>4.49</v>
      </c>
      <c r="F38" s="533"/>
      <c r="G38" s="344">
        <f t="shared" si="0"/>
        <v>975.63999999998441</v>
      </c>
      <c r="H38" s="345"/>
      <c r="I38" s="346">
        <v>2</v>
      </c>
      <c r="J38" s="347"/>
      <c r="K38" s="312"/>
      <c r="L38" s="347"/>
      <c r="M38" s="312"/>
      <c r="N38" s="347"/>
      <c r="O38" s="312"/>
      <c r="P38" s="347"/>
      <c r="Q38" s="312"/>
      <c r="R38" s="347"/>
      <c r="S38" s="312"/>
      <c r="T38" s="347"/>
    </row>
    <row r="39" spans="1:20" ht="12" customHeight="1" x14ac:dyDescent="0.3">
      <c r="A39" s="340" t="s">
        <v>289</v>
      </c>
      <c r="B39" s="341">
        <v>8</v>
      </c>
      <c r="C39" s="309">
        <v>46149</v>
      </c>
      <c r="D39" s="310" t="s">
        <v>863</v>
      </c>
      <c r="E39" s="533">
        <v>19.2</v>
      </c>
      <c r="F39" s="533"/>
      <c r="G39" s="344">
        <f t="shared" si="0"/>
        <v>980.12999999998442</v>
      </c>
      <c r="H39" s="345"/>
      <c r="I39" s="346">
        <v>2</v>
      </c>
      <c r="J39" s="347"/>
      <c r="K39" s="312"/>
      <c r="L39" s="347"/>
      <c r="M39" s="312"/>
      <c r="N39" s="347"/>
      <c r="O39" s="312"/>
      <c r="P39" s="347"/>
      <c r="Q39" s="312"/>
      <c r="R39" s="347"/>
      <c r="S39" s="312"/>
      <c r="T39" s="347"/>
    </row>
    <row r="40" spans="1:20" ht="12" customHeight="1" x14ac:dyDescent="0.3">
      <c r="A40" s="340" t="s">
        <v>289</v>
      </c>
      <c r="B40" s="341">
        <v>5</v>
      </c>
      <c r="C40" s="309">
        <v>46149</v>
      </c>
      <c r="D40" s="310" t="s">
        <v>863</v>
      </c>
      <c r="E40" s="533">
        <v>35</v>
      </c>
      <c r="F40" s="533"/>
      <c r="G40" s="344">
        <f t="shared" si="0"/>
        <v>999.32999999998447</v>
      </c>
      <c r="H40" s="345"/>
      <c r="I40" s="346">
        <v>2</v>
      </c>
      <c r="J40" s="347"/>
      <c r="K40" s="312"/>
      <c r="L40" s="347"/>
      <c r="M40" s="312"/>
      <c r="N40" s="347"/>
      <c r="O40" s="312"/>
      <c r="P40" s="347"/>
      <c r="Q40" s="312"/>
      <c r="R40" s="347"/>
      <c r="S40" s="312"/>
      <c r="T40" s="347"/>
    </row>
    <row r="41" spans="1:20" ht="12" customHeight="1" x14ac:dyDescent="0.3">
      <c r="A41" s="340" t="s">
        <v>289</v>
      </c>
      <c r="B41" s="341">
        <v>8</v>
      </c>
      <c r="C41" s="309">
        <v>46149</v>
      </c>
      <c r="D41" s="310" t="s">
        <v>321</v>
      </c>
      <c r="E41" s="533">
        <v>15.93</v>
      </c>
      <c r="F41" s="533"/>
      <c r="G41" s="344">
        <f t="shared" si="0"/>
        <v>1034.3299999999845</v>
      </c>
      <c r="H41" s="345"/>
      <c r="I41" s="346">
        <v>1</v>
      </c>
      <c r="J41" s="347"/>
      <c r="K41" s="312"/>
      <c r="L41" s="347"/>
      <c r="M41" s="312"/>
      <c r="N41" s="347"/>
      <c r="O41" s="312"/>
      <c r="P41" s="347"/>
      <c r="Q41" s="312"/>
      <c r="R41" s="347"/>
      <c r="S41" s="312"/>
      <c r="T41" s="347"/>
    </row>
    <row r="42" spans="1:20" ht="12" customHeight="1" x14ac:dyDescent="0.3">
      <c r="A42" s="340" t="s">
        <v>289</v>
      </c>
      <c r="B42" s="341">
        <v>2</v>
      </c>
      <c r="C42" s="309">
        <v>46149</v>
      </c>
      <c r="D42" s="310" t="s">
        <v>296</v>
      </c>
      <c r="E42" s="533">
        <v>11.18</v>
      </c>
      <c r="F42" s="533"/>
      <c r="G42" s="344">
        <f t="shared" si="0"/>
        <v>1050.2599999999845</v>
      </c>
      <c r="H42" s="345"/>
      <c r="I42" s="346">
        <v>1</v>
      </c>
      <c r="J42" s="347"/>
      <c r="K42" s="312"/>
      <c r="L42" s="347"/>
      <c r="M42" s="312"/>
      <c r="N42" s="347"/>
      <c r="O42" s="312"/>
      <c r="P42" s="347"/>
      <c r="Q42" s="312"/>
      <c r="R42" s="347"/>
      <c r="S42" s="312"/>
      <c r="T42" s="347"/>
    </row>
    <row r="43" spans="1:20" ht="12" customHeight="1" x14ac:dyDescent="0.3">
      <c r="A43" s="340" t="s">
        <v>289</v>
      </c>
      <c r="B43" s="341">
        <v>2</v>
      </c>
      <c r="C43" s="309">
        <v>46149</v>
      </c>
      <c r="D43" s="310" t="s">
        <v>301</v>
      </c>
      <c r="E43" s="533">
        <v>16.05</v>
      </c>
      <c r="F43" s="533"/>
      <c r="G43" s="344">
        <f t="shared" ref="G43:G82" si="1">G44-E43+F43</f>
        <v>1061.4399999999846</v>
      </c>
      <c r="H43" s="345"/>
      <c r="I43" s="346">
        <v>1</v>
      </c>
      <c r="J43" s="347"/>
      <c r="K43" s="312"/>
      <c r="L43" s="347"/>
      <c r="M43" s="312"/>
      <c r="N43" s="347"/>
      <c r="O43" s="312"/>
      <c r="P43" s="347"/>
      <c r="Q43" s="312"/>
      <c r="R43" s="347"/>
      <c r="S43" s="312"/>
      <c r="T43" s="347"/>
    </row>
    <row r="44" spans="1:20" ht="12" customHeight="1" x14ac:dyDescent="0.3">
      <c r="A44" s="340" t="s">
        <v>289</v>
      </c>
      <c r="B44" s="341">
        <v>6</v>
      </c>
      <c r="C44" s="309">
        <v>46148</v>
      </c>
      <c r="D44" s="310" t="s">
        <v>344</v>
      </c>
      <c r="E44" s="533">
        <v>47.93</v>
      </c>
      <c r="F44" s="533"/>
      <c r="G44" s="344">
        <f t="shared" si="1"/>
        <v>1077.4899999999845</v>
      </c>
      <c r="H44" s="345"/>
      <c r="I44" s="346">
        <v>1</v>
      </c>
      <c r="J44" s="347"/>
      <c r="K44" s="312"/>
      <c r="L44" s="347"/>
      <c r="M44" s="312"/>
      <c r="N44" s="347"/>
      <c r="O44" s="312"/>
      <c r="P44" s="347"/>
      <c r="Q44" s="312"/>
      <c r="R44" s="347"/>
      <c r="S44" s="312"/>
      <c r="T44" s="347"/>
    </row>
    <row r="45" spans="1:20" ht="12" customHeight="1" x14ac:dyDescent="0.3">
      <c r="A45" s="340" t="s">
        <v>294</v>
      </c>
      <c r="B45" s="341">
        <v>14</v>
      </c>
      <c r="C45" s="309">
        <v>46148</v>
      </c>
      <c r="D45" s="310" t="s">
        <v>370</v>
      </c>
      <c r="E45" s="533">
        <v>66.67</v>
      </c>
      <c r="F45" s="533"/>
      <c r="G45" s="344">
        <f t="shared" si="1"/>
        <v>1125.4199999999846</v>
      </c>
      <c r="H45" s="345"/>
      <c r="I45" s="346">
        <v>1</v>
      </c>
      <c r="J45" s="347"/>
      <c r="K45" s="312"/>
      <c r="L45" s="347"/>
      <c r="M45" s="312"/>
      <c r="N45" s="347"/>
      <c r="O45" s="312"/>
      <c r="P45" s="347"/>
      <c r="Q45" s="312"/>
      <c r="R45" s="347"/>
      <c r="S45" s="312"/>
      <c r="T45" s="347"/>
    </row>
    <row r="46" spans="1:20" ht="12" customHeight="1" x14ac:dyDescent="0.3">
      <c r="A46" s="340" t="s">
        <v>289</v>
      </c>
      <c r="B46" s="341">
        <v>8</v>
      </c>
      <c r="C46" s="309">
        <v>46148</v>
      </c>
      <c r="D46" s="310" t="s">
        <v>321</v>
      </c>
      <c r="E46" s="533">
        <v>19.14</v>
      </c>
      <c r="F46" s="533"/>
      <c r="G46" s="344">
        <f t="shared" si="1"/>
        <v>1192.0899999999847</v>
      </c>
      <c r="H46" s="345"/>
      <c r="I46" s="346">
        <v>1</v>
      </c>
      <c r="J46" s="347"/>
      <c r="K46" s="312"/>
      <c r="L46" s="347"/>
      <c r="M46" s="312"/>
      <c r="N46" s="347"/>
      <c r="O46" s="312"/>
      <c r="P46" s="347"/>
      <c r="Q46" s="312"/>
      <c r="R46" s="347"/>
      <c r="S46" s="312"/>
      <c r="T46" s="347"/>
    </row>
    <row r="47" spans="1:20" ht="12" customHeight="1" x14ac:dyDescent="0.3">
      <c r="A47" s="340" t="s">
        <v>289</v>
      </c>
      <c r="B47" s="341">
        <v>4</v>
      </c>
      <c r="C47" s="309">
        <v>46148</v>
      </c>
      <c r="D47" s="310" t="s">
        <v>311</v>
      </c>
      <c r="E47" s="533">
        <v>103.69</v>
      </c>
      <c r="F47" s="533"/>
      <c r="G47" s="344">
        <f t="shared" si="1"/>
        <v>1211.2299999999848</v>
      </c>
      <c r="H47" s="345"/>
      <c r="I47" s="346">
        <v>1</v>
      </c>
      <c r="J47" s="347"/>
      <c r="K47" s="312"/>
      <c r="L47" s="347"/>
      <c r="M47" s="312"/>
      <c r="N47" s="347"/>
      <c r="O47" s="312"/>
      <c r="P47" s="347"/>
      <c r="Q47" s="312"/>
      <c r="R47" s="347"/>
      <c r="S47" s="312"/>
      <c r="T47" s="347"/>
    </row>
    <row r="48" spans="1:20" ht="12" customHeight="1" x14ac:dyDescent="0.3">
      <c r="A48" s="340" t="s">
        <v>287</v>
      </c>
      <c r="B48" s="341" t="s">
        <v>287</v>
      </c>
      <c r="C48" s="309">
        <v>46148</v>
      </c>
      <c r="D48" s="310" t="s">
        <v>860</v>
      </c>
      <c r="E48" s="533">
        <v>513.29999999999995</v>
      </c>
      <c r="F48" s="533">
        <v>513.29999999999995</v>
      </c>
      <c r="G48" s="344">
        <f t="shared" si="1"/>
        <v>1314.9199999999848</v>
      </c>
      <c r="H48" s="345"/>
      <c r="I48" s="346">
        <v>1</v>
      </c>
      <c r="J48" s="347"/>
      <c r="K48" s="312"/>
      <c r="L48" s="347"/>
      <c r="M48" s="312"/>
      <c r="N48" s="347"/>
      <c r="O48" s="312"/>
      <c r="P48" s="347"/>
      <c r="Q48" s="312"/>
      <c r="R48" s="347"/>
      <c r="S48" s="312"/>
      <c r="T48" s="347"/>
    </row>
    <row r="49" spans="1:20" ht="12" customHeight="1" x14ac:dyDescent="0.3">
      <c r="A49" s="340" t="s">
        <v>289</v>
      </c>
      <c r="B49" s="341">
        <v>6</v>
      </c>
      <c r="C49" s="309">
        <v>46148</v>
      </c>
      <c r="D49" s="310" t="s">
        <v>300</v>
      </c>
      <c r="E49" s="533">
        <v>41.52</v>
      </c>
      <c r="F49" s="533"/>
      <c r="G49" s="344">
        <f t="shared" si="1"/>
        <v>1314.9199999999848</v>
      </c>
      <c r="H49" s="345"/>
      <c r="I49" s="346">
        <v>1</v>
      </c>
      <c r="J49" s="347"/>
      <c r="K49" s="312"/>
      <c r="L49" s="347"/>
      <c r="M49" s="312"/>
      <c r="N49" s="347"/>
      <c r="O49" s="312"/>
      <c r="P49" s="347"/>
      <c r="Q49" s="312"/>
      <c r="R49" s="347"/>
      <c r="S49" s="312"/>
      <c r="T49" s="347"/>
    </row>
    <row r="50" spans="1:20" ht="12" customHeight="1" x14ac:dyDescent="0.3">
      <c r="A50" s="340" t="s">
        <v>287</v>
      </c>
      <c r="B50" s="341" t="s">
        <v>287</v>
      </c>
      <c r="C50" s="309">
        <v>46148</v>
      </c>
      <c r="D50" s="310" t="s">
        <v>861</v>
      </c>
      <c r="E50" s="533">
        <v>500.5</v>
      </c>
      <c r="F50" s="533">
        <v>500.5</v>
      </c>
      <c r="G50" s="344">
        <f t="shared" si="1"/>
        <v>1356.4399999999848</v>
      </c>
      <c r="H50" s="345"/>
      <c r="I50" s="346">
        <v>1</v>
      </c>
      <c r="J50" s="347"/>
      <c r="K50" s="312"/>
      <c r="L50" s="347"/>
      <c r="M50" s="312"/>
      <c r="N50" s="347"/>
      <c r="O50" s="312"/>
      <c r="P50" s="347"/>
      <c r="Q50" s="312"/>
      <c r="R50" s="347"/>
      <c r="S50" s="312"/>
      <c r="T50" s="347"/>
    </row>
    <row r="51" spans="1:20" ht="12" customHeight="1" x14ac:dyDescent="0.3">
      <c r="A51" s="340" t="s">
        <v>287</v>
      </c>
      <c r="B51" s="341" t="s">
        <v>287</v>
      </c>
      <c r="C51" s="309">
        <v>46148</v>
      </c>
      <c r="D51" s="310" t="s">
        <v>862</v>
      </c>
      <c r="E51" s="533">
        <v>457.94</v>
      </c>
      <c r="F51" s="533">
        <v>457.94</v>
      </c>
      <c r="G51" s="344">
        <f t="shared" si="1"/>
        <v>1356.4399999999848</v>
      </c>
      <c r="H51" s="345"/>
      <c r="I51" s="346">
        <v>1</v>
      </c>
      <c r="J51" s="347"/>
      <c r="K51" s="312"/>
      <c r="L51" s="347"/>
      <c r="M51" s="312"/>
      <c r="N51" s="347"/>
      <c r="O51" s="312"/>
      <c r="P51" s="347"/>
      <c r="Q51" s="312"/>
      <c r="R51" s="347"/>
      <c r="S51" s="312"/>
      <c r="T51" s="347"/>
    </row>
    <row r="52" spans="1:20" ht="12" customHeight="1" x14ac:dyDescent="0.3">
      <c r="A52" s="340" t="s">
        <v>289</v>
      </c>
      <c r="B52" s="341">
        <v>1</v>
      </c>
      <c r="C52" s="309">
        <v>46148</v>
      </c>
      <c r="D52" s="310" t="s">
        <v>307</v>
      </c>
      <c r="E52" s="533">
        <v>23.48</v>
      </c>
      <c r="F52" s="533"/>
      <c r="G52" s="344">
        <f t="shared" si="1"/>
        <v>1356.4399999999848</v>
      </c>
      <c r="H52" s="345"/>
      <c r="I52" s="346">
        <v>2</v>
      </c>
      <c r="J52" s="347"/>
      <c r="K52" s="312"/>
      <c r="L52" s="347"/>
      <c r="M52" s="312"/>
      <c r="N52" s="347"/>
      <c r="O52" s="312"/>
      <c r="P52" s="347"/>
      <c r="Q52" s="312"/>
      <c r="R52" s="347"/>
      <c r="S52" s="312"/>
      <c r="T52" s="347"/>
    </row>
    <row r="53" spans="1:20" ht="12" customHeight="1" x14ac:dyDescent="0.3">
      <c r="A53" s="340" t="s">
        <v>289</v>
      </c>
      <c r="B53" s="341">
        <v>2</v>
      </c>
      <c r="C53" s="309">
        <v>46147</v>
      </c>
      <c r="D53" s="310" t="s">
        <v>388</v>
      </c>
      <c r="E53" s="533">
        <v>59.03</v>
      </c>
      <c r="F53" s="533"/>
      <c r="G53" s="344">
        <f t="shared" si="1"/>
        <v>1379.9199999999848</v>
      </c>
      <c r="H53" s="345"/>
      <c r="I53" s="346">
        <v>1</v>
      </c>
      <c r="J53" s="347"/>
      <c r="K53" s="312"/>
      <c r="L53" s="347"/>
      <c r="M53" s="312"/>
      <c r="N53" s="347"/>
      <c r="O53" s="312"/>
      <c r="P53" s="347"/>
      <c r="Q53" s="312"/>
      <c r="R53" s="347"/>
      <c r="S53" s="312"/>
      <c r="T53" s="347"/>
    </row>
    <row r="54" spans="1:20" ht="12" customHeight="1" x14ac:dyDescent="0.3">
      <c r="A54" s="340" t="s">
        <v>289</v>
      </c>
      <c r="B54" s="341">
        <v>2</v>
      </c>
      <c r="C54" s="309">
        <v>46147</v>
      </c>
      <c r="D54" s="310" t="s">
        <v>338</v>
      </c>
      <c r="E54" s="533">
        <v>11.06</v>
      </c>
      <c r="F54" s="533"/>
      <c r="G54" s="344">
        <f t="shared" si="1"/>
        <v>1438.9499999999848</v>
      </c>
      <c r="H54" s="345"/>
      <c r="I54" s="346">
        <v>1</v>
      </c>
      <c r="J54" s="347"/>
      <c r="K54" s="312"/>
      <c r="L54" s="347"/>
      <c r="M54" s="312"/>
      <c r="N54" s="347"/>
      <c r="O54" s="312"/>
      <c r="P54" s="347"/>
      <c r="Q54" s="312"/>
      <c r="R54" s="347"/>
      <c r="S54" s="312"/>
      <c r="T54" s="347"/>
    </row>
    <row r="55" spans="1:20" ht="12" customHeight="1" x14ac:dyDescent="0.3">
      <c r="A55" s="340" t="s">
        <v>289</v>
      </c>
      <c r="B55" s="341">
        <v>2</v>
      </c>
      <c r="C55" s="309">
        <v>46147</v>
      </c>
      <c r="D55" s="310" t="s">
        <v>296</v>
      </c>
      <c r="E55" s="533">
        <v>8.7200000000000006</v>
      </c>
      <c r="F55" s="533"/>
      <c r="G55" s="344">
        <f t="shared" si="1"/>
        <v>1450.0099999999848</v>
      </c>
      <c r="H55" s="345"/>
      <c r="I55" s="346">
        <v>1</v>
      </c>
      <c r="J55" s="347"/>
      <c r="K55" s="312"/>
      <c r="L55" s="347"/>
      <c r="M55" s="312"/>
      <c r="N55" s="347"/>
      <c r="O55" s="312"/>
      <c r="P55" s="347"/>
      <c r="Q55" s="312"/>
      <c r="R55" s="347"/>
      <c r="S55" s="312"/>
      <c r="T55" s="347"/>
    </row>
    <row r="56" spans="1:20" ht="12" customHeight="1" x14ac:dyDescent="0.3">
      <c r="A56" s="340" t="s">
        <v>289</v>
      </c>
      <c r="B56" s="341">
        <v>4</v>
      </c>
      <c r="C56" s="309">
        <v>46147</v>
      </c>
      <c r="D56" s="310" t="s">
        <v>296</v>
      </c>
      <c r="E56" s="533">
        <v>42.88</v>
      </c>
      <c r="F56" s="533"/>
      <c r="G56" s="344">
        <f t="shared" si="1"/>
        <v>1458.7299999999848</v>
      </c>
      <c r="H56" s="345"/>
      <c r="I56" s="346">
        <v>1</v>
      </c>
      <c r="J56" s="347"/>
      <c r="K56" s="312"/>
      <c r="L56" s="347"/>
      <c r="M56" s="312"/>
      <c r="N56" s="347"/>
      <c r="O56" s="312"/>
      <c r="P56" s="347"/>
      <c r="Q56" s="312"/>
      <c r="R56" s="347"/>
      <c r="S56" s="312"/>
      <c r="T56" s="347"/>
    </row>
    <row r="57" spans="1:20" ht="12" customHeight="1" x14ac:dyDescent="0.3">
      <c r="A57" s="340" t="s">
        <v>289</v>
      </c>
      <c r="B57" s="341">
        <v>6</v>
      </c>
      <c r="C57" s="309">
        <v>46147</v>
      </c>
      <c r="D57" s="310" t="s">
        <v>300</v>
      </c>
      <c r="E57" s="533">
        <v>17.03</v>
      </c>
      <c r="F57" s="533"/>
      <c r="G57" s="344">
        <f t="shared" si="1"/>
        <v>1501.6099999999849</v>
      </c>
      <c r="H57" s="345"/>
      <c r="I57" s="346">
        <v>1</v>
      </c>
      <c r="J57" s="347"/>
      <c r="K57" s="312"/>
      <c r="L57" s="347"/>
      <c r="M57" s="312"/>
      <c r="N57" s="347"/>
      <c r="O57" s="312"/>
      <c r="P57" s="347"/>
      <c r="Q57" s="312"/>
      <c r="R57" s="347"/>
      <c r="S57" s="312"/>
      <c r="T57" s="347"/>
    </row>
    <row r="58" spans="1:20" ht="12" customHeight="1" x14ac:dyDescent="0.3">
      <c r="A58" s="340" t="s">
        <v>294</v>
      </c>
      <c r="B58" s="341">
        <v>22</v>
      </c>
      <c r="C58" s="309">
        <v>46146</v>
      </c>
      <c r="D58" s="310" t="s">
        <v>851</v>
      </c>
      <c r="E58" s="533">
        <v>13.83</v>
      </c>
      <c r="F58" s="533"/>
      <c r="G58" s="344">
        <f t="shared" si="1"/>
        <v>1518.6399999999849</v>
      </c>
      <c r="H58" s="345"/>
      <c r="I58" s="346">
        <v>1</v>
      </c>
      <c r="J58" s="347"/>
      <c r="K58" s="312"/>
      <c r="L58" s="347"/>
      <c r="M58" s="312"/>
      <c r="N58" s="347"/>
      <c r="O58" s="312"/>
      <c r="P58" s="347"/>
      <c r="Q58" s="312"/>
      <c r="R58" s="347"/>
      <c r="S58" s="312"/>
      <c r="T58" s="347"/>
    </row>
    <row r="59" spans="1:20" ht="12" customHeight="1" x14ac:dyDescent="0.3">
      <c r="A59" s="340" t="s">
        <v>289</v>
      </c>
      <c r="B59" s="341">
        <v>6</v>
      </c>
      <c r="C59" s="309">
        <v>46146</v>
      </c>
      <c r="D59" s="310" t="s">
        <v>344</v>
      </c>
      <c r="E59" s="533">
        <v>47.93</v>
      </c>
      <c r="F59" s="533"/>
      <c r="G59" s="344">
        <f t="shared" si="1"/>
        <v>1532.4699999999848</v>
      </c>
      <c r="H59" s="345"/>
      <c r="I59" s="346">
        <v>1</v>
      </c>
      <c r="J59" s="347"/>
      <c r="K59" s="312"/>
      <c r="L59" s="347"/>
      <c r="M59" s="312"/>
      <c r="N59" s="347"/>
      <c r="O59" s="312"/>
      <c r="P59" s="347"/>
      <c r="Q59" s="312"/>
      <c r="R59" s="347"/>
      <c r="S59" s="312"/>
      <c r="T59" s="347"/>
    </row>
    <row r="60" spans="1:20" ht="12" customHeight="1" x14ac:dyDescent="0.3">
      <c r="A60" s="340" t="s">
        <v>289</v>
      </c>
      <c r="B60" s="341">
        <v>2</v>
      </c>
      <c r="C60" s="309">
        <v>46146</v>
      </c>
      <c r="D60" s="310" t="s">
        <v>338</v>
      </c>
      <c r="E60" s="533">
        <v>11.06</v>
      </c>
      <c r="F60" s="533"/>
      <c r="G60" s="344">
        <f t="shared" si="1"/>
        <v>1580.3999999999849</v>
      </c>
      <c r="H60" s="345"/>
      <c r="I60" s="346">
        <v>1</v>
      </c>
      <c r="J60" s="347"/>
      <c r="K60" s="312"/>
      <c r="L60" s="347"/>
      <c r="M60" s="312"/>
      <c r="N60" s="347"/>
      <c r="O60" s="312"/>
      <c r="P60" s="347"/>
      <c r="Q60" s="312"/>
      <c r="R60" s="347"/>
      <c r="S60" s="312"/>
      <c r="T60" s="347"/>
    </row>
    <row r="61" spans="1:20" ht="12" customHeight="1" x14ac:dyDescent="0.3">
      <c r="A61" s="340" t="s">
        <v>294</v>
      </c>
      <c r="B61" s="341">
        <v>14</v>
      </c>
      <c r="C61" s="309">
        <v>46146</v>
      </c>
      <c r="D61" s="310" t="s">
        <v>371</v>
      </c>
      <c r="E61" s="533">
        <v>70.25</v>
      </c>
      <c r="F61" s="533"/>
      <c r="G61" s="344">
        <f t="shared" si="1"/>
        <v>1591.4599999999848</v>
      </c>
      <c r="H61" s="345"/>
      <c r="I61" s="346">
        <v>1</v>
      </c>
      <c r="J61" s="347"/>
      <c r="K61" s="312"/>
      <c r="L61" s="347"/>
      <c r="M61" s="312"/>
      <c r="N61" s="347"/>
      <c r="O61" s="312"/>
      <c r="P61" s="347"/>
      <c r="Q61" s="312"/>
      <c r="R61" s="347"/>
      <c r="S61" s="312"/>
      <c r="T61" s="347"/>
    </row>
    <row r="62" spans="1:20" ht="12" customHeight="1" x14ac:dyDescent="0.3">
      <c r="A62" s="340" t="s">
        <v>284</v>
      </c>
      <c r="B62" s="341">
        <v>36</v>
      </c>
      <c r="C62" s="309">
        <v>46146</v>
      </c>
      <c r="D62" s="310" t="s">
        <v>378</v>
      </c>
      <c r="E62" s="533">
        <v>50</v>
      </c>
      <c r="F62" s="533"/>
      <c r="G62" s="344">
        <f t="shared" si="1"/>
        <v>1661.7099999999848</v>
      </c>
      <c r="H62" s="345"/>
      <c r="I62" s="346"/>
      <c r="J62" s="347"/>
      <c r="K62" s="312"/>
      <c r="L62" s="347"/>
      <c r="M62" s="312"/>
      <c r="N62" s="347"/>
      <c r="O62" s="312"/>
      <c r="P62" s="347"/>
      <c r="Q62" s="312"/>
      <c r="R62" s="347"/>
      <c r="S62" s="312"/>
      <c r="T62" s="347"/>
    </row>
    <row r="63" spans="1:20" ht="12" customHeight="1" x14ac:dyDescent="0.3">
      <c r="A63" s="340" t="s">
        <v>294</v>
      </c>
      <c r="B63" s="341">
        <v>17</v>
      </c>
      <c r="C63" s="309">
        <v>46146</v>
      </c>
      <c r="D63" s="310" t="s">
        <v>374</v>
      </c>
      <c r="E63" s="533">
        <v>99</v>
      </c>
      <c r="F63" s="533"/>
      <c r="G63" s="344">
        <f t="shared" si="1"/>
        <v>1711.7099999999848</v>
      </c>
      <c r="H63" s="345"/>
      <c r="I63" s="346">
        <v>2</v>
      </c>
      <c r="J63" s="347"/>
      <c r="K63" s="312"/>
      <c r="L63" s="347"/>
      <c r="M63" s="312"/>
      <c r="N63" s="347"/>
      <c r="O63" s="312"/>
      <c r="P63" s="347"/>
      <c r="Q63" s="312"/>
      <c r="R63" s="347"/>
      <c r="S63" s="312"/>
      <c r="T63" s="347"/>
    </row>
    <row r="64" spans="1:20" ht="12" customHeight="1" x14ac:dyDescent="0.3">
      <c r="A64" s="340" t="s">
        <v>289</v>
      </c>
      <c r="B64" s="341">
        <v>5</v>
      </c>
      <c r="C64" s="309">
        <v>46145</v>
      </c>
      <c r="D64" s="310" t="s">
        <v>850</v>
      </c>
      <c r="E64" s="533">
        <v>49.13</v>
      </c>
      <c r="F64" s="533"/>
      <c r="G64" s="344">
        <f t="shared" si="1"/>
        <v>1810.7099999999848</v>
      </c>
      <c r="H64" s="345"/>
      <c r="I64" s="346">
        <v>2</v>
      </c>
      <c r="J64" s="347"/>
      <c r="K64" s="312"/>
      <c r="L64" s="347"/>
      <c r="M64" s="312"/>
      <c r="N64" s="347"/>
      <c r="O64" s="312"/>
      <c r="P64" s="347"/>
      <c r="Q64" s="312"/>
      <c r="R64" s="347"/>
      <c r="S64" s="312"/>
      <c r="T64" s="347"/>
    </row>
    <row r="65" spans="1:20" ht="12" customHeight="1" x14ac:dyDescent="0.3">
      <c r="A65" s="340" t="s">
        <v>289</v>
      </c>
      <c r="B65" s="341">
        <v>1</v>
      </c>
      <c r="C65" s="309">
        <v>46145</v>
      </c>
      <c r="D65" s="310" t="s">
        <v>847</v>
      </c>
      <c r="E65" s="533">
        <v>50</v>
      </c>
      <c r="F65" s="533"/>
      <c r="G65" s="344">
        <f t="shared" si="1"/>
        <v>1859.8399999999849</v>
      </c>
      <c r="H65" s="345"/>
      <c r="I65" s="346">
        <v>2</v>
      </c>
      <c r="J65" s="347"/>
      <c r="K65" s="312"/>
      <c r="L65" s="347"/>
      <c r="M65" s="312"/>
      <c r="N65" s="347"/>
      <c r="O65" s="312"/>
      <c r="P65" s="347"/>
      <c r="Q65" s="312"/>
      <c r="R65" s="347"/>
      <c r="S65" s="312"/>
      <c r="T65" s="347"/>
    </row>
    <row r="66" spans="1:20" ht="12" customHeight="1" x14ac:dyDescent="0.3">
      <c r="A66" s="340" t="s">
        <v>289</v>
      </c>
      <c r="B66" s="341">
        <v>1</v>
      </c>
      <c r="C66" s="309">
        <v>46145</v>
      </c>
      <c r="D66" s="310" t="s">
        <v>312</v>
      </c>
      <c r="E66" s="533">
        <v>91.98</v>
      </c>
      <c r="F66" s="533"/>
      <c r="G66" s="344">
        <f t="shared" si="1"/>
        <v>1909.8399999999849</v>
      </c>
      <c r="H66" s="345"/>
      <c r="I66" s="346">
        <v>2</v>
      </c>
      <c r="J66" s="347"/>
      <c r="K66" s="312"/>
      <c r="L66" s="347"/>
      <c r="M66" s="312"/>
      <c r="N66" s="347"/>
      <c r="O66" s="312"/>
      <c r="P66" s="347"/>
      <c r="Q66" s="312"/>
      <c r="R66" s="347"/>
      <c r="S66" s="312"/>
      <c r="T66" s="347"/>
    </row>
    <row r="67" spans="1:20" ht="12" customHeight="1" x14ac:dyDescent="0.3">
      <c r="A67" s="340" t="s">
        <v>289</v>
      </c>
      <c r="B67" s="341">
        <v>6</v>
      </c>
      <c r="C67" s="309">
        <v>46145</v>
      </c>
      <c r="D67" s="310" t="s">
        <v>848</v>
      </c>
      <c r="E67" s="533">
        <v>24.68</v>
      </c>
      <c r="F67" s="533"/>
      <c r="G67" s="344">
        <f t="shared" si="1"/>
        <v>2001.8199999999849</v>
      </c>
      <c r="H67" s="345"/>
      <c r="I67" s="346">
        <v>2</v>
      </c>
      <c r="J67" s="347"/>
      <c r="K67" s="312"/>
      <c r="L67" s="347"/>
      <c r="M67" s="312"/>
      <c r="N67" s="347"/>
      <c r="O67" s="312"/>
      <c r="P67" s="347"/>
      <c r="Q67" s="312"/>
      <c r="R67" s="347"/>
      <c r="S67" s="312"/>
      <c r="T67" s="347"/>
    </row>
    <row r="68" spans="1:20" ht="12" customHeight="1" x14ac:dyDescent="0.3">
      <c r="A68" s="340" t="s">
        <v>289</v>
      </c>
      <c r="B68" s="341">
        <v>2</v>
      </c>
      <c r="C68" s="309">
        <v>46145</v>
      </c>
      <c r="D68" s="310" t="s">
        <v>362</v>
      </c>
      <c r="E68" s="533">
        <v>2.4900000000000002</v>
      </c>
      <c r="F68" s="533"/>
      <c r="G68" s="344">
        <f t="shared" si="1"/>
        <v>2026.499999999985</v>
      </c>
      <c r="H68" s="345"/>
      <c r="I68" s="346">
        <v>2</v>
      </c>
      <c r="J68" s="347"/>
      <c r="K68" s="312"/>
      <c r="L68" s="347"/>
      <c r="M68" s="312"/>
      <c r="N68" s="347"/>
      <c r="O68" s="312"/>
      <c r="P68" s="347"/>
      <c r="Q68" s="312"/>
      <c r="R68" s="347"/>
      <c r="S68" s="312"/>
      <c r="T68" s="347"/>
    </row>
    <row r="69" spans="1:20" ht="12" customHeight="1" x14ac:dyDescent="0.3">
      <c r="A69" s="340" t="s">
        <v>294</v>
      </c>
      <c r="B69" s="341">
        <v>22</v>
      </c>
      <c r="C69" s="309">
        <v>46145</v>
      </c>
      <c r="D69" s="310" t="s">
        <v>846</v>
      </c>
      <c r="E69" s="533">
        <v>12.77</v>
      </c>
      <c r="F69" s="533"/>
      <c r="G69" s="344">
        <f t="shared" si="1"/>
        <v>2028.989999999985</v>
      </c>
      <c r="H69" s="345"/>
      <c r="I69" s="346">
        <v>1</v>
      </c>
      <c r="J69" s="347"/>
      <c r="K69" s="312"/>
      <c r="L69" s="347"/>
      <c r="M69" s="312"/>
      <c r="N69" s="347"/>
      <c r="O69" s="312"/>
      <c r="P69" s="347"/>
      <c r="Q69" s="312"/>
      <c r="R69" s="347"/>
      <c r="S69" s="312"/>
      <c r="T69" s="347"/>
    </row>
    <row r="70" spans="1:20" ht="12" customHeight="1" x14ac:dyDescent="0.3">
      <c r="A70" s="340" t="s">
        <v>289</v>
      </c>
      <c r="B70" s="341">
        <v>2</v>
      </c>
      <c r="C70" s="309">
        <v>46145</v>
      </c>
      <c r="D70" s="310" t="s">
        <v>468</v>
      </c>
      <c r="E70" s="533">
        <v>192.97</v>
      </c>
      <c r="F70" s="533"/>
      <c r="G70" s="344">
        <f t="shared" si="1"/>
        <v>2041.759999999985</v>
      </c>
      <c r="H70" s="345"/>
      <c r="I70" s="346">
        <v>1</v>
      </c>
      <c r="J70" s="347"/>
      <c r="K70" s="312"/>
      <c r="L70" s="347"/>
      <c r="M70" s="312"/>
      <c r="N70" s="347"/>
      <c r="O70" s="312"/>
      <c r="P70" s="347"/>
      <c r="Q70" s="312"/>
      <c r="R70" s="347"/>
      <c r="S70" s="312"/>
      <c r="T70" s="347"/>
    </row>
    <row r="71" spans="1:20" ht="12" customHeight="1" x14ac:dyDescent="0.3">
      <c r="A71" s="340" t="s">
        <v>289</v>
      </c>
      <c r="B71" s="341">
        <v>3</v>
      </c>
      <c r="C71" s="309">
        <v>46145</v>
      </c>
      <c r="D71" s="310" t="s">
        <v>352</v>
      </c>
      <c r="E71" s="533">
        <v>9.35</v>
      </c>
      <c r="F71" s="533"/>
      <c r="G71" s="344">
        <f t="shared" si="1"/>
        <v>2234.729999999985</v>
      </c>
      <c r="H71" s="345"/>
      <c r="I71" s="346">
        <v>1</v>
      </c>
      <c r="J71" s="347"/>
      <c r="K71" s="312"/>
      <c r="L71" s="347"/>
      <c r="M71" s="312"/>
      <c r="N71" s="347"/>
      <c r="O71" s="312"/>
      <c r="P71" s="347"/>
      <c r="Q71" s="312"/>
      <c r="R71" s="347"/>
      <c r="S71" s="312"/>
      <c r="T71" s="347"/>
    </row>
    <row r="72" spans="1:20" ht="12" customHeight="1" x14ac:dyDescent="0.3">
      <c r="A72" s="340" t="s">
        <v>289</v>
      </c>
      <c r="B72" s="341">
        <v>4</v>
      </c>
      <c r="C72" s="309">
        <v>46144</v>
      </c>
      <c r="D72" s="310" t="s">
        <v>311</v>
      </c>
      <c r="E72" s="533">
        <v>57.69</v>
      </c>
      <c r="F72" s="533"/>
      <c r="G72" s="344">
        <f t="shared" si="1"/>
        <v>2244.0799999999849</v>
      </c>
      <c r="H72" s="345"/>
      <c r="I72" s="346">
        <v>1</v>
      </c>
      <c r="J72" s="347"/>
      <c r="K72" s="312"/>
      <c r="L72" s="347"/>
      <c r="M72" s="312"/>
      <c r="N72" s="347"/>
      <c r="O72" s="312"/>
      <c r="P72" s="347"/>
      <c r="Q72" s="312"/>
      <c r="R72" s="347"/>
      <c r="S72" s="312"/>
      <c r="T72" s="347"/>
    </row>
    <row r="73" spans="1:20" ht="12" customHeight="1" x14ac:dyDescent="0.3">
      <c r="A73" s="340" t="s">
        <v>289</v>
      </c>
      <c r="B73" s="341">
        <v>8</v>
      </c>
      <c r="C73" s="309">
        <v>46144</v>
      </c>
      <c r="D73" s="310" t="s">
        <v>311</v>
      </c>
      <c r="E73" s="533">
        <v>6.37</v>
      </c>
      <c r="F73" s="533"/>
      <c r="G73" s="344">
        <f t="shared" si="1"/>
        <v>2301.769999999985</v>
      </c>
      <c r="H73" s="345"/>
      <c r="I73" s="346">
        <v>1</v>
      </c>
      <c r="J73" s="347"/>
      <c r="K73" s="312"/>
      <c r="L73" s="347"/>
      <c r="M73" s="312"/>
      <c r="N73" s="347"/>
      <c r="O73" s="312"/>
      <c r="P73" s="347"/>
      <c r="Q73" s="312"/>
      <c r="R73" s="347"/>
      <c r="S73" s="312"/>
      <c r="T73" s="347"/>
    </row>
    <row r="74" spans="1:20" ht="12" customHeight="1" x14ac:dyDescent="0.3">
      <c r="A74" s="340" t="s">
        <v>294</v>
      </c>
      <c r="B74" s="341">
        <v>22</v>
      </c>
      <c r="C74" s="309">
        <v>46144</v>
      </c>
      <c r="D74" s="310" t="s">
        <v>379</v>
      </c>
      <c r="E74" s="533">
        <v>6.37</v>
      </c>
      <c r="F74" s="533"/>
      <c r="G74" s="344">
        <f t="shared" si="1"/>
        <v>2308.1399999999849</v>
      </c>
      <c r="H74" s="345"/>
      <c r="I74" s="346">
        <v>1</v>
      </c>
      <c r="J74" s="347"/>
      <c r="K74" s="312"/>
      <c r="L74" s="347"/>
      <c r="M74" s="312"/>
      <c r="N74" s="347"/>
      <c r="O74" s="312"/>
      <c r="P74" s="347"/>
      <c r="Q74" s="312"/>
      <c r="R74" s="347"/>
      <c r="S74" s="312"/>
      <c r="T74" s="347"/>
    </row>
    <row r="75" spans="1:20" ht="12" customHeight="1" x14ac:dyDescent="0.3">
      <c r="A75" s="340" t="s">
        <v>289</v>
      </c>
      <c r="B75" s="341">
        <v>6</v>
      </c>
      <c r="C75" s="309">
        <v>46144</v>
      </c>
      <c r="D75" s="310" t="s">
        <v>300</v>
      </c>
      <c r="E75" s="533">
        <v>41.51</v>
      </c>
      <c r="F75" s="533"/>
      <c r="G75" s="344">
        <f t="shared" si="1"/>
        <v>2314.5099999999848</v>
      </c>
      <c r="H75" s="345"/>
      <c r="I75" s="346">
        <v>1</v>
      </c>
      <c r="J75" s="347"/>
      <c r="K75" s="312"/>
      <c r="L75" s="347"/>
      <c r="M75" s="312"/>
      <c r="N75" s="347"/>
      <c r="O75" s="312"/>
      <c r="P75" s="347"/>
      <c r="Q75" s="312"/>
      <c r="R75" s="347"/>
      <c r="S75" s="312"/>
      <c r="T75" s="347"/>
    </row>
    <row r="76" spans="1:20" ht="12" customHeight="1" x14ac:dyDescent="0.3">
      <c r="A76" s="340" t="s">
        <v>289</v>
      </c>
      <c r="B76" s="341">
        <v>7</v>
      </c>
      <c r="C76" s="309">
        <v>46144</v>
      </c>
      <c r="D76" s="310" t="s">
        <v>849</v>
      </c>
      <c r="E76" s="533">
        <v>74.53</v>
      </c>
      <c r="F76" s="533"/>
      <c r="G76" s="344">
        <f t="shared" si="1"/>
        <v>2356.019999999985</v>
      </c>
      <c r="H76" s="345"/>
      <c r="I76" s="346">
        <v>2</v>
      </c>
      <c r="J76" s="347"/>
      <c r="K76" s="312"/>
      <c r="L76" s="347"/>
      <c r="M76" s="312"/>
      <c r="N76" s="347"/>
      <c r="O76" s="312"/>
      <c r="P76" s="347"/>
      <c r="Q76" s="312"/>
      <c r="R76" s="347"/>
      <c r="S76" s="312"/>
      <c r="T76" s="347"/>
    </row>
    <row r="77" spans="1:20" ht="12" customHeight="1" x14ac:dyDescent="0.3">
      <c r="A77" s="340" t="s">
        <v>289</v>
      </c>
      <c r="B77" s="341">
        <v>1</v>
      </c>
      <c r="C77" s="309">
        <v>46144</v>
      </c>
      <c r="D77" s="310" t="s">
        <v>307</v>
      </c>
      <c r="E77" s="533">
        <v>72.73</v>
      </c>
      <c r="F77" s="533"/>
      <c r="G77" s="344">
        <f t="shared" si="1"/>
        <v>2430.5499999999852</v>
      </c>
      <c r="H77" s="345"/>
      <c r="I77" s="346">
        <v>2</v>
      </c>
      <c r="J77" s="347"/>
      <c r="K77" s="312"/>
      <c r="L77" s="347"/>
      <c r="M77" s="312"/>
      <c r="N77" s="347"/>
      <c r="O77" s="312"/>
      <c r="P77" s="347"/>
      <c r="Q77" s="312"/>
      <c r="R77" s="347"/>
      <c r="S77" s="312"/>
      <c r="T77" s="347"/>
    </row>
    <row r="78" spans="1:20" ht="12" customHeight="1" x14ac:dyDescent="0.3">
      <c r="A78" s="340" t="s">
        <v>289</v>
      </c>
      <c r="B78" s="341">
        <v>3</v>
      </c>
      <c r="C78" s="309">
        <v>46144</v>
      </c>
      <c r="D78" s="310" t="s">
        <v>352</v>
      </c>
      <c r="E78" s="533">
        <v>25</v>
      </c>
      <c r="F78" s="533"/>
      <c r="G78" s="344">
        <f t="shared" si="1"/>
        <v>2503.2799999999852</v>
      </c>
      <c r="H78" s="345"/>
      <c r="I78" s="346">
        <v>2</v>
      </c>
      <c r="J78" s="347"/>
      <c r="K78" s="312"/>
      <c r="L78" s="347"/>
      <c r="M78" s="312"/>
      <c r="N78" s="347"/>
      <c r="O78" s="312"/>
      <c r="P78" s="347"/>
      <c r="Q78" s="312"/>
      <c r="R78" s="347"/>
      <c r="S78" s="312"/>
      <c r="T78" s="347"/>
    </row>
    <row r="79" spans="1:20" ht="12" customHeight="1" x14ac:dyDescent="0.3">
      <c r="A79" s="340" t="s">
        <v>287</v>
      </c>
      <c r="B79" s="341" t="s">
        <v>287</v>
      </c>
      <c r="C79" s="309">
        <v>46144</v>
      </c>
      <c r="D79" s="310" t="s">
        <v>500</v>
      </c>
      <c r="E79" s="533">
        <v>121.4</v>
      </c>
      <c r="F79" s="533">
        <v>121.4</v>
      </c>
      <c r="G79" s="344">
        <f t="shared" si="1"/>
        <v>2528.2799999999852</v>
      </c>
      <c r="H79" s="345"/>
      <c r="I79" s="346">
        <v>1</v>
      </c>
      <c r="J79" s="347"/>
      <c r="K79" s="312"/>
      <c r="L79" s="347"/>
      <c r="M79" s="312"/>
      <c r="N79" s="347"/>
      <c r="O79" s="312"/>
      <c r="P79" s="347"/>
      <c r="Q79" s="312"/>
      <c r="R79" s="347"/>
      <c r="S79" s="312"/>
      <c r="T79" s="347"/>
    </row>
    <row r="80" spans="1:20" ht="12" customHeight="1" x14ac:dyDescent="0.3">
      <c r="A80" s="340" t="s">
        <v>289</v>
      </c>
      <c r="B80" s="341">
        <v>3</v>
      </c>
      <c r="C80" s="309">
        <v>46144</v>
      </c>
      <c r="D80" s="310" t="s">
        <v>352</v>
      </c>
      <c r="E80" s="533">
        <v>9.73</v>
      </c>
      <c r="F80" s="533"/>
      <c r="G80" s="344">
        <f t="shared" si="1"/>
        <v>2528.2799999999852</v>
      </c>
      <c r="H80" s="345"/>
      <c r="I80" s="346">
        <v>1</v>
      </c>
      <c r="J80" s="347"/>
      <c r="K80" s="312"/>
      <c r="L80" s="347"/>
      <c r="M80" s="312"/>
      <c r="N80" s="347"/>
      <c r="O80" s="312"/>
      <c r="P80" s="347"/>
      <c r="Q80" s="312"/>
      <c r="R80" s="347"/>
      <c r="S80" s="312"/>
      <c r="T80" s="347"/>
    </row>
    <row r="81" spans="1:20" ht="12" customHeight="1" x14ac:dyDescent="0.3">
      <c r="A81" s="340" t="s">
        <v>289</v>
      </c>
      <c r="B81" s="341">
        <v>2</v>
      </c>
      <c r="C81" s="309">
        <v>46143</v>
      </c>
      <c r="D81" s="310" t="s">
        <v>362</v>
      </c>
      <c r="E81" s="533">
        <v>8.9700000000000006</v>
      </c>
      <c r="F81" s="533"/>
      <c r="G81" s="344">
        <f t="shared" si="1"/>
        <v>2538.0099999999852</v>
      </c>
      <c r="H81" s="345"/>
      <c r="I81" s="346">
        <v>1</v>
      </c>
      <c r="J81" s="347"/>
      <c r="K81" s="312"/>
      <c r="L81" s="347"/>
      <c r="M81" s="312"/>
      <c r="N81" s="347"/>
      <c r="O81" s="312"/>
      <c r="P81" s="347"/>
      <c r="Q81" s="312"/>
      <c r="R81" s="347"/>
      <c r="S81" s="312"/>
      <c r="T81" s="347"/>
    </row>
    <row r="82" spans="1:20" s="580" customFormat="1" ht="12" customHeight="1" x14ac:dyDescent="0.3">
      <c r="A82" s="570" t="s">
        <v>284</v>
      </c>
      <c r="B82" s="571">
        <v>37</v>
      </c>
      <c r="C82" s="572">
        <v>46142</v>
      </c>
      <c r="D82" s="573" t="s">
        <v>285</v>
      </c>
      <c r="E82" s="574">
        <v>5616.82</v>
      </c>
      <c r="F82" s="574"/>
      <c r="G82" s="575">
        <f t="shared" si="1"/>
        <v>2546.979999999985</v>
      </c>
      <c r="H82" s="576"/>
      <c r="I82" s="577"/>
      <c r="J82" s="578"/>
      <c r="K82" s="579"/>
      <c r="L82" s="578"/>
      <c r="M82" s="579"/>
      <c r="N82" s="578"/>
      <c r="O82" s="579"/>
      <c r="P82" s="578"/>
      <c r="Q82" s="579"/>
      <c r="R82" s="578"/>
      <c r="S82" s="579"/>
      <c r="T82" s="578"/>
    </row>
    <row r="83" spans="1:20" ht="12" customHeight="1" x14ac:dyDescent="0.3">
      <c r="A83" s="340" t="s">
        <v>286</v>
      </c>
      <c r="B83" s="341">
        <v>25</v>
      </c>
      <c r="C83" s="309">
        <v>46142</v>
      </c>
      <c r="D83" s="309" t="s">
        <v>204</v>
      </c>
      <c r="E83" s="342">
        <v>350</v>
      </c>
      <c r="F83" s="342"/>
      <c r="G83" s="344">
        <f t="shared" ref="G83:G84" si="2">G84-E83+F83</f>
        <v>8163.7999999999847</v>
      </c>
      <c r="H83" s="345"/>
      <c r="I83" s="346"/>
      <c r="J83" s="347"/>
      <c r="K83" s="312"/>
      <c r="L83" s="347"/>
      <c r="M83" s="312"/>
      <c r="N83" s="347"/>
      <c r="O83" s="312"/>
      <c r="P83" s="347"/>
      <c r="Q83" s="312"/>
      <c r="R83" s="347"/>
      <c r="S83" s="312"/>
      <c r="T83" s="347"/>
    </row>
    <row r="84" spans="1:20" ht="12" customHeight="1" x14ac:dyDescent="0.3">
      <c r="A84" s="340" t="s">
        <v>286</v>
      </c>
      <c r="B84" s="341">
        <v>26</v>
      </c>
      <c r="C84" s="309">
        <v>46142</v>
      </c>
      <c r="D84" s="309" t="s">
        <v>205</v>
      </c>
      <c r="E84" s="342">
        <v>320</v>
      </c>
      <c r="F84" s="342"/>
      <c r="G84" s="344">
        <f t="shared" si="2"/>
        <v>8513.7999999999847</v>
      </c>
      <c r="H84" s="345"/>
      <c r="I84" s="346"/>
      <c r="J84" s="347"/>
      <c r="K84" s="312"/>
      <c r="L84" s="347"/>
      <c r="M84" s="312"/>
      <c r="N84" s="347"/>
      <c r="O84" s="312"/>
      <c r="P84" s="347"/>
      <c r="Q84" s="312"/>
      <c r="R84" s="347"/>
      <c r="S84" s="312"/>
      <c r="T84" s="347"/>
    </row>
    <row r="85" spans="1:20" ht="12" customHeight="1" x14ac:dyDescent="0.3">
      <c r="A85" s="340" t="s">
        <v>286</v>
      </c>
      <c r="B85" s="341">
        <v>27</v>
      </c>
      <c r="C85" s="309">
        <v>46142</v>
      </c>
      <c r="D85" s="309" t="s">
        <v>206</v>
      </c>
      <c r="E85" s="342">
        <v>25</v>
      </c>
      <c r="F85" s="342"/>
      <c r="G85" s="344">
        <f t="shared" ref="G85:G336" si="3">G86-E85+F85</f>
        <v>8833.7999999999847</v>
      </c>
      <c r="H85" s="345"/>
      <c r="I85" s="346"/>
      <c r="J85" s="347"/>
      <c r="K85" s="312"/>
      <c r="L85" s="347"/>
      <c r="M85" s="312"/>
      <c r="N85" s="347"/>
      <c r="O85" s="312"/>
      <c r="P85" s="347"/>
      <c r="Q85" s="312"/>
      <c r="R85" s="347"/>
      <c r="S85" s="312"/>
      <c r="T85" s="347"/>
    </row>
    <row r="86" spans="1:20" ht="12" customHeight="1" x14ac:dyDescent="0.3">
      <c r="A86" s="340" t="s">
        <v>286</v>
      </c>
      <c r="B86" s="341">
        <v>28</v>
      </c>
      <c r="C86" s="309">
        <v>46142</v>
      </c>
      <c r="D86" s="309" t="s">
        <v>207</v>
      </c>
      <c r="E86" s="342">
        <v>25</v>
      </c>
      <c r="F86" s="342"/>
      <c r="G86" s="344">
        <f t="shared" si="3"/>
        <v>8858.7999999999847</v>
      </c>
      <c r="H86" s="345"/>
      <c r="I86" s="346"/>
      <c r="J86" s="347"/>
      <c r="K86" s="312"/>
      <c r="L86" s="347"/>
      <c r="M86" s="312"/>
      <c r="N86" s="347"/>
      <c r="O86" s="312"/>
      <c r="P86" s="347"/>
      <c r="Q86" s="312"/>
      <c r="R86" s="347"/>
      <c r="S86" s="312"/>
      <c r="T86" s="347"/>
    </row>
    <row r="87" spans="1:20" ht="12" customHeight="1" x14ac:dyDescent="0.3">
      <c r="A87" s="340" t="s">
        <v>286</v>
      </c>
      <c r="B87" s="341">
        <v>29</v>
      </c>
      <c r="C87" s="309">
        <v>46142</v>
      </c>
      <c r="D87" s="309" t="s">
        <v>208</v>
      </c>
      <c r="E87" s="342">
        <v>45</v>
      </c>
      <c r="F87" s="342"/>
      <c r="G87" s="344">
        <f t="shared" si="3"/>
        <v>8883.7999999999847</v>
      </c>
      <c r="H87" s="345"/>
      <c r="I87" s="346"/>
      <c r="J87" s="347"/>
      <c r="K87" s="312"/>
      <c r="L87" s="347"/>
      <c r="M87" s="312"/>
      <c r="N87" s="347"/>
      <c r="O87" s="312"/>
      <c r="P87" s="347"/>
      <c r="Q87" s="312"/>
      <c r="R87" s="347"/>
      <c r="S87" s="312"/>
      <c r="T87" s="347"/>
    </row>
    <row r="88" spans="1:20" ht="12" customHeight="1" x14ac:dyDescent="0.3">
      <c r="A88" s="340" t="s">
        <v>286</v>
      </c>
      <c r="B88" s="341">
        <v>30</v>
      </c>
      <c r="C88" s="309">
        <v>46142</v>
      </c>
      <c r="D88" s="309" t="s">
        <v>209</v>
      </c>
      <c r="E88" s="342">
        <v>400</v>
      </c>
      <c r="F88" s="342"/>
      <c r="G88" s="344">
        <f t="shared" si="3"/>
        <v>8928.7999999999847</v>
      </c>
      <c r="H88" s="345"/>
      <c r="I88" s="346"/>
      <c r="J88" s="347"/>
      <c r="K88" s="312"/>
      <c r="L88" s="347"/>
      <c r="M88" s="312"/>
      <c r="N88" s="347"/>
      <c r="O88" s="312"/>
      <c r="P88" s="347"/>
      <c r="Q88" s="312"/>
      <c r="R88" s="347"/>
      <c r="S88" s="312"/>
      <c r="T88" s="347"/>
    </row>
    <row r="89" spans="1:20" ht="12" customHeight="1" x14ac:dyDescent="0.3">
      <c r="A89" s="340" t="s">
        <v>286</v>
      </c>
      <c r="B89" s="341">
        <v>31</v>
      </c>
      <c r="C89" s="309">
        <v>46142</v>
      </c>
      <c r="D89" s="309" t="s">
        <v>210</v>
      </c>
      <c r="E89" s="342">
        <v>375</v>
      </c>
      <c r="F89" s="342"/>
      <c r="G89" s="344">
        <f t="shared" si="3"/>
        <v>9328.7999999999847</v>
      </c>
      <c r="H89" s="345"/>
      <c r="I89" s="346"/>
      <c r="J89" s="347"/>
      <c r="K89" s="312"/>
      <c r="L89" s="347"/>
      <c r="M89" s="312"/>
      <c r="N89" s="347"/>
      <c r="O89" s="312"/>
      <c r="P89" s="347"/>
      <c r="Q89" s="312"/>
      <c r="R89" s="347"/>
      <c r="S89" s="312"/>
      <c r="T89" s="347"/>
    </row>
    <row r="90" spans="1:20" ht="12" customHeight="1" x14ac:dyDescent="0.3">
      <c r="A90" s="340" t="s">
        <v>286</v>
      </c>
      <c r="B90" s="341">
        <v>32</v>
      </c>
      <c r="C90" s="309">
        <v>46142</v>
      </c>
      <c r="D90" s="309" t="s">
        <v>211</v>
      </c>
      <c r="E90" s="342">
        <v>100</v>
      </c>
      <c r="F90" s="342"/>
      <c r="G90" s="344">
        <f t="shared" si="3"/>
        <v>9703.7999999999847</v>
      </c>
      <c r="H90" s="345"/>
      <c r="I90" s="346"/>
      <c r="J90" s="347"/>
      <c r="K90" s="312"/>
      <c r="L90" s="347"/>
      <c r="M90" s="312"/>
      <c r="N90" s="347"/>
      <c r="O90" s="312"/>
      <c r="P90" s="347"/>
      <c r="Q90" s="312"/>
      <c r="R90" s="347"/>
      <c r="S90" s="312"/>
      <c r="T90" s="347"/>
    </row>
    <row r="91" spans="1:20" ht="12" customHeight="1" x14ac:dyDescent="0.3">
      <c r="A91" s="340" t="s">
        <v>286</v>
      </c>
      <c r="B91" s="341">
        <v>33</v>
      </c>
      <c r="C91" s="309">
        <v>46142</v>
      </c>
      <c r="D91" s="309" t="s">
        <v>212</v>
      </c>
      <c r="E91" s="342">
        <v>85</v>
      </c>
      <c r="F91" s="342"/>
      <c r="G91" s="344">
        <f t="shared" si="3"/>
        <v>9803.7999999999847</v>
      </c>
      <c r="H91" s="345"/>
      <c r="I91" s="346"/>
      <c r="J91" s="347"/>
      <c r="K91" s="312"/>
      <c r="L91" s="347"/>
      <c r="M91" s="312"/>
      <c r="N91" s="347"/>
      <c r="O91" s="312"/>
      <c r="P91" s="347"/>
      <c r="Q91" s="312"/>
      <c r="R91" s="347"/>
      <c r="S91" s="312"/>
      <c r="T91" s="347"/>
    </row>
    <row r="92" spans="1:20" ht="12" customHeight="1" x14ac:dyDescent="0.3">
      <c r="A92" s="340" t="s">
        <v>286</v>
      </c>
      <c r="B92" s="341">
        <v>34</v>
      </c>
      <c r="C92" s="309">
        <v>46142</v>
      </c>
      <c r="D92" s="309" t="s">
        <v>213</v>
      </c>
      <c r="E92" s="342">
        <v>230</v>
      </c>
      <c r="F92" s="342"/>
      <c r="G92" s="344">
        <f t="shared" si="3"/>
        <v>9888.7999999999847</v>
      </c>
      <c r="H92" s="345"/>
      <c r="I92" s="346"/>
      <c r="J92" s="347"/>
      <c r="K92" s="312"/>
      <c r="L92" s="347"/>
      <c r="M92" s="312"/>
      <c r="N92" s="347"/>
      <c r="O92" s="312"/>
      <c r="P92" s="347"/>
      <c r="Q92" s="312"/>
      <c r="R92" s="347"/>
      <c r="S92" s="312"/>
      <c r="T92" s="347"/>
    </row>
    <row r="93" spans="1:20" ht="12" customHeight="1" x14ac:dyDescent="0.3">
      <c r="A93" s="340" t="s">
        <v>286</v>
      </c>
      <c r="B93" s="341">
        <v>35</v>
      </c>
      <c r="C93" s="309">
        <v>46142</v>
      </c>
      <c r="D93" s="309" t="s">
        <v>214</v>
      </c>
      <c r="E93" s="342">
        <v>45</v>
      </c>
      <c r="F93" s="342"/>
      <c r="G93" s="344">
        <f t="shared" si="3"/>
        <v>10118.799999999985</v>
      </c>
      <c r="H93" s="345"/>
      <c r="I93" s="346"/>
      <c r="J93" s="347"/>
      <c r="K93" s="312"/>
      <c r="L93" s="347"/>
      <c r="M93" s="312"/>
      <c r="N93" s="347"/>
      <c r="O93" s="312"/>
      <c r="P93" s="347"/>
      <c r="Q93" s="312"/>
      <c r="R93" s="347"/>
      <c r="S93" s="312"/>
      <c r="T93" s="347"/>
    </row>
    <row r="94" spans="1:20" ht="12" customHeight="1" x14ac:dyDescent="0.3">
      <c r="A94" s="340" t="s">
        <v>287</v>
      </c>
      <c r="B94" s="341" t="s">
        <v>287</v>
      </c>
      <c r="C94" s="309">
        <v>46142</v>
      </c>
      <c r="D94" s="310" t="s">
        <v>288</v>
      </c>
      <c r="E94" s="342">
        <v>185.64</v>
      </c>
      <c r="F94" s="342">
        <v>185.64</v>
      </c>
      <c r="G94" s="344">
        <f t="shared" si="3"/>
        <v>10163.799999999985</v>
      </c>
      <c r="H94" s="345"/>
      <c r="I94" s="346"/>
      <c r="J94" s="347"/>
      <c r="K94" s="312"/>
      <c r="L94" s="347"/>
      <c r="M94" s="312"/>
      <c r="N94" s="347"/>
      <c r="O94" s="312"/>
      <c r="P94" s="347"/>
      <c r="Q94" s="312"/>
      <c r="R94" s="347"/>
      <c r="S94" s="312"/>
      <c r="T94" s="347"/>
    </row>
    <row r="95" spans="1:20" ht="12" customHeight="1" x14ac:dyDescent="0.3">
      <c r="A95" s="340" t="s">
        <v>289</v>
      </c>
      <c r="B95" s="341">
        <v>6</v>
      </c>
      <c r="C95" s="309">
        <v>46142</v>
      </c>
      <c r="D95" s="310" t="s">
        <v>290</v>
      </c>
      <c r="E95" s="342">
        <v>30</v>
      </c>
      <c r="F95" s="342"/>
      <c r="G95" s="344">
        <f t="shared" si="3"/>
        <v>10163.799999999985</v>
      </c>
      <c r="H95" s="345"/>
      <c r="I95" s="346"/>
      <c r="J95" s="347"/>
      <c r="K95" s="312"/>
      <c r="L95" s="347"/>
      <c r="M95" s="312"/>
      <c r="N95" s="347"/>
      <c r="O95" s="312"/>
      <c r="P95" s="347"/>
      <c r="Q95" s="312"/>
      <c r="R95" s="347"/>
      <c r="S95" s="312"/>
      <c r="T95" s="347"/>
    </row>
    <row r="96" spans="1:20" ht="12" customHeight="1" x14ac:dyDescent="0.3">
      <c r="A96" s="340" t="s">
        <v>291</v>
      </c>
      <c r="B96" s="341">
        <v>39</v>
      </c>
      <c r="C96" s="309">
        <v>46142</v>
      </c>
      <c r="D96" s="310" t="s">
        <v>292</v>
      </c>
      <c r="E96" s="342"/>
      <c r="F96" s="342">
        <v>2763.78</v>
      </c>
      <c r="G96" s="344">
        <f t="shared" si="3"/>
        <v>10193.799999999985</v>
      </c>
      <c r="H96" s="345"/>
      <c r="I96" s="346"/>
      <c r="J96" s="347"/>
      <c r="K96" s="312"/>
      <c r="L96" s="347"/>
      <c r="M96" s="312"/>
      <c r="N96" s="347"/>
      <c r="O96" s="312"/>
      <c r="P96" s="347"/>
      <c r="Q96" s="312"/>
      <c r="R96" s="347"/>
      <c r="S96" s="312"/>
      <c r="T96" s="347"/>
    </row>
    <row r="97" spans="1:20" ht="12" customHeight="1" x14ac:dyDescent="0.3">
      <c r="A97" s="340" t="s">
        <v>291</v>
      </c>
      <c r="B97" s="341">
        <v>38</v>
      </c>
      <c r="C97" s="309">
        <v>46142</v>
      </c>
      <c r="D97" s="310" t="s">
        <v>293</v>
      </c>
      <c r="E97" s="342"/>
      <c r="F97" s="342">
        <v>4597.82</v>
      </c>
      <c r="G97" s="344">
        <f t="shared" si="3"/>
        <v>7430.019999999985</v>
      </c>
      <c r="H97" s="345"/>
      <c r="I97" s="346"/>
      <c r="J97" s="347"/>
      <c r="K97" s="312"/>
      <c r="L97" s="347"/>
      <c r="M97" s="312"/>
      <c r="N97" s="347"/>
      <c r="O97" s="312"/>
      <c r="P97" s="347"/>
      <c r="Q97" s="312"/>
      <c r="R97" s="347"/>
      <c r="S97" s="312"/>
      <c r="T97" s="347"/>
    </row>
    <row r="98" spans="1:20" ht="12" customHeight="1" x14ac:dyDescent="0.3">
      <c r="A98" s="340" t="s">
        <v>294</v>
      </c>
      <c r="B98" s="341">
        <v>42</v>
      </c>
      <c r="C98" s="309">
        <v>46142</v>
      </c>
      <c r="D98" s="310" t="s">
        <v>200</v>
      </c>
      <c r="E98" s="342">
        <v>50.92</v>
      </c>
      <c r="F98" s="342"/>
      <c r="G98" s="344">
        <f t="shared" si="3"/>
        <v>2832.1999999999853</v>
      </c>
      <c r="H98" s="345"/>
      <c r="I98" s="346"/>
      <c r="J98" s="347"/>
      <c r="K98" s="312"/>
      <c r="L98" s="347"/>
      <c r="M98" s="312"/>
      <c r="N98" s="347"/>
      <c r="O98" s="312"/>
      <c r="P98" s="347"/>
      <c r="Q98" s="312"/>
      <c r="R98" s="347"/>
      <c r="S98" s="312"/>
      <c r="T98" s="347"/>
    </row>
    <row r="99" spans="1:20" ht="12" customHeight="1" x14ac:dyDescent="0.3">
      <c r="A99" s="340" t="s">
        <v>294</v>
      </c>
      <c r="B99" s="341">
        <v>43</v>
      </c>
      <c r="C99" s="309">
        <v>46142</v>
      </c>
      <c r="D99" s="310" t="s">
        <v>201</v>
      </c>
      <c r="E99" s="342">
        <v>50.92</v>
      </c>
      <c r="F99" s="342"/>
      <c r="G99" s="344">
        <f t="shared" si="3"/>
        <v>2883.1199999999853</v>
      </c>
      <c r="H99" s="345"/>
      <c r="I99" s="346"/>
      <c r="J99" s="347"/>
      <c r="K99" s="312"/>
      <c r="L99" s="347"/>
      <c r="M99" s="312"/>
      <c r="N99" s="347"/>
      <c r="O99" s="312"/>
      <c r="P99" s="347"/>
      <c r="Q99" s="312"/>
      <c r="R99" s="347"/>
      <c r="S99" s="312"/>
      <c r="T99" s="347"/>
    </row>
    <row r="100" spans="1:20" ht="12" customHeight="1" x14ac:dyDescent="0.3">
      <c r="A100" s="340" t="s">
        <v>289</v>
      </c>
      <c r="B100" s="341">
        <v>4</v>
      </c>
      <c r="C100" s="309">
        <v>46142</v>
      </c>
      <c r="D100" s="310" t="s">
        <v>295</v>
      </c>
      <c r="E100" s="342">
        <v>35.799999999999997</v>
      </c>
      <c r="F100" s="342"/>
      <c r="G100" s="344">
        <f t="shared" si="3"/>
        <v>2934.0399999999854</v>
      </c>
      <c r="H100" s="345"/>
      <c r="I100" s="346"/>
      <c r="J100" s="347"/>
      <c r="K100" s="312"/>
      <c r="L100" s="347"/>
      <c r="M100" s="312"/>
      <c r="N100" s="347"/>
      <c r="O100" s="312"/>
      <c r="P100" s="347"/>
      <c r="Q100" s="312"/>
      <c r="R100" s="347"/>
      <c r="S100" s="312"/>
      <c r="T100" s="347"/>
    </row>
    <row r="101" spans="1:20" ht="12" customHeight="1" x14ac:dyDescent="0.3">
      <c r="A101" s="340" t="s">
        <v>294</v>
      </c>
      <c r="B101" s="341">
        <v>10</v>
      </c>
      <c r="C101" s="309">
        <v>46142</v>
      </c>
      <c r="D101" s="310" t="s">
        <v>176</v>
      </c>
      <c r="E101" s="342">
        <v>17.899999999999999</v>
      </c>
      <c r="F101" s="342"/>
      <c r="G101" s="344">
        <f t="shared" si="3"/>
        <v>2969.8399999999856</v>
      </c>
      <c r="H101" s="345"/>
      <c r="I101" s="346"/>
      <c r="J101" s="347"/>
      <c r="K101" s="312"/>
      <c r="L101" s="347"/>
      <c r="M101" s="312"/>
      <c r="N101" s="347"/>
      <c r="O101" s="312"/>
      <c r="P101" s="347"/>
      <c r="Q101" s="312"/>
      <c r="R101" s="347"/>
      <c r="S101" s="312"/>
      <c r="T101" s="347"/>
    </row>
    <row r="102" spans="1:20" ht="12" customHeight="1" x14ac:dyDescent="0.3">
      <c r="A102" s="340" t="s">
        <v>289</v>
      </c>
      <c r="B102" s="341">
        <v>2</v>
      </c>
      <c r="C102" s="309">
        <v>46142</v>
      </c>
      <c r="D102" s="310" t="s">
        <v>296</v>
      </c>
      <c r="E102" s="342">
        <v>8.7200000000000006</v>
      </c>
      <c r="F102" s="342"/>
      <c r="G102" s="344">
        <f t="shared" si="3"/>
        <v>2987.7399999999857</v>
      </c>
      <c r="H102" s="345"/>
      <c r="I102" s="346"/>
      <c r="J102" s="347"/>
      <c r="K102" s="312"/>
      <c r="L102" s="347"/>
      <c r="M102" s="312"/>
      <c r="N102" s="347"/>
      <c r="O102" s="312"/>
      <c r="P102" s="347"/>
      <c r="Q102" s="312"/>
      <c r="R102" s="347"/>
      <c r="S102" s="312"/>
      <c r="T102" s="347"/>
    </row>
    <row r="103" spans="1:20" ht="12" customHeight="1" x14ac:dyDescent="0.3">
      <c r="A103" s="340" t="s">
        <v>289</v>
      </c>
      <c r="B103" s="341">
        <v>2</v>
      </c>
      <c r="C103" s="309">
        <v>46142</v>
      </c>
      <c r="D103" s="310" t="s">
        <v>297</v>
      </c>
      <c r="E103" s="342">
        <v>100</v>
      </c>
      <c r="F103" s="342"/>
      <c r="G103" s="344">
        <f t="shared" si="3"/>
        <v>2996.4599999999855</v>
      </c>
      <c r="H103" s="345" t="s">
        <v>298</v>
      </c>
      <c r="I103" s="346"/>
      <c r="J103" s="347"/>
      <c r="K103" s="312"/>
      <c r="L103" s="347"/>
      <c r="M103" s="312"/>
      <c r="N103" s="347"/>
      <c r="O103" s="312"/>
      <c r="P103" s="347"/>
      <c r="Q103" s="312"/>
      <c r="R103" s="347"/>
      <c r="S103" s="312"/>
      <c r="T103" s="347"/>
    </row>
    <row r="104" spans="1:20" ht="12" customHeight="1" x14ac:dyDescent="0.3">
      <c r="A104" s="340" t="s">
        <v>289</v>
      </c>
      <c r="B104" s="341">
        <v>5</v>
      </c>
      <c r="C104" s="309">
        <v>46142</v>
      </c>
      <c r="D104" s="310" t="s">
        <v>297</v>
      </c>
      <c r="E104" s="342">
        <v>100</v>
      </c>
      <c r="F104" s="342"/>
      <c r="G104" s="344">
        <f t="shared" si="3"/>
        <v>3096.4599999999855</v>
      </c>
      <c r="H104" s="345" t="s">
        <v>298</v>
      </c>
      <c r="I104" s="346"/>
      <c r="J104" s="347"/>
      <c r="K104" s="312"/>
      <c r="L104" s="347"/>
      <c r="M104" s="312"/>
      <c r="N104" s="347"/>
      <c r="O104" s="312"/>
      <c r="P104" s="347"/>
      <c r="Q104" s="312"/>
      <c r="R104" s="347"/>
      <c r="S104" s="312"/>
      <c r="T104" s="347"/>
    </row>
    <row r="105" spans="1:20" ht="12" customHeight="1" x14ac:dyDescent="0.3">
      <c r="A105" s="340" t="s">
        <v>289</v>
      </c>
      <c r="B105" s="341">
        <v>6</v>
      </c>
      <c r="C105" s="309">
        <v>46142</v>
      </c>
      <c r="D105" s="310" t="s">
        <v>297</v>
      </c>
      <c r="E105" s="342">
        <v>100</v>
      </c>
      <c r="F105" s="342"/>
      <c r="G105" s="344">
        <f t="shared" si="3"/>
        <v>3196.4599999999855</v>
      </c>
      <c r="H105" s="345" t="s">
        <v>298</v>
      </c>
      <c r="I105" s="346"/>
      <c r="J105" s="347"/>
      <c r="K105" s="312"/>
      <c r="L105" s="347"/>
      <c r="M105" s="312"/>
      <c r="N105" s="347"/>
      <c r="O105" s="312"/>
      <c r="P105" s="347"/>
      <c r="Q105" s="312"/>
      <c r="R105" s="347"/>
      <c r="S105" s="312"/>
      <c r="T105" s="347"/>
    </row>
    <row r="106" spans="1:20" ht="12" customHeight="1" x14ac:dyDescent="0.3">
      <c r="A106" s="340" t="s">
        <v>289</v>
      </c>
      <c r="B106" s="341">
        <v>8</v>
      </c>
      <c r="C106" s="309">
        <v>46142</v>
      </c>
      <c r="D106" s="310" t="s">
        <v>297</v>
      </c>
      <c r="E106" s="342">
        <v>100</v>
      </c>
      <c r="F106" s="342"/>
      <c r="G106" s="344">
        <f t="shared" si="3"/>
        <v>3296.4599999999855</v>
      </c>
      <c r="H106" s="345" t="s">
        <v>298</v>
      </c>
      <c r="I106" s="346"/>
      <c r="J106" s="347"/>
      <c r="K106" s="312"/>
      <c r="L106" s="347"/>
      <c r="M106" s="312"/>
      <c r="N106" s="347"/>
      <c r="O106" s="312"/>
      <c r="P106" s="347"/>
      <c r="Q106" s="312"/>
      <c r="R106" s="347"/>
      <c r="S106" s="312"/>
      <c r="T106" s="347"/>
    </row>
    <row r="107" spans="1:20" ht="12" customHeight="1" x14ac:dyDescent="0.3">
      <c r="A107" s="340" t="s">
        <v>291</v>
      </c>
      <c r="B107" s="341">
        <v>41</v>
      </c>
      <c r="C107" s="309">
        <v>46142</v>
      </c>
      <c r="D107" s="310" t="s">
        <v>299</v>
      </c>
      <c r="E107" s="342"/>
      <c r="F107" s="342">
        <v>250</v>
      </c>
      <c r="G107" s="344">
        <f t="shared" si="3"/>
        <v>3396.4599999999855</v>
      </c>
      <c r="H107" s="345"/>
      <c r="I107" s="346"/>
      <c r="J107" s="347"/>
      <c r="K107" s="312"/>
      <c r="L107" s="347"/>
      <c r="M107" s="312"/>
      <c r="N107" s="347"/>
      <c r="O107" s="312"/>
      <c r="P107" s="347"/>
      <c r="Q107" s="312"/>
      <c r="R107" s="347"/>
      <c r="S107" s="312"/>
      <c r="T107" s="347"/>
    </row>
    <row r="108" spans="1:20" ht="12" customHeight="1" x14ac:dyDescent="0.3">
      <c r="A108" s="340" t="s">
        <v>289</v>
      </c>
      <c r="B108" s="341">
        <v>6</v>
      </c>
      <c r="C108" s="309">
        <v>46142</v>
      </c>
      <c r="D108" s="310" t="s">
        <v>300</v>
      </c>
      <c r="E108" s="342">
        <v>42.44</v>
      </c>
      <c r="F108" s="342"/>
      <c r="G108" s="344">
        <f t="shared" si="3"/>
        <v>3146.4599999999855</v>
      </c>
      <c r="H108" s="345"/>
      <c r="I108" s="346"/>
      <c r="J108" s="347"/>
      <c r="K108" s="312"/>
      <c r="L108" s="347"/>
      <c r="M108" s="312"/>
      <c r="N108" s="347"/>
      <c r="O108" s="312"/>
      <c r="P108" s="347"/>
      <c r="Q108" s="312"/>
      <c r="R108" s="347"/>
      <c r="S108" s="312"/>
      <c r="T108" s="347"/>
    </row>
    <row r="109" spans="1:20" ht="12" customHeight="1" x14ac:dyDescent="0.3">
      <c r="A109" s="340" t="s">
        <v>289</v>
      </c>
      <c r="B109" s="341">
        <v>6</v>
      </c>
      <c r="C109" s="309">
        <v>46142</v>
      </c>
      <c r="D109" s="310" t="s">
        <v>300</v>
      </c>
      <c r="E109" s="342">
        <v>24.05</v>
      </c>
      <c r="F109" s="342"/>
      <c r="G109" s="344">
        <f t="shared" si="3"/>
        <v>3188.8999999999855</v>
      </c>
      <c r="H109" s="345"/>
      <c r="I109" s="346"/>
      <c r="J109" s="347"/>
      <c r="K109" s="312"/>
      <c r="L109" s="347"/>
      <c r="M109" s="312"/>
      <c r="N109" s="347"/>
      <c r="O109" s="312"/>
      <c r="P109" s="347"/>
      <c r="Q109" s="312"/>
      <c r="R109" s="347"/>
      <c r="S109" s="312"/>
      <c r="T109" s="347"/>
    </row>
    <row r="110" spans="1:20" ht="12" customHeight="1" x14ac:dyDescent="0.3">
      <c r="A110" s="340" t="s">
        <v>289</v>
      </c>
      <c r="B110" s="341">
        <v>2</v>
      </c>
      <c r="C110" s="309">
        <v>46141</v>
      </c>
      <c r="D110" s="310" t="s">
        <v>301</v>
      </c>
      <c r="E110" s="342">
        <v>31.8</v>
      </c>
      <c r="F110" s="342"/>
      <c r="G110" s="344">
        <f t="shared" si="3"/>
        <v>3212.9499999999857</v>
      </c>
      <c r="H110" s="345"/>
      <c r="I110" s="346"/>
      <c r="J110" s="347"/>
      <c r="K110" s="312"/>
      <c r="L110" s="347"/>
      <c r="M110" s="312"/>
      <c r="N110" s="347"/>
      <c r="O110" s="312"/>
      <c r="P110" s="347"/>
      <c r="Q110" s="312"/>
      <c r="R110" s="347"/>
      <c r="S110" s="312"/>
      <c r="T110" s="347"/>
    </row>
    <row r="111" spans="1:20" ht="12" customHeight="1" x14ac:dyDescent="0.3">
      <c r="A111" s="340" t="s">
        <v>289</v>
      </c>
      <c r="B111" s="341">
        <v>6</v>
      </c>
      <c r="C111" s="309">
        <v>46141</v>
      </c>
      <c r="D111" s="310" t="s">
        <v>302</v>
      </c>
      <c r="E111" s="342">
        <v>100</v>
      </c>
      <c r="F111" s="342"/>
      <c r="G111" s="344">
        <f t="shared" si="3"/>
        <v>3244.7499999999859</v>
      </c>
      <c r="H111" s="345"/>
      <c r="I111" s="346"/>
      <c r="J111" s="347"/>
      <c r="K111" s="312"/>
      <c r="L111" s="347"/>
      <c r="M111" s="312"/>
      <c r="N111" s="347"/>
      <c r="O111" s="312"/>
      <c r="P111" s="347"/>
      <c r="Q111" s="312"/>
      <c r="R111" s="347"/>
      <c r="S111" s="312"/>
      <c r="T111" s="347"/>
    </row>
    <row r="112" spans="1:20" ht="12" customHeight="1" x14ac:dyDescent="0.3">
      <c r="A112" s="340" t="s">
        <v>289</v>
      </c>
      <c r="B112" s="341">
        <v>6</v>
      </c>
      <c r="C112" s="309">
        <v>46141</v>
      </c>
      <c r="D112" s="310" t="s">
        <v>303</v>
      </c>
      <c r="E112" s="342">
        <v>75</v>
      </c>
      <c r="F112" s="342"/>
      <c r="G112" s="344">
        <f t="shared" si="3"/>
        <v>3344.7499999999859</v>
      </c>
      <c r="H112" s="345"/>
      <c r="I112" s="346"/>
      <c r="J112" s="347"/>
      <c r="K112" s="312"/>
      <c r="L112" s="347"/>
      <c r="M112" s="312"/>
      <c r="N112" s="347"/>
      <c r="O112" s="312"/>
      <c r="P112" s="347"/>
      <c r="Q112" s="312"/>
      <c r="R112" s="347"/>
      <c r="S112" s="312"/>
      <c r="T112" s="347"/>
    </row>
    <row r="113" spans="1:20" ht="12" customHeight="1" x14ac:dyDescent="0.3">
      <c r="A113" s="340" t="s">
        <v>289</v>
      </c>
      <c r="B113" s="341">
        <v>1</v>
      </c>
      <c r="C113" s="309">
        <v>46141</v>
      </c>
      <c r="D113" s="310" t="s">
        <v>304</v>
      </c>
      <c r="E113" s="342">
        <v>52.5</v>
      </c>
      <c r="F113" s="342"/>
      <c r="G113" s="344">
        <f t="shared" si="3"/>
        <v>3419.7499999999859</v>
      </c>
      <c r="H113" s="345"/>
      <c r="I113" s="346"/>
      <c r="J113" s="347"/>
      <c r="K113" s="312"/>
      <c r="L113" s="347"/>
      <c r="M113" s="312"/>
      <c r="N113" s="347"/>
      <c r="O113" s="312"/>
      <c r="P113" s="347"/>
      <c r="Q113" s="312"/>
      <c r="R113" s="347"/>
      <c r="S113" s="312"/>
      <c r="T113" s="347"/>
    </row>
    <row r="114" spans="1:20" ht="12" customHeight="1" x14ac:dyDescent="0.3">
      <c r="A114" s="340" t="s">
        <v>289</v>
      </c>
      <c r="B114" s="341">
        <v>6</v>
      </c>
      <c r="C114" s="309">
        <v>46141</v>
      </c>
      <c r="D114" s="310" t="s">
        <v>305</v>
      </c>
      <c r="E114" s="342">
        <v>-256</v>
      </c>
      <c r="F114" s="342"/>
      <c r="G114" s="344">
        <f t="shared" si="3"/>
        <v>3472.2499999999859</v>
      </c>
      <c r="H114" s="345"/>
      <c r="I114" s="346"/>
      <c r="J114" s="347"/>
      <c r="K114" s="312"/>
      <c r="L114" s="347"/>
      <c r="M114" s="312"/>
      <c r="N114" s="347"/>
      <c r="O114" s="312"/>
      <c r="P114" s="347"/>
      <c r="Q114" s="312"/>
      <c r="R114" s="347"/>
      <c r="S114" s="312"/>
      <c r="T114" s="347"/>
    </row>
    <row r="115" spans="1:20" ht="12" customHeight="1" x14ac:dyDescent="0.3">
      <c r="A115" s="340" t="s">
        <v>289</v>
      </c>
      <c r="B115" s="341">
        <v>6</v>
      </c>
      <c r="C115" s="309">
        <v>46140</v>
      </c>
      <c r="D115" s="310" t="s">
        <v>306</v>
      </c>
      <c r="E115" s="342">
        <v>20.38</v>
      </c>
      <c r="F115" s="342"/>
      <c r="G115" s="344">
        <f t="shared" si="3"/>
        <v>3216.2499999999859</v>
      </c>
      <c r="H115" s="345"/>
      <c r="I115" s="346"/>
      <c r="J115" s="347"/>
      <c r="K115" s="312"/>
      <c r="L115" s="347"/>
      <c r="M115" s="312"/>
      <c r="N115" s="347"/>
      <c r="O115" s="312"/>
      <c r="P115" s="347"/>
      <c r="Q115" s="312"/>
      <c r="R115" s="347"/>
      <c r="S115" s="312"/>
      <c r="T115" s="347"/>
    </row>
    <row r="116" spans="1:20" ht="12" customHeight="1" x14ac:dyDescent="0.3">
      <c r="A116" s="340" t="s">
        <v>289</v>
      </c>
      <c r="B116" s="341">
        <v>2</v>
      </c>
      <c r="C116" s="309">
        <v>46140</v>
      </c>
      <c r="D116" s="310" t="s">
        <v>296</v>
      </c>
      <c r="E116" s="342">
        <v>15.41</v>
      </c>
      <c r="F116" s="342"/>
      <c r="G116" s="344">
        <f t="shared" si="3"/>
        <v>3236.629999999986</v>
      </c>
      <c r="H116" s="345"/>
      <c r="I116" s="346"/>
      <c r="J116" s="347"/>
      <c r="K116" s="312"/>
      <c r="L116" s="347"/>
      <c r="M116" s="312"/>
      <c r="N116" s="347"/>
      <c r="O116" s="312"/>
      <c r="P116" s="347"/>
      <c r="Q116" s="312"/>
      <c r="R116" s="347"/>
      <c r="S116" s="312"/>
      <c r="T116" s="347"/>
    </row>
    <row r="117" spans="1:20" ht="12" customHeight="1" x14ac:dyDescent="0.3">
      <c r="A117" s="340" t="s">
        <v>289</v>
      </c>
      <c r="B117" s="341">
        <v>4</v>
      </c>
      <c r="C117" s="309">
        <v>46140</v>
      </c>
      <c r="D117" s="310" t="s">
        <v>296</v>
      </c>
      <c r="E117" s="342">
        <v>33.840000000000003</v>
      </c>
      <c r="F117" s="342"/>
      <c r="G117" s="344">
        <f t="shared" si="3"/>
        <v>3252.0399999999859</v>
      </c>
      <c r="H117" s="345"/>
      <c r="I117" s="346"/>
      <c r="J117" s="347"/>
      <c r="K117" s="312"/>
      <c r="L117" s="347"/>
      <c r="M117" s="312"/>
      <c r="N117" s="347"/>
      <c r="O117" s="312"/>
      <c r="P117" s="347"/>
      <c r="Q117" s="312"/>
      <c r="R117" s="347"/>
      <c r="S117" s="312"/>
      <c r="T117" s="347"/>
    </row>
    <row r="118" spans="1:20" ht="12" customHeight="1" x14ac:dyDescent="0.3">
      <c r="A118" s="340" t="s">
        <v>289</v>
      </c>
      <c r="B118" s="341">
        <v>1</v>
      </c>
      <c r="C118" s="309">
        <v>46140</v>
      </c>
      <c r="D118" s="310" t="s">
        <v>307</v>
      </c>
      <c r="E118" s="342">
        <v>5.3</v>
      </c>
      <c r="F118" s="342"/>
      <c r="G118" s="344">
        <f t="shared" si="3"/>
        <v>3285.879999999986</v>
      </c>
      <c r="H118" s="345"/>
      <c r="I118" s="346"/>
      <c r="J118" s="347"/>
      <c r="K118" s="312"/>
      <c r="L118" s="347"/>
      <c r="M118" s="312"/>
      <c r="N118" s="347"/>
      <c r="O118" s="312"/>
      <c r="P118" s="347"/>
      <c r="Q118" s="312"/>
      <c r="R118" s="347"/>
      <c r="S118" s="312"/>
      <c r="T118" s="347"/>
    </row>
    <row r="119" spans="1:20" ht="12" customHeight="1" x14ac:dyDescent="0.3">
      <c r="A119" s="340" t="s">
        <v>289</v>
      </c>
      <c r="B119" s="341">
        <v>5</v>
      </c>
      <c r="C119" s="309">
        <v>46140</v>
      </c>
      <c r="D119" s="310" t="s">
        <v>308</v>
      </c>
      <c r="E119" s="342">
        <v>500</v>
      </c>
      <c r="F119" s="342"/>
      <c r="G119" s="344">
        <f t="shared" si="3"/>
        <v>3291.1799999999862</v>
      </c>
      <c r="H119" s="345"/>
      <c r="I119" s="346"/>
      <c r="J119" s="347"/>
      <c r="K119" s="312"/>
      <c r="L119" s="347"/>
      <c r="M119" s="312"/>
      <c r="N119" s="347"/>
      <c r="O119" s="312"/>
      <c r="P119" s="347"/>
      <c r="Q119" s="312"/>
      <c r="R119" s="347"/>
      <c r="S119" s="312"/>
      <c r="T119" s="347"/>
    </row>
    <row r="120" spans="1:20" ht="12" customHeight="1" x14ac:dyDescent="0.3">
      <c r="A120" s="340" t="s">
        <v>289</v>
      </c>
      <c r="B120" s="341">
        <v>8</v>
      </c>
      <c r="C120" s="309">
        <v>46140</v>
      </c>
      <c r="D120" s="310" t="s">
        <v>309</v>
      </c>
      <c r="E120" s="342">
        <v>47.99</v>
      </c>
      <c r="F120" s="342"/>
      <c r="G120" s="344">
        <f t="shared" si="3"/>
        <v>3791.1799999999862</v>
      </c>
      <c r="H120" s="345"/>
      <c r="I120" s="346"/>
      <c r="J120" s="347"/>
      <c r="K120" s="312"/>
      <c r="L120" s="347"/>
      <c r="M120" s="312"/>
      <c r="N120" s="347"/>
      <c r="O120" s="312"/>
      <c r="P120" s="347"/>
      <c r="Q120" s="312"/>
      <c r="R120" s="347"/>
      <c r="S120" s="312"/>
      <c r="T120" s="347"/>
    </row>
    <row r="121" spans="1:20" ht="12" customHeight="1" x14ac:dyDescent="0.3">
      <c r="A121" s="340" t="s">
        <v>289</v>
      </c>
      <c r="B121" s="341">
        <v>3</v>
      </c>
      <c r="C121" s="309">
        <v>46139</v>
      </c>
      <c r="D121" s="310" t="s">
        <v>310</v>
      </c>
      <c r="E121" s="342">
        <v>13.11</v>
      </c>
      <c r="F121" s="342"/>
      <c r="G121" s="344">
        <f t="shared" si="3"/>
        <v>3839.169999999986</v>
      </c>
      <c r="H121" s="345"/>
      <c r="I121" s="346"/>
      <c r="J121" s="347"/>
      <c r="K121" s="312"/>
      <c r="L121" s="347"/>
      <c r="M121" s="312"/>
      <c r="N121" s="347"/>
      <c r="O121" s="312"/>
      <c r="P121" s="347"/>
      <c r="Q121" s="312"/>
      <c r="R121" s="347"/>
      <c r="S121" s="312"/>
      <c r="T121" s="347"/>
    </row>
    <row r="122" spans="1:20" ht="12" customHeight="1" x14ac:dyDescent="0.3">
      <c r="A122" s="340" t="s">
        <v>289</v>
      </c>
      <c r="B122" s="341">
        <v>4</v>
      </c>
      <c r="C122" s="309">
        <v>46139</v>
      </c>
      <c r="D122" s="310" t="s">
        <v>311</v>
      </c>
      <c r="E122" s="342">
        <v>30.54</v>
      </c>
      <c r="F122" s="342"/>
      <c r="G122" s="344">
        <f t="shared" si="3"/>
        <v>3852.2799999999861</v>
      </c>
      <c r="H122" s="345"/>
      <c r="I122" s="346"/>
      <c r="J122" s="347"/>
      <c r="K122" s="312"/>
      <c r="L122" s="347"/>
      <c r="M122" s="312"/>
      <c r="N122" s="347"/>
      <c r="O122" s="312"/>
      <c r="P122" s="347"/>
      <c r="Q122" s="312"/>
      <c r="R122" s="347"/>
      <c r="S122" s="312"/>
      <c r="T122" s="347"/>
    </row>
    <row r="123" spans="1:20" ht="12" customHeight="1" x14ac:dyDescent="0.3">
      <c r="A123" s="340" t="s">
        <v>289</v>
      </c>
      <c r="B123" s="341">
        <v>1</v>
      </c>
      <c r="C123" s="309">
        <v>46139</v>
      </c>
      <c r="D123" s="310" t="s">
        <v>312</v>
      </c>
      <c r="E123" s="342">
        <v>163.01</v>
      </c>
      <c r="F123" s="342"/>
      <c r="G123" s="344">
        <f t="shared" si="3"/>
        <v>3882.8199999999861</v>
      </c>
      <c r="H123" s="345"/>
      <c r="I123" s="346"/>
      <c r="J123" s="347"/>
      <c r="K123" s="312"/>
      <c r="L123" s="347"/>
      <c r="M123" s="312"/>
      <c r="N123" s="347"/>
      <c r="O123" s="312"/>
      <c r="P123" s="347"/>
      <c r="Q123" s="312"/>
      <c r="R123" s="347"/>
      <c r="S123" s="312"/>
      <c r="T123" s="347"/>
    </row>
    <row r="124" spans="1:20" ht="12" customHeight="1" x14ac:dyDescent="0.3">
      <c r="A124" s="340" t="s">
        <v>289</v>
      </c>
      <c r="B124" s="341">
        <v>6</v>
      </c>
      <c r="C124" s="309">
        <v>46139</v>
      </c>
      <c r="D124" s="310" t="s">
        <v>313</v>
      </c>
      <c r="E124" s="342">
        <v>54.97</v>
      </c>
      <c r="F124" s="342"/>
      <c r="G124" s="344">
        <f t="shared" si="3"/>
        <v>4045.8299999999858</v>
      </c>
      <c r="H124" s="345"/>
      <c r="I124" s="346"/>
      <c r="J124" s="347"/>
      <c r="K124" s="312"/>
      <c r="L124" s="347"/>
      <c r="M124" s="312"/>
      <c r="N124" s="347"/>
      <c r="O124" s="312"/>
      <c r="P124" s="347"/>
      <c r="Q124" s="312"/>
      <c r="R124" s="347"/>
      <c r="S124" s="312"/>
      <c r="T124" s="347"/>
    </row>
    <row r="125" spans="1:20" ht="12" customHeight="1" x14ac:dyDescent="0.3">
      <c r="A125" s="340" t="s">
        <v>289</v>
      </c>
      <c r="B125" s="341">
        <v>1</v>
      </c>
      <c r="C125" s="309">
        <v>46139</v>
      </c>
      <c r="D125" s="310" t="s">
        <v>307</v>
      </c>
      <c r="E125" s="342">
        <v>51.28</v>
      </c>
      <c r="F125" s="342"/>
      <c r="G125" s="344">
        <f t="shared" si="3"/>
        <v>4100.7999999999856</v>
      </c>
      <c r="H125" s="345"/>
      <c r="I125" s="346"/>
      <c r="J125" s="347"/>
      <c r="K125" s="312"/>
      <c r="L125" s="347"/>
      <c r="M125" s="312"/>
      <c r="N125" s="347"/>
      <c r="O125" s="312"/>
      <c r="P125" s="347"/>
      <c r="Q125" s="312"/>
      <c r="R125" s="347"/>
      <c r="S125" s="312"/>
      <c r="T125" s="347"/>
    </row>
    <row r="126" spans="1:20" ht="12" customHeight="1" x14ac:dyDescent="0.3">
      <c r="A126" s="340" t="s">
        <v>289</v>
      </c>
      <c r="B126" s="341">
        <v>6</v>
      </c>
      <c r="C126" s="309">
        <v>46138</v>
      </c>
      <c r="D126" s="310" t="s">
        <v>313</v>
      </c>
      <c r="E126" s="342">
        <v>38.979999999999997</v>
      </c>
      <c r="F126" s="342"/>
      <c r="G126" s="344">
        <f t="shared" si="3"/>
        <v>4152.0799999999854</v>
      </c>
      <c r="H126" s="345"/>
      <c r="I126" s="346"/>
      <c r="J126" s="347"/>
      <c r="K126" s="312"/>
      <c r="L126" s="347"/>
      <c r="M126" s="312"/>
      <c r="N126" s="347"/>
      <c r="O126" s="312"/>
      <c r="P126" s="347"/>
      <c r="Q126" s="312"/>
      <c r="R126" s="347"/>
      <c r="S126" s="312"/>
      <c r="T126" s="347"/>
    </row>
    <row r="127" spans="1:20" ht="12" customHeight="1" x14ac:dyDescent="0.3">
      <c r="A127" s="340" t="s">
        <v>289</v>
      </c>
      <c r="B127" s="341">
        <v>2</v>
      </c>
      <c r="C127" s="309">
        <v>46138</v>
      </c>
      <c r="D127" s="310" t="s">
        <v>314</v>
      </c>
      <c r="E127" s="342">
        <v>39.83</v>
      </c>
      <c r="F127" s="342"/>
      <c r="G127" s="344">
        <f t="shared" si="3"/>
        <v>4191.0599999999849</v>
      </c>
      <c r="H127" s="345"/>
      <c r="I127" s="346"/>
      <c r="J127" s="347"/>
      <c r="K127" s="312"/>
      <c r="L127" s="347"/>
      <c r="M127" s="312"/>
      <c r="N127" s="347"/>
      <c r="O127" s="312"/>
      <c r="P127" s="347"/>
      <c r="Q127" s="312"/>
      <c r="R127" s="347"/>
      <c r="S127" s="312"/>
      <c r="T127" s="347"/>
    </row>
    <row r="128" spans="1:20" ht="12" customHeight="1" x14ac:dyDescent="0.3">
      <c r="A128" s="340" t="s">
        <v>289</v>
      </c>
      <c r="B128" s="341">
        <v>8</v>
      </c>
      <c r="C128" s="309">
        <v>46138</v>
      </c>
      <c r="D128" s="310" t="s">
        <v>314</v>
      </c>
      <c r="E128" s="342">
        <v>51.24</v>
      </c>
      <c r="F128" s="342"/>
      <c r="G128" s="344">
        <f t="shared" si="3"/>
        <v>4230.8899999999849</v>
      </c>
      <c r="H128" s="345"/>
      <c r="I128" s="346"/>
      <c r="J128" s="347"/>
      <c r="K128" s="312"/>
      <c r="L128" s="347"/>
      <c r="M128" s="312"/>
      <c r="N128" s="347"/>
      <c r="O128" s="312"/>
      <c r="P128" s="347"/>
      <c r="Q128" s="312"/>
      <c r="R128" s="347"/>
      <c r="S128" s="312"/>
      <c r="T128" s="347"/>
    </row>
    <row r="129" spans="1:20" ht="12" customHeight="1" x14ac:dyDescent="0.3">
      <c r="A129" s="340" t="s">
        <v>294</v>
      </c>
      <c r="B129" s="341">
        <v>12</v>
      </c>
      <c r="C129" s="309">
        <v>46137</v>
      </c>
      <c r="D129" s="310" t="s">
        <v>315</v>
      </c>
      <c r="E129" s="342">
        <v>214.74</v>
      </c>
      <c r="F129" s="342"/>
      <c r="G129" s="344">
        <f t="shared" si="3"/>
        <v>4282.1299999999846</v>
      </c>
      <c r="H129" s="345"/>
      <c r="I129" s="346"/>
      <c r="J129" s="347"/>
      <c r="K129" s="312"/>
      <c r="L129" s="347"/>
      <c r="M129" s="312"/>
      <c r="N129" s="347"/>
      <c r="O129" s="312"/>
      <c r="P129" s="347"/>
      <c r="Q129" s="312"/>
      <c r="R129" s="347"/>
      <c r="S129" s="312"/>
      <c r="T129" s="347"/>
    </row>
    <row r="130" spans="1:20" ht="12" customHeight="1" x14ac:dyDescent="0.3">
      <c r="A130" s="340" t="s">
        <v>287</v>
      </c>
      <c r="B130" s="341" t="s">
        <v>287</v>
      </c>
      <c r="C130" s="309">
        <v>46136</v>
      </c>
      <c r="D130" s="310" t="s">
        <v>316</v>
      </c>
      <c r="E130" s="342">
        <v>127.68</v>
      </c>
      <c r="F130" s="342">
        <v>127.68</v>
      </c>
      <c r="G130" s="344">
        <f t="shared" si="3"/>
        <v>4496.8699999999844</v>
      </c>
      <c r="H130" s="345"/>
      <c r="I130" s="346"/>
      <c r="J130" s="347"/>
      <c r="K130" s="312"/>
      <c r="L130" s="347"/>
      <c r="M130" s="312"/>
      <c r="N130" s="347"/>
      <c r="O130" s="312"/>
      <c r="P130" s="347"/>
      <c r="Q130" s="312"/>
      <c r="R130" s="347"/>
      <c r="S130" s="312"/>
      <c r="T130" s="347"/>
    </row>
    <row r="131" spans="1:20" ht="12" customHeight="1" x14ac:dyDescent="0.3">
      <c r="A131" s="340" t="s">
        <v>289</v>
      </c>
      <c r="B131" s="341">
        <v>8</v>
      </c>
      <c r="C131" s="309">
        <v>46135</v>
      </c>
      <c r="D131" s="310" t="s">
        <v>317</v>
      </c>
      <c r="E131" s="342">
        <v>65</v>
      </c>
      <c r="F131" s="342"/>
      <c r="G131" s="344">
        <f t="shared" si="3"/>
        <v>4496.8699999999844</v>
      </c>
      <c r="H131" s="345"/>
      <c r="I131" s="346"/>
      <c r="J131" s="347"/>
      <c r="K131" s="312"/>
      <c r="L131" s="347"/>
      <c r="M131" s="312"/>
      <c r="N131" s="347"/>
      <c r="O131" s="312"/>
      <c r="P131" s="347"/>
      <c r="Q131" s="312"/>
      <c r="R131" s="347"/>
      <c r="S131" s="312"/>
      <c r="T131" s="347"/>
    </row>
    <row r="132" spans="1:20" ht="12" customHeight="1" x14ac:dyDescent="0.3">
      <c r="A132" s="340" t="s">
        <v>291</v>
      </c>
      <c r="B132" s="341">
        <v>40</v>
      </c>
      <c r="C132" s="309">
        <v>46134</v>
      </c>
      <c r="D132" s="310" t="s">
        <v>318</v>
      </c>
      <c r="E132" s="342"/>
      <c r="F132" s="342">
        <v>838.69</v>
      </c>
      <c r="G132" s="344">
        <f t="shared" si="3"/>
        <v>4561.8699999999844</v>
      </c>
      <c r="H132" s="345"/>
      <c r="I132" s="346"/>
      <c r="J132" s="347"/>
      <c r="K132" s="312"/>
      <c r="L132" s="347"/>
      <c r="M132" s="312"/>
      <c r="N132" s="347"/>
      <c r="O132" s="312"/>
      <c r="P132" s="347"/>
      <c r="Q132" s="312"/>
      <c r="R132" s="347"/>
      <c r="S132" s="312"/>
      <c r="T132" s="347"/>
    </row>
    <row r="133" spans="1:20" ht="12" customHeight="1" x14ac:dyDescent="0.3">
      <c r="A133" s="340" t="s">
        <v>289</v>
      </c>
      <c r="B133" s="341">
        <v>2</v>
      </c>
      <c r="C133" s="309">
        <v>46134</v>
      </c>
      <c r="D133" s="310" t="s">
        <v>319</v>
      </c>
      <c r="E133" s="342">
        <v>17.03</v>
      </c>
      <c r="F133" s="342"/>
      <c r="G133" s="344">
        <f t="shared" si="3"/>
        <v>3723.1799999999848</v>
      </c>
      <c r="H133" s="345"/>
      <c r="I133" s="346"/>
      <c r="J133" s="347"/>
      <c r="K133" s="312"/>
      <c r="L133" s="347"/>
      <c r="M133" s="312"/>
      <c r="N133" s="347"/>
      <c r="O133" s="312"/>
      <c r="P133" s="347"/>
      <c r="Q133" s="312"/>
      <c r="R133" s="347"/>
      <c r="S133" s="312"/>
      <c r="T133" s="347"/>
    </row>
    <row r="134" spans="1:20" ht="12" customHeight="1" x14ac:dyDescent="0.3">
      <c r="A134" s="340" t="s">
        <v>289</v>
      </c>
      <c r="B134" s="341">
        <v>6</v>
      </c>
      <c r="C134" s="309">
        <v>46134</v>
      </c>
      <c r="D134" s="310" t="s">
        <v>313</v>
      </c>
      <c r="E134" s="342">
        <v>51.94</v>
      </c>
      <c r="F134" s="342"/>
      <c r="G134" s="344">
        <f t="shared" si="3"/>
        <v>3740.209999999985</v>
      </c>
      <c r="H134" s="345"/>
      <c r="I134" s="346"/>
      <c r="J134" s="347"/>
      <c r="K134" s="312"/>
      <c r="L134" s="347"/>
      <c r="M134" s="312"/>
      <c r="N134" s="347"/>
      <c r="O134" s="312"/>
      <c r="P134" s="347"/>
      <c r="Q134" s="312"/>
      <c r="R134" s="347"/>
      <c r="S134" s="312"/>
      <c r="T134" s="347"/>
    </row>
    <row r="135" spans="1:20" ht="12" customHeight="1" x14ac:dyDescent="0.3">
      <c r="A135" s="340" t="s">
        <v>289</v>
      </c>
      <c r="B135" s="341">
        <v>1</v>
      </c>
      <c r="C135" s="309">
        <v>46134</v>
      </c>
      <c r="D135" s="310" t="s">
        <v>307</v>
      </c>
      <c r="E135" s="342">
        <v>226.7</v>
      </c>
      <c r="F135" s="342"/>
      <c r="G135" s="344">
        <f t="shared" si="3"/>
        <v>3792.1499999999851</v>
      </c>
      <c r="H135" s="345"/>
      <c r="I135" s="346"/>
      <c r="J135" s="347"/>
      <c r="K135" s="312"/>
      <c r="L135" s="347"/>
      <c r="M135" s="312"/>
      <c r="N135" s="347"/>
      <c r="O135" s="312"/>
      <c r="P135" s="347"/>
      <c r="Q135" s="312"/>
      <c r="R135" s="347"/>
      <c r="S135" s="312"/>
      <c r="T135" s="347"/>
    </row>
    <row r="136" spans="1:20" ht="12" customHeight="1" x14ac:dyDescent="0.3">
      <c r="A136" s="340" t="s">
        <v>289</v>
      </c>
      <c r="B136" s="341">
        <v>2</v>
      </c>
      <c r="C136" s="309">
        <v>46133</v>
      </c>
      <c r="D136" s="310" t="s">
        <v>320</v>
      </c>
      <c r="E136" s="342">
        <v>70</v>
      </c>
      <c r="F136" s="342"/>
      <c r="G136" s="344">
        <f t="shared" si="3"/>
        <v>4018.8499999999849</v>
      </c>
      <c r="H136" s="345"/>
      <c r="I136" s="346"/>
      <c r="J136" s="347"/>
      <c r="K136" s="312"/>
      <c r="L136" s="347"/>
      <c r="M136" s="312"/>
      <c r="N136" s="347"/>
      <c r="O136" s="312"/>
      <c r="P136" s="347"/>
      <c r="Q136" s="312"/>
      <c r="R136" s="347"/>
      <c r="S136" s="312"/>
      <c r="T136" s="347"/>
    </row>
    <row r="137" spans="1:20" ht="12" customHeight="1" x14ac:dyDescent="0.3">
      <c r="A137" s="340" t="s">
        <v>289</v>
      </c>
      <c r="B137" s="341">
        <v>8</v>
      </c>
      <c r="C137" s="309">
        <v>46133</v>
      </c>
      <c r="D137" s="310" t="s">
        <v>321</v>
      </c>
      <c r="E137" s="342">
        <v>14.26</v>
      </c>
      <c r="F137" s="342"/>
      <c r="G137" s="344">
        <f t="shared" si="3"/>
        <v>4088.8499999999849</v>
      </c>
      <c r="H137" s="345"/>
      <c r="I137" s="346"/>
      <c r="J137" s="347"/>
      <c r="K137" s="312"/>
      <c r="L137" s="347"/>
      <c r="M137" s="312"/>
      <c r="N137" s="347"/>
      <c r="O137" s="312"/>
      <c r="P137" s="347"/>
      <c r="Q137" s="312"/>
      <c r="R137" s="347"/>
      <c r="S137" s="312"/>
      <c r="T137" s="347"/>
    </row>
    <row r="138" spans="1:20" ht="12" customHeight="1" x14ac:dyDescent="0.3">
      <c r="A138" s="340" t="s">
        <v>289</v>
      </c>
      <c r="B138" s="341">
        <v>1</v>
      </c>
      <c r="C138" s="309">
        <v>46133</v>
      </c>
      <c r="D138" s="310" t="s">
        <v>322</v>
      </c>
      <c r="E138" s="342">
        <v>8.51</v>
      </c>
      <c r="F138" s="342"/>
      <c r="G138" s="344">
        <f t="shared" si="3"/>
        <v>4103.1099999999851</v>
      </c>
      <c r="H138" s="345"/>
      <c r="I138" s="346"/>
      <c r="J138" s="347"/>
      <c r="K138" s="312"/>
      <c r="L138" s="347"/>
      <c r="M138" s="312"/>
      <c r="N138" s="347"/>
      <c r="O138" s="312"/>
      <c r="P138" s="347"/>
      <c r="Q138" s="312"/>
      <c r="R138" s="347"/>
      <c r="S138" s="312"/>
      <c r="T138" s="347"/>
    </row>
    <row r="139" spans="1:20" ht="12" customHeight="1" x14ac:dyDescent="0.3">
      <c r="A139" s="340" t="s">
        <v>289</v>
      </c>
      <c r="B139" s="341">
        <v>5</v>
      </c>
      <c r="C139" s="309">
        <v>46133</v>
      </c>
      <c r="D139" s="310" t="s">
        <v>323</v>
      </c>
      <c r="E139" s="342">
        <v>20</v>
      </c>
      <c r="F139" s="342"/>
      <c r="G139" s="344">
        <f t="shared" si="3"/>
        <v>4111.6199999999853</v>
      </c>
      <c r="H139" s="345"/>
      <c r="I139" s="346"/>
      <c r="J139" s="347"/>
      <c r="K139" s="312"/>
      <c r="L139" s="347"/>
      <c r="M139" s="312"/>
      <c r="N139" s="347"/>
      <c r="O139" s="312"/>
      <c r="P139" s="347"/>
      <c r="Q139" s="312"/>
      <c r="R139" s="347"/>
      <c r="S139" s="312"/>
      <c r="T139" s="347"/>
    </row>
    <row r="140" spans="1:20" ht="12" customHeight="1" x14ac:dyDescent="0.3">
      <c r="A140" s="340" t="s">
        <v>294</v>
      </c>
      <c r="B140" s="341">
        <v>23</v>
      </c>
      <c r="C140" s="309">
        <v>46133</v>
      </c>
      <c r="D140" s="310" t="s">
        <v>67</v>
      </c>
      <c r="E140" s="342">
        <v>650.88</v>
      </c>
      <c r="F140" s="342"/>
      <c r="G140" s="344">
        <f t="shared" si="3"/>
        <v>4131.6199999999853</v>
      </c>
      <c r="H140" s="345"/>
      <c r="I140" s="346"/>
      <c r="J140" s="347"/>
      <c r="K140" s="312"/>
      <c r="L140" s="347"/>
      <c r="M140" s="312"/>
      <c r="N140" s="347"/>
      <c r="O140" s="312"/>
      <c r="P140" s="347"/>
      <c r="Q140" s="312"/>
      <c r="R140" s="347"/>
      <c r="S140" s="312"/>
      <c r="T140" s="347"/>
    </row>
    <row r="141" spans="1:20" ht="12" customHeight="1" x14ac:dyDescent="0.3">
      <c r="A141" s="340" t="s">
        <v>289</v>
      </c>
      <c r="B141" s="341">
        <v>6</v>
      </c>
      <c r="C141" s="309">
        <v>46133</v>
      </c>
      <c r="D141" s="310" t="s">
        <v>324</v>
      </c>
      <c r="E141" s="342">
        <v>15</v>
      </c>
      <c r="F141" s="342"/>
      <c r="G141" s="344">
        <f t="shared" si="3"/>
        <v>4782.4999999999854</v>
      </c>
      <c r="H141" s="345"/>
      <c r="I141" s="346"/>
      <c r="J141" s="347"/>
      <c r="K141" s="312"/>
      <c r="L141" s="347"/>
      <c r="M141" s="312"/>
      <c r="N141" s="347"/>
      <c r="O141" s="312"/>
      <c r="P141" s="347"/>
      <c r="Q141" s="312"/>
      <c r="R141" s="347"/>
      <c r="S141" s="312"/>
      <c r="T141" s="347"/>
    </row>
    <row r="142" spans="1:20" ht="12" customHeight="1" x14ac:dyDescent="0.3">
      <c r="A142" s="340" t="s">
        <v>289</v>
      </c>
      <c r="B142" s="341">
        <v>5</v>
      </c>
      <c r="C142" s="309">
        <v>46133</v>
      </c>
      <c r="D142" s="310" t="s">
        <v>324</v>
      </c>
      <c r="E142" s="342">
        <v>250</v>
      </c>
      <c r="F142" s="342"/>
      <c r="G142" s="344">
        <f t="shared" si="3"/>
        <v>4797.4999999999854</v>
      </c>
      <c r="H142" s="345"/>
      <c r="I142" s="346"/>
      <c r="J142" s="347"/>
      <c r="K142" s="312"/>
      <c r="L142" s="347"/>
      <c r="M142" s="312"/>
      <c r="N142" s="347"/>
      <c r="O142" s="312"/>
      <c r="P142" s="347"/>
      <c r="Q142" s="312"/>
      <c r="R142" s="347"/>
      <c r="S142" s="312"/>
      <c r="T142" s="347"/>
    </row>
    <row r="143" spans="1:20" ht="12" customHeight="1" x14ac:dyDescent="0.3">
      <c r="A143" s="340" t="s">
        <v>294</v>
      </c>
      <c r="B143" s="341">
        <v>22</v>
      </c>
      <c r="C143" s="309">
        <v>46132</v>
      </c>
      <c r="D143" s="310" t="s">
        <v>325</v>
      </c>
      <c r="E143" s="342">
        <v>20.22</v>
      </c>
      <c r="F143" s="342"/>
      <c r="G143" s="344">
        <f t="shared" si="3"/>
        <v>5047.4999999999854</v>
      </c>
      <c r="H143" s="345"/>
      <c r="I143" s="346"/>
      <c r="J143" s="347"/>
      <c r="K143" s="312"/>
      <c r="L143" s="347"/>
      <c r="M143" s="312"/>
      <c r="N143" s="347"/>
      <c r="O143" s="312"/>
      <c r="P143" s="347"/>
      <c r="Q143" s="312"/>
      <c r="R143" s="347"/>
      <c r="S143" s="312"/>
      <c r="T143" s="347"/>
    </row>
    <row r="144" spans="1:20" ht="12" customHeight="1" x14ac:dyDescent="0.3">
      <c r="A144" s="340" t="s">
        <v>289</v>
      </c>
      <c r="B144" s="341">
        <v>6</v>
      </c>
      <c r="C144" s="309">
        <v>46132</v>
      </c>
      <c r="D144" s="310" t="s">
        <v>326</v>
      </c>
      <c r="E144" s="342">
        <v>44</v>
      </c>
      <c r="F144" s="342"/>
      <c r="G144" s="344">
        <f t="shared" si="3"/>
        <v>5067.7199999999857</v>
      </c>
      <c r="H144" s="345"/>
      <c r="I144" s="346"/>
      <c r="J144" s="347"/>
      <c r="K144" s="312"/>
      <c r="L144" s="347"/>
      <c r="M144" s="312"/>
      <c r="N144" s="347"/>
      <c r="O144" s="312"/>
      <c r="P144" s="347"/>
      <c r="Q144" s="312"/>
      <c r="R144" s="347"/>
      <c r="S144" s="312"/>
      <c r="T144" s="347"/>
    </row>
    <row r="145" spans="1:20" ht="12" customHeight="1" x14ac:dyDescent="0.3">
      <c r="A145" s="340" t="s">
        <v>289</v>
      </c>
      <c r="B145" s="341">
        <v>2</v>
      </c>
      <c r="C145" s="309">
        <v>46132</v>
      </c>
      <c r="D145" s="310" t="s">
        <v>327</v>
      </c>
      <c r="E145" s="342">
        <v>12.01</v>
      </c>
      <c r="F145" s="342"/>
      <c r="G145" s="344">
        <f t="shared" si="3"/>
        <v>5111.7199999999857</v>
      </c>
      <c r="H145" s="345"/>
      <c r="I145" s="346"/>
      <c r="J145" s="347"/>
      <c r="K145" s="312"/>
      <c r="L145" s="347"/>
      <c r="M145" s="312"/>
      <c r="N145" s="347"/>
      <c r="O145" s="312"/>
      <c r="P145" s="347"/>
      <c r="Q145" s="312"/>
      <c r="R145" s="347"/>
      <c r="S145" s="312"/>
      <c r="T145" s="347"/>
    </row>
    <row r="146" spans="1:20" ht="12" customHeight="1" x14ac:dyDescent="0.3">
      <c r="A146" s="340" t="s">
        <v>289</v>
      </c>
      <c r="B146" s="341">
        <v>2</v>
      </c>
      <c r="C146" s="309">
        <v>46132</v>
      </c>
      <c r="D146" s="310" t="s">
        <v>296</v>
      </c>
      <c r="E146" s="342">
        <v>12.21</v>
      </c>
      <c r="F146" s="342"/>
      <c r="G146" s="344">
        <f t="shared" si="3"/>
        <v>5123.7299999999859</v>
      </c>
      <c r="H146" s="345"/>
      <c r="I146" s="346"/>
      <c r="J146" s="347"/>
      <c r="K146" s="312"/>
      <c r="L146" s="347"/>
      <c r="M146" s="312"/>
      <c r="N146" s="347"/>
      <c r="O146" s="312"/>
      <c r="P146" s="347"/>
      <c r="Q146" s="312"/>
      <c r="R146" s="347"/>
      <c r="S146" s="312"/>
      <c r="T146" s="347"/>
    </row>
    <row r="147" spans="1:20" ht="12" customHeight="1" x14ac:dyDescent="0.3">
      <c r="A147" s="340" t="s">
        <v>289</v>
      </c>
      <c r="B147" s="341">
        <v>2</v>
      </c>
      <c r="C147" s="309">
        <v>46132</v>
      </c>
      <c r="D147" s="310" t="s">
        <v>328</v>
      </c>
      <c r="E147" s="342">
        <v>46.4</v>
      </c>
      <c r="F147" s="342"/>
      <c r="G147" s="344">
        <f t="shared" si="3"/>
        <v>5135.939999999986</v>
      </c>
      <c r="H147" s="345"/>
      <c r="I147" s="346"/>
      <c r="J147" s="347"/>
      <c r="K147" s="312"/>
      <c r="L147" s="347"/>
      <c r="M147" s="312"/>
      <c r="N147" s="347"/>
      <c r="O147" s="312"/>
      <c r="P147" s="347"/>
      <c r="Q147" s="312"/>
      <c r="R147" s="347"/>
      <c r="S147" s="312"/>
      <c r="T147" s="347"/>
    </row>
    <row r="148" spans="1:20" ht="12" customHeight="1" x14ac:dyDescent="0.3">
      <c r="A148" s="340" t="s">
        <v>289</v>
      </c>
      <c r="B148" s="341">
        <v>2</v>
      </c>
      <c r="C148" s="309">
        <v>46131</v>
      </c>
      <c r="D148" s="310" t="s">
        <v>329</v>
      </c>
      <c r="E148" s="342">
        <v>31.7</v>
      </c>
      <c r="F148" s="342"/>
      <c r="G148" s="344">
        <f t="shared" si="3"/>
        <v>5182.3399999999856</v>
      </c>
      <c r="H148" s="345"/>
      <c r="I148" s="346"/>
      <c r="J148" s="347"/>
      <c r="K148" s="312"/>
      <c r="L148" s="347"/>
      <c r="M148" s="312"/>
      <c r="N148" s="347"/>
      <c r="O148" s="312"/>
      <c r="P148" s="347"/>
      <c r="Q148" s="312"/>
      <c r="R148" s="347"/>
      <c r="S148" s="312"/>
      <c r="T148" s="347"/>
    </row>
    <row r="149" spans="1:20" ht="12" customHeight="1" x14ac:dyDescent="0.3">
      <c r="A149" s="340" t="s">
        <v>289</v>
      </c>
      <c r="B149" s="341">
        <v>8</v>
      </c>
      <c r="C149" s="309">
        <v>46131</v>
      </c>
      <c r="D149" s="310" t="s">
        <v>330</v>
      </c>
      <c r="E149" s="342">
        <v>11.11</v>
      </c>
      <c r="F149" s="342"/>
      <c r="G149" s="344">
        <f t="shared" si="3"/>
        <v>5214.0399999999854</v>
      </c>
      <c r="H149" s="345"/>
      <c r="I149" s="346"/>
      <c r="J149" s="347"/>
      <c r="K149" s="312"/>
      <c r="L149" s="347"/>
      <c r="M149" s="312"/>
      <c r="N149" s="347"/>
      <c r="O149" s="312"/>
      <c r="P149" s="347"/>
      <c r="Q149" s="312"/>
      <c r="R149" s="347"/>
      <c r="S149" s="312"/>
      <c r="T149" s="347"/>
    </row>
    <row r="150" spans="1:20" ht="12" customHeight="1" x14ac:dyDescent="0.3">
      <c r="A150" s="340" t="s">
        <v>289</v>
      </c>
      <c r="B150" s="341">
        <v>1</v>
      </c>
      <c r="C150" s="309">
        <v>46131</v>
      </c>
      <c r="D150" s="310" t="s">
        <v>307</v>
      </c>
      <c r="E150" s="342">
        <v>79.16</v>
      </c>
      <c r="F150" s="342"/>
      <c r="G150" s="344">
        <f t="shared" si="3"/>
        <v>5225.1499999999851</v>
      </c>
      <c r="H150" s="345"/>
      <c r="I150" s="346"/>
      <c r="J150" s="347"/>
      <c r="K150" s="312"/>
      <c r="L150" s="347"/>
      <c r="M150" s="312"/>
      <c r="N150" s="347"/>
      <c r="O150" s="312"/>
      <c r="P150" s="347"/>
      <c r="Q150" s="312"/>
      <c r="R150" s="347"/>
      <c r="S150" s="312"/>
      <c r="T150" s="347"/>
    </row>
    <row r="151" spans="1:20" ht="12" customHeight="1" x14ac:dyDescent="0.3">
      <c r="A151" s="340" t="s">
        <v>294</v>
      </c>
      <c r="B151" s="341">
        <v>22</v>
      </c>
      <c r="C151" s="309">
        <v>46131</v>
      </c>
      <c r="D151" s="310" t="s">
        <v>331</v>
      </c>
      <c r="E151" s="342">
        <v>7.46</v>
      </c>
      <c r="F151" s="342"/>
      <c r="G151" s="344">
        <f t="shared" si="3"/>
        <v>5304.3099999999849</v>
      </c>
      <c r="H151" s="345"/>
      <c r="I151" s="346"/>
      <c r="J151" s="347"/>
      <c r="K151" s="312"/>
      <c r="L151" s="347"/>
      <c r="M151" s="312"/>
      <c r="N151" s="347"/>
      <c r="O151" s="312"/>
      <c r="P151" s="347"/>
      <c r="Q151" s="312"/>
      <c r="R151" s="347"/>
      <c r="S151" s="312"/>
      <c r="T151" s="347"/>
    </row>
    <row r="152" spans="1:20" ht="12" customHeight="1" x14ac:dyDescent="0.3">
      <c r="A152" s="340" t="s">
        <v>289</v>
      </c>
      <c r="B152" s="341">
        <v>6</v>
      </c>
      <c r="C152" s="309">
        <v>46131</v>
      </c>
      <c r="D152" s="310" t="s">
        <v>300</v>
      </c>
      <c r="E152" s="342">
        <v>13.83</v>
      </c>
      <c r="F152" s="342"/>
      <c r="G152" s="344">
        <f t="shared" si="3"/>
        <v>5311.769999999985</v>
      </c>
      <c r="H152" s="345"/>
      <c r="I152" s="346"/>
      <c r="J152" s="347"/>
      <c r="K152" s="312"/>
      <c r="L152" s="347"/>
      <c r="M152" s="312"/>
      <c r="N152" s="347"/>
      <c r="O152" s="312"/>
      <c r="P152" s="347"/>
      <c r="Q152" s="312"/>
      <c r="R152" s="347"/>
      <c r="S152" s="312"/>
      <c r="T152" s="347"/>
    </row>
    <row r="153" spans="1:20" ht="12" customHeight="1" x14ac:dyDescent="0.3">
      <c r="A153" s="340" t="s">
        <v>289</v>
      </c>
      <c r="B153" s="341">
        <v>6</v>
      </c>
      <c r="C153" s="309">
        <v>46131</v>
      </c>
      <c r="D153" s="310" t="s">
        <v>300</v>
      </c>
      <c r="E153" s="342">
        <v>30</v>
      </c>
      <c r="F153" s="342"/>
      <c r="G153" s="344">
        <f t="shared" si="3"/>
        <v>5325.5999999999849</v>
      </c>
      <c r="H153" s="345"/>
      <c r="I153" s="346"/>
      <c r="J153" s="347"/>
      <c r="K153" s="312"/>
      <c r="L153" s="347"/>
      <c r="M153" s="312"/>
      <c r="N153" s="347"/>
      <c r="O153" s="312"/>
      <c r="P153" s="347"/>
      <c r="Q153" s="312"/>
      <c r="R153" s="347"/>
      <c r="S153" s="312"/>
      <c r="T153" s="347"/>
    </row>
    <row r="154" spans="1:20" ht="12" customHeight="1" x14ac:dyDescent="0.3">
      <c r="A154" s="340" t="s">
        <v>289</v>
      </c>
      <c r="B154" s="341">
        <v>6</v>
      </c>
      <c r="C154" s="309">
        <v>46131</v>
      </c>
      <c r="D154" s="310" t="s">
        <v>300</v>
      </c>
      <c r="E154" s="342">
        <v>15.17</v>
      </c>
      <c r="F154" s="342"/>
      <c r="G154" s="344">
        <f t="shared" si="3"/>
        <v>5355.5999999999849</v>
      </c>
      <c r="H154" s="345"/>
      <c r="I154" s="346"/>
      <c r="J154" s="347"/>
      <c r="K154" s="312"/>
      <c r="L154" s="347"/>
      <c r="M154" s="312"/>
      <c r="N154" s="347"/>
      <c r="O154" s="312"/>
      <c r="P154" s="347"/>
      <c r="Q154" s="312"/>
      <c r="R154" s="347"/>
      <c r="S154" s="312"/>
      <c r="T154" s="347"/>
    </row>
    <row r="155" spans="1:20" ht="12" customHeight="1" x14ac:dyDescent="0.3">
      <c r="A155" s="340" t="s">
        <v>289</v>
      </c>
      <c r="B155" s="341">
        <v>1</v>
      </c>
      <c r="C155" s="309">
        <v>46130</v>
      </c>
      <c r="D155" s="310" t="s">
        <v>332</v>
      </c>
      <c r="E155" s="342">
        <v>75.55</v>
      </c>
      <c r="F155" s="342"/>
      <c r="G155" s="344">
        <f t="shared" si="3"/>
        <v>5370.769999999985</v>
      </c>
      <c r="H155" s="345"/>
      <c r="I155" s="346"/>
      <c r="J155" s="347"/>
      <c r="K155" s="312"/>
      <c r="L155" s="347"/>
      <c r="M155" s="312"/>
      <c r="N155" s="347"/>
      <c r="O155" s="312"/>
      <c r="P155" s="347"/>
      <c r="Q155" s="312"/>
      <c r="R155" s="347"/>
      <c r="S155" s="312"/>
      <c r="T155" s="347"/>
    </row>
    <row r="156" spans="1:20" ht="12" customHeight="1" x14ac:dyDescent="0.3">
      <c r="A156" s="340" t="s">
        <v>289</v>
      </c>
      <c r="B156" s="341">
        <v>2</v>
      </c>
      <c r="C156" s="309">
        <v>46130</v>
      </c>
      <c r="D156" s="310" t="s">
        <v>333</v>
      </c>
      <c r="E156" s="342">
        <v>26</v>
      </c>
      <c r="F156" s="342"/>
      <c r="G156" s="344">
        <f t="shared" si="3"/>
        <v>5446.3199999999852</v>
      </c>
      <c r="H156" s="345"/>
      <c r="I156" s="346"/>
      <c r="J156" s="347"/>
      <c r="K156" s="312"/>
      <c r="L156" s="347"/>
      <c r="M156" s="312"/>
      <c r="N156" s="347"/>
      <c r="O156" s="312"/>
      <c r="P156" s="347"/>
      <c r="Q156" s="312"/>
      <c r="R156" s="347"/>
      <c r="S156" s="312"/>
      <c r="T156" s="347"/>
    </row>
    <row r="157" spans="1:20" ht="12" customHeight="1" x14ac:dyDescent="0.3">
      <c r="A157" s="340" t="s">
        <v>289</v>
      </c>
      <c r="B157" s="341">
        <v>1</v>
      </c>
      <c r="C157" s="309">
        <v>46130</v>
      </c>
      <c r="D157" s="310" t="s">
        <v>312</v>
      </c>
      <c r="E157" s="342">
        <v>25.28</v>
      </c>
      <c r="F157" s="342"/>
      <c r="G157" s="344">
        <f t="shared" si="3"/>
        <v>5472.3199999999852</v>
      </c>
      <c r="H157" s="345"/>
      <c r="I157" s="346"/>
      <c r="J157" s="347"/>
      <c r="K157" s="312"/>
      <c r="L157" s="347"/>
      <c r="M157" s="312"/>
      <c r="N157" s="347"/>
      <c r="O157" s="312"/>
      <c r="P157" s="347"/>
      <c r="Q157" s="312"/>
      <c r="R157" s="347"/>
      <c r="S157" s="312"/>
      <c r="T157" s="347"/>
    </row>
    <row r="158" spans="1:20" ht="12" customHeight="1" x14ac:dyDescent="0.3">
      <c r="A158" s="340" t="s">
        <v>289</v>
      </c>
      <c r="B158" s="341">
        <v>3</v>
      </c>
      <c r="C158" s="309">
        <v>46130</v>
      </c>
      <c r="D158" s="310" t="s">
        <v>296</v>
      </c>
      <c r="E158" s="342">
        <v>7.76</v>
      </c>
      <c r="F158" s="342"/>
      <c r="G158" s="344">
        <f t="shared" si="3"/>
        <v>5497.5999999999849</v>
      </c>
      <c r="H158" s="345"/>
      <c r="I158" s="346"/>
      <c r="J158" s="347"/>
      <c r="K158" s="312"/>
      <c r="L158" s="347"/>
      <c r="M158" s="312"/>
      <c r="N158" s="347"/>
      <c r="O158" s="312"/>
      <c r="P158" s="347"/>
      <c r="Q158" s="312"/>
      <c r="R158" s="347"/>
      <c r="S158" s="312"/>
      <c r="T158" s="347"/>
    </row>
    <row r="159" spans="1:20" ht="12" customHeight="1" x14ac:dyDescent="0.3">
      <c r="A159" s="340" t="s">
        <v>294</v>
      </c>
      <c r="B159" s="341">
        <v>22</v>
      </c>
      <c r="C159" s="309">
        <v>46130</v>
      </c>
      <c r="D159" s="310" t="s">
        <v>334</v>
      </c>
      <c r="E159" s="342">
        <v>13.84</v>
      </c>
      <c r="F159" s="342"/>
      <c r="G159" s="344">
        <f t="shared" si="3"/>
        <v>5505.3599999999851</v>
      </c>
      <c r="H159" s="345"/>
      <c r="I159" s="346"/>
      <c r="J159" s="347"/>
      <c r="K159" s="312"/>
      <c r="L159" s="347"/>
      <c r="M159" s="312"/>
      <c r="N159" s="347"/>
      <c r="O159" s="312"/>
      <c r="P159" s="347"/>
      <c r="Q159" s="312"/>
      <c r="R159" s="347"/>
      <c r="S159" s="312"/>
      <c r="T159" s="347"/>
    </row>
    <row r="160" spans="1:20" ht="12" customHeight="1" x14ac:dyDescent="0.3">
      <c r="A160" s="340" t="s">
        <v>287</v>
      </c>
      <c r="B160" s="341" t="s">
        <v>287</v>
      </c>
      <c r="C160" s="309">
        <v>46130</v>
      </c>
      <c r="D160" s="310" t="s">
        <v>335</v>
      </c>
      <c r="E160" s="342">
        <v>578.57000000000005</v>
      </c>
      <c r="F160" s="342">
        <v>578.57000000000005</v>
      </c>
      <c r="G160" s="344">
        <f t="shared" si="3"/>
        <v>5519.1999999999853</v>
      </c>
      <c r="H160" s="345"/>
      <c r="I160" s="346"/>
      <c r="J160" s="347"/>
      <c r="K160" s="312"/>
      <c r="L160" s="347"/>
      <c r="M160" s="312"/>
      <c r="N160" s="347"/>
      <c r="O160" s="312"/>
      <c r="P160" s="347"/>
      <c r="Q160" s="312"/>
      <c r="R160" s="347"/>
      <c r="S160" s="312"/>
      <c r="T160" s="347"/>
    </row>
    <row r="161" spans="1:20" ht="12" customHeight="1" x14ac:dyDescent="0.3">
      <c r="A161" s="340" t="s">
        <v>289</v>
      </c>
      <c r="B161" s="341">
        <v>2</v>
      </c>
      <c r="C161" s="309">
        <v>46129</v>
      </c>
      <c r="D161" s="310" t="s">
        <v>327</v>
      </c>
      <c r="E161" s="342">
        <v>12.84</v>
      </c>
      <c r="F161" s="342"/>
      <c r="G161" s="344">
        <f t="shared" si="3"/>
        <v>5519.1999999999853</v>
      </c>
      <c r="H161" s="345"/>
      <c r="I161" s="346"/>
      <c r="J161" s="347"/>
      <c r="K161" s="312"/>
      <c r="L161" s="347"/>
      <c r="M161" s="312"/>
      <c r="N161" s="347"/>
      <c r="O161" s="312"/>
      <c r="P161" s="347"/>
      <c r="Q161" s="312"/>
      <c r="R161" s="347"/>
      <c r="S161" s="312"/>
      <c r="T161" s="347"/>
    </row>
    <row r="162" spans="1:20" ht="12" customHeight="1" x14ac:dyDescent="0.3">
      <c r="A162" s="340" t="s">
        <v>289</v>
      </c>
      <c r="B162" s="341">
        <v>2</v>
      </c>
      <c r="C162" s="309">
        <v>46129</v>
      </c>
      <c r="D162" s="310" t="s">
        <v>336</v>
      </c>
      <c r="E162" s="342">
        <v>59.71</v>
      </c>
      <c r="F162" s="342"/>
      <c r="G162" s="344">
        <f t="shared" si="3"/>
        <v>5532.0399999999854</v>
      </c>
      <c r="H162" s="345"/>
      <c r="I162" s="346"/>
      <c r="J162" s="347"/>
      <c r="K162" s="312"/>
      <c r="L162" s="347"/>
      <c r="M162" s="312"/>
      <c r="N162" s="347"/>
      <c r="O162" s="312"/>
      <c r="P162" s="347"/>
      <c r="Q162" s="312"/>
      <c r="R162" s="347"/>
      <c r="S162" s="312"/>
      <c r="T162" s="347"/>
    </row>
    <row r="163" spans="1:20" ht="12" customHeight="1" x14ac:dyDescent="0.3">
      <c r="A163" s="340" t="s">
        <v>294</v>
      </c>
      <c r="B163" s="341">
        <v>21</v>
      </c>
      <c r="C163" s="309">
        <v>46129</v>
      </c>
      <c r="D163" s="310" t="s">
        <v>194</v>
      </c>
      <c r="E163" s="342">
        <v>75.599999999999994</v>
      </c>
      <c r="F163" s="342"/>
      <c r="G163" s="344">
        <f t="shared" si="3"/>
        <v>5591.7499999999854</v>
      </c>
      <c r="H163" s="345"/>
      <c r="I163" s="346"/>
      <c r="J163" s="347"/>
      <c r="K163" s="312"/>
      <c r="L163" s="347"/>
      <c r="M163" s="312"/>
      <c r="N163" s="347"/>
      <c r="O163" s="312"/>
      <c r="P163" s="347"/>
      <c r="Q163" s="312"/>
      <c r="R163" s="347"/>
      <c r="S163" s="312"/>
      <c r="T163" s="347"/>
    </row>
    <row r="164" spans="1:20" ht="12" customHeight="1" x14ac:dyDescent="0.3">
      <c r="A164" s="340" t="s">
        <v>294</v>
      </c>
      <c r="B164" s="341">
        <v>43</v>
      </c>
      <c r="C164" s="309">
        <v>46129</v>
      </c>
      <c r="D164" s="310" t="s">
        <v>337</v>
      </c>
      <c r="E164" s="342">
        <v>22.35</v>
      </c>
      <c r="F164" s="342"/>
      <c r="G164" s="344">
        <f t="shared" si="3"/>
        <v>5667.3499999999858</v>
      </c>
      <c r="H164" s="345"/>
      <c r="I164" s="346"/>
      <c r="J164" s="347"/>
      <c r="K164" s="312"/>
      <c r="L164" s="347"/>
      <c r="M164" s="312"/>
      <c r="N164" s="347"/>
      <c r="O164" s="312"/>
      <c r="P164" s="347"/>
      <c r="Q164" s="312"/>
      <c r="R164" s="347"/>
      <c r="S164" s="312"/>
      <c r="T164" s="347"/>
    </row>
    <row r="165" spans="1:20" ht="12" customHeight="1" x14ac:dyDescent="0.3">
      <c r="A165" s="340" t="s">
        <v>294</v>
      </c>
      <c r="B165" s="341">
        <v>42</v>
      </c>
      <c r="C165" s="309">
        <v>46129</v>
      </c>
      <c r="D165" s="310" t="s">
        <v>337</v>
      </c>
      <c r="E165" s="342">
        <v>37.25</v>
      </c>
      <c r="F165" s="342"/>
      <c r="G165" s="344">
        <f t="shared" si="3"/>
        <v>5689.6999999999862</v>
      </c>
      <c r="H165" s="345"/>
      <c r="I165" s="346"/>
      <c r="J165" s="347"/>
      <c r="K165" s="312"/>
      <c r="L165" s="347"/>
      <c r="M165" s="312"/>
      <c r="N165" s="347"/>
      <c r="O165" s="312"/>
      <c r="P165" s="347"/>
      <c r="Q165" s="312"/>
      <c r="R165" s="347"/>
      <c r="S165" s="312"/>
      <c r="T165" s="347"/>
    </row>
    <row r="166" spans="1:20" ht="12" customHeight="1" x14ac:dyDescent="0.3">
      <c r="A166" s="340" t="s">
        <v>289</v>
      </c>
      <c r="B166" s="341">
        <v>8</v>
      </c>
      <c r="C166" s="309">
        <v>46129</v>
      </c>
      <c r="D166" s="310" t="s">
        <v>321</v>
      </c>
      <c r="E166" s="342">
        <v>35.119999999999997</v>
      </c>
      <c r="F166" s="342"/>
      <c r="G166" s="344">
        <f t="shared" si="3"/>
        <v>5726.9499999999862</v>
      </c>
      <c r="H166" s="345"/>
      <c r="I166" s="346"/>
      <c r="J166" s="347"/>
      <c r="K166" s="312"/>
      <c r="L166" s="347"/>
      <c r="M166" s="312"/>
      <c r="N166" s="347"/>
      <c r="O166" s="312"/>
      <c r="P166" s="347"/>
      <c r="Q166" s="312"/>
      <c r="R166" s="347"/>
      <c r="S166" s="312"/>
      <c r="T166" s="347"/>
    </row>
    <row r="167" spans="1:20" ht="12" customHeight="1" x14ac:dyDescent="0.3">
      <c r="A167" s="340" t="s">
        <v>289</v>
      </c>
      <c r="B167" s="341">
        <v>3</v>
      </c>
      <c r="C167" s="309">
        <v>46129</v>
      </c>
      <c r="D167" s="310" t="s">
        <v>296</v>
      </c>
      <c r="E167" s="342">
        <v>8.7200000000000006</v>
      </c>
      <c r="F167" s="342"/>
      <c r="G167" s="344">
        <f t="shared" si="3"/>
        <v>5762.0699999999861</v>
      </c>
      <c r="H167" s="345"/>
      <c r="I167" s="346"/>
      <c r="J167" s="347"/>
      <c r="K167" s="312"/>
      <c r="L167" s="347"/>
      <c r="M167" s="312"/>
      <c r="N167" s="347"/>
      <c r="O167" s="312"/>
      <c r="P167" s="347"/>
      <c r="Q167" s="312"/>
      <c r="R167" s="347"/>
      <c r="S167" s="312"/>
      <c r="T167" s="347"/>
    </row>
    <row r="168" spans="1:20" ht="12" customHeight="1" x14ac:dyDescent="0.3">
      <c r="A168" s="340" t="s">
        <v>289</v>
      </c>
      <c r="B168" s="341">
        <v>2</v>
      </c>
      <c r="C168" s="309">
        <v>46129</v>
      </c>
      <c r="D168" s="310" t="s">
        <v>338</v>
      </c>
      <c r="E168" s="342">
        <v>13.21</v>
      </c>
      <c r="F168" s="342"/>
      <c r="G168" s="344">
        <f t="shared" si="3"/>
        <v>5770.7899999999863</v>
      </c>
      <c r="H168" s="345"/>
      <c r="I168" s="346"/>
      <c r="J168" s="347"/>
      <c r="K168" s="312"/>
      <c r="L168" s="347"/>
      <c r="M168" s="312"/>
      <c r="N168" s="347"/>
      <c r="O168" s="312"/>
      <c r="P168" s="347"/>
      <c r="Q168" s="312"/>
      <c r="R168" s="347"/>
      <c r="S168" s="312"/>
      <c r="T168" s="347"/>
    </row>
    <row r="169" spans="1:20" ht="12" customHeight="1" x14ac:dyDescent="0.3">
      <c r="A169" s="340" t="s">
        <v>294</v>
      </c>
      <c r="B169" s="341">
        <v>17</v>
      </c>
      <c r="C169" s="309">
        <v>46129</v>
      </c>
      <c r="D169" s="310" t="s">
        <v>188</v>
      </c>
      <c r="E169" s="342">
        <v>42.65</v>
      </c>
      <c r="F169" s="342"/>
      <c r="G169" s="344">
        <f t="shared" si="3"/>
        <v>5783.9999999999864</v>
      </c>
      <c r="H169" s="345"/>
      <c r="I169" s="346"/>
      <c r="J169" s="347"/>
      <c r="K169" s="312"/>
      <c r="L169" s="347"/>
      <c r="M169" s="312"/>
      <c r="N169" s="347"/>
      <c r="O169" s="312"/>
      <c r="P169" s="347"/>
      <c r="Q169" s="312"/>
      <c r="R169" s="347"/>
      <c r="S169" s="312"/>
      <c r="T169" s="347"/>
    </row>
    <row r="170" spans="1:20" ht="12" customHeight="1" x14ac:dyDescent="0.3">
      <c r="A170" s="340" t="s">
        <v>339</v>
      </c>
      <c r="B170" s="341" t="s">
        <v>339</v>
      </c>
      <c r="C170" s="309">
        <v>46129</v>
      </c>
      <c r="D170" s="310" t="s">
        <v>340</v>
      </c>
      <c r="E170" s="342">
        <v>130.31</v>
      </c>
      <c r="F170" s="342"/>
      <c r="G170" s="344">
        <f t="shared" si="3"/>
        <v>5826.649999999986</v>
      </c>
      <c r="H170" s="345"/>
      <c r="I170" s="346"/>
      <c r="J170" s="347"/>
      <c r="K170" s="312"/>
      <c r="L170" s="347"/>
      <c r="M170" s="312"/>
      <c r="N170" s="347"/>
      <c r="O170" s="312"/>
      <c r="P170" s="347"/>
      <c r="Q170" s="312"/>
      <c r="R170" s="347"/>
      <c r="S170" s="312"/>
      <c r="T170" s="347"/>
    </row>
    <row r="171" spans="1:20" ht="12" customHeight="1" x14ac:dyDescent="0.3">
      <c r="A171" s="340" t="s">
        <v>294</v>
      </c>
      <c r="B171" s="341">
        <v>15</v>
      </c>
      <c r="C171" s="309">
        <v>46129</v>
      </c>
      <c r="D171" s="310" t="s">
        <v>185</v>
      </c>
      <c r="E171" s="342">
        <v>131.22999999999999</v>
      </c>
      <c r="F171" s="342"/>
      <c r="G171" s="344">
        <f t="shared" si="3"/>
        <v>5956.9599999999864</v>
      </c>
      <c r="H171" s="345"/>
      <c r="I171" s="346"/>
      <c r="J171" s="347"/>
      <c r="K171" s="312"/>
      <c r="L171" s="347"/>
      <c r="M171" s="312"/>
      <c r="N171" s="347"/>
      <c r="O171" s="312"/>
      <c r="P171" s="347"/>
      <c r="Q171" s="312"/>
      <c r="R171" s="347"/>
      <c r="S171" s="312"/>
      <c r="T171" s="347"/>
    </row>
    <row r="172" spans="1:20" ht="12" customHeight="1" x14ac:dyDescent="0.3">
      <c r="A172" s="340" t="s">
        <v>289</v>
      </c>
      <c r="B172" s="341">
        <v>6</v>
      </c>
      <c r="C172" s="309">
        <v>46129</v>
      </c>
      <c r="D172" s="310" t="s">
        <v>341</v>
      </c>
      <c r="E172" s="342">
        <v>210</v>
      </c>
      <c r="F172" s="342"/>
      <c r="G172" s="344">
        <f t="shared" si="3"/>
        <v>6088.189999999986</v>
      </c>
      <c r="H172" s="345"/>
      <c r="I172" s="346"/>
      <c r="J172" s="347"/>
      <c r="K172" s="312"/>
      <c r="L172" s="347"/>
      <c r="M172" s="312"/>
      <c r="N172" s="347"/>
      <c r="O172" s="312"/>
      <c r="P172" s="347"/>
      <c r="Q172" s="312"/>
      <c r="R172" s="347"/>
      <c r="S172" s="312"/>
      <c r="T172" s="347"/>
    </row>
    <row r="173" spans="1:20" ht="12" customHeight="1" x14ac:dyDescent="0.3">
      <c r="A173" s="340" t="s">
        <v>294</v>
      </c>
      <c r="B173" s="341">
        <v>23</v>
      </c>
      <c r="C173" s="309">
        <v>46129</v>
      </c>
      <c r="D173" s="310" t="s">
        <v>63</v>
      </c>
      <c r="E173" s="342">
        <v>529.46</v>
      </c>
      <c r="F173" s="342"/>
      <c r="G173" s="344">
        <f t="shared" si="3"/>
        <v>6298.189999999986</v>
      </c>
      <c r="H173" s="345"/>
      <c r="I173" s="346"/>
      <c r="J173" s="347"/>
      <c r="K173" s="312"/>
      <c r="L173" s="347"/>
      <c r="M173" s="312"/>
      <c r="N173" s="347"/>
      <c r="O173" s="312"/>
      <c r="P173" s="347"/>
      <c r="Q173" s="312"/>
      <c r="R173" s="347"/>
      <c r="S173" s="312"/>
      <c r="T173" s="347"/>
    </row>
    <row r="174" spans="1:20" ht="12" customHeight="1" x14ac:dyDescent="0.3">
      <c r="A174" s="340" t="s">
        <v>289</v>
      </c>
      <c r="B174" s="341">
        <v>7</v>
      </c>
      <c r="C174" s="309">
        <v>46129</v>
      </c>
      <c r="D174" s="310" t="s">
        <v>342</v>
      </c>
      <c r="E174" s="342">
        <v>32.78</v>
      </c>
      <c r="F174" s="342"/>
      <c r="G174" s="344">
        <f t="shared" si="3"/>
        <v>6827.649999999986</v>
      </c>
      <c r="H174" s="345"/>
      <c r="I174" s="346"/>
      <c r="J174" s="347"/>
      <c r="K174" s="312"/>
      <c r="L174" s="347"/>
      <c r="M174" s="312"/>
      <c r="N174" s="347"/>
      <c r="O174" s="312"/>
      <c r="P174" s="347"/>
      <c r="Q174" s="312"/>
      <c r="R174" s="347"/>
      <c r="S174" s="312"/>
      <c r="T174" s="347"/>
    </row>
    <row r="175" spans="1:20" ht="12" customHeight="1" x14ac:dyDescent="0.3">
      <c r="A175" s="340" t="s">
        <v>289</v>
      </c>
      <c r="B175" s="341">
        <v>4</v>
      </c>
      <c r="C175" s="309">
        <v>46128</v>
      </c>
      <c r="D175" s="310" t="s">
        <v>311</v>
      </c>
      <c r="E175" s="342">
        <v>44.41</v>
      </c>
      <c r="F175" s="342"/>
      <c r="G175" s="344">
        <f t="shared" si="3"/>
        <v>6860.4299999999857</v>
      </c>
      <c r="H175" s="345"/>
      <c r="I175" s="346"/>
      <c r="J175" s="347"/>
      <c r="K175" s="312"/>
      <c r="L175" s="347"/>
      <c r="M175" s="312"/>
      <c r="N175" s="347"/>
      <c r="O175" s="312"/>
      <c r="P175" s="347"/>
      <c r="Q175" s="312"/>
      <c r="R175" s="347"/>
      <c r="S175" s="312"/>
      <c r="T175" s="347"/>
    </row>
    <row r="176" spans="1:20" ht="12" customHeight="1" x14ac:dyDescent="0.3">
      <c r="A176" s="340" t="s">
        <v>294</v>
      </c>
      <c r="B176" s="341">
        <v>16</v>
      </c>
      <c r="C176" s="309">
        <v>46128</v>
      </c>
      <c r="D176" s="310" t="s">
        <v>343</v>
      </c>
      <c r="E176" s="342">
        <v>15</v>
      </c>
      <c r="F176" s="342"/>
      <c r="G176" s="344">
        <f t="shared" si="3"/>
        <v>6904.8399999999856</v>
      </c>
      <c r="H176" s="345"/>
      <c r="I176" s="346"/>
      <c r="J176" s="347"/>
      <c r="K176" s="312"/>
      <c r="L176" s="347"/>
      <c r="M176" s="312"/>
      <c r="N176" s="347"/>
      <c r="O176" s="312"/>
      <c r="P176" s="347"/>
      <c r="Q176" s="312"/>
      <c r="R176" s="347"/>
      <c r="S176" s="312"/>
      <c r="T176" s="347"/>
    </row>
    <row r="177" spans="1:20" ht="12" customHeight="1" x14ac:dyDescent="0.3">
      <c r="A177" s="340" t="s">
        <v>289</v>
      </c>
      <c r="B177" s="341">
        <v>2</v>
      </c>
      <c r="C177" s="309">
        <v>46128</v>
      </c>
      <c r="D177" s="310" t="s">
        <v>301</v>
      </c>
      <c r="E177" s="342">
        <v>41.95</v>
      </c>
      <c r="F177" s="342"/>
      <c r="G177" s="344">
        <f t="shared" si="3"/>
        <v>6919.8399999999856</v>
      </c>
      <c r="H177" s="345"/>
      <c r="I177" s="346"/>
      <c r="J177" s="347"/>
      <c r="K177" s="312"/>
      <c r="L177" s="347"/>
      <c r="M177" s="312"/>
      <c r="N177" s="347"/>
      <c r="O177" s="312"/>
      <c r="P177" s="347"/>
      <c r="Q177" s="312"/>
      <c r="R177" s="347"/>
      <c r="S177" s="312"/>
      <c r="T177" s="347"/>
    </row>
    <row r="178" spans="1:20" ht="12" customHeight="1" x14ac:dyDescent="0.3">
      <c r="A178" s="340" t="s">
        <v>289</v>
      </c>
      <c r="B178" s="341">
        <v>5</v>
      </c>
      <c r="C178" s="309">
        <v>46128</v>
      </c>
      <c r="D178" s="310" t="s">
        <v>344</v>
      </c>
      <c r="E178" s="342">
        <v>21.3</v>
      </c>
      <c r="F178" s="342"/>
      <c r="G178" s="344">
        <f t="shared" si="3"/>
        <v>6961.7899999999854</v>
      </c>
      <c r="H178" s="345"/>
      <c r="I178" s="346"/>
      <c r="J178" s="347"/>
      <c r="K178" s="312"/>
      <c r="L178" s="347"/>
      <c r="M178" s="312"/>
      <c r="N178" s="347"/>
      <c r="O178" s="312"/>
      <c r="P178" s="347"/>
      <c r="Q178" s="312"/>
      <c r="R178" s="347"/>
      <c r="S178" s="312"/>
      <c r="T178" s="347"/>
    </row>
    <row r="179" spans="1:20" ht="12" customHeight="1" x14ac:dyDescent="0.3">
      <c r="A179" s="340" t="s">
        <v>289</v>
      </c>
      <c r="B179" s="341">
        <v>4</v>
      </c>
      <c r="C179" s="309">
        <v>46128</v>
      </c>
      <c r="D179" s="310" t="s">
        <v>296</v>
      </c>
      <c r="E179" s="342">
        <v>70.03</v>
      </c>
      <c r="F179" s="342"/>
      <c r="G179" s="344">
        <f t="shared" si="3"/>
        <v>6983.0899999999856</v>
      </c>
      <c r="H179" s="345"/>
      <c r="I179" s="346"/>
      <c r="J179" s="347"/>
      <c r="K179" s="312"/>
      <c r="L179" s="347"/>
      <c r="M179" s="312"/>
      <c r="N179" s="347"/>
      <c r="O179" s="312"/>
      <c r="P179" s="347"/>
      <c r="Q179" s="312"/>
      <c r="R179" s="347"/>
      <c r="S179" s="312"/>
      <c r="T179" s="347"/>
    </row>
    <row r="180" spans="1:20" ht="12" customHeight="1" x14ac:dyDescent="0.3">
      <c r="A180" s="340" t="s">
        <v>289</v>
      </c>
      <c r="B180" s="341">
        <v>2</v>
      </c>
      <c r="C180" s="309">
        <v>46128</v>
      </c>
      <c r="D180" s="310" t="s">
        <v>296</v>
      </c>
      <c r="E180" s="342">
        <v>11.48</v>
      </c>
      <c r="F180" s="342"/>
      <c r="G180" s="344">
        <f t="shared" si="3"/>
        <v>7053.1199999999853</v>
      </c>
      <c r="H180" s="345"/>
      <c r="I180" s="346"/>
      <c r="J180" s="347"/>
      <c r="K180" s="312"/>
      <c r="L180" s="347"/>
      <c r="M180" s="312"/>
      <c r="N180" s="347"/>
      <c r="O180" s="312"/>
      <c r="P180" s="347"/>
      <c r="Q180" s="312"/>
      <c r="R180" s="347"/>
      <c r="S180" s="312"/>
      <c r="T180" s="347"/>
    </row>
    <row r="181" spans="1:20" ht="12" customHeight="1" x14ac:dyDescent="0.3">
      <c r="A181" s="340" t="s">
        <v>289</v>
      </c>
      <c r="B181" s="341">
        <v>6</v>
      </c>
      <c r="C181" s="309">
        <v>46128</v>
      </c>
      <c r="D181" s="310" t="s">
        <v>345</v>
      </c>
      <c r="E181" s="342">
        <v>26.61</v>
      </c>
      <c r="F181" s="342"/>
      <c r="G181" s="344">
        <f t="shared" si="3"/>
        <v>7064.5999999999849</v>
      </c>
      <c r="H181" s="345"/>
      <c r="I181" s="346"/>
      <c r="J181" s="347"/>
      <c r="K181" s="312"/>
      <c r="L181" s="347"/>
      <c r="M181" s="312"/>
      <c r="N181" s="347"/>
      <c r="O181" s="312"/>
      <c r="P181" s="347"/>
      <c r="Q181" s="312"/>
      <c r="R181" s="347"/>
      <c r="S181" s="312"/>
      <c r="T181" s="347"/>
    </row>
    <row r="182" spans="1:20" ht="12" customHeight="1" x14ac:dyDescent="0.3">
      <c r="A182" s="340" t="s">
        <v>289</v>
      </c>
      <c r="B182" s="341">
        <v>6</v>
      </c>
      <c r="C182" s="309">
        <v>46128</v>
      </c>
      <c r="D182" s="310" t="s">
        <v>346</v>
      </c>
      <c r="E182" s="342">
        <v>42.59</v>
      </c>
      <c r="F182" s="342"/>
      <c r="G182" s="344">
        <f t="shared" si="3"/>
        <v>7091.2099999999846</v>
      </c>
      <c r="H182" s="345"/>
      <c r="I182" s="346"/>
      <c r="J182" s="347"/>
      <c r="K182" s="312"/>
      <c r="L182" s="347"/>
      <c r="M182" s="312"/>
      <c r="N182" s="347"/>
      <c r="O182" s="312"/>
      <c r="P182" s="347"/>
      <c r="Q182" s="312"/>
      <c r="R182" s="347"/>
      <c r="S182" s="312"/>
      <c r="T182" s="347"/>
    </row>
    <row r="183" spans="1:20" ht="12" customHeight="1" x14ac:dyDescent="0.3">
      <c r="A183" s="340" t="s">
        <v>289</v>
      </c>
      <c r="B183" s="341">
        <v>6</v>
      </c>
      <c r="C183" s="309">
        <v>46128</v>
      </c>
      <c r="D183" s="310" t="s">
        <v>300</v>
      </c>
      <c r="E183" s="342">
        <v>20.58</v>
      </c>
      <c r="F183" s="342"/>
      <c r="G183" s="344">
        <f t="shared" si="3"/>
        <v>7133.7999999999847</v>
      </c>
      <c r="H183" s="345"/>
      <c r="I183" s="346"/>
      <c r="J183" s="347"/>
      <c r="K183" s="312"/>
      <c r="L183" s="347"/>
      <c r="M183" s="312"/>
      <c r="N183" s="347"/>
      <c r="O183" s="312"/>
      <c r="P183" s="347"/>
      <c r="Q183" s="312"/>
      <c r="R183" s="347"/>
      <c r="S183" s="312"/>
      <c r="T183" s="347"/>
    </row>
    <row r="184" spans="1:20" ht="12" customHeight="1" x14ac:dyDescent="0.3">
      <c r="A184" s="340" t="s">
        <v>294</v>
      </c>
      <c r="B184" s="341">
        <v>11</v>
      </c>
      <c r="C184" s="309">
        <v>46128</v>
      </c>
      <c r="D184" s="310" t="s">
        <v>178</v>
      </c>
      <c r="E184" s="342">
        <v>267.91000000000003</v>
      </c>
      <c r="F184" s="342"/>
      <c r="G184" s="344">
        <f t="shared" si="3"/>
        <v>7154.3799999999846</v>
      </c>
      <c r="H184" s="345"/>
      <c r="I184" s="346"/>
      <c r="J184" s="347"/>
      <c r="K184" s="312"/>
      <c r="L184" s="347"/>
      <c r="M184" s="312"/>
      <c r="N184" s="347"/>
      <c r="O184" s="312"/>
      <c r="P184" s="347"/>
      <c r="Q184" s="312"/>
      <c r="R184" s="347"/>
      <c r="S184" s="312"/>
      <c r="T184" s="347"/>
    </row>
    <row r="185" spans="1:20" ht="12" customHeight="1" x14ac:dyDescent="0.3">
      <c r="A185" s="340" t="s">
        <v>291</v>
      </c>
      <c r="B185" s="341">
        <v>41</v>
      </c>
      <c r="C185" s="309">
        <v>46128</v>
      </c>
      <c r="D185" s="310" t="s">
        <v>299</v>
      </c>
      <c r="E185" s="342"/>
      <c r="F185" s="342">
        <v>300</v>
      </c>
      <c r="G185" s="344">
        <f t="shared" si="3"/>
        <v>7422.2899999999845</v>
      </c>
      <c r="H185" s="345"/>
      <c r="I185" s="346"/>
      <c r="J185" s="347"/>
      <c r="K185" s="312"/>
      <c r="L185" s="347"/>
      <c r="M185" s="312"/>
      <c r="N185" s="347"/>
      <c r="O185" s="312"/>
      <c r="P185" s="347"/>
      <c r="Q185" s="312"/>
      <c r="R185" s="347"/>
      <c r="S185" s="312"/>
      <c r="T185" s="347"/>
    </row>
    <row r="186" spans="1:20" ht="12" customHeight="1" x14ac:dyDescent="0.3">
      <c r="A186" s="340" t="s">
        <v>291</v>
      </c>
      <c r="B186" s="341">
        <v>39</v>
      </c>
      <c r="C186" s="309">
        <v>46128</v>
      </c>
      <c r="D186" s="310" t="s">
        <v>292</v>
      </c>
      <c r="E186" s="342"/>
      <c r="F186" s="342">
        <v>2763.78</v>
      </c>
      <c r="G186" s="344">
        <f t="shared" si="3"/>
        <v>7122.2899999999845</v>
      </c>
      <c r="H186" s="345"/>
      <c r="I186" s="346"/>
      <c r="J186" s="347"/>
      <c r="K186" s="312"/>
      <c r="L186" s="347"/>
      <c r="M186" s="312"/>
      <c r="N186" s="347"/>
      <c r="O186" s="312"/>
      <c r="P186" s="347"/>
      <c r="Q186" s="312"/>
      <c r="R186" s="347"/>
      <c r="S186" s="312"/>
      <c r="T186" s="347"/>
    </row>
    <row r="187" spans="1:20" ht="12" customHeight="1" x14ac:dyDescent="0.3">
      <c r="A187" s="340" t="s">
        <v>287</v>
      </c>
      <c r="B187" s="341" t="s">
        <v>287</v>
      </c>
      <c r="C187" s="309">
        <v>46127</v>
      </c>
      <c r="D187" s="310" t="s">
        <v>347</v>
      </c>
      <c r="E187" s="342">
        <v>93.71</v>
      </c>
      <c r="F187" s="342">
        <v>93.71</v>
      </c>
      <c r="G187" s="344">
        <f t="shared" si="3"/>
        <v>4358.5099999999848</v>
      </c>
      <c r="H187" s="345"/>
      <c r="I187" s="346"/>
      <c r="J187" s="347"/>
      <c r="K187" s="312"/>
      <c r="L187" s="347"/>
      <c r="M187" s="312"/>
      <c r="N187" s="347"/>
      <c r="O187" s="312"/>
      <c r="P187" s="347"/>
      <c r="Q187" s="312"/>
      <c r="R187" s="347"/>
      <c r="S187" s="312"/>
      <c r="T187" s="347"/>
    </row>
    <row r="188" spans="1:20" ht="12" customHeight="1" x14ac:dyDescent="0.3">
      <c r="A188" s="340" t="s">
        <v>289</v>
      </c>
      <c r="B188" s="341">
        <v>6</v>
      </c>
      <c r="C188" s="309">
        <v>46127</v>
      </c>
      <c r="D188" s="310" t="s">
        <v>348</v>
      </c>
      <c r="E188" s="342">
        <v>27</v>
      </c>
      <c r="F188" s="342"/>
      <c r="G188" s="344">
        <f t="shared" si="3"/>
        <v>4358.5099999999848</v>
      </c>
      <c r="H188" s="345"/>
      <c r="I188" s="346"/>
      <c r="J188" s="347"/>
      <c r="K188" s="312"/>
      <c r="L188" s="347"/>
      <c r="M188" s="312"/>
      <c r="N188" s="347"/>
      <c r="O188" s="312"/>
      <c r="P188" s="347"/>
      <c r="Q188" s="312"/>
      <c r="R188" s="347"/>
      <c r="S188" s="312"/>
      <c r="T188" s="347"/>
    </row>
    <row r="189" spans="1:20" ht="12" customHeight="1" x14ac:dyDescent="0.3">
      <c r="A189" s="340" t="s">
        <v>291</v>
      </c>
      <c r="B189" s="341">
        <v>38</v>
      </c>
      <c r="C189" s="309">
        <v>46127</v>
      </c>
      <c r="D189" s="310" t="s">
        <v>293</v>
      </c>
      <c r="E189" s="342"/>
      <c r="F189" s="342">
        <v>4597.82</v>
      </c>
      <c r="G189" s="344">
        <f t="shared" si="3"/>
        <v>4385.5099999999848</v>
      </c>
      <c r="H189" s="345"/>
      <c r="I189" s="346"/>
      <c r="J189" s="347"/>
      <c r="K189" s="312"/>
      <c r="L189" s="347"/>
      <c r="M189" s="312"/>
      <c r="N189" s="347"/>
      <c r="O189" s="312"/>
      <c r="P189" s="347"/>
      <c r="Q189" s="312"/>
      <c r="R189" s="347"/>
      <c r="S189" s="312"/>
      <c r="T189" s="347"/>
    </row>
    <row r="190" spans="1:20" ht="12" customHeight="1" x14ac:dyDescent="0.3">
      <c r="A190" s="340" t="s">
        <v>289</v>
      </c>
      <c r="B190" s="341">
        <v>2</v>
      </c>
      <c r="C190" s="309">
        <v>46127</v>
      </c>
      <c r="D190" s="310" t="s">
        <v>296</v>
      </c>
      <c r="E190" s="342">
        <v>14.67</v>
      </c>
      <c r="F190" s="342"/>
      <c r="G190" s="344">
        <f t="shared" si="3"/>
        <v>-212.31000000001481</v>
      </c>
      <c r="H190" s="345"/>
      <c r="I190" s="346"/>
      <c r="J190" s="347"/>
      <c r="K190" s="312"/>
      <c r="L190" s="347"/>
      <c r="M190" s="312"/>
      <c r="N190" s="347"/>
      <c r="O190" s="312"/>
      <c r="P190" s="347"/>
      <c r="Q190" s="312"/>
      <c r="R190" s="347"/>
      <c r="S190" s="312"/>
      <c r="T190" s="347"/>
    </row>
    <row r="191" spans="1:20" ht="12" customHeight="1" x14ac:dyDescent="0.3">
      <c r="A191" s="340" t="s">
        <v>289</v>
      </c>
      <c r="B191" s="341">
        <v>2</v>
      </c>
      <c r="C191" s="309">
        <v>46127</v>
      </c>
      <c r="D191" s="310" t="s">
        <v>349</v>
      </c>
      <c r="E191" s="342">
        <v>102.2</v>
      </c>
      <c r="F191" s="342"/>
      <c r="G191" s="344">
        <f t="shared" si="3"/>
        <v>-197.64000000001482</v>
      </c>
      <c r="H191" s="345"/>
      <c r="I191" s="346"/>
      <c r="J191" s="347"/>
      <c r="K191" s="312"/>
      <c r="L191" s="347"/>
      <c r="M191" s="312"/>
      <c r="N191" s="347"/>
      <c r="O191" s="312"/>
      <c r="P191" s="347"/>
      <c r="Q191" s="312"/>
      <c r="R191" s="347"/>
      <c r="S191" s="312"/>
      <c r="T191" s="347"/>
    </row>
    <row r="192" spans="1:20" ht="12" customHeight="1" x14ac:dyDescent="0.3">
      <c r="A192" s="340" t="s">
        <v>289</v>
      </c>
      <c r="B192" s="341">
        <v>8</v>
      </c>
      <c r="C192" s="309">
        <v>46126</v>
      </c>
      <c r="D192" s="310" t="s">
        <v>321</v>
      </c>
      <c r="E192" s="342">
        <v>15.53</v>
      </c>
      <c r="F192" s="342"/>
      <c r="G192" s="344">
        <f t="shared" si="3"/>
        <v>-95.440000000014805</v>
      </c>
      <c r="H192" s="345"/>
      <c r="I192" s="346"/>
      <c r="J192" s="347"/>
      <c r="K192" s="312"/>
      <c r="L192" s="347"/>
      <c r="M192" s="312"/>
      <c r="N192" s="347"/>
      <c r="O192" s="312"/>
      <c r="P192" s="347"/>
      <c r="Q192" s="312"/>
      <c r="R192" s="347"/>
      <c r="S192" s="312"/>
      <c r="T192" s="347"/>
    </row>
    <row r="193" spans="1:20" ht="12" customHeight="1" x14ac:dyDescent="0.3">
      <c r="A193" s="340" t="s">
        <v>294</v>
      </c>
      <c r="B193" s="341">
        <v>24</v>
      </c>
      <c r="C193" s="309">
        <v>46126</v>
      </c>
      <c r="D193" s="310" t="s">
        <v>199</v>
      </c>
      <c r="E193" s="342">
        <v>105.33</v>
      </c>
      <c r="F193" s="342"/>
      <c r="G193" s="344">
        <f t="shared" si="3"/>
        <v>-79.910000000014804</v>
      </c>
      <c r="H193" s="345"/>
      <c r="I193" s="346"/>
      <c r="J193" s="347"/>
      <c r="K193" s="312"/>
      <c r="L193" s="347"/>
      <c r="M193" s="312"/>
      <c r="N193" s="347"/>
      <c r="O193" s="312"/>
      <c r="P193" s="347"/>
      <c r="Q193" s="312"/>
      <c r="R193" s="347"/>
      <c r="S193" s="312"/>
      <c r="T193" s="347"/>
    </row>
    <row r="194" spans="1:20" ht="12" customHeight="1" x14ac:dyDescent="0.3">
      <c r="A194" s="340" t="s">
        <v>289</v>
      </c>
      <c r="B194" s="341">
        <v>2</v>
      </c>
      <c r="C194" s="309">
        <v>46125</v>
      </c>
      <c r="D194" s="310" t="s">
        <v>350</v>
      </c>
      <c r="E194" s="342">
        <v>11.64</v>
      </c>
      <c r="F194" s="342"/>
      <c r="G194" s="344">
        <f t="shared" si="3"/>
        <v>25.419999999985201</v>
      </c>
      <c r="H194" s="345"/>
      <c r="I194" s="346"/>
      <c r="J194" s="347"/>
      <c r="K194" s="312"/>
      <c r="L194" s="347"/>
      <c r="M194" s="312"/>
      <c r="N194" s="347"/>
      <c r="O194" s="312"/>
      <c r="P194" s="347"/>
      <c r="Q194" s="312"/>
      <c r="R194" s="347"/>
      <c r="S194" s="312"/>
      <c r="T194" s="347"/>
    </row>
    <row r="195" spans="1:20" ht="12" customHeight="1" x14ac:dyDescent="0.3">
      <c r="A195" s="340" t="s">
        <v>289</v>
      </c>
      <c r="B195" s="341">
        <v>1</v>
      </c>
      <c r="C195" s="309">
        <v>46125</v>
      </c>
      <c r="D195" s="310" t="s">
        <v>307</v>
      </c>
      <c r="E195" s="342">
        <v>50.71</v>
      </c>
      <c r="F195" s="342"/>
      <c r="G195" s="344">
        <f t="shared" si="3"/>
        <v>37.059999999985202</v>
      </c>
      <c r="H195" s="345"/>
      <c r="I195" s="346"/>
      <c r="J195" s="347"/>
      <c r="K195" s="312"/>
      <c r="L195" s="347"/>
      <c r="M195" s="312"/>
      <c r="N195" s="347"/>
      <c r="O195" s="312"/>
      <c r="P195" s="347"/>
      <c r="Q195" s="312"/>
      <c r="R195" s="347"/>
      <c r="S195" s="312"/>
      <c r="T195" s="347"/>
    </row>
    <row r="196" spans="1:20" ht="12" customHeight="1" x14ac:dyDescent="0.3">
      <c r="A196" s="340" t="s">
        <v>289</v>
      </c>
      <c r="B196" s="341">
        <v>2</v>
      </c>
      <c r="C196" s="309">
        <v>46125</v>
      </c>
      <c r="D196" s="310" t="s">
        <v>338</v>
      </c>
      <c r="E196" s="342">
        <v>11.06</v>
      </c>
      <c r="F196" s="342"/>
      <c r="G196" s="344">
        <f t="shared" si="3"/>
        <v>87.769999999985203</v>
      </c>
      <c r="H196" s="345"/>
      <c r="I196" s="346"/>
      <c r="J196" s="347"/>
      <c r="K196" s="312"/>
      <c r="L196" s="347"/>
      <c r="M196" s="312"/>
      <c r="N196" s="347"/>
      <c r="O196" s="312"/>
      <c r="P196" s="347"/>
      <c r="Q196" s="312"/>
      <c r="R196" s="347"/>
      <c r="S196" s="312"/>
      <c r="T196" s="347"/>
    </row>
    <row r="197" spans="1:20" ht="12" customHeight="1" x14ac:dyDescent="0.3">
      <c r="A197" s="340" t="s">
        <v>289</v>
      </c>
      <c r="B197" s="341">
        <v>4</v>
      </c>
      <c r="C197" s="309">
        <v>46125</v>
      </c>
      <c r="D197" s="310" t="s">
        <v>295</v>
      </c>
      <c r="E197" s="342">
        <v>35.979999999999997</v>
      </c>
      <c r="F197" s="342"/>
      <c r="G197" s="344">
        <f t="shared" si="3"/>
        <v>98.829999999985205</v>
      </c>
      <c r="H197" s="345"/>
      <c r="I197" s="346"/>
      <c r="J197" s="347"/>
      <c r="K197" s="312"/>
      <c r="L197" s="347"/>
      <c r="M197" s="312"/>
      <c r="N197" s="347"/>
      <c r="O197" s="312"/>
      <c r="P197" s="347"/>
      <c r="Q197" s="312"/>
      <c r="R197" s="347"/>
      <c r="S197" s="312"/>
      <c r="T197" s="347"/>
    </row>
    <row r="198" spans="1:20" ht="12" customHeight="1" x14ac:dyDescent="0.3">
      <c r="A198" s="340" t="s">
        <v>289</v>
      </c>
      <c r="B198" s="341">
        <v>8</v>
      </c>
      <c r="C198" s="309">
        <v>46125</v>
      </c>
      <c r="D198" s="310" t="s">
        <v>351</v>
      </c>
      <c r="E198" s="342">
        <v>7.83</v>
      </c>
      <c r="F198" s="342"/>
      <c r="G198" s="344">
        <f t="shared" si="3"/>
        <v>134.80999999998519</v>
      </c>
      <c r="H198" s="345"/>
      <c r="I198" s="346"/>
      <c r="J198" s="347"/>
      <c r="K198" s="312"/>
      <c r="L198" s="347"/>
      <c r="M198" s="312"/>
      <c r="N198" s="347"/>
      <c r="O198" s="312"/>
      <c r="P198" s="347"/>
      <c r="Q198" s="312"/>
      <c r="R198" s="347"/>
      <c r="S198" s="312"/>
      <c r="T198" s="347"/>
    </row>
    <row r="199" spans="1:20" ht="12" customHeight="1" x14ac:dyDescent="0.3">
      <c r="A199" s="340" t="s">
        <v>289</v>
      </c>
      <c r="B199" s="341">
        <v>3</v>
      </c>
      <c r="C199" s="309">
        <v>46125</v>
      </c>
      <c r="D199" s="310" t="s">
        <v>352</v>
      </c>
      <c r="E199" s="342">
        <v>4.1900000000000004</v>
      </c>
      <c r="F199" s="342"/>
      <c r="G199" s="344">
        <f t="shared" si="3"/>
        <v>142.63999999998521</v>
      </c>
      <c r="H199" s="345"/>
      <c r="I199" s="346"/>
      <c r="J199" s="347"/>
      <c r="K199" s="312"/>
      <c r="L199" s="347"/>
      <c r="M199" s="312"/>
      <c r="N199" s="347"/>
      <c r="O199" s="312"/>
      <c r="P199" s="347"/>
      <c r="Q199" s="312"/>
      <c r="R199" s="347"/>
      <c r="S199" s="312"/>
      <c r="T199" s="347"/>
    </row>
    <row r="200" spans="1:20" ht="12" customHeight="1" x14ac:dyDescent="0.3">
      <c r="A200" s="340" t="s">
        <v>289</v>
      </c>
      <c r="B200" s="341">
        <v>8</v>
      </c>
      <c r="C200" s="309">
        <v>46125</v>
      </c>
      <c r="D200" s="310" t="s">
        <v>353</v>
      </c>
      <c r="E200" s="342">
        <v>39.25</v>
      </c>
      <c r="F200" s="342"/>
      <c r="G200" s="344">
        <f t="shared" si="3"/>
        <v>146.8299999999852</v>
      </c>
      <c r="H200" s="345"/>
      <c r="I200" s="346"/>
      <c r="J200" s="347"/>
      <c r="K200" s="312"/>
      <c r="L200" s="347"/>
      <c r="M200" s="312"/>
      <c r="N200" s="347"/>
      <c r="O200" s="312"/>
      <c r="P200" s="347"/>
      <c r="Q200" s="312"/>
      <c r="R200" s="347"/>
      <c r="S200" s="312"/>
      <c r="T200" s="347"/>
    </row>
    <row r="201" spans="1:20" ht="12" customHeight="1" x14ac:dyDescent="0.3">
      <c r="A201" s="340" t="s">
        <v>287</v>
      </c>
      <c r="B201" s="341" t="s">
        <v>287</v>
      </c>
      <c r="C201" s="309">
        <v>46125</v>
      </c>
      <c r="D201" s="310" t="s">
        <v>354</v>
      </c>
      <c r="E201" s="342">
        <v>318.36</v>
      </c>
      <c r="F201" s="342">
        <v>318.36</v>
      </c>
      <c r="G201" s="344">
        <f t="shared" si="3"/>
        <v>186.0799999999852</v>
      </c>
      <c r="H201" s="345"/>
      <c r="I201" s="346"/>
      <c r="J201" s="347"/>
      <c r="K201" s="312"/>
      <c r="L201" s="347"/>
      <c r="M201" s="312"/>
      <c r="N201" s="347"/>
      <c r="O201" s="312"/>
      <c r="P201" s="347"/>
      <c r="Q201" s="312"/>
      <c r="R201" s="347"/>
      <c r="S201" s="312"/>
      <c r="T201" s="347"/>
    </row>
    <row r="202" spans="1:20" ht="12" customHeight="1" x14ac:dyDescent="0.3">
      <c r="A202" s="340" t="s">
        <v>294</v>
      </c>
      <c r="B202" s="341">
        <v>19</v>
      </c>
      <c r="C202" s="309">
        <v>46125</v>
      </c>
      <c r="D202" s="310" t="s">
        <v>191</v>
      </c>
      <c r="E202" s="342">
        <v>200</v>
      </c>
      <c r="F202" s="342"/>
      <c r="G202" s="344">
        <f t="shared" si="3"/>
        <v>186.0799999999852</v>
      </c>
      <c r="H202" s="345"/>
      <c r="I202" s="346"/>
      <c r="J202" s="347"/>
      <c r="K202" s="312"/>
      <c r="L202" s="347"/>
      <c r="M202" s="312"/>
      <c r="N202" s="347"/>
      <c r="O202" s="312"/>
      <c r="P202" s="347"/>
      <c r="Q202" s="312"/>
      <c r="R202" s="347"/>
      <c r="S202" s="312"/>
      <c r="T202" s="347"/>
    </row>
    <row r="203" spans="1:20" ht="12" customHeight="1" x14ac:dyDescent="0.3">
      <c r="A203" s="340" t="s">
        <v>289</v>
      </c>
      <c r="B203" s="341">
        <v>1</v>
      </c>
      <c r="C203" s="309">
        <v>46124</v>
      </c>
      <c r="D203" s="310" t="s">
        <v>304</v>
      </c>
      <c r="E203" s="342">
        <v>136.05000000000001</v>
      </c>
      <c r="F203" s="342"/>
      <c r="G203" s="344">
        <f t="shared" si="3"/>
        <v>386.0799999999852</v>
      </c>
      <c r="H203" s="345"/>
      <c r="I203" s="346"/>
      <c r="J203" s="347"/>
      <c r="K203" s="312"/>
      <c r="L203" s="347"/>
      <c r="M203" s="312"/>
      <c r="N203" s="347"/>
      <c r="O203" s="312"/>
      <c r="P203" s="347"/>
      <c r="Q203" s="312"/>
      <c r="R203" s="347"/>
      <c r="S203" s="312"/>
      <c r="T203" s="347"/>
    </row>
    <row r="204" spans="1:20" ht="12" customHeight="1" x14ac:dyDescent="0.3">
      <c r="A204" s="340" t="s">
        <v>289</v>
      </c>
      <c r="B204" s="341">
        <v>3</v>
      </c>
      <c r="C204" s="309">
        <v>46124</v>
      </c>
      <c r="D204" s="310" t="s">
        <v>352</v>
      </c>
      <c r="E204" s="342">
        <v>13.09</v>
      </c>
      <c r="F204" s="342"/>
      <c r="G204" s="344">
        <f t="shared" si="3"/>
        <v>522.12999999998522</v>
      </c>
      <c r="H204" s="345"/>
      <c r="I204" s="346"/>
      <c r="J204" s="347"/>
      <c r="K204" s="312"/>
      <c r="L204" s="347"/>
      <c r="M204" s="312"/>
      <c r="N204" s="347"/>
      <c r="O204" s="312"/>
      <c r="P204" s="347"/>
      <c r="Q204" s="312"/>
      <c r="R204" s="347"/>
      <c r="S204" s="312"/>
      <c r="T204" s="347"/>
    </row>
    <row r="205" spans="1:20" ht="12" customHeight="1" x14ac:dyDescent="0.3">
      <c r="A205" s="340" t="s">
        <v>289</v>
      </c>
      <c r="B205" s="341">
        <v>8</v>
      </c>
      <c r="C205" s="309">
        <v>46124</v>
      </c>
      <c r="D205" s="310" t="s">
        <v>321</v>
      </c>
      <c r="E205" s="342">
        <v>24.47</v>
      </c>
      <c r="F205" s="342"/>
      <c r="G205" s="344">
        <f t="shared" si="3"/>
        <v>535.21999999998525</v>
      </c>
      <c r="H205" s="345"/>
      <c r="I205" s="346"/>
      <c r="J205" s="347"/>
      <c r="K205" s="312"/>
      <c r="L205" s="347"/>
      <c r="M205" s="312"/>
      <c r="N205" s="347"/>
      <c r="O205" s="312"/>
      <c r="P205" s="347"/>
      <c r="Q205" s="312"/>
      <c r="R205" s="347"/>
      <c r="S205" s="312"/>
      <c r="T205" s="347"/>
    </row>
    <row r="206" spans="1:20" ht="12" customHeight="1" x14ac:dyDescent="0.3">
      <c r="A206" s="340" t="s">
        <v>289</v>
      </c>
      <c r="B206" s="341">
        <v>8</v>
      </c>
      <c r="C206" s="309">
        <v>46124</v>
      </c>
      <c r="D206" s="310" t="s">
        <v>321</v>
      </c>
      <c r="E206" s="342">
        <v>14.29</v>
      </c>
      <c r="F206" s="342"/>
      <c r="G206" s="344">
        <f t="shared" si="3"/>
        <v>559.68999999998528</v>
      </c>
      <c r="H206" s="345"/>
      <c r="I206" s="346"/>
      <c r="J206" s="347"/>
      <c r="K206" s="312"/>
      <c r="L206" s="347"/>
      <c r="M206" s="312"/>
      <c r="N206" s="347"/>
      <c r="O206" s="312"/>
      <c r="P206" s="347"/>
      <c r="Q206" s="312"/>
      <c r="R206" s="347"/>
      <c r="S206" s="312"/>
      <c r="T206" s="347"/>
    </row>
    <row r="207" spans="1:20" ht="12" customHeight="1" x14ac:dyDescent="0.3">
      <c r="A207" s="340" t="s">
        <v>294</v>
      </c>
      <c r="B207" s="341">
        <v>22</v>
      </c>
      <c r="C207" s="309">
        <v>46124</v>
      </c>
      <c r="D207" s="310" t="s">
        <v>306</v>
      </c>
      <c r="E207" s="342">
        <v>9.57</v>
      </c>
      <c r="F207" s="342"/>
      <c r="G207" s="344">
        <f t="shared" si="3"/>
        <v>573.97999999998524</v>
      </c>
      <c r="H207" s="345"/>
      <c r="I207" s="346"/>
      <c r="J207" s="347"/>
      <c r="K207" s="312"/>
      <c r="L207" s="347"/>
      <c r="M207" s="312"/>
      <c r="N207" s="347"/>
      <c r="O207" s="312"/>
      <c r="P207" s="347"/>
      <c r="Q207" s="312"/>
      <c r="R207" s="347"/>
      <c r="S207" s="312"/>
      <c r="T207" s="347"/>
    </row>
    <row r="208" spans="1:20" ht="12" customHeight="1" x14ac:dyDescent="0.3">
      <c r="A208" s="340" t="s">
        <v>289</v>
      </c>
      <c r="B208" s="341">
        <v>3</v>
      </c>
      <c r="C208" s="309">
        <v>46124</v>
      </c>
      <c r="D208" s="310" t="s">
        <v>355</v>
      </c>
      <c r="E208" s="342">
        <v>25</v>
      </c>
      <c r="F208" s="342"/>
      <c r="G208" s="344">
        <f t="shared" si="3"/>
        <v>583.54999999998529</v>
      </c>
      <c r="H208" s="345"/>
      <c r="I208" s="346"/>
      <c r="J208" s="347"/>
      <c r="K208" s="312"/>
      <c r="L208" s="347"/>
      <c r="M208" s="312"/>
      <c r="N208" s="347"/>
      <c r="O208" s="312"/>
      <c r="P208" s="347"/>
      <c r="Q208" s="312"/>
      <c r="R208" s="347"/>
      <c r="S208" s="312"/>
      <c r="T208" s="347"/>
    </row>
    <row r="209" spans="1:20" ht="12" customHeight="1" x14ac:dyDescent="0.3">
      <c r="A209" s="340" t="s">
        <v>294</v>
      </c>
      <c r="B209" s="341">
        <v>22</v>
      </c>
      <c r="C209" s="309">
        <v>46123</v>
      </c>
      <c r="D209" s="310" t="s">
        <v>356</v>
      </c>
      <c r="E209" s="342">
        <v>19.16</v>
      </c>
      <c r="F209" s="342"/>
      <c r="G209" s="344">
        <f t="shared" si="3"/>
        <v>608.54999999998529</v>
      </c>
      <c r="H209" s="345"/>
      <c r="I209" s="346"/>
      <c r="J209" s="347"/>
      <c r="K209" s="312"/>
      <c r="L209" s="347"/>
      <c r="M209" s="312"/>
      <c r="N209" s="347"/>
      <c r="O209" s="312"/>
      <c r="P209" s="347"/>
      <c r="Q209" s="312"/>
      <c r="R209" s="347"/>
      <c r="S209" s="312"/>
      <c r="T209" s="347"/>
    </row>
    <row r="210" spans="1:20" ht="12" customHeight="1" x14ac:dyDescent="0.3">
      <c r="A210" s="340" t="s">
        <v>289</v>
      </c>
      <c r="B210" s="341">
        <v>2</v>
      </c>
      <c r="C210" s="309">
        <v>46123</v>
      </c>
      <c r="D210" s="310" t="s">
        <v>301</v>
      </c>
      <c r="E210" s="342">
        <v>20.91</v>
      </c>
      <c r="F210" s="342"/>
      <c r="G210" s="344">
        <f t="shared" si="3"/>
        <v>627.70999999998526</v>
      </c>
      <c r="H210" s="345"/>
      <c r="I210" s="346"/>
      <c r="J210" s="347"/>
      <c r="K210" s="312"/>
      <c r="L210" s="347"/>
      <c r="M210" s="312"/>
      <c r="N210" s="347"/>
      <c r="O210" s="312"/>
      <c r="P210" s="347"/>
      <c r="Q210" s="312"/>
      <c r="R210" s="347"/>
      <c r="S210" s="312"/>
      <c r="T210" s="347"/>
    </row>
    <row r="211" spans="1:20" ht="12" customHeight="1" x14ac:dyDescent="0.3">
      <c r="A211" s="340" t="s">
        <v>289</v>
      </c>
      <c r="B211" s="341">
        <v>2</v>
      </c>
      <c r="C211" s="309">
        <v>46123</v>
      </c>
      <c r="D211" s="310" t="s">
        <v>296</v>
      </c>
      <c r="E211" s="342">
        <v>12.44</v>
      </c>
      <c r="F211" s="342"/>
      <c r="G211" s="344">
        <f t="shared" si="3"/>
        <v>648.61999999998523</v>
      </c>
      <c r="H211" s="345"/>
      <c r="I211" s="346"/>
      <c r="J211" s="347"/>
      <c r="K211" s="312"/>
      <c r="L211" s="347"/>
      <c r="M211" s="312"/>
      <c r="N211" s="347"/>
      <c r="O211" s="312"/>
      <c r="P211" s="347"/>
      <c r="Q211" s="312"/>
      <c r="R211" s="347"/>
      <c r="S211" s="312"/>
      <c r="T211" s="347"/>
    </row>
    <row r="212" spans="1:20" ht="12" customHeight="1" x14ac:dyDescent="0.3">
      <c r="A212" s="340" t="s">
        <v>289</v>
      </c>
      <c r="B212" s="341">
        <v>2</v>
      </c>
      <c r="C212" s="309">
        <v>46123</v>
      </c>
      <c r="D212" s="310" t="s">
        <v>357</v>
      </c>
      <c r="E212" s="342">
        <v>41.34</v>
      </c>
      <c r="F212" s="342"/>
      <c r="G212" s="344">
        <f t="shared" si="3"/>
        <v>661.05999999998528</v>
      </c>
      <c r="H212" s="345"/>
      <c r="I212" s="346"/>
      <c r="J212" s="347"/>
      <c r="K212" s="312"/>
      <c r="L212" s="347"/>
      <c r="M212" s="312"/>
      <c r="N212" s="347"/>
      <c r="O212" s="312"/>
      <c r="P212" s="347"/>
      <c r="Q212" s="312"/>
      <c r="R212" s="347"/>
      <c r="S212" s="312"/>
      <c r="T212" s="347"/>
    </row>
    <row r="213" spans="1:20" ht="12" customHeight="1" x14ac:dyDescent="0.3">
      <c r="A213" s="340" t="s">
        <v>289</v>
      </c>
      <c r="B213" s="341">
        <v>6</v>
      </c>
      <c r="C213" s="309">
        <v>46122</v>
      </c>
      <c r="D213" s="310" t="s">
        <v>455</v>
      </c>
      <c r="E213" s="342">
        <v>-0.04</v>
      </c>
      <c r="F213" s="342"/>
      <c r="G213" s="344">
        <f t="shared" si="3"/>
        <v>702.39999999998531</v>
      </c>
      <c r="H213" s="345"/>
      <c r="I213" s="346"/>
      <c r="J213" s="347"/>
      <c r="K213" s="312"/>
      <c r="L213" s="347"/>
      <c r="M213" s="312"/>
      <c r="N213" s="347"/>
      <c r="O213" s="312"/>
      <c r="P213" s="347"/>
      <c r="Q213" s="312"/>
      <c r="R213" s="347"/>
      <c r="S213" s="312"/>
      <c r="T213" s="347"/>
    </row>
    <row r="214" spans="1:20" ht="12" customHeight="1" x14ac:dyDescent="0.3">
      <c r="A214" s="340" t="s">
        <v>289</v>
      </c>
      <c r="B214" s="341">
        <v>5</v>
      </c>
      <c r="C214" s="309">
        <v>46122</v>
      </c>
      <c r="D214" s="310" t="s">
        <v>358</v>
      </c>
      <c r="E214" s="342">
        <v>372</v>
      </c>
      <c r="F214" s="342"/>
      <c r="G214" s="344">
        <f t="shared" si="3"/>
        <v>702.35999999998535</v>
      </c>
      <c r="H214" s="345" t="s">
        <v>298</v>
      </c>
      <c r="I214" s="346"/>
      <c r="J214" s="347"/>
      <c r="K214" s="312"/>
      <c r="L214" s="347"/>
      <c r="M214" s="312"/>
      <c r="N214" s="347"/>
      <c r="O214" s="312"/>
      <c r="P214" s="347"/>
      <c r="Q214" s="312"/>
      <c r="R214" s="347"/>
      <c r="S214" s="312"/>
      <c r="T214" s="347"/>
    </row>
    <row r="215" spans="1:20" ht="12" customHeight="1" x14ac:dyDescent="0.3">
      <c r="A215" s="340" t="s">
        <v>289</v>
      </c>
      <c r="B215" s="341">
        <v>2</v>
      </c>
      <c r="C215" s="309">
        <v>46122</v>
      </c>
      <c r="D215" s="310" t="s">
        <v>359</v>
      </c>
      <c r="E215" s="342">
        <v>15.22</v>
      </c>
      <c r="F215" s="342"/>
      <c r="G215" s="344">
        <f t="shared" si="3"/>
        <v>1074.3599999999853</v>
      </c>
      <c r="H215" s="345"/>
      <c r="I215" s="346"/>
      <c r="J215" s="347"/>
      <c r="K215" s="312"/>
      <c r="L215" s="347"/>
      <c r="M215" s="312"/>
      <c r="N215" s="347"/>
      <c r="O215" s="312"/>
      <c r="P215" s="347"/>
      <c r="Q215" s="312"/>
      <c r="R215" s="347"/>
      <c r="S215" s="312"/>
      <c r="T215" s="347"/>
    </row>
    <row r="216" spans="1:20" ht="12" customHeight="1" x14ac:dyDescent="0.3">
      <c r="A216" s="340" t="s">
        <v>289</v>
      </c>
      <c r="B216" s="341">
        <v>3</v>
      </c>
      <c r="C216" s="309">
        <v>46122</v>
      </c>
      <c r="D216" s="310" t="s">
        <v>296</v>
      </c>
      <c r="E216" s="342">
        <v>9.5500000000000007</v>
      </c>
      <c r="F216" s="342"/>
      <c r="G216" s="344">
        <f t="shared" si="3"/>
        <v>1089.5799999999854</v>
      </c>
      <c r="H216" s="345"/>
      <c r="I216" s="346"/>
      <c r="J216" s="347"/>
      <c r="K216" s="312"/>
      <c r="L216" s="347"/>
      <c r="M216" s="312"/>
      <c r="N216" s="347"/>
      <c r="O216" s="312"/>
      <c r="P216" s="347"/>
      <c r="Q216" s="312"/>
      <c r="R216" s="347"/>
      <c r="S216" s="312"/>
      <c r="T216" s="347"/>
    </row>
    <row r="217" spans="1:20" ht="12" customHeight="1" x14ac:dyDescent="0.3">
      <c r="A217" s="340" t="s">
        <v>289</v>
      </c>
      <c r="B217" s="341">
        <v>8</v>
      </c>
      <c r="C217" s="309">
        <v>46122</v>
      </c>
      <c r="D217" s="310" t="s">
        <v>360</v>
      </c>
      <c r="E217" s="342">
        <v>52.65</v>
      </c>
      <c r="F217" s="342"/>
      <c r="G217" s="344">
        <f t="shared" si="3"/>
        <v>1099.1299999999853</v>
      </c>
      <c r="H217" s="345"/>
      <c r="I217" s="346"/>
      <c r="J217" s="347"/>
      <c r="K217" s="312"/>
      <c r="L217" s="347"/>
      <c r="M217" s="312"/>
      <c r="N217" s="347"/>
      <c r="O217" s="312"/>
      <c r="P217" s="347"/>
      <c r="Q217" s="312"/>
      <c r="R217" s="347"/>
      <c r="S217" s="312"/>
      <c r="T217" s="347"/>
    </row>
    <row r="218" spans="1:20" ht="12" customHeight="1" x14ac:dyDescent="0.3">
      <c r="A218" s="340" t="s">
        <v>289</v>
      </c>
      <c r="B218" s="341">
        <v>1</v>
      </c>
      <c r="C218" s="309">
        <v>46122</v>
      </c>
      <c r="D218" s="310" t="s">
        <v>312</v>
      </c>
      <c r="E218" s="342">
        <v>68.989999999999995</v>
      </c>
      <c r="F218" s="342"/>
      <c r="G218" s="344">
        <f t="shared" si="3"/>
        <v>1151.7799999999854</v>
      </c>
      <c r="H218" s="345"/>
      <c r="I218" s="346"/>
      <c r="J218" s="347"/>
      <c r="K218" s="312"/>
      <c r="L218" s="347"/>
      <c r="M218" s="312"/>
      <c r="N218" s="347"/>
      <c r="O218" s="312"/>
      <c r="P218" s="347"/>
      <c r="Q218" s="312"/>
      <c r="R218" s="347"/>
      <c r="S218" s="312"/>
      <c r="T218" s="347"/>
    </row>
    <row r="219" spans="1:20" ht="12" customHeight="1" x14ac:dyDescent="0.3">
      <c r="A219" s="340" t="s">
        <v>289</v>
      </c>
      <c r="B219" s="341">
        <v>2</v>
      </c>
      <c r="C219" s="309">
        <v>46122</v>
      </c>
      <c r="D219" s="310" t="s">
        <v>327</v>
      </c>
      <c r="E219" s="342">
        <v>17.37</v>
      </c>
      <c r="F219" s="342"/>
      <c r="G219" s="344">
        <f t="shared" si="3"/>
        <v>1220.7699999999854</v>
      </c>
      <c r="H219" s="345"/>
      <c r="I219" s="346"/>
      <c r="J219" s="347"/>
      <c r="K219" s="312"/>
      <c r="L219" s="347"/>
      <c r="M219" s="312"/>
      <c r="N219" s="347"/>
      <c r="O219" s="312"/>
      <c r="P219" s="347"/>
      <c r="Q219" s="312"/>
      <c r="R219" s="347"/>
      <c r="S219" s="312"/>
      <c r="T219" s="347"/>
    </row>
    <row r="220" spans="1:20" ht="12" customHeight="1" x14ac:dyDescent="0.3">
      <c r="A220" s="340" t="s">
        <v>289</v>
      </c>
      <c r="B220" s="341">
        <v>8</v>
      </c>
      <c r="C220" s="309">
        <v>46121</v>
      </c>
      <c r="D220" s="310" t="s">
        <v>361</v>
      </c>
      <c r="E220" s="342">
        <v>64.42</v>
      </c>
      <c r="F220" s="342"/>
      <c r="G220" s="344">
        <f t="shared" si="3"/>
        <v>1238.1399999999853</v>
      </c>
      <c r="H220" s="345"/>
      <c r="I220" s="346"/>
      <c r="J220" s="347"/>
      <c r="K220" s="312"/>
      <c r="L220" s="347"/>
      <c r="M220" s="312"/>
      <c r="N220" s="347"/>
      <c r="O220" s="312"/>
      <c r="P220" s="347"/>
      <c r="Q220" s="312"/>
      <c r="R220" s="347"/>
      <c r="S220" s="312"/>
      <c r="T220" s="347"/>
    </row>
    <row r="221" spans="1:20" ht="12" customHeight="1" x14ac:dyDescent="0.3">
      <c r="A221" s="340" t="s">
        <v>289</v>
      </c>
      <c r="B221" s="341">
        <v>2</v>
      </c>
      <c r="C221" s="309">
        <v>46121</v>
      </c>
      <c r="D221" s="310" t="s">
        <v>362</v>
      </c>
      <c r="E221" s="342">
        <v>9.4700000000000006</v>
      </c>
      <c r="F221" s="342"/>
      <c r="G221" s="344">
        <f t="shared" si="3"/>
        <v>1302.5599999999854</v>
      </c>
      <c r="H221" s="345"/>
      <c r="I221" s="346"/>
      <c r="J221" s="347"/>
      <c r="K221" s="312"/>
      <c r="L221" s="347"/>
      <c r="M221" s="312"/>
      <c r="N221" s="347"/>
      <c r="O221" s="312"/>
      <c r="P221" s="347"/>
      <c r="Q221" s="312"/>
      <c r="R221" s="347"/>
      <c r="S221" s="312"/>
      <c r="T221" s="347"/>
    </row>
    <row r="222" spans="1:20" ht="12" customHeight="1" x14ac:dyDescent="0.3">
      <c r="A222" s="340" t="s">
        <v>289</v>
      </c>
      <c r="B222" s="341">
        <v>5</v>
      </c>
      <c r="C222" s="309">
        <v>46121</v>
      </c>
      <c r="D222" s="310" t="s">
        <v>871</v>
      </c>
      <c r="E222" s="342">
        <v>10.68</v>
      </c>
      <c r="F222" s="342"/>
      <c r="G222" s="344">
        <f t="shared" si="3"/>
        <v>1312.0299999999854</v>
      </c>
      <c r="H222" s="345"/>
      <c r="I222" s="346"/>
      <c r="J222" s="347"/>
      <c r="K222" s="312"/>
      <c r="L222" s="347"/>
      <c r="M222" s="312"/>
      <c r="N222" s="347"/>
      <c r="O222" s="312"/>
      <c r="P222" s="347"/>
      <c r="Q222" s="312"/>
      <c r="R222" s="347"/>
      <c r="S222" s="312"/>
      <c r="T222" s="347"/>
    </row>
    <row r="223" spans="1:20" ht="12" customHeight="1" x14ac:dyDescent="0.3">
      <c r="A223" s="340" t="s">
        <v>289</v>
      </c>
      <c r="B223" s="341">
        <v>7</v>
      </c>
      <c r="C223" s="309">
        <v>46121</v>
      </c>
      <c r="D223" s="310" t="s">
        <v>363</v>
      </c>
      <c r="E223" s="342">
        <v>68.010000000000005</v>
      </c>
      <c r="F223" s="342"/>
      <c r="G223" s="344">
        <f t="shared" si="3"/>
        <v>1322.7099999999855</v>
      </c>
      <c r="H223" s="345"/>
      <c r="I223" s="346"/>
      <c r="J223" s="347"/>
      <c r="K223" s="312"/>
      <c r="L223" s="347"/>
      <c r="M223" s="312"/>
      <c r="N223" s="347"/>
      <c r="O223" s="312"/>
      <c r="P223" s="347"/>
      <c r="Q223" s="312"/>
      <c r="R223" s="347"/>
      <c r="S223" s="312"/>
      <c r="T223" s="347"/>
    </row>
    <row r="224" spans="1:20" ht="12" customHeight="1" x14ac:dyDescent="0.3">
      <c r="A224" s="340" t="s">
        <v>289</v>
      </c>
      <c r="B224" s="341">
        <v>4</v>
      </c>
      <c r="C224" s="309">
        <v>46121</v>
      </c>
      <c r="D224" s="310" t="s">
        <v>311</v>
      </c>
      <c r="E224" s="342">
        <v>40.85</v>
      </c>
      <c r="F224" s="342"/>
      <c r="G224" s="344">
        <f t="shared" si="3"/>
        <v>1390.7199999999855</v>
      </c>
      <c r="H224" s="345"/>
      <c r="I224" s="346"/>
      <c r="J224" s="347"/>
      <c r="K224" s="312"/>
      <c r="L224" s="347"/>
      <c r="M224" s="312"/>
      <c r="N224" s="347"/>
      <c r="O224" s="312"/>
      <c r="P224" s="347"/>
      <c r="Q224" s="312"/>
      <c r="R224" s="347"/>
      <c r="S224" s="312"/>
      <c r="T224" s="347"/>
    </row>
    <row r="225" spans="1:20" ht="12" customHeight="1" x14ac:dyDescent="0.3">
      <c r="A225" s="340" t="s">
        <v>289</v>
      </c>
      <c r="B225" s="341">
        <v>6</v>
      </c>
      <c r="C225" s="309">
        <v>46121</v>
      </c>
      <c r="D225" s="310" t="s">
        <v>364</v>
      </c>
      <c r="E225" s="342">
        <v>25</v>
      </c>
      <c r="F225" s="342"/>
      <c r="G225" s="344">
        <f t="shared" si="3"/>
        <v>1431.5699999999854</v>
      </c>
      <c r="H225" s="345"/>
      <c r="I225" s="346"/>
      <c r="J225" s="347"/>
      <c r="K225" s="312"/>
      <c r="L225" s="347"/>
      <c r="M225" s="312"/>
      <c r="N225" s="347"/>
      <c r="O225" s="312"/>
      <c r="P225" s="347"/>
      <c r="Q225" s="312"/>
      <c r="R225" s="347"/>
      <c r="S225" s="312"/>
      <c r="T225" s="347"/>
    </row>
    <row r="226" spans="1:20" ht="12" customHeight="1" x14ac:dyDescent="0.3">
      <c r="A226" s="340" t="s">
        <v>294</v>
      </c>
      <c r="B226" s="341">
        <v>18</v>
      </c>
      <c r="C226" s="309">
        <v>46120</v>
      </c>
      <c r="D226" s="310" t="s">
        <v>365</v>
      </c>
      <c r="E226" s="342">
        <v>400</v>
      </c>
      <c r="F226" s="342"/>
      <c r="G226" s="344">
        <f t="shared" si="3"/>
        <v>1456.5699999999854</v>
      </c>
      <c r="H226" s="345"/>
      <c r="I226" s="346"/>
      <c r="J226" s="347"/>
      <c r="K226" s="312"/>
      <c r="L226" s="347"/>
      <c r="M226" s="312"/>
      <c r="N226" s="347"/>
      <c r="O226" s="312"/>
      <c r="P226" s="347"/>
      <c r="Q226" s="312"/>
      <c r="R226" s="347"/>
      <c r="S226" s="312"/>
      <c r="T226" s="347"/>
    </row>
    <row r="227" spans="1:20" ht="12" customHeight="1" x14ac:dyDescent="0.3">
      <c r="A227" s="340" t="s">
        <v>339</v>
      </c>
      <c r="B227" s="341" t="s">
        <v>339</v>
      </c>
      <c r="C227" s="309">
        <v>46120</v>
      </c>
      <c r="D227" s="310" t="s">
        <v>182</v>
      </c>
      <c r="E227" s="342">
        <v>44.96</v>
      </c>
      <c r="F227" s="342"/>
      <c r="G227" s="344">
        <f t="shared" si="3"/>
        <v>1856.5699999999854</v>
      </c>
      <c r="H227" s="345"/>
      <c r="I227" s="346"/>
      <c r="J227" s="347"/>
      <c r="K227" s="312"/>
      <c r="L227" s="347"/>
      <c r="M227" s="312"/>
      <c r="N227" s="347"/>
      <c r="O227" s="312"/>
      <c r="P227" s="347"/>
      <c r="Q227" s="312"/>
      <c r="R227" s="347"/>
      <c r="S227" s="312"/>
      <c r="T227" s="347"/>
    </row>
    <row r="228" spans="1:20" ht="12" customHeight="1" x14ac:dyDescent="0.3">
      <c r="A228" s="340" t="s">
        <v>294</v>
      </c>
      <c r="B228" s="341">
        <v>13</v>
      </c>
      <c r="C228" s="309">
        <v>46120</v>
      </c>
      <c r="D228" s="310" t="s">
        <v>182</v>
      </c>
      <c r="E228" s="342">
        <v>104.98</v>
      </c>
      <c r="F228" s="342"/>
      <c r="G228" s="344">
        <f t="shared" si="3"/>
        <v>1901.5299999999854</v>
      </c>
      <c r="H228" s="345"/>
      <c r="I228" s="346"/>
      <c r="J228" s="347"/>
      <c r="K228" s="312"/>
      <c r="L228" s="347"/>
      <c r="M228" s="312"/>
      <c r="N228" s="347"/>
      <c r="O228" s="312"/>
      <c r="P228" s="347"/>
      <c r="Q228" s="312"/>
      <c r="R228" s="347"/>
      <c r="S228" s="312"/>
      <c r="T228" s="347"/>
    </row>
    <row r="229" spans="1:20" ht="12" customHeight="1" x14ac:dyDescent="0.3">
      <c r="A229" s="340" t="s">
        <v>289</v>
      </c>
      <c r="B229" s="341">
        <v>2</v>
      </c>
      <c r="C229" s="309">
        <v>46120</v>
      </c>
      <c r="D229" s="310" t="s">
        <v>296</v>
      </c>
      <c r="E229" s="342">
        <v>13.8</v>
      </c>
      <c r="F229" s="342"/>
      <c r="G229" s="344">
        <f t="shared" si="3"/>
        <v>2006.5099999999854</v>
      </c>
      <c r="H229" s="345"/>
      <c r="I229" s="346"/>
      <c r="J229" s="347"/>
      <c r="K229" s="312"/>
      <c r="L229" s="347"/>
      <c r="M229" s="312"/>
      <c r="N229" s="347"/>
      <c r="O229" s="312"/>
      <c r="P229" s="347"/>
      <c r="Q229" s="312"/>
      <c r="R229" s="347"/>
      <c r="S229" s="312"/>
      <c r="T229" s="347"/>
    </row>
    <row r="230" spans="1:20" ht="12" customHeight="1" x14ac:dyDescent="0.3">
      <c r="A230" s="340" t="s">
        <v>289</v>
      </c>
      <c r="B230" s="341">
        <v>4</v>
      </c>
      <c r="C230" s="309">
        <v>46120</v>
      </c>
      <c r="D230" s="310" t="s">
        <v>295</v>
      </c>
      <c r="E230" s="342">
        <v>37.92</v>
      </c>
      <c r="F230" s="342"/>
      <c r="G230" s="344">
        <f t="shared" si="3"/>
        <v>2020.3099999999854</v>
      </c>
      <c r="H230" s="345"/>
      <c r="I230" s="346"/>
      <c r="J230" s="347"/>
      <c r="K230" s="312"/>
      <c r="L230" s="347"/>
      <c r="M230" s="312"/>
      <c r="N230" s="347"/>
      <c r="O230" s="312"/>
      <c r="P230" s="347"/>
      <c r="Q230" s="312"/>
      <c r="R230" s="347"/>
      <c r="S230" s="312"/>
      <c r="T230" s="347"/>
    </row>
    <row r="231" spans="1:20" ht="12" customHeight="1" x14ac:dyDescent="0.3">
      <c r="A231" s="340" t="s">
        <v>289</v>
      </c>
      <c r="B231" s="341">
        <v>6</v>
      </c>
      <c r="C231" s="309">
        <v>46120</v>
      </c>
      <c r="D231" s="310" t="s">
        <v>300</v>
      </c>
      <c r="E231" s="342">
        <v>56.68</v>
      </c>
      <c r="F231" s="342"/>
      <c r="G231" s="344">
        <f t="shared" si="3"/>
        <v>2058.2299999999855</v>
      </c>
      <c r="H231" s="345"/>
      <c r="I231" s="346"/>
      <c r="J231" s="347"/>
      <c r="K231" s="312"/>
      <c r="L231" s="347"/>
      <c r="M231" s="312"/>
      <c r="N231" s="347"/>
      <c r="O231" s="312"/>
      <c r="P231" s="347"/>
      <c r="Q231" s="312"/>
      <c r="R231" s="347"/>
      <c r="S231" s="312"/>
      <c r="T231" s="347"/>
    </row>
    <row r="232" spans="1:20" ht="12" customHeight="1" x14ac:dyDescent="0.3">
      <c r="A232" s="340" t="s">
        <v>289</v>
      </c>
      <c r="B232" s="341">
        <v>6</v>
      </c>
      <c r="C232" s="309">
        <v>46120</v>
      </c>
      <c r="D232" s="310" t="s">
        <v>366</v>
      </c>
      <c r="E232" s="342">
        <v>29.26</v>
      </c>
      <c r="F232" s="342"/>
      <c r="G232" s="344">
        <f t="shared" si="3"/>
        <v>2114.9099999999853</v>
      </c>
      <c r="H232" s="345"/>
      <c r="I232" s="346"/>
      <c r="J232" s="347"/>
      <c r="K232" s="312"/>
      <c r="L232" s="347"/>
      <c r="M232" s="312"/>
      <c r="N232" s="347"/>
      <c r="O232" s="312"/>
      <c r="P232" s="347"/>
      <c r="Q232" s="312"/>
      <c r="R232" s="347"/>
      <c r="S232" s="312"/>
      <c r="T232" s="347"/>
    </row>
    <row r="233" spans="1:20" ht="12" customHeight="1" x14ac:dyDescent="0.3">
      <c r="A233" s="340" t="s">
        <v>294</v>
      </c>
      <c r="B233" s="341">
        <v>9</v>
      </c>
      <c r="C233" s="309">
        <v>46119</v>
      </c>
      <c r="D233" s="310" t="s">
        <v>58</v>
      </c>
      <c r="E233" s="342">
        <v>1281.53</v>
      </c>
      <c r="F233" s="342"/>
      <c r="G233" s="344">
        <f t="shared" si="3"/>
        <v>2144.1699999999855</v>
      </c>
      <c r="H233" s="345"/>
      <c r="I233" s="346"/>
      <c r="J233" s="347"/>
      <c r="K233" s="312"/>
      <c r="L233" s="347"/>
      <c r="M233" s="312"/>
      <c r="N233" s="347"/>
      <c r="O233" s="312"/>
      <c r="P233" s="347"/>
      <c r="Q233" s="312"/>
      <c r="R233" s="347"/>
      <c r="S233" s="312"/>
      <c r="T233" s="347"/>
    </row>
    <row r="234" spans="1:20" ht="12" customHeight="1" x14ac:dyDescent="0.3">
      <c r="A234" s="340" t="s">
        <v>289</v>
      </c>
      <c r="B234" s="341">
        <v>4</v>
      </c>
      <c r="C234" s="309">
        <v>46119</v>
      </c>
      <c r="D234" s="310" t="s">
        <v>367</v>
      </c>
      <c r="E234" s="342">
        <v>25.84</v>
      </c>
      <c r="F234" s="342"/>
      <c r="G234" s="344">
        <f t="shared" si="3"/>
        <v>3425.6999999999853</v>
      </c>
      <c r="H234" s="345"/>
      <c r="I234" s="346"/>
      <c r="J234" s="347"/>
      <c r="K234" s="312"/>
      <c r="L234" s="347"/>
      <c r="M234" s="312"/>
      <c r="N234" s="347"/>
      <c r="O234" s="312"/>
      <c r="P234" s="347"/>
      <c r="Q234" s="312"/>
      <c r="R234" s="347"/>
      <c r="S234" s="312"/>
      <c r="T234" s="347"/>
    </row>
    <row r="235" spans="1:20" ht="12" customHeight="1" x14ac:dyDescent="0.3">
      <c r="A235" s="340" t="s">
        <v>289</v>
      </c>
      <c r="B235" s="341">
        <v>8</v>
      </c>
      <c r="C235" s="309">
        <v>46119</v>
      </c>
      <c r="D235" s="310" t="s">
        <v>321</v>
      </c>
      <c r="E235" s="342">
        <v>12.05</v>
      </c>
      <c r="F235" s="342"/>
      <c r="G235" s="344">
        <f t="shared" si="3"/>
        <v>3451.5399999999854</v>
      </c>
      <c r="H235" s="345"/>
      <c r="I235" s="346"/>
      <c r="J235" s="347"/>
      <c r="K235" s="312"/>
      <c r="L235" s="347"/>
      <c r="M235" s="312"/>
      <c r="N235" s="347"/>
      <c r="O235" s="312"/>
      <c r="P235" s="347"/>
      <c r="Q235" s="312"/>
      <c r="R235" s="347"/>
      <c r="S235" s="312"/>
      <c r="T235" s="347"/>
    </row>
    <row r="236" spans="1:20" ht="12" customHeight="1" x14ac:dyDescent="0.3">
      <c r="A236" s="340" t="s">
        <v>289</v>
      </c>
      <c r="B236" s="341">
        <v>4</v>
      </c>
      <c r="C236" s="309">
        <v>46119</v>
      </c>
      <c r="D236" s="310" t="s">
        <v>338</v>
      </c>
      <c r="E236" s="342">
        <v>82.04</v>
      </c>
      <c r="F236" s="342"/>
      <c r="G236" s="344">
        <f t="shared" si="3"/>
        <v>3463.5899999999856</v>
      </c>
      <c r="H236" s="345"/>
      <c r="I236" s="346"/>
      <c r="J236" s="347"/>
      <c r="K236" s="312"/>
      <c r="L236" s="347"/>
      <c r="M236" s="312"/>
      <c r="N236" s="347"/>
      <c r="O236" s="312"/>
      <c r="P236" s="347"/>
      <c r="Q236" s="312"/>
      <c r="R236" s="347"/>
      <c r="S236" s="312"/>
      <c r="T236" s="347"/>
    </row>
    <row r="237" spans="1:20" ht="12" customHeight="1" x14ac:dyDescent="0.3">
      <c r="A237" s="340" t="s">
        <v>289</v>
      </c>
      <c r="B237" s="341">
        <v>2</v>
      </c>
      <c r="C237" s="309">
        <v>46119</v>
      </c>
      <c r="D237" s="310" t="s">
        <v>368</v>
      </c>
      <c r="E237" s="342">
        <v>22.92</v>
      </c>
      <c r="F237" s="342"/>
      <c r="G237" s="344">
        <f t="shared" si="3"/>
        <v>3545.6299999999856</v>
      </c>
      <c r="H237" s="345"/>
      <c r="I237" s="346"/>
      <c r="J237" s="347"/>
      <c r="K237" s="312"/>
      <c r="L237" s="347"/>
      <c r="M237" s="312"/>
      <c r="N237" s="347"/>
      <c r="O237" s="312"/>
      <c r="P237" s="347"/>
      <c r="Q237" s="312"/>
      <c r="R237" s="347"/>
      <c r="S237" s="312"/>
      <c r="T237" s="347"/>
    </row>
    <row r="238" spans="1:20" ht="12" customHeight="1" x14ac:dyDescent="0.3">
      <c r="A238" s="340" t="s">
        <v>289</v>
      </c>
      <c r="B238" s="341">
        <v>5</v>
      </c>
      <c r="C238" s="309">
        <v>46118</v>
      </c>
      <c r="D238" s="310" t="s">
        <v>369</v>
      </c>
      <c r="E238" s="342">
        <v>400</v>
      </c>
      <c r="F238" s="342"/>
      <c r="G238" s="344">
        <f t="shared" si="3"/>
        <v>3568.5499999999856</v>
      </c>
      <c r="H238" s="345"/>
      <c r="I238" s="346"/>
      <c r="J238" s="347"/>
      <c r="K238" s="312"/>
      <c r="L238" s="347"/>
      <c r="M238" s="312"/>
      <c r="N238" s="347"/>
      <c r="O238" s="312"/>
      <c r="P238" s="347"/>
      <c r="Q238" s="312"/>
      <c r="R238" s="347"/>
      <c r="S238" s="312"/>
      <c r="T238" s="347"/>
    </row>
    <row r="239" spans="1:20" ht="12" customHeight="1" x14ac:dyDescent="0.3">
      <c r="A239" s="340" t="s">
        <v>294</v>
      </c>
      <c r="B239" s="341">
        <v>14</v>
      </c>
      <c r="C239" s="309">
        <v>46118</v>
      </c>
      <c r="D239" s="310" t="s">
        <v>370</v>
      </c>
      <c r="E239" s="342">
        <v>66.67</v>
      </c>
      <c r="F239" s="342"/>
      <c r="G239" s="344">
        <f t="shared" si="3"/>
        <v>3968.5499999999856</v>
      </c>
      <c r="H239" s="345"/>
      <c r="I239" s="346"/>
      <c r="J239" s="347"/>
      <c r="K239" s="312"/>
      <c r="L239" s="347"/>
      <c r="M239" s="312"/>
      <c r="N239" s="347"/>
      <c r="O239" s="312"/>
      <c r="P239" s="347"/>
      <c r="Q239" s="312"/>
      <c r="R239" s="347"/>
      <c r="S239" s="312"/>
      <c r="T239" s="347"/>
    </row>
    <row r="240" spans="1:20" ht="12" customHeight="1" x14ac:dyDescent="0.3">
      <c r="A240" s="340" t="s">
        <v>294</v>
      </c>
      <c r="B240" s="341">
        <v>14</v>
      </c>
      <c r="C240" s="309">
        <v>46118</v>
      </c>
      <c r="D240" s="310" t="s">
        <v>371</v>
      </c>
      <c r="E240" s="342">
        <v>70.25</v>
      </c>
      <c r="F240" s="342"/>
      <c r="G240" s="344">
        <f t="shared" si="3"/>
        <v>4035.2199999999857</v>
      </c>
      <c r="H240" s="345"/>
      <c r="I240" s="346"/>
      <c r="J240" s="347"/>
      <c r="K240" s="312"/>
      <c r="L240" s="347"/>
      <c r="M240" s="312"/>
      <c r="N240" s="347"/>
      <c r="O240" s="312"/>
      <c r="P240" s="347"/>
      <c r="Q240" s="312"/>
      <c r="R240" s="347"/>
      <c r="S240" s="312"/>
      <c r="T240" s="347"/>
    </row>
    <row r="241" spans="1:20" ht="12" customHeight="1" x14ac:dyDescent="0.3">
      <c r="A241" s="340" t="s">
        <v>289</v>
      </c>
      <c r="B241" s="341">
        <v>1</v>
      </c>
      <c r="C241" s="309">
        <v>46117</v>
      </c>
      <c r="D241" s="310" t="s">
        <v>372</v>
      </c>
      <c r="E241" s="342">
        <v>25.6</v>
      </c>
      <c r="F241" s="342"/>
      <c r="G241" s="344">
        <f t="shared" si="3"/>
        <v>4105.4699999999857</v>
      </c>
      <c r="H241" s="345"/>
      <c r="I241" s="346"/>
      <c r="J241" s="347"/>
      <c r="K241" s="312"/>
      <c r="L241" s="347"/>
      <c r="M241" s="312"/>
      <c r="N241" s="347"/>
      <c r="O241" s="312"/>
      <c r="P241" s="347"/>
      <c r="Q241" s="312"/>
      <c r="R241" s="347"/>
      <c r="S241" s="312"/>
      <c r="T241" s="347"/>
    </row>
    <row r="242" spans="1:20" ht="12" customHeight="1" x14ac:dyDescent="0.3">
      <c r="A242" s="340" t="s">
        <v>289</v>
      </c>
      <c r="B242" s="341">
        <v>8</v>
      </c>
      <c r="C242" s="309">
        <v>46117</v>
      </c>
      <c r="D242" s="310" t="s">
        <v>321</v>
      </c>
      <c r="E242" s="342">
        <v>8.56</v>
      </c>
      <c r="F242" s="342"/>
      <c r="G242" s="344">
        <f t="shared" si="3"/>
        <v>4131.0699999999861</v>
      </c>
      <c r="H242" s="345"/>
      <c r="I242" s="346"/>
      <c r="J242" s="347"/>
      <c r="K242" s="312"/>
      <c r="L242" s="347"/>
      <c r="M242" s="312"/>
      <c r="N242" s="347"/>
      <c r="O242" s="312"/>
      <c r="P242" s="347"/>
      <c r="Q242" s="312"/>
      <c r="R242" s="347"/>
      <c r="S242" s="312"/>
      <c r="T242" s="347"/>
    </row>
    <row r="243" spans="1:20" ht="12" customHeight="1" x14ac:dyDescent="0.3">
      <c r="A243" s="340" t="s">
        <v>289</v>
      </c>
      <c r="B243" s="341">
        <v>6</v>
      </c>
      <c r="C243" s="309">
        <v>46117</v>
      </c>
      <c r="D243" s="310" t="s">
        <v>373</v>
      </c>
      <c r="E243" s="342">
        <v>301.67</v>
      </c>
      <c r="F243" s="342"/>
      <c r="G243" s="344">
        <f t="shared" si="3"/>
        <v>4139.6299999999865</v>
      </c>
      <c r="H243" s="345"/>
      <c r="I243" s="346"/>
      <c r="J243" s="347"/>
      <c r="K243" s="312"/>
      <c r="L243" s="347"/>
      <c r="M243" s="312"/>
      <c r="N243" s="347"/>
      <c r="O243" s="312"/>
      <c r="P243" s="347"/>
      <c r="Q243" s="312"/>
      <c r="R243" s="347"/>
      <c r="S243" s="312"/>
      <c r="T243" s="347"/>
    </row>
    <row r="244" spans="1:20" ht="12" customHeight="1" x14ac:dyDescent="0.3">
      <c r="A244" s="340" t="s">
        <v>289</v>
      </c>
      <c r="B244" s="341">
        <v>1</v>
      </c>
      <c r="C244" s="309">
        <v>46116</v>
      </c>
      <c r="D244" s="310" t="s">
        <v>307</v>
      </c>
      <c r="E244" s="342">
        <v>176.85</v>
      </c>
      <c r="F244" s="342"/>
      <c r="G244" s="344">
        <f t="shared" si="3"/>
        <v>4441.2999999999865</v>
      </c>
      <c r="H244" s="345"/>
      <c r="I244" s="346"/>
      <c r="J244" s="347"/>
      <c r="K244" s="312"/>
      <c r="L244" s="347"/>
      <c r="M244" s="312"/>
      <c r="N244" s="347"/>
      <c r="O244" s="312"/>
      <c r="P244" s="347"/>
      <c r="Q244" s="312"/>
      <c r="R244" s="347"/>
      <c r="S244" s="312"/>
      <c r="T244" s="347"/>
    </row>
    <row r="245" spans="1:20" ht="12" customHeight="1" x14ac:dyDescent="0.3">
      <c r="A245" s="340" t="s">
        <v>289</v>
      </c>
      <c r="B245" s="341">
        <v>1</v>
      </c>
      <c r="C245" s="309">
        <v>46116</v>
      </c>
      <c r="D245" s="310" t="s">
        <v>312</v>
      </c>
      <c r="E245" s="342">
        <v>139.34</v>
      </c>
      <c r="F245" s="342"/>
      <c r="G245" s="344">
        <f t="shared" si="3"/>
        <v>4618.1499999999869</v>
      </c>
      <c r="H245" s="345"/>
      <c r="I245" s="346"/>
      <c r="J245" s="347"/>
      <c r="K245" s="312"/>
      <c r="L245" s="347"/>
      <c r="M245" s="312"/>
      <c r="N245" s="347"/>
      <c r="O245" s="312"/>
      <c r="P245" s="347"/>
      <c r="Q245" s="312"/>
      <c r="R245" s="347"/>
      <c r="S245" s="312"/>
      <c r="T245" s="347"/>
    </row>
    <row r="246" spans="1:20" ht="12" customHeight="1" x14ac:dyDescent="0.3">
      <c r="A246" s="340" t="s">
        <v>294</v>
      </c>
      <c r="B246" s="341">
        <v>17</v>
      </c>
      <c r="C246" s="309">
        <v>46116</v>
      </c>
      <c r="D246" s="310" t="s">
        <v>374</v>
      </c>
      <c r="E246" s="342">
        <v>99</v>
      </c>
      <c r="F246" s="342"/>
      <c r="G246" s="344">
        <f t="shared" si="3"/>
        <v>4757.489999999987</v>
      </c>
      <c r="H246" s="345"/>
      <c r="I246" s="346"/>
      <c r="J246" s="347"/>
      <c r="K246" s="312"/>
      <c r="L246" s="347"/>
      <c r="M246" s="312"/>
      <c r="N246" s="347"/>
      <c r="O246" s="312"/>
      <c r="P246" s="347"/>
      <c r="Q246" s="312"/>
      <c r="R246" s="347"/>
      <c r="S246" s="312"/>
      <c r="T246" s="347"/>
    </row>
    <row r="247" spans="1:20" ht="12" customHeight="1" x14ac:dyDescent="0.3">
      <c r="A247" s="340" t="s">
        <v>289</v>
      </c>
      <c r="B247" s="341">
        <v>2</v>
      </c>
      <c r="C247" s="309">
        <v>46116</v>
      </c>
      <c r="D247" s="310" t="s">
        <v>375</v>
      </c>
      <c r="E247" s="342">
        <v>34</v>
      </c>
      <c r="F247" s="342"/>
      <c r="G247" s="344">
        <f t="shared" si="3"/>
        <v>4856.489999999987</v>
      </c>
      <c r="H247" s="345"/>
      <c r="I247" s="346"/>
      <c r="J247" s="347"/>
      <c r="K247" s="312"/>
      <c r="L247" s="347"/>
      <c r="M247" s="312"/>
      <c r="N247" s="347"/>
      <c r="O247" s="312"/>
      <c r="P247" s="347"/>
      <c r="Q247" s="312"/>
      <c r="R247" s="347"/>
      <c r="S247" s="312"/>
      <c r="T247" s="347"/>
    </row>
    <row r="248" spans="1:20" ht="12" customHeight="1" x14ac:dyDescent="0.3">
      <c r="A248" s="340" t="s">
        <v>289</v>
      </c>
      <c r="B248" s="341">
        <v>3</v>
      </c>
      <c r="C248" s="309">
        <v>46116</v>
      </c>
      <c r="D248" s="310" t="s">
        <v>352</v>
      </c>
      <c r="E248" s="342">
        <v>10.24</v>
      </c>
      <c r="F248" s="342"/>
      <c r="G248" s="344">
        <f t="shared" si="3"/>
        <v>4890.489999999987</v>
      </c>
      <c r="H248" s="345"/>
      <c r="I248" s="346"/>
      <c r="J248" s="347"/>
      <c r="K248" s="312"/>
      <c r="L248" s="347"/>
      <c r="M248" s="312"/>
      <c r="N248" s="347"/>
      <c r="O248" s="312"/>
      <c r="P248" s="347"/>
      <c r="Q248" s="312"/>
      <c r="R248" s="347"/>
      <c r="S248" s="312"/>
      <c r="T248" s="347"/>
    </row>
    <row r="249" spans="1:20" ht="12" customHeight="1" x14ac:dyDescent="0.3">
      <c r="A249" s="340" t="s">
        <v>289</v>
      </c>
      <c r="B249" s="341">
        <v>7</v>
      </c>
      <c r="C249" s="309">
        <v>46115</v>
      </c>
      <c r="D249" s="310" t="s">
        <v>376</v>
      </c>
      <c r="E249" s="342">
        <v>100</v>
      </c>
      <c r="F249" s="342"/>
      <c r="G249" s="344">
        <f t="shared" si="3"/>
        <v>4900.7299999999868</v>
      </c>
      <c r="H249" s="345"/>
      <c r="I249" s="346"/>
      <c r="J249" s="347"/>
      <c r="K249" s="312"/>
      <c r="L249" s="347"/>
      <c r="M249" s="312"/>
      <c r="N249" s="347"/>
      <c r="O249" s="312"/>
      <c r="P249" s="347"/>
      <c r="Q249" s="312"/>
      <c r="R249" s="347"/>
      <c r="S249" s="312"/>
      <c r="T249" s="347"/>
    </row>
    <row r="250" spans="1:20" ht="12" customHeight="1" x14ac:dyDescent="0.3">
      <c r="A250" s="340" t="s">
        <v>289</v>
      </c>
      <c r="B250" s="341">
        <v>6</v>
      </c>
      <c r="C250" s="309">
        <v>46115</v>
      </c>
      <c r="D250" s="310" t="s">
        <v>300</v>
      </c>
      <c r="E250" s="342">
        <v>7.68</v>
      </c>
      <c r="F250" s="342"/>
      <c r="G250" s="344">
        <f t="shared" si="3"/>
        <v>5000.7299999999868</v>
      </c>
      <c r="H250" s="345"/>
      <c r="I250" s="346"/>
      <c r="J250" s="347"/>
      <c r="K250" s="312"/>
      <c r="L250" s="347"/>
      <c r="M250" s="312"/>
      <c r="N250" s="347"/>
      <c r="O250" s="312"/>
      <c r="P250" s="347"/>
      <c r="Q250" s="312"/>
      <c r="R250" s="347"/>
      <c r="S250" s="312"/>
      <c r="T250" s="347"/>
    </row>
    <row r="251" spans="1:20" ht="12" customHeight="1" x14ac:dyDescent="0.3">
      <c r="A251" s="340" t="s">
        <v>289</v>
      </c>
      <c r="B251" s="341">
        <v>2</v>
      </c>
      <c r="C251" s="309">
        <v>46115</v>
      </c>
      <c r="D251" s="310" t="s">
        <v>296</v>
      </c>
      <c r="E251" s="342">
        <v>8.7200000000000006</v>
      </c>
      <c r="F251" s="342"/>
      <c r="G251" s="344">
        <f t="shared" si="3"/>
        <v>5008.4099999999871</v>
      </c>
      <c r="H251" s="345"/>
      <c r="I251" s="346"/>
      <c r="J251" s="347"/>
      <c r="K251" s="312"/>
      <c r="L251" s="347"/>
      <c r="M251" s="312"/>
      <c r="N251" s="347"/>
      <c r="O251" s="312"/>
      <c r="P251" s="347"/>
      <c r="Q251" s="312"/>
      <c r="R251" s="347"/>
      <c r="S251" s="312"/>
      <c r="T251" s="347"/>
    </row>
    <row r="252" spans="1:20" ht="12" customHeight="1" x14ac:dyDescent="0.3">
      <c r="A252" s="340" t="s">
        <v>289</v>
      </c>
      <c r="B252" s="341">
        <v>8</v>
      </c>
      <c r="C252" s="309">
        <v>46114</v>
      </c>
      <c r="D252" s="310" t="s">
        <v>377</v>
      </c>
      <c r="E252" s="342">
        <v>81.739999999999995</v>
      </c>
      <c r="F252" s="342"/>
      <c r="G252" s="344">
        <f t="shared" si="3"/>
        <v>5017.1299999999874</v>
      </c>
      <c r="H252" s="345"/>
      <c r="I252" s="346"/>
      <c r="J252" s="347"/>
      <c r="K252" s="312"/>
      <c r="L252" s="347"/>
      <c r="M252" s="312"/>
      <c r="N252" s="347"/>
      <c r="O252" s="312"/>
      <c r="P252" s="347"/>
      <c r="Q252" s="312"/>
      <c r="R252" s="347"/>
      <c r="S252" s="312"/>
      <c r="T252" s="347"/>
    </row>
    <row r="253" spans="1:20" ht="12" customHeight="1" x14ac:dyDescent="0.3">
      <c r="A253" s="340" t="s">
        <v>284</v>
      </c>
      <c r="B253" s="341">
        <v>36</v>
      </c>
      <c r="C253" s="309">
        <v>46114</v>
      </c>
      <c r="D253" s="310" t="s">
        <v>378</v>
      </c>
      <c r="E253" s="342">
        <v>50</v>
      </c>
      <c r="F253" s="342"/>
      <c r="G253" s="344">
        <f t="shared" si="3"/>
        <v>5098.8699999999872</v>
      </c>
      <c r="H253" s="345"/>
      <c r="I253" s="346"/>
      <c r="J253" s="347"/>
      <c r="K253" s="312"/>
      <c r="L253" s="347"/>
      <c r="M253" s="312"/>
      <c r="N253" s="347"/>
      <c r="O253" s="312"/>
      <c r="P253" s="347"/>
      <c r="Q253" s="312"/>
      <c r="R253" s="347"/>
      <c r="S253" s="312"/>
      <c r="T253" s="347"/>
    </row>
    <row r="254" spans="1:20" ht="12" customHeight="1" x14ac:dyDescent="0.3">
      <c r="A254" s="340" t="s">
        <v>294</v>
      </c>
      <c r="B254" s="341">
        <v>22</v>
      </c>
      <c r="C254" s="309">
        <v>46114</v>
      </c>
      <c r="D254" s="310" t="s">
        <v>379</v>
      </c>
      <c r="E254" s="342">
        <v>6.37</v>
      </c>
      <c r="F254" s="342"/>
      <c r="G254" s="344">
        <f t="shared" si="3"/>
        <v>5148.8699999999872</v>
      </c>
      <c r="H254" s="345"/>
      <c r="I254" s="346"/>
      <c r="J254" s="347"/>
      <c r="K254" s="312"/>
      <c r="L254" s="347"/>
      <c r="M254" s="312"/>
      <c r="N254" s="347"/>
      <c r="O254" s="312"/>
      <c r="P254" s="347"/>
      <c r="Q254" s="312"/>
      <c r="R254" s="347"/>
      <c r="S254" s="312"/>
      <c r="T254" s="347"/>
    </row>
    <row r="255" spans="1:20" ht="12" customHeight="1" x14ac:dyDescent="0.3">
      <c r="A255" s="340" t="s">
        <v>289</v>
      </c>
      <c r="B255" s="341">
        <v>2</v>
      </c>
      <c r="C255" s="309">
        <v>46114</v>
      </c>
      <c r="D255" s="310" t="s">
        <v>329</v>
      </c>
      <c r="E255" s="342">
        <v>55.22</v>
      </c>
      <c r="F255" s="342"/>
      <c r="G255" s="344">
        <f t="shared" si="3"/>
        <v>5155.239999999987</v>
      </c>
      <c r="H255" s="345"/>
      <c r="I255" s="346"/>
      <c r="J255" s="347"/>
      <c r="K255" s="312"/>
      <c r="L255" s="347"/>
      <c r="M255" s="312"/>
      <c r="N255" s="347"/>
      <c r="O255" s="312"/>
      <c r="P255" s="347"/>
      <c r="Q255" s="312"/>
      <c r="R255" s="347"/>
      <c r="S255" s="312"/>
      <c r="T255" s="347"/>
    </row>
    <row r="256" spans="1:20" ht="12" customHeight="1" x14ac:dyDescent="0.3">
      <c r="A256" s="340" t="s">
        <v>289</v>
      </c>
      <c r="B256" s="341">
        <v>8</v>
      </c>
      <c r="C256" s="309">
        <v>46114</v>
      </c>
      <c r="D256" s="310" t="s">
        <v>321</v>
      </c>
      <c r="E256" s="342">
        <v>8.5</v>
      </c>
      <c r="F256" s="342"/>
      <c r="G256" s="344">
        <f t="shared" si="3"/>
        <v>5210.4599999999873</v>
      </c>
      <c r="H256" s="345"/>
      <c r="I256" s="346"/>
      <c r="J256" s="347"/>
      <c r="K256" s="312"/>
      <c r="L256" s="347"/>
      <c r="M256" s="312"/>
      <c r="N256" s="347"/>
      <c r="O256" s="312"/>
      <c r="P256" s="347"/>
      <c r="Q256" s="312"/>
      <c r="R256" s="347"/>
      <c r="S256" s="312"/>
      <c r="T256" s="347"/>
    </row>
    <row r="257" spans="1:20" ht="12" customHeight="1" x14ac:dyDescent="0.3">
      <c r="A257" s="340" t="s">
        <v>289</v>
      </c>
      <c r="B257" s="341">
        <v>4</v>
      </c>
      <c r="C257" s="309">
        <v>46114</v>
      </c>
      <c r="D257" s="310" t="s">
        <v>338</v>
      </c>
      <c r="E257" s="342">
        <v>38.99</v>
      </c>
      <c r="F257" s="342"/>
      <c r="G257" s="344">
        <f t="shared" si="3"/>
        <v>5218.9599999999873</v>
      </c>
      <c r="H257" s="345"/>
      <c r="I257" s="346"/>
      <c r="J257" s="347"/>
      <c r="K257" s="312"/>
      <c r="L257" s="347"/>
      <c r="M257" s="312"/>
      <c r="N257" s="347"/>
      <c r="O257" s="312"/>
      <c r="P257" s="347"/>
      <c r="Q257" s="312"/>
      <c r="R257" s="347"/>
      <c r="S257" s="312"/>
      <c r="T257" s="347"/>
    </row>
    <row r="258" spans="1:20" ht="12" customHeight="1" x14ac:dyDescent="0.3">
      <c r="A258" s="340" t="s">
        <v>291</v>
      </c>
      <c r="B258" s="341">
        <v>39</v>
      </c>
      <c r="C258" s="309">
        <v>46113</v>
      </c>
      <c r="D258" s="310" t="s">
        <v>292</v>
      </c>
      <c r="E258" s="342"/>
      <c r="F258" s="342">
        <v>2763.78</v>
      </c>
      <c r="G258" s="344">
        <f t="shared" si="3"/>
        <v>5257.9499999999871</v>
      </c>
      <c r="H258" s="345"/>
      <c r="I258" s="346"/>
      <c r="J258" s="347"/>
      <c r="K258" s="312"/>
      <c r="L258" s="347"/>
      <c r="M258" s="312"/>
      <c r="N258" s="347"/>
      <c r="O258" s="312"/>
      <c r="P258" s="347"/>
      <c r="Q258" s="312"/>
      <c r="R258" s="347"/>
      <c r="S258" s="312"/>
      <c r="T258" s="347"/>
    </row>
    <row r="259" spans="1:20" ht="12" customHeight="1" x14ac:dyDescent="0.3">
      <c r="A259" s="340" t="s">
        <v>289</v>
      </c>
      <c r="B259" s="341">
        <v>4</v>
      </c>
      <c r="C259" s="309">
        <v>46113</v>
      </c>
      <c r="D259" s="310" t="s">
        <v>296</v>
      </c>
      <c r="E259" s="342">
        <v>36.090000000000003</v>
      </c>
      <c r="F259" s="342"/>
      <c r="G259" s="344">
        <f t="shared" si="3"/>
        <v>2494.1699999999869</v>
      </c>
      <c r="H259" s="345"/>
      <c r="I259" s="346"/>
      <c r="J259" s="347"/>
      <c r="K259" s="312"/>
      <c r="L259" s="347"/>
      <c r="M259" s="312"/>
      <c r="N259" s="347"/>
      <c r="O259" s="312"/>
      <c r="P259" s="347"/>
      <c r="Q259" s="312"/>
      <c r="R259" s="347"/>
      <c r="S259" s="312"/>
      <c r="T259" s="347"/>
    </row>
    <row r="260" spans="1:20" ht="12" customHeight="1" x14ac:dyDescent="0.3">
      <c r="A260" s="340" t="s">
        <v>289</v>
      </c>
      <c r="B260" s="341">
        <v>4</v>
      </c>
      <c r="C260" s="309">
        <v>46113</v>
      </c>
      <c r="D260" s="310" t="s">
        <v>311</v>
      </c>
      <c r="E260" s="342">
        <v>80</v>
      </c>
      <c r="F260" s="342"/>
      <c r="G260" s="344">
        <f t="shared" si="3"/>
        <v>2530.259999999987</v>
      </c>
      <c r="H260" s="345"/>
      <c r="I260" s="346"/>
      <c r="J260" s="347"/>
      <c r="K260" s="312"/>
      <c r="L260" s="347"/>
      <c r="M260" s="312"/>
      <c r="N260" s="347"/>
      <c r="O260" s="312"/>
      <c r="P260" s="347"/>
      <c r="Q260" s="312"/>
      <c r="R260" s="347"/>
      <c r="S260" s="312"/>
      <c r="T260" s="347"/>
    </row>
    <row r="261" spans="1:20" ht="12" customHeight="1" x14ac:dyDescent="0.3">
      <c r="A261" s="340" t="s">
        <v>289</v>
      </c>
      <c r="B261" s="341">
        <v>7</v>
      </c>
      <c r="C261" s="309">
        <v>46113</v>
      </c>
      <c r="D261" s="310" t="s">
        <v>322</v>
      </c>
      <c r="E261" s="342">
        <v>47.84</v>
      </c>
      <c r="F261" s="342"/>
      <c r="G261" s="344">
        <f t="shared" si="3"/>
        <v>2610.259999999987</v>
      </c>
      <c r="H261" s="345"/>
      <c r="I261" s="346"/>
      <c r="J261" s="347"/>
      <c r="K261" s="312"/>
      <c r="L261" s="347"/>
      <c r="M261" s="312"/>
      <c r="N261" s="347"/>
      <c r="O261" s="312"/>
      <c r="P261" s="347"/>
      <c r="Q261" s="312"/>
      <c r="R261" s="347"/>
      <c r="S261" s="312"/>
      <c r="T261" s="347"/>
    </row>
    <row r="262" spans="1:20" ht="12" customHeight="1" x14ac:dyDescent="0.3">
      <c r="A262" s="340" t="s">
        <v>289</v>
      </c>
      <c r="B262" s="341">
        <v>7</v>
      </c>
      <c r="C262" s="309">
        <v>46113</v>
      </c>
      <c r="D262" s="310" t="s">
        <v>322</v>
      </c>
      <c r="E262" s="342">
        <v>21.25</v>
      </c>
      <c r="F262" s="342"/>
      <c r="G262" s="344">
        <f t="shared" si="3"/>
        <v>2658.0999999999872</v>
      </c>
      <c r="H262" s="345"/>
      <c r="I262" s="346"/>
      <c r="J262" s="347"/>
      <c r="K262" s="312"/>
      <c r="L262" s="347"/>
      <c r="M262" s="312"/>
      <c r="N262" s="347"/>
      <c r="O262" s="312"/>
      <c r="P262" s="347"/>
      <c r="Q262" s="312"/>
      <c r="R262" s="347"/>
      <c r="S262" s="312"/>
      <c r="T262" s="347"/>
    </row>
    <row r="263" spans="1:20" ht="12" customHeight="1" x14ac:dyDescent="0.3">
      <c r="A263" s="340" t="s">
        <v>289</v>
      </c>
      <c r="B263" s="341">
        <v>2</v>
      </c>
      <c r="C263" s="309">
        <v>46113</v>
      </c>
      <c r="D263" s="310" t="s">
        <v>380</v>
      </c>
      <c r="E263" s="342">
        <v>42.9</v>
      </c>
      <c r="F263" s="342"/>
      <c r="G263" s="344">
        <f t="shared" si="3"/>
        <v>2679.3499999999872</v>
      </c>
      <c r="H263" s="345"/>
      <c r="I263" s="346"/>
      <c r="J263" s="347"/>
      <c r="K263" s="312"/>
      <c r="L263" s="347"/>
      <c r="M263" s="312"/>
      <c r="N263" s="347"/>
      <c r="O263" s="312"/>
      <c r="P263" s="347"/>
      <c r="Q263" s="312"/>
      <c r="R263" s="347"/>
      <c r="S263" s="312"/>
      <c r="T263" s="347"/>
    </row>
    <row r="264" spans="1:20" ht="12" customHeight="1" x14ac:dyDescent="0.3">
      <c r="A264" s="340" t="s">
        <v>284</v>
      </c>
      <c r="B264" s="341">
        <v>37</v>
      </c>
      <c r="C264" s="309">
        <v>46112</v>
      </c>
      <c r="D264" s="310" t="s">
        <v>381</v>
      </c>
      <c r="E264" s="342">
        <v>4309.58</v>
      </c>
      <c r="F264" s="342"/>
      <c r="G264" s="344">
        <f t="shared" si="3"/>
        <v>2722.2499999999873</v>
      </c>
      <c r="H264" s="345"/>
      <c r="I264" s="346"/>
      <c r="J264" s="347"/>
      <c r="K264" s="312"/>
      <c r="L264" s="347"/>
      <c r="M264" s="312"/>
      <c r="N264" s="347"/>
      <c r="O264" s="312"/>
      <c r="P264" s="347"/>
      <c r="Q264" s="312"/>
      <c r="R264" s="347"/>
      <c r="S264" s="312"/>
      <c r="T264" s="347"/>
    </row>
    <row r="265" spans="1:20" ht="12" customHeight="1" x14ac:dyDescent="0.3">
      <c r="A265" s="340" t="s">
        <v>286</v>
      </c>
      <c r="B265" s="341">
        <v>25</v>
      </c>
      <c r="C265" s="309">
        <v>46112</v>
      </c>
      <c r="D265" s="309" t="s">
        <v>204</v>
      </c>
      <c r="E265" s="342">
        <v>350</v>
      </c>
      <c r="F265" s="342"/>
      <c r="G265" s="344">
        <f t="shared" si="3"/>
        <v>7031.8299999999872</v>
      </c>
      <c r="H265" s="345"/>
      <c r="I265" s="346"/>
      <c r="J265" s="347"/>
      <c r="K265" s="312"/>
      <c r="L265" s="347"/>
      <c r="M265" s="312"/>
      <c r="N265" s="347"/>
      <c r="O265" s="312"/>
      <c r="P265" s="347"/>
      <c r="Q265" s="312"/>
      <c r="R265" s="347"/>
      <c r="S265" s="312"/>
      <c r="T265" s="347"/>
    </row>
    <row r="266" spans="1:20" ht="12" customHeight="1" x14ac:dyDescent="0.3">
      <c r="A266" s="340" t="s">
        <v>286</v>
      </c>
      <c r="B266" s="341">
        <v>26</v>
      </c>
      <c r="C266" s="309">
        <v>46112</v>
      </c>
      <c r="D266" s="309" t="s">
        <v>205</v>
      </c>
      <c r="E266" s="342">
        <v>320</v>
      </c>
      <c r="F266" s="342"/>
      <c r="G266" s="344">
        <f t="shared" si="3"/>
        <v>7381.8299999999872</v>
      </c>
      <c r="H266" s="345"/>
      <c r="I266" s="346"/>
      <c r="J266" s="347"/>
      <c r="K266" s="312"/>
      <c r="L266" s="347"/>
      <c r="M266" s="312"/>
      <c r="N266" s="347"/>
      <c r="O266" s="312"/>
      <c r="P266" s="347"/>
      <c r="Q266" s="312"/>
      <c r="R266" s="347"/>
      <c r="S266" s="312"/>
      <c r="T266" s="347"/>
    </row>
    <row r="267" spans="1:20" ht="12" customHeight="1" x14ac:dyDescent="0.3">
      <c r="A267" s="340" t="s">
        <v>286</v>
      </c>
      <c r="B267" s="341">
        <v>27</v>
      </c>
      <c r="C267" s="309">
        <v>46112</v>
      </c>
      <c r="D267" s="309" t="s">
        <v>206</v>
      </c>
      <c r="E267" s="342">
        <v>25</v>
      </c>
      <c r="F267" s="342"/>
      <c r="G267" s="344">
        <f t="shared" si="3"/>
        <v>7701.8299999999872</v>
      </c>
      <c r="H267" s="345"/>
      <c r="I267" s="346"/>
      <c r="J267" s="347"/>
      <c r="K267" s="312"/>
      <c r="L267" s="347"/>
      <c r="M267" s="312"/>
      <c r="N267" s="347"/>
      <c r="O267" s="312"/>
      <c r="P267" s="347"/>
      <c r="Q267" s="312"/>
      <c r="R267" s="347"/>
      <c r="S267" s="312"/>
      <c r="T267" s="347"/>
    </row>
    <row r="268" spans="1:20" ht="12" customHeight="1" x14ac:dyDescent="0.3">
      <c r="A268" s="340" t="s">
        <v>286</v>
      </c>
      <c r="B268" s="341">
        <v>28</v>
      </c>
      <c r="C268" s="309">
        <v>46112</v>
      </c>
      <c r="D268" s="309" t="s">
        <v>207</v>
      </c>
      <c r="E268" s="342">
        <v>25</v>
      </c>
      <c r="F268" s="342"/>
      <c r="G268" s="344">
        <f t="shared" si="3"/>
        <v>7726.8299999999872</v>
      </c>
      <c r="H268" s="345"/>
      <c r="I268" s="346"/>
      <c r="J268" s="347"/>
      <c r="K268" s="312"/>
      <c r="L268" s="347"/>
      <c r="M268" s="312"/>
      <c r="N268" s="347"/>
      <c r="O268" s="312"/>
      <c r="P268" s="347"/>
      <c r="Q268" s="312"/>
      <c r="R268" s="347"/>
      <c r="S268" s="312"/>
      <c r="T268" s="347"/>
    </row>
    <row r="269" spans="1:20" ht="12" customHeight="1" x14ac:dyDescent="0.3">
      <c r="A269" s="340" t="s">
        <v>286</v>
      </c>
      <c r="B269" s="341">
        <v>29</v>
      </c>
      <c r="C269" s="309">
        <v>46112</v>
      </c>
      <c r="D269" s="309" t="s">
        <v>208</v>
      </c>
      <c r="E269" s="342">
        <v>45</v>
      </c>
      <c r="F269" s="342"/>
      <c r="G269" s="344">
        <f t="shared" si="3"/>
        <v>7751.8299999999872</v>
      </c>
      <c r="H269" s="345"/>
      <c r="I269" s="346"/>
      <c r="J269" s="347"/>
      <c r="K269" s="312"/>
      <c r="L269" s="347"/>
      <c r="M269" s="312"/>
      <c r="N269" s="347"/>
      <c r="O269" s="312"/>
      <c r="P269" s="347"/>
      <c r="Q269" s="312"/>
      <c r="R269" s="347"/>
      <c r="S269" s="312"/>
      <c r="T269" s="347"/>
    </row>
    <row r="270" spans="1:20" ht="12" customHeight="1" x14ac:dyDescent="0.3">
      <c r="A270" s="340" t="s">
        <v>286</v>
      </c>
      <c r="B270" s="341">
        <v>30</v>
      </c>
      <c r="C270" s="309">
        <v>46112</v>
      </c>
      <c r="D270" s="309" t="s">
        <v>209</v>
      </c>
      <c r="E270" s="342">
        <v>400</v>
      </c>
      <c r="F270" s="342"/>
      <c r="G270" s="344">
        <f t="shared" si="3"/>
        <v>7796.8299999999872</v>
      </c>
      <c r="H270" s="345"/>
      <c r="I270" s="346"/>
      <c r="J270" s="347"/>
      <c r="K270" s="312"/>
      <c r="L270" s="347"/>
      <c r="M270" s="312"/>
      <c r="N270" s="347"/>
      <c r="O270" s="312"/>
      <c r="P270" s="347"/>
      <c r="Q270" s="312"/>
      <c r="R270" s="347"/>
      <c r="S270" s="312"/>
      <c r="T270" s="347"/>
    </row>
    <row r="271" spans="1:20" ht="12" customHeight="1" x14ac:dyDescent="0.3">
      <c r="A271" s="340" t="s">
        <v>286</v>
      </c>
      <c r="B271" s="341">
        <v>31</v>
      </c>
      <c r="C271" s="309">
        <v>46112</v>
      </c>
      <c r="D271" s="309" t="s">
        <v>210</v>
      </c>
      <c r="E271" s="342">
        <v>375</v>
      </c>
      <c r="F271" s="342"/>
      <c r="G271" s="344">
        <f t="shared" si="3"/>
        <v>8196.8299999999872</v>
      </c>
      <c r="H271" s="345"/>
      <c r="I271" s="346"/>
      <c r="J271" s="347"/>
      <c r="K271" s="312"/>
      <c r="L271" s="347"/>
      <c r="M271" s="312"/>
      <c r="N271" s="347"/>
      <c r="O271" s="312"/>
      <c r="P271" s="347"/>
      <c r="Q271" s="312"/>
      <c r="R271" s="347"/>
      <c r="S271" s="312"/>
      <c r="T271" s="347"/>
    </row>
    <row r="272" spans="1:20" ht="12" customHeight="1" x14ac:dyDescent="0.3">
      <c r="A272" s="340" t="s">
        <v>286</v>
      </c>
      <c r="B272" s="341">
        <v>32</v>
      </c>
      <c r="C272" s="309">
        <v>46112</v>
      </c>
      <c r="D272" s="309" t="s">
        <v>211</v>
      </c>
      <c r="E272" s="342">
        <v>100</v>
      </c>
      <c r="F272" s="342"/>
      <c r="G272" s="344">
        <f t="shared" si="3"/>
        <v>8571.8299999999872</v>
      </c>
      <c r="H272" s="345"/>
      <c r="I272" s="346"/>
      <c r="J272" s="347"/>
      <c r="K272" s="312"/>
      <c r="L272" s="347"/>
      <c r="M272" s="312"/>
      <c r="N272" s="347"/>
      <c r="O272" s="312"/>
      <c r="P272" s="347"/>
      <c r="Q272" s="312"/>
      <c r="R272" s="347"/>
      <c r="S272" s="312"/>
      <c r="T272" s="347"/>
    </row>
    <row r="273" spans="1:20" ht="12" customHeight="1" x14ac:dyDescent="0.3">
      <c r="A273" s="340" t="s">
        <v>286</v>
      </c>
      <c r="B273" s="341">
        <v>33</v>
      </c>
      <c r="C273" s="309">
        <v>46112</v>
      </c>
      <c r="D273" s="309" t="s">
        <v>212</v>
      </c>
      <c r="E273" s="342">
        <v>85</v>
      </c>
      <c r="F273" s="342"/>
      <c r="G273" s="344">
        <f t="shared" si="3"/>
        <v>8671.8299999999872</v>
      </c>
      <c r="H273" s="345"/>
      <c r="I273" s="346"/>
      <c r="J273" s="347"/>
      <c r="K273" s="312"/>
      <c r="L273" s="347"/>
      <c r="M273" s="312"/>
      <c r="N273" s="347"/>
      <c r="O273" s="312"/>
      <c r="P273" s="347"/>
      <c r="Q273" s="312"/>
      <c r="R273" s="347"/>
      <c r="S273" s="312"/>
      <c r="T273" s="347"/>
    </row>
    <row r="274" spans="1:20" ht="12" customHeight="1" x14ac:dyDescent="0.3">
      <c r="A274" s="340" t="s">
        <v>286</v>
      </c>
      <c r="B274" s="341">
        <v>34</v>
      </c>
      <c r="C274" s="309">
        <v>46112</v>
      </c>
      <c r="D274" s="309" t="s">
        <v>213</v>
      </c>
      <c r="E274" s="342">
        <v>230</v>
      </c>
      <c r="F274" s="342"/>
      <c r="G274" s="344">
        <f t="shared" si="3"/>
        <v>8756.8299999999872</v>
      </c>
      <c r="H274" s="345"/>
      <c r="I274" s="346"/>
      <c r="J274" s="347"/>
      <c r="K274" s="312"/>
      <c r="L274" s="347"/>
      <c r="M274" s="312"/>
      <c r="N274" s="347"/>
      <c r="O274" s="312"/>
      <c r="P274" s="347"/>
      <c r="Q274" s="312"/>
      <c r="R274" s="347"/>
      <c r="S274" s="312"/>
      <c r="T274" s="347"/>
    </row>
    <row r="275" spans="1:20" ht="12" customHeight="1" x14ac:dyDescent="0.3">
      <c r="A275" s="340" t="s">
        <v>286</v>
      </c>
      <c r="B275" s="341">
        <v>35</v>
      </c>
      <c r="C275" s="309">
        <v>46112</v>
      </c>
      <c r="D275" s="309" t="s">
        <v>214</v>
      </c>
      <c r="E275" s="342">
        <v>45</v>
      </c>
      <c r="F275" s="342"/>
      <c r="G275" s="344">
        <f t="shared" si="3"/>
        <v>8986.8299999999872</v>
      </c>
      <c r="H275" s="345"/>
      <c r="I275" s="346"/>
      <c r="J275" s="347"/>
      <c r="K275" s="312"/>
      <c r="L275" s="347"/>
      <c r="M275" s="312"/>
      <c r="N275" s="347"/>
      <c r="O275" s="312"/>
      <c r="P275" s="347"/>
      <c r="Q275" s="312"/>
      <c r="R275" s="347"/>
      <c r="S275" s="312"/>
      <c r="T275" s="347"/>
    </row>
    <row r="276" spans="1:20" ht="12" customHeight="1" x14ac:dyDescent="0.3">
      <c r="A276" s="340" t="s">
        <v>289</v>
      </c>
      <c r="B276" s="341">
        <v>6</v>
      </c>
      <c r="C276" s="309">
        <v>46112</v>
      </c>
      <c r="D276" s="309" t="s">
        <v>382</v>
      </c>
      <c r="E276" s="342">
        <v>40</v>
      </c>
      <c r="F276" s="342"/>
      <c r="G276" s="344">
        <f t="shared" si="3"/>
        <v>9031.8299999999872</v>
      </c>
      <c r="H276" s="345"/>
      <c r="I276" s="346"/>
      <c r="J276" s="347"/>
      <c r="K276" s="312"/>
      <c r="L276" s="347"/>
      <c r="M276" s="312"/>
      <c r="N276" s="347"/>
      <c r="O276" s="312"/>
      <c r="P276" s="347"/>
      <c r="Q276" s="312"/>
      <c r="R276" s="347"/>
      <c r="S276" s="312"/>
      <c r="T276" s="347"/>
    </row>
    <row r="277" spans="1:20" ht="12" customHeight="1" x14ac:dyDescent="0.3">
      <c r="A277" s="340" t="s">
        <v>294</v>
      </c>
      <c r="B277" s="341">
        <v>42</v>
      </c>
      <c r="C277" s="309">
        <v>46112</v>
      </c>
      <c r="D277" s="309" t="s">
        <v>200</v>
      </c>
      <c r="E277" s="342">
        <v>59</v>
      </c>
      <c r="F277" s="342"/>
      <c r="G277" s="344">
        <f t="shared" si="3"/>
        <v>9071.8299999999872</v>
      </c>
      <c r="H277" s="345"/>
      <c r="I277" s="346"/>
      <c r="J277" s="347"/>
      <c r="K277" s="312"/>
      <c r="L277" s="347"/>
      <c r="M277" s="312"/>
      <c r="N277" s="347"/>
      <c r="O277" s="312"/>
      <c r="P277" s="347"/>
      <c r="Q277" s="312"/>
      <c r="R277" s="347"/>
      <c r="S277" s="312"/>
      <c r="T277" s="347"/>
    </row>
    <row r="278" spans="1:20" ht="12" customHeight="1" x14ac:dyDescent="0.3">
      <c r="A278" s="340" t="s">
        <v>294</v>
      </c>
      <c r="B278" s="341">
        <v>43</v>
      </c>
      <c r="C278" s="309">
        <v>46112</v>
      </c>
      <c r="D278" s="309" t="s">
        <v>201</v>
      </c>
      <c r="E278" s="342">
        <v>42.84</v>
      </c>
      <c r="F278" s="342"/>
      <c r="G278" s="344">
        <f t="shared" si="3"/>
        <v>9130.8299999999872</v>
      </c>
      <c r="H278" s="345"/>
      <c r="I278" s="346"/>
      <c r="J278" s="347"/>
      <c r="K278" s="312"/>
      <c r="L278" s="347"/>
      <c r="M278" s="312"/>
      <c r="N278" s="347"/>
      <c r="O278" s="312"/>
      <c r="P278" s="347"/>
      <c r="Q278" s="312"/>
      <c r="R278" s="347"/>
      <c r="S278" s="312"/>
      <c r="T278" s="347"/>
    </row>
    <row r="279" spans="1:20" ht="12" customHeight="1" x14ac:dyDescent="0.3">
      <c r="A279" s="340" t="s">
        <v>289</v>
      </c>
      <c r="B279" s="341">
        <v>6</v>
      </c>
      <c r="C279" s="309">
        <v>46112</v>
      </c>
      <c r="D279" s="309" t="s">
        <v>300</v>
      </c>
      <c r="E279" s="342">
        <v>57.21</v>
      </c>
      <c r="F279" s="342"/>
      <c r="G279" s="344">
        <f t="shared" si="3"/>
        <v>9173.6699999999873</v>
      </c>
      <c r="H279" s="345"/>
      <c r="I279" s="346"/>
      <c r="J279" s="347"/>
      <c r="K279" s="312"/>
      <c r="L279" s="347"/>
      <c r="M279" s="312"/>
      <c r="N279" s="347"/>
      <c r="O279" s="312"/>
      <c r="P279" s="347"/>
      <c r="Q279" s="312"/>
      <c r="R279" s="347"/>
      <c r="S279" s="312"/>
      <c r="T279" s="347"/>
    </row>
    <row r="280" spans="1:20" ht="12" customHeight="1" x14ac:dyDescent="0.3">
      <c r="A280" s="340" t="s">
        <v>289</v>
      </c>
      <c r="B280" s="341">
        <v>8</v>
      </c>
      <c r="C280" s="309">
        <v>46112</v>
      </c>
      <c r="D280" s="309" t="s">
        <v>296</v>
      </c>
      <c r="E280" s="342">
        <v>11.18</v>
      </c>
      <c r="F280" s="342"/>
      <c r="G280" s="344">
        <f t="shared" si="3"/>
        <v>9230.8799999999865</v>
      </c>
      <c r="H280" s="345"/>
      <c r="I280" s="346"/>
      <c r="J280" s="347"/>
      <c r="K280" s="312"/>
      <c r="L280" s="347"/>
      <c r="M280" s="312"/>
      <c r="N280" s="347"/>
      <c r="O280" s="312"/>
      <c r="P280" s="347"/>
      <c r="Q280" s="312"/>
      <c r="R280" s="347"/>
      <c r="S280" s="312"/>
      <c r="T280" s="347"/>
    </row>
    <row r="281" spans="1:20" ht="12" customHeight="1" x14ac:dyDescent="0.3">
      <c r="A281" s="340" t="s">
        <v>294</v>
      </c>
      <c r="B281" s="341">
        <v>10</v>
      </c>
      <c r="C281" s="309">
        <v>46112</v>
      </c>
      <c r="D281" s="309" t="s">
        <v>176</v>
      </c>
      <c r="E281" s="342">
        <v>17.899999999999999</v>
      </c>
      <c r="F281" s="342"/>
      <c r="G281" s="344">
        <f t="shared" si="3"/>
        <v>9242.0599999999868</v>
      </c>
      <c r="H281" s="345"/>
      <c r="I281" s="346"/>
      <c r="J281" s="347"/>
      <c r="K281" s="312"/>
      <c r="L281" s="347"/>
      <c r="M281" s="312"/>
      <c r="N281" s="347"/>
      <c r="O281" s="312"/>
      <c r="P281" s="347"/>
      <c r="Q281" s="312"/>
      <c r="R281" s="347"/>
      <c r="S281" s="312"/>
      <c r="T281" s="347"/>
    </row>
    <row r="282" spans="1:20" ht="12" customHeight="1" x14ac:dyDescent="0.3">
      <c r="A282" s="340" t="s">
        <v>289</v>
      </c>
      <c r="B282" s="341">
        <v>2</v>
      </c>
      <c r="C282" s="309">
        <v>46111</v>
      </c>
      <c r="D282" s="309" t="s">
        <v>338</v>
      </c>
      <c r="E282" s="342">
        <v>23.83</v>
      </c>
      <c r="F282" s="342"/>
      <c r="G282" s="344">
        <f t="shared" si="3"/>
        <v>9259.9599999999864</v>
      </c>
      <c r="H282" s="345"/>
      <c r="I282" s="346"/>
      <c r="J282" s="347"/>
      <c r="K282" s="312"/>
      <c r="L282" s="347"/>
      <c r="M282" s="312"/>
      <c r="N282" s="347"/>
      <c r="O282" s="312"/>
      <c r="P282" s="347"/>
      <c r="Q282" s="312"/>
      <c r="R282" s="347"/>
      <c r="S282" s="312"/>
      <c r="T282" s="347"/>
    </row>
    <row r="283" spans="1:20" ht="12" customHeight="1" x14ac:dyDescent="0.3">
      <c r="A283" s="340" t="s">
        <v>291</v>
      </c>
      <c r="B283" s="341">
        <v>38</v>
      </c>
      <c r="C283" s="309">
        <v>46111</v>
      </c>
      <c r="D283" s="310" t="s">
        <v>293</v>
      </c>
      <c r="E283" s="342"/>
      <c r="F283" s="342">
        <v>4278.1400000000003</v>
      </c>
      <c r="G283" s="344">
        <f t="shared" si="3"/>
        <v>9283.7899999999863</v>
      </c>
      <c r="H283" s="345"/>
      <c r="I283" s="346"/>
      <c r="J283" s="347"/>
      <c r="K283" s="312"/>
      <c r="L283" s="347"/>
      <c r="M283" s="312"/>
      <c r="N283" s="347"/>
      <c r="O283" s="312"/>
      <c r="P283" s="347"/>
      <c r="Q283" s="312"/>
      <c r="R283" s="347"/>
      <c r="S283" s="312"/>
      <c r="T283" s="347"/>
    </row>
    <row r="284" spans="1:20" ht="12" customHeight="1" x14ac:dyDescent="0.3">
      <c r="A284" s="340" t="s">
        <v>289</v>
      </c>
      <c r="B284" s="341">
        <v>3</v>
      </c>
      <c r="C284" s="309">
        <v>46111</v>
      </c>
      <c r="D284" s="310" t="s">
        <v>355</v>
      </c>
      <c r="E284" s="342">
        <v>30</v>
      </c>
      <c r="F284" s="342"/>
      <c r="G284" s="344">
        <f t="shared" si="3"/>
        <v>5005.649999999986</v>
      </c>
      <c r="H284" s="345"/>
      <c r="I284" s="346"/>
      <c r="J284" s="347"/>
      <c r="K284" s="312"/>
      <c r="L284" s="347"/>
      <c r="M284" s="312"/>
      <c r="N284" s="347"/>
      <c r="O284" s="312"/>
      <c r="P284" s="347"/>
      <c r="Q284" s="312"/>
      <c r="R284" s="347"/>
      <c r="S284" s="312"/>
      <c r="T284" s="347"/>
    </row>
    <row r="285" spans="1:20" ht="12" customHeight="1" x14ac:dyDescent="0.3">
      <c r="A285" s="340" t="s">
        <v>289</v>
      </c>
      <c r="B285" s="341">
        <v>6</v>
      </c>
      <c r="C285" s="309">
        <v>46111</v>
      </c>
      <c r="D285" s="310" t="s">
        <v>300</v>
      </c>
      <c r="E285" s="342">
        <v>15.96</v>
      </c>
      <c r="F285" s="342"/>
      <c r="G285" s="344">
        <f t="shared" si="3"/>
        <v>5035.649999999986</v>
      </c>
      <c r="H285" s="345"/>
      <c r="I285" s="346"/>
      <c r="J285" s="347"/>
      <c r="K285" s="312"/>
      <c r="L285" s="347"/>
      <c r="M285" s="312"/>
      <c r="N285" s="347"/>
      <c r="O285" s="312"/>
      <c r="P285" s="347"/>
      <c r="Q285" s="312"/>
      <c r="R285" s="347"/>
      <c r="S285" s="312"/>
      <c r="T285" s="347"/>
    </row>
    <row r="286" spans="1:20" ht="12" customHeight="1" x14ac:dyDescent="0.3">
      <c r="A286" s="340" t="s">
        <v>289</v>
      </c>
      <c r="B286" s="341">
        <v>3</v>
      </c>
      <c r="C286" s="309">
        <v>46111</v>
      </c>
      <c r="D286" s="310" t="s">
        <v>383</v>
      </c>
      <c r="E286" s="342">
        <v>18.96</v>
      </c>
      <c r="F286" s="342"/>
      <c r="G286" s="344">
        <f t="shared" si="3"/>
        <v>5051.609999999986</v>
      </c>
      <c r="H286" s="345"/>
      <c r="I286" s="346"/>
      <c r="J286" s="347"/>
      <c r="K286" s="312"/>
      <c r="L286" s="347"/>
      <c r="M286" s="312"/>
      <c r="N286" s="347"/>
      <c r="O286" s="312"/>
      <c r="P286" s="347"/>
      <c r="Q286" s="312"/>
      <c r="R286" s="347"/>
      <c r="S286" s="312"/>
      <c r="T286" s="347"/>
    </row>
    <row r="287" spans="1:20" ht="12" customHeight="1" x14ac:dyDescent="0.3">
      <c r="A287" s="340" t="s">
        <v>289</v>
      </c>
      <c r="B287" s="341">
        <v>1</v>
      </c>
      <c r="C287" s="309">
        <v>46110</v>
      </c>
      <c r="D287" s="310" t="s">
        <v>312</v>
      </c>
      <c r="E287" s="342">
        <v>144.22</v>
      </c>
      <c r="F287" s="342"/>
      <c r="G287" s="344">
        <f t="shared" si="3"/>
        <v>5070.5699999999861</v>
      </c>
      <c r="H287" s="345"/>
      <c r="I287" s="346"/>
      <c r="J287" s="347"/>
      <c r="K287" s="312"/>
      <c r="L287" s="347"/>
      <c r="M287" s="312"/>
      <c r="N287" s="347"/>
      <c r="O287" s="312"/>
      <c r="P287" s="347"/>
      <c r="Q287" s="312"/>
      <c r="R287" s="347"/>
      <c r="S287" s="312"/>
      <c r="T287" s="347"/>
    </row>
    <row r="288" spans="1:20" ht="12" customHeight="1" x14ac:dyDescent="0.3">
      <c r="A288" s="340" t="s">
        <v>289</v>
      </c>
      <c r="B288" s="341">
        <v>7</v>
      </c>
      <c r="C288" s="309">
        <v>46110</v>
      </c>
      <c r="D288" s="310" t="s">
        <v>384</v>
      </c>
      <c r="E288" s="342">
        <v>181.04</v>
      </c>
      <c r="F288" s="342"/>
      <c r="G288" s="344">
        <f t="shared" si="3"/>
        <v>5214.7899999999863</v>
      </c>
      <c r="H288" s="345"/>
      <c r="I288" s="346"/>
      <c r="J288" s="347"/>
      <c r="K288" s="312"/>
      <c r="L288" s="347"/>
      <c r="M288" s="312"/>
      <c r="N288" s="347"/>
      <c r="O288" s="312"/>
      <c r="P288" s="347"/>
      <c r="Q288" s="312"/>
      <c r="R288" s="347"/>
      <c r="S288" s="312"/>
      <c r="T288" s="347"/>
    </row>
    <row r="289" spans="1:20" ht="12" customHeight="1" x14ac:dyDescent="0.3">
      <c r="A289" s="340" t="s">
        <v>289</v>
      </c>
      <c r="B289" s="341">
        <v>6</v>
      </c>
      <c r="C289" s="309">
        <v>46110</v>
      </c>
      <c r="D289" s="310" t="s">
        <v>385</v>
      </c>
      <c r="E289" s="342">
        <v>196.9</v>
      </c>
      <c r="F289" s="342"/>
      <c r="G289" s="344">
        <f t="shared" si="3"/>
        <v>5395.8299999999863</v>
      </c>
      <c r="H289" s="345"/>
      <c r="I289" s="346"/>
      <c r="J289" s="347"/>
      <c r="K289" s="312"/>
      <c r="L289" s="347"/>
      <c r="M289" s="312"/>
      <c r="N289" s="347"/>
      <c r="O289" s="312"/>
      <c r="P289" s="347"/>
      <c r="Q289" s="312"/>
      <c r="R289" s="347"/>
      <c r="S289" s="312"/>
      <c r="T289" s="347"/>
    </row>
    <row r="290" spans="1:20" ht="12" customHeight="1" x14ac:dyDescent="0.3">
      <c r="A290" s="340" t="s">
        <v>289</v>
      </c>
      <c r="B290" s="341">
        <v>3</v>
      </c>
      <c r="C290" s="309">
        <v>46110</v>
      </c>
      <c r="D290" s="310" t="s">
        <v>386</v>
      </c>
      <c r="E290" s="342">
        <v>7.5</v>
      </c>
      <c r="F290" s="342"/>
      <c r="G290" s="344">
        <f t="shared" si="3"/>
        <v>5592.7299999999859</v>
      </c>
      <c r="H290" s="345"/>
      <c r="I290" s="346"/>
      <c r="J290" s="347"/>
      <c r="K290" s="312"/>
      <c r="L290" s="347"/>
      <c r="M290" s="312"/>
      <c r="N290" s="347"/>
      <c r="O290" s="312"/>
      <c r="P290" s="347"/>
      <c r="Q290" s="312"/>
      <c r="R290" s="347"/>
      <c r="S290" s="312"/>
      <c r="T290" s="347"/>
    </row>
    <row r="291" spans="1:20" ht="12" customHeight="1" x14ac:dyDescent="0.3">
      <c r="A291" s="340" t="s">
        <v>289</v>
      </c>
      <c r="B291" s="341">
        <v>8</v>
      </c>
      <c r="C291" s="309">
        <v>46109</v>
      </c>
      <c r="D291" s="310" t="s">
        <v>321</v>
      </c>
      <c r="E291" s="342">
        <v>11.7</v>
      </c>
      <c r="F291" s="342"/>
      <c r="G291" s="344">
        <f t="shared" si="3"/>
        <v>5600.2299999999859</v>
      </c>
      <c r="H291" s="345"/>
      <c r="I291" s="346"/>
      <c r="J291" s="347"/>
      <c r="K291" s="312"/>
      <c r="L291" s="347"/>
      <c r="M291" s="312"/>
      <c r="N291" s="347"/>
      <c r="O291" s="312"/>
      <c r="P291" s="347"/>
      <c r="Q291" s="312"/>
      <c r="R291" s="347"/>
      <c r="S291" s="312"/>
      <c r="T291" s="347"/>
    </row>
    <row r="292" spans="1:20" ht="12" customHeight="1" x14ac:dyDescent="0.3">
      <c r="A292" s="340" t="s">
        <v>289</v>
      </c>
      <c r="B292" s="341">
        <v>2</v>
      </c>
      <c r="C292" s="309">
        <v>46109</v>
      </c>
      <c r="D292" s="310" t="s">
        <v>309</v>
      </c>
      <c r="E292" s="342">
        <v>210.76</v>
      </c>
      <c r="F292" s="342"/>
      <c r="G292" s="344">
        <f t="shared" si="3"/>
        <v>5611.9299999999857</v>
      </c>
      <c r="H292" s="345"/>
      <c r="I292" s="346"/>
      <c r="J292" s="347"/>
      <c r="K292" s="312"/>
      <c r="L292" s="347"/>
      <c r="M292" s="312"/>
      <c r="N292" s="347"/>
      <c r="O292" s="312"/>
      <c r="P292" s="347"/>
      <c r="Q292" s="312"/>
      <c r="R292" s="347"/>
      <c r="S292" s="312"/>
      <c r="T292" s="347"/>
    </row>
    <row r="293" spans="1:20" ht="12" customHeight="1" x14ac:dyDescent="0.3">
      <c r="A293" s="340" t="s">
        <v>289</v>
      </c>
      <c r="B293" s="341">
        <v>4</v>
      </c>
      <c r="C293" s="309">
        <v>46109</v>
      </c>
      <c r="D293" s="310" t="s">
        <v>311</v>
      </c>
      <c r="E293" s="342">
        <v>46.9</v>
      </c>
      <c r="F293" s="342"/>
      <c r="G293" s="344">
        <f t="shared" si="3"/>
        <v>5822.689999999986</v>
      </c>
      <c r="H293" s="345"/>
      <c r="I293" s="346"/>
      <c r="J293" s="347"/>
      <c r="K293" s="312"/>
      <c r="L293" s="347"/>
      <c r="M293" s="312"/>
      <c r="N293" s="347"/>
      <c r="O293" s="312"/>
      <c r="P293" s="347"/>
      <c r="Q293" s="312"/>
      <c r="R293" s="347"/>
      <c r="S293" s="312"/>
      <c r="T293" s="347"/>
    </row>
    <row r="294" spans="1:20" ht="12" customHeight="1" x14ac:dyDescent="0.3">
      <c r="A294" s="340" t="s">
        <v>289</v>
      </c>
      <c r="B294" s="341">
        <v>1</v>
      </c>
      <c r="C294" s="309">
        <v>46109</v>
      </c>
      <c r="D294" s="310" t="s">
        <v>332</v>
      </c>
      <c r="E294" s="342">
        <v>179.1</v>
      </c>
      <c r="F294" s="342"/>
      <c r="G294" s="344">
        <f t="shared" si="3"/>
        <v>5869.5899999999856</v>
      </c>
      <c r="H294" s="345"/>
      <c r="I294" s="346"/>
      <c r="J294" s="347"/>
      <c r="K294" s="312"/>
      <c r="L294" s="347"/>
      <c r="M294" s="312"/>
      <c r="N294" s="347"/>
      <c r="O294" s="312"/>
      <c r="P294" s="347"/>
      <c r="Q294" s="312"/>
      <c r="R294" s="347"/>
      <c r="S294" s="312"/>
      <c r="T294" s="347"/>
    </row>
    <row r="295" spans="1:20" ht="12" customHeight="1" x14ac:dyDescent="0.3">
      <c r="A295" s="340" t="s">
        <v>289</v>
      </c>
      <c r="B295" s="341">
        <v>8</v>
      </c>
      <c r="C295" s="309">
        <v>46109</v>
      </c>
      <c r="D295" s="310" t="s">
        <v>309</v>
      </c>
      <c r="E295" s="342">
        <v>31.97</v>
      </c>
      <c r="F295" s="342"/>
      <c r="G295" s="344">
        <f t="shared" si="3"/>
        <v>6048.689999999986</v>
      </c>
      <c r="H295" s="345"/>
      <c r="I295" s="346"/>
      <c r="J295" s="347"/>
      <c r="K295" s="312"/>
      <c r="L295" s="347"/>
      <c r="M295" s="312"/>
      <c r="N295" s="347"/>
      <c r="O295" s="312"/>
      <c r="P295" s="347"/>
      <c r="Q295" s="312"/>
      <c r="R295" s="347"/>
      <c r="S295" s="312"/>
      <c r="T295" s="347"/>
    </row>
    <row r="296" spans="1:20" ht="12" customHeight="1" x14ac:dyDescent="0.3">
      <c r="A296" s="340" t="s">
        <v>289</v>
      </c>
      <c r="B296" s="341">
        <v>8</v>
      </c>
      <c r="C296" s="309">
        <v>46109</v>
      </c>
      <c r="D296" s="310" t="s">
        <v>309</v>
      </c>
      <c r="E296" s="342">
        <v>12.19</v>
      </c>
      <c r="F296" s="342"/>
      <c r="G296" s="344">
        <f t="shared" si="3"/>
        <v>6080.6599999999862</v>
      </c>
      <c r="H296" s="345"/>
      <c r="I296" s="346"/>
      <c r="J296" s="347"/>
      <c r="K296" s="312"/>
      <c r="L296" s="347"/>
      <c r="M296" s="312"/>
      <c r="N296" s="347"/>
      <c r="O296" s="312"/>
      <c r="P296" s="347"/>
      <c r="Q296" s="312"/>
      <c r="R296" s="347"/>
      <c r="S296" s="312"/>
      <c r="T296" s="347"/>
    </row>
    <row r="297" spans="1:20" ht="12" customHeight="1" x14ac:dyDescent="0.3">
      <c r="A297" s="340" t="s">
        <v>291</v>
      </c>
      <c r="B297" s="341">
        <v>41</v>
      </c>
      <c r="C297" s="309">
        <v>46108</v>
      </c>
      <c r="D297" s="310" t="s">
        <v>387</v>
      </c>
      <c r="E297" s="342"/>
      <c r="F297" s="342">
        <v>400</v>
      </c>
      <c r="G297" s="344">
        <f t="shared" si="3"/>
        <v>6092.8499999999858</v>
      </c>
      <c r="H297" s="345"/>
      <c r="I297" s="346"/>
      <c r="J297" s="347"/>
      <c r="K297" s="312"/>
      <c r="L297" s="347"/>
      <c r="M297" s="312"/>
      <c r="N297" s="347"/>
      <c r="O297" s="312"/>
      <c r="P297" s="347"/>
      <c r="Q297" s="312"/>
      <c r="R297" s="347"/>
      <c r="S297" s="312"/>
      <c r="T297" s="347"/>
    </row>
    <row r="298" spans="1:20" ht="12" customHeight="1" x14ac:dyDescent="0.3">
      <c r="A298" s="340" t="s">
        <v>289</v>
      </c>
      <c r="B298" s="341">
        <v>2</v>
      </c>
      <c r="C298" s="309">
        <v>46108</v>
      </c>
      <c r="D298" s="310" t="s">
        <v>301</v>
      </c>
      <c r="E298" s="342">
        <v>19.5</v>
      </c>
      <c r="F298" s="342"/>
      <c r="G298" s="344">
        <f t="shared" si="3"/>
        <v>5692.8499999999858</v>
      </c>
      <c r="H298" s="345"/>
      <c r="I298" s="346"/>
      <c r="J298" s="347"/>
      <c r="K298" s="312"/>
      <c r="L298" s="347"/>
      <c r="M298" s="312"/>
      <c r="N298" s="347"/>
      <c r="O298" s="312"/>
      <c r="P298" s="347"/>
      <c r="Q298" s="312"/>
      <c r="R298" s="347"/>
      <c r="S298" s="312"/>
      <c r="T298" s="347"/>
    </row>
    <row r="299" spans="1:20" ht="12" customHeight="1" x14ac:dyDescent="0.3">
      <c r="A299" s="340" t="s">
        <v>289</v>
      </c>
      <c r="B299" s="341">
        <v>2</v>
      </c>
      <c r="C299" s="309">
        <v>46108</v>
      </c>
      <c r="D299" s="310" t="s">
        <v>296</v>
      </c>
      <c r="E299" s="342">
        <v>11.48</v>
      </c>
      <c r="F299" s="342"/>
      <c r="G299" s="344">
        <f t="shared" si="3"/>
        <v>5712.3499999999858</v>
      </c>
      <c r="H299" s="345"/>
      <c r="I299" s="346"/>
      <c r="J299" s="347"/>
      <c r="K299" s="312"/>
      <c r="L299" s="347"/>
      <c r="M299" s="312"/>
      <c r="N299" s="347"/>
      <c r="O299" s="312"/>
      <c r="P299" s="347"/>
      <c r="Q299" s="312"/>
      <c r="R299" s="347"/>
      <c r="S299" s="312"/>
      <c r="T299" s="347"/>
    </row>
    <row r="300" spans="1:20" ht="12" customHeight="1" x14ac:dyDescent="0.3">
      <c r="A300" s="340" t="s">
        <v>289</v>
      </c>
      <c r="B300" s="341">
        <v>8</v>
      </c>
      <c r="C300" s="309">
        <v>46108</v>
      </c>
      <c r="D300" s="310" t="s">
        <v>338</v>
      </c>
      <c r="E300" s="342">
        <v>11.46</v>
      </c>
      <c r="F300" s="342"/>
      <c r="G300" s="344">
        <f t="shared" si="3"/>
        <v>5723.8299999999854</v>
      </c>
      <c r="H300" s="345"/>
      <c r="I300" s="346"/>
      <c r="J300" s="347"/>
      <c r="K300" s="312"/>
      <c r="L300" s="347"/>
      <c r="M300" s="312"/>
      <c r="N300" s="347"/>
      <c r="O300" s="312"/>
      <c r="P300" s="347"/>
      <c r="Q300" s="312"/>
      <c r="R300" s="347"/>
      <c r="S300" s="312"/>
      <c r="T300" s="347"/>
    </row>
    <row r="301" spans="1:20" ht="12" customHeight="1" x14ac:dyDescent="0.3">
      <c r="A301" s="340" t="s">
        <v>289</v>
      </c>
      <c r="B301" s="341">
        <v>4</v>
      </c>
      <c r="C301" s="309">
        <v>46108</v>
      </c>
      <c r="D301" s="310" t="s">
        <v>338</v>
      </c>
      <c r="E301" s="342">
        <v>38.21</v>
      </c>
      <c r="F301" s="342"/>
      <c r="G301" s="344">
        <f t="shared" si="3"/>
        <v>5735.2899999999854</v>
      </c>
      <c r="H301" s="345"/>
      <c r="I301" s="346"/>
      <c r="J301" s="347"/>
      <c r="K301" s="312"/>
      <c r="L301" s="347"/>
      <c r="M301" s="312"/>
      <c r="N301" s="347"/>
      <c r="O301" s="312"/>
      <c r="P301" s="347"/>
      <c r="Q301" s="312"/>
      <c r="R301" s="347"/>
      <c r="S301" s="312"/>
      <c r="T301" s="347"/>
    </row>
    <row r="302" spans="1:20" ht="12" customHeight="1" x14ac:dyDescent="0.3">
      <c r="A302" s="340" t="s">
        <v>289</v>
      </c>
      <c r="B302" s="341">
        <v>2</v>
      </c>
      <c r="C302" s="309">
        <v>46108</v>
      </c>
      <c r="D302" s="310" t="s">
        <v>388</v>
      </c>
      <c r="E302" s="342">
        <v>69.95</v>
      </c>
      <c r="F302" s="342"/>
      <c r="G302" s="344">
        <f t="shared" si="3"/>
        <v>5773.4999999999854</v>
      </c>
      <c r="H302" s="345"/>
      <c r="I302" s="346"/>
      <c r="J302" s="347"/>
      <c r="K302" s="312"/>
      <c r="L302" s="347"/>
      <c r="M302" s="312"/>
      <c r="N302" s="347"/>
      <c r="O302" s="312"/>
      <c r="P302" s="347"/>
      <c r="Q302" s="312"/>
      <c r="R302" s="347"/>
      <c r="S302" s="312"/>
      <c r="T302" s="347"/>
    </row>
    <row r="303" spans="1:20" ht="12" customHeight="1" x14ac:dyDescent="0.3">
      <c r="A303" s="340" t="s">
        <v>289</v>
      </c>
      <c r="B303" s="341">
        <v>3</v>
      </c>
      <c r="C303" s="309">
        <v>46108</v>
      </c>
      <c r="D303" s="310" t="s">
        <v>352</v>
      </c>
      <c r="E303" s="342">
        <v>10.78</v>
      </c>
      <c r="F303" s="342"/>
      <c r="G303" s="344">
        <f t="shared" si="3"/>
        <v>5843.4499999999853</v>
      </c>
      <c r="H303" s="345"/>
      <c r="I303" s="346"/>
      <c r="J303" s="347"/>
      <c r="K303" s="312"/>
      <c r="L303" s="347"/>
      <c r="M303" s="312"/>
      <c r="N303" s="347"/>
      <c r="O303" s="312"/>
      <c r="P303" s="347"/>
      <c r="Q303" s="312"/>
      <c r="R303" s="347"/>
      <c r="S303" s="312"/>
      <c r="T303" s="347"/>
    </row>
    <row r="304" spans="1:20" ht="12" customHeight="1" x14ac:dyDescent="0.3">
      <c r="A304" s="340" t="s">
        <v>289</v>
      </c>
      <c r="B304" s="341">
        <v>6</v>
      </c>
      <c r="C304" s="309">
        <v>46108</v>
      </c>
      <c r="D304" s="310" t="s">
        <v>300</v>
      </c>
      <c r="E304" s="342">
        <v>15.84</v>
      </c>
      <c r="F304" s="342"/>
      <c r="G304" s="344">
        <f t="shared" si="3"/>
        <v>5854.229999999985</v>
      </c>
      <c r="H304" s="345"/>
      <c r="I304" s="346"/>
      <c r="J304" s="347"/>
      <c r="K304" s="312"/>
      <c r="L304" s="347"/>
      <c r="M304" s="312"/>
      <c r="N304" s="347"/>
      <c r="O304" s="312"/>
      <c r="P304" s="347"/>
      <c r="Q304" s="312"/>
      <c r="R304" s="347"/>
      <c r="S304" s="312"/>
      <c r="T304" s="347"/>
    </row>
    <row r="305" spans="1:20" ht="12" customHeight="1" x14ac:dyDescent="0.3">
      <c r="A305" s="340" t="s">
        <v>289</v>
      </c>
      <c r="B305" s="341">
        <v>8</v>
      </c>
      <c r="C305" s="309">
        <v>46108</v>
      </c>
      <c r="D305" s="310" t="s">
        <v>389</v>
      </c>
      <c r="E305" s="342">
        <v>22.48</v>
      </c>
      <c r="F305" s="342"/>
      <c r="G305" s="344">
        <f t="shared" si="3"/>
        <v>5870.0699999999852</v>
      </c>
      <c r="H305" s="345"/>
      <c r="I305" s="346"/>
      <c r="J305" s="347"/>
      <c r="K305" s="312"/>
      <c r="L305" s="347"/>
      <c r="M305" s="312"/>
      <c r="N305" s="347"/>
      <c r="O305" s="312"/>
      <c r="P305" s="347"/>
      <c r="Q305" s="312"/>
      <c r="R305" s="347"/>
      <c r="S305" s="312"/>
      <c r="T305" s="347"/>
    </row>
    <row r="306" spans="1:20" ht="12" customHeight="1" x14ac:dyDescent="0.3">
      <c r="A306" s="340" t="s">
        <v>289</v>
      </c>
      <c r="B306" s="341">
        <v>2</v>
      </c>
      <c r="C306" s="309">
        <v>46107</v>
      </c>
      <c r="D306" s="310" t="s">
        <v>362</v>
      </c>
      <c r="E306" s="342">
        <v>11.17</v>
      </c>
      <c r="F306" s="342"/>
      <c r="G306" s="344">
        <f t="shared" si="3"/>
        <v>5892.5499999999847</v>
      </c>
      <c r="H306" s="345"/>
      <c r="I306" s="346"/>
      <c r="J306" s="347"/>
      <c r="K306" s="312"/>
      <c r="L306" s="347"/>
      <c r="M306" s="312"/>
      <c r="N306" s="347"/>
      <c r="O306" s="312"/>
      <c r="P306" s="347"/>
      <c r="Q306" s="312"/>
      <c r="R306" s="347"/>
      <c r="S306" s="312"/>
      <c r="T306" s="347"/>
    </row>
    <row r="307" spans="1:20" ht="12" customHeight="1" x14ac:dyDescent="0.3">
      <c r="A307" s="340" t="s">
        <v>289</v>
      </c>
      <c r="B307" s="341">
        <v>2</v>
      </c>
      <c r="C307" s="309">
        <v>46107</v>
      </c>
      <c r="D307" s="310" t="s">
        <v>390</v>
      </c>
      <c r="E307" s="342">
        <v>14.38</v>
      </c>
      <c r="F307" s="342"/>
      <c r="G307" s="344">
        <f t="shared" si="3"/>
        <v>5903.7199999999848</v>
      </c>
      <c r="H307" s="345"/>
      <c r="I307" s="346"/>
      <c r="J307" s="347"/>
      <c r="K307" s="312"/>
      <c r="L307" s="347"/>
      <c r="M307" s="312"/>
      <c r="N307" s="347"/>
      <c r="O307" s="312"/>
      <c r="P307" s="347"/>
      <c r="Q307" s="312"/>
      <c r="R307" s="347"/>
      <c r="S307" s="312"/>
      <c r="T307" s="347"/>
    </row>
    <row r="308" spans="1:20" ht="12" customHeight="1" x14ac:dyDescent="0.3">
      <c r="A308" s="340" t="s">
        <v>289</v>
      </c>
      <c r="B308" s="341">
        <v>8</v>
      </c>
      <c r="C308" s="309">
        <v>46107</v>
      </c>
      <c r="D308" s="310" t="s">
        <v>391</v>
      </c>
      <c r="E308" s="342">
        <v>45</v>
      </c>
      <c r="F308" s="342"/>
      <c r="G308" s="344">
        <f t="shared" si="3"/>
        <v>5918.0999999999849</v>
      </c>
      <c r="H308" s="345"/>
      <c r="I308" s="346"/>
      <c r="J308" s="347"/>
      <c r="K308" s="312"/>
      <c r="L308" s="347"/>
      <c r="M308" s="312"/>
      <c r="N308" s="347"/>
      <c r="O308" s="312"/>
      <c r="P308" s="347"/>
      <c r="Q308" s="312"/>
      <c r="R308" s="347"/>
      <c r="S308" s="312"/>
      <c r="T308" s="347"/>
    </row>
    <row r="309" spans="1:20" ht="12" customHeight="1" x14ac:dyDescent="0.3">
      <c r="A309" s="340" t="s">
        <v>289</v>
      </c>
      <c r="B309" s="341">
        <v>2</v>
      </c>
      <c r="C309" s="309">
        <v>46107</v>
      </c>
      <c r="D309" s="310" t="s">
        <v>327</v>
      </c>
      <c r="E309" s="342">
        <v>9.0299999999999994</v>
      </c>
      <c r="F309" s="342"/>
      <c r="G309" s="344">
        <f t="shared" si="3"/>
        <v>5963.0999999999849</v>
      </c>
      <c r="H309" s="345"/>
      <c r="I309" s="346"/>
      <c r="J309" s="347"/>
      <c r="K309" s="312"/>
      <c r="L309" s="347"/>
      <c r="M309" s="312"/>
      <c r="N309" s="347"/>
      <c r="O309" s="312"/>
      <c r="P309" s="347"/>
      <c r="Q309" s="312"/>
      <c r="R309" s="347"/>
      <c r="S309" s="312"/>
      <c r="T309" s="347"/>
    </row>
    <row r="310" spans="1:20" ht="12" customHeight="1" x14ac:dyDescent="0.3">
      <c r="A310" s="340" t="s">
        <v>289</v>
      </c>
      <c r="B310" s="341">
        <v>2</v>
      </c>
      <c r="C310" s="309">
        <v>46107</v>
      </c>
      <c r="D310" s="310" t="s">
        <v>301</v>
      </c>
      <c r="E310" s="342">
        <v>30</v>
      </c>
      <c r="F310" s="342"/>
      <c r="G310" s="344">
        <f t="shared" si="3"/>
        <v>5972.1299999999846</v>
      </c>
      <c r="H310" s="345"/>
      <c r="I310" s="346"/>
      <c r="J310" s="347"/>
      <c r="K310" s="312"/>
      <c r="L310" s="347"/>
      <c r="M310" s="312"/>
      <c r="N310" s="347"/>
      <c r="O310" s="312"/>
      <c r="P310" s="347"/>
      <c r="Q310" s="312"/>
      <c r="R310" s="347"/>
      <c r="S310" s="312"/>
      <c r="T310" s="347"/>
    </row>
    <row r="311" spans="1:20" ht="12" customHeight="1" x14ac:dyDescent="0.3">
      <c r="A311" s="340" t="s">
        <v>289</v>
      </c>
      <c r="B311" s="341">
        <v>6</v>
      </c>
      <c r="C311" s="309">
        <v>46106</v>
      </c>
      <c r="D311" s="310" t="s">
        <v>392</v>
      </c>
      <c r="E311" s="342">
        <v>12</v>
      </c>
      <c r="F311" s="342"/>
      <c r="G311" s="344">
        <f t="shared" si="3"/>
        <v>6002.1299999999846</v>
      </c>
      <c r="H311" s="345"/>
      <c r="I311" s="346"/>
      <c r="J311" s="347"/>
      <c r="K311" s="312"/>
      <c r="L311" s="347"/>
      <c r="M311" s="312"/>
      <c r="N311" s="347"/>
      <c r="O311" s="312"/>
      <c r="P311" s="347"/>
      <c r="Q311" s="312"/>
      <c r="R311" s="347"/>
      <c r="S311" s="312"/>
      <c r="T311" s="347"/>
    </row>
    <row r="312" spans="1:20" ht="12" customHeight="1" x14ac:dyDescent="0.3">
      <c r="A312" s="340" t="s">
        <v>289</v>
      </c>
      <c r="B312" s="341">
        <v>6</v>
      </c>
      <c r="C312" s="309">
        <v>46106</v>
      </c>
      <c r="D312" s="310" t="s">
        <v>393</v>
      </c>
      <c r="E312" s="342">
        <v>20</v>
      </c>
      <c r="F312" s="342"/>
      <c r="G312" s="344">
        <f t="shared" si="3"/>
        <v>6014.1299999999846</v>
      </c>
      <c r="H312" s="345"/>
      <c r="I312" s="346"/>
      <c r="J312" s="347"/>
      <c r="K312" s="312"/>
      <c r="L312" s="347"/>
      <c r="M312" s="312"/>
      <c r="N312" s="347"/>
      <c r="O312" s="312"/>
      <c r="P312" s="347"/>
      <c r="Q312" s="312"/>
      <c r="R312" s="347"/>
      <c r="S312" s="312"/>
      <c r="T312" s="347"/>
    </row>
    <row r="313" spans="1:20" ht="12" customHeight="1" x14ac:dyDescent="0.3">
      <c r="A313" s="340" t="s">
        <v>289</v>
      </c>
      <c r="B313" s="341">
        <v>2</v>
      </c>
      <c r="C313" s="309">
        <v>46106</v>
      </c>
      <c r="D313" s="310" t="s">
        <v>296</v>
      </c>
      <c r="E313" s="342">
        <v>21.05</v>
      </c>
      <c r="F313" s="342"/>
      <c r="G313" s="344">
        <f t="shared" si="3"/>
        <v>6034.1299999999846</v>
      </c>
      <c r="H313" s="345"/>
      <c r="I313" s="346"/>
      <c r="J313" s="347"/>
      <c r="K313" s="312"/>
      <c r="L313" s="347"/>
      <c r="M313" s="312"/>
      <c r="N313" s="347"/>
      <c r="O313" s="312"/>
      <c r="P313" s="347"/>
      <c r="Q313" s="312"/>
      <c r="R313" s="347"/>
      <c r="S313" s="312"/>
      <c r="T313" s="347"/>
    </row>
    <row r="314" spans="1:20" ht="12" customHeight="1" x14ac:dyDescent="0.3">
      <c r="A314" s="340" t="s">
        <v>289</v>
      </c>
      <c r="B314" s="341">
        <v>4</v>
      </c>
      <c r="C314" s="309">
        <v>46106</v>
      </c>
      <c r="D314" s="310" t="s">
        <v>296</v>
      </c>
      <c r="E314" s="342">
        <v>38.58</v>
      </c>
      <c r="F314" s="342"/>
      <c r="G314" s="344">
        <f t="shared" si="3"/>
        <v>6055.1799999999848</v>
      </c>
      <c r="H314" s="345"/>
      <c r="I314" s="346"/>
      <c r="J314" s="347"/>
      <c r="K314" s="312"/>
      <c r="L314" s="347"/>
      <c r="M314" s="312"/>
      <c r="N314" s="347"/>
      <c r="O314" s="312"/>
      <c r="P314" s="347"/>
      <c r="Q314" s="312"/>
      <c r="R314" s="347"/>
      <c r="S314" s="312"/>
      <c r="T314" s="347"/>
    </row>
    <row r="315" spans="1:20" ht="12" customHeight="1" x14ac:dyDescent="0.3">
      <c r="A315" s="340" t="s">
        <v>294</v>
      </c>
      <c r="B315" s="341">
        <v>12</v>
      </c>
      <c r="C315" s="309">
        <v>46106</v>
      </c>
      <c r="D315" s="310" t="s">
        <v>315</v>
      </c>
      <c r="E315" s="342">
        <v>204.47</v>
      </c>
      <c r="F315" s="342"/>
      <c r="G315" s="344">
        <f t="shared" si="3"/>
        <v>6093.7599999999848</v>
      </c>
      <c r="H315" s="345"/>
      <c r="I315" s="346"/>
      <c r="J315" s="347"/>
      <c r="K315" s="312"/>
      <c r="L315" s="347"/>
      <c r="M315" s="312"/>
      <c r="N315" s="347"/>
      <c r="O315" s="312"/>
      <c r="P315" s="347"/>
      <c r="Q315" s="312"/>
      <c r="R315" s="347"/>
      <c r="S315" s="312"/>
      <c r="T315" s="347"/>
    </row>
    <row r="316" spans="1:20" ht="12" customHeight="1" x14ac:dyDescent="0.3">
      <c r="A316" s="340" t="s">
        <v>294</v>
      </c>
      <c r="B316" s="341">
        <v>24</v>
      </c>
      <c r="C316" s="309">
        <v>46105</v>
      </c>
      <c r="D316" s="310" t="s">
        <v>199</v>
      </c>
      <c r="E316" s="342">
        <v>86.58</v>
      </c>
      <c r="F316" s="342"/>
      <c r="G316" s="344">
        <f t="shared" si="3"/>
        <v>6298.229999999985</v>
      </c>
      <c r="H316" s="345"/>
      <c r="I316" s="346"/>
      <c r="J316" s="347"/>
      <c r="K316" s="312"/>
      <c r="L316" s="347"/>
      <c r="M316" s="312"/>
      <c r="N316" s="347"/>
      <c r="O316" s="312"/>
      <c r="P316" s="347"/>
      <c r="Q316" s="312"/>
      <c r="R316" s="347"/>
      <c r="S316" s="312"/>
      <c r="T316" s="347"/>
    </row>
    <row r="317" spans="1:20" ht="12" customHeight="1" x14ac:dyDescent="0.3">
      <c r="A317" s="340" t="s">
        <v>289</v>
      </c>
      <c r="B317" s="341">
        <v>6</v>
      </c>
      <c r="C317" s="309">
        <v>46105</v>
      </c>
      <c r="D317" s="310" t="s">
        <v>393</v>
      </c>
      <c r="E317" s="342">
        <v>20</v>
      </c>
      <c r="F317" s="342"/>
      <c r="G317" s="344">
        <f t="shared" si="3"/>
        <v>6384.8099999999849</v>
      </c>
      <c r="H317" s="345"/>
      <c r="I317" s="346"/>
      <c r="J317" s="347"/>
      <c r="K317" s="312"/>
      <c r="L317" s="347"/>
      <c r="M317" s="312"/>
      <c r="N317" s="347"/>
      <c r="O317" s="312"/>
      <c r="P317" s="347"/>
      <c r="Q317" s="312"/>
      <c r="R317" s="347"/>
      <c r="S317" s="312"/>
      <c r="T317" s="347"/>
    </row>
    <row r="318" spans="1:20" ht="12" customHeight="1" x14ac:dyDescent="0.3">
      <c r="A318" s="340" t="s">
        <v>289</v>
      </c>
      <c r="B318" s="341">
        <v>2</v>
      </c>
      <c r="C318" s="309">
        <v>46105</v>
      </c>
      <c r="D318" s="310" t="s">
        <v>394</v>
      </c>
      <c r="E318" s="342">
        <v>15.29</v>
      </c>
      <c r="F318" s="342"/>
      <c r="G318" s="344">
        <f t="shared" si="3"/>
        <v>6404.8099999999849</v>
      </c>
      <c r="H318" s="345"/>
      <c r="I318" s="346"/>
      <c r="J318" s="347"/>
      <c r="K318" s="312"/>
      <c r="L318" s="347"/>
      <c r="M318" s="312"/>
      <c r="N318" s="347"/>
      <c r="O318" s="312"/>
      <c r="P318" s="347"/>
      <c r="Q318" s="312"/>
      <c r="R318" s="347"/>
      <c r="S318" s="312"/>
      <c r="T318" s="347"/>
    </row>
    <row r="319" spans="1:20" ht="12" customHeight="1" x14ac:dyDescent="0.3">
      <c r="A319" s="340" t="s">
        <v>289</v>
      </c>
      <c r="B319" s="341">
        <v>8</v>
      </c>
      <c r="C319" s="309">
        <v>46105</v>
      </c>
      <c r="D319" s="310" t="s">
        <v>309</v>
      </c>
      <c r="E319" s="342">
        <v>47.99</v>
      </c>
      <c r="F319" s="342"/>
      <c r="G319" s="344">
        <f t="shared" si="3"/>
        <v>6420.0999999999849</v>
      </c>
      <c r="H319" s="345"/>
      <c r="I319" s="346"/>
      <c r="J319" s="347"/>
      <c r="K319" s="312"/>
      <c r="L319" s="347"/>
      <c r="M319" s="312"/>
      <c r="N319" s="347"/>
      <c r="O319" s="312"/>
      <c r="P319" s="347"/>
      <c r="Q319" s="312"/>
      <c r="R319" s="347"/>
      <c r="S319" s="312"/>
      <c r="T319" s="347"/>
    </row>
    <row r="320" spans="1:20" ht="12" customHeight="1" x14ac:dyDescent="0.3">
      <c r="A320" s="340" t="s">
        <v>294</v>
      </c>
      <c r="B320" s="341">
        <v>23</v>
      </c>
      <c r="C320" s="309">
        <v>46104</v>
      </c>
      <c r="D320" s="310" t="s">
        <v>67</v>
      </c>
      <c r="E320" s="342">
        <v>650.88</v>
      </c>
      <c r="F320" s="342"/>
      <c r="G320" s="344">
        <f t="shared" si="3"/>
        <v>6468.0899999999847</v>
      </c>
      <c r="H320" s="345"/>
      <c r="I320" s="346"/>
      <c r="J320" s="347"/>
      <c r="K320" s="312"/>
      <c r="L320" s="347"/>
      <c r="M320" s="312"/>
      <c r="N320" s="347"/>
      <c r="O320" s="312"/>
      <c r="P320" s="347"/>
      <c r="Q320" s="312"/>
      <c r="R320" s="347"/>
      <c r="S320" s="312"/>
      <c r="T320" s="347"/>
    </row>
    <row r="321" spans="1:20" ht="12" customHeight="1" x14ac:dyDescent="0.3">
      <c r="A321" s="340" t="s">
        <v>289</v>
      </c>
      <c r="B321" s="341">
        <v>2</v>
      </c>
      <c r="C321" s="309">
        <v>46104</v>
      </c>
      <c r="D321" s="310" t="s">
        <v>395</v>
      </c>
      <c r="E321" s="342">
        <v>46</v>
      </c>
      <c r="F321" s="342"/>
      <c r="G321" s="344">
        <f t="shared" si="3"/>
        <v>7118.9699999999848</v>
      </c>
      <c r="H321" s="345"/>
      <c r="I321" s="346"/>
      <c r="J321" s="347"/>
      <c r="K321" s="312"/>
      <c r="L321" s="347"/>
      <c r="M321" s="312"/>
      <c r="N321" s="347"/>
      <c r="O321" s="312"/>
      <c r="P321" s="347"/>
      <c r="Q321" s="312"/>
      <c r="R321" s="347"/>
      <c r="S321" s="312"/>
      <c r="T321" s="347"/>
    </row>
    <row r="322" spans="1:20" ht="12" customHeight="1" x14ac:dyDescent="0.3">
      <c r="A322" s="340" t="s">
        <v>289</v>
      </c>
      <c r="B322" s="341">
        <v>2</v>
      </c>
      <c r="C322" s="309">
        <v>46103</v>
      </c>
      <c r="D322" s="310" t="s">
        <v>396</v>
      </c>
      <c r="E322" s="342">
        <v>24.81</v>
      </c>
      <c r="F322" s="342"/>
      <c r="G322" s="344">
        <f t="shared" si="3"/>
        <v>7164.9699999999848</v>
      </c>
      <c r="H322" s="345"/>
      <c r="I322" s="346"/>
      <c r="J322" s="347"/>
      <c r="K322" s="312"/>
      <c r="L322" s="347"/>
      <c r="M322" s="312"/>
      <c r="N322" s="347"/>
      <c r="O322" s="312"/>
      <c r="P322" s="347"/>
      <c r="Q322" s="312"/>
      <c r="R322" s="347"/>
      <c r="S322" s="312"/>
      <c r="T322" s="347"/>
    </row>
    <row r="323" spans="1:20" ht="12" customHeight="1" x14ac:dyDescent="0.3">
      <c r="A323" s="340" t="s">
        <v>289</v>
      </c>
      <c r="B323" s="341">
        <v>4</v>
      </c>
      <c r="C323" s="309">
        <v>46103</v>
      </c>
      <c r="D323" s="310" t="s">
        <v>296</v>
      </c>
      <c r="E323" s="342">
        <v>28.77</v>
      </c>
      <c r="F323" s="342"/>
      <c r="G323" s="344">
        <f t="shared" si="3"/>
        <v>7189.7799999999852</v>
      </c>
      <c r="H323" s="345"/>
      <c r="I323" s="346"/>
      <c r="J323" s="347"/>
      <c r="K323" s="312"/>
      <c r="L323" s="347"/>
      <c r="M323" s="312"/>
      <c r="N323" s="347"/>
      <c r="O323" s="312"/>
      <c r="P323" s="347"/>
      <c r="Q323" s="312"/>
      <c r="R323" s="347"/>
      <c r="S323" s="312"/>
      <c r="T323" s="347"/>
    </row>
    <row r="324" spans="1:20" ht="12" customHeight="1" x14ac:dyDescent="0.3">
      <c r="A324" s="340" t="s">
        <v>289</v>
      </c>
      <c r="B324" s="341">
        <v>8</v>
      </c>
      <c r="C324" s="309">
        <v>46103</v>
      </c>
      <c r="D324" s="310" t="s">
        <v>296</v>
      </c>
      <c r="E324" s="342">
        <v>11.9</v>
      </c>
      <c r="F324" s="342"/>
      <c r="G324" s="344">
        <f t="shared" si="3"/>
        <v>7218.5499999999856</v>
      </c>
      <c r="H324" s="345"/>
      <c r="I324" s="346"/>
      <c r="J324" s="347"/>
      <c r="K324" s="312"/>
      <c r="L324" s="347"/>
      <c r="M324" s="312"/>
      <c r="N324" s="347"/>
      <c r="O324" s="312"/>
      <c r="P324" s="347"/>
      <c r="Q324" s="312"/>
      <c r="R324" s="347"/>
      <c r="S324" s="312"/>
      <c r="T324" s="347"/>
    </row>
    <row r="325" spans="1:20" ht="12" customHeight="1" x14ac:dyDescent="0.3">
      <c r="A325" s="340" t="s">
        <v>289</v>
      </c>
      <c r="B325" s="341">
        <v>1</v>
      </c>
      <c r="C325" s="309">
        <v>46103</v>
      </c>
      <c r="D325" s="310" t="s">
        <v>306</v>
      </c>
      <c r="E325" s="342">
        <v>42.59</v>
      </c>
      <c r="F325" s="342"/>
      <c r="G325" s="344">
        <f t="shared" si="3"/>
        <v>7230.4499999999853</v>
      </c>
      <c r="H325" s="345"/>
      <c r="I325" s="346"/>
      <c r="J325" s="347"/>
      <c r="K325" s="312"/>
      <c r="L325" s="347"/>
      <c r="M325" s="312"/>
      <c r="N325" s="347"/>
      <c r="O325" s="312"/>
      <c r="P325" s="347"/>
      <c r="Q325" s="312"/>
      <c r="R325" s="347"/>
      <c r="S325" s="312"/>
      <c r="T325" s="347"/>
    </row>
    <row r="326" spans="1:20" ht="12" customHeight="1" x14ac:dyDescent="0.3">
      <c r="A326" s="340" t="s">
        <v>289</v>
      </c>
      <c r="B326" s="341">
        <v>6</v>
      </c>
      <c r="C326" s="309">
        <v>46103</v>
      </c>
      <c r="D326" s="310" t="s">
        <v>306</v>
      </c>
      <c r="E326" s="342">
        <v>17.579999999999998</v>
      </c>
      <c r="F326" s="342"/>
      <c r="G326" s="344">
        <f t="shared" si="3"/>
        <v>7273.0399999999854</v>
      </c>
      <c r="H326" s="345"/>
      <c r="I326" s="346"/>
      <c r="J326" s="347"/>
      <c r="K326" s="312"/>
      <c r="L326" s="347"/>
      <c r="M326" s="312"/>
      <c r="N326" s="347"/>
      <c r="O326" s="312"/>
      <c r="P326" s="347"/>
      <c r="Q326" s="312"/>
      <c r="R326" s="347"/>
      <c r="S326" s="312"/>
      <c r="T326" s="347"/>
    </row>
    <row r="327" spans="1:20" ht="12" customHeight="1" x14ac:dyDescent="0.3">
      <c r="A327" s="340" t="s">
        <v>289</v>
      </c>
      <c r="B327" s="341">
        <v>6</v>
      </c>
      <c r="C327" s="309">
        <v>46103</v>
      </c>
      <c r="D327" s="310" t="s">
        <v>306</v>
      </c>
      <c r="E327" s="342">
        <v>11.99</v>
      </c>
      <c r="F327" s="342"/>
      <c r="G327" s="344">
        <f t="shared" si="3"/>
        <v>7290.6199999999853</v>
      </c>
      <c r="H327" s="345"/>
      <c r="I327" s="346"/>
      <c r="J327" s="347"/>
      <c r="K327" s="312"/>
      <c r="L327" s="347"/>
      <c r="M327" s="312"/>
      <c r="N327" s="347"/>
      <c r="O327" s="312"/>
      <c r="P327" s="347"/>
      <c r="Q327" s="312"/>
      <c r="R327" s="347"/>
      <c r="S327" s="312"/>
      <c r="T327" s="347"/>
    </row>
    <row r="328" spans="1:20" ht="12" customHeight="1" x14ac:dyDescent="0.3">
      <c r="A328" s="340" t="s">
        <v>289</v>
      </c>
      <c r="B328" s="341">
        <v>1</v>
      </c>
      <c r="C328" s="309">
        <v>46103</v>
      </c>
      <c r="D328" s="310" t="s">
        <v>312</v>
      </c>
      <c r="E328" s="342">
        <v>81.31</v>
      </c>
      <c r="F328" s="342"/>
      <c r="G328" s="344">
        <f t="shared" si="3"/>
        <v>7302.6099999999851</v>
      </c>
      <c r="H328" s="345"/>
      <c r="I328" s="346"/>
      <c r="J328" s="347"/>
      <c r="K328" s="312"/>
      <c r="L328" s="347"/>
      <c r="M328" s="312"/>
      <c r="N328" s="347"/>
      <c r="O328" s="312"/>
      <c r="P328" s="347"/>
      <c r="Q328" s="312"/>
      <c r="R328" s="347"/>
      <c r="S328" s="312"/>
      <c r="T328" s="347"/>
    </row>
    <row r="329" spans="1:20" ht="12" customHeight="1" x14ac:dyDescent="0.3">
      <c r="A329" s="340" t="s">
        <v>289</v>
      </c>
      <c r="B329" s="341">
        <v>1</v>
      </c>
      <c r="C329" s="309">
        <v>46103</v>
      </c>
      <c r="D329" s="310" t="s">
        <v>397</v>
      </c>
      <c r="E329" s="342">
        <v>38.44</v>
      </c>
      <c r="F329" s="342"/>
      <c r="G329" s="344">
        <f t="shared" si="3"/>
        <v>7383.9199999999855</v>
      </c>
      <c r="H329" s="345"/>
      <c r="I329" s="346"/>
      <c r="J329" s="347"/>
      <c r="K329" s="312"/>
      <c r="L329" s="347"/>
      <c r="M329" s="312"/>
      <c r="N329" s="347"/>
      <c r="O329" s="312"/>
      <c r="P329" s="347"/>
      <c r="Q329" s="312"/>
      <c r="R329" s="347"/>
      <c r="S329" s="312"/>
      <c r="T329" s="347"/>
    </row>
    <row r="330" spans="1:20" ht="12" customHeight="1" x14ac:dyDescent="0.3">
      <c r="A330" s="340" t="s">
        <v>289</v>
      </c>
      <c r="B330" s="341">
        <v>2</v>
      </c>
      <c r="C330" s="309">
        <v>46103</v>
      </c>
      <c r="D330" s="310" t="s">
        <v>398</v>
      </c>
      <c r="E330" s="342">
        <v>35.700000000000003</v>
      </c>
      <c r="F330" s="342"/>
      <c r="G330" s="344">
        <f t="shared" si="3"/>
        <v>7422.3599999999851</v>
      </c>
      <c r="H330" s="345"/>
      <c r="I330" s="346"/>
      <c r="J330" s="347"/>
      <c r="K330" s="312"/>
      <c r="L330" s="347"/>
      <c r="M330" s="312"/>
      <c r="N330" s="347"/>
      <c r="O330" s="312"/>
      <c r="P330" s="347"/>
      <c r="Q330" s="312"/>
      <c r="R330" s="347"/>
      <c r="S330" s="312"/>
      <c r="T330" s="347"/>
    </row>
    <row r="331" spans="1:20" ht="12" customHeight="1" x14ac:dyDescent="0.3">
      <c r="A331" s="340" t="s">
        <v>289</v>
      </c>
      <c r="B331" s="341">
        <v>6</v>
      </c>
      <c r="C331" s="309">
        <v>46102</v>
      </c>
      <c r="D331" s="310" t="s">
        <v>306</v>
      </c>
      <c r="E331" s="342">
        <v>10.64</v>
      </c>
      <c r="F331" s="342"/>
      <c r="G331" s="344">
        <f t="shared" si="3"/>
        <v>7458.0599999999849</v>
      </c>
      <c r="H331" s="345"/>
      <c r="I331" s="346"/>
      <c r="J331" s="347"/>
      <c r="K331" s="312"/>
      <c r="L331" s="347"/>
      <c r="M331" s="312"/>
      <c r="N331" s="347"/>
      <c r="O331" s="312"/>
      <c r="P331" s="347"/>
      <c r="Q331" s="312"/>
      <c r="R331" s="347"/>
      <c r="S331" s="312"/>
      <c r="T331" s="347"/>
    </row>
    <row r="332" spans="1:20" ht="12" customHeight="1" x14ac:dyDescent="0.3">
      <c r="A332" s="340" t="s">
        <v>289</v>
      </c>
      <c r="B332" s="341">
        <v>6</v>
      </c>
      <c r="C332" s="309">
        <v>46102</v>
      </c>
      <c r="D332" s="310" t="s">
        <v>306</v>
      </c>
      <c r="E332" s="342">
        <v>28.69</v>
      </c>
      <c r="F332" s="342"/>
      <c r="G332" s="344">
        <f t="shared" si="3"/>
        <v>7468.6999999999853</v>
      </c>
      <c r="H332" s="345"/>
      <c r="I332" s="346"/>
      <c r="J332" s="347"/>
      <c r="K332" s="312"/>
      <c r="L332" s="347"/>
      <c r="M332" s="312"/>
      <c r="N332" s="347"/>
      <c r="O332" s="312"/>
      <c r="P332" s="347"/>
      <c r="Q332" s="312"/>
      <c r="R332" s="347"/>
      <c r="S332" s="312"/>
      <c r="T332" s="347"/>
    </row>
    <row r="333" spans="1:20" ht="12" customHeight="1" x14ac:dyDescent="0.3">
      <c r="A333" s="340" t="s">
        <v>289</v>
      </c>
      <c r="B333" s="341">
        <v>3</v>
      </c>
      <c r="C333" s="309">
        <v>46102</v>
      </c>
      <c r="D333" s="310" t="s">
        <v>352</v>
      </c>
      <c r="E333" s="342">
        <v>11.59</v>
      </c>
      <c r="F333" s="342"/>
      <c r="G333" s="344">
        <f t="shared" si="3"/>
        <v>7497.3899999999849</v>
      </c>
      <c r="H333" s="345"/>
      <c r="I333" s="346"/>
      <c r="J333" s="347"/>
      <c r="K333" s="312"/>
      <c r="L333" s="347"/>
      <c r="M333" s="312"/>
      <c r="N333" s="347"/>
      <c r="O333" s="312"/>
      <c r="P333" s="347"/>
      <c r="Q333" s="312"/>
      <c r="R333" s="347"/>
      <c r="S333" s="312"/>
      <c r="T333" s="347"/>
    </row>
    <row r="334" spans="1:20" ht="12" customHeight="1" x14ac:dyDescent="0.3">
      <c r="A334" s="340" t="s">
        <v>291</v>
      </c>
      <c r="B334" s="341">
        <v>41</v>
      </c>
      <c r="C334" s="309">
        <v>46102</v>
      </c>
      <c r="D334" s="310" t="s">
        <v>387</v>
      </c>
      <c r="E334" s="342"/>
      <c r="F334" s="342">
        <v>400</v>
      </c>
      <c r="G334" s="344">
        <f t="shared" si="3"/>
        <v>7508.979999999985</v>
      </c>
      <c r="H334" s="345"/>
      <c r="I334" s="346"/>
      <c r="J334" s="347"/>
      <c r="K334" s="312"/>
      <c r="L334" s="347"/>
      <c r="M334" s="312"/>
      <c r="N334" s="347"/>
      <c r="O334" s="312"/>
      <c r="P334" s="347"/>
      <c r="Q334" s="312"/>
      <c r="R334" s="347"/>
      <c r="S334" s="312"/>
      <c r="T334" s="347"/>
    </row>
    <row r="335" spans="1:20" ht="12" customHeight="1" x14ac:dyDescent="0.3">
      <c r="A335" s="340" t="s">
        <v>289</v>
      </c>
      <c r="B335" s="341">
        <v>5</v>
      </c>
      <c r="C335" s="309">
        <v>46102</v>
      </c>
      <c r="D335" s="310" t="s">
        <v>399</v>
      </c>
      <c r="E335" s="342">
        <v>170</v>
      </c>
      <c r="F335" s="342"/>
      <c r="G335" s="344">
        <f t="shared" si="3"/>
        <v>7108.979999999985</v>
      </c>
      <c r="H335" s="345" t="s">
        <v>298</v>
      </c>
      <c r="I335" s="346"/>
      <c r="J335" s="347"/>
      <c r="K335" s="312"/>
      <c r="L335" s="347"/>
      <c r="M335" s="312"/>
      <c r="N335" s="347"/>
      <c r="O335" s="312"/>
      <c r="P335" s="347"/>
      <c r="Q335" s="312"/>
      <c r="R335" s="347"/>
      <c r="S335" s="312"/>
      <c r="T335" s="347"/>
    </row>
    <row r="336" spans="1:20" ht="12" customHeight="1" x14ac:dyDescent="0.3">
      <c r="A336" s="340" t="s">
        <v>289</v>
      </c>
      <c r="B336" s="341">
        <v>5</v>
      </c>
      <c r="C336" s="309">
        <v>46102</v>
      </c>
      <c r="D336" s="310" t="s">
        <v>358</v>
      </c>
      <c r="E336" s="342">
        <v>70</v>
      </c>
      <c r="F336" s="342"/>
      <c r="G336" s="344">
        <f t="shared" si="3"/>
        <v>7278.979999999985</v>
      </c>
      <c r="H336" s="345" t="s">
        <v>298</v>
      </c>
      <c r="I336" s="346"/>
      <c r="J336" s="347"/>
      <c r="K336" s="312"/>
      <c r="L336" s="347"/>
      <c r="M336" s="312"/>
      <c r="N336" s="347"/>
      <c r="O336" s="312"/>
      <c r="P336" s="347"/>
      <c r="Q336" s="312"/>
      <c r="R336" s="347"/>
      <c r="S336" s="312"/>
      <c r="T336" s="347"/>
    </row>
    <row r="337" spans="1:20" ht="12" customHeight="1" x14ac:dyDescent="0.3">
      <c r="A337" s="340" t="s">
        <v>289</v>
      </c>
      <c r="B337" s="341">
        <v>5</v>
      </c>
      <c r="C337" s="309">
        <v>46102</v>
      </c>
      <c r="D337" s="310" t="s">
        <v>400</v>
      </c>
      <c r="E337" s="342">
        <v>40</v>
      </c>
      <c r="F337" s="342"/>
      <c r="G337" s="344">
        <f t="shared" ref="G337:G591" si="4">G338-E337+F337</f>
        <v>7348.979999999985</v>
      </c>
      <c r="H337" s="345" t="s">
        <v>298</v>
      </c>
      <c r="I337" s="346"/>
      <c r="J337" s="347"/>
      <c r="K337" s="312"/>
      <c r="L337" s="347"/>
      <c r="M337" s="312"/>
      <c r="N337" s="347"/>
      <c r="O337" s="312"/>
      <c r="P337" s="347"/>
      <c r="Q337" s="312"/>
      <c r="R337" s="347"/>
      <c r="S337" s="312"/>
      <c r="T337" s="347"/>
    </row>
    <row r="338" spans="1:20" ht="12" customHeight="1" x14ac:dyDescent="0.3">
      <c r="A338" s="340" t="s">
        <v>289</v>
      </c>
      <c r="B338" s="341">
        <v>3</v>
      </c>
      <c r="C338" s="309">
        <v>46102</v>
      </c>
      <c r="D338" s="310" t="s">
        <v>352</v>
      </c>
      <c r="E338" s="342">
        <v>25</v>
      </c>
      <c r="F338" s="342"/>
      <c r="G338" s="344">
        <f t="shared" si="4"/>
        <v>7388.979999999985</v>
      </c>
      <c r="H338" s="345"/>
      <c r="I338" s="346"/>
      <c r="J338" s="347"/>
      <c r="K338" s="312"/>
      <c r="L338" s="347"/>
      <c r="M338" s="312"/>
      <c r="N338" s="347"/>
      <c r="O338" s="312"/>
      <c r="P338" s="347"/>
      <c r="Q338" s="312"/>
      <c r="R338" s="347"/>
      <c r="S338" s="312"/>
      <c r="T338" s="347"/>
    </row>
    <row r="339" spans="1:20" ht="12" customHeight="1" x14ac:dyDescent="0.3">
      <c r="A339" s="340" t="s">
        <v>289</v>
      </c>
      <c r="B339" s="341">
        <v>1</v>
      </c>
      <c r="C339" s="309">
        <v>46102</v>
      </c>
      <c r="D339" s="310" t="s">
        <v>304</v>
      </c>
      <c r="E339" s="342">
        <v>65.19</v>
      </c>
      <c r="F339" s="342"/>
      <c r="G339" s="344">
        <f t="shared" si="4"/>
        <v>7413.979999999985</v>
      </c>
      <c r="H339" s="345"/>
      <c r="I339" s="346"/>
      <c r="J339" s="347"/>
      <c r="K339" s="312"/>
      <c r="L339" s="347"/>
      <c r="M339" s="312"/>
      <c r="N339" s="347"/>
      <c r="O339" s="312"/>
      <c r="P339" s="347"/>
      <c r="Q339" s="312"/>
      <c r="R339" s="347"/>
      <c r="S339" s="312"/>
      <c r="T339" s="347"/>
    </row>
    <row r="340" spans="1:20" ht="12" customHeight="1" x14ac:dyDescent="0.3">
      <c r="A340" s="340" t="s">
        <v>289</v>
      </c>
      <c r="B340" s="341">
        <v>4</v>
      </c>
      <c r="C340" s="309">
        <v>46102</v>
      </c>
      <c r="D340" s="310" t="s">
        <v>311</v>
      </c>
      <c r="E340" s="342">
        <v>37.450000000000003</v>
      </c>
      <c r="F340" s="342"/>
      <c r="G340" s="344">
        <f t="shared" si="4"/>
        <v>7479.1699999999846</v>
      </c>
      <c r="H340" s="345"/>
      <c r="I340" s="346"/>
      <c r="J340" s="347"/>
      <c r="K340" s="312"/>
      <c r="L340" s="347"/>
      <c r="M340" s="312"/>
      <c r="N340" s="347"/>
      <c r="O340" s="312"/>
      <c r="P340" s="347"/>
      <c r="Q340" s="312"/>
      <c r="R340" s="347"/>
      <c r="S340" s="312"/>
      <c r="T340" s="347"/>
    </row>
    <row r="341" spans="1:20" ht="12" customHeight="1" x14ac:dyDescent="0.3">
      <c r="A341" s="340" t="s">
        <v>289</v>
      </c>
      <c r="B341" s="341">
        <v>8</v>
      </c>
      <c r="C341" s="309">
        <v>46101</v>
      </c>
      <c r="D341" s="310" t="s">
        <v>360</v>
      </c>
      <c r="E341" s="342">
        <v>65.099999999999994</v>
      </c>
      <c r="F341" s="342"/>
      <c r="G341" s="344">
        <f t="shared" si="4"/>
        <v>7516.6199999999844</v>
      </c>
      <c r="H341" s="345"/>
      <c r="I341" s="346"/>
      <c r="J341" s="347"/>
      <c r="K341" s="312"/>
      <c r="L341" s="347"/>
      <c r="M341" s="312"/>
      <c r="N341" s="347"/>
      <c r="O341" s="312"/>
      <c r="P341" s="347"/>
      <c r="Q341" s="312"/>
      <c r="R341" s="347"/>
      <c r="S341" s="312"/>
      <c r="T341" s="347"/>
    </row>
    <row r="342" spans="1:20" ht="12" customHeight="1" x14ac:dyDescent="0.3">
      <c r="A342" s="340" t="s">
        <v>294</v>
      </c>
      <c r="B342" s="341">
        <v>22</v>
      </c>
      <c r="C342" s="309">
        <v>46101</v>
      </c>
      <c r="D342" s="310" t="s">
        <v>325</v>
      </c>
      <c r="E342" s="342">
        <v>20.22</v>
      </c>
      <c r="F342" s="342"/>
      <c r="G342" s="344">
        <f t="shared" si="4"/>
        <v>7581.7199999999848</v>
      </c>
      <c r="H342" s="345"/>
      <c r="I342" s="346"/>
      <c r="J342" s="347"/>
      <c r="K342" s="312"/>
      <c r="L342" s="347"/>
      <c r="M342" s="312"/>
      <c r="N342" s="347"/>
      <c r="O342" s="312"/>
      <c r="P342" s="347"/>
      <c r="Q342" s="312"/>
      <c r="R342" s="347"/>
      <c r="S342" s="312"/>
      <c r="T342" s="347"/>
    </row>
    <row r="343" spans="1:20" ht="12" customHeight="1" x14ac:dyDescent="0.3">
      <c r="A343" s="340" t="s">
        <v>289</v>
      </c>
      <c r="B343" s="341">
        <v>6</v>
      </c>
      <c r="C343" s="309">
        <v>46101</v>
      </c>
      <c r="D343" s="310" t="s">
        <v>401</v>
      </c>
      <c r="E343" s="342">
        <v>-73</v>
      </c>
      <c r="F343" s="342"/>
      <c r="G343" s="344">
        <f t="shared" si="4"/>
        <v>7601.939999999985</v>
      </c>
      <c r="H343" s="345"/>
      <c r="I343" s="346"/>
      <c r="J343" s="347"/>
      <c r="K343" s="312"/>
      <c r="L343" s="347"/>
      <c r="M343" s="312"/>
      <c r="N343" s="347"/>
      <c r="O343" s="312"/>
      <c r="P343" s="347"/>
      <c r="Q343" s="312"/>
      <c r="R343" s="347"/>
      <c r="S343" s="312"/>
      <c r="T343" s="347"/>
    </row>
    <row r="344" spans="1:20" ht="12" customHeight="1" x14ac:dyDescent="0.3">
      <c r="A344" s="340" t="s">
        <v>289</v>
      </c>
      <c r="B344" s="341">
        <v>6</v>
      </c>
      <c r="C344" s="309">
        <v>46101</v>
      </c>
      <c r="D344" s="310" t="s">
        <v>300</v>
      </c>
      <c r="E344" s="342">
        <v>34.68</v>
      </c>
      <c r="F344" s="342"/>
      <c r="G344" s="344">
        <f t="shared" si="4"/>
        <v>7528.939999999985</v>
      </c>
      <c r="H344" s="345"/>
      <c r="I344" s="346"/>
      <c r="J344" s="347"/>
      <c r="K344" s="312"/>
      <c r="L344" s="347"/>
      <c r="M344" s="312"/>
      <c r="N344" s="347"/>
      <c r="O344" s="312"/>
      <c r="P344" s="347"/>
      <c r="Q344" s="312"/>
      <c r="R344" s="347"/>
      <c r="S344" s="312"/>
      <c r="T344" s="347"/>
    </row>
    <row r="345" spans="1:20" ht="12" customHeight="1" x14ac:dyDescent="0.3">
      <c r="A345" s="340" t="s">
        <v>289</v>
      </c>
      <c r="B345" s="341">
        <v>6</v>
      </c>
      <c r="C345" s="309">
        <v>46101</v>
      </c>
      <c r="D345" s="310" t="s">
        <v>402</v>
      </c>
      <c r="E345" s="342">
        <v>10.63</v>
      </c>
      <c r="F345" s="342"/>
      <c r="G345" s="344">
        <f t="shared" si="4"/>
        <v>7563.6199999999853</v>
      </c>
      <c r="H345" s="345"/>
      <c r="I345" s="346"/>
      <c r="J345" s="347"/>
      <c r="K345" s="312"/>
      <c r="L345" s="347"/>
      <c r="M345" s="312"/>
      <c r="N345" s="347"/>
      <c r="O345" s="312"/>
      <c r="P345" s="347"/>
      <c r="Q345" s="312"/>
      <c r="R345" s="347"/>
      <c r="S345" s="312"/>
      <c r="T345" s="347"/>
    </row>
    <row r="346" spans="1:20" ht="12" customHeight="1" x14ac:dyDescent="0.3">
      <c r="A346" s="340" t="s">
        <v>289</v>
      </c>
      <c r="B346" s="341">
        <v>5</v>
      </c>
      <c r="C346" s="309">
        <v>46101</v>
      </c>
      <c r="D346" s="310" t="s">
        <v>403</v>
      </c>
      <c r="E346" s="342">
        <v>106.49</v>
      </c>
      <c r="F346" s="342"/>
      <c r="G346" s="344">
        <f t="shared" si="4"/>
        <v>7574.2499999999854</v>
      </c>
      <c r="H346" s="345"/>
      <c r="I346" s="346"/>
      <c r="J346" s="347"/>
      <c r="K346" s="312"/>
      <c r="L346" s="347"/>
      <c r="M346" s="312"/>
      <c r="N346" s="347"/>
      <c r="O346" s="312"/>
      <c r="P346" s="347"/>
      <c r="Q346" s="312"/>
      <c r="R346" s="347"/>
      <c r="S346" s="312"/>
      <c r="T346" s="347"/>
    </row>
    <row r="347" spans="1:20" ht="12" customHeight="1" x14ac:dyDescent="0.3">
      <c r="A347" s="340" t="s">
        <v>289</v>
      </c>
      <c r="B347" s="341">
        <v>8</v>
      </c>
      <c r="C347" s="309">
        <v>46100</v>
      </c>
      <c r="D347" s="310" t="s">
        <v>361</v>
      </c>
      <c r="E347" s="342">
        <v>16.739999999999998</v>
      </c>
      <c r="F347" s="342"/>
      <c r="G347" s="344">
        <f t="shared" si="4"/>
        <v>7680.7399999999852</v>
      </c>
      <c r="H347" s="345"/>
      <c r="I347" s="346"/>
      <c r="J347" s="347"/>
      <c r="K347" s="312"/>
      <c r="L347" s="347"/>
      <c r="M347" s="312"/>
      <c r="N347" s="347"/>
      <c r="O347" s="312"/>
      <c r="P347" s="347"/>
      <c r="Q347" s="312"/>
      <c r="R347" s="347"/>
      <c r="S347" s="312"/>
      <c r="T347" s="347"/>
    </row>
    <row r="348" spans="1:20" ht="12" customHeight="1" x14ac:dyDescent="0.3">
      <c r="A348" s="340" t="s">
        <v>289</v>
      </c>
      <c r="B348" s="341">
        <v>8</v>
      </c>
      <c r="C348" s="309">
        <v>46100</v>
      </c>
      <c r="D348" s="310" t="s">
        <v>404</v>
      </c>
      <c r="E348" s="342">
        <v>108.54</v>
      </c>
      <c r="F348" s="342"/>
      <c r="G348" s="344">
        <f t="shared" si="4"/>
        <v>7697.479999999985</v>
      </c>
      <c r="H348" s="345"/>
      <c r="I348" s="346"/>
      <c r="J348" s="347"/>
      <c r="K348" s="312"/>
      <c r="L348" s="347"/>
      <c r="M348" s="312"/>
      <c r="N348" s="347"/>
      <c r="O348" s="312"/>
      <c r="P348" s="347"/>
      <c r="Q348" s="312"/>
      <c r="R348" s="347"/>
      <c r="S348" s="312"/>
      <c r="T348" s="347"/>
    </row>
    <row r="349" spans="1:20" ht="12" customHeight="1" x14ac:dyDescent="0.3">
      <c r="A349" s="340" t="s">
        <v>294</v>
      </c>
      <c r="B349" s="341">
        <v>22</v>
      </c>
      <c r="C349" s="309">
        <v>46100</v>
      </c>
      <c r="D349" s="310" t="s">
        <v>405</v>
      </c>
      <c r="E349" s="342">
        <v>12.77</v>
      </c>
      <c r="F349" s="342"/>
      <c r="G349" s="344">
        <f t="shared" si="4"/>
        <v>7806.019999999985</v>
      </c>
      <c r="H349" s="345"/>
      <c r="I349" s="346"/>
      <c r="J349" s="347"/>
      <c r="K349" s="312"/>
      <c r="L349" s="347"/>
      <c r="M349" s="312"/>
      <c r="N349" s="347"/>
      <c r="O349" s="312"/>
      <c r="P349" s="347"/>
      <c r="Q349" s="312"/>
      <c r="R349" s="347"/>
      <c r="S349" s="312"/>
      <c r="T349" s="347"/>
    </row>
    <row r="350" spans="1:20" ht="12" customHeight="1" x14ac:dyDescent="0.3">
      <c r="A350" s="340" t="s">
        <v>289</v>
      </c>
      <c r="B350" s="341">
        <v>8</v>
      </c>
      <c r="C350" s="309">
        <v>46100</v>
      </c>
      <c r="D350" s="310" t="s">
        <v>338</v>
      </c>
      <c r="E350" s="342">
        <v>28.33</v>
      </c>
      <c r="F350" s="342"/>
      <c r="G350" s="344">
        <f t="shared" si="4"/>
        <v>7818.7899999999854</v>
      </c>
      <c r="H350" s="345"/>
      <c r="I350" s="346"/>
      <c r="J350" s="347"/>
      <c r="K350" s="312"/>
      <c r="L350" s="347"/>
      <c r="M350" s="312"/>
      <c r="N350" s="347"/>
      <c r="O350" s="312"/>
      <c r="P350" s="347"/>
      <c r="Q350" s="312"/>
      <c r="R350" s="347"/>
      <c r="S350" s="312"/>
      <c r="T350" s="347"/>
    </row>
    <row r="351" spans="1:20" ht="12" customHeight="1" x14ac:dyDescent="0.3">
      <c r="A351" s="340" t="s">
        <v>289</v>
      </c>
      <c r="B351" s="341">
        <v>2</v>
      </c>
      <c r="C351" s="309">
        <v>46100</v>
      </c>
      <c r="D351" s="310" t="s">
        <v>362</v>
      </c>
      <c r="E351" s="342">
        <v>17.45</v>
      </c>
      <c r="F351" s="342"/>
      <c r="G351" s="344">
        <f t="shared" si="4"/>
        <v>7847.1199999999853</v>
      </c>
      <c r="H351" s="345"/>
      <c r="I351" s="346"/>
      <c r="J351" s="347"/>
      <c r="K351" s="312"/>
      <c r="L351" s="347"/>
      <c r="M351" s="312"/>
      <c r="N351" s="347"/>
      <c r="O351" s="312"/>
      <c r="P351" s="347"/>
      <c r="Q351" s="312"/>
      <c r="R351" s="347"/>
      <c r="S351" s="312"/>
      <c r="T351" s="347"/>
    </row>
    <row r="352" spans="1:20" ht="12" customHeight="1" x14ac:dyDescent="0.3">
      <c r="A352" s="340" t="s">
        <v>294</v>
      </c>
      <c r="B352" s="341">
        <v>22</v>
      </c>
      <c r="C352" s="309">
        <v>46100</v>
      </c>
      <c r="D352" s="310" t="s">
        <v>406</v>
      </c>
      <c r="E352" s="342">
        <v>7.46</v>
      </c>
      <c r="F352" s="342"/>
      <c r="G352" s="344">
        <f t="shared" si="4"/>
        <v>7864.5699999999852</v>
      </c>
      <c r="H352" s="345"/>
      <c r="I352" s="346"/>
      <c r="J352" s="347"/>
      <c r="K352" s="312"/>
      <c r="L352" s="347"/>
      <c r="M352" s="312"/>
      <c r="N352" s="347"/>
      <c r="O352" s="312"/>
      <c r="P352" s="347"/>
      <c r="Q352" s="312"/>
      <c r="R352" s="347"/>
      <c r="S352" s="312"/>
      <c r="T352" s="347"/>
    </row>
    <row r="353" spans="1:20" ht="12" customHeight="1" x14ac:dyDescent="0.3">
      <c r="A353" s="340" t="s">
        <v>339</v>
      </c>
      <c r="B353" s="341" t="s">
        <v>339</v>
      </c>
      <c r="C353" s="309">
        <v>46100</v>
      </c>
      <c r="D353" s="310" t="s">
        <v>185</v>
      </c>
      <c r="E353" s="342">
        <v>172.29</v>
      </c>
      <c r="F353" s="342"/>
      <c r="G353" s="344">
        <f t="shared" si="4"/>
        <v>7872.0299999999852</v>
      </c>
      <c r="H353" s="345"/>
      <c r="I353" s="346"/>
      <c r="J353" s="347"/>
      <c r="K353" s="312"/>
      <c r="L353" s="347"/>
      <c r="M353" s="312"/>
      <c r="N353" s="347"/>
      <c r="O353" s="312"/>
      <c r="P353" s="347"/>
      <c r="Q353" s="312"/>
      <c r="R353" s="347"/>
      <c r="S353" s="312"/>
      <c r="T353" s="347"/>
    </row>
    <row r="354" spans="1:20" ht="12" customHeight="1" x14ac:dyDescent="0.3">
      <c r="A354" s="340" t="s">
        <v>294</v>
      </c>
      <c r="B354" s="341">
        <v>15</v>
      </c>
      <c r="C354" s="309">
        <v>46100</v>
      </c>
      <c r="D354" s="310" t="s">
        <v>185</v>
      </c>
      <c r="E354" s="342">
        <v>175.09</v>
      </c>
      <c r="F354" s="342"/>
      <c r="G354" s="344">
        <f t="shared" si="4"/>
        <v>8044.3199999999852</v>
      </c>
      <c r="H354" s="345"/>
      <c r="I354" s="346"/>
      <c r="J354" s="347"/>
      <c r="K354" s="312"/>
      <c r="L354" s="347"/>
      <c r="M354" s="312"/>
      <c r="N354" s="347"/>
      <c r="O354" s="312"/>
      <c r="P354" s="347"/>
      <c r="Q354" s="312"/>
      <c r="R354" s="347"/>
      <c r="S354" s="312"/>
      <c r="T354" s="347"/>
    </row>
    <row r="355" spans="1:20" ht="12" customHeight="1" x14ac:dyDescent="0.3">
      <c r="A355" s="340" t="s">
        <v>291</v>
      </c>
      <c r="B355" s="341">
        <v>39</v>
      </c>
      <c r="C355" s="309">
        <v>46100</v>
      </c>
      <c r="D355" s="310" t="s">
        <v>292</v>
      </c>
      <c r="E355" s="342"/>
      <c r="F355" s="342">
        <v>2763.78</v>
      </c>
      <c r="G355" s="344">
        <f t="shared" si="4"/>
        <v>8219.4099999999853</v>
      </c>
      <c r="H355" s="345"/>
      <c r="I355" s="346"/>
      <c r="J355" s="347"/>
      <c r="K355" s="312"/>
      <c r="L355" s="347"/>
      <c r="M355" s="312"/>
      <c r="N355" s="347"/>
      <c r="O355" s="312"/>
      <c r="P355" s="347"/>
      <c r="Q355" s="312"/>
      <c r="R355" s="347"/>
      <c r="S355" s="312"/>
      <c r="T355" s="347"/>
    </row>
    <row r="356" spans="1:20" ht="12" customHeight="1" x14ac:dyDescent="0.3">
      <c r="A356" s="340" t="s">
        <v>289</v>
      </c>
      <c r="B356" s="341">
        <v>2</v>
      </c>
      <c r="C356" s="309">
        <v>46099</v>
      </c>
      <c r="D356" s="310" t="s">
        <v>407</v>
      </c>
      <c r="E356" s="342">
        <v>47.46</v>
      </c>
      <c r="F356" s="342"/>
      <c r="G356" s="344">
        <f t="shared" si="4"/>
        <v>5455.6299999999856</v>
      </c>
      <c r="H356" s="345"/>
      <c r="I356" s="346"/>
      <c r="J356" s="347"/>
      <c r="K356" s="312"/>
      <c r="L356" s="347"/>
      <c r="M356" s="312"/>
      <c r="N356" s="347"/>
      <c r="O356" s="312"/>
      <c r="P356" s="347"/>
      <c r="Q356" s="312"/>
      <c r="R356" s="347"/>
      <c r="S356" s="312"/>
      <c r="T356" s="347"/>
    </row>
    <row r="357" spans="1:20" ht="12" customHeight="1" x14ac:dyDescent="0.3">
      <c r="A357" s="340" t="s">
        <v>289</v>
      </c>
      <c r="B357" s="341">
        <v>8</v>
      </c>
      <c r="C357" s="309">
        <v>46099</v>
      </c>
      <c r="D357" s="310" t="s">
        <v>407</v>
      </c>
      <c r="E357" s="342">
        <v>15.01</v>
      </c>
      <c r="F357" s="342"/>
      <c r="G357" s="344">
        <f t="shared" si="4"/>
        <v>5503.0899999999856</v>
      </c>
      <c r="H357" s="345"/>
      <c r="I357" s="346"/>
      <c r="J357" s="347"/>
      <c r="K357" s="312"/>
      <c r="L357" s="347"/>
      <c r="M357" s="312"/>
      <c r="N357" s="347"/>
      <c r="O357" s="312"/>
      <c r="P357" s="347"/>
      <c r="Q357" s="312"/>
      <c r="R357" s="347"/>
      <c r="S357" s="312"/>
      <c r="T357" s="347"/>
    </row>
    <row r="358" spans="1:20" ht="12" customHeight="1" x14ac:dyDescent="0.3">
      <c r="A358" s="340" t="s">
        <v>291</v>
      </c>
      <c r="B358" s="341">
        <v>40</v>
      </c>
      <c r="C358" s="309">
        <v>46099</v>
      </c>
      <c r="D358" s="310" t="s">
        <v>318</v>
      </c>
      <c r="E358" s="342"/>
      <c r="F358" s="342">
        <v>838.67</v>
      </c>
      <c r="G358" s="344">
        <f t="shared" si="4"/>
        <v>5518.0999999999858</v>
      </c>
      <c r="H358" s="345"/>
      <c r="I358" s="346"/>
      <c r="J358" s="347"/>
      <c r="K358" s="312"/>
      <c r="L358" s="347"/>
      <c r="M358" s="312"/>
      <c r="N358" s="347"/>
      <c r="O358" s="312"/>
      <c r="P358" s="347"/>
      <c r="Q358" s="312"/>
      <c r="R358" s="347"/>
      <c r="S358" s="312"/>
      <c r="T358" s="347"/>
    </row>
    <row r="359" spans="1:20" ht="12" customHeight="1" x14ac:dyDescent="0.3">
      <c r="A359" s="340" t="s">
        <v>289</v>
      </c>
      <c r="B359" s="341">
        <v>2</v>
      </c>
      <c r="C359" s="309">
        <v>46099</v>
      </c>
      <c r="D359" s="310" t="s">
        <v>296</v>
      </c>
      <c r="E359" s="342">
        <v>14.67</v>
      </c>
      <c r="F359" s="342"/>
      <c r="G359" s="344">
        <f t="shared" si="4"/>
        <v>4679.4299999999857</v>
      </c>
      <c r="H359" s="345"/>
      <c r="I359" s="346"/>
      <c r="J359" s="347"/>
      <c r="K359" s="312"/>
      <c r="L359" s="347"/>
      <c r="M359" s="312"/>
      <c r="N359" s="347"/>
      <c r="O359" s="312"/>
      <c r="P359" s="347"/>
      <c r="Q359" s="312"/>
      <c r="R359" s="347"/>
      <c r="S359" s="312"/>
      <c r="T359" s="347"/>
    </row>
    <row r="360" spans="1:20" ht="12" customHeight="1" x14ac:dyDescent="0.3">
      <c r="A360" s="340" t="s">
        <v>289</v>
      </c>
      <c r="B360" s="341">
        <v>4</v>
      </c>
      <c r="C360" s="309">
        <v>46099</v>
      </c>
      <c r="D360" s="310" t="s">
        <v>296</v>
      </c>
      <c r="E360" s="342">
        <v>40.22</v>
      </c>
      <c r="F360" s="342"/>
      <c r="G360" s="344">
        <f t="shared" si="4"/>
        <v>4694.0999999999858</v>
      </c>
      <c r="H360" s="345"/>
      <c r="I360" s="346"/>
      <c r="J360" s="347"/>
      <c r="K360" s="312"/>
      <c r="L360" s="347"/>
      <c r="M360" s="312"/>
      <c r="N360" s="347"/>
      <c r="O360" s="312"/>
      <c r="P360" s="347"/>
      <c r="Q360" s="312"/>
      <c r="R360" s="347"/>
      <c r="S360" s="312"/>
      <c r="T360" s="347"/>
    </row>
    <row r="361" spans="1:20" ht="12" customHeight="1" x14ac:dyDescent="0.3">
      <c r="A361" s="340" t="s">
        <v>289</v>
      </c>
      <c r="B361" s="341">
        <v>8</v>
      </c>
      <c r="C361" s="309">
        <v>46099</v>
      </c>
      <c r="D361" s="310" t="s">
        <v>295</v>
      </c>
      <c r="E361" s="342">
        <v>3.49</v>
      </c>
      <c r="F361" s="342"/>
      <c r="G361" s="344">
        <f t="shared" si="4"/>
        <v>4734.3199999999861</v>
      </c>
      <c r="H361" s="345"/>
      <c r="I361" s="346"/>
      <c r="J361" s="347"/>
      <c r="K361" s="312"/>
      <c r="L361" s="347"/>
      <c r="M361" s="312"/>
      <c r="N361" s="347"/>
      <c r="O361" s="312"/>
      <c r="P361" s="347"/>
      <c r="Q361" s="312"/>
      <c r="R361" s="347"/>
      <c r="S361" s="312"/>
      <c r="T361" s="347"/>
    </row>
    <row r="362" spans="1:20" ht="12" customHeight="1" x14ac:dyDescent="0.3">
      <c r="A362" s="340" t="s">
        <v>294</v>
      </c>
      <c r="B362" s="341">
        <v>22</v>
      </c>
      <c r="C362" s="309">
        <v>46099</v>
      </c>
      <c r="D362" s="310" t="s">
        <v>408</v>
      </c>
      <c r="E362" s="342">
        <v>13.84</v>
      </c>
      <c r="F362" s="342"/>
      <c r="G362" s="344">
        <f t="shared" si="4"/>
        <v>4737.8099999999858</v>
      </c>
      <c r="H362" s="345"/>
      <c r="I362" s="346"/>
      <c r="J362" s="347"/>
      <c r="K362" s="312"/>
      <c r="L362" s="347"/>
      <c r="M362" s="312"/>
      <c r="N362" s="347"/>
      <c r="O362" s="312"/>
      <c r="P362" s="347"/>
      <c r="Q362" s="312"/>
      <c r="R362" s="347"/>
      <c r="S362" s="312"/>
      <c r="T362" s="347"/>
    </row>
    <row r="363" spans="1:20" ht="12" customHeight="1" x14ac:dyDescent="0.3">
      <c r="A363" s="340" t="s">
        <v>294</v>
      </c>
      <c r="B363" s="341">
        <v>17</v>
      </c>
      <c r="C363" s="309">
        <v>46098</v>
      </c>
      <c r="D363" s="310" t="s">
        <v>188</v>
      </c>
      <c r="E363" s="342">
        <v>42.65</v>
      </c>
      <c r="F363" s="342"/>
      <c r="G363" s="344">
        <f t="shared" si="4"/>
        <v>4751.649999999986</v>
      </c>
      <c r="H363" s="345"/>
      <c r="I363" s="346"/>
      <c r="J363" s="347"/>
      <c r="K363" s="312"/>
      <c r="L363" s="347"/>
      <c r="M363" s="312"/>
      <c r="N363" s="347"/>
      <c r="O363" s="312"/>
      <c r="P363" s="347"/>
      <c r="Q363" s="312"/>
      <c r="R363" s="347"/>
      <c r="S363" s="312"/>
      <c r="T363" s="347"/>
    </row>
    <row r="364" spans="1:20" ht="12" customHeight="1" x14ac:dyDescent="0.3">
      <c r="A364" s="340" t="s">
        <v>294</v>
      </c>
      <c r="B364" s="341">
        <v>23</v>
      </c>
      <c r="C364" s="309">
        <v>46098</v>
      </c>
      <c r="D364" s="310" t="s">
        <v>409</v>
      </c>
      <c r="E364" s="342">
        <v>529.46</v>
      </c>
      <c r="F364" s="342"/>
      <c r="G364" s="344">
        <f t="shared" si="4"/>
        <v>4794.2999999999856</v>
      </c>
      <c r="H364" s="345"/>
      <c r="I364" s="346"/>
      <c r="J364" s="347"/>
      <c r="K364" s="312"/>
      <c r="L364" s="347"/>
      <c r="M364" s="312"/>
      <c r="N364" s="347"/>
      <c r="O364" s="312"/>
      <c r="P364" s="347"/>
      <c r="Q364" s="312"/>
      <c r="R364" s="347"/>
      <c r="S364" s="312"/>
      <c r="T364" s="347"/>
    </row>
    <row r="365" spans="1:20" ht="12" customHeight="1" x14ac:dyDescent="0.3">
      <c r="A365" s="340" t="s">
        <v>294</v>
      </c>
      <c r="B365" s="341">
        <v>43</v>
      </c>
      <c r="C365" s="309">
        <v>46098</v>
      </c>
      <c r="D365" s="310" t="s">
        <v>337</v>
      </c>
      <c r="E365" s="342">
        <v>22.35</v>
      </c>
      <c r="F365" s="342"/>
      <c r="G365" s="344">
        <f t="shared" si="4"/>
        <v>5323.7599999999857</v>
      </c>
      <c r="H365" s="345"/>
      <c r="I365" s="346"/>
      <c r="J365" s="347"/>
      <c r="K365" s="312"/>
      <c r="L365" s="347"/>
      <c r="M365" s="312"/>
      <c r="N365" s="347"/>
      <c r="O365" s="312"/>
      <c r="P365" s="347"/>
      <c r="Q365" s="312"/>
      <c r="R365" s="347"/>
      <c r="S365" s="312"/>
      <c r="T365" s="347"/>
    </row>
    <row r="366" spans="1:20" ht="12" customHeight="1" x14ac:dyDescent="0.3">
      <c r="A366" s="340" t="s">
        <v>294</v>
      </c>
      <c r="B366" s="341">
        <v>42</v>
      </c>
      <c r="C366" s="309">
        <v>46098</v>
      </c>
      <c r="D366" s="310" t="s">
        <v>337</v>
      </c>
      <c r="E366" s="342">
        <v>37.25</v>
      </c>
      <c r="F366" s="342"/>
      <c r="G366" s="344">
        <f t="shared" si="4"/>
        <v>5346.109999999986</v>
      </c>
      <c r="H366" s="345"/>
      <c r="I366" s="346"/>
      <c r="J366" s="347"/>
      <c r="K366" s="312"/>
      <c r="L366" s="347"/>
      <c r="M366" s="312"/>
      <c r="N366" s="347"/>
      <c r="O366" s="312"/>
      <c r="P366" s="347"/>
      <c r="Q366" s="312"/>
      <c r="R366" s="347"/>
      <c r="S366" s="312"/>
      <c r="T366" s="347"/>
    </row>
    <row r="367" spans="1:20" ht="12" customHeight="1" x14ac:dyDescent="0.3">
      <c r="A367" s="340" t="s">
        <v>289</v>
      </c>
      <c r="B367" s="341">
        <v>8</v>
      </c>
      <c r="C367" s="309">
        <v>46098</v>
      </c>
      <c r="D367" s="310" t="s">
        <v>321</v>
      </c>
      <c r="E367" s="342">
        <v>3.99</v>
      </c>
      <c r="F367" s="342"/>
      <c r="G367" s="344">
        <f t="shared" si="4"/>
        <v>5383.359999999986</v>
      </c>
      <c r="H367" s="345"/>
      <c r="I367" s="346"/>
      <c r="J367" s="347"/>
      <c r="K367" s="312"/>
      <c r="L367" s="347"/>
      <c r="M367" s="312"/>
      <c r="N367" s="347"/>
      <c r="O367" s="312"/>
      <c r="P367" s="347"/>
      <c r="Q367" s="312"/>
      <c r="R367" s="347"/>
      <c r="S367" s="312"/>
      <c r="T367" s="347"/>
    </row>
    <row r="368" spans="1:20" ht="12" customHeight="1" x14ac:dyDescent="0.3">
      <c r="A368" s="340" t="s">
        <v>289</v>
      </c>
      <c r="B368" s="341">
        <v>8</v>
      </c>
      <c r="C368" s="309">
        <v>46098</v>
      </c>
      <c r="D368" s="310" t="s">
        <v>321</v>
      </c>
      <c r="E368" s="342">
        <v>24.47</v>
      </c>
      <c r="F368" s="342"/>
      <c r="G368" s="344">
        <f t="shared" si="4"/>
        <v>5387.3499999999858</v>
      </c>
      <c r="H368" s="345"/>
      <c r="I368" s="346"/>
      <c r="J368" s="347"/>
      <c r="K368" s="312"/>
      <c r="L368" s="347"/>
      <c r="M368" s="312"/>
      <c r="N368" s="347"/>
      <c r="O368" s="312"/>
      <c r="P368" s="347"/>
      <c r="Q368" s="312"/>
      <c r="R368" s="347"/>
      <c r="S368" s="312"/>
      <c r="T368" s="347"/>
    </row>
    <row r="369" spans="1:20" ht="12" customHeight="1" x14ac:dyDescent="0.3">
      <c r="A369" s="340" t="s">
        <v>294</v>
      </c>
      <c r="B369" s="341">
        <v>21</v>
      </c>
      <c r="C369" s="309">
        <v>46098</v>
      </c>
      <c r="D369" s="310" t="s">
        <v>194</v>
      </c>
      <c r="E369" s="342">
        <v>75.599999999999994</v>
      </c>
      <c r="F369" s="342"/>
      <c r="G369" s="344">
        <f t="shared" si="4"/>
        <v>5411.8199999999861</v>
      </c>
      <c r="H369" s="345"/>
      <c r="I369" s="346"/>
      <c r="J369" s="347"/>
      <c r="K369" s="312"/>
      <c r="L369" s="347"/>
      <c r="M369" s="312"/>
      <c r="N369" s="347"/>
      <c r="O369" s="312"/>
      <c r="P369" s="347"/>
      <c r="Q369" s="312"/>
      <c r="R369" s="347"/>
      <c r="S369" s="312"/>
      <c r="T369" s="347"/>
    </row>
    <row r="370" spans="1:20" ht="12" customHeight="1" x14ac:dyDescent="0.3">
      <c r="A370" s="340" t="s">
        <v>289</v>
      </c>
      <c r="B370" s="341">
        <v>5</v>
      </c>
      <c r="C370" s="309">
        <v>46097</v>
      </c>
      <c r="D370" s="310" t="s">
        <v>344</v>
      </c>
      <c r="E370" s="342">
        <v>21.3</v>
      </c>
      <c r="F370" s="342"/>
      <c r="G370" s="344">
        <f t="shared" si="4"/>
        <v>5487.4199999999864</v>
      </c>
      <c r="H370" s="345"/>
      <c r="I370" s="346"/>
      <c r="J370" s="347"/>
      <c r="K370" s="312"/>
      <c r="L370" s="347"/>
      <c r="M370" s="312"/>
      <c r="N370" s="347"/>
      <c r="O370" s="312"/>
      <c r="P370" s="347"/>
      <c r="Q370" s="312"/>
      <c r="R370" s="347"/>
      <c r="S370" s="312"/>
      <c r="T370" s="347"/>
    </row>
    <row r="371" spans="1:20" ht="12" customHeight="1" x14ac:dyDescent="0.3">
      <c r="A371" s="340" t="s">
        <v>294</v>
      </c>
      <c r="B371" s="341">
        <v>11</v>
      </c>
      <c r="C371" s="309">
        <v>46097</v>
      </c>
      <c r="D371" s="310" t="s">
        <v>178</v>
      </c>
      <c r="E371" s="342">
        <v>267.91000000000003</v>
      </c>
      <c r="F371" s="342"/>
      <c r="G371" s="344">
        <f t="shared" si="4"/>
        <v>5508.7199999999866</v>
      </c>
      <c r="H371" s="345"/>
      <c r="I371" s="346"/>
      <c r="J371" s="347"/>
      <c r="K371" s="312"/>
      <c r="L371" s="347"/>
      <c r="M371" s="312"/>
      <c r="N371" s="347"/>
      <c r="O371" s="312"/>
      <c r="P371" s="347"/>
      <c r="Q371" s="312"/>
      <c r="R371" s="347"/>
      <c r="S371" s="312"/>
      <c r="T371" s="347"/>
    </row>
    <row r="372" spans="1:20" ht="12" customHeight="1" x14ac:dyDescent="0.3">
      <c r="A372" s="340" t="s">
        <v>287</v>
      </c>
      <c r="B372" s="341" t="s">
        <v>287</v>
      </c>
      <c r="C372" s="309">
        <v>46097</v>
      </c>
      <c r="D372" s="310" t="s">
        <v>410</v>
      </c>
      <c r="E372" s="342"/>
      <c r="F372" s="342">
        <v>80</v>
      </c>
      <c r="G372" s="344">
        <f t="shared" si="4"/>
        <v>5776.6299999999865</v>
      </c>
      <c r="H372" s="345" t="s">
        <v>298</v>
      </c>
      <c r="I372" s="346"/>
      <c r="J372" s="347"/>
      <c r="K372" s="312"/>
      <c r="L372" s="347"/>
      <c r="M372" s="312"/>
      <c r="N372" s="347"/>
      <c r="O372" s="312"/>
      <c r="P372" s="347"/>
      <c r="Q372" s="312"/>
      <c r="R372" s="347"/>
      <c r="S372" s="312"/>
      <c r="T372" s="347"/>
    </row>
    <row r="373" spans="1:20" ht="12" customHeight="1" x14ac:dyDescent="0.3">
      <c r="A373" s="340" t="s">
        <v>287</v>
      </c>
      <c r="B373" s="341" t="s">
        <v>287</v>
      </c>
      <c r="C373" s="309">
        <v>46097</v>
      </c>
      <c r="D373" s="310" t="s">
        <v>302</v>
      </c>
      <c r="E373" s="342">
        <v>80</v>
      </c>
      <c r="F373" s="342"/>
      <c r="G373" s="344">
        <f t="shared" si="4"/>
        <v>5696.6299999999865</v>
      </c>
      <c r="H373" s="345"/>
      <c r="I373" s="346"/>
      <c r="J373" s="347"/>
      <c r="K373" s="312"/>
      <c r="L373" s="347"/>
      <c r="M373" s="312"/>
      <c r="N373" s="347"/>
      <c r="O373" s="312"/>
      <c r="P373" s="347"/>
      <c r="Q373" s="312"/>
      <c r="R373" s="347"/>
      <c r="S373" s="312"/>
      <c r="T373" s="347"/>
    </row>
    <row r="374" spans="1:20" ht="12" customHeight="1" x14ac:dyDescent="0.3">
      <c r="A374" s="340" t="s">
        <v>289</v>
      </c>
      <c r="B374" s="341">
        <v>4</v>
      </c>
      <c r="C374" s="309">
        <v>46097</v>
      </c>
      <c r="D374" s="310" t="s">
        <v>311</v>
      </c>
      <c r="E374" s="342">
        <v>42.47</v>
      </c>
      <c r="F374" s="342"/>
      <c r="G374" s="344">
        <f t="shared" si="4"/>
        <v>5776.6299999999865</v>
      </c>
      <c r="H374" s="345"/>
      <c r="I374" s="346"/>
      <c r="J374" s="347"/>
      <c r="K374" s="312"/>
      <c r="L374" s="347"/>
      <c r="M374" s="312"/>
      <c r="N374" s="347"/>
      <c r="O374" s="312"/>
      <c r="P374" s="347"/>
      <c r="Q374" s="312"/>
      <c r="R374" s="347"/>
      <c r="S374" s="312"/>
      <c r="T374" s="347"/>
    </row>
    <row r="375" spans="1:20" ht="12" customHeight="1" x14ac:dyDescent="0.3">
      <c r="A375" s="340" t="s">
        <v>289</v>
      </c>
      <c r="B375" s="341">
        <v>2</v>
      </c>
      <c r="C375" s="309">
        <v>46097</v>
      </c>
      <c r="D375" s="310" t="s">
        <v>296</v>
      </c>
      <c r="E375" s="342">
        <v>11.18</v>
      </c>
      <c r="F375" s="342"/>
      <c r="G375" s="344">
        <f t="shared" si="4"/>
        <v>5819.0999999999867</v>
      </c>
      <c r="H375" s="345"/>
      <c r="I375" s="346"/>
      <c r="J375" s="347"/>
      <c r="K375" s="312"/>
      <c r="L375" s="347"/>
      <c r="M375" s="312"/>
      <c r="N375" s="347"/>
      <c r="O375" s="312"/>
      <c r="P375" s="347"/>
      <c r="Q375" s="312"/>
      <c r="R375" s="347"/>
      <c r="S375" s="312"/>
      <c r="T375" s="347"/>
    </row>
    <row r="376" spans="1:20" ht="12" customHeight="1" x14ac:dyDescent="0.3">
      <c r="A376" s="340" t="s">
        <v>289</v>
      </c>
      <c r="B376" s="341">
        <v>2</v>
      </c>
      <c r="C376" s="309">
        <v>46096</v>
      </c>
      <c r="D376" s="310" t="s">
        <v>411</v>
      </c>
      <c r="E376" s="342">
        <v>38.67</v>
      </c>
      <c r="F376" s="342"/>
      <c r="G376" s="344">
        <f t="shared" si="4"/>
        <v>5830.279999999987</v>
      </c>
      <c r="H376" s="345"/>
      <c r="I376" s="346"/>
      <c r="J376" s="347"/>
      <c r="K376" s="312"/>
      <c r="L376" s="347"/>
      <c r="M376" s="312"/>
      <c r="N376" s="347"/>
      <c r="O376" s="312"/>
      <c r="P376" s="347"/>
      <c r="Q376" s="312"/>
      <c r="R376" s="347"/>
      <c r="S376" s="312"/>
      <c r="T376" s="347"/>
    </row>
    <row r="377" spans="1:20" ht="12" customHeight="1" x14ac:dyDescent="0.3">
      <c r="A377" s="340" t="s">
        <v>289</v>
      </c>
      <c r="B377" s="341">
        <v>3</v>
      </c>
      <c r="C377" s="309">
        <v>46096</v>
      </c>
      <c r="D377" s="310" t="s">
        <v>352</v>
      </c>
      <c r="E377" s="342">
        <v>7.11</v>
      </c>
      <c r="F377" s="342"/>
      <c r="G377" s="344">
        <f t="shared" si="4"/>
        <v>5868.9499999999871</v>
      </c>
      <c r="H377" s="345"/>
      <c r="I377" s="346"/>
      <c r="J377" s="347"/>
      <c r="K377" s="312"/>
      <c r="L377" s="347"/>
      <c r="M377" s="312"/>
      <c r="N377" s="347"/>
      <c r="O377" s="312"/>
      <c r="P377" s="347"/>
      <c r="Q377" s="312"/>
      <c r="R377" s="347"/>
      <c r="S377" s="312"/>
      <c r="T377" s="347"/>
    </row>
    <row r="378" spans="1:20" ht="12" customHeight="1" x14ac:dyDescent="0.3">
      <c r="A378" s="340" t="s">
        <v>289</v>
      </c>
      <c r="B378" s="341">
        <v>1</v>
      </c>
      <c r="C378" s="309">
        <v>46096</v>
      </c>
      <c r="D378" s="310" t="s">
        <v>304</v>
      </c>
      <c r="E378" s="342">
        <v>126.64</v>
      </c>
      <c r="F378" s="342"/>
      <c r="G378" s="344">
        <f t="shared" si="4"/>
        <v>5876.0599999999868</v>
      </c>
      <c r="H378" s="345"/>
      <c r="I378" s="346"/>
      <c r="J378" s="347"/>
      <c r="K378" s="312"/>
      <c r="L378" s="347"/>
      <c r="M378" s="312"/>
      <c r="N378" s="347"/>
      <c r="O378" s="312"/>
      <c r="P378" s="347"/>
      <c r="Q378" s="312"/>
      <c r="R378" s="347"/>
      <c r="S378" s="312"/>
      <c r="T378" s="347"/>
    </row>
    <row r="379" spans="1:20" ht="12" customHeight="1" x14ac:dyDescent="0.3">
      <c r="A379" s="340" t="s">
        <v>289</v>
      </c>
      <c r="B379" s="341">
        <v>1</v>
      </c>
      <c r="C379" s="309">
        <v>46096</v>
      </c>
      <c r="D379" s="310" t="s">
        <v>312</v>
      </c>
      <c r="E379" s="342">
        <v>125.2</v>
      </c>
      <c r="F379" s="342"/>
      <c r="G379" s="344">
        <f t="shared" si="4"/>
        <v>6002.6999999999871</v>
      </c>
      <c r="H379" s="345"/>
      <c r="I379" s="346"/>
      <c r="J379" s="347"/>
      <c r="K379" s="312"/>
      <c r="L379" s="347"/>
      <c r="M379" s="312"/>
      <c r="N379" s="347"/>
      <c r="O379" s="312"/>
      <c r="P379" s="347"/>
      <c r="Q379" s="312"/>
      <c r="R379" s="347"/>
      <c r="S379" s="312"/>
      <c r="T379" s="347"/>
    </row>
    <row r="380" spans="1:20" ht="12" customHeight="1" x14ac:dyDescent="0.3">
      <c r="A380" s="340" t="s">
        <v>289</v>
      </c>
      <c r="B380" s="341">
        <v>1</v>
      </c>
      <c r="C380" s="309">
        <v>46096</v>
      </c>
      <c r="D380" s="310" t="s">
        <v>307</v>
      </c>
      <c r="E380" s="342">
        <v>37.159999999999997</v>
      </c>
      <c r="F380" s="342"/>
      <c r="G380" s="344">
        <f t="shared" si="4"/>
        <v>6127.8999999999869</v>
      </c>
      <c r="H380" s="345"/>
      <c r="I380" s="346"/>
      <c r="J380" s="347"/>
      <c r="K380" s="312"/>
      <c r="L380" s="347"/>
      <c r="M380" s="312"/>
      <c r="N380" s="347"/>
      <c r="O380" s="312"/>
      <c r="P380" s="347"/>
      <c r="Q380" s="312"/>
      <c r="R380" s="347"/>
      <c r="S380" s="312"/>
      <c r="T380" s="347"/>
    </row>
    <row r="381" spans="1:20" ht="12" customHeight="1" x14ac:dyDescent="0.3">
      <c r="A381" s="340" t="s">
        <v>294</v>
      </c>
      <c r="B381" s="341">
        <v>16</v>
      </c>
      <c r="C381" s="309">
        <v>46096</v>
      </c>
      <c r="D381" s="310" t="s">
        <v>412</v>
      </c>
      <c r="E381" s="342">
        <v>713.06</v>
      </c>
      <c r="F381" s="342"/>
      <c r="G381" s="344">
        <f t="shared" si="4"/>
        <v>6165.0599999999868</v>
      </c>
      <c r="H381" s="345"/>
      <c r="I381" s="346"/>
      <c r="J381" s="347"/>
      <c r="K381" s="312"/>
      <c r="L381" s="347"/>
      <c r="M381" s="312"/>
      <c r="N381" s="347"/>
      <c r="O381" s="312"/>
      <c r="P381" s="347"/>
      <c r="Q381" s="312"/>
      <c r="R381" s="347"/>
      <c r="S381" s="312"/>
      <c r="T381" s="347"/>
    </row>
    <row r="382" spans="1:20" ht="12" customHeight="1" x14ac:dyDescent="0.3">
      <c r="A382" s="340" t="s">
        <v>289</v>
      </c>
      <c r="B382" s="341">
        <v>5</v>
      </c>
      <c r="C382" s="309">
        <v>46095</v>
      </c>
      <c r="D382" s="310" t="s">
        <v>413</v>
      </c>
      <c r="E382" s="342">
        <v>24</v>
      </c>
      <c r="F382" s="342"/>
      <c r="G382" s="344">
        <f t="shared" si="4"/>
        <v>6878.1199999999862</v>
      </c>
      <c r="H382" s="345"/>
      <c r="I382" s="346"/>
      <c r="J382" s="347"/>
      <c r="K382" s="312"/>
      <c r="L382" s="347"/>
      <c r="M382" s="312"/>
      <c r="N382" s="347"/>
      <c r="O382" s="312"/>
      <c r="P382" s="347"/>
      <c r="Q382" s="312"/>
      <c r="R382" s="347"/>
      <c r="S382" s="312"/>
      <c r="T382" s="347"/>
    </row>
    <row r="383" spans="1:20" ht="12" customHeight="1" x14ac:dyDescent="0.3">
      <c r="A383" s="340" t="s">
        <v>289</v>
      </c>
      <c r="B383" s="341">
        <v>3</v>
      </c>
      <c r="C383" s="309">
        <v>46095</v>
      </c>
      <c r="D383" s="310" t="s">
        <v>352</v>
      </c>
      <c r="E383" s="342">
        <v>14.58</v>
      </c>
      <c r="F383" s="342"/>
      <c r="G383" s="344">
        <f t="shared" si="4"/>
        <v>6902.1199999999862</v>
      </c>
      <c r="H383" s="345"/>
      <c r="I383" s="346"/>
      <c r="J383" s="347"/>
      <c r="K383" s="312"/>
      <c r="L383" s="347"/>
      <c r="M383" s="312"/>
      <c r="N383" s="347"/>
      <c r="O383" s="312"/>
      <c r="P383" s="347"/>
      <c r="Q383" s="312"/>
      <c r="R383" s="347"/>
      <c r="S383" s="312"/>
      <c r="T383" s="347"/>
    </row>
    <row r="384" spans="1:20" ht="12" customHeight="1" x14ac:dyDescent="0.3">
      <c r="A384" s="340" t="s">
        <v>291</v>
      </c>
      <c r="B384" s="341">
        <v>41</v>
      </c>
      <c r="C384" s="309">
        <v>46094</v>
      </c>
      <c r="D384" s="310" t="s">
        <v>414</v>
      </c>
      <c r="E384" s="342"/>
      <c r="F384" s="342">
        <v>300</v>
      </c>
      <c r="G384" s="344">
        <f t="shared" si="4"/>
        <v>6916.6999999999862</v>
      </c>
      <c r="H384" s="345"/>
      <c r="I384" s="346"/>
      <c r="J384" s="347"/>
      <c r="K384" s="312"/>
      <c r="L384" s="347"/>
      <c r="M384" s="312"/>
      <c r="N384" s="347"/>
      <c r="O384" s="312"/>
      <c r="P384" s="347"/>
      <c r="Q384" s="312"/>
      <c r="R384" s="347"/>
      <c r="S384" s="312"/>
      <c r="T384" s="347"/>
    </row>
    <row r="385" spans="1:20" ht="12" customHeight="1" x14ac:dyDescent="0.3">
      <c r="A385" s="340" t="s">
        <v>289</v>
      </c>
      <c r="B385" s="341">
        <v>1</v>
      </c>
      <c r="C385" s="309">
        <v>46094</v>
      </c>
      <c r="D385" s="310" t="s">
        <v>312</v>
      </c>
      <c r="E385" s="342">
        <v>17.71</v>
      </c>
      <c r="F385" s="342"/>
      <c r="G385" s="344">
        <f t="shared" si="4"/>
        <v>6616.6999999999862</v>
      </c>
      <c r="H385" s="345"/>
      <c r="I385" s="346"/>
      <c r="J385" s="347"/>
      <c r="K385" s="312"/>
      <c r="L385" s="347"/>
      <c r="M385" s="312"/>
      <c r="N385" s="347"/>
      <c r="O385" s="312"/>
      <c r="P385" s="347"/>
      <c r="Q385" s="312"/>
      <c r="R385" s="347"/>
      <c r="S385" s="312"/>
      <c r="T385" s="347"/>
    </row>
    <row r="386" spans="1:20" ht="12" customHeight="1" x14ac:dyDescent="0.3">
      <c r="A386" s="340" t="s">
        <v>289</v>
      </c>
      <c r="B386" s="341">
        <v>4</v>
      </c>
      <c r="C386" s="309">
        <v>46094</v>
      </c>
      <c r="D386" s="310" t="s">
        <v>296</v>
      </c>
      <c r="E386" s="342">
        <v>31.56</v>
      </c>
      <c r="F386" s="342"/>
      <c r="G386" s="344">
        <f t="shared" si="4"/>
        <v>6634.4099999999862</v>
      </c>
      <c r="H386" s="345"/>
      <c r="I386" s="346"/>
      <c r="J386" s="347"/>
      <c r="K386" s="312"/>
      <c r="L386" s="347"/>
      <c r="M386" s="312"/>
      <c r="N386" s="347"/>
      <c r="O386" s="312"/>
      <c r="P386" s="347"/>
      <c r="Q386" s="312"/>
      <c r="R386" s="347"/>
      <c r="S386" s="312"/>
      <c r="T386" s="347"/>
    </row>
    <row r="387" spans="1:20" ht="12" customHeight="1" x14ac:dyDescent="0.3">
      <c r="A387" s="340" t="s">
        <v>289</v>
      </c>
      <c r="B387" s="341">
        <v>2</v>
      </c>
      <c r="C387" s="309">
        <v>46094</v>
      </c>
      <c r="D387" s="310" t="s">
        <v>296</v>
      </c>
      <c r="E387" s="342">
        <v>34.79</v>
      </c>
      <c r="F387" s="342"/>
      <c r="G387" s="344">
        <f t="shared" si="4"/>
        <v>6665.9699999999866</v>
      </c>
      <c r="H387" s="345"/>
      <c r="I387" s="346"/>
      <c r="J387" s="347"/>
      <c r="K387" s="312"/>
      <c r="L387" s="347"/>
      <c r="M387" s="312"/>
      <c r="N387" s="347"/>
      <c r="O387" s="312"/>
      <c r="P387" s="347"/>
      <c r="Q387" s="312"/>
      <c r="R387" s="347"/>
      <c r="S387" s="312"/>
      <c r="T387" s="347"/>
    </row>
    <row r="388" spans="1:20" ht="12" customHeight="1" x14ac:dyDescent="0.3">
      <c r="A388" s="340" t="s">
        <v>289</v>
      </c>
      <c r="B388" s="341">
        <v>2</v>
      </c>
      <c r="C388" s="309">
        <v>46094</v>
      </c>
      <c r="D388" s="310" t="s">
        <v>415</v>
      </c>
      <c r="E388" s="342">
        <v>23.9</v>
      </c>
      <c r="F388" s="342"/>
      <c r="G388" s="344">
        <f t="shared" si="4"/>
        <v>6700.7599999999866</v>
      </c>
      <c r="H388" s="345"/>
      <c r="I388" s="346"/>
      <c r="J388" s="347"/>
      <c r="K388" s="312"/>
      <c r="L388" s="347"/>
      <c r="M388" s="312"/>
      <c r="N388" s="347"/>
      <c r="O388" s="312"/>
      <c r="P388" s="347"/>
      <c r="Q388" s="312"/>
      <c r="R388" s="347"/>
      <c r="S388" s="312"/>
      <c r="T388" s="347"/>
    </row>
    <row r="389" spans="1:20" ht="12" customHeight="1" x14ac:dyDescent="0.3">
      <c r="A389" s="340" t="s">
        <v>289</v>
      </c>
      <c r="B389" s="341">
        <v>3</v>
      </c>
      <c r="C389" s="309">
        <v>46094</v>
      </c>
      <c r="D389" s="310" t="s">
        <v>352</v>
      </c>
      <c r="E389" s="342">
        <v>7.26</v>
      </c>
      <c r="F389" s="342"/>
      <c r="G389" s="344">
        <f t="shared" si="4"/>
        <v>6724.6599999999862</v>
      </c>
      <c r="H389" s="345"/>
      <c r="I389" s="346"/>
      <c r="J389" s="347"/>
      <c r="K389" s="312"/>
      <c r="L389" s="347"/>
      <c r="M389" s="312"/>
      <c r="N389" s="347"/>
      <c r="O389" s="312"/>
      <c r="P389" s="347"/>
      <c r="Q389" s="312"/>
      <c r="R389" s="347"/>
      <c r="S389" s="312"/>
      <c r="T389" s="347"/>
    </row>
    <row r="390" spans="1:20" ht="12" customHeight="1" x14ac:dyDescent="0.3">
      <c r="A390" s="340" t="s">
        <v>289</v>
      </c>
      <c r="B390" s="341">
        <v>5</v>
      </c>
      <c r="C390" s="309">
        <v>46094</v>
      </c>
      <c r="D390" s="310" t="s">
        <v>358</v>
      </c>
      <c r="E390" s="342">
        <v>85</v>
      </c>
      <c r="F390" s="342"/>
      <c r="G390" s="344">
        <f t="shared" si="4"/>
        <v>6731.9199999999864</v>
      </c>
      <c r="H390" s="345" t="s">
        <v>298</v>
      </c>
      <c r="I390" s="346"/>
      <c r="J390" s="347"/>
      <c r="K390" s="312"/>
      <c r="L390" s="347"/>
      <c r="M390" s="312"/>
      <c r="N390" s="347"/>
      <c r="O390" s="312"/>
      <c r="P390" s="347"/>
      <c r="Q390" s="312"/>
      <c r="R390" s="347"/>
      <c r="S390" s="312"/>
      <c r="T390" s="347"/>
    </row>
    <row r="391" spans="1:20" ht="12" customHeight="1" x14ac:dyDescent="0.3">
      <c r="A391" s="340" t="s">
        <v>289</v>
      </c>
      <c r="B391" s="341">
        <v>8</v>
      </c>
      <c r="C391" s="309">
        <v>46093</v>
      </c>
      <c r="D391" s="310" t="s">
        <v>416</v>
      </c>
      <c r="E391" s="342">
        <v>51.22</v>
      </c>
      <c r="F391" s="342"/>
      <c r="G391" s="344">
        <f t="shared" si="4"/>
        <v>6816.9199999999864</v>
      </c>
      <c r="H391" s="345"/>
      <c r="I391" s="346"/>
      <c r="J391" s="347"/>
      <c r="K391" s="312"/>
      <c r="L391" s="347"/>
      <c r="M391" s="312"/>
      <c r="N391" s="347"/>
      <c r="O391" s="312"/>
      <c r="P391" s="347"/>
      <c r="Q391" s="312"/>
      <c r="R391" s="347"/>
      <c r="S391" s="312"/>
      <c r="T391" s="347"/>
    </row>
    <row r="392" spans="1:20" ht="12" customHeight="1" x14ac:dyDescent="0.3">
      <c r="A392" s="340" t="s">
        <v>289</v>
      </c>
      <c r="B392" s="341">
        <v>2</v>
      </c>
      <c r="C392" s="309">
        <v>46093</v>
      </c>
      <c r="D392" s="310" t="s">
        <v>417</v>
      </c>
      <c r="E392" s="342">
        <v>57.43</v>
      </c>
      <c r="F392" s="342"/>
      <c r="G392" s="344">
        <f t="shared" si="4"/>
        <v>6868.1399999999867</v>
      </c>
      <c r="H392" s="345"/>
      <c r="I392" s="346"/>
      <c r="J392" s="347"/>
      <c r="K392" s="312"/>
      <c r="L392" s="347"/>
      <c r="M392" s="312"/>
      <c r="N392" s="347"/>
      <c r="O392" s="312"/>
      <c r="P392" s="347"/>
      <c r="Q392" s="312"/>
      <c r="R392" s="347"/>
      <c r="S392" s="312"/>
      <c r="T392" s="347"/>
    </row>
    <row r="393" spans="1:20" ht="12" customHeight="1" x14ac:dyDescent="0.3">
      <c r="A393" s="340" t="s">
        <v>289</v>
      </c>
      <c r="B393" s="341">
        <v>2</v>
      </c>
      <c r="C393" s="309">
        <v>46093</v>
      </c>
      <c r="D393" s="310" t="s">
        <v>362</v>
      </c>
      <c r="E393" s="342">
        <v>17.45</v>
      </c>
      <c r="F393" s="342"/>
      <c r="G393" s="344">
        <f t="shared" si="4"/>
        <v>6925.569999999987</v>
      </c>
      <c r="H393" s="345"/>
      <c r="I393" s="346"/>
      <c r="J393" s="347"/>
      <c r="K393" s="312"/>
      <c r="L393" s="347"/>
      <c r="M393" s="312"/>
      <c r="N393" s="347"/>
      <c r="O393" s="312"/>
      <c r="P393" s="347"/>
      <c r="Q393" s="312"/>
      <c r="R393" s="347"/>
      <c r="S393" s="312"/>
      <c r="T393" s="347"/>
    </row>
    <row r="394" spans="1:20" ht="12" customHeight="1" x14ac:dyDescent="0.3">
      <c r="A394" s="340" t="s">
        <v>289</v>
      </c>
      <c r="B394" s="341">
        <v>8</v>
      </c>
      <c r="C394" s="309">
        <v>46093</v>
      </c>
      <c r="D394" s="310" t="s">
        <v>321</v>
      </c>
      <c r="E394" s="342">
        <v>7.92</v>
      </c>
      <c r="F394" s="342"/>
      <c r="G394" s="344">
        <f t="shared" si="4"/>
        <v>6943.0199999999868</v>
      </c>
      <c r="H394" s="345"/>
      <c r="I394" s="346"/>
      <c r="J394" s="347"/>
      <c r="K394" s="312"/>
      <c r="L394" s="347"/>
      <c r="M394" s="312"/>
      <c r="N394" s="347"/>
      <c r="O394" s="312"/>
      <c r="P394" s="347"/>
      <c r="Q394" s="312"/>
      <c r="R394" s="347"/>
      <c r="S394" s="312"/>
      <c r="T394" s="347"/>
    </row>
    <row r="395" spans="1:20" ht="12" customHeight="1" x14ac:dyDescent="0.3">
      <c r="A395" s="340" t="s">
        <v>291</v>
      </c>
      <c r="B395" s="341">
        <v>38</v>
      </c>
      <c r="C395" s="309">
        <v>46093</v>
      </c>
      <c r="D395" s="310" t="s">
        <v>293</v>
      </c>
      <c r="E395" s="342"/>
      <c r="F395" s="342">
        <v>4726.92</v>
      </c>
      <c r="G395" s="344">
        <f t="shared" si="4"/>
        <v>6950.9399999999869</v>
      </c>
      <c r="H395" s="345"/>
      <c r="I395" s="346"/>
      <c r="J395" s="347"/>
      <c r="K395" s="312"/>
      <c r="L395" s="347"/>
      <c r="M395" s="312"/>
      <c r="N395" s="347"/>
      <c r="O395" s="312"/>
      <c r="P395" s="347"/>
      <c r="Q395" s="312"/>
      <c r="R395" s="347"/>
      <c r="S395" s="312"/>
      <c r="T395" s="347"/>
    </row>
    <row r="396" spans="1:20" ht="12" customHeight="1" x14ac:dyDescent="0.3">
      <c r="A396" s="340" t="s">
        <v>289</v>
      </c>
      <c r="B396" s="341">
        <v>2</v>
      </c>
      <c r="C396" s="309">
        <v>46093</v>
      </c>
      <c r="D396" s="310" t="s">
        <v>390</v>
      </c>
      <c r="E396" s="342">
        <v>15</v>
      </c>
      <c r="F396" s="342"/>
      <c r="G396" s="344">
        <f t="shared" si="4"/>
        <v>2224.0199999999868</v>
      </c>
      <c r="H396" s="345"/>
      <c r="I396" s="346"/>
      <c r="J396" s="347"/>
      <c r="K396" s="312"/>
      <c r="L396" s="347"/>
      <c r="M396" s="312"/>
      <c r="N396" s="347"/>
      <c r="O396" s="312"/>
      <c r="P396" s="347"/>
      <c r="Q396" s="312"/>
      <c r="R396" s="347"/>
      <c r="S396" s="312"/>
      <c r="T396" s="347"/>
    </row>
    <row r="397" spans="1:20" ht="12" customHeight="1" x14ac:dyDescent="0.3">
      <c r="A397" s="340" t="s">
        <v>289</v>
      </c>
      <c r="B397" s="341">
        <v>6</v>
      </c>
      <c r="C397" s="309">
        <v>46093</v>
      </c>
      <c r="D397" s="310" t="s">
        <v>418</v>
      </c>
      <c r="E397" s="342">
        <v>12</v>
      </c>
      <c r="F397" s="342"/>
      <c r="G397" s="344">
        <f t="shared" si="4"/>
        <v>2239.0199999999868</v>
      </c>
      <c r="H397" s="345"/>
      <c r="I397" s="346"/>
      <c r="J397" s="347"/>
      <c r="K397" s="312"/>
      <c r="L397" s="347"/>
      <c r="M397" s="312"/>
      <c r="N397" s="347"/>
      <c r="O397" s="312"/>
      <c r="P397" s="347"/>
      <c r="Q397" s="312"/>
      <c r="R397" s="347"/>
      <c r="S397" s="312"/>
      <c r="T397" s="347"/>
    </row>
    <row r="398" spans="1:20" ht="12" customHeight="1" x14ac:dyDescent="0.3">
      <c r="A398" s="340" t="s">
        <v>294</v>
      </c>
      <c r="B398" s="341">
        <v>19</v>
      </c>
      <c r="C398" s="309">
        <v>46093</v>
      </c>
      <c r="D398" s="310" t="s">
        <v>191</v>
      </c>
      <c r="E398" s="342">
        <v>200</v>
      </c>
      <c r="F398" s="342"/>
      <c r="G398" s="344">
        <f t="shared" si="4"/>
        <v>2251.0199999999868</v>
      </c>
      <c r="H398" s="345"/>
      <c r="I398" s="346"/>
      <c r="J398" s="347"/>
      <c r="K398" s="312"/>
      <c r="L398" s="347"/>
      <c r="M398" s="312"/>
      <c r="N398" s="347"/>
      <c r="O398" s="312"/>
      <c r="P398" s="347"/>
      <c r="Q398" s="312"/>
      <c r="R398" s="347"/>
      <c r="S398" s="312"/>
      <c r="T398" s="347"/>
    </row>
    <row r="399" spans="1:20" ht="12" customHeight="1" x14ac:dyDescent="0.3">
      <c r="A399" s="340" t="s">
        <v>289</v>
      </c>
      <c r="B399" s="341">
        <v>6</v>
      </c>
      <c r="C399" s="309">
        <v>46092</v>
      </c>
      <c r="D399" s="310" t="s">
        <v>419</v>
      </c>
      <c r="E399" s="342">
        <v>-10.050000000000001</v>
      </c>
      <c r="F399" s="342"/>
      <c r="G399" s="344">
        <f t="shared" si="4"/>
        <v>2451.0199999999868</v>
      </c>
      <c r="H399" s="345"/>
      <c r="I399" s="346"/>
      <c r="J399" s="347"/>
      <c r="K399" s="312"/>
      <c r="L399" s="347"/>
      <c r="M399" s="312"/>
      <c r="N399" s="347"/>
      <c r="O399" s="312"/>
      <c r="P399" s="347"/>
      <c r="Q399" s="312"/>
      <c r="R399" s="347"/>
      <c r="S399" s="312"/>
      <c r="T399" s="347"/>
    </row>
    <row r="400" spans="1:20" ht="12" customHeight="1" x14ac:dyDescent="0.3">
      <c r="A400" s="340" t="s">
        <v>289</v>
      </c>
      <c r="B400" s="341">
        <v>6</v>
      </c>
      <c r="C400" s="309">
        <v>46092</v>
      </c>
      <c r="D400" s="310" t="s">
        <v>420</v>
      </c>
      <c r="E400" s="342">
        <v>25</v>
      </c>
      <c r="F400" s="342"/>
      <c r="G400" s="344">
        <f t="shared" si="4"/>
        <v>2440.9699999999866</v>
      </c>
      <c r="H400" s="345"/>
      <c r="I400" s="346"/>
      <c r="J400" s="347"/>
      <c r="K400" s="312"/>
      <c r="L400" s="347"/>
      <c r="M400" s="312"/>
      <c r="N400" s="347"/>
      <c r="O400" s="312"/>
      <c r="P400" s="347"/>
      <c r="Q400" s="312"/>
      <c r="R400" s="347"/>
      <c r="S400" s="312"/>
      <c r="T400" s="347"/>
    </row>
    <row r="401" spans="1:20" ht="12" customHeight="1" x14ac:dyDescent="0.3">
      <c r="A401" s="340" t="s">
        <v>289</v>
      </c>
      <c r="B401" s="341">
        <v>2</v>
      </c>
      <c r="C401" s="309">
        <v>46092</v>
      </c>
      <c r="D401" s="310" t="s">
        <v>301</v>
      </c>
      <c r="E401" s="342">
        <v>-9</v>
      </c>
      <c r="F401" s="342"/>
      <c r="G401" s="344">
        <f t="shared" si="4"/>
        <v>2465.9699999999866</v>
      </c>
      <c r="H401" s="345"/>
      <c r="I401" s="346"/>
      <c r="J401" s="347"/>
      <c r="K401" s="312"/>
      <c r="L401" s="347"/>
      <c r="M401" s="312"/>
      <c r="N401" s="347"/>
      <c r="O401" s="312"/>
      <c r="P401" s="347"/>
      <c r="Q401" s="312"/>
      <c r="R401" s="347"/>
      <c r="S401" s="312"/>
      <c r="T401" s="347"/>
    </row>
    <row r="402" spans="1:20" ht="12" customHeight="1" x14ac:dyDescent="0.3">
      <c r="A402" s="340" t="s">
        <v>291</v>
      </c>
      <c r="B402" s="341">
        <v>41</v>
      </c>
      <c r="C402" s="309">
        <v>46092</v>
      </c>
      <c r="D402" s="310" t="s">
        <v>414</v>
      </c>
      <c r="E402" s="342"/>
      <c r="F402" s="342">
        <v>500</v>
      </c>
      <c r="G402" s="344">
        <f t="shared" si="4"/>
        <v>2456.9699999999866</v>
      </c>
      <c r="H402" s="345"/>
      <c r="I402" s="346"/>
      <c r="J402" s="347"/>
      <c r="K402" s="312"/>
      <c r="L402" s="347"/>
      <c r="M402" s="312"/>
      <c r="N402" s="347"/>
      <c r="O402" s="312"/>
      <c r="P402" s="347"/>
      <c r="Q402" s="312"/>
      <c r="R402" s="347"/>
      <c r="S402" s="312"/>
      <c r="T402" s="347"/>
    </row>
    <row r="403" spans="1:20" ht="12" customHeight="1" x14ac:dyDescent="0.3">
      <c r="A403" s="340" t="s">
        <v>289</v>
      </c>
      <c r="B403" s="341">
        <v>2</v>
      </c>
      <c r="C403" s="309">
        <v>46092</v>
      </c>
      <c r="D403" s="310" t="s">
        <v>296</v>
      </c>
      <c r="E403" s="342">
        <v>16.170000000000002</v>
      </c>
      <c r="F403" s="342"/>
      <c r="G403" s="344">
        <f t="shared" si="4"/>
        <v>1956.9699999999864</v>
      </c>
      <c r="H403" s="345"/>
      <c r="I403" s="346"/>
      <c r="J403" s="347"/>
      <c r="K403" s="312"/>
      <c r="L403" s="347"/>
      <c r="M403" s="312"/>
      <c r="N403" s="347"/>
      <c r="O403" s="312"/>
      <c r="P403" s="347"/>
      <c r="Q403" s="312"/>
      <c r="R403" s="347"/>
      <c r="S403" s="312"/>
      <c r="T403" s="347"/>
    </row>
    <row r="404" spans="1:20" ht="12" customHeight="1" x14ac:dyDescent="0.3">
      <c r="A404" s="340" t="s">
        <v>294</v>
      </c>
      <c r="B404" s="341">
        <v>22</v>
      </c>
      <c r="C404" s="309">
        <v>46092</v>
      </c>
      <c r="D404" s="310" t="s">
        <v>356</v>
      </c>
      <c r="E404" s="342">
        <v>19.16</v>
      </c>
      <c r="F404" s="342"/>
      <c r="G404" s="344">
        <f t="shared" si="4"/>
        <v>1973.1399999999865</v>
      </c>
      <c r="H404" s="345"/>
      <c r="I404" s="346"/>
      <c r="J404" s="347"/>
      <c r="K404" s="312"/>
      <c r="L404" s="347"/>
      <c r="M404" s="312"/>
      <c r="N404" s="347"/>
      <c r="O404" s="312"/>
      <c r="P404" s="347"/>
      <c r="Q404" s="312"/>
      <c r="R404" s="347"/>
      <c r="S404" s="312"/>
      <c r="T404" s="347"/>
    </row>
    <row r="405" spans="1:20" ht="12" customHeight="1" x14ac:dyDescent="0.3">
      <c r="A405" s="340" t="s">
        <v>339</v>
      </c>
      <c r="B405" s="341" t="s">
        <v>339</v>
      </c>
      <c r="C405" s="309">
        <v>46091</v>
      </c>
      <c r="D405" s="310" t="s">
        <v>182</v>
      </c>
      <c r="E405" s="342">
        <v>47.28</v>
      </c>
      <c r="F405" s="342"/>
      <c r="G405" s="344">
        <f t="shared" si="4"/>
        <v>1992.2999999999865</v>
      </c>
      <c r="H405" s="345"/>
      <c r="I405" s="346"/>
      <c r="J405" s="347"/>
      <c r="K405" s="312"/>
      <c r="L405" s="347"/>
      <c r="M405" s="312"/>
      <c r="N405" s="347"/>
      <c r="O405" s="312"/>
      <c r="P405" s="347"/>
      <c r="Q405" s="312"/>
      <c r="R405" s="347"/>
      <c r="S405" s="312"/>
      <c r="T405" s="347"/>
    </row>
    <row r="406" spans="1:20" ht="12" customHeight="1" x14ac:dyDescent="0.3">
      <c r="A406" s="340" t="s">
        <v>294</v>
      </c>
      <c r="B406" s="341">
        <v>13</v>
      </c>
      <c r="C406" s="309">
        <v>46091</v>
      </c>
      <c r="D406" s="310" t="s">
        <v>182</v>
      </c>
      <c r="E406" s="342">
        <v>134.93</v>
      </c>
      <c r="F406" s="342"/>
      <c r="G406" s="344">
        <f t="shared" si="4"/>
        <v>2039.5799999999865</v>
      </c>
      <c r="H406" s="345"/>
      <c r="I406" s="346"/>
      <c r="J406" s="347"/>
      <c r="K406" s="312"/>
      <c r="L406" s="347"/>
      <c r="M406" s="312"/>
      <c r="N406" s="347"/>
      <c r="O406" s="312"/>
      <c r="P406" s="347"/>
      <c r="Q406" s="312"/>
      <c r="R406" s="347"/>
      <c r="S406" s="312"/>
      <c r="T406" s="347"/>
    </row>
    <row r="407" spans="1:20" ht="12" customHeight="1" x14ac:dyDescent="0.3">
      <c r="A407" s="340" t="s">
        <v>289</v>
      </c>
      <c r="B407" s="341">
        <v>8</v>
      </c>
      <c r="C407" s="309">
        <v>46091</v>
      </c>
      <c r="D407" s="310" t="s">
        <v>295</v>
      </c>
      <c r="E407" s="342">
        <v>7.44</v>
      </c>
      <c r="F407" s="342"/>
      <c r="G407" s="344">
        <f t="shared" si="4"/>
        <v>2174.5099999999866</v>
      </c>
      <c r="H407" s="345"/>
      <c r="I407" s="346"/>
      <c r="J407" s="347"/>
      <c r="K407" s="312"/>
      <c r="L407" s="347"/>
      <c r="M407" s="312"/>
      <c r="N407" s="347"/>
      <c r="O407" s="312"/>
      <c r="P407" s="347"/>
      <c r="Q407" s="312"/>
      <c r="R407" s="347"/>
      <c r="S407" s="312"/>
      <c r="T407" s="347"/>
    </row>
    <row r="408" spans="1:20" ht="12" customHeight="1" x14ac:dyDescent="0.3">
      <c r="A408" s="340" t="s">
        <v>289</v>
      </c>
      <c r="B408" s="341">
        <v>4</v>
      </c>
      <c r="C408" s="309">
        <v>46091</v>
      </c>
      <c r="D408" s="310" t="s">
        <v>295</v>
      </c>
      <c r="E408" s="342">
        <v>29.53</v>
      </c>
      <c r="F408" s="342"/>
      <c r="G408" s="344">
        <f t="shared" si="4"/>
        <v>2181.9499999999866</v>
      </c>
      <c r="H408" s="345"/>
      <c r="I408" s="346"/>
      <c r="J408" s="347"/>
      <c r="K408" s="312"/>
      <c r="L408" s="347"/>
      <c r="M408" s="312"/>
      <c r="N408" s="347"/>
      <c r="O408" s="312"/>
      <c r="P408" s="347"/>
      <c r="Q408" s="312"/>
      <c r="R408" s="347"/>
      <c r="S408" s="312"/>
      <c r="T408" s="347"/>
    </row>
    <row r="409" spans="1:20" ht="12" customHeight="1" x14ac:dyDescent="0.3">
      <c r="A409" s="340" t="s">
        <v>289</v>
      </c>
      <c r="B409" s="341">
        <v>4</v>
      </c>
      <c r="C409" s="309">
        <v>46091</v>
      </c>
      <c r="D409" s="310" t="s">
        <v>311</v>
      </c>
      <c r="E409" s="342">
        <v>34.119999999999997</v>
      </c>
      <c r="F409" s="342"/>
      <c r="G409" s="344">
        <f t="shared" si="4"/>
        <v>2211.4799999999868</v>
      </c>
      <c r="H409" s="345"/>
      <c r="I409" s="346"/>
      <c r="J409" s="347"/>
      <c r="K409" s="312"/>
      <c r="L409" s="347"/>
      <c r="M409" s="312"/>
      <c r="N409" s="347"/>
      <c r="O409" s="312"/>
      <c r="P409" s="347"/>
      <c r="Q409" s="312"/>
      <c r="R409" s="347"/>
      <c r="S409" s="312"/>
      <c r="T409" s="347"/>
    </row>
    <row r="410" spans="1:20" ht="12" customHeight="1" x14ac:dyDescent="0.3">
      <c r="A410" s="340" t="s">
        <v>289</v>
      </c>
      <c r="B410" s="341">
        <v>2</v>
      </c>
      <c r="C410" s="309">
        <v>46091</v>
      </c>
      <c r="D410" s="310" t="s">
        <v>421</v>
      </c>
      <c r="E410" s="342">
        <v>18.57</v>
      </c>
      <c r="F410" s="342"/>
      <c r="G410" s="344">
        <f t="shared" si="4"/>
        <v>2245.5999999999867</v>
      </c>
      <c r="H410" s="345"/>
      <c r="I410" s="346"/>
      <c r="J410" s="347"/>
      <c r="K410" s="312"/>
      <c r="L410" s="347"/>
      <c r="M410" s="312"/>
      <c r="N410" s="347"/>
      <c r="O410" s="312"/>
      <c r="P410" s="347"/>
      <c r="Q410" s="312"/>
      <c r="R410" s="347"/>
      <c r="S410" s="312"/>
      <c r="T410" s="347"/>
    </row>
    <row r="411" spans="1:20" ht="12" customHeight="1" x14ac:dyDescent="0.3">
      <c r="A411" s="340" t="s">
        <v>294</v>
      </c>
      <c r="B411" s="341">
        <v>16</v>
      </c>
      <c r="C411" s="309">
        <v>46091</v>
      </c>
      <c r="D411" s="310" t="s">
        <v>422</v>
      </c>
      <c r="E411" s="342">
        <v>107</v>
      </c>
      <c r="F411" s="342"/>
      <c r="G411" s="344">
        <f t="shared" si="4"/>
        <v>2264.1699999999869</v>
      </c>
      <c r="H411" s="345"/>
      <c r="I411" s="346"/>
      <c r="J411" s="347"/>
      <c r="K411" s="312"/>
      <c r="L411" s="347"/>
      <c r="M411" s="312"/>
      <c r="N411" s="347"/>
      <c r="O411" s="312"/>
      <c r="P411" s="347"/>
      <c r="Q411" s="312"/>
      <c r="R411" s="347"/>
      <c r="S411" s="312"/>
      <c r="T411" s="347"/>
    </row>
    <row r="412" spans="1:20" ht="12" customHeight="1" x14ac:dyDescent="0.3">
      <c r="A412" s="340" t="s">
        <v>294</v>
      </c>
      <c r="B412" s="341">
        <v>18</v>
      </c>
      <c r="C412" s="309">
        <v>46090</v>
      </c>
      <c r="D412" s="310" t="s">
        <v>365</v>
      </c>
      <c r="E412" s="342">
        <v>400</v>
      </c>
      <c r="F412" s="342"/>
      <c r="G412" s="344">
        <f t="shared" si="4"/>
        <v>2371.1699999999869</v>
      </c>
      <c r="H412" s="345"/>
      <c r="I412" s="346"/>
      <c r="J412" s="347"/>
      <c r="K412" s="312"/>
      <c r="L412" s="347"/>
      <c r="M412" s="312"/>
      <c r="N412" s="347"/>
      <c r="O412" s="312"/>
      <c r="P412" s="347"/>
      <c r="Q412" s="312"/>
      <c r="R412" s="347"/>
      <c r="S412" s="312"/>
      <c r="T412" s="347"/>
    </row>
    <row r="413" spans="1:20" ht="12" customHeight="1" x14ac:dyDescent="0.3">
      <c r="A413" s="340" t="s">
        <v>289</v>
      </c>
      <c r="B413" s="341">
        <v>4</v>
      </c>
      <c r="C413" s="309">
        <v>46090</v>
      </c>
      <c r="D413" s="310" t="s">
        <v>296</v>
      </c>
      <c r="E413" s="342">
        <v>24.69</v>
      </c>
      <c r="F413" s="342"/>
      <c r="G413" s="344">
        <f t="shared" si="4"/>
        <v>2771.1699999999869</v>
      </c>
      <c r="H413" s="345"/>
      <c r="I413" s="346"/>
      <c r="J413" s="347"/>
      <c r="K413" s="312"/>
      <c r="L413" s="347"/>
      <c r="M413" s="312"/>
      <c r="N413" s="347"/>
      <c r="O413" s="312"/>
      <c r="P413" s="347"/>
      <c r="Q413" s="312"/>
      <c r="R413" s="347"/>
      <c r="S413" s="312"/>
      <c r="T413" s="347"/>
    </row>
    <row r="414" spans="1:20" ht="12" customHeight="1" x14ac:dyDescent="0.3">
      <c r="A414" s="340" t="s">
        <v>289</v>
      </c>
      <c r="B414" s="341">
        <v>3</v>
      </c>
      <c r="C414" s="309">
        <v>46090</v>
      </c>
      <c r="D414" s="310" t="s">
        <v>423</v>
      </c>
      <c r="E414" s="342">
        <v>4.59</v>
      </c>
      <c r="F414" s="342"/>
      <c r="G414" s="344">
        <f t="shared" si="4"/>
        <v>2795.8599999999869</v>
      </c>
      <c r="H414" s="345"/>
      <c r="I414" s="346"/>
      <c r="J414" s="347"/>
      <c r="K414" s="312"/>
      <c r="L414" s="347"/>
      <c r="M414" s="312"/>
      <c r="N414" s="347"/>
      <c r="O414" s="312"/>
      <c r="P414" s="347"/>
      <c r="Q414" s="312"/>
      <c r="R414" s="347"/>
      <c r="S414" s="312"/>
      <c r="T414" s="347"/>
    </row>
    <row r="415" spans="1:20" ht="12" customHeight="1" x14ac:dyDescent="0.3">
      <c r="A415" s="340" t="s">
        <v>294</v>
      </c>
      <c r="B415" s="341">
        <v>9</v>
      </c>
      <c r="C415" s="309">
        <v>46090</v>
      </c>
      <c r="D415" s="310" t="s">
        <v>58</v>
      </c>
      <c r="E415" s="342">
        <v>1281.53</v>
      </c>
      <c r="F415" s="342"/>
      <c r="G415" s="344">
        <f t="shared" si="4"/>
        <v>2800.4499999999871</v>
      </c>
      <c r="H415" s="345"/>
      <c r="I415" s="346"/>
      <c r="J415" s="347"/>
      <c r="K415" s="312"/>
      <c r="L415" s="347"/>
      <c r="M415" s="312"/>
      <c r="N415" s="347"/>
      <c r="O415" s="312"/>
      <c r="P415" s="347"/>
      <c r="Q415" s="312"/>
      <c r="R415" s="347"/>
      <c r="S415" s="312"/>
      <c r="T415" s="347"/>
    </row>
    <row r="416" spans="1:20" ht="12" customHeight="1" x14ac:dyDescent="0.3">
      <c r="A416" s="340" t="s">
        <v>289</v>
      </c>
      <c r="B416" s="341">
        <v>7</v>
      </c>
      <c r="C416" s="309">
        <v>46090</v>
      </c>
      <c r="D416" s="310" t="s">
        <v>342</v>
      </c>
      <c r="E416" s="342">
        <v>40.61</v>
      </c>
      <c r="F416" s="342"/>
      <c r="G416" s="344">
        <f t="shared" si="4"/>
        <v>4081.9799999999873</v>
      </c>
      <c r="H416" s="345"/>
      <c r="I416" s="346"/>
      <c r="J416" s="347"/>
      <c r="K416" s="312"/>
      <c r="L416" s="347"/>
      <c r="M416" s="312"/>
      <c r="N416" s="347"/>
      <c r="O416" s="312"/>
      <c r="P416" s="347"/>
      <c r="Q416" s="312"/>
      <c r="R416" s="347"/>
      <c r="S416" s="312"/>
      <c r="T416" s="347"/>
    </row>
    <row r="417" spans="1:20" ht="12" customHeight="1" x14ac:dyDescent="0.3">
      <c r="A417" s="340" t="s">
        <v>287</v>
      </c>
      <c r="B417" s="341" t="s">
        <v>287</v>
      </c>
      <c r="C417" s="309">
        <v>46090</v>
      </c>
      <c r="D417" s="310" t="s">
        <v>424</v>
      </c>
      <c r="E417" s="342">
        <v>380</v>
      </c>
      <c r="F417" s="342">
        <v>380</v>
      </c>
      <c r="G417" s="344">
        <f t="shared" si="4"/>
        <v>4122.5899999999874</v>
      </c>
      <c r="H417" s="345"/>
      <c r="I417" s="346"/>
      <c r="J417" s="347"/>
      <c r="K417" s="312"/>
      <c r="L417" s="347"/>
      <c r="M417" s="312"/>
      <c r="N417" s="347"/>
      <c r="O417" s="312"/>
      <c r="P417" s="347"/>
      <c r="Q417" s="312"/>
      <c r="R417" s="347"/>
      <c r="S417" s="312"/>
      <c r="T417" s="347"/>
    </row>
    <row r="418" spans="1:20" ht="12" customHeight="1" x14ac:dyDescent="0.3">
      <c r="A418" s="340" t="s">
        <v>289</v>
      </c>
      <c r="B418" s="341">
        <v>2</v>
      </c>
      <c r="C418" s="309">
        <v>46090</v>
      </c>
      <c r="D418" s="310" t="s">
        <v>425</v>
      </c>
      <c r="E418" s="342">
        <v>15</v>
      </c>
      <c r="F418" s="342"/>
      <c r="G418" s="344">
        <f t="shared" si="4"/>
        <v>4122.5899999999874</v>
      </c>
      <c r="H418" s="345"/>
      <c r="I418" s="346"/>
      <c r="J418" s="347"/>
      <c r="K418" s="312"/>
      <c r="L418" s="347"/>
      <c r="M418" s="312"/>
      <c r="N418" s="347"/>
      <c r="O418" s="312"/>
      <c r="P418" s="347"/>
      <c r="Q418" s="312"/>
      <c r="R418" s="347"/>
      <c r="S418" s="312"/>
      <c r="T418" s="347"/>
    </row>
    <row r="419" spans="1:20" ht="12" customHeight="1" x14ac:dyDescent="0.3">
      <c r="A419" s="340" t="s">
        <v>289</v>
      </c>
      <c r="B419" s="341">
        <v>2</v>
      </c>
      <c r="C419" s="309">
        <v>46090</v>
      </c>
      <c r="D419" s="310" t="s">
        <v>390</v>
      </c>
      <c r="E419" s="342">
        <v>15</v>
      </c>
      <c r="F419" s="342"/>
      <c r="G419" s="344">
        <f t="shared" si="4"/>
        <v>4137.5899999999874</v>
      </c>
      <c r="H419" s="345"/>
      <c r="I419" s="346"/>
      <c r="J419" s="347"/>
      <c r="K419" s="312"/>
      <c r="L419" s="347"/>
      <c r="M419" s="312"/>
      <c r="N419" s="347"/>
      <c r="O419" s="312"/>
      <c r="P419" s="347"/>
      <c r="Q419" s="312"/>
      <c r="R419" s="347"/>
      <c r="S419" s="312"/>
      <c r="T419" s="347"/>
    </row>
    <row r="420" spans="1:20" ht="12" customHeight="1" x14ac:dyDescent="0.3">
      <c r="A420" s="340" t="s">
        <v>289</v>
      </c>
      <c r="B420" s="341">
        <v>6</v>
      </c>
      <c r="C420" s="309">
        <v>46090</v>
      </c>
      <c r="D420" s="310" t="s">
        <v>300</v>
      </c>
      <c r="E420" s="342">
        <v>70.66</v>
      </c>
      <c r="F420" s="342"/>
      <c r="G420" s="344">
        <f t="shared" si="4"/>
        <v>4152.5899999999874</v>
      </c>
      <c r="H420" s="345"/>
      <c r="I420" s="346"/>
      <c r="J420" s="347"/>
      <c r="K420" s="312"/>
      <c r="L420" s="347"/>
      <c r="M420" s="312"/>
      <c r="N420" s="347"/>
      <c r="O420" s="312"/>
      <c r="P420" s="347"/>
      <c r="Q420" s="312"/>
      <c r="R420" s="347"/>
      <c r="S420" s="312"/>
      <c r="T420" s="347"/>
    </row>
    <row r="421" spans="1:20" ht="12" customHeight="1" x14ac:dyDescent="0.3">
      <c r="A421" s="340" t="s">
        <v>289</v>
      </c>
      <c r="B421" s="341">
        <v>1</v>
      </c>
      <c r="C421" s="309">
        <v>46089</v>
      </c>
      <c r="D421" s="310" t="s">
        <v>312</v>
      </c>
      <c r="E421" s="342">
        <v>109.77</v>
      </c>
      <c r="F421" s="342"/>
      <c r="G421" s="344">
        <f t="shared" si="4"/>
        <v>4223.2499999999873</v>
      </c>
      <c r="H421" s="345"/>
      <c r="I421" s="346"/>
      <c r="J421" s="347"/>
      <c r="K421" s="312"/>
      <c r="L421" s="347"/>
      <c r="M421" s="312"/>
      <c r="N421" s="347"/>
      <c r="O421" s="312"/>
      <c r="P421" s="347"/>
      <c r="Q421" s="312"/>
      <c r="R421" s="347"/>
      <c r="S421" s="312"/>
      <c r="T421" s="347"/>
    </row>
    <row r="422" spans="1:20" ht="12" customHeight="1" x14ac:dyDescent="0.3">
      <c r="A422" s="340" t="s">
        <v>289</v>
      </c>
      <c r="B422" s="341">
        <v>6</v>
      </c>
      <c r="C422" s="309">
        <v>46089</v>
      </c>
      <c r="D422" s="310" t="s">
        <v>307</v>
      </c>
      <c r="E422" s="342">
        <v>9.3800000000000008</v>
      </c>
      <c r="F422" s="342"/>
      <c r="G422" s="344">
        <f t="shared" si="4"/>
        <v>4333.0199999999877</v>
      </c>
      <c r="H422" s="345"/>
      <c r="I422" s="346"/>
      <c r="J422" s="347"/>
      <c r="K422" s="312"/>
      <c r="L422" s="347"/>
      <c r="M422" s="312"/>
      <c r="N422" s="347"/>
      <c r="O422" s="312"/>
      <c r="P422" s="347"/>
      <c r="Q422" s="312"/>
      <c r="R422" s="347"/>
      <c r="S422" s="312"/>
      <c r="T422" s="347"/>
    </row>
    <row r="423" spans="1:20" ht="12" customHeight="1" x14ac:dyDescent="0.3">
      <c r="A423" s="340" t="s">
        <v>289</v>
      </c>
      <c r="B423" s="341">
        <v>3</v>
      </c>
      <c r="C423" s="309">
        <v>46089</v>
      </c>
      <c r="D423" s="310" t="s">
        <v>426</v>
      </c>
      <c r="E423" s="342">
        <v>3.85</v>
      </c>
      <c r="F423" s="342"/>
      <c r="G423" s="344">
        <f t="shared" si="4"/>
        <v>4342.3999999999878</v>
      </c>
      <c r="H423" s="345"/>
      <c r="I423" s="346"/>
      <c r="J423" s="347"/>
      <c r="K423" s="312"/>
      <c r="L423" s="347"/>
      <c r="M423" s="312"/>
      <c r="N423" s="347"/>
      <c r="O423" s="312"/>
      <c r="P423" s="347"/>
      <c r="Q423" s="312"/>
      <c r="R423" s="347"/>
      <c r="S423" s="312"/>
      <c r="T423" s="347"/>
    </row>
    <row r="424" spans="1:20" ht="12" customHeight="1" x14ac:dyDescent="0.3">
      <c r="A424" s="340" t="s">
        <v>289</v>
      </c>
      <c r="B424" s="341">
        <v>2</v>
      </c>
      <c r="C424" s="309">
        <v>46089</v>
      </c>
      <c r="D424" s="310" t="s">
        <v>411</v>
      </c>
      <c r="E424" s="342">
        <v>88.54</v>
      </c>
      <c r="F424" s="342"/>
      <c r="G424" s="344">
        <f t="shared" si="4"/>
        <v>4346.2499999999882</v>
      </c>
      <c r="H424" s="345"/>
      <c r="I424" s="346"/>
      <c r="J424" s="347"/>
      <c r="K424" s="312"/>
      <c r="L424" s="347"/>
      <c r="M424" s="312"/>
      <c r="N424" s="347"/>
      <c r="O424" s="312"/>
      <c r="P424" s="347"/>
      <c r="Q424" s="312"/>
      <c r="R424" s="347"/>
      <c r="S424" s="312"/>
      <c r="T424" s="347"/>
    </row>
    <row r="425" spans="1:20" ht="12" customHeight="1" x14ac:dyDescent="0.3">
      <c r="A425" s="340" t="s">
        <v>289</v>
      </c>
      <c r="B425" s="341">
        <v>2</v>
      </c>
      <c r="C425" s="309">
        <v>46089</v>
      </c>
      <c r="D425" s="310" t="s">
        <v>362</v>
      </c>
      <c r="E425" s="342">
        <v>8.3800000000000008</v>
      </c>
      <c r="F425" s="342"/>
      <c r="G425" s="344">
        <f t="shared" si="4"/>
        <v>4434.7899999999881</v>
      </c>
      <c r="H425" s="345"/>
      <c r="I425" s="346"/>
      <c r="J425" s="347"/>
      <c r="K425" s="312"/>
      <c r="L425" s="347"/>
      <c r="M425" s="312"/>
      <c r="N425" s="347"/>
      <c r="O425" s="312"/>
      <c r="P425" s="347"/>
      <c r="Q425" s="312"/>
      <c r="R425" s="347"/>
      <c r="S425" s="312"/>
      <c r="T425" s="347"/>
    </row>
    <row r="426" spans="1:20" ht="12" customHeight="1" x14ac:dyDescent="0.3">
      <c r="A426" s="340" t="s">
        <v>289</v>
      </c>
      <c r="B426" s="341">
        <v>2</v>
      </c>
      <c r="C426" s="309">
        <v>46089</v>
      </c>
      <c r="D426" s="310" t="s">
        <v>301</v>
      </c>
      <c r="E426" s="342">
        <v>39.549999999999997</v>
      </c>
      <c r="F426" s="342"/>
      <c r="G426" s="344">
        <f t="shared" si="4"/>
        <v>4443.1699999999882</v>
      </c>
      <c r="H426" s="345"/>
      <c r="I426" s="346"/>
      <c r="J426" s="347"/>
      <c r="K426" s="312"/>
      <c r="L426" s="347"/>
      <c r="M426" s="312"/>
      <c r="N426" s="347"/>
      <c r="O426" s="312"/>
      <c r="P426" s="347"/>
      <c r="Q426" s="312"/>
      <c r="R426" s="347"/>
      <c r="S426" s="312"/>
      <c r="T426" s="347"/>
    </row>
    <row r="427" spans="1:20" ht="12" customHeight="1" x14ac:dyDescent="0.3">
      <c r="A427" s="340" t="s">
        <v>289</v>
      </c>
      <c r="B427" s="341">
        <v>4</v>
      </c>
      <c r="C427" s="309">
        <v>46089</v>
      </c>
      <c r="D427" s="310" t="s">
        <v>427</v>
      </c>
      <c r="E427" s="342">
        <v>31.68</v>
      </c>
      <c r="F427" s="342"/>
      <c r="G427" s="344">
        <f t="shared" si="4"/>
        <v>4482.7199999999884</v>
      </c>
      <c r="H427" s="345"/>
      <c r="I427" s="346"/>
      <c r="J427" s="347"/>
      <c r="K427" s="312"/>
      <c r="L427" s="347"/>
      <c r="M427" s="312"/>
      <c r="N427" s="347"/>
      <c r="O427" s="312"/>
      <c r="P427" s="347"/>
      <c r="Q427" s="312"/>
      <c r="R427" s="347"/>
      <c r="S427" s="312"/>
      <c r="T427" s="347"/>
    </row>
    <row r="428" spans="1:20" ht="12" customHeight="1" x14ac:dyDescent="0.3">
      <c r="A428" s="340" t="s">
        <v>289</v>
      </c>
      <c r="B428" s="341">
        <v>8</v>
      </c>
      <c r="C428" s="309">
        <v>46088</v>
      </c>
      <c r="D428" s="310" t="s">
        <v>309</v>
      </c>
      <c r="E428" s="342">
        <v>24.65</v>
      </c>
      <c r="F428" s="342"/>
      <c r="G428" s="344">
        <f t="shared" si="4"/>
        <v>4514.3999999999887</v>
      </c>
      <c r="H428" s="345"/>
      <c r="I428" s="346"/>
      <c r="J428" s="347"/>
      <c r="K428" s="312"/>
      <c r="L428" s="347"/>
      <c r="M428" s="312"/>
      <c r="N428" s="347"/>
      <c r="O428" s="312"/>
      <c r="P428" s="347"/>
      <c r="Q428" s="312"/>
      <c r="R428" s="347"/>
      <c r="S428" s="312"/>
      <c r="T428" s="347"/>
    </row>
    <row r="429" spans="1:20" ht="12" customHeight="1" x14ac:dyDescent="0.3">
      <c r="A429" s="340" t="s">
        <v>289</v>
      </c>
      <c r="B429" s="341">
        <v>2</v>
      </c>
      <c r="C429" s="309">
        <v>46088</v>
      </c>
      <c r="D429" s="310" t="s">
        <v>350</v>
      </c>
      <c r="E429" s="342">
        <v>11.04</v>
      </c>
      <c r="F429" s="342"/>
      <c r="G429" s="344">
        <f t="shared" si="4"/>
        <v>4539.0499999999884</v>
      </c>
      <c r="H429" s="345"/>
      <c r="I429" s="346"/>
      <c r="J429" s="347"/>
      <c r="K429" s="312"/>
      <c r="L429" s="347"/>
      <c r="M429" s="312"/>
      <c r="N429" s="347"/>
      <c r="O429" s="312"/>
      <c r="P429" s="347"/>
      <c r="Q429" s="312"/>
      <c r="R429" s="347"/>
      <c r="S429" s="312"/>
      <c r="T429" s="347"/>
    </row>
    <row r="430" spans="1:20" ht="12" customHeight="1" x14ac:dyDescent="0.3">
      <c r="A430" s="340" t="s">
        <v>289</v>
      </c>
      <c r="B430" s="341">
        <v>8</v>
      </c>
      <c r="C430" s="309">
        <v>46088</v>
      </c>
      <c r="D430" s="310" t="s">
        <v>321</v>
      </c>
      <c r="E430" s="342">
        <v>11.5</v>
      </c>
      <c r="F430" s="342"/>
      <c r="G430" s="344">
        <f t="shared" si="4"/>
        <v>4550.0899999999883</v>
      </c>
      <c r="H430" s="345"/>
      <c r="I430" s="346"/>
      <c r="J430" s="347"/>
      <c r="K430" s="312"/>
      <c r="L430" s="347"/>
      <c r="M430" s="312"/>
      <c r="N430" s="347"/>
      <c r="O430" s="312"/>
      <c r="P430" s="347"/>
      <c r="Q430" s="312"/>
      <c r="R430" s="347"/>
      <c r="S430" s="312"/>
      <c r="T430" s="347"/>
    </row>
    <row r="431" spans="1:20" ht="12" customHeight="1" x14ac:dyDescent="0.3">
      <c r="A431" s="340" t="s">
        <v>289</v>
      </c>
      <c r="B431" s="341">
        <v>8</v>
      </c>
      <c r="C431" s="309">
        <v>46088</v>
      </c>
      <c r="D431" s="310" t="s">
        <v>296</v>
      </c>
      <c r="E431" s="342">
        <v>12.44</v>
      </c>
      <c r="F431" s="342"/>
      <c r="G431" s="344">
        <f t="shared" si="4"/>
        <v>4561.5899999999883</v>
      </c>
      <c r="H431" s="345"/>
      <c r="I431" s="346"/>
      <c r="J431" s="347"/>
      <c r="K431" s="312"/>
      <c r="L431" s="347"/>
      <c r="M431" s="312"/>
      <c r="N431" s="347"/>
      <c r="O431" s="312"/>
      <c r="P431" s="347"/>
      <c r="Q431" s="312"/>
      <c r="R431" s="347"/>
      <c r="S431" s="312"/>
      <c r="T431" s="347"/>
    </row>
    <row r="432" spans="1:20" ht="12" customHeight="1" x14ac:dyDescent="0.3">
      <c r="A432" s="340" t="s">
        <v>289</v>
      </c>
      <c r="B432" s="341">
        <v>4</v>
      </c>
      <c r="C432" s="309">
        <v>46088</v>
      </c>
      <c r="D432" s="310" t="s">
        <v>296</v>
      </c>
      <c r="E432" s="342">
        <v>23.62</v>
      </c>
      <c r="F432" s="342"/>
      <c r="G432" s="344">
        <f t="shared" si="4"/>
        <v>4574.0299999999879</v>
      </c>
      <c r="H432" s="345"/>
      <c r="I432" s="346"/>
      <c r="J432" s="347"/>
      <c r="K432" s="312"/>
      <c r="L432" s="347"/>
      <c r="M432" s="312"/>
      <c r="N432" s="347"/>
      <c r="O432" s="312"/>
      <c r="P432" s="347"/>
      <c r="Q432" s="312"/>
      <c r="R432" s="347"/>
      <c r="S432" s="312"/>
      <c r="T432" s="347"/>
    </row>
    <row r="433" spans="1:20" ht="12" customHeight="1" x14ac:dyDescent="0.3">
      <c r="A433" s="340" t="s">
        <v>289</v>
      </c>
      <c r="B433" s="341">
        <v>2</v>
      </c>
      <c r="C433" s="309">
        <v>46088</v>
      </c>
      <c r="D433" s="310" t="s">
        <v>301</v>
      </c>
      <c r="E433" s="342">
        <v>36.049999999999997</v>
      </c>
      <c r="F433" s="342"/>
      <c r="G433" s="344">
        <f t="shared" si="4"/>
        <v>4597.6499999999878</v>
      </c>
      <c r="H433" s="345"/>
      <c r="I433" s="346"/>
      <c r="J433" s="347"/>
      <c r="K433" s="312"/>
      <c r="L433" s="347"/>
      <c r="M433" s="312"/>
      <c r="N433" s="347"/>
      <c r="O433" s="312"/>
      <c r="P433" s="347"/>
      <c r="Q433" s="312"/>
      <c r="R433" s="347"/>
      <c r="S433" s="312"/>
      <c r="T433" s="347"/>
    </row>
    <row r="434" spans="1:20" ht="12" customHeight="1" x14ac:dyDescent="0.3">
      <c r="A434" s="340" t="s">
        <v>294</v>
      </c>
      <c r="B434" s="341">
        <v>14</v>
      </c>
      <c r="C434" s="309">
        <v>46087</v>
      </c>
      <c r="D434" s="310" t="s">
        <v>370</v>
      </c>
      <c r="E434" s="342">
        <v>66.67</v>
      </c>
      <c r="F434" s="342"/>
      <c r="G434" s="344">
        <f t="shared" si="4"/>
        <v>4633.699999999988</v>
      </c>
      <c r="H434" s="345"/>
      <c r="I434" s="346"/>
      <c r="J434" s="347"/>
      <c r="K434" s="312"/>
      <c r="L434" s="347"/>
      <c r="M434" s="312"/>
      <c r="N434" s="347"/>
      <c r="O434" s="312"/>
      <c r="P434" s="347"/>
      <c r="Q434" s="312"/>
      <c r="R434" s="347"/>
      <c r="S434" s="312"/>
      <c r="T434" s="347"/>
    </row>
    <row r="435" spans="1:20" ht="12" customHeight="1" x14ac:dyDescent="0.3">
      <c r="A435" s="340" t="s">
        <v>289</v>
      </c>
      <c r="B435" s="341">
        <v>2</v>
      </c>
      <c r="C435" s="309">
        <v>46087</v>
      </c>
      <c r="D435" s="310" t="s">
        <v>296</v>
      </c>
      <c r="E435" s="342">
        <v>17.850000000000001</v>
      </c>
      <c r="F435" s="342"/>
      <c r="G435" s="344">
        <f t="shared" si="4"/>
        <v>4700.3699999999881</v>
      </c>
      <c r="H435" s="345"/>
      <c r="I435" s="346"/>
      <c r="J435" s="347"/>
      <c r="K435" s="312"/>
      <c r="L435" s="347"/>
      <c r="M435" s="312"/>
      <c r="N435" s="347"/>
      <c r="O435" s="312"/>
      <c r="P435" s="347"/>
      <c r="Q435" s="312"/>
      <c r="R435" s="347"/>
      <c r="S435" s="312"/>
      <c r="T435" s="347"/>
    </row>
    <row r="436" spans="1:20" ht="12" customHeight="1" x14ac:dyDescent="0.3">
      <c r="A436" s="340" t="s">
        <v>289</v>
      </c>
      <c r="B436" s="341">
        <v>1</v>
      </c>
      <c r="C436" s="309">
        <v>46087</v>
      </c>
      <c r="D436" s="310" t="s">
        <v>304</v>
      </c>
      <c r="E436" s="342">
        <v>112.13</v>
      </c>
      <c r="F436" s="342"/>
      <c r="G436" s="344">
        <f t="shared" si="4"/>
        <v>4718.2199999999884</v>
      </c>
      <c r="H436" s="345"/>
      <c r="I436" s="346"/>
      <c r="J436" s="347"/>
      <c r="K436" s="312"/>
      <c r="L436" s="347"/>
      <c r="M436" s="312"/>
      <c r="N436" s="347"/>
      <c r="O436" s="312"/>
      <c r="P436" s="347"/>
      <c r="Q436" s="312"/>
      <c r="R436" s="347"/>
      <c r="S436" s="312"/>
      <c r="T436" s="347"/>
    </row>
    <row r="437" spans="1:20" ht="12" customHeight="1" x14ac:dyDescent="0.3">
      <c r="A437" s="340" t="s">
        <v>289</v>
      </c>
      <c r="B437" s="341">
        <v>3</v>
      </c>
      <c r="C437" s="309">
        <v>46087</v>
      </c>
      <c r="D437" s="310" t="s">
        <v>327</v>
      </c>
      <c r="E437" s="342">
        <v>7.31</v>
      </c>
      <c r="F437" s="342"/>
      <c r="G437" s="344">
        <f t="shared" si="4"/>
        <v>4830.3499999999885</v>
      </c>
      <c r="H437" s="345"/>
      <c r="I437" s="346"/>
      <c r="J437" s="347"/>
      <c r="K437" s="312"/>
      <c r="L437" s="347"/>
      <c r="M437" s="312"/>
      <c r="N437" s="347"/>
      <c r="O437" s="312"/>
      <c r="P437" s="347"/>
      <c r="Q437" s="312"/>
      <c r="R437" s="347"/>
      <c r="S437" s="312"/>
      <c r="T437" s="347"/>
    </row>
    <row r="438" spans="1:20" ht="12" customHeight="1" x14ac:dyDescent="0.3">
      <c r="A438" s="340" t="s">
        <v>291</v>
      </c>
      <c r="B438" s="341">
        <v>39</v>
      </c>
      <c r="C438" s="309">
        <v>46086</v>
      </c>
      <c r="D438" s="310" t="s">
        <v>292</v>
      </c>
      <c r="E438" s="342"/>
      <c r="F438" s="342">
        <v>2763.78</v>
      </c>
      <c r="G438" s="344">
        <f t="shared" si="4"/>
        <v>4837.6599999999889</v>
      </c>
      <c r="H438" s="345"/>
      <c r="I438" s="346"/>
      <c r="J438" s="347"/>
      <c r="K438" s="312"/>
      <c r="L438" s="347"/>
      <c r="M438" s="312"/>
      <c r="N438" s="347"/>
      <c r="O438" s="312"/>
      <c r="P438" s="347"/>
      <c r="Q438" s="312"/>
      <c r="R438" s="347"/>
      <c r="S438" s="312"/>
      <c r="T438" s="347"/>
    </row>
    <row r="439" spans="1:20" ht="12" customHeight="1" x14ac:dyDescent="0.3">
      <c r="A439" s="340" t="s">
        <v>289</v>
      </c>
      <c r="B439" s="341">
        <v>4</v>
      </c>
      <c r="C439" s="309">
        <v>46086</v>
      </c>
      <c r="D439" s="310" t="s">
        <v>295</v>
      </c>
      <c r="E439" s="342">
        <v>31.52</v>
      </c>
      <c r="F439" s="342"/>
      <c r="G439" s="344">
        <f t="shared" si="4"/>
        <v>2073.8799999999892</v>
      </c>
      <c r="H439" s="345"/>
      <c r="I439" s="346"/>
      <c r="J439" s="347"/>
      <c r="K439" s="312"/>
      <c r="L439" s="347"/>
      <c r="M439" s="312"/>
      <c r="N439" s="347"/>
      <c r="O439" s="312"/>
      <c r="P439" s="347"/>
      <c r="Q439" s="312"/>
      <c r="R439" s="347"/>
      <c r="S439" s="312"/>
      <c r="T439" s="347"/>
    </row>
    <row r="440" spans="1:20" ht="12" customHeight="1" x14ac:dyDescent="0.3">
      <c r="A440" s="340" t="s">
        <v>289</v>
      </c>
      <c r="B440" s="341">
        <v>2</v>
      </c>
      <c r="C440" s="309">
        <v>46086</v>
      </c>
      <c r="D440" s="310" t="s">
        <v>362</v>
      </c>
      <c r="E440" s="342">
        <v>14.86</v>
      </c>
      <c r="F440" s="342"/>
      <c r="G440" s="344">
        <f t="shared" si="4"/>
        <v>2105.3999999999892</v>
      </c>
      <c r="H440" s="345"/>
      <c r="I440" s="346"/>
      <c r="J440" s="347"/>
      <c r="K440" s="312"/>
      <c r="L440" s="347"/>
      <c r="M440" s="312"/>
      <c r="N440" s="347"/>
      <c r="O440" s="312"/>
      <c r="P440" s="347"/>
      <c r="Q440" s="312"/>
      <c r="R440" s="347"/>
      <c r="S440" s="312"/>
      <c r="T440" s="347"/>
    </row>
    <row r="441" spans="1:20" ht="12" customHeight="1" x14ac:dyDescent="0.3">
      <c r="A441" s="340" t="s">
        <v>289</v>
      </c>
      <c r="B441" s="341">
        <v>8</v>
      </c>
      <c r="C441" s="309">
        <v>46086</v>
      </c>
      <c r="D441" s="310" t="s">
        <v>416</v>
      </c>
      <c r="E441" s="342">
        <v>44.99</v>
      </c>
      <c r="F441" s="342"/>
      <c r="G441" s="344">
        <f t="shared" si="4"/>
        <v>2120.2599999999893</v>
      </c>
      <c r="H441" s="345"/>
      <c r="I441" s="346"/>
      <c r="J441" s="347"/>
      <c r="K441" s="312"/>
      <c r="L441" s="347"/>
      <c r="M441" s="312"/>
      <c r="N441" s="347"/>
      <c r="O441" s="312"/>
      <c r="P441" s="347"/>
      <c r="Q441" s="312"/>
      <c r="R441" s="347"/>
      <c r="S441" s="312"/>
      <c r="T441" s="347"/>
    </row>
    <row r="442" spans="1:20" ht="12" customHeight="1" x14ac:dyDescent="0.3">
      <c r="A442" s="340" t="s">
        <v>289</v>
      </c>
      <c r="B442" s="341">
        <v>2</v>
      </c>
      <c r="C442" s="309">
        <v>46085</v>
      </c>
      <c r="D442" s="310" t="s">
        <v>428</v>
      </c>
      <c r="E442" s="342">
        <v>15</v>
      </c>
      <c r="F442" s="342"/>
      <c r="G442" s="344">
        <f t="shared" si="4"/>
        <v>2165.2499999999891</v>
      </c>
      <c r="H442" s="345"/>
      <c r="I442" s="346"/>
      <c r="J442" s="347"/>
      <c r="K442" s="312"/>
      <c r="L442" s="347"/>
      <c r="M442" s="312"/>
      <c r="N442" s="347"/>
      <c r="O442" s="312"/>
      <c r="P442" s="347"/>
      <c r="Q442" s="312"/>
      <c r="R442" s="347"/>
      <c r="S442" s="312"/>
      <c r="T442" s="347"/>
    </row>
    <row r="443" spans="1:20" ht="12" customHeight="1" x14ac:dyDescent="0.3">
      <c r="A443" s="340" t="s">
        <v>289</v>
      </c>
      <c r="B443" s="341">
        <v>2</v>
      </c>
      <c r="C443" s="309">
        <v>46085</v>
      </c>
      <c r="D443" s="310" t="s">
        <v>296</v>
      </c>
      <c r="E443" s="342">
        <v>10.84</v>
      </c>
      <c r="F443" s="342"/>
      <c r="G443" s="344">
        <f t="shared" si="4"/>
        <v>2180.2499999999891</v>
      </c>
      <c r="H443" s="345"/>
      <c r="I443" s="346"/>
      <c r="J443" s="347"/>
      <c r="K443" s="312"/>
      <c r="L443" s="347"/>
      <c r="M443" s="312"/>
      <c r="N443" s="347"/>
      <c r="O443" s="312"/>
      <c r="P443" s="347"/>
      <c r="Q443" s="312"/>
      <c r="R443" s="347"/>
      <c r="S443" s="312"/>
      <c r="T443" s="347"/>
    </row>
    <row r="444" spans="1:20" ht="12" customHeight="1" x14ac:dyDescent="0.3">
      <c r="A444" s="340" t="s">
        <v>294</v>
      </c>
      <c r="B444" s="341">
        <v>14</v>
      </c>
      <c r="C444" s="309">
        <v>46085</v>
      </c>
      <c r="D444" s="310" t="s">
        <v>371</v>
      </c>
      <c r="E444" s="342">
        <v>68.739999999999995</v>
      </c>
      <c r="F444" s="342"/>
      <c r="G444" s="344">
        <f t="shared" si="4"/>
        <v>2191.0899999999892</v>
      </c>
      <c r="H444" s="345"/>
      <c r="I444" s="346"/>
      <c r="J444" s="347"/>
      <c r="K444" s="312"/>
      <c r="L444" s="347"/>
      <c r="M444" s="312"/>
      <c r="N444" s="347"/>
      <c r="O444" s="312"/>
      <c r="P444" s="347"/>
      <c r="Q444" s="312"/>
      <c r="R444" s="347"/>
      <c r="S444" s="312"/>
      <c r="T444" s="347"/>
    </row>
    <row r="445" spans="1:20" ht="12" customHeight="1" x14ac:dyDescent="0.3">
      <c r="A445" s="340" t="s">
        <v>289</v>
      </c>
      <c r="B445" s="341">
        <v>4</v>
      </c>
      <c r="C445" s="309">
        <v>46085</v>
      </c>
      <c r="D445" s="310" t="s">
        <v>311</v>
      </c>
      <c r="E445" s="342">
        <v>30.67</v>
      </c>
      <c r="F445" s="342"/>
      <c r="G445" s="344">
        <f t="shared" si="4"/>
        <v>2259.829999999989</v>
      </c>
      <c r="H445" s="345"/>
      <c r="I445" s="346"/>
      <c r="J445" s="347"/>
      <c r="K445" s="312"/>
      <c r="L445" s="347"/>
      <c r="M445" s="312"/>
      <c r="N445" s="347"/>
      <c r="O445" s="312"/>
      <c r="P445" s="347"/>
      <c r="Q445" s="312"/>
      <c r="R445" s="347"/>
      <c r="S445" s="312"/>
      <c r="T445" s="347"/>
    </row>
    <row r="446" spans="1:20" ht="12" customHeight="1" x14ac:dyDescent="0.3">
      <c r="A446" s="340" t="s">
        <v>294</v>
      </c>
      <c r="B446" s="341">
        <v>17</v>
      </c>
      <c r="C446" s="309">
        <v>46085</v>
      </c>
      <c r="D446" s="310" t="s">
        <v>374</v>
      </c>
      <c r="E446" s="342">
        <v>99</v>
      </c>
      <c r="F446" s="342"/>
      <c r="G446" s="344">
        <f t="shared" si="4"/>
        <v>2290.4999999999891</v>
      </c>
      <c r="H446" s="345"/>
      <c r="I446" s="346"/>
      <c r="J446" s="347"/>
      <c r="K446" s="312"/>
      <c r="L446" s="347"/>
      <c r="M446" s="312"/>
      <c r="N446" s="347"/>
      <c r="O446" s="312"/>
      <c r="P446" s="347"/>
      <c r="Q446" s="312"/>
      <c r="R446" s="347"/>
      <c r="S446" s="312"/>
      <c r="T446" s="347"/>
    </row>
    <row r="447" spans="1:20" ht="12" customHeight="1" x14ac:dyDescent="0.3">
      <c r="A447" s="340" t="s">
        <v>294</v>
      </c>
      <c r="B447" s="341">
        <v>21</v>
      </c>
      <c r="C447" s="309">
        <v>46084</v>
      </c>
      <c r="D447" s="310" t="s">
        <v>194</v>
      </c>
      <c r="E447" s="342">
        <v>40.72</v>
      </c>
      <c r="F447" s="342"/>
      <c r="G447" s="344">
        <f t="shared" si="4"/>
        <v>2389.4999999999891</v>
      </c>
      <c r="H447" s="345"/>
      <c r="I447" s="346"/>
      <c r="J447" s="347"/>
      <c r="K447" s="312"/>
      <c r="L447" s="347"/>
      <c r="M447" s="312"/>
      <c r="N447" s="347"/>
      <c r="O447" s="312"/>
      <c r="P447" s="347"/>
      <c r="Q447" s="312"/>
      <c r="R447" s="347"/>
      <c r="S447" s="312"/>
      <c r="T447" s="347"/>
    </row>
    <row r="448" spans="1:20" ht="12" customHeight="1" x14ac:dyDescent="0.3">
      <c r="A448" s="340" t="s">
        <v>284</v>
      </c>
      <c r="B448" s="341">
        <v>36</v>
      </c>
      <c r="C448" s="309">
        <v>46084</v>
      </c>
      <c r="D448" s="310" t="s">
        <v>378</v>
      </c>
      <c r="E448" s="342">
        <v>50</v>
      </c>
      <c r="F448" s="342"/>
      <c r="G448" s="344">
        <f t="shared" si="4"/>
        <v>2430.2199999999889</v>
      </c>
      <c r="H448" s="345"/>
      <c r="I448" s="346"/>
      <c r="J448" s="347"/>
      <c r="K448" s="312"/>
      <c r="L448" s="347"/>
      <c r="M448" s="312"/>
      <c r="N448" s="347"/>
      <c r="O448" s="312"/>
      <c r="P448" s="347"/>
      <c r="Q448" s="312"/>
      <c r="R448" s="347"/>
      <c r="S448" s="312"/>
      <c r="T448" s="347"/>
    </row>
    <row r="449" spans="1:20" ht="12" customHeight="1" x14ac:dyDescent="0.3">
      <c r="A449" s="340" t="s">
        <v>289</v>
      </c>
      <c r="B449" s="341">
        <v>2</v>
      </c>
      <c r="C449" s="309">
        <v>46084</v>
      </c>
      <c r="D449" s="310" t="s">
        <v>296</v>
      </c>
      <c r="E449" s="342">
        <v>14.67</v>
      </c>
      <c r="F449" s="342"/>
      <c r="G449" s="344">
        <f t="shared" si="4"/>
        <v>2480.2199999999889</v>
      </c>
      <c r="H449" s="345"/>
      <c r="I449" s="346"/>
      <c r="J449" s="347"/>
      <c r="K449" s="312"/>
      <c r="L449" s="347"/>
      <c r="M449" s="312"/>
      <c r="N449" s="347"/>
      <c r="O449" s="312"/>
      <c r="P449" s="347"/>
      <c r="Q449" s="312"/>
      <c r="R449" s="347"/>
      <c r="S449" s="312"/>
      <c r="T449" s="347"/>
    </row>
    <row r="450" spans="1:20" ht="12" customHeight="1" x14ac:dyDescent="0.3">
      <c r="A450" s="340" t="s">
        <v>289</v>
      </c>
      <c r="B450" s="341">
        <v>4</v>
      </c>
      <c r="C450" s="309">
        <v>46084</v>
      </c>
      <c r="D450" s="310" t="s">
        <v>296</v>
      </c>
      <c r="E450" s="342">
        <v>27.42</v>
      </c>
      <c r="F450" s="342"/>
      <c r="G450" s="344">
        <f t="shared" si="4"/>
        <v>2494.889999999989</v>
      </c>
      <c r="H450" s="345"/>
      <c r="I450" s="346"/>
      <c r="J450" s="347"/>
      <c r="K450" s="312"/>
      <c r="L450" s="347"/>
      <c r="M450" s="312"/>
      <c r="N450" s="347"/>
      <c r="O450" s="312"/>
      <c r="P450" s="347"/>
      <c r="Q450" s="312"/>
      <c r="R450" s="347"/>
      <c r="S450" s="312"/>
      <c r="T450" s="347"/>
    </row>
    <row r="451" spans="1:20" ht="12" customHeight="1" x14ac:dyDescent="0.3">
      <c r="A451" s="340" t="s">
        <v>289</v>
      </c>
      <c r="B451" s="341">
        <v>6</v>
      </c>
      <c r="C451" s="309">
        <v>46084</v>
      </c>
      <c r="D451" s="310" t="s">
        <v>429</v>
      </c>
      <c r="E451" s="342">
        <v>106.27</v>
      </c>
      <c r="F451" s="342"/>
      <c r="G451" s="344">
        <f t="shared" si="4"/>
        <v>2522.309999999989</v>
      </c>
      <c r="H451" s="345"/>
      <c r="I451" s="346"/>
      <c r="J451" s="347"/>
      <c r="K451" s="312"/>
      <c r="L451" s="347"/>
      <c r="M451" s="312"/>
      <c r="N451" s="347"/>
      <c r="O451" s="312"/>
      <c r="P451" s="347"/>
      <c r="Q451" s="312"/>
      <c r="R451" s="347"/>
      <c r="S451" s="312"/>
      <c r="T451" s="347"/>
    </row>
    <row r="452" spans="1:20" ht="12" customHeight="1" x14ac:dyDescent="0.3">
      <c r="A452" s="340" t="s">
        <v>289</v>
      </c>
      <c r="B452" s="341">
        <v>6</v>
      </c>
      <c r="C452" s="309">
        <v>46084</v>
      </c>
      <c r="D452" s="310" t="s">
        <v>429</v>
      </c>
      <c r="E452" s="342">
        <v>-107</v>
      </c>
      <c r="F452" s="342"/>
      <c r="G452" s="344">
        <f t="shared" si="4"/>
        <v>2628.579999999989</v>
      </c>
      <c r="H452" s="345" t="s">
        <v>298</v>
      </c>
      <c r="I452" s="346"/>
      <c r="J452" s="347"/>
      <c r="K452" s="312"/>
      <c r="L452" s="347"/>
      <c r="M452" s="312"/>
      <c r="N452" s="347"/>
      <c r="O452" s="312"/>
      <c r="P452" s="347"/>
      <c r="Q452" s="312"/>
      <c r="R452" s="347"/>
      <c r="S452" s="312"/>
      <c r="T452" s="347"/>
    </row>
    <row r="453" spans="1:20" ht="12" customHeight="1" x14ac:dyDescent="0.3">
      <c r="A453" s="340" t="s">
        <v>289</v>
      </c>
      <c r="B453" s="341">
        <v>2</v>
      </c>
      <c r="C453" s="309">
        <v>46083</v>
      </c>
      <c r="D453" s="310" t="s">
        <v>301</v>
      </c>
      <c r="E453" s="342">
        <v>20</v>
      </c>
      <c r="F453" s="342"/>
      <c r="G453" s="344">
        <f t="shared" si="4"/>
        <v>2521.579999999989</v>
      </c>
      <c r="H453" s="345"/>
      <c r="I453" s="346"/>
      <c r="J453" s="347"/>
      <c r="K453" s="312"/>
      <c r="L453" s="347"/>
      <c r="M453" s="312"/>
      <c r="N453" s="347"/>
      <c r="O453" s="312"/>
      <c r="P453" s="347"/>
      <c r="Q453" s="312"/>
      <c r="R453" s="347"/>
      <c r="S453" s="312"/>
      <c r="T453" s="347"/>
    </row>
    <row r="454" spans="1:20" ht="12" customHeight="1" x14ac:dyDescent="0.3">
      <c r="A454" s="340" t="s">
        <v>287</v>
      </c>
      <c r="B454" s="341" t="s">
        <v>287</v>
      </c>
      <c r="C454" s="309">
        <v>46083</v>
      </c>
      <c r="D454" s="310" t="s">
        <v>430</v>
      </c>
      <c r="E454" s="342">
        <v>185.64</v>
      </c>
      <c r="F454" s="342">
        <v>185.64</v>
      </c>
      <c r="G454" s="344">
        <f t="shared" si="4"/>
        <v>2541.579999999989</v>
      </c>
      <c r="H454" s="345"/>
      <c r="I454" s="346"/>
      <c r="J454" s="347"/>
      <c r="K454" s="312"/>
      <c r="L454" s="347"/>
      <c r="M454" s="312"/>
      <c r="N454" s="347"/>
      <c r="O454" s="312"/>
      <c r="P454" s="347"/>
      <c r="Q454" s="312"/>
      <c r="R454" s="347"/>
      <c r="S454" s="312"/>
      <c r="T454" s="347"/>
    </row>
    <row r="455" spans="1:20" ht="12" customHeight="1" x14ac:dyDescent="0.3">
      <c r="A455" s="340" t="s">
        <v>289</v>
      </c>
      <c r="B455" s="341">
        <v>2</v>
      </c>
      <c r="C455" s="309">
        <v>46083</v>
      </c>
      <c r="D455" s="310" t="s">
        <v>431</v>
      </c>
      <c r="E455" s="342">
        <v>70.12</v>
      </c>
      <c r="F455" s="342"/>
      <c r="G455" s="344">
        <f t="shared" si="4"/>
        <v>2541.579999999989</v>
      </c>
      <c r="H455" s="345"/>
      <c r="I455" s="346"/>
      <c r="J455" s="347"/>
      <c r="K455" s="312"/>
      <c r="L455" s="347"/>
      <c r="M455" s="312"/>
      <c r="N455" s="347"/>
      <c r="O455" s="312"/>
      <c r="P455" s="347"/>
      <c r="Q455" s="312"/>
      <c r="R455" s="347"/>
      <c r="S455" s="312"/>
      <c r="T455" s="347"/>
    </row>
    <row r="456" spans="1:20" ht="12" customHeight="1" x14ac:dyDescent="0.3">
      <c r="A456" s="340" t="s">
        <v>294</v>
      </c>
      <c r="B456" s="341">
        <v>17</v>
      </c>
      <c r="C456" s="309">
        <v>46083</v>
      </c>
      <c r="D456" s="310" t="s">
        <v>188</v>
      </c>
      <c r="E456" s="342">
        <v>41.44</v>
      </c>
      <c r="F456" s="342"/>
      <c r="G456" s="344">
        <f t="shared" si="4"/>
        <v>2611.6999999999889</v>
      </c>
      <c r="H456" s="345"/>
      <c r="I456" s="346"/>
      <c r="J456" s="347"/>
      <c r="K456" s="312"/>
      <c r="L456" s="347"/>
      <c r="M456" s="312"/>
      <c r="N456" s="347"/>
      <c r="O456" s="312"/>
      <c r="P456" s="347"/>
      <c r="Q456" s="312"/>
      <c r="R456" s="347"/>
      <c r="S456" s="312"/>
      <c r="T456" s="347"/>
    </row>
    <row r="457" spans="1:20" ht="12" customHeight="1" x14ac:dyDescent="0.3">
      <c r="A457" s="340" t="s">
        <v>289</v>
      </c>
      <c r="B457" s="341">
        <v>8</v>
      </c>
      <c r="C457" s="309">
        <v>46083</v>
      </c>
      <c r="D457" s="310" t="s">
        <v>296</v>
      </c>
      <c r="E457" s="342">
        <v>8.7200000000000006</v>
      </c>
      <c r="F457" s="342"/>
      <c r="G457" s="344">
        <f t="shared" si="4"/>
        <v>2653.139999999989</v>
      </c>
      <c r="H457" s="345"/>
      <c r="I457" s="346"/>
      <c r="J457" s="347"/>
      <c r="K457" s="312"/>
      <c r="L457" s="347"/>
      <c r="M457" s="312"/>
      <c r="N457" s="347"/>
      <c r="O457" s="312"/>
      <c r="P457" s="347"/>
      <c r="Q457" s="312"/>
      <c r="R457" s="347"/>
      <c r="S457" s="312"/>
      <c r="T457" s="347"/>
    </row>
    <row r="458" spans="1:20" ht="12" customHeight="1" x14ac:dyDescent="0.3">
      <c r="A458" s="340" t="s">
        <v>294</v>
      </c>
      <c r="B458" s="341">
        <v>22</v>
      </c>
      <c r="C458" s="309">
        <v>46082</v>
      </c>
      <c r="D458" s="310" t="s">
        <v>379</v>
      </c>
      <c r="E458" s="342">
        <v>6.37</v>
      </c>
      <c r="F458" s="342"/>
      <c r="G458" s="344">
        <f t="shared" si="4"/>
        <v>2661.8599999999888</v>
      </c>
      <c r="H458" s="345"/>
      <c r="I458" s="346"/>
      <c r="J458" s="347"/>
      <c r="K458" s="312"/>
      <c r="L458" s="347"/>
      <c r="M458" s="312"/>
      <c r="N458" s="347"/>
      <c r="O458" s="312"/>
      <c r="P458" s="347"/>
      <c r="Q458" s="312"/>
      <c r="R458" s="347"/>
      <c r="S458" s="312"/>
      <c r="T458" s="347"/>
    </row>
    <row r="459" spans="1:20" ht="12" customHeight="1" x14ac:dyDescent="0.3">
      <c r="A459" s="340" t="s">
        <v>289</v>
      </c>
      <c r="B459" s="341">
        <v>2</v>
      </c>
      <c r="C459" s="309">
        <v>46082</v>
      </c>
      <c r="D459" s="310" t="s">
        <v>296</v>
      </c>
      <c r="E459" s="342">
        <v>9.8699999999999992</v>
      </c>
      <c r="F459" s="342"/>
      <c r="G459" s="344">
        <f t="shared" si="4"/>
        <v>2668.2299999999886</v>
      </c>
      <c r="H459" s="345"/>
      <c r="I459" s="346"/>
      <c r="J459" s="347"/>
      <c r="K459" s="312"/>
      <c r="L459" s="347"/>
      <c r="M459" s="312"/>
      <c r="N459" s="347"/>
      <c r="O459" s="312"/>
      <c r="P459" s="347"/>
      <c r="Q459" s="312"/>
      <c r="R459" s="347"/>
      <c r="S459" s="312"/>
      <c r="T459" s="347"/>
    </row>
    <row r="460" spans="1:20" ht="12" customHeight="1" x14ac:dyDescent="0.3">
      <c r="A460" s="340" t="s">
        <v>289</v>
      </c>
      <c r="B460" s="341">
        <v>1</v>
      </c>
      <c r="C460" s="309">
        <v>46082</v>
      </c>
      <c r="D460" s="310" t="s">
        <v>312</v>
      </c>
      <c r="E460" s="342">
        <v>119.55</v>
      </c>
      <c r="F460" s="342"/>
      <c r="G460" s="344">
        <f t="shared" si="4"/>
        <v>2678.0999999999885</v>
      </c>
      <c r="H460" s="345"/>
      <c r="I460" s="346"/>
      <c r="J460" s="347"/>
      <c r="K460" s="312"/>
      <c r="L460" s="347"/>
      <c r="M460" s="312"/>
      <c r="N460" s="347"/>
      <c r="O460" s="312"/>
      <c r="P460" s="347"/>
      <c r="Q460" s="312"/>
      <c r="R460" s="347"/>
      <c r="S460" s="312"/>
      <c r="T460" s="347"/>
    </row>
    <row r="461" spans="1:20" ht="12" customHeight="1" x14ac:dyDescent="0.3">
      <c r="A461" s="340" t="s">
        <v>289</v>
      </c>
      <c r="B461" s="341">
        <v>3</v>
      </c>
      <c r="C461" s="309">
        <v>46082</v>
      </c>
      <c r="D461" s="310" t="s">
        <v>352</v>
      </c>
      <c r="E461" s="342">
        <v>25</v>
      </c>
      <c r="F461" s="342"/>
      <c r="G461" s="344">
        <f t="shared" si="4"/>
        <v>2797.6499999999887</v>
      </c>
      <c r="H461" s="345"/>
      <c r="I461" s="346"/>
      <c r="J461" s="347"/>
      <c r="K461" s="312"/>
      <c r="L461" s="347"/>
      <c r="M461" s="312"/>
      <c r="N461" s="347"/>
      <c r="O461" s="312"/>
      <c r="P461" s="347"/>
      <c r="Q461" s="312"/>
      <c r="R461" s="347"/>
      <c r="S461" s="312"/>
      <c r="T461" s="347"/>
    </row>
    <row r="462" spans="1:20" ht="12" customHeight="1" x14ac:dyDescent="0.3">
      <c r="A462" s="340" t="s">
        <v>289</v>
      </c>
      <c r="B462" s="341">
        <v>1</v>
      </c>
      <c r="C462" s="309">
        <v>46082</v>
      </c>
      <c r="D462" s="310" t="s">
        <v>304</v>
      </c>
      <c r="E462" s="342">
        <v>119.17</v>
      </c>
      <c r="F462" s="342"/>
      <c r="G462" s="344">
        <f t="shared" si="4"/>
        <v>2822.6499999999887</v>
      </c>
      <c r="H462" s="345"/>
      <c r="I462" s="346"/>
      <c r="J462" s="347"/>
      <c r="K462" s="312"/>
      <c r="L462" s="347"/>
      <c r="M462" s="312"/>
      <c r="N462" s="347"/>
      <c r="O462" s="312"/>
      <c r="P462" s="347"/>
      <c r="Q462" s="312"/>
      <c r="R462" s="347"/>
      <c r="S462" s="312"/>
      <c r="T462" s="347"/>
    </row>
    <row r="463" spans="1:20" ht="12" customHeight="1" x14ac:dyDescent="0.3">
      <c r="A463" s="340" t="s">
        <v>284</v>
      </c>
      <c r="B463" s="341">
        <v>37</v>
      </c>
      <c r="C463" s="309">
        <v>46081</v>
      </c>
      <c r="D463" s="310" t="s">
        <v>432</v>
      </c>
      <c r="E463" s="342">
        <v>3764.91</v>
      </c>
      <c r="F463" s="342"/>
      <c r="G463" s="344">
        <f t="shared" si="4"/>
        <v>2941.8199999999888</v>
      </c>
      <c r="H463" s="345"/>
      <c r="I463" s="346"/>
      <c r="J463" s="347"/>
      <c r="K463" s="312"/>
      <c r="L463" s="347"/>
      <c r="M463" s="312"/>
      <c r="N463" s="347"/>
      <c r="O463" s="312"/>
      <c r="P463" s="347"/>
      <c r="Q463" s="312"/>
      <c r="R463" s="347"/>
      <c r="S463" s="312"/>
      <c r="T463" s="347"/>
    </row>
    <row r="464" spans="1:20" ht="12" customHeight="1" x14ac:dyDescent="0.3">
      <c r="A464" s="340" t="s">
        <v>286</v>
      </c>
      <c r="B464" s="341">
        <v>25</v>
      </c>
      <c r="C464" s="309">
        <v>46081</v>
      </c>
      <c r="D464" s="309" t="s">
        <v>204</v>
      </c>
      <c r="E464" s="342">
        <v>350</v>
      </c>
      <c r="F464" s="342"/>
      <c r="G464" s="344">
        <f t="shared" si="4"/>
        <v>6706.7299999999886</v>
      </c>
      <c r="H464" s="345"/>
      <c r="I464" s="346"/>
      <c r="J464" s="347"/>
      <c r="K464" s="312"/>
      <c r="L464" s="347"/>
      <c r="M464" s="312"/>
      <c r="N464" s="347"/>
      <c r="O464" s="312"/>
      <c r="P464" s="347"/>
      <c r="Q464" s="312"/>
      <c r="R464" s="347"/>
      <c r="S464" s="312"/>
      <c r="T464" s="347"/>
    </row>
    <row r="465" spans="1:20" ht="12" customHeight="1" x14ac:dyDescent="0.3">
      <c r="A465" s="340" t="s">
        <v>286</v>
      </c>
      <c r="B465" s="341">
        <v>26</v>
      </c>
      <c r="C465" s="309">
        <v>46081</v>
      </c>
      <c r="D465" s="309" t="s">
        <v>205</v>
      </c>
      <c r="E465" s="342">
        <v>320</v>
      </c>
      <c r="F465" s="342"/>
      <c r="G465" s="344">
        <f t="shared" si="4"/>
        <v>7056.7299999999886</v>
      </c>
      <c r="H465" s="345"/>
      <c r="I465" s="346"/>
      <c r="J465" s="347"/>
      <c r="K465" s="312"/>
      <c r="L465" s="347"/>
      <c r="M465" s="312"/>
      <c r="N465" s="347"/>
      <c r="O465" s="312"/>
      <c r="P465" s="347"/>
      <c r="Q465" s="312"/>
      <c r="R465" s="347"/>
      <c r="S465" s="312"/>
      <c r="T465" s="347"/>
    </row>
    <row r="466" spans="1:20" ht="12" customHeight="1" x14ac:dyDescent="0.3">
      <c r="A466" s="340" t="s">
        <v>286</v>
      </c>
      <c r="B466" s="341">
        <v>27</v>
      </c>
      <c r="C466" s="309">
        <v>46081</v>
      </c>
      <c r="D466" s="309" t="s">
        <v>206</v>
      </c>
      <c r="E466" s="342">
        <v>25</v>
      </c>
      <c r="F466" s="342"/>
      <c r="G466" s="344">
        <f t="shared" si="4"/>
        <v>7376.7299999999886</v>
      </c>
      <c r="H466" s="345"/>
      <c r="I466" s="346"/>
      <c r="J466" s="347"/>
      <c r="K466" s="312"/>
      <c r="L466" s="347"/>
      <c r="M466" s="312"/>
      <c r="N466" s="347"/>
      <c r="O466" s="312"/>
      <c r="P466" s="347"/>
      <c r="Q466" s="312"/>
      <c r="R466" s="347"/>
      <c r="S466" s="312"/>
      <c r="T466" s="347"/>
    </row>
    <row r="467" spans="1:20" ht="12" customHeight="1" x14ac:dyDescent="0.3">
      <c r="A467" s="340" t="s">
        <v>286</v>
      </c>
      <c r="B467" s="341">
        <v>28</v>
      </c>
      <c r="C467" s="309">
        <v>46081</v>
      </c>
      <c r="D467" s="309" t="s">
        <v>207</v>
      </c>
      <c r="E467" s="342">
        <v>25</v>
      </c>
      <c r="F467" s="342"/>
      <c r="G467" s="344">
        <f t="shared" si="4"/>
        <v>7401.7299999999886</v>
      </c>
      <c r="H467" s="345"/>
      <c r="I467" s="346"/>
      <c r="J467" s="347"/>
      <c r="K467" s="312"/>
      <c r="L467" s="347"/>
      <c r="M467" s="312"/>
      <c r="N467" s="347"/>
      <c r="O467" s="312"/>
      <c r="P467" s="347"/>
      <c r="Q467" s="312"/>
      <c r="R467" s="347"/>
      <c r="S467" s="312"/>
      <c r="T467" s="347"/>
    </row>
    <row r="468" spans="1:20" ht="12" customHeight="1" x14ac:dyDescent="0.3">
      <c r="A468" s="340" t="s">
        <v>286</v>
      </c>
      <c r="B468" s="341">
        <v>29</v>
      </c>
      <c r="C468" s="309">
        <v>46081</v>
      </c>
      <c r="D468" s="309" t="s">
        <v>208</v>
      </c>
      <c r="E468" s="342">
        <v>45</v>
      </c>
      <c r="F468" s="342"/>
      <c r="G468" s="344">
        <f t="shared" si="4"/>
        <v>7426.7299999999886</v>
      </c>
      <c r="H468" s="345"/>
      <c r="I468" s="346"/>
      <c r="J468" s="347"/>
      <c r="K468" s="312"/>
      <c r="L468" s="347"/>
      <c r="M468" s="312"/>
      <c r="N468" s="347"/>
      <c r="O468" s="312"/>
      <c r="P468" s="347"/>
      <c r="Q468" s="312"/>
      <c r="R468" s="347"/>
      <c r="S468" s="312"/>
      <c r="T468" s="347"/>
    </row>
    <row r="469" spans="1:20" ht="12" customHeight="1" x14ac:dyDescent="0.3">
      <c r="A469" s="340" t="s">
        <v>286</v>
      </c>
      <c r="B469" s="341">
        <v>30</v>
      </c>
      <c r="C469" s="309">
        <v>46081</v>
      </c>
      <c r="D469" s="309" t="s">
        <v>209</v>
      </c>
      <c r="E469" s="342">
        <v>400</v>
      </c>
      <c r="F469" s="342"/>
      <c r="G469" s="344">
        <f t="shared" si="4"/>
        <v>7471.7299999999886</v>
      </c>
      <c r="H469" s="345"/>
      <c r="I469" s="346"/>
      <c r="J469" s="347"/>
      <c r="K469" s="312"/>
      <c r="L469" s="347"/>
      <c r="M469" s="312"/>
      <c r="N469" s="347"/>
      <c r="O469" s="312"/>
      <c r="P469" s="347"/>
      <c r="Q469" s="312"/>
      <c r="R469" s="347"/>
      <c r="S469" s="312"/>
      <c r="T469" s="347"/>
    </row>
    <row r="470" spans="1:20" ht="12" customHeight="1" x14ac:dyDescent="0.3">
      <c r="A470" s="340" t="s">
        <v>286</v>
      </c>
      <c r="B470" s="341">
        <v>31</v>
      </c>
      <c r="C470" s="309">
        <v>46081</v>
      </c>
      <c r="D470" s="309" t="s">
        <v>210</v>
      </c>
      <c r="E470" s="342">
        <v>375</v>
      </c>
      <c r="F470" s="342"/>
      <c r="G470" s="344">
        <f t="shared" si="4"/>
        <v>7871.7299999999886</v>
      </c>
      <c r="H470" s="345"/>
      <c r="I470" s="346"/>
      <c r="J470" s="347"/>
      <c r="K470" s="312"/>
      <c r="L470" s="347"/>
      <c r="M470" s="312"/>
      <c r="N470" s="347"/>
      <c r="O470" s="312"/>
      <c r="P470" s="347"/>
      <c r="Q470" s="312"/>
      <c r="R470" s="347"/>
      <c r="S470" s="312"/>
      <c r="T470" s="347"/>
    </row>
    <row r="471" spans="1:20" ht="12" customHeight="1" x14ac:dyDescent="0.3">
      <c r="A471" s="340" t="s">
        <v>286</v>
      </c>
      <c r="B471" s="341">
        <v>32</v>
      </c>
      <c r="C471" s="309">
        <v>46081</v>
      </c>
      <c r="D471" s="309" t="s">
        <v>211</v>
      </c>
      <c r="E471" s="342">
        <v>100</v>
      </c>
      <c r="F471" s="342"/>
      <c r="G471" s="344">
        <f t="shared" si="4"/>
        <v>8246.7299999999886</v>
      </c>
      <c r="H471" s="345"/>
      <c r="I471" s="346"/>
      <c r="J471" s="347"/>
      <c r="K471" s="312"/>
      <c r="L471" s="347"/>
      <c r="M471" s="312"/>
      <c r="N471" s="347"/>
      <c r="O471" s="312"/>
      <c r="P471" s="347"/>
      <c r="Q471" s="312"/>
      <c r="R471" s="347"/>
      <c r="S471" s="312"/>
      <c r="T471" s="347"/>
    </row>
    <row r="472" spans="1:20" ht="12" customHeight="1" x14ac:dyDescent="0.3">
      <c r="A472" s="340" t="s">
        <v>286</v>
      </c>
      <c r="B472" s="341">
        <v>33</v>
      </c>
      <c r="C472" s="309">
        <v>46081</v>
      </c>
      <c r="D472" s="309" t="s">
        <v>212</v>
      </c>
      <c r="E472" s="342">
        <v>85</v>
      </c>
      <c r="F472" s="342"/>
      <c r="G472" s="344">
        <f t="shared" si="4"/>
        <v>8346.7299999999886</v>
      </c>
      <c r="H472" s="345"/>
      <c r="I472" s="346"/>
      <c r="J472" s="347"/>
      <c r="K472" s="312"/>
      <c r="L472" s="347"/>
      <c r="M472" s="312"/>
      <c r="N472" s="347"/>
      <c r="O472" s="312"/>
      <c r="P472" s="347"/>
      <c r="Q472" s="312"/>
      <c r="R472" s="347"/>
      <c r="S472" s="312"/>
      <c r="T472" s="347"/>
    </row>
    <row r="473" spans="1:20" ht="12" customHeight="1" x14ac:dyDescent="0.3">
      <c r="A473" s="340" t="s">
        <v>286</v>
      </c>
      <c r="B473" s="341">
        <v>34</v>
      </c>
      <c r="C473" s="309">
        <v>46081</v>
      </c>
      <c r="D473" s="309" t="s">
        <v>213</v>
      </c>
      <c r="E473" s="342">
        <v>230</v>
      </c>
      <c r="F473" s="342"/>
      <c r="G473" s="344">
        <f t="shared" si="4"/>
        <v>8431.7299999999886</v>
      </c>
      <c r="H473" s="345"/>
      <c r="I473" s="346"/>
      <c r="J473" s="347"/>
      <c r="K473" s="312"/>
      <c r="L473" s="347"/>
      <c r="M473" s="312"/>
      <c r="N473" s="347"/>
      <c r="O473" s="312"/>
      <c r="P473" s="347"/>
      <c r="Q473" s="312"/>
      <c r="R473" s="347"/>
      <c r="S473" s="312"/>
      <c r="T473" s="347"/>
    </row>
    <row r="474" spans="1:20" ht="12" customHeight="1" x14ac:dyDescent="0.3">
      <c r="A474" s="340" t="s">
        <v>286</v>
      </c>
      <c r="B474" s="341">
        <v>35</v>
      </c>
      <c r="C474" s="309">
        <v>46081</v>
      </c>
      <c r="D474" s="309" t="s">
        <v>214</v>
      </c>
      <c r="E474" s="342">
        <v>45</v>
      </c>
      <c r="F474" s="342"/>
      <c r="G474" s="344">
        <f t="shared" si="4"/>
        <v>8661.7299999999886</v>
      </c>
      <c r="H474" s="345"/>
      <c r="I474" s="346"/>
      <c r="J474" s="347"/>
      <c r="K474" s="312"/>
      <c r="L474" s="347"/>
      <c r="M474" s="312"/>
      <c r="N474" s="347"/>
      <c r="O474" s="312"/>
      <c r="P474" s="347"/>
      <c r="Q474" s="312"/>
      <c r="R474" s="347"/>
      <c r="S474" s="312"/>
      <c r="T474" s="347"/>
    </row>
    <row r="475" spans="1:20" ht="12" customHeight="1" x14ac:dyDescent="0.3">
      <c r="A475" s="340" t="s">
        <v>294</v>
      </c>
      <c r="B475" s="341">
        <v>42</v>
      </c>
      <c r="C475" s="309">
        <v>46081</v>
      </c>
      <c r="D475" s="309" t="s">
        <v>200</v>
      </c>
      <c r="E475" s="342">
        <v>51.19</v>
      </c>
      <c r="F475" s="342"/>
      <c r="G475" s="344">
        <f t="shared" si="4"/>
        <v>8706.7299999999886</v>
      </c>
      <c r="H475" s="345"/>
      <c r="I475" s="346"/>
      <c r="J475" s="347"/>
      <c r="K475" s="312"/>
      <c r="L475" s="347"/>
      <c r="M475" s="312"/>
      <c r="N475" s="347"/>
      <c r="O475" s="312"/>
      <c r="P475" s="347"/>
      <c r="Q475" s="312"/>
      <c r="R475" s="347"/>
      <c r="S475" s="312"/>
      <c r="T475" s="347"/>
    </row>
    <row r="476" spans="1:20" ht="12" customHeight="1" x14ac:dyDescent="0.3">
      <c r="A476" s="340" t="s">
        <v>294</v>
      </c>
      <c r="B476" s="341">
        <v>43</v>
      </c>
      <c r="C476" s="309">
        <v>46081</v>
      </c>
      <c r="D476" s="309" t="s">
        <v>201</v>
      </c>
      <c r="E476" s="342">
        <v>37.17</v>
      </c>
      <c r="F476" s="342"/>
      <c r="G476" s="344">
        <f t="shared" si="4"/>
        <v>8757.9199999999892</v>
      </c>
      <c r="H476" s="345"/>
      <c r="I476" s="346"/>
      <c r="J476" s="347"/>
      <c r="K476" s="312"/>
      <c r="L476" s="347"/>
      <c r="M476" s="312"/>
      <c r="N476" s="347"/>
      <c r="O476" s="312"/>
      <c r="P476" s="347"/>
      <c r="Q476" s="312"/>
      <c r="R476" s="347"/>
      <c r="S476" s="312"/>
      <c r="T476" s="347"/>
    </row>
    <row r="477" spans="1:20" ht="12" customHeight="1" x14ac:dyDescent="0.3">
      <c r="A477" s="340" t="s">
        <v>294</v>
      </c>
      <c r="B477" s="341">
        <v>10</v>
      </c>
      <c r="C477" s="309">
        <v>46081</v>
      </c>
      <c r="D477" s="309" t="s">
        <v>176</v>
      </c>
      <c r="E477" s="342">
        <v>17.899999999999999</v>
      </c>
      <c r="F477" s="342"/>
      <c r="G477" s="344">
        <f t="shared" si="4"/>
        <v>8795.0899999999892</v>
      </c>
      <c r="H477" s="345"/>
      <c r="I477" s="346"/>
      <c r="J477" s="347"/>
      <c r="K477" s="312"/>
      <c r="L477" s="347"/>
      <c r="M477" s="312"/>
      <c r="N477" s="347"/>
      <c r="O477" s="312"/>
      <c r="P477" s="347"/>
      <c r="Q477" s="312"/>
      <c r="R477" s="347"/>
      <c r="S477" s="312"/>
      <c r="T477" s="347"/>
    </row>
    <row r="478" spans="1:20" ht="12" customHeight="1" x14ac:dyDescent="0.3">
      <c r="A478" s="340" t="s">
        <v>289</v>
      </c>
      <c r="B478" s="341">
        <v>2</v>
      </c>
      <c r="C478" s="309">
        <v>46080</v>
      </c>
      <c r="D478" s="309" t="s">
        <v>362</v>
      </c>
      <c r="E478" s="342">
        <v>11.17</v>
      </c>
      <c r="F478" s="342"/>
      <c r="G478" s="344">
        <f t="shared" si="4"/>
        <v>8812.9899999999889</v>
      </c>
      <c r="H478" s="345"/>
      <c r="I478" s="346"/>
      <c r="J478" s="347"/>
      <c r="K478" s="312"/>
      <c r="L478" s="347"/>
      <c r="M478" s="312"/>
      <c r="N478" s="347"/>
      <c r="O478" s="312"/>
      <c r="P478" s="347"/>
      <c r="Q478" s="312"/>
      <c r="R478" s="347"/>
      <c r="S478" s="312"/>
      <c r="T478" s="347"/>
    </row>
    <row r="479" spans="1:20" ht="12" customHeight="1" x14ac:dyDescent="0.3">
      <c r="A479" s="340" t="s">
        <v>289</v>
      </c>
      <c r="B479" s="341">
        <v>2</v>
      </c>
      <c r="C479" s="309">
        <v>46080</v>
      </c>
      <c r="D479" s="310" t="s">
        <v>433</v>
      </c>
      <c r="E479" s="342">
        <v>25</v>
      </c>
      <c r="F479" s="342"/>
      <c r="G479" s="344">
        <f t="shared" si="4"/>
        <v>8824.1599999999889</v>
      </c>
      <c r="H479" s="345"/>
      <c r="I479" s="346"/>
      <c r="J479" s="347"/>
      <c r="K479" s="312"/>
      <c r="L479" s="347"/>
      <c r="M479" s="312"/>
      <c r="N479" s="347"/>
      <c r="O479" s="312"/>
      <c r="P479" s="347"/>
      <c r="Q479" s="312"/>
      <c r="R479" s="347"/>
      <c r="S479" s="312"/>
      <c r="T479" s="347"/>
    </row>
    <row r="480" spans="1:20" ht="12" customHeight="1" x14ac:dyDescent="0.3">
      <c r="A480" s="340" t="s">
        <v>289</v>
      </c>
      <c r="B480" s="341">
        <v>2</v>
      </c>
      <c r="C480" s="309">
        <v>46080</v>
      </c>
      <c r="D480" s="310" t="s">
        <v>362</v>
      </c>
      <c r="E480" s="342">
        <v>22.84</v>
      </c>
      <c r="F480" s="342"/>
      <c r="G480" s="344">
        <f t="shared" si="4"/>
        <v>8849.1599999999889</v>
      </c>
      <c r="H480" s="345"/>
      <c r="I480" s="346"/>
      <c r="J480" s="347"/>
      <c r="K480" s="312"/>
      <c r="L480" s="347"/>
      <c r="M480" s="312"/>
      <c r="N480" s="347"/>
      <c r="O480" s="312"/>
      <c r="P480" s="347"/>
      <c r="Q480" s="312"/>
      <c r="R480" s="347"/>
      <c r="S480" s="312"/>
      <c r="T480" s="347"/>
    </row>
    <row r="481" spans="1:20" ht="12" customHeight="1" x14ac:dyDescent="0.3">
      <c r="A481" s="340" t="s">
        <v>289</v>
      </c>
      <c r="B481" s="341">
        <v>6</v>
      </c>
      <c r="C481" s="309">
        <v>46080</v>
      </c>
      <c r="D481" s="310" t="s">
        <v>434</v>
      </c>
      <c r="E481" s="342">
        <v>-88</v>
      </c>
      <c r="F481" s="342"/>
      <c r="G481" s="344">
        <f t="shared" si="4"/>
        <v>8871.9999999999891</v>
      </c>
      <c r="H481" s="345"/>
      <c r="I481" s="346"/>
      <c r="J481" s="347"/>
      <c r="K481" s="312"/>
      <c r="L481" s="347"/>
      <c r="M481" s="312"/>
      <c r="N481" s="347"/>
      <c r="O481" s="312"/>
      <c r="P481" s="347"/>
      <c r="Q481" s="312"/>
      <c r="R481" s="347"/>
      <c r="S481" s="312"/>
      <c r="T481" s="347"/>
    </row>
    <row r="482" spans="1:20" ht="12" customHeight="1" x14ac:dyDescent="0.3">
      <c r="A482" s="340" t="s">
        <v>291</v>
      </c>
      <c r="B482" s="341">
        <v>38</v>
      </c>
      <c r="C482" s="309">
        <v>46080</v>
      </c>
      <c r="D482" s="310" t="s">
        <v>293</v>
      </c>
      <c r="E482" s="342"/>
      <c r="F482" s="342">
        <v>4278.1499999999996</v>
      </c>
      <c r="G482" s="344">
        <f t="shared" si="4"/>
        <v>8783.9999999999891</v>
      </c>
      <c r="H482" s="345"/>
      <c r="I482" s="346"/>
      <c r="J482" s="347"/>
      <c r="K482" s="312"/>
      <c r="L482" s="347"/>
      <c r="M482" s="312"/>
      <c r="N482" s="347"/>
      <c r="O482" s="312"/>
      <c r="P482" s="347"/>
      <c r="Q482" s="312"/>
      <c r="R482" s="347"/>
      <c r="S482" s="312"/>
      <c r="T482" s="347"/>
    </row>
    <row r="483" spans="1:20" ht="12" customHeight="1" x14ac:dyDescent="0.3">
      <c r="A483" s="340" t="s">
        <v>289</v>
      </c>
      <c r="B483" s="341">
        <v>6</v>
      </c>
      <c r="C483" s="309">
        <v>46080</v>
      </c>
      <c r="D483" s="310" t="s">
        <v>435</v>
      </c>
      <c r="E483" s="342">
        <v>25.93</v>
      </c>
      <c r="F483" s="342"/>
      <c r="G483" s="344">
        <f t="shared" si="4"/>
        <v>4505.8499999999904</v>
      </c>
      <c r="H483" s="345"/>
      <c r="I483" s="346"/>
      <c r="J483" s="347"/>
      <c r="K483" s="312"/>
      <c r="L483" s="347"/>
      <c r="M483" s="312"/>
      <c r="N483" s="347"/>
      <c r="O483" s="312"/>
      <c r="P483" s="347"/>
      <c r="Q483" s="312"/>
      <c r="R483" s="347"/>
      <c r="S483" s="312"/>
      <c r="T483" s="347"/>
    </row>
    <row r="484" spans="1:20" ht="12" customHeight="1" x14ac:dyDescent="0.3">
      <c r="A484" s="340" t="s">
        <v>289</v>
      </c>
      <c r="B484" s="341">
        <v>4</v>
      </c>
      <c r="C484" s="309">
        <v>46079</v>
      </c>
      <c r="D484" s="310" t="s">
        <v>311</v>
      </c>
      <c r="E484" s="342">
        <v>29.84</v>
      </c>
      <c r="F484" s="342"/>
      <c r="G484" s="344">
        <f t="shared" si="4"/>
        <v>4531.7799999999907</v>
      </c>
      <c r="H484" s="345"/>
      <c r="I484" s="346"/>
      <c r="J484" s="347"/>
      <c r="K484" s="312"/>
      <c r="L484" s="347"/>
      <c r="M484" s="312"/>
      <c r="N484" s="347"/>
      <c r="O484" s="312"/>
      <c r="P484" s="347"/>
      <c r="Q484" s="312"/>
      <c r="R484" s="347"/>
      <c r="S484" s="312"/>
      <c r="T484" s="347"/>
    </row>
    <row r="485" spans="1:20" ht="12" customHeight="1" x14ac:dyDescent="0.3">
      <c r="A485" s="340" t="s">
        <v>289</v>
      </c>
      <c r="B485" s="341">
        <v>5</v>
      </c>
      <c r="C485" s="309">
        <v>46079</v>
      </c>
      <c r="D485" s="310" t="s">
        <v>436</v>
      </c>
      <c r="E485" s="342">
        <v>103.25</v>
      </c>
      <c r="F485" s="342"/>
      <c r="G485" s="344">
        <f t="shared" si="4"/>
        <v>4561.6199999999908</v>
      </c>
      <c r="H485" s="345"/>
      <c r="I485" s="346"/>
      <c r="J485" s="347"/>
      <c r="K485" s="312"/>
      <c r="L485" s="347"/>
      <c r="M485" s="312"/>
      <c r="N485" s="347"/>
      <c r="O485" s="312"/>
      <c r="P485" s="347"/>
      <c r="Q485" s="312"/>
      <c r="R485" s="347"/>
      <c r="S485" s="312"/>
      <c r="T485" s="347"/>
    </row>
    <row r="486" spans="1:20" ht="12" customHeight="1" x14ac:dyDescent="0.3">
      <c r="A486" s="340" t="s">
        <v>289</v>
      </c>
      <c r="B486" s="341">
        <v>8</v>
      </c>
      <c r="C486" s="309">
        <v>46079</v>
      </c>
      <c r="D486" s="310" t="s">
        <v>361</v>
      </c>
      <c r="E486" s="342">
        <v>26.02</v>
      </c>
      <c r="F486" s="342"/>
      <c r="G486" s="344">
        <f t="shared" si="4"/>
        <v>4664.8699999999908</v>
      </c>
      <c r="H486" s="345"/>
      <c r="I486" s="346"/>
      <c r="J486" s="347"/>
      <c r="K486" s="312"/>
      <c r="L486" s="347"/>
      <c r="M486" s="312"/>
      <c r="N486" s="347"/>
      <c r="O486" s="312"/>
      <c r="P486" s="347"/>
      <c r="Q486" s="312"/>
      <c r="R486" s="347"/>
      <c r="S486" s="312"/>
      <c r="T486" s="347"/>
    </row>
    <row r="487" spans="1:20" ht="12" customHeight="1" x14ac:dyDescent="0.3">
      <c r="A487" s="340" t="s">
        <v>294</v>
      </c>
      <c r="B487" s="341">
        <v>24</v>
      </c>
      <c r="C487" s="309">
        <v>46079</v>
      </c>
      <c r="D487" s="310" t="s">
        <v>437</v>
      </c>
      <c r="E487" s="342">
        <v>84.83</v>
      </c>
      <c r="F487" s="342"/>
      <c r="G487" s="344">
        <f t="shared" si="4"/>
        <v>4690.8899999999912</v>
      </c>
      <c r="H487" s="345"/>
      <c r="I487" s="346"/>
      <c r="J487" s="347"/>
      <c r="K487" s="312"/>
      <c r="L487" s="347"/>
      <c r="M487" s="312"/>
      <c r="N487" s="347"/>
      <c r="O487" s="312"/>
      <c r="P487" s="347"/>
      <c r="Q487" s="312"/>
      <c r="R487" s="347"/>
      <c r="S487" s="312"/>
      <c r="T487" s="347"/>
    </row>
    <row r="488" spans="1:20" ht="12" customHeight="1" x14ac:dyDescent="0.3">
      <c r="A488" s="340" t="s">
        <v>289</v>
      </c>
      <c r="B488" s="341">
        <v>2</v>
      </c>
      <c r="C488" s="309">
        <v>46079</v>
      </c>
      <c r="D488" s="310" t="s">
        <v>296</v>
      </c>
      <c r="E488" s="342">
        <v>17.87</v>
      </c>
      <c r="F488" s="342"/>
      <c r="G488" s="344">
        <f t="shared" si="4"/>
        <v>4775.7199999999912</v>
      </c>
      <c r="H488" s="345"/>
      <c r="I488" s="346"/>
      <c r="J488" s="347"/>
      <c r="K488" s="312"/>
      <c r="L488" s="347"/>
      <c r="M488" s="312"/>
      <c r="N488" s="347"/>
      <c r="O488" s="312"/>
      <c r="P488" s="347"/>
      <c r="Q488" s="312"/>
      <c r="R488" s="347"/>
      <c r="S488" s="312"/>
      <c r="T488" s="347"/>
    </row>
    <row r="489" spans="1:20" ht="12" customHeight="1" x14ac:dyDescent="0.3">
      <c r="A489" s="340" t="s">
        <v>289</v>
      </c>
      <c r="B489" s="341">
        <v>5</v>
      </c>
      <c r="C489" s="309">
        <v>46079</v>
      </c>
      <c r="D489" s="310" t="s">
        <v>438</v>
      </c>
      <c r="E489" s="342">
        <v>123.64</v>
      </c>
      <c r="F489" s="342"/>
      <c r="G489" s="344">
        <f t="shared" si="4"/>
        <v>4793.5899999999911</v>
      </c>
      <c r="H489" s="345"/>
      <c r="I489" s="346"/>
      <c r="J489" s="347"/>
      <c r="K489" s="312"/>
      <c r="L489" s="347"/>
      <c r="M489" s="312"/>
      <c r="N489" s="347"/>
      <c r="O489" s="312"/>
      <c r="P489" s="347"/>
      <c r="Q489" s="312"/>
      <c r="R489" s="347"/>
      <c r="S489" s="312"/>
      <c r="T489" s="347"/>
    </row>
    <row r="490" spans="1:20" ht="12" customHeight="1" x14ac:dyDescent="0.3">
      <c r="A490" s="340" t="s">
        <v>289</v>
      </c>
      <c r="B490" s="341">
        <v>8</v>
      </c>
      <c r="C490" s="309">
        <v>46078</v>
      </c>
      <c r="D490" s="310" t="s">
        <v>321</v>
      </c>
      <c r="E490" s="342">
        <v>18.5</v>
      </c>
      <c r="F490" s="342"/>
      <c r="G490" s="344">
        <f t="shared" si="4"/>
        <v>4917.2299999999914</v>
      </c>
      <c r="H490" s="345"/>
      <c r="I490" s="346"/>
      <c r="J490" s="347"/>
      <c r="K490" s="312"/>
      <c r="L490" s="347"/>
      <c r="M490" s="312"/>
      <c r="N490" s="347"/>
      <c r="O490" s="312"/>
      <c r="P490" s="347"/>
      <c r="Q490" s="312"/>
      <c r="R490" s="347"/>
      <c r="S490" s="312"/>
      <c r="T490" s="347"/>
    </row>
    <row r="491" spans="1:20" ht="12" customHeight="1" x14ac:dyDescent="0.3">
      <c r="A491" s="340" t="s">
        <v>289</v>
      </c>
      <c r="B491" s="341">
        <v>4</v>
      </c>
      <c r="C491" s="309">
        <v>46078</v>
      </c>
      <c r="D491" s="310" t="s">
        <v>296</v>
      </c>
      <c r="E491" s="342">
        <v>50.96</v>
      </c>
      <c r="F491" s="342"/>
      <c r="G491" s="344">
        <f t="shared" si="4"/>
        <v>4935.7299999999914</v>
      </c>
      <c r="H491" s="345"/>
      <c r="I491" s="346"/>
      <c r="J491" s="347"/>
      <c r="K491" s="312"/>
      <c r="L491" s="347"/>
      <c r="M491" s="312"/>
      <c r="N491" s="347"/>
      <c r="O491" s="312"/>
      <c r="P491" s="347"/>
      <c r="Q491" s="312"/>
      <c r="R491" s="347"/>
      <c r="S491" s="312"/>
      <c r="T491" s="347"/>
    </row>
    <row r="492" spans="1:20" ht="12" customHeight="1" x14ac:dyDescent="0.3">
      <c r="A492" s="340" t="s">
        <v>289</v>
      </c>
      <c r="B492" s="341">
        <v>8</v>
      </c>
      <c r="C492" s="309">
        <v>46078</v>
      </c>
      <c r="D492" s="310" t="s">
        <v>296</v>
      </c>
      <c r="E492" s="342">
        <v>11.28</v>
      </c>
      <c r="F492" s="342"/>
      <c r="G492" s="344">
        <f t="shared" si="4"/>
        <v>4986.6899999999914</v>
      </c>
      <c r="H492" s="345"/>
      <c r="I492" s="346"/>
      <c r="J492" s="347"/>
      <c r="K492" s="312"/>
      <c r="L492" s="347"/>
      <c r="M492" s="312"/>
      <c r="N492" s="347"/>
      <c r="O492" s="312"/>
      <c r="P492" s="347"/>
      <c r="Q492" s="312"/>
      <c r="R492" s="347"/>
      <c r="S492" s="312"/>
      <c r="T492" s="347"/>
    </row>
    <row r="493" spans="1:20" ht="12" customHeight="1" x14ac:dyDescent="0.3">
      <c r="A493" s="340" t="s">
        <v>294</v>
      </c>
      <c r="B493" s="341">
        <v>12</v>
      </c>
      <c r="C493" s="309">
        <v>46078</v>
      </c>
      <c r="D493" s="310" t="s">
        <v>315</v>
      </c>
      <c r="E493" s="342">
        <v>204.47</v>
      </c>
      <c r="F493" s="342"/>
      <c r="G493" s="344">
        <f t="shared" si="4"/>
        <v>4997.9699999999912</v>
      </c>
      <c r="H493" s="345"/>
      <c r="I493" s="346"/>
      <c r="J493" s="347"/>
      <c r="K493" s="312"/>
      <c r="L493" s="347"/>
      <c r="M493" s="312"/>
      <c r="N493" s="347"/>
      <c r="O493" s="312"/>
      <c r="P493" s="347"/>
      <c r="Q493" s="312"/>
      <c r="R493" s="347"/>
      <c r="S493" s="312"/>
      <c r="T493" s="347"/>
    </row>
    <row r="494" spans="1:20" ht="12" customHeight="1" x14ac:dyDescent="0.3">
      <c r="A494" s="340" t="s">
        <v>289</v>
      </c>
      <c r="B494" s="341">
        <v>8</v>
      </c>
      <c r="C494" s="309">
        <v>46078</v>
      </c>
      <c r="D494" s="310" t="s">
        <v>309</v>
      </c>
      <c r="E494" s="342">
        <v>47.99</v>
      </c>
      <c r="F494" s="342"/>
      <c r="G494" s="344">
        <f t="shared" si="4"/>
        <v>5202.4399999999914</v>
      </c>
      <c r="H494" s="345"/>
      <c r="I494" s="346"/>
      <c r="J494" s="347"/>
      <c r="K494" s="312"/>
      <c r="L494" s="347"/>
      <c r="M494" s="312"/>
      <c r="N494" s="347"/>
      <c r="O494" s="312"/>
      <c r="P494" s="347"/>
      <c r="Q494" s="312"/>
      <c r="R494" s="347"/>
      <c r="S494" s="312"/>
      <c r="T494" s="347"/>
    </row>
    <row r="495" spans="1:20" ht="12" customHeight="1" x14ac:dyDescent="0.3">
      <c r="A495" s="340" t="s">
        <v>289</v>
      </c>
      <c r="B495" s="341">
        <v>1</v>
      </c>
      <c r="C495" s="309">
        <v>46078</v>
      </c>
      <c r="D495" s="310" t="s">
        <v>304</v>
      </c>
      <c r="E495" s="342">
        <v>19.09</v>
      </c>
      <c r="F495" s="342"/>
      <c r="G495" s="344">
        <f t="shared" si="4"/>
        <v>5250.4299999999912</v>
      </c>
      <c r="H495" s="345"/>
      <c r="I495" s="346"/>
      <c r="J495" s="347"/>
      <c r="K495" s="312"/>
      <c r="L495" s="347"/>
      <c r="M495" s="312"/>
      <c r="N495" s="347"/>
      <c r="O495" s="312"/>
      <c r="P495" s="347"/>
      <c r="Q495" s="312"/>
      <c r="R495" s="347"/>
      <c r="S495" s="312"/>
      <c r="T495" s="347"/>
    </row>
    <row r="496" spans="1:20" ht="12" customHeight="1" x14ac:dyDescent="0.3">
      <c r="A496" s="340" t="s">
        <v>294</v>
      </c>
      <c r="B496" s="341">
        <v>23</v>
      </c>
      <c r="C496" s="309">
        <v>46076</v>
      </c>
      <c r="D496" s="310" t="s">
        <v>67</v>
      </c>
      <c r="E496" s="342">
        <v>650.88</v>
      </c>
      <c r="F496" s="342"/>
      <c r="G496" s="344">
        <f t="shared" si="4"/>
        <v>5269.5199999999913</v>
      </c>
      <c r="H496" s="345"/>
      <c r="I496" s="346"/>
      <c r="J496" s="347"/>
      <c r="K496" s="312"/>
      <c r="L496" s="347"/>
      <c r="M496" s="312"/>
      <c r="N496" s="347"/>
      <c r="O496" s="312"/>
      <c r="P496" s="347"/>
      <c r="Q496" s="312"/>
      <c r="R496" s="347"/>
      <c r="S496" s="312"/>
      <c r="T496" s="347"/>
    </row>
    <row r="497" spans="1:20" ht="12" customHeight="1" x14ac:dyDescent="0.3">
      <c r="A497" s="340" t="s">
        <v>289</v>
      </c>
      <c r="B497" s="341">
        <v>6</v>
      </c>
      <c r="C497" s="309">
        <v>46076</v>
      </c>
      <c r="D497" s="310" t="s">
        <v>355</v>
      </c>
      <c r="E497" s="342">
        <v>35</v>
      </c>
      <c r="F497" s="342"/>
      <c r="G497" s="344">
        <f t="shared" si="4"/>
        <v>5920.3999999999915</v>
      </c>
      <c r="H497" s="345"/>
      <c r="I497" s="346"/>
      <c r="J497" s="347"/>
      <c r="K497" s="312"/>
      <c r="L497" s="347"/>
      <c r="M497" s="312"/>
      <c r="N497" s="347"/>
      <c r="O497" s="312"/>
      <c r="P497" s="347"/>
      <c r="Q497" s="312"/>
      <c r="R497" s="347"/>
      <c r="S497" s="312"/>
      <c r="T497" s="347"/>
    </row>
    <row r="498" spans="1:20" ht="12" customHeight="1" x14ac:dyDescent="0.3">
      <c r="A498" s="340" t="s">
        <v>289</v>
      </c>
      <c r="B498" s="341">
        <v>1</v>
      </c>
      <c r="C498" s="309">
        <v>46076</v>
      </c>
      <c r="D498" s="310" t="s">
        <v>307</v>
      </c>
      <c r="E498" s="342">
        <v>128.97999999999999</v>
      </c>
      <c r="F498" s="342"/>
      <c r="G498" s="344">
        <f t="shared" si="4"/>
        <v>5955.3999999999915</v>
      </c>
      <c r="H498" s="345"/>
      <c r="I498" s="346"/>
      <c r="J498" s="347"/>
      <c r="K498" s="312"/>
      <c r="L498" s="347"/>
      <c r="M498" s="312"/>
      <c r="N498" s="347"/>
      <c r="O498" s="312"/>
      <c r="P498" s="347"/>
      <c r="Q498" s="312"/>
      <c r="R498" s="347"/>
      <c r="S498" s="312"/>
      <c r="T498" s="347"/>
    </row>
    <row r="499" spans="1:20" ht="12" customHeight="1" x14ac:dyDescent="0.3">
      <c r="A499" s="340" t="s">
        <v>289</v>
      </c>
      <c r="B499" s="341">
        <v>1</v>
      </c>
      <c r="C499" s="309">
        <v>46076</v>
      </c>
      <c r="D499" s="310" t="s">
        <v>322</v>
      </c>
      <c r="E499" s="342">
        <v>52.55</v>
      </c>
      <c r="F499" s="342"/>
      <c r="G499" s="344">
        <f t="shared" si="4"/>
        <v>6084.379999999991</v>
      </c>
      <c r="H499" s="345"/>
      <c r="I499" s="346"/>
      <c r="J499" s="347"/>
      <c r="K499" s="312"/>
      <c r="L499" s="347"/>
      <c r="M499" s="312"/>
      <c r="N499" s="347"/>
      <c r="O499" s="312"/>
      <c r="P499" s="347"/>
      <c r="Q499" s="312"/>
      <c r="R499" s="347"/>
      <c r="S499" s="312"/>
      <c r="T499" s="347"/>
    </row>
    <row r="500" spans="1:20" ht="12" customHeight="1" x14ac:dyDescent="0.3">
      <c r="A500" s="340" t="s">
        <v>289</v>
      </c>
      <c r="B500" s="341">
        <v>3</v>
      </c>
      <c r="C500" s="309">
        <v>46075</v>
      </c>
      <c r="D500" s="310" t="s">
        <v>352</v>
      </c>
      <c r="E500" s="342">
        <v>13.76</v>
      </c>
      <c r="F500" s="342"/>
      <c r="G500" s="344">
        <f t="shared" si="4"/>
        <v>6136.9299999999912</v>
      </c>
      <c r="H500" s="345"/>
      <c r="I500" s="346"/>
      <c r="J500" s="347"/>
      <c r="K500" s="312"/>
      <c r="L500" s="347"/>
      <c r="M500" s="312"/>
      <c r="N500" s="347"/>
      <c r="O500" s="312"/>
      <c r="P500" s="347"/>
      <c r="Q500" s="312"/>
      <c r="R500" s="347"/>
      <c r="S500" s="312"/>
      <c r="T500" s="347"/>
    </row>
    <row r="501" spans="1:20" ht="12" customHeight="1" x14ac:dyDescent="0.3">
      <c r="A501" s="340" t="s">
        <v>289</v>
      </c>
      <c r="B501" s="341">
        <v>1</v>
      </c>
      <c r="C501" s="309">
        <v>46075</v>
      </c>
      <c r="D501" s="310" t="s">
        <v>312</v>
      </c>
      <c r="E501" s="342">
        <v>187.64</v>
      </c>
      <c r="F501" s="342"/>
      <c r="G501" s="344">
        <f t="shared" si="4"/>
        <v>6150.6899999999914</v>
      </c>
      <c r="H501" s="345"/>
      <c r="I501" s="346"/>
      <c r="J501" s="347"/>
      <c r="K501" s="312"/>
      <c r="L501" s="347"/>
      <c r="M501" s="312"/>
      <c r="N501" s="347"/>
      <c r="O501" s="312"/>
      <c r="P501" s="347"/>
      <c r="Q501" s="312"/>
      <c r="R501" s="347"/>
      <c r="S501" s="312"/>
      <c r="T501" s="347"/>
    </row>
    <row r="502" spans="1:20" ht="12" customHeight="1" x14ac:dyDescent="0.3">
      <c r="A502" s="340" t="s">
        <v>289</v>
      </c>
      <c r="B502" s="341">
        <v>1</v>
      </c>
      <c r="C502" s="309">
        <v>46074</v>
      </c>
      <c r="D502" s="310" t="s">
        <v>397</v>
      </c>
      <c r="E502" s="342">
        <v>75.78</v>
      </c>
      <c r="F502" s="342"/>
      <c r="G502" s="344">
        <f t="shared" si="4"/>
        <v>6338.3299999999917</v>
      </c>
      <c r="H502" s="345"/>
      <c r="I502" s="346"/>
      <c r="J502" s="347"/>
      <c r="K502" s="312"/>
      <c r="L502" s="347"/>
      <c r="M502" s="312"/>
      <c r="N502" s="347"/>
      <c r="O502" s="312"/>
      <c r="P502" s="347"/>
      <c r="Q502" s="312"/>
      <c r="R502" s="347"/>
      <c r="S502" s="312"/>
      <c r="T502" s="347"/>
    </row>
    <row r="503" spans="1:20" ht="12" customHeight="1" x14ac:dyDescent="0.3">
      <c r="A503" s="340" t="s">
        <v>289</v>
      </c>
      <c r="B503" s="341">
        <v>2</v>
      </c>
      <c r="C503" s="309">
        <v>46074</v>
      </c>
      <c r="D503" s="310" t="s">
        <v>396</v>
      </c>
      <c r="E503" s="342">
        <v>27.41</v>
      </c>
      <c r="F503" s="342"/>
      <c r="G503" s="344">
        <f t="shared" si="4"/>
        <v>6414.1099999999915</v>
      </c>
      <c r="H503" s="345"/>
      <c r="I503" s="346"/>
      <c r="J503" s="347"/>
      <c r="K503" s="312"/>
      <c r="L503" s="347"/>
      <c r="M503" s="312"/>
      <c r="N503" s="347"/>
      <c r="O503" s="312"/>
      <c r="P503" s="347"/>
      <c r="Q503" s="312"/>
      <c r="R503" s="347"/>
      <c r="S503" s="312"/>
      <c r="T503" s="347"/>
    </row>
    <row r="504" spans="1:20" ht="12" customHeight="1" x14ac:dyDescent="0.3">
      <c r="A504" s="340" t="s">
        <v>289</v>
      </c>
      <c r="B504" s="341">
        <v>4</v>
      </c>
      <c r="C504" s="309">
        <v>46074</v>
      </c>
      <c r="D504" s="310" t="s">
        <v>439</v>
      </c>
      <c r="E504" s="342">
        <v>32.049999999999997</v>
      </c>
      <c r="F504" s="342"/>
      <c r="G504" s="344">
        <f t="shared" si="4"/>
        <v>6441.5199999999913</v>
      </c>
      <c r="H504" s="345"/>
      <c r="I504" s="346"/>
      <c r="J504" s="347"/>
      <c r="K504" s="312"/>
      <c r="L504" s="347"/>
      <c r="M504" s="312"/>
      <c r="N504" s="347"/>
      <c r="O504" s="312"/>
      <c r="P504" s="347"/>
      <c r="Q504" s="312"/>
      <c r="R504" s="347"/>
      <c r="S504" s="312"/>
      <c r="T504" s="347"/>
    </row>
    <row r="505" spans="1:20" ht="12" customHeight="1" x14ac:dyDescent="0.3">
      <c r="A505" s="340" t="s">
        <v>289</v>
      </c>
      <c r="B505" s="341">
        <v>2</v>
      </c>
      <c r="C505" s="309">
        <v>46074</v>
      </c>
      <c r="D505" s="310" t="s">
        <v>362</v>
      </c>
      <c r="E505" s="342">
        <v>9.4700000000000006</v>
      </c>
      <c r="F505" s="342"/>
      <c r="G505" s="344">
        <f t="shared" si="4"/>
        <v>6473.5699999999915</v>
      </c>
      <c r="H505" s="345"/>
      <c r="I505" s="346"/>
      <c r="J505" s="347"/>
      <c r="K505" s="312"/>
      <c r="L505" s="347"/>
      <c r="M505" s="312"/>
      <c r="N505" s="347"/>
      <c r="O505" s="312"/>
      <c r="P505" s="347"/>
      <c r="Q505" s="312"/>
      <c r="R505" s="347"/>
      <c r="S505" s="312"/>
      <c r="T505" s="347"/>
    </row>
    <row r="506" spans="1:20" ht="12" customHeight="1" x14ac:dyDescent="0.3">
      <c r="A506" s="340" t="s">
        <v>289</v>
      </c>
      <c r="B506" s="341">
        <v>2</v>
      </c>
      <c r="C506" s="309">
        <v>46073</v>
      </c>
      <c r="D506" s="310" t="s">
        <v>296</v>
      </c>
      <c r="E506" s="342">
        <v>14.47</v>
      </c>
      <c r="F506" s="342"/>
      <c r="G506" s="344">
        <f t="shared" si="4"/>
        <v>6483.0399999999918</v>
      </c>
      <c r="H506" s="345"/>
      <c r="I506" s="346"/>
      <c r="J506" s="347"/>
      <c r="K506" s="312"/>
      <c r="L506" s="347"/>
      <c r="M506" s="312"/>
      <c r="N506" s="347"/>
      <c r="O506" s="312"/>
      <c r="P506" s="347"/>
      <c r="Q506" s="312"/>
      <c r="R506" s="347"/>
      <c r="S506" s="312"/>
      <c r="T506" s="347"/>
    </row>
    <row r="507" spans="1:20" ht="12" customHeight="1" x14ac:dyDescent="0.3">
      <c r="A507" s="340" t="s">
        <v>289</v>
      </c>
      <c r="B507" s="341">
        <v>3</v>
      </c>
      <c r="C507" s="309">
        <v>46073</v>
      </c>
      <c r="D507" s="310" t="s">
        <v>359</v>
      </c>
      <c r="E507" s="342">
        <v>11.97</v>
      </c>
      <c r="F507" s="342"/>
      <c r="G507" s="344">
        <f t="shared" si="4"/>
        <v>6497.509999999992</v>
      </c>
      <c r="H507" s="345"/>
      <c r="I507" s="346"/>
      <c r="J507" s="347"/>
      <c r="K507" s="312"/>
      <c r="L507" s="347"/>
      <c r="M507" s="312"/>
      <c r="N507" s="347"/>
      <c r="O507" s="312"/>
      <c r="P507" s="347"/>
      <c r="Q507" s="312"/>
      <c r="R507" s="347"/>
      <c r="S507" s="312"/>
      <c r="T507" s="347"/>
    </row>
    <row r="508" spans="1:20" ht="12" customHeight="1" x14ac:dyDescent="0.3">
      <c r="A508" s="340" t="s">
        <v>289</v>
      </c>
      <c r="B508" s="341">
        <v>4</v>
      </c>
      <c r="C508" s="309">
        <v>46073</v>
      </c>
      <c r="D508" s="310" t="s">
        <v>359</v>
      </c>
      <c r="E508" s="342">
        <v>59.88</v>
      </c>
      <c r="F508" s="342"/>
      <c r="G508" s="344">
        <f t="shared" si="4"/>
        <v>6509.4799999999923</v>
      </c>
      <c r="H508" s="345"/>
      <c r="I508" s="346"/>
      <c r="J508" s="347"/>
      <c r="K508" s="312"/>
      <c r="L508" s="347"/>
      <c r="M508" s="312"/>
      <c r="N508" s="347"/>
      <c r="O508" s="312"/>
      <c r="P508" s="347"/>
      <c r="Q508" s="312"/>
      <c r="R508" s="347"/>
      <c r="S508" s="312"/>
      <c r="T508" s="347"/>
    </row>
    <row r="509" spans="1:20" ht="12" customHeight="1" x14ac:dyDescent="0.3">
      <c r="A509" s="340" t="s">
        <v>289</v>
      </c>
      <c r="B509" s="341">
        <v>2</v>
      </c>
      <c r="C509" s="309">
        <v>46073</v>
      </c>
      <c r="D509" s="310" t="s">
        <v>425</v>
      </c>
      <c r="E509" s="342">
        <v>19.57</v>
      </c>
      <c r="F509" s="342"/>
      <c r="G509" s="344">
        <f t="shared" si="4"/>
        <v>6569.3599999999924</v>
      </c>
      <c r="H509" s="345"/>
      <c r="I509" s="346"/>
      <c r="J509" s="347"/>
      <c r="K509" s="312"/>
      <c r="L509" s="347"/>
      <c r="M509" s="312"/>
      <c r="N509" s="347"/>
      <c r="O509" s="312"/>
      <c r="P509" s="347"/>
      <c r="Q509" s="312"/>
      <c r="R509" s="347"/>
      <c r="S509" s="312"/>
      <c r="T509" s="347"/>
    </row>
    <row r="510" spans="1:20" ht="12" customHeight="1" x14ac:dyDescent="0.3">
      <c r="A510" s="340" t="s">
        <v>294</v>
      </c>
      <c r="B510" s="341">
        <v>22</v>
      </c>
      <c r="C510" s="309">
        <v>46073</v>
      </c>
      <c r="D510" s="310" t="s">
        <v>325</v>
      </c>
      <c r="E510" s="342">
        <v>20.22</v>
      </c>
      <c r="F510" s="342"/>
      <c r="G510" s="344">
        <f t="shared" si="4"/>
        <v>6588.9299999999921</v>
      </c>
      <c r="H510" s="345"/>
      <c r="I510" s="346"/>
      <c r="J510" s="347"/>
      <c r="K510" s="312"/>
      <c r="L510" s="347"/>
      <c r="M510" s="312"/>
      <c r="N510" s="347"/>
      <c r="O510" s="312"/>
      <c r="P510" s="347"/>
      <c r="Q510" s="312"/>
      <c r="R510" s="347"/>
      <c r="S510" s="312"/>
      <c r="T510" s="347"/>
    </row>
    <row r="511" spans="1:20" ht="12" customHeight="1" x14ac:dyDescent="0.3">
      <c r="A511" s="340" t="s">
        <v>289</v>
      </c>
      <c r="B511" s="341">
        <v>2</v>
      </c>
      <c r="C511" s="309">
        <v>46073</v>
      </c>
      <c r="D511" s="310" t="s">
        <v>362</v>
      </c>
      <c r="E511" s="342">
        <v>5.3</v>
      </c>
      <c r="F511" s="342"/>
      <c r="G511" s="344">
        <f t="shared" si="4"/>
        <v>6609.1499999999924</v>
      </c>
      <c r="H511" s="345"/>
      <c r="I511" s="346"/>
      <c r="J511" s="347"/>
      <c r="K511" s="312"/>
      <c r="L511" s="347"/>
      <c r="M511" s="312"/>
      <c r="N511" s="347"/>
      <c r="O511" s="312"/>
      <c r="P511" s="347"/>
      <c r="Q511" s="312"/>
      <c r="R511" s="347"/>
      <c r="S511" s="312"/>
      <c r="T511" s="347"/>
    </row>
    <row r="512" spans="1:20" ht="12" customHeight="1" x14ac:dyDescent="0.3">
      <c r="A512" s="340" t="s">
        <v>289</v>
      </c>
      <c r="B512" s="341">
        <v>3</v>
      </c>
      <c r="C512" s="309">
        <v>46073</v>
      </c>
      <c r="D512" s="310" t="s">
        <v>327</v>
      </c>
      <c r="E512" s="342">
        <v>8.1300000000000008</v>
      </c>
      <c r="F512" s="342"/>
      <c r="G512" s="344">
        <f t="shared" si="4"/>
        <v>6614.4499999999925</v>
      </c>
      <c r="H512" s="345"/>
      <c r="I512" s="346"/>
      <c r="J512" s="347"/>
      <c r="K512" s="312"/>
      <c r="L512" s="347"/>
      <c r="M512" s="312"/>
      <c r="N512" s="347"/>
      <c r="O512" s="312"/>
      <c r="P512" s="347"/>
      <c r="Q512" s="312"/>
      <c r="R512" s="347"/>
      <c r="S512" s="312"/>
      <c r="T512" s="347"/>
    </row>
    <row r="513" spans="1:20" ht="12" customHeight="1" x14ac:dyDescent="0.3">
      <c r="A513" s="340" t="s">
        <v>289</v>
      </c>
      <c r="B513" s="341">
        <v>4</v>
      </c>
      <c r="C513" s="309">
        <v>46073</v>
      </c>
      <c r="D513" s="310" t="s">
        <v>311</v>
      </c>
      <c r="E513" s="342">
        <v>32.43</v>
      </c>
      <c r="F513" s="342"/>
      <c r="G513" s="344">
        <f t="shared" si="4"/>
        <v>6622.5799999999927</v>
      </c>
      <c r="H513" s="345"/>
      <c r="I513" s="346"/>
      <c r="J513" s="347"/>
      <c r="K513" s="312"/>
      <c r="L513" s="347"/>
      <c r="M513" s="312"/>
      <c r="N513" s="347"/>
      <c r="O513" s="312"/>
      <c r="P513" s="347"/>
      <c r="Q513" s="312"/>
      <c r="R513" s="347"/>
      <c r="S513" s="312"/>
      <c r="T513" s="347"/>
    </row>
    <row r="514" spans="1:20" ht="12" customHeight="1" x14ac:dyDescent="0.3">
      <c r="A514" s="340" t="s">
        <v>289</v>
      </c>
      <c r="B514" s="341">
        <v>8</v>
      </c>
      <c r="C514" s="309">
        <v>46073</v>
      </c>
      <c r="D514" s="310" t="s">
        <v>440</v>
      </c>
      <c r="E514" s="342">
        <v>98.65</v>
      </c>
      <c r="F514" s="342"/>
      <c r="G514" s="344">
        <f t="shared" si="4"/>
        <v>6655.0099999999929</v>
      </c>
      <c r="H514" s="345"/>
      <c r="I514" s="346"/>
      <c r="J514" s="347"/>
      <c r="K514" s="312"/>
      <c r="L514" s="347"/>
      <c r="M514" s="312"/>
      <c r="N514" s="347"/>
      <c r="O514" s="312"/>
      <c r="P514" s="347"/>
      <c r="Q514" s="312"/>
      <c r="R514" s="347"/>
      <c r="S514" s="312"/>
      <c r="T514" s="347"/>
    </row>
    <row r="515" spans="1:20" ht="12" customHeight="1" x14ac:dyDescent="0.3">
      <c r="A515" s="340" t="s">
        <v>289</v>
      </c>
      <c r="B515" s="341">
        <v>6</v>
      </c>
      <c r="C515" s="309">
        <v>46072</v>
      </c>
      <c r="D515" s="310" t="s">
        <v>300</v>
      </c>
      <c r="E515" s="342">
        <v>30.87</v>
      </c>
      <c r="F515" s="342"/>
      <c r="G515" s="344">
        <f t="shared" si="4"/>
        <v>6753.6599999999926</v>
      </c>
      <c r="H515" s="345"/>
      <c r="I515" s="346"/>
      <c r="J515" s="347"/>
      <c r="K515" s="312"/>
      <c r="L515" s="347"/>
      <c r="M515" s="312"/>
      <c r="N515" s="347"/>
      <c r="O515" s="312"/>
      <c r="P515" s="347"/>
      <c r="Q515" s="312"/>
      <c r="R515" s="347"/>
      <c r="S515" s="312"/>
      <c r="T515" s="347"/>
    </row>
    <row r="516" spans="1:20" ht="12" customHeight="1" x14ac:dyDescent="0.3">
      <c r="A516" s="340" t="s">
        <v>289</v>
      </c>
      <c r="B516" s="341">
        <v>6</v>
      </c>
      <c r="C516" s="309">
        <v>46072</v>
      </c>
      <c r="D516" s="310" t="s">
        <v>300</v>
      </c>
      <c r="E516" s="342">
        <v>15.96</v>
      </c>
      <c r="F516" s="342"/>
      <c r="G516" s="344">
        <f t="shared" si="4"/>
        <v>6784.5299999999925</v>
      </c>
      <c r="H516" s="345"/>
      <c r="I516" s="346"/>
      <c r="J516" s="347"/>
      <c r="K516" s="312"/>
      <c r="L516" s="347"/>
      <c r="M516" s="312"/>
      <c r="N516" s="347"/>
      <c r="O516" s="312"/>
      <c r="P516" s="347"/>
      <c r="Q516" s="312"/>
      <c r="R516" s="347"/>
      <c r="S516" s="312"/>
      <c r="T516" s="347"/>
    </row>
    <row r="517" spans="1:20" ht="12" customHeight="1" x14ac:dyDescent="0.3">
      <c r="A517" s="340" t="s">
        <v>289</v>
      </c>
      <c r="B517" s="341">
        <v>2</v>
      </c>
      <c r="C517" s="309">
        <v>46072</v>
      </c>
      <c r="D517" s="310" t="s">
        <v>296</v>
      </c>
      <c r="E517" s="342">
        <v>17.36</v>
      </c>
      <c r="F517" s="342"/>
      <c r="G517" s="344">
        <f t="shared" si="4"/>
        <v>6800.4899999999925</v>
      </c>
      <c r="H517" s="345"/>
      <c r="I517" s="346"/>
      <c r="J517" s="347"/>
      <c r="K517" s="312"/>
      <c r="L517" s="347"/>
      <c r="M517" s="312"/>
      <c r="N517" s="347"/>
      <c r="O517" s="312"/>
      <c r="P517" s="347"/>
      <c r="Q517" s="312"/>
      <c r="R517" s="347"/>
      <c r="S517" s="312"/>
      <c r="T517" s="347"/>
    </row>
    <row r="518" spans="1:20" ht="12" customHeight="1" x14ac:dyDescent="0.3">
      <c r="A518" s="340" t="s">
        <v>294</v>
      </c>
      <c r="B518" s="341">
        <v>22</v>
      </c>
      <c r="C518" s="309">
        <v>46072</v>
      </c>
      <c r="D518" s="310" t="s">
        <v>406</v>
      </c>
      <c r="E518" s="342">
        <v>7.46</v>
      </c>
      <c r="F518" s="342"/>
      <c r="G518" s="344">
        <f t="shared" si="4"/>
        <v>6817.8499999999922</v>
      </c>
      <c r="H518" s="345"/>
      <c r="I518" s="346"/>
      <c r="J518" s="347"/>
      <c r="K518" s="312"/>
      <c r="L518" s="347"/>
      <c r="M518" s="312"/>
      <c r="N518" s="347"/>
      <c r="O518" s="312"/>
      <c r="P518" s="347"/>
      <c r="Q518" s="312"/>
      <c r="R518" s="347"/>
      <c r="S518" s="312"/>
      <c r="T518" s="347"/>
    </row>
    <row r="519" spans="1:20" ht="12" customHeight="1" x14ac:dyDescent="0.3">
      <c r="A519" s="340" t="s">
        <v>291</v>
      </c>
      <c r="B519" s="341">
        <v>39</v>
      </c>
      <c r="C519" s="309">
        <v>46072</v>
      </c>
      <c r="D519" s="310" t="s">
        <v>292</v>
      </c>
      <c r="E519" s="342"/>
      <c r="F519" s="342">
        <v>2763.77</v>
      </c>
      <c r="G519" s="344">
        <f t="shared" si="4"/>
        <v>6825.3099999999922</v>
      </c>
      <c r="H519" s="345"/>
      <c r="I519" s="346"/>
      <c r="J519" s="347"/>
      <c r="K519" s="312"/>
      <c r="L519" s="347"/>
      <c r="M519" s="312"/>
      <c r="N519" s="347"/>
      <c r="O519" s="312"/>
      <c r="P519" s="347"/>
      <c r="Q519" s="312"/>
      <c r="R519" s="347"/>
      <c r="S519" s="312"/>
      <c r="T519" s="347"/>
    </row>
    <row r="520" spans="1:20" ht="12" customHeight="1" x14ac:dyDescent="0.3">
      <c r="A520" s="340" t="s">
        <v>339</v>
      </c>
      <c r="B520" s="341" t="s">
        <v>339</v>
      </c>
      <c r="C520" s="309">
        <v>46071</v>
      </c>
      <c r="D520" s="310" t="s">
        <v>340</v>
      </c>
      <c r="E520" s="342">
        <v>182.55</v>
      </c>
      <c r="F520" s="342"/>
      <c r="G520" s="344">
        <f t="shared" si="4"/>
        <v>4061.5399999999927</v>
      </c>
      <c r="H520" s="345"/>
      <c r="I520" s="346"/>
      <c r="J520" s="347"/>
      <c r="K520" s="312"/>
      <c r="L520" s="347"/>
      <c r="M520" s="312"/>
      <c r="N520" s="347"/>
      <c r="O520" s="312"/>
      <c r="P520" s="347"/>
      <c r="Q520" s="312"/>
      <c r="R520" s="347"/>
      <c r="S520" s="312"/>
      <c r="T520" s="347"/>
    </row>
    <row r="521" spans="1:20" ht="12" customHeight="1" x14ac:dyDescent="0.3">
      <c r="A521" s="340" t="s">
        <v>294</v>
      </c>
      <c r="B521" s="341">
        <v>15</v>
      </c>
      <c r="C521" s="309">
        <v>46071</v>
      </c>
      <c r="D521" s="310" t="s">
        <v>185</v>
      </c>
      <c r="E521" s="342">
        <v>188.16</v>
      </c>
      <c r="F521" s="342"/>
      <c r="G521" s="344">
        <f t="shared" si="4"/>
        <v>4244.0899999999929</v>
      </c>
      <c r="H521" s="345"/>
      <c r="I521" s="346"/>
      <c r="J521" s="347"/>
      <c r="K521" s="312"/>
      <c r="L521" s="347"/>
      <c r="M521" s="312"/>
      <c r="N521" s="347"/>
      <c r="O521" s="312"/>
      <c r="P521" s="347"/>
      <c r="Q521" s="312"/>
      <c r="R521" s="347"/>
      <c r="S521" s="312"/>
      <c r="T521" s="347"/>
    </row>
    <row r="522" spans="1:20" ht="12" customHeight="1" x14ac:dyDescent="0.3">
      <c r="A522" s="340" t="s">
        <v>291</v>
      </c>
      <c r="B522" s="341">
        <v>40</v>
      </c>
      <c r="C522" s="309">
        <v>46071</v>
      </c>
      <c r="D522" s="310" t="s">
        <v>318</v>
      </c>
      <c r="E522" s="342"/>
      <c r="F522" s="342">
        <v>1281.58</v>
      </c>
      <c r="G522" s="344">
        <f t="shared" si="4"/>
        <v>4432.2499999999927</v>
      </c>
      <c r="H522" s="345"/>
      <c r="I522" s="346"/>
      <c r="J522" s="347"/>
      <c r="K522" s="312"/>
      <c r="L522" s="347"/>
      <c r="M522" s="312"/>
      <c r="N522" s="347"/>
      <c r="O522" s="312"/>
      <c r="P522" s="347"/>
      <c r="Q522" s="312"/>
      <c r="R522" s="347"/>
      <c r="S522" s="312"/>
      <c r="T522" s="347"/>
    </row>
    <row r="523" spans="1:20" ht="12" customHeight="1" x14ac:dyDescent="0.3">
      <c r="A523" s="340" t="s">
        <v>289</v>
      </c>
      <c r="B523" s="341">
        <v>6</v>
      </c>
      <c r="C523" s="309">
        <v>46071</v>
      </c>
      <c r="D523" s="310" t="s">
        <v>441</v>
      </c>
      <c r="E523" s="342">
        <v>-146</v>
      </c>
      <c r="F523" s="342"/>
      <c r="G523" s="344">
        <f t="shared" si="4"/>
        <v>3150.6699999999933</v>
      </c>
      <c r="H523" s="345"/>
      <c r="I523" s="346"/>
      <c r="J523" s="347"/>
      <c r="K523" s="312"/>
      <c r="L523" s="347"/>
      <c r="M523" s="312"/>
      <c r="N523" s="347"/>
      <c r="O523" s="312"/>
      <c r="P523" s="347"/>
      <c r="Q523" s="312"/>
      <c r="R523" s="347"/>
      <c r="S523" s="312"/>
      <c r="T523" s="347"/>
    </row>
    <row r="524" spans="1:20" ht="12" customHeight="1" x14ac:dyDescent="0.3">
      <c r="A524" s="340" t="s">
        <v>289</v>
      </c>
      <c r="B524" s="341">
        <v>2</v>
      </c>
      <c r="C524" s="309">
        <v>46071</v>
      </c>
      <c r="D524" s="310" t="s">
        <v>442</v>
      </c>
      <c r="E524" s="342">
        <v>-13</v>
      </c>
      <c r="F524" s="342"/>
      <c r="G524" s="344">
        <f t="shared" si="4"/>
        <v>3004.6699999999933</v>
      </c>
      <c r="H524" s="345"/>
      <c r="I524" s="346"/>
      <c r="J524" s="347"/>
      <c r="K524" s="312"/>
      <c r="L524" s="347"/>
      <c r="M524" s="312"/>
      <c r="N524" s="347"/>
      <c r="O524" s="312"/>
      <c r="P524" s="347"/>
      <c r="Q524" s="312"/>
      <c r="R524" s="347"/>
      <c r="S524" s="312"/>
      <c r="T524" s="347"/>
    </row>
    <row r="525" spans="1:20" ht="12" customHeight="1" x14ac:dyDescent="0.3">
      <c r="A525" s="340" t="s">
        <v>339</v>
      </c>
      <c r="B525" s="341" t="s">
        <v>339</v>
      </c>
      <c r="C525" s="309">
        <v>46071</v>
      </c>
      <c r="D525" s="310" t="s">
        <v>443</v>
      </c>
      <c r="E525" s="342"/>
      <c r="F525" s="342">
        <v>191</v>
      </c>
      <c r="G525" s="344">
        <f t="shared" si="4"/>
        <v>2991.6699999999933</v>
      </c>
      <c r="H525" s="345"/>
      <c r="I525" s="346"/>
      <c r="J525" s="347"/>
      <c r="K525" s="312"/>
      <c r="L525" s="347"/>
      <c r="M525" s="312"/>
      <c r="N525" s="347"/>
      <c r="O525" s="312"/>
      <c r="P525" s="347"/>
      <c r="Q525" s="312"/>
      <c r="R525" s="347"/>
      <c r="S525" s="312"/>
      <c r="T525" s="347"/>
    </row>
    <row r="526" spans="1:20" ht="12" customHeight="1" x14ac:dyDescent="0.3">
      <c r="A526" s="340" t="s">
        <v>289</v>
      </c>
      <c r="B526" s="341">
        <v>6</v>
      </c>
      <c r="C526" s="309">
        <v>46071</v>
      </c>
      <c r="D526" s="310" t="s">
        <v>300</v>
      </c>
      <c r="E526" s="342">
        <v>43.63</v>
      </c>
      <c r="F526" s="342"/>
      <c r="G526" s="344">
        <f t="shared" si="4"/>
        <v>2800.6699999999933</v>
      </c>
      <c r="H526" s="345"/>
      <c r="I526" s="346"/>
      <c r="J526" s="347"/>
      <c r="K526" s="312"/>
      <c r="L526" s="347"/>
      <c r="M526" s="312"/>
      <c r="N526" s="347"/>
      <c r="O526" s="312"/>
      <c r="P526" s="347"/>
      <c r="Q526" s="312"/>
      <c r="R526" s="347"/>
      <c r="S526" s="312"/>
      <c r="T526" s="347"/>
    </row>
    <row r="527" spans="1:20" ht="12" customHeight="1" x14ac:dyDescent="0.3">
      <c r="A527" s="340" t="s">
        <v>289</v>
      </c>
      <c r="B527" s="341">
        <v>6</v>
      </c>
      <c r="C527" s="309">
        <v>46071</v>
      </c>
      <c r="D527" s="310" t="s">
        <v>300</v>
      </c>
      <c r="E527" s="342">
        <v>10.64</v>
      </c>
      <c r="F527" s="342"/>
      <c r="G527" s="344">
        <f t="shared" si="4"/>
        <v>2844.2999999999934</v>
      </c>
      <c r="H527" s="345"/>
      <c r="I527" s="346"/>
      <c r="J527" s="347"/>
      <c r="K527" s="312"/>
      <c r="L527" s="347"/>
      <c r="M527" s="312"/>
      <c r="N527" s="347"/>
      <c r="O527" s="312"/>
      <c r="P527" s="347"/>
      <c r="Q527" s="312"/>
      <c r="R527" s="347"/>
      <c r="S527" s="312"/>
      <c r="T527" s="347"/>
    </row>
    <row r="528" spans="1:20" ht="12" customHeight="1" x14ac:dyDescent="0.3">
      <c r="A528" s="340" t="s">
        <v>289</v>
      </c>
      <c r="B528" s="341">
        <v>8</v>
      </c>
      <c r="C528" s="309">
        <v>46071</v>
      </c>
      <c r="D528" s="310" t="s">
        <v>296</v>
      </c>
      <c r="E528" s="342">
        <v>14.87</v>
      </c>
      <c r="F528" s="342"/>
      <c r="G528" s="344">
        <f t="shared" si="4"/>
        <v>2854.9399999999932</v>
      </c>
      <c r="H528" s="345"/>
      <c r="I528" s="346"/>
      <c r="J528" s="347"/>
      <c r="K528" s="312"/>
      <c r="L528" s="347"/>
      <c r="M528" s="312"/>
      <c r="N528" s="347"/>
      <c r="O528" s="312"/>
      <c r="P528" s="347"/>
      <c r="Q528" s="312"/>
      <c r="R528" s="347"/>
      <c r="S528" s="312"/>
      <c r="T528" s="347"/>
    </row>
    <row r="529" spans="1:20" ht="12" customHeight="1" x14ac:dyDescent="0.3">
      <c r="A529" s="340" t="s">
        <v>289</v>
      </c>
      <c r="B529" s="341">
        <v>2</v>
      </c>
      <c r="C529" s="309">
        <v>46071</v>
      </c>
      <c r="D529" s="310" t="s">
        <v>295</v>
      </c>
      <c r="E529" s="342">
        <v>12.99</v>
      </c>
      <c r="F529" s="342"/>
      <c r="G529" s="344">
        <f t="shared" si="4"/>
        <v>2869.8099999999931</v>
      </c>
      <c r="H529" s="345"/>
      <c r="I529" s="346"/>
      <c r="J529" s="347"/>
      <c r="K529" s="312"/>
      <c r="L529" s="347"/>
      <c r="M529" s="312"/>
      <c r="N529" s="347"/>
      <c r="O529" s="312"/>
      <c r="P529" s="347"/>
      <c r="Q529" s="312"/>
      <c r="R529" s="347"/>
      <c r="S529" s="312"/>
      <c r="T529" s="347"/>
    </row>
    <row r="530" spans="1:20" ht="12" customHeight="1" x14ac:dyDescent="0.3">
      <c r="A530" s="340" t="s">
        <v>289</v>
      </c>
      <c r="B530" s="341">
        <v>4</v>
      </c>
      <c r="C530" s="309">
        <v>46071</v>
      </c>
      <c r="D530" s="310" t="s">
        <v>295</v>
      </c>
      <c r="E530" s="342">
        <v>29.47</v>
      </c>
      <c r="F530" s="342"/>
      <c r="G530" s="344">
        <f t="shared" si="4"/>
        <v>2882.7999999999929</v>
      </c>
      <c r="H530" s="345"/>
      <c r="I530" s="346"/>
      <c r="J530" s="347"/>
      <c r="K530" s="312"/>
      <c r="L530" s="347"/>
      <c r="M530" s="312"/>
      <c r="N530" s="347"/>
      <c r="O530" s="312"/>
      <c r="P530" s="347"/>
      <c r="Q530" s="312"/>
      <c r="R530" s="347"/>
      <c r="S530" s="312"/>
      <c r="T530" s="347"/>
    </row>
    <row r="531" spans="1:20" ht="12" customHeight="1" x14ac:dyDescent="0.3">
      <c r="A531" s="340" t="s">
        <v>294</v>
      </c>
      <c r="B531" s="341">
        <v>22</v>
      </c>
      <c r="C531" s="309">
        <v>46071</v>
      </c>
      <c r="D531" s="310" t="s">
        <v>408</v>
      </c>
      <c r="E531" s="342">
        <v>13.84</v>
      </c>
      <c r="F531" s="342"/>
      <c r="G531" s="344">
        <f t="shared" si="4"/>
        <v>2912.2699999999927</v>
      </c>
      <c r="H531" s="345"/>
      <c r="I531" s="346"/>
      <c r="J531" s="347"/>
      <c r="K531" s="312"/>
      <c r="L531" s="347"/>
      <c r="M531" s="312"/>
      <c r="N531" s="347"/>
      <c r="O531" s="312"/>
      <c r="P531" s="347"/>
      <c r="Q531" s="312"/>
      <c r="R531" s="347"/>
      <c r="S531" s="312"/>
      <c r="T531" s="347"/>
    </row>
    <row r="532" spans="1:20" ht="12" customHeight="1" x14ac:dyDescent="0.3">
      <c r="A532" s="340" t="s">
        <v>289</v>
      </c>
      <c r="B532" s="341">
        <v>2</v>
      </c>
      <c r="C532" s="309">
        <v>46071</v>
      </c>
      <c r="D532" s="310" t="s">
        <v>444</v>
      </c>
      <c r="E532" s="342">
        <v>64.569999999999993</v>
      </c>
      <c r="F532" s="342"/>
      <c r="G532" s="344">
        <f t="shared" si="4"/>
        <v>2926.1099999999929</v>
      </c>
      <c r="H532" s="345"/>
      <c r="I532" s="346"/>
      <c r="J532" s="347"/>
      <c r="K532" s="312"/>
      <c r="L532" s="347"/>
      <c r="M532" s="312"/>
      <c r="N532" s="347"/>
      <c r="O532" s="312"/>
      <c r="P532" s="347"/>
      <c r="Q532" s="312"/>
      <c r="R532" s="347"/>
      <c r="S532" s="312"/>
      <c r="T532" s="347"/>
    </row>
    <row r="533" spans="1:20" ht="12" customHeight="1" x14ac:dyDescent="0.3">
      <c r="A533" s="340" t="s">
        <v>294</v>
      </c>
      <c r="B533" s="341">
        <v>21</v>
      </c>
      <c r="C533" s="309">
        <v>46070</v>
      </c>
      <c r="D533" s="310" t="s">
        <v>194</v>
      </c>
      <c r="E533" s="342">
        <v>81</v>
      </c>
      <c r="F533" s="342"/>
      <c r="G533" s="344">
        <f t="shared" si="4"/>
        <v>2990.679999999993</v>
      </c>
      <c r="H533" s="345"/>
      <c r="I533" s="346"/>
      <c r="J533" s="347"/>
      <c r="K533" s="312"/>
      <c r="L533" s="347"/>
      <c r="M533" s="312"/>
      <c r="N533" s="347"/>
      <c r="O533" s="312"/>
      <c r="P533" s="347"/>
      <c r="Q533" s="312"/>
      <c r="R533" s="347"/>
      <c r="S533" s="312"/>
      <c r="T533" s="347"/>
    </row>
    <row r="534" spans="1:20" ht="12" customHeight="1" x14ac:dyDescent="0.3">
      <c r="A534" s="340" t="s">
        <v>289</v>
      </c>
      <c r="B534" s="341">
        <v>2</v>
      </c>
      <c r="C534" s="309">
        <v>46070</v>
      </c>
      <c r="D534" s="310" t="s">
        <v>388</v>
      </c>
      <c r="E534" s="342">
        <v>81.41</v>
      </c>
      <c r="F534" s="342"/>
      <c r="G534" s="344">
        <f t="shared" si="4"/>
        <v>3071.679999999993</v>
      </c>
      <c r="H534" s="345"/>
      <c r="I534" s="346"/>
      <c r="J534" s="347"/>
      <c r="K534" s="312"/>
      <c r="L534" s="347"/>
      <c r="M534" s="312"/>
      <c r="N534" s="347"/>
      <c r="O534" s="312"/>
      <c r="P534" s="347"/>
      <c r="Q534" s="312"/>
      <c r="R534" s="347"/>
      <c r="S534" s="312"/>
      <c r="T534" s="347"/>
    </row>
    <row r="535" spans="1:20" ht="12" customHeight="1" x14ac:dyDescent="0.3">
      <c r="A535" s="340" t="s">
        <v>289</v>
      </c>
      <c r="B535" s="341">
        <v>6</v>
      </c>
      <c r="C535" s="309">
        <v>46070</v>
      </c>
      <c r="D535" s="310" t="s">
        <v>300</v>
      </c>
      <c r="E535" s="342">
        <v>113.74</v>
      </c>
      <c r="F535" s="342"/>
      <c r="G535" s="344">
        <f t="shared" si="4"/>
        <v>3153.0899999999929</v>
      </c>
      <c r="H535" s="345"/>
      <c r="I535" s="346"/>
      <c r="J535" s="347"/>
      <c r="K535" s="312"/>
      <c r="L535" s="347"/>
      <c r="M535" s="312"/>
      <c r="N535" s="347"/>
      <c r="O535" s="312"/>
      <c r="P535" s="347"/>
      <c r="Q535" s="312"/>
      <c r="R535" s="347"/>
      <c r="S535" s="312"/>
      <c r="T535" s="347"/>
    </row>
    <row r="536" spans="1:20" ht="12" customHeight="1" x14ac:dyDescent="0.3">
      <c r="A536" s="340" t="s">
        <v>294</v>
      </c>
      <c r="B536" s="341">
        <v>43</v>
      </c>
      <c r="C536" s="309">
        <v>46070</v>
      </c>
      <c r="D536" s="310" t="s">
        <v>337</v>
      </c>
      <c r="E536" s="342">
        <v>29.8</v>
      </c>
      <c r="F536" s="342"/>
      <c r="G536" s="344">
        <f t="shared" si="4"/>
        <v>3266.8299999999927</v>
      </c>
      <c r="H536" s="345"/>
      <c r="I536" s="346"/>
      <c r="J536" s="347"/>
      <c r="K536" s="312"/>
      <c r="L536" s="347"/>
      <c r="M536" s="312"/>
      <c r="N536" s="347"/>
      <c r="O536" s="312"/>
      <c r="P536" s="347"/>
      <c r="Q536" s="312"/>
      <c r="R536" s="347"/>
      <c r="S536" s="312"/>
      <c r="T536" s="347"/>
    </row>
    <row r="537" spans="1:20" ht="12" customHeight="1" x14ac:dyDescent="0.3">
      <c r="A537" s="340" t="s">
        <v>294</v>
      </c>
      <c r="B537" s="341">
        <v>42</v>
      </c>
      <c r="C537" s="309">
        <v>46070</v>
      </c>
      <c r="D537" s="310" t="s">
        <v>337</v>
      </c>
      <c r="E537" s="342">
        <v>37.25</v>
      </c>
      <c r="F537" s="342"/>
      <c r="G537" s="344">
        <f t="shared" si="4"/>
        <v>3296.6299999999928</v>
      </c>
      <c r="H537" s="345"/>
      <c r="I537" s="346"/>
      <c r="J537" s="347"/>
      <c r="K537" s="312"/>
      <c r="L537" s="347"/>
      <c r="M537" s="312"/>
      <c r="N537" s="347"/>
      <c r="O537" s="312"/>
      <c r="P537" s="347"/>
      <c r="Q537" s="312"/>
      <c r="R537" s="347"/>
      <c r="S537" s="312"/>
      <c r="T537" s="347"/>
    </row>
    <row r="538" spans="1:20" ht="12" customHeight="1" x14ac:dyDescent="0.3">
      <c r="A538" s="340" t="s">
        <v>289</v>
      </c>
      <c r="B538" s="341">
        <v>2</v>
      </c>
      <c r="C538" s="309">
        <v>46070</v>
      </c>
      <c r="D538" s="310" t="s">
        <v>431</v>
      </c>
      <c r="E538" s="342">
        <v>7.97</v>
      </c>
      <c r="F538" s="342"/>
      <c r="G538" s="344">
        <f t="shared" si="4"/>
        <v>3333.8799999999928</v>
      </c>
      <c r="H538" s="345"/>
      <c r="I538" s="346"/>
      <c r="J538" s="347"/>
      <c r="K538" s="312"/>
      <c r="L538" s="347"/>
      <c r="M538" s="312"/>
      <c r="N538" s="347"/>
      <c r="O538" s="312"/>
      <c r="P538" s="347"/>
      <c r="Q538" s="312"/>
      <c r="R538" s="347"/>
      <c r="S538" s="312"/>
      <c r="T538" s="347"/>
    </row>
    <row r="539" spans="1:20" ht="12" customHeight="1" x14ac:dyDescent="0.3">
      <c r="A539" s="340" t="s">
        <v>294</v>
      </c>
      <c r="B539" s="341">
        <v>17</v>
      </c>
      <c r="C539" s="309">
        <v>46070</v>
      </c>
      <c r="D539" s="310" t="s">
        <v>188</v>
      </c>
      <c r="E539" s="342">
        <v>42.65</v>
      </c>
      <c r="F539" s="342"/>
      <c r="G539" s="344">
        <f t="shared" si="4"/>
        <v>3341.8499999999926</v>
      </c>
      <c r="H539" s="345"/>
      <c r="I539" s="346"/>
      <c r="J539" s="347"/>
      <c r="K539" s="312"/>
      <c r="L539" s="347"/>
      <c r="M539" s="312"/>
      <c r="N539" s="347"/>
      <c r="O539" s="312"/>
      <c r="P539" s="347"/>
      <c r="Q539" s="312"/>
      <c r="R539" s="347"/>
      <c r="S539" s="312"/>
      <c r="T539" s="347"/>
    </row>
    <row r="540" spans="1:20" ht="12" customHeight="1" x14ac:dyDescent="0.3">
      <c r="A540" s="340" t="s">
        <v>289</v>
      </c>
      <c r="B540" s="341">
        <v>6</v>
      </c>
      <c r="C540" s="309">
        <v>46070</v>
      </c>
      <c r="D540" s="310" t="s">
        <v>445</v>
      </c>
      <c r="E540" s="342">
        <v>40</v>
      </c>
      <c r="F540" s="342"/>
      <c r="G540" s="344">
        <f t="shared" si="4"/>
        <v>3384.4999999999927</v>
      </c>
      <c r="H540" s="345"/>
      <c r="I540" s="346"/>
      <c r="J540" s="347"/>
      <c r="K540" s="312"/>
      <c r="L540" s="347"/>
      <c r="M540" s="312"/>
      <c r="N540" s="347"/>
      <c r="O540" s="312"/>
      <c r="P540" s="347"/>
      <c r="Q540" s="312"/>
      <c r="R540" s="347"/>
      <c r="S540" s="312"/>
      <c r="T540" s="347"/>
    </row>
    <row r="541" spans="1:20" ht="12" customHeight="1" x14ac:dyDescent="0.3">
      <c r="A541" s="340" t="s">
        <v>294</v>
      </c>
      <c r="B541" s="341">
        <v>11</v>
      </c>
      <c r="C541" s="309">
        <v>46070</v>
      </c>
      <c r="D541" s="310" t="s">
        <v>178</v>
      </c>
      <c r="E541" s="342">
        <v>480.91</v>
      </c>
      <c r="F541" s="342"/>
      <c r="G541" s="344">
        <f t="shared" si="4"/>
        <v>3424.4999999999927</v>
      </c>
      <c r="H541" s="345"/>
      <c r="I541" s="346"/>
      <c r="J541" s="347"/>
      <c r="K541" s="312"/>
      <c r="L541" s="347"/>
      <c r="M541" s="312"/>
      <c r="N541" s="347"/>
      <c r="O541" s="312"/>
      <c r="P541" s="347"/>
      <c r="Q541" s="312"/>
      <c r="R541" s="347"/>
      <c r="S541" s="312"/>
      <c r="T541" s="347"/>
    </row>
    <row r="542" spans="1:20" ht="12" customHeight="1" x14ac:dyDescent="0.3">
      <c r="A542" s="340" t="s">
        <v>294</v>
      </c>
      <c r="B542" s="341">
        <v>23</v>
      </c>
      <c r="C542" s="309">
        <v>46070</v>
      </c>
      <c r="D542" s="310" t="s">
        <v>63</v>
      </c>
      <c r="E542" s="342">
        <v>529.46</v>
      </c>
      <c r="F542" s="342"/>
      <c r="G542" s="344">
        <f t="shared" si="4"/>
        <v>3905.4099999999926</v>
      </c>
      <c r="H542" s="345"/>
      <c r="I542" s="346"/>
      <c r="J542" s="347"/>
      <c r="K542" s="312"/>
      <c r="L542" s="347"/>
      <c r="M542" s="312"/>
      <c r="N542" s="347"/>
      <c r="O542" s="312"/>
      <c r="P542" s="347"/>
      <c r="Q542" s="312"/>
      <c r="R542" s="347"/>
      <c r="S542" s="312"/>
      <c r="T542" s="347"/>
    </row>
    <row r="543" spans="1:20" ht="12" customHeight="1" x14ac:dyDescent="0.3">
      <c r="A543" s="340" t="s">
        <v>289</v>
      </c>
      <c r="B543" s="341">
        <v>2</v>
      </c>
      <c r="C543" s="309">
        <v>46069</v>
      </c>
      <c r="D543" s="310" t="s">
        <v>327</v>
      </c>
      <c r="E543" s="342">
        <v>16.079999999999998</v>
      </c>
      <c r="F543" s="342"/>
      <c r="G543" s="344">
        <f t="shared" si="4"/>
        <v>4434.8699999999926</v>
      </c>
      <c r="H543" s="345"/>
      <c r="I543" s="346"/>
      <c r="J543" s="347"/>
      <c r="K543" s="312"/>
      <c r="L543" s="347"/>
      <c r="M543" s="312"/>
      <c r="N543" s="347"/>
      <c r="O543" s="312"/>
      <c r="P543" s="347"/>
      <c r="Q543" s="312"/>
      <c r="R543" s="347"/>
      <c r="S543" s="312"/>
      <c r="T543" s="347"/>
    </row>
    <row r="544" spans="1:20" ht="12" customHeight="1" x14ac:dyDescent="0.3">
      <c r="A544" s="340" t="s">
        <v>289</v>
      </c>
      <c r="B544" s="341">
        <v>6</v>
      </c>
      <c r="C544" s="309">
        <v>46069</v>
      </c>
      <c r="D544" s="310" t="s">
        <v>300</v>
      </c>
      <c r="E544" s="342">
        <v>21.17</v>
      </c>
      <c r="F544" s="342"/>
      <c r="G544" s="344">
        <f t="shared" si="4"/>
        <v>4450.9499999999925</v>
      </c>
      <c r="H544" s="345"/>
      <c r="I544" s="346"/>
      <c r="J544" s="347"/>
      <c r="K544" s="312"/>
      <c r="L544" s="347"/>
      <c r="M544" s="312"/>
      <c r="N544" s="347"/>
      <c r="O544" s="312"/>
      <c r="P544" s="347"/>
      <c r="Q544" s="312"/>
      <c r="R544" s="347"/>
      <c r="S544" s="312"/>
      <c r="T544" s="347"/>
    </row>
    <row r="545" spans="1:20" ht="12" customHeight="1" x14ac:dyDescent="0.3">
      <c r="A545" s="340" t="s">
        <v>289</v>
      </c>
      <c r="B545" s="341">
        <v>6</v>
      </c>
      <c r="C545" s="309">
        <v>46069</v>
      </c>
      <c r="D545" s="310" t="s">
        <v>300</v>
      </c>
      <c r="E545" s="342">
        <v>17.03</v>
      </c>
      <c r="F545" s="342"/>
      <c r="G545" s="344">
        <f t="shared" si="4"/>
        <v>4472.1199999999926</v>
      </c>
      <c r="H545" s="345"/>
      <c r="I545" s="346"/>
      <c r="J545" s="347"/>
      <c r="K545" s="312"/>
      <c r="L545" s="347"/>
      <c r="M545" s="312"/>
      <c r="N545" s="347"/>
      <c r="O545" s="312"/>
      <c r="P545" s="347"/>
      <c r="Q545" s="312"/>
      <c r="R545" s="347"/>
      <c r="S545" s="312"/>
      <c r="T545" s="347"/>
    </row>
    <row r="546" spans="1:20" ht="12" customHeight="1" x14ac:dyDescent="0.3">
      <c r="A546" s="340" t="s">
        <v>289</v>
      </c>
      <c r="B546" s="341">
        <v>2</v>
      </c>
      <c r="C546" s="309">
        <v>46069</v>
      </c>
      <c r="D546" s="310" t="s">
        <v>296</v>
      </c>
      <c r="E546" s="342">
        <v>18.309999999999999</v>
      </c>
      <c r="F546" s="342"/>
      <c r="G546" s="344">
        <f t="shared" si="4"/>
        <v>4489.1499999999924</v>
      </c>
      <c r="H546" s="345"/>
      <c r="I546" s="346"/>
      <c r="J546" s="347"/>
      <c r="K546" s="312"/>
      <c r="L546" s="347"/>
      <c r="M546" s="312"/>
      <c r="N546" s="347"/>
      <c r="O546" s="312"/>
      <c r="P546" s="347"/>
      <c r="Q546" s="312"/>
      <c r="R546" s="347"/>
      <c r="S546" s="312"/>
      <c r="T546" s="347"/>
    </row>
    <row r="547" spans="1:20" ht="12" customHeight="1" x14ac:dyDescent="0.3">
      <c r="A547" s="340" t="s">
        <v>289</v>
      </c>
      <c r="B547" s="341">
        <v>2</v>
      </c>
      <c r="C547" s="309">
        <v>46069</v>
      </c>
      <c r="D547" s="310" t="s">
        <v>301</v>
      </c>
      <c r="E547" s="342">
        <v>19.3</v>
      </c>
      <c r="F547" s="342"/>
      <c r="G547" s="344">
        <f t="shared" si="4"/>
        <v>4507.4599999999928</v>
      </c>
      <c r="H547" s="345"/>
      <c r="I547" s="346"/>
      <c r="J547" s="347"/>
      <c r="K547" s="312"/>
      <c r="L547" s="347"/>
      <c r="M547" s="312"/>
      <c r="N547" s="347"/>
      <c r="O547" s="312"/>
      <c r="P547" s="347"/>
      <c r="Q547" s="312"/>
      <c r="R547" s="347"/>
      <c r="S547" s="312"/>
      <c r="T547" s="347"/>
    </row>
    <row r="548" spans="1:20" ht="12" customHeight="1" x14ac:dyDescent="0.3">
      <c r="A548" s="340" t="s">
        <v>289</v>
      </c>
      <c r="B548" s="341">
        <v>6</v>
      </c>
      <c r="C548" s="309">
        <v>46069</v>
      </c>
      <c r="D548" s="310" t="s">
        <v>402</v>
      </c>
      <c r="E548" s="342">
        <v>24.67</v>
      </c>
      <c r="F548" s="342"/>
      <c r="G548" s="344">
        <f t="shared" si="4"/>
        <v>4526.7599999999929</v>
      </c>
      <c r="H548" s="345"/>
      <c r="I548" s="346"/>
      <c r="J548" s="347"/>
      <c r="K548" s="312"/>
      <c r="L548" s="347"/>
      <c r="M548" s="312"/>
      <c r="N548" s="347"/>
      <c r="O548" s="312"/>
      <c r="P548" s="347"/>
      <c r="Q548" s="312"/>
      <c r="R548" s="347"/>
      <c r="S548" s="312"/>
      <c r="T548" s="347"/>
    </row>
    <row r="549" spans="1:20" ht="12" customHeight="1" x14ac:dyDescent="0.3">
      <c r="A549" s="340" t="s">
        <v>287</v>
      </c>
      <c r="B549" s="341" t="s">
        <v>287</v>
      </c>
      <c r="C549" s="309">
        <v>46069</v>
      </c>
      <c r="D549" s="310" t="s">
        <v>402</v>
      </c>
      <c r="E549" s="342">
        <v>152.41999999999999</v>
      </c>
      <c r="F549" s="342">
        <v>152.41999999999999</v>
      </c>
      <c r="G549" s="344">
        <f t="shared" si="4"/>
        <v>4551.429999999993</v>
      </c>
      <c r="H549" s="345"/>
      <c r="I549" s="346"/>
      <c r="J549" s="347"/>
      <c r="K549" s="312"/>
      <c r="L549" s="347"/>
      <c r="M549" s="312"/>
      <c r="N549" s="347"/>
      <c r="O549" s="312"/>
      <c r="P549" s="347"/>
      <c r="Q549" s="312"/>
      <c r="R549" s="347"/>
      <c r="S549" s="312"/>
      <c r="T549" s="347"/>
    </row>
    <row r="550" spans="1:20" ht="12" customHeight="1" x14ac:dyDescent="0.3">
      <c r="A550" s="340" t="s">
        <v>289</v>
      </c>
      <c r="B550" s="341">
        <v>6</v>
      </c>
      <c r="C550" s="309">
        <v>46068</v>
      </c>
      <c r="D550" s="310" t="s">
        <v>446</v>
      </c>
      <c r="E550" s="342">
        <v>233.83</v>
      </c>
      <c r="F550" s="342"/>
      <c r="G550" s="344">
        <f t="shared" si="4"/>
        <v>4551.429999999993</v>
      </c>
      <c r="H550" s="345"/>
      <c r="I550" s="346"/>
      <c r="J550" s="347"/>
      <c r="K550" s="312"/>
      <c r="L550" s="347"/>
      <c r="M550" s="312"/>
      <c r="N550" s="347"/>
      <c r="O550" s="312"/>
      <c r="P550" s="347"/>
      <c r="Q550" s="312"/>
      <c r="R550" s="347"/>
      <c r="S550" s="312"/>
      <c r="T550" s="347"/>
    </row>
    <row r="551" spans="1:20" ht="12" customHeight="1" x14ac:dyDescent="0.3">
      <c r="A551" s="340" t="s">
        <v>289</v>
      </c>
      <c r="B551" s="341">
        <v>2</v>
      </c>
      <c r="C551" s="309">
        <v>46068</v>
      </c>
      <c r="D551" s="310" t="s">
        <v>329</v>
      </c>
      <c r="E551" s="342">
        <v>50.87</v>
      </c>
      <c r="F551" s="342"/>
      <c r="G551" s="344">
        <f t="shared" si="4"/>
        <v>4785.2599999999929</v>
      </c>
      <c r="H551" s="345"/>
      <c r="I551" s="346"/>
      <c r="J551" s="347"/>
      <c r="K551" s="312"/>
      <c r="L551" s="347"/>
      <c r="M551" s="312"/>
      <c r="N551" s="347"/>
      <c r="O551" s="312"/>
      <c r="P551" s="347"/>
      <c r="Q551" s="312"/>
      <c r="R551" s="347"/>
      <c r="S551" s="312"/>
      <c r="T551" s="347"/>
    </row>
    <row r="552" spans="1:20" ht="12" customHeight="1" x14ac:dyDescent="0.3">
      <c r="A552" s="340" t="s">
        <v>289</v>
      </c>
      <c r="B552" s="341">
        <v>2</v>
      </c>
      <c r="C552" s="309">
        <v>46068</v>
      </c>
      <c r="D552" s="310" t="s">
        <v>447</v>
      </c>
      <c r="E552" s="342">
        <v>16</v>
      </c>
      <c r="F552" s="342"/>
      <c r="G552" s="344">
        <f t="shared" si="4"/>
        <v>4836.1299999999928</v>
      </c>
      <c r="H552" s="345"/>
      <c r="I552" s="346"/>
      <c r="J552" s="347"/>
      <c r="K552" s="312"/>
      <c r="L552" s="347"/>
      <c r="M552" s="312"/>
      <c r="N552" s="347"/>
      <c r="O552" s="312"/>
      <c r="P552" s="347"/>
      <c r="Q552" s="312"/>
      <c r="R552" s="347"/>
      <c r="S552" s="312"/>
      <c r="T552" s="347"/>
    </row>
    <row r="553" spans="1:20" ht="12" customHeight="1" x14ac:dyDescent="0.3">
      <c r="A553" s="340" t="s">
        <v>289</v>
      </c>
      <c r="B553" s="341">
        <v>2</v>
      </c>
      <c r="C553" s="309">
        <v>46068</v>
      </c>
      <c r="D553" s="310" t="s">
        <v>357</v>
      </c>
      <c r="E553" s="342">
        <v>30</v>
      </c>
      <c r="F553" s="342"/>
      <c r="G553" s="344">
        <f t="shared" si="4"/>
        <v>4852.1299999999928</v>
      </c>
      <c r="H553" s="345"/>
      <c r="I553" s="346"/>
      <c r="J553" s="347"/>
      <c r="K553" s="312"/>
      <c r="L553" s="347"/>
      <c r="M553" s="312"/>
      <c r="N553" s="347"/>
      <c r="O553" s="312"/>
      <c r="P553" s="347"/>
      <c r="Q553" s="312"/>
      <c r="R553" s="347"/>
      <c r="S553" s="312"/>
      <c r="T553" s="347"/>
    </row>
    <row r="554" spans="1:20" ht="12" customHeight="1" x14ac:dyDescent="0.3">
      <c r="A554" s="340" t="s">
        <v>289</v>
      </c>
      <c r="B554" s="341">
        <v>6</v>
      </c>
      <c r="C554" s="309">
        <v>46068</v>
      </c>
      <c r="D554" s="310" t="s">
        <v>307</v>
      </c>
      <c r="E554" s="342">
        <v>76</v>
      </c>
      <c r="F554" s="342"/>
      <c r="G554" s="344">
        <f t="shared" si="4"/>
        <v>4882.1299999999928</v>
      </c>
      <c r="H554" s="345"/>
      <c r="I554" s="346"/>
      <c r="J554" s="347"/>
      <c r="K554" s="312"/>
      <c r="L554" s="347"/>
      <c r="M554" s="312"/>
      <c r="N554" s="347"/>
      <c r="O554" s="312"/>
      <c r="P554" s="347"/>
      <c r="Q554" s="312"/>
      <c r="R554" s="347"/>
      <c r="S554" s="312"/>
      <c r="T554" s="347"/>
    </row>
    <row r="555" spans="1:20" ht="12" customHeight="1" x14ac:dyDescent="0.3">
      <c r="A555" s="340" t="s">
        <v>289</v>
      </c>
      <c r="B555" s="341">
        <v>3</v>
      </c>
      <c r="C555" s="309">
        <v>46068</v>
      </c>
      <c r="D555" s="310" t="s">
        <v>352</v>
      </c>
      <c r="E555" s="342">
        <v>3.59</v>
      </c>
      <c r="F555" s="342"/>
      <c r="G555" s="344">
        <f t="shared" si="4"/>
        <v>4958.1299999999928</v>
      </c>
      <c r="H555" s="345"/>
      <c r="I555" s="346"/>
      <c r="J555" s="347"/>
      <c r="K555" s="312"/>
      <c r="L555" s="347"/>
      <c r="M555" s="312"/>
      <c r="N555" s="347"/>
      <c r="O555" s="312"/>
      <c r="P555" s="347"/>
      <c r="Q555" s="312"/>
      <c r="R555" s="347"/>
      <c r="S555" s="312"/>
      <c r="T555" s="347"/>
    </row>
    <row r="556" spans="1:20" ht="12" customHeight="1" x14ac:dyDescent="0.3">
      <c r="A556" s="340" t="s">
        <v>289</v>
      </c>
      <c r="B556" s="341">
        <v>6</v>
      </c>
      <c r="C556" s="309">
        <v>46068</v>
      </c>
      <c r="D556" s="310" t="s">
        <v>448</v>
      </c>
      <c r="E556" s="342">
        <v>70</v>
      </c>
      <c r="F556" s="342"/>
      <c r="G556" s="344">
        <f t="shared" si="4"/>
        <v>4961.719999999993</v>
      </c>
      <c r="H556" s="345"/>
      <c r="I556" s="346"/>
      <c r="J556" s="347"/>
      <c r="K556" s="312"/>
      <c r="L556" s="347"/>
      <c r="M556" s="312"/>
      <c r="N556" s="347"/>
      <c r="O556" s="312"/>
      <c r="P556" s="347"/>
      <c r="Q556" s="312"/>
      <c r="R556" s="347"/>
      <c r="S556" s="312"/>
      <c r="T556" s="347"/>
    </row>
    <row r="557" spans="1:20" ht="12" customHeight="1" x14ac:dyDescent="0.3">
      <c r="A557" s="340" t="s">
        <v>289</v>
      </c>
      <c r="B557" s="341">
        <v>8</v>
      </c>
      <c r="C557" s="309">
        <v>46068</v>
      </c>
      <c r="D557" s="310" t="s">
        <v>449</v>
      </c>
      <c r="E557" s="342">
        <v>175</v>
      </c>
      <c r="F557" s="342"/>
      <c r="G557" s="344">
        <f t="shared" si="4"/>
        <v>5031.719999999993</v>
      </c>
      <c r="H557" s="345" t="s">
        <v>298</v>
      </c>
      <c r="I557" s="346"/>
      <c r="J557" s="347"/>
      <c r="K557" s="312"/>
      <c r="L557" s="347"/>
      <c r="M557" s="312"/>
      <c r="N557" s="347"/>
      <c r="O557" s="312"/>
      <c r="P557" s="347"/>
      <c r="Q557" s="312"/>
      <c r="R557" s="347"/>
      <c r="S557" s="312"/>
      <c r="T557" s="347"/>
    </row>
    <row r="558" spans="1:20" ht="12" customHeight="1" x14ac:dyDescent="0.3">
      <c r="A558" s="340" t="s">
        <v>289</v>
      </c>
      <c r="B558" s="341">
        <v>8</v>
      </c>
      <c r="C558" s="309">
        <v>46067</v>
      </c>
      <c r="D558" s="310" t="s">
        <v>321</v>
      </c>
      <c r="E558" s="342">
        <v>13.09</v>
      </c>
      <c r="F558" s="342"/>
      <c r="G558" s="344">
        <f t="shared" si="4"/>
        <v>5206.719999999993</v>
      </c>
      <c r="H558" s="345"/>
      <c r="I558" s="346"/>
      <c r="J558" s="347"/>
      <c r="K558" s="312"/>
      <c r="L558" s="347"/>
      <c r="M558" s="312"/>
      <c r="N558" s="347"/>
      <c r="O558" s="312"/>
      <c r="P558" s="347"/>
      <c r="Q558" s="312"/>
      <c r="R558" s="347"/>
      <c r="S558" s="312"/>
      <c r="T558" s="347"/>
    </row>
    <row r="559" spans="1:20" ht="12" customHeight="1" x14ac:dyDescent="0.3">
      <c r="A559" s="340" t="s">
        <v>289</v>
      </c>
      <c r="B559" s="341">
        <v>3</v>
      </c>
      <c r="C559" s="309">
        <v>46067</v>
      </c>
      <c r="D559" s="310" t="s">
        <v>296</v>
      </c>
      <c r="E559" s="342">
        <v>7.56</v>
      </c>
      <c r="F559" s="342"/>
      <c r="G559" s="344">
        <f t="shared" si="4"/>
        <v>5219.8099999999931</v>
      </c>
      <c r="H559" s="345"/>
      <c r="I559" s="346"/>
      <c r="J559" s="347"/>
      <c r="K559" s="312"/>
      <c r="L559" s="347"/>
      <c r="M559" s="312"/>
      <c r="N559" s="347"/>
      <c r="O559" s="312"/>
      <c r="P559" s="347"/>
      <c r="Q559" s="312"/>
      <c r="R559" s="347"/>
      <c r="S559" s="312"/>
      <c r="T559" s="347"/>
    </row>
    <row r="560" spans="1:20" ht="12" customHeight="1" x14ac:dyDescent="0.3">
      <c r="A560" s="340" t="s">
        <v>289</v>
      </c>
      <c r="B560" s="341">
        <v>4</v>
      </c>
      <c r="C560" s="309">
        <v>46067</v>
      </c>
      <c r="D560" s="310" t="s">
        <v>296</v>
      </c>
      <c r="E560" s="342">
        <v>32.409999999999997</v>
      </c>
      <c r="F560" s="342"/>
      <c r="G560" s="344">
        <f t="shared" si="4"/>
        <v>5227.3699999999935</v>
      </c>
      <c r="H560" s="345"/>
      <c r="I560" s="346"/>
      <c r="J560" s="347"/>
      <c r="K560" s="312"/>
      <c r="L560" s="347"/>
      <c r="M560" s="312"/>
      <c r="N560" s="347"/>
      <c r="O560" s="312"/>
      <c r="P560" s="347"/>
      <c r="Q560" s="312"/>
      <c r="R560" s="347"/>
      <c r="S560" s="312"/>
      <c r="T560" s="347"/>
    </row>
    <row r="561" spans="1:20" ht="12" customHeight="1" x14ac:dyDescent="0.3">
      <c r="A561" s="340" t="s">
        <v>289</v>
      </c>
      <c r="B561" s="341">
        <v>5</v>
      </c>
      <c r="C561" s="309">
        <v>46067</v>
      </c>
      <c r="D561" s="310" t="s">
        <v>450</v>
      </c>
      <c r="E561" s="342">
        <v>400</v>
      </c>
      <c r="F561" s="342"/>
      <c r="G561" s="344">
        <f t="shared" si="4"/>
        <v>5259.7799999999934</v>
      </c>
      <c r="H561" s="345"/>
      <c r="I561" s="346"/>
      <c r="J561" s="347"/>
      <c r="K561" s="312"/>
      <c r="L561" s="347"/>
      <c r="M561" s="312"/>
      <c r="N561" s="347"/>
      <c r="O561" s="312"/>
      <c r="P561" s="347"/>
      <c r="Q561" s="312"/>
      <c r="R561" s="347"/>
      <c r="S561" s="312"/>
      <c r="T561" s="347"/>
    </row>
    <row r="562" spans="1:20" ht="12" customHeight="1" x14ac:dyDescent="0.3">
      <c r="A562" s="340" t="s">
        <v>289</v>
      </c>
      <c r="B562" s="341">
        <v>8</v>
      </c>
      <c r="C562" s="309">
        <v>46066</v>
      </c>
      <c r="D562" s="310" t="s">
        <v>321</v>
      </c>
      <c r="E562" s="342">
        <v>41.51</v>
      </c>
      <c r="F562" s="342"/>
      <c r="G562" s="344">
        <f t="shared" si="4"/>
        <v>5659.7799999999934</v>
      </c>
      <c r="H562" s="345"/>
      <c r="I562" s="346"/>
      <c r="J562" s="347"/>
      <c r="K562" s="312"/>
      <c r="L562" s="347"/>
      <c r="M562" s="312"/>
      <c r="N562" s="347"/>
      <c r="O562" s="312"/>
      <c r="P562" s="347"/>
      <c r="Q562" s="312"/>
      <c r="R562" s="347"/>
      <c r="S562" s="312"/>
      <c r="T562" s="347"/>
    </row>
    <row r="563" spans="1:20" ht="12" customHeight="1" x14ac:dyDescent="0.3">
      <c r="A563" s="340" t="s">
        <v>289</v>
      </c>
      <c r="B563" s="341">
        <v>4</v>
      </c>
      <c r="C563" s="309">
        <v>46066</v>
      </c>
      <c r="D563" s="310" t="s">
        <v>296</v>
      </c>
      <c r="E563" s="342">
        <v>21.55</v>
      </c>
      <c r="F563" s="342"/>
      <c r="G563" s="344">
        <f t="shared" si="4"/>
        <v>5701.2899999999936</v>
      </c>
      <c r="H563" s="345"/>
      <c r="I563" s="346"/>
      <c r="J563" s="347"/>
      <c r="K563" s="312"/>
      <c r="L563" s="347"/>
      <c r="M563" s="312"/>
      <c r="N563" s="347"/>
      <c r="O563" s="312"/>
      <c r="P563" s="347"/>
      <c r="Q563" s="312"/>
      <c r="R563" s="347"/>
      <c r="S563" s="312"/>
      <c r="T563" s="347"/>
    </row>
    <row r="564" spans="1:20" ht="12" customHeight="1" x14ac:dyDescent="0.3">
      <c r="A564" s="340" t="s">
        <v>289</v>
      </c>
      <c r="B564" s="341">
        <v>2</v>
      </c>
      <c r="C564" s="309">
        <v>46066</v>
      </c>
      <c r="D564" s="310" t="s">
        <v>362</v>
      </c>
      <c r="E564" s="342">
        <v>12.45</v>
      </c>
      <c r="F564" s="342"/>
      <c r="G564" s="344">
        <f t="shared" si="4"/>
        <v>5722.8399999999938</v>
      </c>
      <c r="H564" s="345"/>
      <c r="I564" s="346"/>
      <c r="J564" s="347"/>
      <c r="K564" s="312"/>
      <c r="L564" s="347"/>
      <c r="M564" s="312"/>
      <c r="N564" s="347"/>
      <c r="O564" s="312"/>
      <c r="P564" s="347"/>
      <c r="Q564" s="312"/>
      <c r="R564" s="347"/>
      <c r="S564" s="312"/>
      <c r="T564" s="347"/>
    </row>
    <row r="565" spans="1:20" ht="12" customHeight="1" x14ac:dyDescent="0.3">
      <c r="A565" s="340" t="s">
        <v>287</v>
      </c>
      <c r="B565" s="341" t="s">
        <v>287</v>
      </c>
      <c r="C565" s="309">
        <v>46066</v>
      </c>
      <c r="D565" s="310" t="s">
        <v>402</v>
      </c>
      <c r="E565" s="342">
        <v>91.38</v>
      </c>
      <c r="F565" s="342">
        <v>91.38</v>
      </c>
      <c r="G565" s="344">
        <f t="shared" si="4"/>
        <v>5735.2899999999936</v>
      </c>
      <c r="H565" s="345"/>
      <c r="I565" s="346"/>
      <c r="J565" s="347"/>
      <c r="K565" s="312"/>
      <c r="L565" s="347"/>
      <c r="M565" s="312"/>
      <c r="N565" s="347"/>
      <c r="O565" s="312"/>
      <c r="P565" s="347"/>
      <c r="Q565" s="312"/>
      <c r="R565" s="347"/>
      <c r="S565" s="312"/>
      <c r="T565" s="347"/>
    </row>
    <row r="566" spans="1:20" ht="12" customHeight="1" x14ac:dyDescent="0.3">
      <c r="A566" s="340" t="s">
        <v>289</v>
      </c>
      <c r="B566" s="341">
        <v>1</v>
      </c>
      <c r="C566" s="309">
        <v>46066</v>
      </c>
      <c r="D566" s="310" t="s">
        <v>312</v>
      </c>
      <c r="E566" s="342">
        <v>16.48</v>
      </c>
      <c r="F566" s="342"/>
      <c r="G566" s="344">
        <f t="shared" si="4"/>
        <v>5735.2899999999936</v>
      </c>
      <c r="H566" s="345"/>
      <c r="I566" s="346"/>
      <c r="J566" s="347"/>
      <c r="K566" s="312"/>
      <c r="L566" s="347"/>
      <c r="M566" s="312"/>
      <c r="N566" s="347"/>
      <c r="O566" s="312"/>
      <c r="P566" s="347"/>
      <c r="Q566" s="312"/>
      <c r="R566" s="347"/>
      <c r="S566" s="312"/>
      <c r="T566" s="347"/>
    </row>
    <row r="567" spans="1:20" ht="12" customHeight="1" x14ac:dyDescent="0.3">
      <c r="A567" s="340" t="s">
        <v>289</v>
      </c>
      <c r="B567" s="341">
        <v>1</v>
      </c>
      <c r="C567" s="309">
        <v>46066</v>
      </c>
      <c r="D567" s="310" t="s">
        <v>435</v>
      </c>
      <c r="E567" s="342">
        <v>12.76</v>
      </c>
      <c r="F567" s="342"/>
      <c r="G567" s="344">
        <f t="shared" si="4"/>
        <v>5751.7699999999932</v>
      </c>
      <c r="H567" s="345"/>
      <c r="I567" s="346"/>
      <c r="J567" s="347"/>
      <c r="K567" s="312"/>
      <c r="L567" s="347"/>
      <c r="M567" s="312"/>
      <c r="N567" s="347"/>
      <c r="O567" s="312"/>
      <c r="P567" s="347"/>
      <c r="Q567" s="312"/>
      <c r="R567" s="347"/>
      <c r="S567" s="312"/>
      <c r="T567" s="347"/>
    </row>
    <row r="568" spans="1:20" ht="12" customHeight="1" x14ac:dyDescent="0.3">
      <c r="A568" s="340" t="s">
        <v>289</v>
      </c>
      <c r="B568" s="341">
        <v>4</v>
      </c>
      <c r="C568" s="309">
        <v>46066</v>
      </c>
      <c r="D568" s="310" t="s">
        <v>332</v>
      </c>
      <c r="E568" s="342">
        <v>37.9</v>
      </c>
      <c r="F568" s="342"/>
      <c r="G568" s="344">
        <f t="shared" si="4"/>
        <v>5764.5299999999934</v>
      </c>
      <c r="H568" s="345"/>
      <c r="I568" s="346"/>
      <c r="J568" s="347"/>
      <c r="K568" s="312"/>
      <c r="L568" s="347"/>
      <c r="M568" s="312"/>
      <c r="N568" s="347"/>
      <c r="O568" s="312"/>
      <c r="P568" s="347"/>
      <c r="Q568" s="312"/>
      <c r="R568" s="347"/>
      <c r="S568" s="312"/>
      <c r="T568" s="347"/>
    </row>
    <row r="569" spans="1:20" ht="12" customHeight="1" x14ac:dyDescent="0.3">
      <c r="A569" s="340" t="s">
        <v>291</v>
      </c>
      <c r="B569" s="341">
        <v>40</v>
      </c>
      <c r="C569" s="309">
        <v>46066</v>
      </c>
      <c r="D569" s="310" t="s">
        <v>318</v>
      </c>
      <c r="E569" s="342"/>
      <c r="F569" s="342">
        <v>427.18</v>
      </c>
      <c r="G569" s="344">
        <f t="shared" si="4"/>
        <v>5802.429999999993</v>
      </c>
      <c r="H569" s="345"/>
      <c r="I569" s="346"/>
      <c r="J569" s="347"/>
      <c r="K569" s="312"/>
      <c r="L569" s="347"/>
      <c r="M569" s="312"/>
      <c r="N569" s="347"/>
      <c r="O569" s="312"/>
      <c r="P569" s="347"/>
      <c r="Q569" s="312"/>
      <c r="R569" s="347"/>
      <c r="S569" s="312"/>
      <c r="T569" s="347"/>
    </row>
    <row r="570" spans="1:20" ht="12" customHeight="1" x14ac:dyDescent="0.3">
      <c r="A570" s="340" t="s">
        <v>291</v>
      </c>
      <c r="B570" s="341">
        <v>38</v>
      </c>
      <c r="C570" s="309">
        <v>46066</v>
      </c>
      <c r="D570" s="310" t="s">
        <v>293</v>
      </c>
      <c r="E570" s="342"/>
      <c r="F570" s="342">
        <v>4278.16</v>
      </c>
      <c r="G570" s="344">
        <f t="shared" si="4"/>
        <v>5375.2499999999927</v>
      </c>
      <c r="H570" s="345"/>
      <c r="I570" s="346"/>
      <c r="J570" s="347"/>
      <c r="K570" s="312"/>
      <c r="L570" s="347"/>
      <c r="M570" s="312"/>
      <c r="N570" s="347"/>
      <c r="O570" s="312"/>
      <c r="P570" s="347"/>
      <c r="Q570" s="312"/>
      <c r="R570" s="347"/>
      <c r="S570" s="312"/>
      <c r="T570" s="347"/>
    </row>
    <row r="571" spans="1:20" ht="12" customHeight="1" x14ac:dyDescent="0.3">
      <c r="A571" s="340" t="s">
        <v>289</v>
      </c>
      <c r="B571" s="341">
        <v>8</v>
      </c>
      <c r="C571" s="309">
        <v>46065</v>
      </c>
      <c r="D571" s="310" t="s">
        <v>361</v>
      </c>
      <c r="E571" s="342">
        <v>111.36</v>
      </c>
      <c r="F571" s="342"/>
      <c r="G571" s="344">
        <f t="shared" si="4"/>
        <v>1097.0899999999931</v>
      </c>
      <c r="H571" s="345"/>
      <c r="I571" s="346"/>
      <c r="J571" s="347"/>
      <c r="K571" s="312"/>
      <c r="L571" s="347"/>
      <c r="M571" s="312"/>
      <c r="N571" s="347"/>
      <c r="O571" s="312"/>
      <c r="P571" s="347"/>
      <c r="Q571" s="312"/>
      <c r="R571" s="347"/>
      <c r="S571" s="312"/>
      <c r="T571" s="347"/>
    </row>
    <row r="572" spans="1:20" ht="12" customHeight="1" x14ac:dyDescent="0.3">
      <c r="A572" s="340" t="s">
        <v>289</v>
      </c>
      <c r="B572" s="341">
        <v>6</v>
      </c>
      <c r="C572" s="309">
        <v>46065</v>
      </c>
      <c r="D572" s="310" t="s">
        <v>451</v>
      </c>
      <c r="E572" s="342">
        <v>16</v>
      </c>
      <c r="F572" s="342"/>
      <c r="G572" s="344">
        <f t="shared" si="4"/>
        <v>1208.449999999993</v>
      </c>
      <c r="H572" s="345"/>
      <c r="I572" s="346"/>
      <c r="J572" s="347"/>
      <c r="K572" s="312"/>
      <c r="L572" s="347"/>
      <c r="M572" s="312"/>
      <c r="N572" s="347"/>
      <c r="O572" s="312"/>
      <c r="P572" s="347"/>
      <c r="Q572" s="312"/>
      <c r="R572" s="347"/>
      <c r="S572" s="312"/>
      <c r="T572" s="347"/>
    </row>
    <row r="573" spans="1:20" ht="12" customHeight="1" x14ac:dyDescent="0.3">
      <c r="A573" s="340" t="s">
        <v>289</v>
      </c>
      <c r="B573" s="341">
        <v>6</v>
      </c>
      <c r="C573" s="309">
        <v>46065</v>
      </c>
      <c r="D573" s="310" t="s">
        <v>300</v>
      </c>
      <c r="E573" s="342">
        <v>29.81</v>
      </c>
      <c r="F573" s="342"/>
      <c r="G573" s="344">
        <f t="shared" si="4"/>
        <v>1224.449999999993</v>
      </c>
      <c r="H573" s="345"/>
      <c r="I573" s="346"/>
      <c r="J573" s="347"/>
      <c r="K573" s="312"/>
      <c r="L573" s="347"/>
      <c r="M573" s="312"/>
      <c r="N573" s="347"/>
      <c r="O573" s="312"/>
      <c r="P573" s="347"/>
      <c r="Q573" s="312"/>
      <c r="R573" s="347"/>
      <c r="S573" s="312"/>
      <c r="T573" s="347"/>
    </row>
    <row r="574" spans="1:20" ht="12" customHeight="1" x14ac:dyDescent="0.3">
      <c r="A574" s="340" t="s">
        <v>294</v>
      </c>
      <c r="B574" s="341">
        <v>19</v>
      </c>
      <c r="C574" s="309">
        <v>46065</v>
      </c>
      <c r="D574" s="310" t="s">
        <v>191</v>
      </c>
      <c r="E574" s="342">
        <v>200</v>
      </c>
      <c r="F574" s="342"/>
      <c r="G574" s="344">
        <f t="shared" si="4"/>
        <v>1254.2599999999929</v>
      </c>
      <c r="H574" s="345"/>
      <c r="I574" s="346"/>
      <c r="J574" s="347"/>
      <c r="K574" s="312"/>
      <c r="L574" s="347"/>
      <c r="M574" s="312"/>
      <c r="N574" s="347"/>
      <c r="O574" s="312"/>
      <c r="P574" s="347"/>
      <c r="Q574" s="312"/>
      <c r="R574" s="347"/>
      <c r="S574" s="312"/>
      <c r="T574" s="347"/>
    </row>
    <row r="575" spans="1:20" ht="12" customHeight="1" x14ac:dyDescent="0.3">
      <c r="A575" s="340" t="s">
        <v>289</v>
      </c>
      <c r="B575" s="341">
        <v>2</v>
      </c>
      <c r="C575" s="309">
        <v>46065</v>
      </c>
      <c r="D575" s="310" t="s">
        <v>296</v>
      </c>
      <c r="E575" s="342">
        <v>7.56</v>
      </c>
      <c r="F575" s="342"/>
      <c r="G575" s="344">
        <f t="shared" si="4"/>
        <v>1454.2599999999929</v>
      </c>
      <c r="H575" s="345"/>
      <c r="I575" s="346"/>
      <c r="J575" s="347"/>
      <c r="K575" s="312"/>
      <c r="L575" s="347"/>
      <c r="M575" s="312"/>
      <c r="N575" s="347"/>
      <c r="O575" s="312"/>
      <c r="P575" s="347"/>
      <c r="Q575" s="312"/>
      <c r="R575" s="347"/>
      <c r="S575" s="312"/>
      <c r="T575" s="347"/>
    </row>
    <row r="576" spans="1:20" ht="12" customHeight="1" x14ac:dyDescent="0.3">
      <c r="A576" s="340" t="s">
        <v>289</v>
      </c>
      <c r="B576" s="341">
        <v>4</v>
      </c>
      <c r="C576" s="309">
        <v>46065</v>
      </c>
      <c r="D576" s="310" t="s">
        <v>296</v>
      </c>
      <c r="E576" s="342">
        <v>65.78</v>
      </c>
      <c r="F576" s="342"/>
      <c r="G576" s="344">
        <f t="shared" si="4"/>
        <v>1461.8199999999929</v>
      </c>
      <c r="H576" s="345"/>
      <c r="I576" s="346"/>
      <c r="J576" s="347"/>
      <c r="K576" s="312"/>
      <c r="L576" s="347"/>
      <c r="M576" s="312"/>
      <c r="N576" s="347"/>
      <c r="O576" s="312"/>
      <c r="P576" s="347"/>
      <c r="Q576" s="312"/>
      <c r="R576" s="347"/>
      <c r="S576" s="312"/>
      <c r="T576" s="347"/>
    </row>
    <row r="577" spans="1:20" ht="12" customHeight="1" x14ac:dyDescent="0.3">
      <c r="A577" s="340" t="s">
        <v>289</v>
      </c>
      <c r="B577" s="341">
        <v>3</v>
      </c>
      <c r="C577" s="309">
        <v>46065</v>
      </c>
      <c r="D577" s="310" t="s">
        <v>296</v>
      </c>
      <c r="E577" s="342">
        <v>3.93</v>
      </c>
      <c r="F577" s="342"/>
      <c r="G577" s="344">
        <f t="shared" si="4"/>
        <v>1527.5999999999929</v>
      </c>
      <c r="H577" s="345"/>
      <c r="I577" s="346"/>
      <c r="J577" s="347"/>
      <c r="K577" s="312"/>
      <c r="L577" s="347"/>
      <c r="M577" s="312"/>
      <c r="N577" s="347"/>
      <c r="O577" s="312"/>
      <c r="P577" s="347"/>
      <c r="Q577" s="312"/>
      <c r="R577" s="347"/>
      <c r="S577" s="312"/>
      <c r="T577" s="347"/>
    </row>
    <row r="578" spans="1:20" ht="12" customHeight="1" x14ac:dyDescent="0.3">
      <c r="A578" s="340" t="s">
        <v>289</v>
      </c>
      <c r="B578" s="341">
        <v>7</v>
      </c>
      <c r="C578" s="309">
        <v>46065</v>
      </c>
      <c r="D578" s="310" t="s">
        <v>452</v>
      </c>
      <c r="E578" s="342">
        <v>564.83000000000004</v>
      </c>
      <c r="F578" s="342"/>
      <c r="G578" s="344">
        <f t="shared" si="4"/>
        <v>1531.5299999999929</v>
      </c>
      <c r="H578" s="345"/>
      <c r="I578" s="346"/>
      <c r="J578" s="347"/>
      <c r="K578" s="312"/>
      <c r="L578" s="347"/>
      <c r="M578" s="312"/>
      <c r="N578" s="347"/>
      <c r="O578" s="312"/>
      <c r="P578" s="347"/>
      <c r="Q578" s="312"/>
      <c r="R578" s="347"/>
      <c r="S578" s="312"/>
      <c r="T578" s="347"/>
    </row>
    <row r="579" spans="1:20" ht="12" customHeight="1" x14ac:dyDescent="0.3">
      <c r="A579" s="340" t="s">
        <v>289</v>
      </c>
      <c r="B579" s="341">
        <v>7</v>
      </c>
      <c r="C579" s="309">
        <v>46065</v>
      </c>
      <c r="D579" s="310" t="s">
        <v>453</v>
      </c>
      <c r="E579" s="342">
        <v>70.180000000000007</v>
      </c>
      <c r="F579" s="342"/>
      <c r="G579" s="344">
        <f t="shared" si="4"/>
        <v>2096.3599999999929</v>
      </c>
      <c r="H579" s="345"/>
      <c r="I579" s="346"/>
      <c r="J579" s="347"/>
      <c r="K579" s="312"/>
      <c r="L579" s="347"/>
      <c r="M579" s="312"/>
      <c r="N579" s="347"/>
      <c r="O579" s="312"/>
      <c r="P579" s="347"/>
      <c r="Q579" s="312"/>
      <c r="R579" s="347"/>
      <c r="S579" s="312"/>
      <c r="T579" s="347"/>
    </row>
    <row r="580" spans="1:20" ht="12" customHeight="1" x14ac:dyDescent="0.3">
      <c r="A580" s="340" t="s">
        <v>289</v>
      </c>
      <c r="B580" s="341">
        <v>6</v>
      </c>
      <c r="C580" s="309">
        <v>46065</v>
      </c>
      <c r="D580" s="310" t="s">
        <v>454</v>
      </c>
      <c r="E580" s="342">
        <v>2.66</v>
      </c>
      <c r="F580" s="342"/>
      <c r="G580" s="344">
        <f t="shared" si="4"/>
        <v>2166.5399999999927</v>
      </c>
      <c r="H580" s="345"/>
      <c r="I580" s="346"/>
      <c r="J580" s="347"/>
      <c r="K580" s="312"/>
      <c r="L580" s="347"/>
      <c r="M580" s="312"/>
      <c r="N580" s="347"/>
      <c r="O580" s="312"/>
      <c r="P580" s="347"/>
      <c r="Q580" s="312"/>
      <c r="R580" s="347"/>
      <c r="S580" s="312"/>
      <c r="T580" s="347"/>
    </row>
    <row r="581" spans="1:20" ht="12" customHeight="1" x14ac:dyDescent="0.3">
      <c r="A581" s="340" t="s">
        <v>289</v>
      </c>
      <c r="B581" s="341">
        <v>5</v>
      </c>
      <c r="C581" s="309">
        <v>46064</v>
      </c>
      <c r="D581" s="310" t="s">
        <v>436</v>
      </c>
      <c r="E581" s="342">
        <v>103.25</v>
      </c>
      <c r="F581" s="342"/>
      <c r="G581" s="344">
        <f t="shared" si="4"/>
        <v>2169.1999999999925</v>
      </c>
      <c r="H581" s="345"/>
      <c r="I581" s="346"/>
      <c r="J581" s="347"/>
      <c r="K581" s="312"/>
      <c r="L581" s="347"/>
      <c r="M581" s="312"/>
      <c r="N581" s="347"/>
      <c r="O581" s="312"/>
      <c r="P581" s="347"/>
      <c r="Q581" s="312"/>
      <c r="R581" s="347"/>
      <c r="S581" s="312"/>
      <c r="T581" s="347"/>
    </row>
    <row r="582" spans="1:20" ht="12" customHeight="1" x14ac:dyDescent="0.3">
      <c r="A582" s="340" t="s">
        <v>289</v>
      </c>
      <c r="B582" s="341">
        <v>4</v>
      </c>
      <c r="C582" s="309">
        <v>46064</v>
      </c>
      <c r="D582" s="310" t="s">
        <v>367</v>
      </c>
      <c r="E582" s="342">
        <v>30.39</v>
      </c>
      <c r="F582" s="342"/>
      <c r="G582" s="344">
        <f t="shared" si="4"/>
        <v>2272.4499999999925</v>
      </c>
      <c r="H582" s="345"/>
      <c r="I582" s="346"/>
      <c r="J582" s="347"/>
      <c r="K582" s="312"/>
      <c r="L582" s="347"/>
      <c r="M582" s="312"/>
      <c r="N582" s="347"/>
      <c r="O582" s="312"/>
      <c r="P582" s="347"/>
      <c r="Q582" s="312"/>
      <c r="R582" s="347"/>
      <c r="S582" s="312"/>
      <c r="T582" s="347"/>
    </row>
    <row r="583" spans="1:20" ht="12" customHeight="1" x14ac:dyDescent="0.3">
      <c r="A583" s="340" t="s">
        <v>289</v>
      </c>
      <c r="B583" s="341">
        <v>2</v>
      </c>
      <c r="C583" s="309">
        <v>46064</v>
      </c>
      <c r="D583" s="310" t="s">
        <v>296</v>
      </c>
      <c r="E583" s="342">
        <v>9.92</v>
      </c>
      <c r="F583" s="342"/>
      <c r="G583" s="344">
        <f t="shared" si="4"/>
        <v>2302.8399999999924</v>
      </c>
      <c r="H583" s="345"/>
      <c r="I583" s="346"/>
      <c r="J583" s="347"/>
      <c r="K583" s="312"/>
      <c r="L583" s="347"/>
      <c r="M583" s="312"/>
      <c r="N583" s="347"/>
      <c r="O583" s="312"/>
      <c r="P583" s="347"/>
      <c r="Q583" s="312"/>
      <c r="R583" s="347"/>
      <c r="S583" s="312"/>
      <c r="T583" s="347"/>
    </row>
    <row r="584" spans="1:20" ht="12" customHeight="1" x14ac:dyDescent="0.3">
      <c r="A584" s="340" t="s">
        <v>289</v>
      </c>
      <c r="B584" s="341">
        <v>3</v>
      </c>
      <c r="C584" s="309">
        <v>46064</v>
      </c>
      <c r="D584" s="310" t="s">
        <v>295</v>
      </c>
      <c r="E584" s="342">
        <v>3.49</v>
      </c>
      <c r="F584" s="342"/>
      <c r="G584" s="344">
        <f t="shared" si="4"/>
        <v>2312.7599999999925</v>
      </c>
      <c r="H584" s="345"/>
      <c r="I584" s="346"/>
      <c r="J584" s="347"/>
      <c r="K584" s="312"/>
      <c r="L584" s="347"/>
      <c r="M584" s="312"/>
      <c r="N584" s="347"/>
      <c r="O584" s="312"/>
      <c r="P584" s="347"/>
      <c r="Q584" s="312"/>
      <c r="R584" s="347"/>
      <c r="S584" s="312"/>
      <c r="T584" s="347"/>
    </row>
    <row r="585" spans="1:20" ht="12" customHeight="1" x14ac:dyDescent="0.3">
      <c r="A585" s="340" t="s">
        <v>294</v>
      </c>
      <c r="B585" s="341">
        <v>22</v>
      </c>
      <c r="C585" s="309">
        <v>46064</v>
      </c>
      <c r="D585" s="310" t="s">
        <v>356</v>
      </c>
      <c r="E585" s="342">
        <v>19.16</v>
      </c>
      <c r="F585" s="342"/>
      <c r="G585" s="344">
        <f t="shared" si="4"/>
        <v>2316.2499999999923</v>
      </c>
      <c r="H585" s="345"/>
      <c r="I585" s="346"/>
      <c r="J585" s="347"/>
      <c r="K585" s="312"/>
      <c r="L585" s="347"/>
      <c r="M585" s="312"/>
      <c r="N585" s="347"/>
      <c r="O585" s="312"/>
      <c r="P585" s="347"/>
      <c r="Q585" s="312"/>
      <c r="R585" s="347"/>
      <c r="S585" s="312"/>
      <c r="T585" s="347"/>
    </row>
    <row r="586" spans="1:20" ht="12" customHeight="1" x14ac:dyDescent="0.3">
      <c r="A586" s="340" t="s">
        <v>289</v>
      </c>
      <c r="B586" s="341">
        <v>6</v>
      </c>
      <c r="C586" s="309">
        <v>46063</v>
      </c>
      <c r="D586" s="310" t="s">
        <v>419</v>
      </c>
      <c r="E586" s="342">
        <v>-8</v>
      </c>
      <c r="F586" s="342"/>
      <c r="G586" s="344">
        <f t="shared" si="4"/>
        <v>2335.4099999999921</v>
      </c>
      <c r="H586" s="345"/>
      <c r="I586" s="346"/>
      <c r="J586" s="347"/>
      <c r="K586" s="312"/>
      <c r="L586" s="347"/>
      <c r="M586" s="312"/>
      <c r="N586" s="347"/>
      <c r="O586" s="312"/>
      <c r="P586" s="347"/>
      <c r="Q586" s="312"/>
      <c r="R586" s="347"/>
      <c r="S586" s="312"/>
      <c r="T586" s="347"/>
    </row>
    <row r="587" spans="1:20" ht="12" customHeight="1" x14ac:dyDescent="0.3">
      <c r="A587" s="340" t="s">
        <v>289</v>
      </c>
      <c r="B587" s="341">
        <v>6</v>
      </c>
      <c r="C587" s="309">
        <v>46063</v>
      </c>
      <c r="D587" s="310" t="s">
        <v>455</v>
      </c>
      <c r="E587" s="342">
        <v>-0.04</v>
      </c>
      <c r="F587" s="342"/>
      <c r="G587" s="344">
        <f t="shared" si="4"/>
        <v>2327.4099999999921</v>
      </c>
      <c r="H587" s="345"/>
      <c r="I587" s="346"/>
      <c r="J587" s="347"/>
      <c r="K587" s="312"/>
      <c r="L587" s="347"/>
      <c r="M587" s="312"/>
      <c r="N587" s="347"/>
      <c r="O587" s="312"/>
      <c r="P587" s="347"/>
      <c r="Q587" s="312"/>
      <c r="R587" s="347"/>
      <c r="S587" s="312"/>
      <c r="T587" s="347"/>
    </row>
    <row r="588" spans="1:20" ht="12" customHeight="1" x14ac:dyDescent="0.3">
      <c r="A588" s="340" t="s">
        <v>339</v>
      </c>
      <c r="B588" s="341" t="s">
        <v>339</v>
      </c>
      <c r="C588" s="309">
        <v>46063</v>
      </c>
      <c r="D588" s="310" t="s">
        <v>456</v>
      </c>
      <c r="E588" s="342">
        <v>65.78</v>
      </c>
      <c r="F588" s="342"/>
      <c r="G588" s="344">
        <f t="shared" si="4"/>
        <v>2327.3699999999922</v>
      </c>
      <c r="H588" s="345"/>
      <c r="I588" s="346"/>
      <c r="J588" s="347"/>
      <c r="K588" s="312"/>
      <c r="L588" s="347"/>
      <c r="M588" s="312"/>
      <c r="N588" s="347"/>
      <c r="O588" s="312"/>
      <c r="P588" s="347"/>
      <c r="Q588" s="312"/>
      <c r="R588" s="347"/>
      <c r="S588" s="312"/>
      <c r="T588" s="347"/>
    </row>
    <row r="589" spans="1:20" ht="12" customHeight="1" x14ac:dyDescent="0.3">
      <c r="A589" s="340" t="s">
        <v>294</v>
      </c>
      <c r="B589" s="341">
        <v>13</v>
      </c>
      <c r="C589" s="309">
        <v>46063</v>
      </c>
      <c r="D589" s="310" t="s">
        <v>457</v>
      </c>
      <c r="E589" s="342">
        <v>159.35</v>
      </c>
      <c r="F589" s="342"/>
      <c r="G589" s="344">
        <f t="shared" si="4"/>
        <v>2393.1499999999924</v>
      </c>
      <c r="H589" s="345"/>
      <c r="I589" s="346"/>
      <c r="J589" s="347"/>
      <c r="K589" s="312"/>
      <c r="L589" s="347"/>
      <c r="M589" s="312"/>
      <c r="N589" s="347"/>
      <c r="O589" s="312"/>
      <c r="P589" s="347"/>
      <c r="Q589" s="312"/>
      <c r="R589" s="347"/>
      <c r="S589" s="312"/>
      <c r="T589" s="347"/>
    </row>
    <row r="590" spans="1:20" ht="12" customHeight="1" x14ac:dyDescent="0.3">
      <c r="A590" s="340" t="s">
        <v>289</v>
      </c>
      <c r="B590" s="341">
        <v>2</v>
      </c>
      <c r="C590" s="309">
        <v>46063</v>
      </c>
      <c r="D590" s="310" t="s">
        <v>296</v>
      </c>
      <c r="E590" s="342">
        <v>16.29</v>
      </c>
      <c r="F590" s="342"/>
      <c r="G590" s="344">
        <f t="shared" si="4"/>
        <v>2552.4999999999923</v>
      </c>
      <c r="H590" s="345"/>
      <c r="I590" s="346"/>
      <c r="J590" s="347"/>
      <c r="K590" s="312"/>
      <c r="L590" s="347"/>
      <c r="M590" s="312"/>
      <c r="N590" s="347"/>
      <c r="O590" s="312"/>
      <c r="P590" s="347"/>
      <c r="Q590" s="312"/>
      <c r="R590" s="347"/>
      <c r="S590" s="312"/>
      <c r="T590" s="347"/>
    </row>
    <row r="591" spans="1:20" ht="12" customHeight="1" x14ac:dyDescent="0.3">
      <c r="A591" s="340" t="s">
        <v>289</v>
      </c>
      <c r="B591" s="341">
        <v>1</v>
      </c>
      <c r="C591" s="309">
        <v>46063</v>
      </c>
      <c r="D591" s="310" t="s">
        <v>312</v>
      </c>
      <c r="E591" s="342">
        <v>19.329999999999998</v>
      </c>
      <c r="F591" s="342"/>
      <c r="G591" s="344">
        <f t="shared" si="4"/>
        <v>2568.7899999999922</v>
      </c>
      <c r="H591" s="345"/>
      <c r="I591" s="346"/>
      <c r="J591" s="347"/>
      <c r="K591" s="312"/>
      <c r="L591" s="347"/>
      <c r="M591" s="312"/>
      <c r="N591" s="347"/>
      <c r="O591" s="312"/>
      <c r="P591" s="347"/>
      <c r="Q591" s="312"/>
      <c r="R591" s="347"/>
      <c r="S591" s="312"/>
      <c r="T591" s="347"/>
    </row>
    <row r="592" spans="1:20" ht="12" customHeight="1" x14ac:dyDescent="0.3">
      <c r="A592" s="340" t="s">
        <v>289</v>
      </c>
      <c r="B592" s="341">
        <v>3</v>
      </c>
      <c r="C592" s="309">
        <v>46062</v>
      </c>
      <c r="D592" s="310" t="s">
        <v>458</v>
      </c>
      <c r="E592" s="342">
        <v>8.61</v>
      </c>
      <c r="F592" s="342"/>
      <c r="G592" s="344">
        <f t="shared" ref="G592:G837" si="5">G593-E592+F592</f>
        <v>2588.1199999999922</v>
      </c>
      <c r="H592" s="345"/>
      <c r="I592" s="346"/>
      <c r="J592" s="347"/>
      <c r="K592" s="312"/>
      <c r="L592" s="347"/>
      <c r="M592" s="312"/>
      <c r="N592" s="347"/>
      <c r="O592" s="312"/>
      <c r="P592" s="347"/>
      <c r="Q592" s="312"/>
      <c r="R592" s="347"/>
      <c r="S592" s="312"/>
      <c r="T592" s="347"/>
    </row>
    <row r="593" spans="1:20" ht="12" customHeight="1" x14ac:dyDescent="0.3">
      <c r="A593" s="340" t="s">
        <v>289</v>
      </c>
      <c r="B593" s="341">
        <v>2</v>
      </c>
      <c r="C593" s="309">
        <v>46062</v>
      </c>
      <c r="D593" s="310" t="s">
        <v>296</v>
      </c>
      <c r="E593" s="342">
        <v>13.41</v>
      </c>
      <c r="F593" s="342"/>
      <c r="G593" s="344">
        <f t="shared" si="5"/>
        <v>2596.7299999999923</v>
      </c>
      <c r="H593" s="345"/>
      <c r="I593" s="346"/>
      <c r="J593" s="347"/>
      <c r="K593" s="312"/>
      <c r="L593" s="347"/>
      <c r="M593" s="312"/>
      <c r="N593" s="347"/>
      <c r="O593" s="312"/>
      <c r="P593" s="347"/>
      <c r="Q593" s="312"/>
      <c r="R593" s="347"/>
      <c r="S593" s="312"/>
      <c r="T593" s="347"/>
    </row>
    <row r="594" spans="1:20" ht="12" customHeight="1" x14ac:dyDescent="0.3">
      <c r="A594" s="340" t="s">
        <v>294</v>
      </c>
      <c r="B594" s="341">
        <v>18</v>
      </c>
      <c r="C594" s="309">
        <v>46062</v>
      </c>
      <c r="D594" s="310" t="s">
        <v>365</v>
      </c>
      <c r="E594" s="342">
        <v>400</v>
      </c>
      <c r="F594" s="342"/>
      <c r="G594" s="344">
        <f t="shared" si="5"/>
        <v>2610.1399999999921</v>
      </c>
      <c r="H594" s="345"/>
      <c r="I594" s="346"/>
      <c r="J594" s="347"/>
      <c r="K594" s="312"/>
      <c r="L594" s="347"/>
      <c r="M594" s="312"/>
      <c r="N594" s="347"/>
      <c r="O594" s="312"/>
      <c r="P594" s="347"/>
      <c r="Q594" s="312"/>
      <c r="R594" s="347"/>
      <c r="S594" s="312"/>
      <c r="T594" s="347"/>
    </row>
    <row r="595" spans="1:20" ht="12" customHeight="1" x14ac:dyDescent="0.3">
      <c r="A595" s="340" t="s">
        <v>294</v>
      </c>
      <c r="B595" s="341">
        <v>9</v>
      </c>
      <c r="C595" s="309">
        <v>46062</v>
      </c>
      <c r="D595" s="310" t="s">
        <v>58</v>
      </c>
      <c r="E595" s="342">
        <v>1281.53</v>
      </c>
      <c r="F595" s="342"/>
      <c r="G595" s="344">
        <f t="shared" si="5"/>
        <v>3010.1399999999921</v>
      </c>
      <c r="H595" s="345"/>
      <c r="I595" s="346"/>
      <c r="J595" s="347"/>
      <c r="K595" s="312"/>
      <c r="L595" s="347"/>
      <c r="M595" s="312"/>
      <c r="N595" s="347"/>
      <c r="O595" s="312"/>
      <c r="P595" s="347"/>
      <c r="Q595" s="312"/>
      <c r="R595" s="347"/>
      <c r="S595" s="312"/>
      <c r="T595" s="347"/>
    </row>
    <row r="596" spans="1:20" ht="12" customHeight="1" x14ac:dyDescent="0.3">
      <c r="A596" s="340" t="s">
        <v>289</v>
      </c>
      <c r="B596" s="341">
        <v>5</v>
      </c>
      <c r="C596" s="309">
        <v>46062</v>
      </c>
      <c r="D596" s="310" t="s">
        <v>459</v>
      </c>
      <c r="E596" s="342">
        <v>50</v>
      </c>
      <c r="F596" s="342"/>
      <c r="G596" s="344">
        <f t="shared" si="5"/>
        <v>4291.6699999999919</v>
      </c>
      <c r="H596" s="345"/>
      <c r="I596" s="346"/>
      <c r="J596" s="347"/>
      <c r="K596" s="312"/>
      <c r="L596" s="347"/>
      <c r="M596" s="312"/>
      <c r="N596" s="347"/>
      <c r="O596" s="312"/>
      <c r="P596" s="347"/>
      <c r="Q596" s="312"/>
      <c r="R596" s="347"/>
      <c r="S596" s="312"/>
      <c r="T596" s="347"/>
    </row>
    <row r="597" spans="1:20" ht="12" customHeight="1" x14ac:dyDescent="0.3">
      <c r="A597" s="340" t="s">
        <v>289</v>
      </c>
      <c r="B597" s="341">
        <v>2</v>
      </c>
      <c r="C597" s="309">
        <v>46062</v>
      </c>
      <c r="D597" s="310" t="s">
        <v>460</v>
      </c>
      <c r="E597" s="342">
        <v>12.1</v>
      </c>
      <c r="F597" s="342"/>
      <c r="G597" s="344">
        <f t="shared" si="5"/>
        <v>4341.6699999999919</v>
      </c>
      <c r="H597" s="345"/>
      <c r="I597" s="346"/>
      <c r="J597" s="347"/>
      <c r="K597" s="312"/>
      <c r="L597" s="347"/>
      <c r="M597" s="312"/>
      <c r="N597" s="347"/>
      <c r="O597" s="312"/>
      <c r="P597" s="347"/>
      <c r="Q597" s="312"/>
      <c r="R597" s="347"/>
      <c r="S597" s="312"/>
      <c r="T597" s="347"/>
    </row>
    <row r="598" spans="1:20" ht="12" customHeight="1" x14ac:dyDescent="0.3">
      <c r="A598" s="340" t="s">
        <v>289</v>
      </c>
      <c r="B598" s="341">
        <v>1</v>
      </c>
      <c r="C598" s="309">
        <v>46061</v>
      </c>
      <c r="D598" s="310" t="s">
        <v>307</v>
      </c>
      <c r="E598" s="342">
        <v>72.099999999999994</v>
      </c>
      <c r="F598" s="342"/>
      <c r="G598" s="344">
        <f t="shared" si="5"/>
        <v>4353.7699999999923</v>
      </c>
      <c r="H598" s="345"/>
      <c r="I598" s="346"/>
      <c r="J598" s="347"/>
      <c r="K598" s="312"/>
      <c r="L598" s="347"/>
      <c r="M598" s="312"/>
      <c r="N598" s="347"/>
      <c r="O598" s="312"/>
      <c r="P598" s="347"/>
      <c r="Q598" s="312"/>
      <c r="R598" s="347"/>
      <c r="S598" s="312"/>
      <c r="T598" s="347"/>
    </row>
    <row r="599" spans="1:20" ht="12" customHeight="1" x14ac:dyDescent="0.3">
      <c r="A599" s="340" t="s">
        <v>289</v>
      </c>
      <c r="B599" s="341">
        <v>8</v>
      </c>
      <c r="C599" s="309">
        <v>46061</v>
      </c>
      <c r="D599" s="310" t="s">
        <v>321</v>
      </c>
      <c r="E599" s="342">
        <v>30.25</v>
      </c>
      <c r="F599" s="342"/>
      <c r="G599" s="344">
        <f t="shared" si="5"/>
        <v>4425.8699999999926</v>
      </c>
      <c r="H599" s="345"/>
      <c r="I599" s="346"/>
      <c r="J599" s="347"/>
      <c r="K599" s="312"/>
      <c r="L599" s="347"/>
      <c r="M599" s="312"/>
      <c r="N599" s="347"/>
      <c r="O599" s="312"/>
      <c r="P599" s="347"/>
      <c r="Q599" s="312"/>
      <c r="R599" s="347"/>
      <c r="S599" s="312"/>
      <c r="T599" s="347"/>
    </row>
    <row r="600" spans="1:20" ht="12" customHeight="1" x14ac:dyDescent="0.3">
      <c r="A600" s="340" t="s">
        <v>289</v>
      </c>
      <c r="B600" s="341">
        <v>3</v>
      </c>
      <c r="C600" s="309">
        <v>46061</v>
      </c>
      <c r="D600" s="310" t="s">
        <v>296</v>
      </c>
      <c r="E600" s="342">
        <v>3.72</v>
      </c>
      <c r="F600" s="342"/>
      <c r="G600" s="344">
        <f t="shared" si="5"/>
        <v>4456.1199999999926</v>
      </c>
      <c r="H600" s="345"/>
      <c r="I600" s="346"/>
      <c r="J600" s="347"/>
      <c r="K600" s="312"/>
      <c r="L600" s="347"/>
      <c r="M600" s="312"/>
      <c r="N600" s="347"/>
      <c r="O600" s="312"/>
      <c r="P600" s="347"/>
      <c r="Q600" s="312"/>
      <c r="R600" s="347"/>
      <c r="S600" s="312"/>
      <c r="T600" s="347"/>
    </row>
    <row r="601" spans="1:20" ht="12" customHeight="1" x14ac:dyDescent="0.3">
      <c r="A601" s="340" t="s">
        <v>289</v>
      </c>
      <c r="B601" s="341">
        <v>4</v>
      </c>
      <c r="C601" s="309">
        <v>46061</v>
      </c>
      <c r="D601" s="310" t="s">
        <v>296</v>
      </c>
      <c r="E601" s="342">
        <v>41.6</v>
      </c>
      <c r="F601" s="342"/>
      <c r="G601" s="344">
        <f t="shared" si="5"/>
        <v>4459.8399999999929</v>
      </c>
      <c r="H601" s="345"/>
      <c r="I601" s="346"/>
      <c r="J601" s="347"/>
      <c r="K601" s="312"/>
      <c r="L601" s="347"/>
      <c r="M601" s="312"/>
      <c r="N601" s="347"/>
      <c r="O601" s="312"/>
      <c r="P601" s="347"/>
      <c r="Q601" s="312"/>
      <c r="R601" s="347"/>
      <c r="S601" s="312"/>
      <c r="T601" s="347"/>
    </row>
    <row r="602" spans="1:20" ht="12" customHeight="1" x14ac:dyDescent="0.3">
      <c r="A602" s="340" t="s">
        <v>289</v>
      </c>
      <c r="B602" s="341">
        <v>3</v>
      </c>
      <c r="C602" s="309">
        <v>46061</v>
      </c>
      <c r="D602" s="310" t="s">
        <v>461</v>
      </c>
      <c r="E602" s="342">
        <v>1</v>
      </c>
      <c r="F602" s="342"/>
      <c r="G602" s="344">
        <f t="shared" si="5"/>
        <v>4501.4399999999932</v>
      </c>
      <c r="H602" s="345"/>
      <c r="I602" s="346"/>
      <c r="J602" s="347"/>
      <c r="K602" s="312"/>
      <c r="L602" s="347"/>
      <c r="M602" s="312"/>
      <c r="N602" s="347"/>
      <c r="O602" s="312"/>
      <c r="P602" s="347"/>
      <c r="Q602" s="312"/>
      <c r="R602" s="347"/>
      <c r="S602" s="312"/>
      <c r="T602" s="347"/>
    </row>
    <row r="603" spans="1:20" ht="12" customHeight="1" x14ac:dyDescent="0.3">
      <c r="A603" s="340" t="s">
        <v>289</v>
      </c>
      <c r="B603" s="341">
        <v>2</v>
      </c>
      <c r="C603" s="309">
        <v>46061</v>
      </c>
      <c r="D603" s="310" t="s">
        <v>362</v>
      </c>
      <c r="E603" s="342">
        <v>10.17</v>
      </c>
      <c r="F603" s="342"/>
      <c r="G603" s="344">
        <f t="shared" si="5"/>
        <v>4502.4399999999932</v>
      </c>
      <c r="H603" s="345"/>
      <c r="I603" s="346"/>
      <c r="J603" s="347"/>
      <c r="K603" s="312"/>
      <c r="L603" s="347"/>
      <c r="M603" s="312"/>
      <c r="N603" s="347"/>
      <c r="O603" s="312"/>
      <c r="P603" s="347"/>
      <c r="Q603" s="312"/>
      <c r="R603" s="347"/>
      <c r="S603" s="312"/>
      <c r="T603" s="347"/>
    </row>
    <row r="604" spans="1:20" ht="12" customHeight="1" x14ac:dyDescent="0.3">
      <c r="A604" s="340" t="s">
        <v>287</v>
      </c>
      <c r="B604" s="341" t="s">
        <v>287</v>
      </c>
      <c r="C604" s="309">
        <v>46060</v>
      </c>
      <c r="D604" s="310" t="s">
        <v>462</v>
      </c>
      <c r="E604" s="342">
        <v>367.77</v>
      </c>
      <c r="F604" s="342">
        <v>367.77</v>
      </c>
      <c r="G604" s="344">
        <f t="shared" si="5"/>
        <v>4512.6099999999933</v>
      </c>
      <c r="H604" s="345"/>
      <c r="I604" s="346"/>
      <c r="J604" s="347"/>
      <c r="K604" s="312"/>
      <c r="L604" s="347"/>
      <c r="M604" s="312"/>
      <c r="N604" s="347"/>
      <c r="O604" s="312"/>
      <c r="P604" s="347"/>
      <c r="Q604" s="312"/>
      <c r="R604" s="347"/>
      <c r="S604" s="312"/>
      <c r="T604" s="347"/>
    </row>
    <row r="605" spans="1:20" ht="12" customHeight="1" x14ac:dyDescent="0.3">
      <c r="A605" s="340" t="s">
        <v>289</v>
      </c>
      <c r="B605" s="341">
        <v>4</v>
      </c>
      <c r="C605" s="309">
        <v>46060</v>
      </c>
      <c r="D605" s="310" t="s">
        <v>311</v>
      </c>
      <c r="E605" s="342">
        <v>32.36</v>
      </c>
      <c r="F605" s="342"/>
      <c r="G605" s="344">
        <f t="shared" si="5"/>
        <v>4512.6099999999933</v>
      </c>
      <c r="H605" s="345"/>
      <c r="I605" s="346"/>
      <c r="J605" s="347"/>
      <c r="K605" s="312"/>
      <c r="L605" s="347"/>
      <c r="M605" s="312"/>
      <c r="N605" s="347"/>
      <c r="O605" s="312"/>
      <c r="P605" s="347"/>
      <c r="Q605" s="312"/>
      <c r="R605" s="347"/>
      <c r="S605" s="312"/>
      <c r="T605" s="347"/>
    </row>
    <row r="606" spans="1:20" ht="12" customHeight="1" x14ac:dyDescent="0.3">
      <c r="A606" s="340" t="s">
        <v>289</v>
      </c>
      <c r="B606" s="341">
        <v>6</v>
      </c>
      <c r="C606" s="309">
        <v>46060</v>
      </c>
      <c r="D606" s="310" t="s">
        <v>463</v>
      </c>
      <c r="E606" s="342">
        <v>41.39</v>
      </c>
      <c r="F606" s="342"/>
      <c r="G606" s="344">
        <f t="shared" si="5"/>
        <v>4544.969999999993</v>
      </c>
      <c r="H606" s="345"/>
      <c r="I606" s="346"/>
      <c r="J606" s="347"/>
      <c r="K606" s="312"/>
      <c r="L606" s="347"/>
      <c r="M606" s="312"/>
      <c r="N606" s="347"/>
      <c r="O606" s="312"/>
      <c r="P606" s="347"/>
      <c r="Q606" s="312"/>
      <c r="R606" s="347"/>
      <c r="S606" s="312"/>
      <c r="T606" s="347"/>
    </row>
    <row r="607" spans="1:20" ht="12" customHeight="1" x14ac:dyDescent="0.3">
      <c r="A607" s="340" t="s">
        <v>289</v>
      </c>
      <c r="B607" s="341">
        <v>1</v>
      </c>
      <c r="C607" s="309">
        <v>46060</v>
      </c>
      <c r="D607" s="310" t="s">
        <v>454</v>
      </c>
      <c r="E607" s="342">
        <v>35.770000000000003</v>
      </c>
      <c r="F607" s="342"/>
      <c r="G607" s="344">
        <f t="shared" si="5"/>
        <v>4586.3599999999933</v>
      </c>
      <c r="H607" s="345"/>
      <c r="I607" s="346"/>
      <c r="J607" s="347"/>
      <c r="K607" s="312"/>
      <c r="L607" s="347"/>
      <c r="M607" s="312"/>
      <c r="N607" s="347"/>
      <c r="O607" s="312"/>
      <c r="P607" s="347"/>
      <c r="Q607" s="312"/>
      <c r="R607" s="347"/>
      <c r="S607" s="312"/>
      <c r="T607" s="347"/>
    </row>
    <row r="608" spans="1:20" ht="12" customHeight="1" x14ac:dyDescent="0.3">
      <c r="A608" s="340" t="s">
        <v>289</v>
      </c>
      <c r="B608" s="341">
        <v>3</v>
      </c>
      <c r="C608" s="309">
        <v>46060</v>
      </c>
      <c r="D608" s="310" t="s">
        <v>352</v>
      </c>
      <c r="E608" s="342">
        <v>25</v>
      </c>
      <c r="F608" s="342"/>
      <c r="G608" s="344">
        <f t="shared" si="5"/>
        <v>4622.1299999999937</v>
      </c>
      <c r="H608" s="345"/>
      <c r="I608" s="346"/>
      <c r="J608" s="347"/>
      <c r="K608" s="312"/>
      <c r="L608" s="347"/>
      <c r="M608" s="312"/>
      <c r="N608" s="347"/>
      <c r="O608" s="312"/>
      <c r="P608" s="347"/>
      <c r="Q608" s="312"/>
      <c r="R608" s="347"/>
      <c r="S608" s="312"/>
      <c r="T608" s="347"/>
    </row>
    <row r="609" spans="1:20" ht="12" customHeight="1" x14ac:dyDescent="0.3">
      <c r="A609" s="340" t="s">
        <v>289</v>
      </c>
      <c r="B609" s="341">
        <v>8</v>
      </c>
      <c r="C609" s="309">
        <v>46060</v>
      </c>
      <c r="D609" s="310" t="s">
        <v>296</v>
      </c>
      <c r="E609" s="342">
        <v>6.69</v>
      </c>
      <c r="F609" s="342"/>
      <c r="G609" s="344">
        <f t="shared" si="5"/>
        <v>4647.1299999999937</v>
      </c>
      <c r="H609" s="345"/>
      <c r="I609" s="346"/>
      <c r="J609" s="347"/>
      <c r="K609" s="312"/>
      <c r="L609" s="347"/>
      <c r="M609" s="312"/>
      <c r="N609" s="347"/>
      <c r="O609" s="312"/>
      <c r="P609" s="347"/>
      <c r="Q609" s="312"/>
      <c r="R609" s="347"/>
      <c r="S609" s="312"/>
      <c r="T609" s="347"/>
    </row>
    <row r="610" spans="1:20" ht="12" customHeight="1" x14ac:dyDescent="0.3">
      <c r="A610" s="340" t="s">
        <v>289</v>
      </c>
      <c r="B610" s="341">
        <v>4</v>
      </c>
      <c r="C610" s="309">
        <v>46060</v>
      </c>
      <c r="D610" s="310" t="s">
        <v>296</v>
      </c>
      <c r="E610" s="342">
        <v>47.85</v>
      </c>
      <c r="F610" s="342"/>
      <c r="G610" s="344">
        <f t="shared" si="5"/>
        <v>4653.8199999999933</v>
      </c>
      <c r="H610" s="345"/>
      <c r="I610" s="346"/>
      <c r="J610" s="347"/>
      <c r="K610" s="312"/>
      <c r="L610" s="347"/>
      <c r="M610" s="312"/>
      <c r="N610" s="347"/>
      <c r="O610" s="312"/>
      <c r="P610" s="347"/>
      <c r="Q610" s="312"/>
      <c r="R610" s="347"/>
      <c r="S610" s="312"/>
      <c r="T610" s="347"/>
    </row>
    <row r="611" spans="1:20" ht="12" customHeight="1" x14ac:dyDescent="0.3">
      <c r="A611" s="340" t="s">
        <v>289</v>
      </c>
      <c r="B611" s="341">
        <v>2</v>
      </c>
      <c r="C611" s="309">
        <v>46059</v>
      </c>
      <c r="D611" s="310" t="s">
        <v>301</v>
      </c>
      <c r="E611" s="342">
        <v>20</v>
      </c>
      <c r="F611" s="342"/>
      <c r="G611" s="344">
        <f t="shared" si="5"/>
        <v>4701.6699999999937</v>
      </c>
      <c r="H611" s="345"/>
      <c r="I611" s="346"/>
      <c r="J611" s="347"/>
      <c r="K611" s="312"/>
      <c r="L611" s="347"/>
      <c r="M611" s="312"/>
      <c r="N611" s="347"/>
      <c r="O611" s="312"/>
      <c r="P611" s="347"/>
      <c r="Q611" s="312"/>
      <c r="R611" s="347"/>
      <c r="S611" s="312"/>
      <c r="T611" s="347"/>
    </row>
    <row r="612" spans="1:20" ht="12" customHeight="1" x14ac:dyDescent="0.3">
      <c r="A612" s="340" t="s">
        <v>291</v>
      </c>
      <c r="B612" s="341">
        <v>40</v>
      </c>
      <c r="C612" s="309">
        <v>46059</v>
      </c>
      <c r="D612" s="310" t="s">
        <v>318</v>
      </c>
      <c r="E612" s="342"/>
      <c r="F612" s="342">
        <v>822.99</v>
      </c>
      <c r="G612" s="344">
        <f t="shared" si="5"/>
        <v>4721.6699999999937</v>
      </c>
      <c r="H612" s="345"/>
      <c r="I612" s="346"/>
      <c r="J612" s="347"/>
      <c r="K612" s="312"/>
      <c r="L612" s="347"/>
      <c r="M612" s="312"/>
      <c r="N612" s="347"/>
      <c r="O612" s="312"/>
      <c r="P612" s="347"/>
      <c r="Q612" s="312"/>
      <c r="R612" s="347"/>
      <c r="S612" s="312"/>
      <c r="T612" s="347"/>
    </row>
    <row r="613" spans="1:20" ht="12" customHeight="1" x14ac:dyDescent="0.3">
      <c r="A613" s="340" t="s">
        <v>294</v>
      </c>
      <c r="B613" s="341">
        <v>14</v>
      </c>
      <c r="C613" s="309">
        <v>46059</v>
      </c>
      <c r="D613" s="310" t="s">
        <v>370</v>
      </c>
      <c r="E613" s="342">
        <v>66.67</v>
      </c>
      <c r="F613" s="342"/>
      <c r="G613" s="344">
        <f t="shared" si="5"/>
        <v>3898.6799999999935</v>
      </c>
      <c r="H613" s="345"/>
      <c r="I613" s="346"/>
      <c r="J613" s="347"/>
      <c r="K613" s="312"/>
      <c r="L613" s="347"/>
      <c r="M613" s="312"/>
      <c r="N613" s="347"/>
      <c r="O613" s="312"/>
      <c r="P613" s="347"/>
      <c r="Q613" s="312"/>
      <c r="R613" s="347"/>
      <c r="S613" s="312"/>
      <c r="T613" s="347"/>
    </row>
    <row r="614" spans="1:20" ht="12" customHeight="1" x14ac:dyDescent="0.3">
      <c r="A614" s="340" t="s">
        <v>289</v>
      </c>
      <c r="B614" s="341">
        <v>2</v>
      </c>
      <c r="C614" s="309">
        <v>46059</v>
      </c>
      <c r="D614" s="310" t="s">
        <v>296</v>
      </c>
      <c r="E614" s="342">
        <v>9.35</v>
      </c>
      <c r="F614" s="342"/>
      <c r="G614" s="344">
        <f t="shared" si="5"/>
        <v>3965.3499999999935</v>
      </c>
      <c r="H614" s="345"/>
      <c r="I614" s="346"/>
      <c r="J614" s="347"/>
      <c r="K614" s="312"/>
      <c r="L614" s="347"/>
      <c r="M614" s="312"/>
      <c r="N614" s="347"/>
      <c r="O614" s="312"/>
      <c r="P614" s="347"/>
      <c r="Q614" s="312"/>
      <c r="R614" s="347"/>
      <c r="S614" s="312"/>
      <c r="T614" s="347"/>
    </row>
    <row r="615" spans="1:20" ht="12" customHeight="1" x14ac:dyDescent="0.3">
      <c r="A615" s="340" t="s">
        <v>289</v>
      </c>
      <c r="B615" s="341">
        <v>4</v>
      </c>
      <c r="C615" s="309">
        <v>46059</v>
      </c>
      <c r="D615" s="310" t="s">
        <v>296</v>
      </c>
      <c r="E615" s="342">
        <v>45.81</v>
      </c>
      <c r="F615" s="342"/>
      <c r="G615" s="344">
        <f t="shared" si="5"/>
        <v>3974.6999999999935</v>
      </c>
      <c r="H615" s="345"/>
      <c r="I615" s="346"/>
      <c r="J615" s="347"/>
      <c r="K615" s="312"/>
      <c r="L615" s="347"/>
      <c r="M615" s="312"/>
      <c r="N615" s="347"/>
      <c r="O615" s="312"/>
      <c r="P615" s="347"/>
      <c r="Q615" s="312"/>
      <c r="R615" s="347"/>
      <c r="S615" s="312"/>
      <c r="T615" s="347"/>
    </row>
    <row r="616" spans="1:20" ht="12" customHeight="1" x14ac:dyDescent="0.3">
      <c r="A616" s="340" t="s">
        <v>289</v>
      </c>
      <c r="B616" s="341">
        <v>2</v>
      </c>
      <c r="C616" s="309">
        <v>46059</v>
      </c>
      <c r="D616" s="310" t="s">
        <v>357</v>
      </c>
      <c r="E616" s="342">
        <v>22.98</v>
      </c>
      <c r="F616" s="342"/>
      <c r="G616" s="344">
        <f t="shared" si="5"/>
        <v>4020.5099999999934</v>
      </c>
      <c r="H616" s="345"/>
      <c r="I616" s="346"/>
      <c r="J616" s="347"/>
      <c r="K616" s="312"/>
      <c r="L616" s="347"/>
      <c r="M616" s="312"/>
      <c r="N616" s="347"/>
      <c r="O616" s="312"/>
      <c r="P616" s="347"/>
      <c r="Q616" s="312"/>
      <c r="R616" s="347"/>
      <c r="S616" s="312"/>
      <c r="T616" s="347"/>
    </row>
    <row r="617" spans="1:20" ht="12" customHeight="1" x14ac:dyDescent="0.3">
      <c r="A617" s="340" t="s">
        <v>289</v>
      </c>
      <c r="B617" s="341">
        <v>2</v>
      </c>
      <c r="C617" s="309">
        <v>46059</v>
      </c>
      <c r="D617" s="310" t="s">
        <v>301</v>
      </c>
      <c r="E617" s="342">
        <v>46.5</v>
      </c>
      <c r="F617" s="342"/>
      <c r="G617" s="344">
        <f t="shared" si="5"/>
        <v>4043.4899999999934</v>
      </c>
      <c r="H617" s="345"/>
      <c r="I617" s="346"/>
      <c r="J617" s="347"/>
      <c r="K617" s="312"/>
      <c r="L617" s="347"/>
      <c r="M617" s="312"/>
      <c r="N617" s="347"/>
      <c r="O617" s="312"/>
      <c r="P617" s="347"/>
      <c r="Q617" s="312"/>
      <c r="R617" s="347"/>
      <c r="S617" s="312"/>
      <c r="T617" s="347"/>
    </row>
    <row r="618" spans="1:20" ht="12" customHeight="1" x14ac:dyDescent="0.3">
      <c r="A618" s="340" t="s">
        <v>289</v>
      </c>
      <c r="B618" s="341">
        <v>2</v>
      </c>
      <c r="C618" s="309">
        <v>46059</v>
      </c>
      <c r="D618" s="310" t="s">
        <v>362</v>
      </c>
      <c r="E618" s="342">
        <v>10.17</v>
      </c>
      <c r="F618" s="342"/>
      <c r="G618" s="344">
        <f t="shared" si="5"/>
        <v>4089.9899999999934</v>
      </c>
      <c r="H618" s="345"/>
      <c r="I618" s="346"/>
      <c r="J618" s="347"/>
      <c r="K618" s="312"/>
      <c r="L618" s="347"/>
      <c r="M618" s="312"/>
      <c r="N618" s="347"/>
      <c r="O618" s="312"/>
      <c r="P618" s="347"/>
      <c r="Q618" s="312"/>
      <c r="R618" s="347"/>
      <c r="S618" s="312"/>
      <c r="T618" s="347"/>
    </row>
    <row r="619" spans="1:20" ht="12" customHeight="1" x14ac:dyDescent="0.3">
      <c r="A619" s="340" t="s">
        <v>289</v>
      </c>
      <c r="B619" s="341">
        <v>8</v>
      </c>
      <c r="C619" s="309">
        <v>46059</v>
      </c>
      <c r="D619" s="310" t="s">
        <v>444</v>
      </c>
      <c r="E619" s="342">
        <v>81.2</v>
      </c>
      <c r="F619" s="342"/>
      <c r="G619" s="344">
        <f t="shared" si="5"/>
        <v>4100.1599999999935</v>
      </c>
      <c r="H619" s="345"/>
      <c r="I619" s="346"/>
      <c r="J619" s="347"/>
      <c r="K619" s="312"/>
      <c r="L619" s="347"/>
      <c r="M619" s="312"/>
      <c r="N619" s="347"/>
      <c r="O619" s="312"/>
      <c r="P619" s="347"/>
      <c r="Q619" s="312"/>
      <c r="R619" s="347"/>
      <c r="S619" s="312"/>
      <c r="T619" s="347"/>
    </row>
    <row r="620" spans="1:20" ht="12" customHeight="1" x14ac:dyDescent="0.3">
      <c r="A620" s="340" t="s">
        <v>289</v>
      </c>
      <c r="B620" s="341">
        <v>2</v>
      </c>
      <c r="C620" s="309">
        <v>46058</v>
      </c>
      <c r="D620" s="310" t="s">
        <v>301</v>
      </c>
      <c r="E620" s="342">
        <v>21</v>
      </c>
      <c r="F620" s="342"/>
      <c r="G620" s="344">
        <f t="shared" si="5"/>
        <v>4181.3599999999933</v>
      </c>
      <c r="H620" s="345"/>
      <c r="I620" s="346"/>
      <c r="J620" s="347"/>
      <c r="K620" s="312"/>
      <c r="L620" s="347"/>
      <c r="M620" s="312"/>
      <c r="N620" s="347"/>
      <c r="O620" s="312"/>
      <c r="P620" s="347"/>
      <c r="Q620" s="312"/>
      <c r="R620" s="347"/>
      <c r="S620" s="312"/>
      <c r="T620" s="347"/>
    </row>
    <row r="621" spans="1:20" ht="12" customHeight="1" x14ac:dyDescent="0.3">
      <c r="A621" s="340" t="s">
        <v>291</v>
      </c>
      <c r="B621" s="341">
        <v>39</v>
      </c>
      <c r="C621" s="309">
        <v>46058</v>
      </c>
      <c r="D621" s="310" t="s">
        <v>292</v>
      </c>
      <c r="E621" s="342"/>
      <c r="F621" s="342">
        <v>2763.79</v>
      </c>
      <c r="G621" s="344">
        <f t="shared" si="5"/>
        <v>4202.3599999999933</v>
      </c>
      <c r="H621" s="345"/>
      <c r="I621" s="346"/>
      <c r="J621" s="347"/>
      <c r="K621" s="312"/>
      <c r="L621" s="347"/>
      <c r="M621" s="312"/>
      <c r="N621" s="347"/>
      <c r="O621" s="312"/>
      <c r="P621" s="347"/>
      <c r="Q621" s="312"/>
      <c r="R621" s="347"/>
      <c r="S621" s="312"/>
      <c r="T621" s="347"/>
    </row>
    <row r="622" spans="1:20" ht="12" customHeight="1" x14ac:dyDescent="0.3">
      <c r="A622" s="340" t="s">
        <v>289</v>
      </c>
      <c r="B622" s="341">
        <v>8</v>
      </c>
      <c r="C622" s="309">
        <v>46058</v>
      </c>
      <c r="D622" s="310" t="s">
        <v>361</v>
      </c>
      <c r="E622" s="342">
        <v>95.35</v>
      </c>
      <c r="F622" s="342"/>
      <c r="G622" s="344">
        <f t="shared" si="5"/>
        <v>1438.5699999999933</v>
      </c>
      <c r="H622" s="345"/>
      <c r="I622" s="346"/>
      <c r="J622" s="347"/>
      <c r="K622" s="312"/>
      <c r="L622" s="347"/>
      <c r="M622" s="312"/>
      <c r="N622" s="347"/>
      <c r="O622" s="312"/>
      <c r="P622" s="347"/>
      <c r="Q622" s="312"/>
      <c r="R622" s="347"/>
      <c r="S622" s="312"/>
      <c r="T622" s="347"/>
    </row>
    <row r="623" spans="1:20" ht="12" customHeight="1" x14ac:dyDescent="0.3">
      <c r="A623" s="340" t="s">
        <v>289</v>
      </c>
      <c r="B623" s="341">
        <v>2</v>
      </c>
      <c r="C623" s="309">
        <v>46058</v>
      </c>
      <c r="D623" s="310" t="s">
        <v>357</v>
      </c>
      <c r="E623" s="342">
        <v>14.99</v>
      </c>
      <c r="F623" s="342"/>
      <c r="G623" s="344">
        <f t="shared" si="5"/>
        <v>1533.9199999999933</v>
      </c>
      <c r="H623" s="345"/>
      <c r="I623" s="346"/>
      <c r="J623" s="347"/>
      <c r="K623" s="312"/>
      <c r="L623" s="347"/>
      <c r="M623" s="312"/>
      <c r="N623" s="347"/>
      <c r="O623" s="312"/>
      <c r="P623" s="347"/>
      <c r="Q623" s="312"/>
      <c r="R623" s="347"/>
      <c r="S623" s="312"/>
      <c r="T623" s="347"/>
    </row>
    <row r="624" spans="1:20" ht="12" customHeight="1" x14ac:dyDescent="0.3">
      <c r="A624" s="340" t="s">
        <v>287</v>
      </c>
      <c r="B624" s="341" t="s">
        <v>287</v>
      </c>
      <c r="C624" s="309">
        <v>46058</v>
      </c>
      <c r="D624" s="310" t="s">
        <v>462</v>
      </c>
      <c r="E624" s="342">
        <v>77.569999999999993</v>
      </c>
      <c r="F624" s="342">
        <v>77.569999999999993</v>
      </c>
      <c r="G624" s="344">
        <f t="shared" si="5"/>
        <v>1548.9099999999933</v>
      </c>
      <c r="H624" s="345"/>
      <c r="I624" s="346"/>
      <c r="J624" s="347"/>
      <c r="K624" s="312"/>
      <c r="L624" s="347"/>
      <c r="M624" s="312"/>
      <c r="N624" s="347"/>
      <c r="O624" s="312"/>
      <c r="P624" s="347"/>
      <c r="Q624" s="312"/>
      <c r="R624" s="347"/>
      <c r="S624" s="312"/>
      <c r="T624" s="347"/>
    </row>
    <row r="625" spans="1:20" ht="12" customHeight="1" x14ac:dyDescent="0.3">
      <c r="A625" s="340" t="s">
        <v>289</v>
      </c>
      <c r="B625" s="341">
        <v>6</v>
      </c>
      <c r="C625" s="309">
        <v>46057</v>
      </c>
      <c r="D625" s="310" t="s">
        <v>348</v>
      </c>
      <c r="E625" s="342">
        <v>50</v>
      </c>
      <c r="F625" s="342"/>
      <c r="G625" s="344">
        <f t="shared" si="5"/>
        <v>1548.9099999999933</v>
      </c>
      <c r="H625" s="345"/>
      <c r="I625" s="346"/>
      <c r="J625" s="347"/>
      <c r="K625" s="312"/>
      <c r="L625" s="347"/>
      <c r="M625" s="312"/>
      <c r="N625" s="347"/>
      <c r="O625" s="312"/>
      <c r="P625" s="347"/>
      <c r="Q625" s="312"/>
      <c r="R625" s="347"/>
      <c r="S625" s="312"/>
      <c r="T625" s="347"/>
    </row>
    <row r="626" spans="1:20" ht="12" customHeight="1" x14ac:dyDescent="0.3">
      <c r="A626" s="340" t="s">
        <v>289</v>
      </c>
      <c r="B626" s="341">
        <v>1</v>
      </c>
      <c r="C626" s="309">
        <v>46057</v>
      </c>
      <c r="D626" s="310" t="s">
        <v>307</v>
      </c>
      <c r="E626" s="342">
        <v>62.03</v>
      </c>
      <c r="F626" s="342"/>
      <c r="G626" s="344">
        <f t="shared" si="5"/>
        <v>1598.9099999999933</v>
      </c>
      <c r="H626" s="345"/>
      <c r="I626" s="346"/>
      <c r="J626" s="347"/>
      <c r="K626" s="312"/>
      <c r="L626" s="347"/>
      <c r="M626" s="312"/>
      <c r="N626" s="347"/>
      <c r="O626" s="312"/>
      <c r="P626" s="347"/>
      <c r="Q626" s="312"/>
      <c r="R626" s="347"/>
      <c r="S626" s="312"/>
      <c r="T626" s="347"/>
    </row>
    <row r="627" spans="1:20" ht="12" customHeight="1" x14ac:dyDescent="0.3">
      <c r="A627" s="340" t="s">
        <v>289</v>
      </c>
      <c r="B627" s="341">
        <v>2</v>
      </c>
      <c r="C627" s="309">
        <v>46057</v>
      </c>
      <c r="D627" s="310" t="s">
        <v>296</v>
      </c>
      <c r="E627" s="342">
        <v>14.91</v>
      </c>
      <c r="F627" s="342"/>
      <c r="G627" s="344">
        <f t="shared" si="5"/>
        <v>1660.9399999999932</v>
      </c>
      <c r="H627" s="345"/>
      <c r="I627" s="346"/>
      <c r="J627" s="347"/>
      <c r="K627" s="312"/>
      <c r="L627" s="347"/>
      <c r="M627" s="312"/>
      <c r="N627" s="347"/>
      <c r="O627" s="312"/>
      <c r="P627" s="347"/>
      <c r="Q627" s="312"/>
      <c r="R627" s="347"/>
      <c r="S627" s="312"/>
      <c r="T627" s="347"/>
    </row>
    <row r="628" spans="1:20" ht="12" customHeight="1" x14ac:dyDescent="0.3">
      <c r="A628" s="340" t="s">
        <v>289</v>
      </c>
      <c r="B628" s="341">
        <v>4</v>
      </c>
      <c r="C628" s="309">
        <v>46057</v>
      </c>
      <c r="D628" s="310" t="s">
        <v>311</v>
      </c>
      <c r="E628" s="342">
        <v>63.38</v>
      </c>
      <c r="F628" s="342"/>
      <c r="G628" s="344">
        <f t="shared" si="5"/>
        <v>1675.8499999999933</v>
      </c>
      <c r="H628" s="345"/>
      <c r="I628" s="346"/>
      <c r="J628" s="347"/>
      <c r="K628" s="312"/>
      <c r="L628" s="347"/>
      <c r="M628" s="312"/>
      <c r="N628" s="347"/>
      <c r="O628" s="312"/>
      <c r="P628" s="347"/>
      <c r="Q628" s="312"/>
      <c r="R628" s="347"/>
      <c r="S628" s="312"/>
      <c r="T628" s="347"/>
    </row>
    <row r="629" spans="1:20" ht="12" customHeight="1" x14ac:dyDescent="0.3">
      <c r="A629" s="340" t="s">
        <v>287</v>
      </c>
      <c r="B629" s="341" t="s">
        <v>287</v>
      </c>
      <c r="C629" s="309">
        <v>46057</v>
      </c>
      <c r="D629" s="310" t="s">
        <v>464</v>
      </c>
      <c r="E629" s="342">
        <v>192.78</v>
      </c>
      <c r="F629" s="342">
        <v>192.78</v>
      </c>
      <c r="G629" s="344">
        <f t="shared" si="5"/>
        <v>1739.2299999999934</v>
      </c>
      <c r="H629" s="345"/>
      <c r="I629" s="346"/>
      <c r="J629" s="347"/>
      <c r="K629" s="312"/>
      <c r="L629" s="347"/>
      <c r="M629" s="312"/>
      <c r="N629" s="347"/>
      <c r="O629" s="312"/>
      <c r="P629" s="347"/>
      <c r="Q629" s="312"/>
      <c r="R629" s="347"/>
      <c r="S629" s="312"/>
      <c r="T629" s="347"/>
    </row>
    <row r="630" spans="1:20" ht="12" customHeight="1" x14ac:dyDescent="0.3">
      <c r="A630" s="340" t="s">
        <v>294</v>
      </c>
      <c r="B630" s="341">
        <v>14</v>
      </c>
      <c r="C630" s="309">
        <v>46057</v>
      </c>
      <c r="D630" s="310" t="s">
        <v>371</v>
      </c>
      <c r="E630" s="342">
        <v>68.739999999999995</v>
      </c>
      <c r="F630" s="342"/>
      <c r="G630" s="344">
        <f t="shared" si="5"/>
        <v>1739.2299999999934</v>
      </c>
      <c r="H630" s="345"/>
      <c r="I630" s="346"/>
      <c r="J630" s="347"/>
      <c r="K630" s="312"/>
      <c r="L630" s="347"/>
      <c r="M630" s="312"/>
      <c r="N630" s="347"/>
      <c r="O630" s="312"/>
      <c r="P630" s="347"/>
      <c r="Q630" s="312"/>
      <c r="R630" s="347"/>
      <c r="S630" s="312"/>
      <c r="T630" s="347"/>
    </row>
    <row r="631" spans="1:20" ht="12" customHeight="1" x14ac:dyDescent="0.3">
      <c r="A631" s="340" t="s">
        <v>289</v>
      </c>
      <c r="B631" s="341">
        <v>6</v>
      </c>
      <c r="C631" s="309">
        <v>46057</v>
      </c>
      <c r="D631" s="310" t="s">
        <v>300</v>
      </c>
      <c r="E631" s="342">
        <v>-42.58</v>
      </c>
      <c r="F631" s="342"/>
      <c r="G631" s="344">
        <f t="shared" si="5"/>
        <v>1807.9699999999934</v>
      </c>
      <c r="H631" s="345"/>
      <c r="I631" s="346"/>
      <c r="J631" s="347"/>
      <c r="K631" s="312"/>
      <c r="L631" s="347"/>
      <c r="M631" s="312"/>
      <c r="N631" s="347"/>
      <c r="O631" s="312"/>
      <c r="P631" s="347"/>
      <c r="Q631" s="312"/>
      <c r="R631" s="347"/>
      <c r="S631" s="312"/>
      <c r="T631" s="347"/>
    </row>
    <row r="632" spans="1:20" ht="12" customHeight="1" x14ac:dyDescent="0.3">
      <c r="A632" s="340" t="s">
        <v>289</v>
      </c>
      <c r="B632" s="341">
        <v>1</v>
      </c>
      <c r="C632" s="309">
        <v>46057</v>
      </c>
      <c r="D632" s="310" t="s">
        <v>375</v>
      </c>
      <c r="E632" s="342">
        <v>31.36</v>
      </c>
      <c r="F632" s="342"/>
      <c r="G632" s="344">
        <f t="shared" si="5"/>
        <v>1765.3899999999935</v>
      </c>
      <c r="H632" s="345"/>
      <c r="I632" s="346"/>
      <c r="J632" s="347"/>
      <c r="K632" s="312"/>
      <c r="L632" s="347"/>
      <c r="M632" s="312"/>
      <c r="N632" s="347"/>
      <c r="O632" s="312"/>
      <c r="P632" s="347"/>
      <c r="Q632" s="312"/>
      <c r="R632" s="347"/>
      <c r="S632" s="312"/>
      <c r="T632" s="347"/>
    </row>
    <row r="633" spans="1:20" ht="12" customHeight="1" x14ac:dyDescent="0.3">
      <c r="A633" s="340" t="s">
        <v>294</v>
      </c>
      <c r="B633" s="341">
        <v>17</v>
      </c>
      <c r="C633" s="309">
        <v>46057</v>
      </c>
      <c r="D633" s="310" t="s">
        <v>374</v>
      </c>
      <c r="E633" s="342">
        <v>99</v>
      </c>
      <c r="F633" s="342"/>
      <c r="G633" s="344">
        <f t="shared" si="5"/>
        <v>1796.7499999999934</v>
      </c>
      <c r="H633" s="345"/>
      <c r="I633" s="346"/>
      <c r="J633" s="347"/>
      <c r="K633" s="312"/>
      <c r="L633" s="347"/>
      <c r="M633" s="312"/>
      <c r="N633" s="347"/>
      <c r="O633" s="312"/>
      <c r="P633" s="347"/>
      <c r="Q633" s="312"/>
      <c r="R633" s="347"/>
      <c r="S633" s="312"/>
      <c r="T633" s="347"/>
    </row>
    <row r="634" spans="1:20" ht="12" customHeight="1" x14ac:dyDescent="0.3">
      <c r="A634" s="340" t="s">
        <v>284</v>
      </c>
      <c r="B634" s="341">
        <v>36</v>
      </c>
      <c r="C634" s="309">
        <v>46056</v>
      </c>
      <c r="D634" s="310" t="s">
        <v>378</v>
      </c>
      <c r="E634" s="342">
        <v>50</v>
      </c>
      <c r="F634" s="342"/>
      <c r="G634" s="344">
        <f t="shared" si="5"/>
        <v>1895.7499999999934</v>
      </c>
      <c r="H634" s="345"/>
      <c r="I634" s="346"/>
      <c r="J634" s="347"/>
      <c r="K634" s="312"/>
      <c r="L634" s="347"/>
      <c r="M634" s="312"/>
      <c r="N634" s="347"/>
      <c r="O634" s="312"/>
      <c r="P634" s="347"/>
      <c r="Q634" s="312"/>
      <c r="R634" s="347"/>
      <c r="S634" s="312"/>
      <c r="T634" s="347"/>
    </row>
    <row r="635" spans="1:20" ht="12" customHeight="1" x14ac:dyDescent="0.3">
      <c r="A635" s="340" t="s">
        <v>289</v>
      </c>
      <c r="B635" s="341">
        <v>8</v>
      </c>
      <c r="C635" s="309">
        <v>46056</v>
      </c>
      <c r="D635" s="310" t="s">
        <v>321</v>
      </c>
      <c r="E635" s="342">
        <v>7.92</v>
      </c>
      <c r="F635" s="342"/>
      <c r="G635" s="344">
        <f t="shared" si="5"/>
        <v>1945.7499999999934</v>
      </c>
      <c r="H635" s="345"/>
      <c r="I635" s="346"/>
      <c r="J635" s="347"/>
      <c r="K635" s="312"/>
      <c r="L635" s="347"/>
      <c r="M635" s="312"/>
      <c r="N635" s="347"/>
      <c r="O635" s="312"/>
      <c r="P635" s="347"/>
      <c r="Q635" s="312"/>
      <c r="R635" s="347"/>
      <c r="S635" s="312"/>
      <c r="T635" s="347"/>
    </row>
    <row r="636" spans="1:20" ht="12" customHeight="1" x14ac:dyDescent="0.3">
      <c r="A636" s="340" t="s">
        <v>294</v>
      </c>
      <c r="B636" s="341">
        <v>24</v>
      </c>
      <c r="C636" s="309">
        <v>46056</v>
      </c>
      <c r="D636" s="310" t="s">
        <v>437</v>
      </c>
      <c r="E636" s="342">
        <v>83.58</v>
      </c>
      <c r="F636" s="342"/>
      <c r="G636" s="344">
        <f t="shared" si="5"/>
        <v>1953.6699999999935</v>
      </c>
      <c r="H636" s="345"/>
      <c r="I636" s="346"/>
      <c r="J636" s="347"/>
      <c r="K636" s="312"/>
      <c r="L636" s="347"/>
      <c r="M636" s="312"/>
      <c r="N636" s="347"/>
      <c r="O636" s="312"/>
      <c r="P636" s="347"/>
      <c r="Q636" s="312"/>
      <c r="R636" s="347"/>
      <c r="S636" s="312"/>
      <c r="T636" s="347"/>
    </row>
    <row r="637" spans="1:20" ht="12" customHeight="1" x14ac:dyDescent="0.3">
      <c r="A637" s="340" t="s">
        <v>289</v>
      </c>
      <c r="B637" s="341">
        <v>4</v>
      </c>
      <c r="C637" s="309">
        <v>46056</v>
      </c>
      <c r="D637" s="310" t="s">
        <v>465</v>
      </c>
      <c r="E637" s="342">
        <v>28.64</v>
      </c>
      <c r="F637" s="342"/>
      <c r="G637" s="344">
        <f t="shared" si="5"/>
        <v>2037.2499999999934</v>
      </c>
      <c r="H637" s="345"/>
      <c r="I637" s="346"/>
      <c r="J637" s="347"/>
      <c r="K637" s="312"/>
      <c r="L637" s="347"/>
      <c r="M637" s="312"/>
      <c r="N637" s="347"/>
      <c r="O637" s="312"/>
      <c r="P637" s="347"/>
      <c r="Q637" s="312"/>
      <c r="R637" s="347"/>
      <c r="S637" s="312"/>
      <c r="T637" s="347"/>
    </row>
    <row r="638" spans="1:20" ht="12" customHeight="1" x14ac:dyDescent="0.3">
      <c r="A638" s="340" t="s">
        <v>289</v>
      </c>
      <c r="B638" s="341">
        <v>2</v>
      </c>
      <c r="C638" s="309">
        <v>46056</v>
      </c>
      <c r="D638" s="310" t="s">
        <v>362</v>
      </c>
      <c r="E638" s="342">
        <v>9.4700000000000006</v>
      </c>
      <c r="F638" s="342"/>
      <c r="G638" s="344">
        <f t="shared" si="5"/>
        <v>2065.8899999999935</v>
      </c>
      <c r="H638" s="345"/>
      <c r="I638" s="346"/>
      <c r="J638" s="347"/>
      <c r="K638" s="312"/>
      <c r="L638" s="347"/>
      <c r="M638" s="312"/>
      <c r="N638" s="347"/>
      <c r="O638" s="312"/>
      <c r="P638" s="347"/>
      <c r="Q638" s="312"/>
      <c r="R638" s="347"/>
      <c r="S638" s="312"/>
      <c r="T638" s="347"/>
    </row>
    <row r="639" spans="1:20" ht="12" customHeight="1" x14ac:dyDescent="0.3">
      <c r="A639" s="340" t="s">
        <v>289</v>
      </c>
      <c r="B639" s="341">
        <v>6</v>
      </c>
      <c r="C639" s="309">
        <v>46055</v>
      </c>
      <c r="D639" s="310" t="s">
        <v>466</v>
      </c>
      <c r="E639" s="342">
        <v>20</v>
      </c>
      <c r="F639" s="342"/>
      <c r="G639" s="344">
        <f t="shared" si="5"/>
        <v>2075.3599999999933</v>
      </c>
      <c r="H639" s="345"/>
      <c r="I639" s="346"/>
      <c r="J639" s="347"/>
      <c r="K639" s="312"/>
      <c r="L639" s="347"/>
      <c r="M639" s="312"/>
      <c r="N639" s="347"/>
      <c r="O639" s="312"/>
      <c r="P639" s="347"/>
      <c r="Q639" s="312"/>
      <c r="R639" s="347"/>
      <c r="S639" s="312"/>
      <c r="T639" s="347"/>
    </row>
    <row r="640" spans="1:20" ht="12" customHeight="1" x14ac:dyDescent="0.3">
      <c r="A640" s="340" t="s">
        <v>294</v>
      </c>
      <c r="B640" s="341">
        <v>17</v>
      </c>
      <c r="C640" s="309">
        <v>46055</v>
      </c>
      <c r="D640" s="310" t="s">
        <v>188</v>
      </c>
      <c r="E640" s="342">
        <v>41.54</v>
      </c>
      <c r="F640" s="342"/>
      <c r="G640" s="344">
        <f t="shared" si="5"/>
        <v>2095.3599999999933</v>
      </c>
      <c r="H640" s="345"/>
      <c r="I640" s="346"/>
      <c r="J640" s="347"/>
      <c r="K640" s="312"/>
      <c r="L640" s="347"/>
      <c r="M640" s="312"/>
      <c r="N640" s="347"/>
      <c r="O640" s="312"/>
      <c r="P640" s="347"/>
      <c r="Q640" s="312"/>
      <c r="R640" s="347"/>
      <c r="S640" s="312"/>
      <c r="T640" s="347"/>
    </row>
    <row r="641" spans="1:20" ht="12" customHeight="1" x14ac:dyDescent="0.3">
      <c r="A641" s="340" t="s">
        <v>289</v>
      </c>
      <c r="B641" s="341">
        <v>2</v>
      </c>
      <c r="C641" s="309">
        <v>46055</v>
      </c>
      <c r="D641" s="310" t="s">
        <v>296</v>
      </c>
      <c r="E641" s="342">
        <v>9.92</v>
      </c>
      <c r="F641" s="342"/>
      <c r="G641" s="344">
        <f t="shared" si="5"/>
        <v>2136.8999999999933</v>
      </c>
      <c r="H641" s="345"/>
      <c r="I641" s="346"/>
      <c r="J641" s="347"/>
      <c r="K641" s="312"/>
      <c r="L641" s="347"/>
      <c r="M641" s="312"/>
      <c r="N641" s="347"/>
      <c r="O641" s="312"/>
      <c r="P641" s="347"/>
      <c r="Q641" s="312"/>
      <c r="R641" s="347"/>
      <c r="S641" s="312"/>
      <c r="T641" s="347"/>
    </row>
    <row r="642" spans="1:20" ht="12" customHeight="1" x14ac:dyDescent="0.3">
      <c r="A642" s="340" t="s">
        <v>289</v>
      </c>
      <c r="B642" s="341">
        <v>8</v>
      </c>
      <c r="C642" s="309">
        <v>46055</v>
      </c>
      <c r="D642" s="310" t="s">
        <v>467</v>
      </c>
      <c r="E642" s="342">
        <v>155.38</v>
      </c>
      <c r="F642" s="342"/>
      <c r="G642" s="344">
        <f t="shared" si="5"/>
        <v>2146.8199999999933</v>
      </c>
      <c r="H642" s="345"/>
      <c r="I642" s="346"/>
      <c r="J642" s="347"/>
      <c r="K642" s="312"/>
      <c r="L642" s="347"/>
      <c r="M642" s="312"/>
      <c r="N642" s="347"/>
      <c r="O642" s="312"/>
      <c r="P642" s="347"/>
      <c r="Q642" s="312"/>
      <c r="R642" s="347"/>
      <c r="S642" s="312"/>
      <c r="T642" s="347"/>
    </row>
    <row r="643" spans="1:20" ht="12" customHeight="1" x14ac:dyDescent="0.3">
      <c r="A643" s="340" t="s">
        <v>294</v>
      </c>
      <c r="B643" s="341">
        <v>21</v>
      </c>
      <c r="C643" s="309">
        <v>46055</v>
      </c>
      <c r="D643" s="310" t="s">
        <v>194</v>
      </c>
      <c r="E643" s="342">
        <v>27.35</v>
      </c>
      <c r="F643" s="342"/>
      <c r="G643" s="344">
        <f t="shared" si="5"/>
        <v>2302.1999999999935</v>
      </c>
      <c r="H643" s="345"/>
      <c r="I643" s="346"/>
      <c r="J643" s="347"/>
      <c r="K643" s="312"/>
      <c r="L643" s="347"/>
      <c r="M643" s="312"/>
      <c r="N643" s="347"/>
      <c r="O643" s="312"/>
      <c r="P643" s="347"/>
      <c r="Q643" s="312"/>
      <c r="R643" s="347"/>
      <c r="S643" s="312"/>
      <c r="T643" s="347"/>
    </row>
    <row r="644" spans="1:20" ht="12" customHeight="1" x14ac:dyDescent="0.3">
      <c r="A644" s="340" t="s">
        <v>289</v>
      </c>
      <c r="B644" s="341">
        <v>6</v>
      </c>
      <c r="C644" s="309">
        <v>46054</v>
      </c>
      <c r="D644" s="310" t="s">
        <v>300</v>
      </c>
      <c r="E644" s="342">
        <v>59.37</v>
      </c>
      <c r="F644" s="342"/>
      <c r="G644" s="344">
        <f t="shared" si="5"/>
        <v>2329.5499999999934</v>
      </c>
      <c r="H644" s="345"/>
      <c r="I644" s="346"/>
      <c r="J644" s="347"/>
      <c r="K644" s="312"/>
      <c r="L644" s="347"/>
      <c r="M644" s="312"/>
      <c r="N644" s="347"/>
      <c r="O644" s="312"/>
      <c r="P644" s="347"/>
      <c r="Q644" s="312"/>
      <c r="R644" s="347"/>
      <c r="S644" s="312"/>
      <c r="T644" s="347"/>
    </row>
    <row r="645" spans="1:20" ht="12" customHeight="1" x14ac:dyDescent="0.3">
      <c r="A645" s="340" t="s">
        <v>294</v>
      </c>
      <c r="B645" s="341">
        <v>22</v>
      </c>
      <c r="C645" s="309">
        <v>46054</v>
      </c>
      <c r="D645" s="310" t="s">
        <v>379</v>
      </c>
      <c r="E645" s="342">
        <v>6.37</v>
      </c>
      <c r="F645" s="342"/>
      <c r="G645" s="344">
        <f t="shared" si="5"/>
        <v>2388.9199999999933</v>
      </c>
      <c r="H645" s="345"/>
      <c r="I645" s="346"/>
      <c r="J645" s="347"/>
      <c r="K645" s="312"/>
      <c r="L645" s="347"/>
      <c r="M645" s="312"/>
      <c r="N645" s="347"/>
      <c r="O645" s="312"/>
      <c r="P645" s="347"/>
      <c r="Q645" s="312"/>
      <c r="R645" s="347"/>
      <c r="S645" s="312"/>
      <c r="T645" s="347"/>
    </row>
    <row r="646" spans="1:20" ht="12" customHeight="1" x14ac:dyDescent="0.3">
      <c r="A646" s="340" t="s">
        <v>289</v>
      </c>
      <c r="B646" s="341">
        <v>8</v>
      </c>
      <c r="C646" s="309">
        <v>46054</v>
      </c>
      <c r="D646" s="310" t="s">
        <v>468</v>
      </c>
      <c r="E646" s="342">
        <v>44.65</v>
      </c>
      <c r="F646" s="342"/>
      <c r="G646" s="344">
        <f t="shared" si="5"/>
        <v>2395.2899999999931</v>
      </c>
      <c r="H646" s="345"/>
      <c r="I646" s="346"/>
      <c r="J646" s="347"/>
      <c r="K646" s="312"/>
      <c r="L646" s="347"/>
      <c r="M646" s="312"/>
      <c r="N646" s="347"/>
      <c r="O646" s="312"/>
      <c r="P646" s="347"/>
      <c r="Q646" s="312"/>
      <c r="R646" s="347"/>
      <c r="S646" s="312"/>
      <c r="T646" s="347"/>
    </row>
    <row r="647" spans="1:20" ht="12" customHeight="1" x14ac:dyDescent="0.3">
      <c r="A647" s="340" t="s">
        <v>289</v>
      </c>
      <c r="B647" s="341">
        <v>7</v>
      </c>
      <c r="C647" s="309">
        <v>46054</v>
      </c>
      <c r="D647" s="310" t="s">
        <v>342</v>
      </c>
      <c r="E647" s="342">
        <v>35.17</v>
      </c>
      <c r="F647" s="342"/>
      <c r="G647" s="344">
        <f t="shared" si="5"/>
        <v>2439.9399999999932</v>
      </c>
      <c r="H647" s="345"/>
      <c r="I647" s="346"/>
      <c r="J647" s="347"/>
      <c r="K647" s="312"/>
      <c r="L647" s="347"/>
      <c r="M647" s="312"/>
      <c r="N647" s="347"/>
      <c r="O647" s="312"/>
      <c r="P647" s="347"/>
      <c r="Q647" s="312"/>
      <c r="R647" s="347"/>
      <c r="S647" s="312"/>
      <c r="T647" s="347"/>
    </row>
    <row r="648" spans="1:20" ht="12" customHeight="1" x14ac:dyDescent="0.3">
      <c r="A648" s="340" t="s">
        <v>289</v>
      </c>
      <c r="B648" s="341">
        <v>4</v>
      </c>
      <c r="C648" s="309">
        <v>46054</v>
      </c>
      <c r="D648" s="310" t="s">
        <v>311</v>
      </c>
      <c r="E648" s="342">
        <v>28.48</v>
      </c>
      <c r="F648" s="342"/>
      <c r="G648" s="344">
        <f t="shared" si="5"/>
        <v>2475.1099999999933</v>
      </c>
      <c r="H648" s="345"/>
      <c r="I648" s="346"/>
      <c r="J648" s="347"/>
      <c r="K648" s="312"/>
      <c r="L648" s="347"/>
      <c r="M648" s="312"/>
      <c r="N648" s="347"/>
      <c r="O648" s="312"/>
      <c r="P648" s="347"/>
      <c r="Q648" s="312"/>
      <c r="R648" s="347"/>
      <c r="S648" s="312"/>
      <c r="T648" s="347"/>
    </row>
    <row r="649" spans="1:20" ht="12" customHeight="1" x14ac:dyDescent="0.3">
      <c r="A649" s="340" t="s">
        <v>289</v>
      </c>
      <c r="B649" s="341">
        <v>1</v>
      </c>
      <c r="C649" s="309">
        <v>46054</v>
      </c>
      <c r="D649" s="310" t="s">
        <v>312</v>
      </c>
      <c r="E649" s="342">
        <v>125.07</v>
      </c>
      <c r="F649" s="342"/>
      <c r="G649" s="344">
        <f t="shared" si="5"/>
        <v>2503.5899999999933</v>
      </c>
      <c r="H649" s="345"/>
      <c r="I649" s="346"/>
      <c r="J649" s="347"/>
      <c r="K649" s="312"/>
      <c r="L649" s="347"/>
      <c r="M649" s="312"/>
      <c r="N649" s="347"/>
      <c r="O649" s="312"/>
      <c r="P649" s="347"/>
      <c r="Q649" s="312"/>
      <c r="R649" s="347"/>
      <c r="S649" s="312"/>
      <c r="T649" s="347"/>
    </row>
    <row r="650" spans="1:20" ht="12" customHeight="1" x14ac:dyDescent="0.3">
      <c r="A650" s="340" t="s">
        <v>289</v>
      </c>
      <c r="B650" s="341">
        <v>2</v>
      </c>
      <c r="C650" s="309">
        <v>46054</v>
      </c>
      <c r="D650" s="310" t="s">
        <v>468</v>
      </c>
      <c r="E650" s="342">
        <v>100</v>
      </c>
      <c r="F650" s="342"/>
      <c r="G650" s="344">
        <f t="shared" si="5"/>
        <v>2628.6599999999935</v>
      </c>
      <c r="H650" s="345"/>
      <c r="I650" s="346"/>
      <c r="J650" s="347"/>
      <c r="K650" s="312"/>
      <c r="L650" s="347"/>
      <c r="M650" s="312"/>
      <c r="N650" s="347"/>
      <c r="O650" s="312"/>
      <c r="P650" s="347"/>
      <c r="Q650" s="312"/>
      <c r="R650" s="347"/>
      <c r="S650" s="312"/>
      <c r="T650" s="347"/>
    </row>
    <row r="651" spans="1:20" ht="12" customHeight="1" x14ac:dyDescent="0.3">
      <c r="A651" s="340" t="s">
        <v>289</v>
      </c>
      <c r="B651" s="341">
        <v>1</v>
      </c>
      <c r="C651" s="309">
        <v>46054</v>
      </c>
      <c r="D651" s="310" t="s">
        <v>332</v>
      </c>
      <c r="E651" s="342">
        <v>194.96</v>
      </c>
      <c r="F651" s="342"/>
      <c r="G651" s="344">
        <f t="shared" si="5"/>
        <v>2728.6599999999935</v>
      </c>
      <c r="H651" s="345"/>
      <c r="I651" s="346"/>
      <c r="J651" s="347"/>
      <c r="K651" s="312"/>
      <c r="L651" s="347"/>
      <c r="M651" s="312"/>
      <c r="N651" s="347"/>
      <c r="O651" s="312"/>
      <c r="P651" s="347"/>
      <c r="Q651" s="312"/>
      <c r="R651" s="347"/>
      <c r="S651" s="312"/>
      <c r="T651" s="347"/>
    </row>
    <row r="652" spans="1:20" ht="12" customHeight="1" x14ac:dyDescent="0.3">
      <c r="A652" s="340" t="s">
        <v>289</v>
      </c>
      <c r="B652" s="341">
        <v>2</v>
      </c>
      <c r="C652" s="309">
        <v>46054</v>
      </c>
      <c r="D652" s="310" t="s">
        <v>417</v>
      </c>
      <c r="E652" s="342">
        <v>75.53</v>
      </c>
      <c r="F652" s="342"/>
      <c r="G652" s="344">
        <f t="shared" si="5"/>
        <v>2923.6199999999935</v>
      </c>
      <c r="H652" s="345"/>
      <c r="I652" s="346"/>
      <c r="J652" s="347"/>
      <c r="K652" s="312"/>
      <c r="L652" s="347"/>
      <c r="M652" s="312"/>
      <c r="N652" s="347"/>
      <c r="O652" s="312"/>
      <c r="P652" s="347"/>
      <c r="Q652" s="312"/>
      <c r="R652" s="347"/>
      <c r="S652" s="312"/>
      <c r="T652" s="347"/>
    </row>
    <row r="653" spans="1:20" ht="12" customHeight="1" x14ac:dyDescent="0.3">
      <c r="A653" s="340" t="s">
        <v>284</v>
      </c>
      <c r="B653" s="341">
        <v>37</v>
      </c>
      <c r="C653" s="309">
        <v>46053</v>
      </c>
      <c r="D653" s="310" t="s">
        <v>469</v>
      </c>
      <c r="E653" s="342">
        <v>3194.64</v>
      </c>
      <c r="F653" s="342"/>
      <c r="G653" s="344">
        <f t="shared" si="5"/>
        <v>2999.1499999999937</v>
      </c>
      <c r="H653" s="345"/>
      <c r="I653" s="346"/>
      <c r="J653" s="347"/>
      <c r="K653" s="312"/>
      <c r="L653" s="347"/>
      <c r="M653" s="312"/>
      <c r="N653" s="347"/>
      <c r="O653" s="312"/>
      <c r="P653" s="347"/>
      <c r="Q653" s="312"/>
      <c r="R653" s="347"/>
      <c r="S653" s="312"/>
      <c r="T653" s="347"/>
    </row>
    <row r="654" spans="1:20" ht="12" customHeight="1" x14ac:dyDescent="0.3">
      <c r="A654" s="340" t="s">
        <v>286</v>
      </c>
      <c r="B654" s="341">
        <v>25</v>
      </c>
      <c r="C654" s="309">
        <v>46053</v>
      </c>
      <c r="D654" s="309" t="s">
        <v>204</v>
      </c>
      <c r="E654" s="342">
        <v>350</v>
      </c>
      <c r="F654" s="342"/>
      <c r="G654" s="344">
        <f t="shared" si="5"/>
        <v>6193.7899999999936</v>
      </c>
      <c r="H654" s="345"/>
      <c r="I654" s="346"/>
      <c r="J654" s="347"/>
      <c r="K654" s="312"/>
      <c r="L654" s="347"/>
      <c r="M654" s="312"/>
      <c r="N654" s="347"/>
      <c r="O654" s="312"/>
      <c r="P654" s="347"/>
      <c r="Q654" s="312"/>
      <c r="R654" s="347"/>
      <c r="S654" s="312"/>
      <c r="T654" s="347"/>
    </row>
    <row r="655" spans="1:20" ht="12" customHeight="1" x14ac:dyDescent="0.3">
      <c r="A655" s="340" t="s">
        <v>286</v>
      </c>
      <c r="B655" s="341">
        <v>26</v>
      </c>
      <c r="C655" s="309">
        <v>46053</v>
      </c>
      <c r="D655" s="309" t="s">
        <v>205</v>
      </c>
      <c r="E655" s="342">
        <v>320</v>
      </c>
      <c r="F655" s="342"/>
      <c r="G655" s="344">
        <f t="shared" si="5"/>
        <v>6543.7899999999936</v>
      </c>
      <c r="H655" s="345"/>
      <c r="I655" s="346"/>
      <c r="J655" s="347"/>
      <c r="K655" s="312"/>
      <c r="L655" s="347"/>
      <c r="M655" s="312"/>
      <c r="N655" s="347"/>
      <c r="O655" s="312"/>
      <c r="P655" s="347"/>
      <c r="Q655" s="312"/>
      <c r="R655" s="347"/>
      <c r="S655" s="312"/>
      <c r="T655" s="347"/>
    </row>
    <row r="656" spans="1:20" ht="12" customHeight="1" x14ac:dyDescent="0.3">
      <c r="A656" s="340" t="s">
        <v>286</v>
      </c>
      <c r="B656" s="341">
        <v>27</v>
      </c>
      <c r="C656" s="309">
        <v>46053</v>
      </c>
      <c r="D656" s="309" t="s">
        <v>206</v>
      </c>
      <c r="E656" s="342">
        <v>25</v>
      </c>
      <c r="F656" s="342"/>
      <c r="G656" s="344">
        <f t="shared" si="5"/>
        <v>6863.7899999999936</v>
      </c>
      <c r="H656" s="345"/>
      <c r="I656" s="346"/>
      <c r="J656" s="347"/>
      <c r="K656" s="312"/>
      <c r="L656" s="347"/>
      <c r="M656" s="312"/>
      <c r="N656" s="347"/>
      <c r="O656" s="312"/>
      <c r="P656" s="347"/>
      <c r="Q656" s="312"/>
      <c r="R656" s="347"/>
      <c r="S656" s="312"/>
      <c r="T656" s="347"/>
    </row>
    <row r="657" spans="1:20" ht="12" customHeight="1" x14ac:dyDescent="0.3">
      <c r="A657" s="340" t="s">
        <v>286</v>
      </c>
      <c r="B657" s="341">
        <v>28</v>
      </c>
      <c r="C657" s="309">
        <v>46053</v>
      </c>
      <c r="D657" s="309" t="s">
        <v>207</v>
      </c>
      <c r="E657" s="342">
        <v>25</v>
      </c>
      <c r="F657" s="342"/>
      <c r="G657" s="344">
        <f t="shared" si="5"/>
        <v>6888.7899999999936</v>
      </c>
      <c r="H657" s="345"/>
      <c r="I657" s="346"/>
      <c r="J657" s="347"/>
      <c r="K657" s="312"/>
      <c r="L657" s="347"/>
      <c r="M657" s="312"/>
      <c r="N657" s="347"/>
      <c r="O657" s="312"/>
      <c r="P657" s="347"/>
      <c r="Q657" s="312"/>
      <c r="R657" s="347"/>
      <c r="S657" s="312"/>
      <c r="T657" s="347"/>
    </row>
    <row r="658" spans="1:20" ht="12" customHeight="1" x14ac:dyDescent="0.3">
      <c r="A658" s="340" t="s">
        <v>286</v>
      </c>
      <c r="B658" s="341">
        <v>29</v>
      </c>
      <c r="C658" s="309">
        <v>46053</v>
      </c>
      <c r="D658" s="309" t="s">
        <v>208</v>
      </c>
      <c r="E658" s="342">
        <v>45</v>
      </c>
      <c r="F658" s="342"/>
      <c r="G658" s="344">
        <f t="shared" si="5"/>
        <v>6913.7899999999936</v>
      </c>
      <c r="H658" s="345"/>
      <c r="I658" s="346"/>
      <c r="J658" s="347"/>
      <c r="K658" s="312"/>
      <c r="L658" s="347"/>
      <c r="M658" s="312"/>
      <c r="N658" s="347"/>
      <c r="O658" s="312"/>
      <c r="P658" s="347"/>
      <c r="Q658" s="312"/>
      <c r="R658" s="347"/>
      <c r="S658" s="312"/>
      <c r="T658" s="347"/>
    </row>
    <row r="659" spans="1:20" ht="12" customHeight="1" x14ac:dyDescent="0.3">
      <c r="A659" s="340" t="s">
        <v>286</v>
      </c>
      <c r="B659" s="341">
        <v>30</v>
      </c>
      <c r="C659" s="309">
        <v>46053</v>
      </c>
      <c r="D659" s="309" t="s">
        <v>209</v>
      </c>
      <c r="E659" s="342">
        <v>400</v>
      </c>
      <c r="F659" s="342"/>
      <c r="G659" s="344">
        <f t="shared" si="5"/>
        <v>6958.7899999999936</v>
      </c>
      <c r="H659" s="345"/>
      <c r="I659" s="346"/>
      <c r="J659" s="347"/>
      <c r="K659" s="312"/>
      <c r="L659" s="347"/>
      <c r="M659" s="312"/>
      <c r="N659" s="347"/>
      <c r="O659" s="312"/>
      <c r="P659" s="347"/>
      <c r="Q659" s="312"/>
      <c r="R659" s="347"/>
      <c r="S659" s="312"/>
      <c r="T659" s="347"/>
    </row>
    <row r="660" spans="1:20" ht="12" customHeight="1" x14ac:dyDescent="0.3">
      <c r="A660" s="340" t="s">
        <v>286</v>
      </c>
      <c r="B660" s="341">
        <v>31</v>
      </c>
      <c r="C660" s="309">
        <v>46053</v>
      </c>
      <c r="D660" s="309" t="s">
        <v>210</v>
      </c>
      <c r="E660" s="342">
        <v>375</v>
      </c>
      <c r="F660" s="342"/>
      <c r="G660" s="344">
        <f t="shared" si="5"/>
        <v>7358.7899999999936</v>
      </c>
      <c r="H660" s="345"/>
      <c r="I660" s="346"/>
      <c r="J660" s="347"/>
      <c r="K660" s="312"/>
      <c r="L660" s="347"/>
      <c r="M660" s="312"/>
      <c r="N660" s="347"/>
      <c r="O660" s="312"/>
      <c r="P660" s="347"/>
      <c r="Q660" s="312"/>
      <c r="R660" s="347"/>
      <c r="S660" s="312"/>
      <c r="T660" s="347"/>
    </row>
    <row r="661" spans="1:20" ht="12" customHeight="1" x14ac:dyDescent="0.3">
      <c r="A661" s="340" t="s">
        <v>286</v>
      </c>
      <c r="B661" s="341">
        <v>32</v>
      </c>
      <c r="C661" s="309">
        <v>46053</v>
      </c>
      <c r="D661" s="309" t="s">
        <v>211</v>
      </c>
      <c r="E661" s="342">
        <v>100</v>
      </c>
      <c r="F661" s="342"/>
      <c r="G661" s="344">
        <f t="shared" si="5"/>
        <v>7733.7899999999936</v>
      </c>
      <c r="H661" s="345"/>
      <c r="I661" s="346"/>
      <c r="J661" s="347"/>
      <c r="K661" s="312"/>
      <c r="L661" s="347"/>
      <c r="M661" s="312"/>
      <c r="N661" s="347"/>
      <c r="O661" s="312"/>
      <c r="P661" s="347"/>
      <c r="Q661" s="312"/>
      <c r="R661" s="347"/>
      <c r="S661" s="312"/>
      <c r="T661" s="347"/>
    </row>
    <row r="662" spans="1:20" ht="12" customHeight="1" x14ac:dyDescent="0.3">
      <c r="A662" s="340" t="s">
        <v>286</v>
      </c>
      <c r="B662" s="341">
        <v>33</v>
      </c>
      <c r="C662" s="309">
        <v>46053</v>
      </c>
      <c r="D662" s="309" t="s">
        <v>212</v>
      </c>
      <c r="E662" s="342">
        <v>85</v>
      </c>
      <c r="F662" s="342"/>
      <c r="G662" s="344">
        <f t="shared" si="5"/>
        <v>7833.7899999999936</v>
      </c>
      <c r="H662" s="345"/>
      <c r="I662" s="346"/>
      <c r="J662" s="347"/>
      <c r="K662" s="312"/>
      <c r="L662" s="347"/>
      <c r="M662" s="312"/>
      <c r="N662" s="347"/>
      <c r="O662" s="312"/>
      <c r="P662" s="347"/>
      <c r="Q662" s="312"/>
      <c r="R662" s="347"/>
      <c r="S662" s="312"/>
      <c r="T662" s="347"/>
    </row>
    <row r="663" spans="1:20" ht="12" customHeight="1" x14ac:dyDescent="0.3">
      <c r="A663" s="340" t="s">
        <v>286</v>
      </c>
      <c r="B663" s="341">
        <v>34</v>
      </c>
      <c r="C663" s="309">
        <v>46053</v>
      </c>
      <c r="D663" s="309" t="s">
        <v>213</v>
      </c>
      <c r="E663" s="342">
        <v>230</v>
      </c>
      <c r="F663" s="342"/>
      <c r="G663" s="344">
        <f t="shared" si="5"/>
        <v>7918.7899999999936</v>
      </c>
      <c r="H663" s="345"/>
      <c r="I663" s="346"/>
      <c r="J663" s="347"/>
      <c r="K663" s="312"/>
      <c r="L663" s="347"/>
      <c r="M663" s="312"/>
      <c r="N663" s="347"/>
      <c r="O663" s="312"/>
      <c r="P663" s="347"/>
      <c r="Q663" s="312"/>
      <c r="R663" s="347"/>
      <c r="S663" s="312"/>
      <c r="T663" s="347"/>
    </row>
    <row r="664" spans="1:20" ht="12" customHeight="1" x14ac:dyDescent="0.3">
      <c r="A664" s="340" t="s">
        <v>286</v>
      </c>
      <c r="B664" s="341">
        <v>35</v>
      </c>
      <c r="C664" s="309">
        <v>46053</v>
      </c>
      <c r="D664" s="309" t="s">
        <v>214</v>
      </c>
      <c r="E664" s="342">
        <v>45</v>
      </c>
      <c r="F664" s="342"/>
      <c r="G664" s="344">
        <f t="shared" si="5"/>
        <v>8148.7899999999936</v>
      </c>
      <c r="H664" s="345"/>
      <c r="I664" s="346"/>
      <c r="J664" s="347"/>
      <c r="K664" s="312"/>
      <c r="L664" s="347"/>
      <c r="M664" s="312"/>
      <c r="N664" s="347"/>
      <c r="O664" s="312"/>
      <c r="P664" s="347"/>
      <c r="Q664" s="312"/>
      <c r="R664" s="347"/>
      <c r="S664" s="312"/>
      <c r="T664" s="347"/>
    </row>
    <row r="665" spans="1:20" ht="12" customHeight="1" x14ac:dyDescent="0.3">
      <c r="A665" s="340" t="s">
        <v>289</v>
      </c>
      <c r="B665" s="341">
        <v>8</v>
      </c>
      <c r="C665" s="309">
        <v>46053</v>
      </c>
      <c r="D665" s="309" t="s">
        <v>321</v>
      </c>
      <c r="E665" s="342">
        <v>31.03</v>
      </c>
      <c r="F665" s="342"/>
      <c r="G665" s="344">
        <f t="shared" si="5"/>
        <v>8193.7899999999936</v>
      </c>
      <c r="H665" s="345"/>
      <c r="I665" s="346"/>
      <c r="J665" s="347"/>
      <c r="K665" s="312"/>
      <c r="L665" s="347"/>
      <c r="M665" s="312"/>
      <c r="N665" s="347"/>
      <c r="O665" s="312"/>
      <c r="P665" s="347"/>
      <c r="Q665" s="312"/>
      <c r="R665" s="347"/>
      <c r="S665" s="312"/>
      <c r="T665" s="347"/>
    </row>
    <row r="666" spans="1:20" ht="12" customHeight="1" x14ac:dyDescent="0.3">
      <c r="A666" s="340" t="s">
        <v>294</v>
      </c>
      <c r="B666" s="341">
        <v>10</v>
      </c>
      <c r="C666" s="309">
        <v>46053</v>
      </c>
      <c r="D666" s="309" t="s">
        <v>176</v>
      </c>
      <c r="E666" s="342">
        <v>17.899999999999999</v>
      </c>
      <c r="F666" s="342"/>
      <c r="G666" s="344">
        <f t="shared" si="5"/>
        <v>8224.8199999999943</v>
      </c>
      <c r="H666" s="345"/>
      <c r="I666" s="346"/>
      <c r="J666" s="347"/>
      <c r="K666" s="312"/>
      <c r="L666" s="347"/>
      <c r="M666" s="312"/>
      <c r="N666" s="347"/>
      <c r="O666" s="312"/>
      <c r="P666" s="347"/>
      <c r="Q666" s="312"/>
      <c r="R666" s="347"/>
      <c r="S666" s="312"/>
      <c r="T666" s="347"/>
    </row>
    <row r="667" spans="1:20" ht="12" customHeight="1" x14ac:dyDescent="0.3">
      <c r="A667" s="340" t="s">
        <v>289</v>
      </c>
      <c r="B667" s="341">
        <v>3</v>
      </c>
      <c r="C667" s="309">
        <v>46053</v>
      </c>
      <c r="D667" s="309" t="s">
        <v>352</v>
      </c>
      <c r="E667" s="342">
        <v>18.84</v>
      </c>
      <c r="F667" s="342"/>
      <c r="G667" s="344">
        <f t="shared" si="5"/>
        <v>8242.7199999999939</v>
      </c>
      <c r="H667" s="345"/>
      <c r="I667" s="346"/>
      <c r="J667" s="347"/>
      <c r="K667" s="312"/>
      <c r="L667" s="347"/>
      <c r="M667" s="312"/>
      <c r="N667" s="347"/>
      <c r="O667" s="312"/>
      <c r="P667" s="347"/>
      <c r="Q667" s="312"/>
      <c r="R667" s="347"/>
      <c r="S667" s="312"/>
      <c r="T667" s="347"/>
    </row>
    <row r="668" spans="1:20" ht="12" customHeight="1" x14ac:dyDescent="0.3">
      <c r="A668" s="340" t="s">
        <v>289</v>
      </c>
      <c r="B668" s="341">
        <v>8</v>
      </c>
      <c r="C668" s="309">
        <v>46053</v>
      </c>
      <c r="D668" s="309" t="s">
        <v>321</v>
      </c>
      <c r="E668" s="342">
        <v>25.54</v>
      </c>
      <c r="F668" s="342"/>
      <c r="G668" s="344">
        <f t="shared" si="5"/>
        <v>8261.559999999994</v>
      </c>
      <c r="H668" s="345"/>
      <c r="I668" s="346"/>
      <c r="J668" s="347"/>
      <c r="K668" s="312"/>
      <c r="L668" s="347"/>
      <c r="M668" s="312"/>
      <c r="N668" s="347"/>
      <c r="O668" s="312"/>
      <c r="P668" s="347"/>
      <c r="Q668" s="312"/>
      <c r="R668" s="347"/>
      <c r="S668" s="312"/>
      <c r="T668" s="347"/>
    </row>
    <row r="669" spans="1:20" ht="12" customHeight="1" x14ac:dyDescent="0.3">
      <c r="A669" s="340" t="s">
        <v>289</v>
      </c>
      <c r="B669" s="341">
        <v>8</v>
      </c>
      <c r="C669" s="309">
        <v>46053</v>
      </c>
      <c r="D669" s="309" t="s">
        <v>309</v>
      </c>
      <c r="E669" s="342">
        <v>52.59</v>
      </c>
      <c r="F669" s="342"/>
      <c r="G669" s="344">
        <f t="shared" si="5"/>
        <v>8287.0999999999949</v>
      </c>
      <c r="H669" s="345"/>
      <c r="I669" s="346"/>
      <c r="J669" s="347"/>
      <c r="K669" s="312"/>
      <c r="L669" s="347"/>
      <c r="M669" s="312"/>
      <c r="N669" s="347"/>
      <c r="O669" s="312"/>
      <c r="P669" s="347"/>
      <c r="Q669" s="312"/>
      <c r="R669" s="347"/>
      <c r="S669" s="312"/>
      <c r="T669" s="347"/>
    </row>
    <row r="670" spans="1:20" ht="12" customHeight="1" x14ac:dyDescent="0.3">
      <c r="A670" s="340" t="s">
        <v>339</v>
      </c>
      <c r="B670" s="341" t="s">
        <v>339</v>
      </c>
      <c r="C670" s="309">
        <v>46052</v>
      </c>
      <c r="D670" s="310" t="s">
        <v>470</v>
      </c>
      <c r="E670" s="342"/>
      <c r="F670" s="342">
        <v>422</v>
      </c>
      <c r="G670" s="344">
        <f t="shared" si="5"/>
        <v>8339.6899999999951</v>
      </c>
      <c r="H670" s="345"/>
      <c r="I670" s="346"/>
      <c r="J670" s="347"/>
      <c r="K670" s="312"/>
      <c r="L670" s="347"/>
      <c r="M670" s="312"/>
      <c r="N670" s="347"/>
      <c r="O670" s="312"/>
      <c r="P670" s="347"/>
      <c r="Q670" s="312"/>
      <c r="R670" s="347"/>
      <c r="S670" s="312"/>
      <c r="T670" s="347"/>
    </row>
    <row r="671" spans="1:20" ht="12" customHeight="1" x14ac:dyDescent="0.3">
      <c r="A671" s="340" t="s">
        <v>289</v>
      </c>
      <c r="B671" s="341">
        <v>5</v>
      </c>
      <c r="C671" s="309">
        <v>46052</v>
      </c>
      <c r="D671" s="310" t="s">
        <v>471</v>
      </c>
      <c r="E671" s="342">
        <v>200</v>
      </c>
      <c r="F671" s="342"/>
      <c r="G671" s="344">
        <f t="shared" si="5"/>
        <v>7917.6899999999951</v>
      </c>
      <c r="H671" s="345"/>
      <c r="I671" s="346"/>
      <c r="J671" s="347"/>
      <c r="K671" s="312"/>
      <c r="L671" s="347"/>
      <c r="M671" s="312"/>
      <c r="N671" s="347"/>
      <c r="O671" s="312"/>
      <c r="P671" s="347"/>
      <c r="Q671" s="312"/>
      <c r="R671" s="347"/>
      <c r="S671" s="312"/>
      <c r="T671" s="347"/>
    </row>
    <row r="672" spans="1:20" ht="12" customHeight="1" x14ac:dyDescent="0.3">
      <c r="A672" s="340" t="s">
        <v>289</v>
      </c>
      <c r="B672" s="341">
        <v>2</v>
      </c>
      <c r="C672" s="309">
        <v>46052</v>
      </c>
      <c r="D672" s="310" t="s">
        <v>296</v>
      </c>
      <c r="E672" s="342">
        <v>8.52</v>
      </c>
      <c r="F672" s="342"/>
      <c r="G672" s="344">
        <f t="shared" si="5"/>
        <v>8117.6899999999951</v>
      </c>
      <c r="H672" s="345"/>
      <c r="I672" s="346"/>
      <c r="J672" s="347"/>
      <c r="K672" s="312"/>
      <c r="L672" s="347"/>
      <c r="M672" s="312"/>
      <c r="N672" s="347"/>
      <c r="O672" s="312"/>
      <c r="P672" s="347"/>
      <c r="Q672" s="312"/>
      <c r="R672" s="347"/>
      <c r="S672" s="312"/>
      <c r="T672" s="347"/>
    </row>
    <row r="673" spans="1:20" ht="12" customHeight="1" x14ac:dyDescent="0.3">
      <c r="A673" s="340" t="s">
        <v>287</v>
      </c>
      <c r="B673" s="341" t="s">
        <v>287</v>
      </c>
      <c r="C673" s="309">
        <v>46052</v>
      </c>
      <c r="D673" s="310" t="s">
        <v>472</v>
      </c>
      <c r="E673" s="342">
        <v>831.92</v>
      </c>
      <c r="F673" s="342">
        <v>831.92</v>
      </c>
      <c r="G673" s="344">
        <f t="shared" si="5"/>
        <v>8126.2099999999955</v>
      </c>
      <c r="H673" s="345"/>
      <c r="I673" s="346"/>
      <c r="J673" s="347"/>
      <c r="K673" s="312"/>
      <c r="L673" s="347"/>
      <c r="M673" s="312"/>
      <c r="N673" s="347"/>
      <c r="O673" s="312"/>
      <c r="P673" s="347"/>
      <c r="Q673" s="312"/>
      <c r="R673" s="347"/>
      <c r="S673" s="312"/>
      <c r="T673" s="347"/>
    </row>
    <row r="674" spans="1:20" ht="12" customHeight="1" x14ac:dyDescent="0.3">
      <c r="A674" s="340" t="s">
        <v>289</v>
      </c>
      <c r="B674" s="341">
        <v>5</v>
      </c>
      <c r="C674" s="309">
        <v>46052</v>
      </c>
      <c r="D674" s="310" t="s">
        <v>450</v>
      </c>
      <c r="E674" s="342">
        <v>200</v>
      </c>
      <c r="F674" s="342"/>
      <c r="G674" s="344">
        <f t="shared" si="5"/>
        <v>8126.2099999999955</v>
      </c>
      <c r="H674" s="345"/>
      <c r="I674" s="346"/>
      <c r="J674" s="347"/>
      <c r="K674" s="312"/>
      <c r="L674" s="347"/>
      <c r="M674" s="312"/>
      <c r="N674" s="347"/>
      <c r="O674" s="312"/>
      <c r="P674" s="347"/>
      <c r="Q674" s="312"/>
      <c r="R674" s="347"/>
      <c r="S674" s="312"/>
      <c r="T674" s="347"/>
    </row>
    <row r="675" spans="1:20" ht="12" customHeight="1" x14ac:dyDescent="0.3">
      <c r="A675" s="340" t="s">
        <v>289</v>
      </c>
      <c r="B675" s="341">
        <v>2</v>
      </c>
      <c r="C675" s="309">
        <v>46052</v>
      </c>
      <c r="D675" s="310" t="s">
        <v>327</v>
      </c>
      <c r="E675" s="342">
        <v>11.04</v>
      </c>
      <c r="F675" s="342"/>
      <c r="G675" s="344">
        <f t="shared" si="5"/>
        <v>8326.2099999999955</v>
      </c>
      <c r="H675" s="345"/>
      <c r="I675" s="346"/>
      <c r="J675" s="347"/>
      <c r="K675" s="312"/>
      <c r="L675" s="347"/>
      <c r="M675" s="312"/>
      <c r="N675" s="347"/>
      <c r="O675" s="312"/>
      <c r="P675" s="347"/>
      <c r="Q675" s="312"/>
      <c r="R675" s="347"/>
      <c r="S675" s="312"/>
      <c r="T675" s="347"/>
    </row>
    <row r="676" spans="1:20" ht="12" customHeight="1" x14ac:dyDescent="0.3">
      <c r="A676" s="340" t="s">
        <v>291</v>
      </c>
      <c r="B676" s="341">
        <v>38</v>
      </c>
      <c r="C676" s="309">
        <v>46051</v>
      </c>
      <c r="D676" s="310" t="s">
        <v>293</v>
      </c>
      <c r="E676" s="342"/>
      <c r="F676" s="342">
        <v>4365.6499999999996</v>
      </c>
      <c r="G676" s="344">
        <f t="shared" si="5"/>
        <v>8337.2499999999964</v>
      </c>
      <c r="H676" s="345"/>
      <c r="I676" s="346"/>
      <c r="J676" s="347"/>
      <c r="K676" s="312"/>
      <c r="L676" s="347"/>
      <c r="M676" s="312"/>
      <c r="N676" s="347"/>
      <c r="O676" s="312"/>
      <c r="P676" s="347"/>
      <c r="Q676" s="312"/>
      <c r="R676" s="347"/>
      <c r="S676" s="312"/>
      <c r="T676" s="347"/>
    </row>
    <row r="677" spans="1:20" ht="12" customHeight="1" x14ac:dyDescent="0.3">
      <c r="A677" s="340" t="s">
        <v>289</v>
      </c>
      <c r="B677" s="341">
        <v>2</v>
      </c>
      <c r="C677" s="309">
        <v>46051</v>
      </c>
      <c r="D677" s="310" t="s">
        <v>296</v>
      </c>
      <c r="E677" s="342">
        <v>18.28</v>
      </c>
      <c r="F677" s="342"/>
      <c r="G677" s="344">
        <f t="shared" si="5"/>
        <v>3971.5999999999976</v>
      </c>
      <c r="H677" s="345"/>
      <c r="I677" s="346"/>
      <c r="J677" s="347"/>
      <c r="K677" s="312"/>
      <c r="L677" s="347"/>
      <c r="M677" s="312"/>
      <c r="N677" s="347"/>
      <c r="O677" s="312"/>
      <c r="P677" s="347"/>
      <c r="Q677" s="312"/>
      <c r="R677" s="347"/>
      <c r="S677" s="312"/>
      <c r="T677" s="347"/>
    </row>
    <row r="678" spans="1:20" ht="12" customHeight="1" x14ac:dyDescent="0.3">
      <c r="A678" s="340" t="s">
        <v>289</v>
      </c>
      <c r="B678" s="341">
        <v>4</v>
      </c>
      <c r="C678" s="309">
        <v>46051</v>
      </c>
      <c r="D678" s="310" t="s">
        <v>295</v>
      </c>
      <c r="E678" s="342">
        <v>57.06</v>
      </c>
      <c r="F678" s="342"/>
      <c r="G678" s="344">
        <f t="shared" si="5"/>
        <v>3989.8799999999978</v>
      </c>
      <c r="H678" s="345"/>
      <c r="I678" s="346"/>
      <c r="J678" s="347"/>
      <c r="K678" s="312"/>
      <c r="L678" s="347"/>
      <c r="M678" s="312"/>
      <c r="N678" s="347"/>
      <c r="O678" s="312"/>
      <c r="P678" s="347"/>
      <c r="Q678" s="312"/>
      <c r="R678" s="347"/>
      <c r="S678" s="312"/>
      <c r="T678" s="347"/>
    </row>
    <row r="679" spans="1:20" ht="12" customHeight="1" x14ac:dyDescent="0.3">
      <c r="A679" s="340" t="s">
        <v>287</v>
      </c>
      <c r="B679" s="341" t="s">
        <v>287</v>
      </c>
      <c r="C679" s="309">
        <v>46051</v>
      </c>
      <c r="D679" s="310" t="s">
        <v>473</v>
      </c>
      <c r="E679" s="342">
        <v>89.42</v>
      </c>
      <c r="F679" s="342">
        <v>89.42</v>
      </c>
      <c r="G679" s="344">
        <f t="shared" si="5"/>
        <v>4046.9399999999978</v>
      </c>
      <c r="H679" s="345"/>
      <c r="I679" s="346"/>
      <c r="J679" s="347"/>
      <c r="K679" s="312"/>
      <c r="L679" s="347"/>
      <c r="M679" s="312"/>
      <c r="N679" s="347"/>
      <c r="O679" s="312"/>
      <c r="P679" s="347"/>
      <c r="Q679" s="312"/>
      <c r="R679" s="347"/>
      <c r="S679" s="312"/>
      <c r="T679" s="347"/>
    </row>
    <row r="680" spans="1:20" ht="12" customHeight="1" x14ac:dyDescent="0.3">
      <c r="A680" s="340" t="s">
        <v>289</v>
      </c>
      <c r="B680" s="341">
        <v>8</v>
      </c>
      <c r="C680" s="309">
        <v>46051</v>
      </c>
      <c r="D680" s="310" t="s">
        <v>474</v>
      </c>
      <c r="E680" s="342">
        <v>59</v>
      </c>
      <c r="F680" s="342"/>
      <c r="G680" s="344">
        <f t="shared" si="5"/>
        <v>4046.9399999999978</v>
      </c>
      <c r="H680" s="345"/>
      <c r="I680" s="346"/>
      <c r="J680" s="347"/>
      <c r="K680" s="312"/>
      <c r="L680" s="347"/>
      <c r="M680" s="312"/>
      <c r="N680" s="347"/>
      <c r="O680" s="312"/>
      <c r="P680" s="347"/>
      <c r="Q680" s="312"/>
      <c r="R680" s="347"/>
      <c r="S680" s="312"/>
      <c r="T680" s="347"/>
    </row>
    <row r="681" spans="1:20" ht="12" customHeight="1" x14ac:dyDescent="0.3">
      <c r="A681" s="340" t="s">
        <v>289</v>
      </c>
      <c r="B681" s="341">
        <v>2</v>
      </c>
      <c r="C681" s="309">
        <v>46051</v>
      </c>
      <c r="D681" s="310" t="s">
        <v>375</v>
      </c>
      <c r="E681" s="342">
        <v>19.899999999999999</v>
      </c>
      <c r="F681" s="342"/>
      <c r="G681" s="344">
        <f t="shared" si="5"/>
        <v>4105.9399999999978</v>
      </c>
      <c r="H681" s="345"/>
      <c r="I681" s="346"/>
      <c r="J681" s="347"/>
      <c r="K681" s="312"/>
      <c r="L681" s="347"/>
      <c r="M681" s="312"/>
      <c r="N681" s="347"/>
      <c r="O681" s="312"/>
      <c r="P681" s="347"/>
      <c r="Q681" s="312"/>
      <c r="R681" s="347"/>
      <c r="S681" s="312"/>
      <c r="T681" s="347"/>
    </row>
    <row r="682" spans="1:20" ht="12" customHeight="1" x14ac:dyDescent="0.3">
      <c r="A682" s="340" t="s">
        <v>289</v>
      </c>
      <c r="B682" s="341">
        <v>2</v>
      </c>
      <c r="C682" s="309">
        <v>46050</v>
      </c>
      <c r="D682" s="310" t="s">
        <v>357</v>
      </c>
      <c r="E682" s="342">
        <v>14.99</v>
      </c>
      <c r="F682" s="342"/>
      <c r="G682" s="344">
        <f t="shared" si="5"/>
        <v>4125.8399999999974</v>
      </c>
      <c r="H682" s="345"/>
      <c r="I682" s="346"/>
      <c r="J682" s="347"/>
      <c r="K682" s="312"/>
      <c r="L682" s="347"/>
      <c r="M682" s="312"/>
      <c r="N682" s="347"/>
      <c r="O682" s="312"/>
      <c r="P682" s="347"/>
      <c r="Q682" s="312"/>
      <c r="R682" s="347"/>
      <c r="S682" s="312"/>
      <c r="T682" s="347"/>
    </row>
    <row r="683" spans="1:20" ht="12" customHeight="1" x14ac:dyDescent="0.3">
      <c r="A683" s="340" t="s">
        <v>289</v>
      </c>
      <c r="B683" s="341">
        <v>6</v>
      </c>
      <c r="C683" s="309">
        <v>46050</v>
      </c>
      <c r="D683" s="310" t="s">
        <v>475</v>
      </c>
      <c r="E683" s="342">
        <v>25</v>
      </c>
      <c r="F683" s="342"/>
      <c r="G683" s="344">
        <f t="shared" si="5"/>
        <v>4140.8299999999972</v>
      </c>
      <c r="H683" s="345"/>
      <c r="I683" s="346"/>
      <c r="J683" s="347"/>
      <c r="K683" s="312"/>
      <c r="L683" s="347"/>
      <c r="M683" s="312"/>
      <c r="N683" s="347"/>
      <c r="O683" s="312"/>
      <c r="P683" s="347"/>
      <c r="Q683" s="312"/>
      <c r="R683" s="347"/>
      <c r="S683" s="312"/>
      <c r="T683" s="347"/>
    </row>
    <row r="684" spans="1:20" ht="12" customHeight="1" x14ac:dyDescent="0.3">
      <c r="A684" s="340" t="s">
        <v>289</v>
      </c>
      <c r="B684" s="341">
        <v>3</v>
      </c>
      <c r="C684" s="309">
        <v>46050</v>
      </c>
      <c r="D684" s="310" t="s">
        <v>476</v>
      </c>
      <c r="E684" s="342">
        <v>6</v>
      </c>
      <c r="F684" s="342"/>
      <c r="G684" s="344">
        <f t="shared" si="5"/>
        <v>4165.8299999999972</v>
      </c>
      <c r="H684" s="345"/>
      <c r="I684" s="346"/>
      <c r="J684" s="347"/>
      <c r="K684" s="312"/>
      <c r="L684" s="347"/>
      <c r="M684" s="312"/>
      <c r="N684" s="347"/>
      <c r="O684" s="312"/>
      <c r="P684" s="347"/>
      <c r="Q684" s="312"/>
      <c r="R684" s="347"/>
      <c r="S684" s="312"/>
      <c r="T684" s="347"/>
    </row>
    <row r="685" spans="1:20" ht="12" customHeight="1" x14ac:dyDescent="0.3">
      <c r="A685" s="340" t="s">
        <v>289</v>
      </c>
      <c r="B685" s="341">
        <v>2</v>
      </c>
      <c r="C685" s="309">
        <v>46050</v>
      </c>
      <c r="D685" s="310" t="s">
        <v>477</v>
      </c>
      <c r="E685" s="342">
        <v>15</v>
      </c>
      <c r="F685" s="342"/>
      <c r="G685" s="344">
        <f t="shared" si="5"/>
        <v>4171.8299999999972</v>
      </c>
      <c r="H685" s="345"/>
      <c r="I685" s="346"/>
      <c r="J685" s="347"/>
      <c r="K685" s="312"/>
      <c r="L685" s="347"/>
      <c r="M685" s="312"/>
      <c r="N685" s="347"/>
      <c r="O685" s="312"/>
      <c r="P685" s="347"/>
      <c r="Q685" s="312"/>
      <c r="R685" s="347"/>
      <c r="S685" s="312"/>
      <c r="T685" s="347"/>
    </row>
    <row r="686" spans="1:20" ht="12" customHeight="1" x14ac:dyDescent="0.3">
      <c r="A686" s="340" t="s">
        <v>289</v>
      </c>
      <c r="B686" s="341">
        <v>2</v>
      </c>
      <c r="C686" s="309">
        <v>46050</v>
      </c>
      <c r="D686" s="310" t="s">
        <v>296</v>
      </c>
      <c r="E686" s="342">
        <v>12.71</v>
      </c>
      <c r="F686" s="342"/>
      <c r="G686" s="344">
        <f t="shared" si="5"/>
        <v>4186.8299999999972</v>
      </c>
      <c r="H686" s="345"/>
      <c r="I686" s="346"/>
      <c r="J686" s="347"/>
      <c r="K686" s="312"/>
      <c r="L686" s="347"/>
      <c r="M686" s="312"/>
      <c r="N686" s="347"/>
      <c r="O686" s="312"/>
      <c r="P686" s="347"/>
      <c r="Q686" s="312"/>
      <c r="R686" s="347"/>
      <c r="S686" s="312"/>
      <c r="T686" s="347"/>
    </row>
    <row r="687" spans="1:20" ht="12" customHeight="1" x14ac:dyDescent="0.3">
      <c r="A687" s="340" t="s">
        <v>287</v>
      </c>
      <c r="B687" s="341" t="s">
        <v>287</v>
      </c>
      <c r="C687" s="309">
        <v>46050</v>
      </c>
      <c r="D687" s="310" t="s">
        <v>462</v>
      </c>
      <c r="E687" s="342">
        <v>1475.9</v>
      </c>
      <c r="F687" s="342">
        <v>1475.9</v>
      </c>
      <c r="G687" s="344">
        <f t="shared" si="5"/>
        <v>4199.5399999999972</v>
      </c>
      <c r="H687" s="345"/>
      <c r="I687" s="346"/>
      <c r="J687" s="347"/>
      <c r="K687" s="312"/>
      <c r="L687" s="347"/>
      <c r="M687" s="312"/>
      <c r="N687" s="347"/>
      <c r="O687" s="312"/>
      <c r="P687" s="347"/>
      <c r="Q687" s="312"/>
      <c r="R687" s="347"/>
      <c r="S687" s="312"/>
      <c r="T687" s="347"/>
    </row>
    <row r="688" spans="1:20" ht="12" customHeight="1" x14ac:dyDescent="0.3">
      <c r="A688" s="340" t="s">
        <v>289</v>
      </c>
      <c r="B688" s="341">
        <v>8</v>
      </c>
      <c r="C688" s="309">
        <v>46050</v>
      </c>
      <c r="D688" s="310" t="s">
        <v>321</v>
      </c>
      <c r="E688" s="342">
        <v>28.52</v>
      </c>
      <c r="F688" s="342"/>
      <c r="G688" s="344">
        <f t="shared" si="5"/>
        <v>4199.5399999999972</v>
      </c>
      <c r="H688" s="345"/>
      <c r="I688" s="346"/>
      <c r="J688" s="347"/>
      <c r="K688" s="312"/>
      <c r="L688" s="347"/>
      <c r="M688" s="312"/>
      <c r="N688" s="347"/>
      <c r="O688" s="312"/>
      <c r="P688" s="347"/>
      <c r="Q688" s="312"/>
      <c r="R688" s="347"/>
      <c r="S688" s="312"/>
      <c r="T688" s="347"/>
    </row>
    <row r="689" spans="1:20" ht="12" customHeight="1" x14ac:dyDescent="0.3">
      <c r="A689" s="340" t="s">
        <v>289</v>
      </c>
      <c r="B689" s="341">
        <v>2</v>
      </c>
      <c r="C689" s="309">
        <v>46050</v>
      </c>
      <c r="D689" s="310" t="s">
        <v>478</v>
      </c>
      <c r="E689" s="342">
        <v>66.94</v>
      </c>
      <c r="F689" s="342"/>
      <c r="G689" s="344">
        <f t="shared" si="5"/>
        <v>4228.0599999999977</v>
      </c>
      <c r="H689" s="345"/>
      <c r="I689" s="346"/>
      <c r="J689" s="347"/>
      <c r="K689" s="312"/>
      <c r="L689" s="347"/>
      <c r="M689" s="312"/>
      <c r="N689" s="347"/>
      <c r="O689" s="312"/>
      <c r="P689" s="347"/>
      <c r="Q689" s="312"/>
      <c r="R689" s="347"/>
      <c r="S689" s="312"/>
      <c r="T689" s="347"/>
    </row>
    <row r="690" spans="1:20" ht="12" customHeight="1" x14ac:dyDescent="0.3">
      <c r="A690" s="340" t="s">
        <v>289</v>
      </c>
      <c r="B690" s="341">
        <v>8</v>
      </c>
      <c r="C690" s="309">
        <v>46049</v>
      </c>
      <c r="D690" s="310" t="s">
        <v>309</v>
      </c>
      <c r="E690" s="342">
        <v>47.99</v>
      </c>
      <c r="F690" s="342"/>
      <c r="G690" s="344">
        <f t="shared" si="5"/>
        <v>4294.9999999999973</v>
      </c>
      <c r="H690" s="345"/>
      <c r="I690" s="346"/>
      <c r="J690" s="347"/>
      <c r="K690" s="312"/>
      <c r="L690" s="347"/>
      <c r="M690" s="312"/>
      <c r="N690" s="347"/>
      <c r="O690" s="312"/>
      <c r="P690" s="347"/>
      <c r="Q690" s="312"/>
      <c r="R690" s="347"/>
      <c r="S690" s="312"/>
      <c r="T690" s="347"/>
    </row>
    <row r="691" spans="1:20" ht="12" customHeight="1" x14ac:dyDescent="0.3">
      <c r="A691" s="340" t="s">
        <v>287</v>
      </c>
      <c r="B691" s="341" t="s">
        <v>287</v>
      </c>
      <c r="C691" s="309">
        <v>46048</v>
      </c>
      <c r="D691" s="310" t="s">
        <v>479</v>
      </c>
      <c r="E691" s="342"/>
      <c r="F691" s="342">
        <v>425</v>
      </c>
      <c r="G691" s="344">
        <f t="shared" si="5"/>
        <v>4342.9899999999971</v>
      </c>
      <c r="H691" s="345" t="s">
        <v>298</v>
      </c>
      <c r="I691" s="346"/>
      <c r="J691" s="347"/>
      <c r="K691" s="312"/>
      <c r="L691" s="347"/>
      <c r="M691" s="312"/>
      <c r="N691" s="347"/>
      <c r="O691" s="312"/>
      <c r="P691" s="347"/>
      <c r="Q691" s="312"/>
      <c r="R691" s="347"/>
      <c r="S691" s="312"/>
      <c r="T691" s="347"/>
    </row>
    <row r="692" spans="1:20" ht="12" customHeight="1" x14ac:dyDescent="0.3">
      <c r="A692" s="340" t="s">
        <v>287</v>
      </c>
      <c r="B692" s="341" t="s">
        <v>287</v>
      </c>
      <c r="C692" s="309">
        <v>46048</v>
      </c>
      <c r="D692" s="310" t="s">
        <v>479</v>
      </c>
      <c r="E692" s="342">
        <v>425</v>
      </c>
      <c r="F692" s="342"/>
      <c r="G692" s="344">
        <f t="shared" si="5"/>
        <v>3917.9899999999971</v>
      </c>
      <c r="H692" s="345"/>
      <c r="I692" s="346"/>
      <c r="J692" s="347"/>
      <c r="K692" s="312"/>
      <c r="L692" s="347"/>
      <c r="M692" s="312"/>
      <c r="N692" s="347"/>
      <c r="O692" s="312"/>
      <c r="P692" s="347"/>
      <c r="Q692" s="312"/>
      <c r="R692" s="347"/>
      <c r="S692" s="312"/>
      <c r="T692" s="347"/>
    </row>
    <row r="693" spans="1:20" ht="12" customHeight="1" x14ac:dyDescent="0.3">
      <c r="A693" s="340" t="s">
        <v>289</v>
      </c>
      <c r="B693" s="341">
        <v>2</v>
      </c>
      <c r="C693" s="309">
        <v>46048</v>
      </c>
      <c r="D693" s="310" t="s">
        <v>480</v>
      </c>
      <c r="E693" s="342">
        <v>20.12</v>
      </c>
      <c r="F693" s="342"/>
      <c r="G693" s="344">
        <f t="shared" si="5"/>
        <v>4342.9899999999971</v>
      </c>
      <c r="H693" s="345"/>
      <c r="I693" s="346"/>
      <c r="J693" s="347"/>
      <c r="K693" s="312"/>
      <c r="L693" s="347"/>
      <c r="M693" s="312"/>
      <c r="N693" s="347"/>
      <c r="O693" s="312"/>
      <c r="P693" s="347"/>
      <c r="Q693" s="312"/>
      <c r="R693" s="347"/>
      <c r="S693" s="312"/>
      <c r="T693" s="347"/>
    </row>
    <row r="694" spans="1:20" ht="12" customHeight="1" x14ac:dyDescent="0.3">
      <c r="A694" s="340" t="s">
        <v>294</v>
      </c>
      <c r="B694" s="341">
        <v>17</v>
      </c>
      <c r="C694" s="309">
        <v>46048</v>
      </c>
      <c r="D694" s="310" t="s">
        <v>481</v>
      </c>
      <c r="E694" s="342">
        <v>42.68</v>
      </c>
      <c r="F694" s="342"/>
      <c r="G694" s="344">
        <f t="shared" si="5"/>
        <v>4363.1099999999969</v>
      </c>
      <c r="H694" s="345"/>
      <c r="I694" s="346"/>
      <c r="J694" s="347"/>
      <c r="K694" s="312"/>
      <c r="L694" s="347"/>
      <c r="M694" s="312"/>
      <c r="N694" s="347"/>
      <c r="O694" s="312"/>
      <c r="P694" s="347"/>
      <c r="Q694" s="312"/>
      <c r="R694" s="347"/>
      <c r="S694" s="312"/>
      <c r="T694" s="347"/>
    </row>
    <row r="695" spans="1:20" ht="12" customHeight="1" x14ac:dyDescent="0.3">
      <c r="A695" s="340" t="s">
        <v>289</v>
      </c>
      <c r="B695" s="341">
        <v>6</v>
      </c>
      <c r="C695" s="309">
        <v>46048</v>
      </c>
      <c r="D695" s="310" t="s">
        <v>402</v>
      </c>
      <c r="E695" s="342">
        <v>47.9</v>
      </c>
      <c r="F695" s="342"/>
      <c r="G695" s="344">
        <f t="shared" si="5"/>
        <v>4405.7899999999972</v>
      </c>
      <c r="H695" s="345"/>
      <c r="I695" s="346"/>
      <c r="J695" s="347"/>
      <c r="K695" s="312"/>
      <c r="L695" s="347"/>
      <c r="M695" s="312"/>
      <c r="N695" s="347"/>
      <c r="O695" s="312"/>
      <c r="P695" s="347"/>
      <c r="Q695" s="312"/>
      <c r="R695" s="347"/>
      <c r="S695" s="312"/>
      <c r="T695" s="347"/>
    </row>
    <row r="696" spans="1:20" ht="12" customHeight="1" x14ac:dyDescent="0.3">
      <c r="A696" s="340" t="s">
        <v>289</v>
      </c>
      <c r="B696" s="341">
        <v>1</v>
      </c>
      <c r="C696" s="309">
        <v>46047</v>
      </c>
      <c r="D696" s="310" t="s">
        <v>467</v>
      </c>
      <c r="E696" s="342">
        <v>105.79</v>
      </c>
      <c r="F696" s="342"/>
      <c r="G696" s="344">
        <f t="shared" si="5"/>
        <v>4453.6899999999969</v>
      </c>
      <c r="H696" s="345"/>
      <c r="I696" s="346"/>
      <c r="J696" s="347"/>
      <c r="K696" s="312"/>
      <c r="L696" s="347"/>
      <c r="M696" s="312"/>
      <c r="N696" s="347"/>
      <c r="O696" s="312"/>
      <c r="P696" s="347"/>
      <c r="Q696" s="312"/>
      <c r="R696" s="347"/>
      <c r="S696" s="312"/>
      <c r="T696" s="347"/>
    </row>
    <row r="697" spans="1:20" ht="12" customHeight="1" x14ac:dyDescent="0.3">
      <c r="A697" s="340" t="s">
        <v>294</v>
      </c>
      <c r="B697" s="341">
        <v>12</v>
      </c>
      <c r="C697" s="309">
        <v>46047</v>
      </c>
      <c r="D697" s="310" t="s">
        <v>315</v>
      </c>
      <c r="E697" s="342">
        <v>204.83</v>
      </c>
      <c r="F697" s="342"/>
      <c r="G697" s="344">
        <f t="shared" si="5"/>
        <v>4559.4799999999968</v>
      </c>
      <c r="H697" s="345"/>
      <c r="I697" s="346"/>
      <c r="J697" s="347"/>
      <c r="K697" s="312"/>
      <c r="L697" s="347"/>
      <c r="M697" s="312"/>
      <c r="N697" s="347"/>
      <c r="O697" s="312"/>
      <c r="P697" s="347"/>
      <c r="Q697" s="312"/>
      <c r="R697" s="347"/>
      <c r="S697" s="312"/>
      <c r="T697" s="347"/>
    </row>
    <row r="698" spans="1:20" ht="12" customHeight="1" x14ac:dyDescent="0.3">
      <c r="A698" s="340" t="s">
        <v>289</v>
      </c>
      <c r="B698" s="341">
        <v>3</v>
      </c>
      <c r="C698" s="309">
        <v>46047</v>
      </c>
      <c r="D698" s="310" t="s">
        <v>352</v>
      </c>
      <c r="E698" s="342">
        <v>8.51</v>
      </c>
      <c r="F698" s="342"/>
      <c r="G698" s="344">
        <f t="shared" si="5"/>
        <v>4764.3099999999968</v>
      </c>
      <c r="H698" s="345"/>
      <c r="I698" s="346"/>
      <c r="J698" s="347"/>
      <c r="K698" s="312"/>
      <c r="L698" s="347"/>
      <c r="M698" s="312"/>
      <c r="N698" s="347"/>
      <c r="O698" s="312"/>
      <c r="P698" s="347"/>
      <c r="Q698" s="312"/>
      <c r="R698" s="347"/>
      <c r="S698" s="312"/>
      <c r="T698" s="347"/>
    </row>
    <row r="699" spans="1:20" ht="12" customHeight="1" x14ac:dyDescent="0.3">
      <c r="A699" s="340" t="s">
        <v>289</v>
      </c>
      <c r="B699" s="341">
        <v>4</v>
      </c>
      <c r="C699" s="309">
        <v>46046</v>
      </c>
      <c r="D699" s="310" t="s">
        <v>296</v>
      </c>
      <c r="E699" s="342">
        <v>92.96</v>
      </c>
      <c r="F699" s="342"/>
      <c r="G699" s="344">
        <f t="shared" si="5"/>
        <v>4772.819999999997</v>
      </c>
      <c r="H699" s="345"/>
      <c r="I699" s="346"/>
      <c r="J699" s="347"/>
      <c r="K699" s="312"/>
      <c r="L699" s="347"/>
      <c r="M699" s="312"/>
      <c r="N699" s="347"/>
      <c r="O699" s="312"/>
      <c r="P699" s="347"/>
      <c r="Q699" s="312"/>
      <c r="R699" s="347"/>
      <c r="S699" s="312"/>
      <c r="T699" s="347"/>
    </row>
    <row r="700" spans="1:20" ht="12" customHeight="1" x14ac:dyDescent="0.3">
      <c r="A700" s="340" t="s">
        <v>289</v>
      </c>
      <c r="B700" s="341">
        <v>4</v>
      </c>
      <c r="C700" s="309">
        <v>46046</v>
      </c>
      <c r="D700" s="310" t="s">
        <v>338</v>
      </c>
      <c r="E700" s="342">
        <v>30.77</v>
      </c>
      <c r="F700" s="342"/>
      <c r="G700" s="344">
        <f t="shared" si="5"/>
        <v>4865.779999999997</v>
      </c>
      <c r="H700" s="345"/>
      <c r="I700" s="346"/>
      <c r="J700" s="347"/>
      <c r="K700" s="312"/>
      <c r="L700" s="347"/>
      <c r="M700" s="312"/>
      <c r="N700" s="347"/>
      <c r="O700" s="312"/>
      <c r="P700" s="347"/>
      <c r="Q700" s="312"/>
      <c r="R700" s="347"/>
      <c r="S700" s="312"/>
      <c r="T700" s="347"/>
    </row>
    <row r="701" spans="1:20" ht="12" customHeight="1" x14ac:dyDescent="0.3">
      <c r="A701" s="340" t="s">
        <v>289</v>
      </c>
      <c r="B701" s="341">
        <v>2</v>
      </c>
      <c r="C701" s="309">
        <v>46046</v>
      </c>
      <c r="D701" s="310" t="s">
        <v>362</v>
      </c>
      <c r="E701" s="342">
        <v>9.4700000000000006</v>
      </c>
      <c r="F701" s="342"/>
      <c r="G701" s="344">
        <f t="shared" si="5"/>
        <v>4896.5499999999975</v>
      </c>
      <c r="H701" s="345"/>
      <c r="I701" s="346"/>
      <c r="J701" s="347"/>
      <c r="K701" s="312"/>
      <c r="L701" s="347"/>
      <c r="M701" s="312"/>
      <c r="N701" s="347"/>
      <c r="O701" s="312"/>
      <c r="P701" s="347"/>
      <c r="Q701" s="312"/>
      <c r="R701" s="347"/>
      <c r="S701" s="312"/>
      <c r="T701" s="347"/>
    </row>
    <row r="702" spans="1:20" ht="12" customHeight="1" x14ac:dyDescent="0.3">
      <c r="A702" s="340" t="s">
        <v>289</v>
      </c>
      <c r="B702" s="341">
        <v>6</v>
      </c>
      <c r="C702" s="309">
        <v>46046</v>
      </c>
      <c r="D702" s="310" t="s">
        <v>402</v>
      </c>
      <c r="E702" s="342">
        <v>53.59</v>
      </c>
      <c r="F702" s="342"/>
      <c r="G702" s="344">
        <f t="shared" si="5"/>
        <v>4906.0199999999977</v>
      </c>
      <c r="H702" s="345"/>
      <c r="I702" s="346"/>
      <c r="J702" s="347"/>
      <c r="K702" s="312"/>
      <c r="L702" s="347"/>
      <c r="M702" s="312"/>
      <c r="N702" s="347"/>
      <c r="O702" s="312"/>
      <c r="P702" s="347"/>
      <c r="Q702" s="312"/>
      <c r="R702" s="347"/>
      <c r="S702" s="312"/>
      <c r="T702" s="347"/>
    </row>
    <row r="703" spans="1:20" ht="12" customHeight="1" x14ac:dyDescent="0.3">
      <c r="A703" s="340" t="s">
        <v>289</v>
      </c>
      <c r="B703" s="341">
        <v>1</v>
      </c>
      <c r="C703" s="309">
        <v>46046</v>
      </c>
      <c r="D703" s="310" t="s">
        <v>312</v>
      </c>
      <c r="E703" s="342">
        <v>61.64</v>
      </c>
      <c r="F703" s="342"/>
      <c r="G703" s="344">
        <f t="shared" si="5"/>
        <v>4959.6099999999979</v>
      </c>
      <c r="H703" s="345"/>
      <c r="I703" s="346"/>
      <c r="J703" s="347"/>
      <c r="K703" s="312"/>
      <c r="L703" s="347"/>
      <c r="M703" s="312"/>
      <c r="N703" s="347"/>
      <c r="O703" s="312"/>
      <c r="P703" s="347"/>
      <c r="Q703" s="312"/>
      <c r="R703" s="347"/>
      <c r="S703" s="312"/>
      <c r="T703" s="347"/>
    </row>
    <row r="704" spans="1:20" ht="12" customHeight="1" x14ac:dyDescent="0.3">
      <c r="A704" s="340" t="s">
        <v>289</v>
      </c>
      <c r="B704" s="341">
        <v>1</v>
      </c>
      <c r="C704" s="309">
        <v>46045</v>
      </c>
      <c r="D704" s="310" t="s">
        <v>304</v>
      </c>
      <c r="E704" s="342">
        <v>23.17</v>
      </c>
      <c r="F704" s="342"/>
      <c r="G704" s="344">
        <f t="shared" si="5"/>
        <v>5021.2499999999982</v>
      </c>
      <c r="H704" s="345"/>
      <c r="I704" s="346"/>
      <c r="J704" s="347"/>
      <c r="K704" s="312"/>
      <c r="L704" s="347"/>
      <c r="M704" s="312"/>
      <c r="N704" s="347"/>
      <c r="O704" s="312"/>
      <c r="P704" s="347"/>
      <c r="Q704" s="312"/>
      <c r="R704" s="347"/>
      <c r="S704" s="312"/>
      <c r="T704" s="347"/>
    </row>
    <row r="705" spans="1:20" ht="12" customHeight="1" x14ac:dyDescent="0.3">
      <c r="A705" s="340" t="s">
        <v>289</v>
      </c>
      <c r="B705" s="341">
        <v>4</v>
      </c>
      <c r="C705" s="309">
        <v>46045</v>
      </c>
      <c r="D705" s="310" t="s">
        <v>296</v>
      </c>
      <c r="E705" s="342">
        <v>62.77</v>
      </c>
      <c r="F705" s="342"/>
      <c r="G705" s="344">
        <f t="shared" si="5"/>
        <v>5044.4199999999983</v>
      </c>
      <c r="H705" s="345"/>
      <c r="I705" s="346"/>
      <c r="J705" s="347"/>
      <c r="K705" s="312"/>
      <c r="L705" s="347"/>
      <c r="M705" s="312"/>
      <c r="N705" s="347"/>
      <c r="O705" s="312"/>
      <c r="P705" s="347"/>
      <c r="Q705" s="312"/>
      <c r="R705" s="347"/>
      <c r="S705" s="312"/>
      <c r="T705" s="347"/>
    </row>
    <row r="706" spans="1:20" ht="12" customHeight="1" x14ac:dyDescent="0.3">
      <c r="A706" s="340" t="s">
        <v>289</v>
      </c>
      <c r="B706" s="341">
        <v>6</v>
      </c>
      <c r="C706" s="309">
        <v>46045</v>
      </c>
      <c r="D706" s="310" t="s">
        <v>482</v>
      </c>
      <c r="E706" s="342">
        <v>105.51</v>
      </c>
      <c r="F706" s="342"/>
      <c r="G706" s="344">
        <f t="shared" si="5"/>
        <v>5107.1899999999987</v>
      </c>
      <c r="H706" s="345"/>
      <c r="I706" s="346"/>
      <c r="J706" s="347"/>
      <c r="K706" s="312"/>
      <c r="L706" s="347"/>
      <c r="M706" s="312"/>
      <c r="N706" s="347"/>
      <c r="O706" s="312"/>
      <c r="P706" s="347"/>
      <c r="Q706" s="312"/>
      <c r="R706" s="347"/>
      <c r="S706" s="312"/>
      <c r="T706" s="347"/>
    </row>
    <row r="707" spans="1:20" ht="12" customHeight="1" x14ac:dyDescent="0.3">
      <c r="A707" s="340" t="s">
        <v>289</v>
      </c>
      <c r="B707" s="341">
        <v>3</v>
      </c>
      <c r="C707" s="309">
        <v>46045</v>
      </c>
      <c r="D707" s="310" t="s">
        <v>338</v>
      </c>
      <c r="E707" s="342">
        <v>9.9499999999999993</v>
      </c>
      <c r="F707" s="342"/>
      <c r="G707" s="344">
        <f t="shared" si="5"/>
        <v>5212.6999999999989</v>
      </c>
      <c r="H707" s="345"/>
      <c r="I707" s="346"/>
      <c r="J707" s="347"/>
      <c r="K707" s="312"/>
      <c r="L707" s="347"/>
      <c r="M707" s="312"/>
      <c r="N707" s="347"/>
      <c r="O707" s="312"/>
      <c r="P707" s="347"/>
      <c r="Q707" s="312"/>
      <c r="R707" s="347"/>
      <c r="S707" s="312"/>
      <c r="T707" s="347"/>
    </row>
    <row r="708" spans="1:20" ht="12" customHeight="1" x14ac:dyDescent="0.3">
      <c r="A708" s="340" t="s">
        <v>289</v>
      </c>
      <c r="B708" s="341">
        <v>2</v>
      </c>
      <c r="C708" s="309">
        <v>46045</v>
      </c>
      <c r="D708" s="310" t="s">
        <v>362</v>
      </c>
      <c r="E708" s="342">
        <v>10.17</v>
      </c>
      <c r="F708" s="342"/>
      <c r="G708" s="344">
        <f t="shared" si="5"/>
        <v>5222.6499999999987</v>
      </c>
      <c r="H708" s="345"/>
      <c r="I708" s="346"/>
      <c r="J708" s="347"/>
      <c r="K708" s="312"/>
      <c r="L708" s="347"/>
      <c r="M708" s="312"/>
      <c r="N708" s="347"/>
      <c r="O708" s="312"/>
      <c r="P708" s="347"/>
      <c r="Q708" s="312"/>
      <c r="R708" s="347"/>
      <c r="S708" s="312"/>
      <c r="T708" s="347"/>
    </row>
    <row r="709" spans="1:20" ht="12" customHeight="1" x14ac:dyDescent="0.3">
      <c r="A709" s="340" t="s">
        <v>289</v>
      </c>
      <c r="B709" s="341">
        <v>2</v>
      </c>
      <c r="C709" s="309">
        <v>46045</v>
      </c>
      <c r="D709" s="310" t="s">
        <v>301</v>
      </c>
      <c r="E709" s="342">
        <v>32.200000000000003</v>
      </c>
      <c r="F709" s="342"/>
      <c r="G709" s="344">
        <f t="shared" si="5"/>
        <v>5232.8199999999988</v>
      </c>
      <c r="H709" s="345"/>
      <c r="I709" s="346"/>
      <c r="J709" s="347"/>
      <c r="K709" s="312"/>
      <c r="L709" s="347"/>
      <c r="M709" s="312"/>
      <c r="N709" s="347"/>
      <c r="O709" s="312"/>
      <c r="P709" s="347"/>
      <c r="Q709" s="312"/>
      <c r="R709" s="347"/>
      <c r="S709" s="312"/>
      <c r="T709" s="347"/>
    </row>
    <row r="710" spans="1:20" ht="12" customHeight="1" x14ac:dyDescent="0.3">
      <c r="A710" s="340" t="s">
        <v>294</v>
      </c>
      <c r="B710" s="341">
        <v>22</v>
      </c>
      <c r="C710" s="309">
        <v>46045</v>
      </c>
      <c r="D710" s="310" t="s">
        <v>483</v>
      </c>
      <c r="E710" s="342">
        <v>5.31</v>
      </c>
      <c r="F710" s="342"/>
      <c r="G710" s="344">
        <f t="shared" si="5"/>
        <v>5265.0199999999986</v>
      </c>
      <c r="H710" s="345"/>
      <c r="I710" s="346"/>
      <c r="J710" s="347"/>
      <c r="K710" s="312"/>
      <c r="L710" s="347"/>
      <c r="M710" s="312"/>
      <c r="N710" s="347"/>
      <c r="O710" s="312"/>
      <c r="P710" s="347"/>
      <c r="Q710" s="312"/>
      <c r="R710" s="347"/>
      <c r="S710" s="312"/>
      <c r="T710" s="347"/>
    </row>
    <row r="711" spans="1:20" ht="12" customHeight="1" x14ac:dyDescent="0.3">
      <c r="A711" s="340" t="s">
        <v>289</v>
      </c>
      <c r="B711" s="341">
        <v>8</v>
      </c>
      <c r="C711" s="309">
        <v>46044</v>
      </c>
      <c r="D711" s="310" t="s">
        <v>444</v>
      </c>
      <c r="E711" s="342">
        <v>73.95</v>
      </c>
      <c r="F711" s="342"/>
      <c r="G711" s="344">
        <f t="shared" si="5"/>
        <v>5270.329999999999</v>
      </c>
      <c r="H711" s="345"/>
      <c r="I711" s="346"/>
      <c r="J711" s="347"/>
      <c r="K711" s="312"/>
      <c r="L711" s="347"/>
      <c r="M711" s="312"/>
      <c r="N711" s="347"/>
      <c r="O711" s="312"/>
      <c r="P711" s="347"/>
      <c r="Q711" s="312"/>
      <c r="R711" s="347"/>
      <c r="S711" s="312"/>
      <c r="T711" s="347"/>
    </row>
    <row r="712" spans="1:20" ht="12" customHeight="1" x14ac:dyDescent="0.3">
      <c r="A712" s="340" t="s">
        <v>289</v>
      </c>
      <c r="B712" s="341">
        <v>2</v>
      </c>
      <c r="C712" s="309">
        <v>46044</v>
      </c>
      <c r="D712" s="310" t="s">
        <v>484</v>
      </c>
      <c r="E712" s="342">
        <v>28.68</v>
      </c>
      <c r="F712" s="342"/>
      <c r="G712" s="344">
        <f t="shared" si="5"/>
        <v>5344.2799999999988</v>
      </c>
      <c r="H712" s="345"/>
      <c r="I712" s="346"/>
      <c r="J712" s="347"/>
      <c r="K712" s="312"/>
      <c r="L712" s="347"/>
      <c r="M712" s="312"/>
      <c r="N712" s="347"/>
      <c r="O712" s="312"/>
      <c r="P712" s="347"/>
      <c r="Q712" s="312"/>
      <c r="R712" s="347"/>
      <c r="S712" s="312"/>
      <c r="T712" s="347"/>
    </row>
    <row r="713" spans="1:20" ht="12" customHeight="1" x14ac:dyDescent="0.3">
      <c r="A713" s="340" t="s">
        <v>289</v>
      </c>
      <c r="B713" s="341">
        <v>8</v>
      </c>
      <c r="C713" s="309">
        <v>46044</v>
      </c>
      <c r="D713" s="310" t="s">
        <v>361</v>
      </c>
      <c r="E713" s="342">
        <v>57.38</v>
      </c>
      <c r="F713" s="342"/>
      <c r="G713" s="344">
        <f t="shared" si="5"/>
        <v>5372.9599999999991</v>
      </c>
      <c r="H713" s="345"/>
      <c r="I713" s="346"/>
      <c r="J713" s="347"/>
      <c r="K713" s="312"/>
      <c r="L713" s="347"/>
      <c r="M713" s="312"/>
      <c r="N713" s="347"/>
      <c r="O713" s="312"/>
      <c r="P713" s="347"/>
      <c r="Q713" s="312"/>
      <c r="R713" s="347"/>
      <c r="S713" s="312"/>
      <c r="T713" s="347"/>
    </row>
    <row r="714" spans="1:20" ht="12" customHeight="1" x14ac:dyDescent="0.3">
      <c r="A714" s="340" t="s">
        <v>289</v>
      </c>
      <c r="B714" s="341">
        <v>2</v>
      </c>
      <c r="C714" s="309">
        <v>46044</v>
      </c>
      <c r="D714" s="310" t="s">
        <v>362</v>
      </c>
      <c r="E714" s="342">
        <v>9.4700000000000006</v>
      </c>
      <c r="F714" s="342"/>
      <c r="G714" s="344">
        <f t="shared" si="5"/>
        <v>5430.3399999999992</v>
      </c>
      <c r="H714" s="345"/>
      <c r="I714" s="346"/>
      <c r="J714" s="347"/>
      <c r="K714" s="312"/>
      <c r="L714" s="347"/>
      <c r="M714" s="312"/>
      <c r="N714" s="347"/>
      <c r="O714" s="312"/>
      <c r="P714" s="347"/>
      <c r="Q714" s="312"/>
      <c r="R714" s="347"/>
      <c r="S714" s="312"/>
      <c r="T714" s="347"/>
    </row>
    <row r="715" spans="1:20" ht="12" customHeight="1" x14ac:dyDescent="0.3">
      <c r="A715" s="340" t="s">
        <v>289</v>
      </c>
      <c r="B715" s="341">
        <v>2</v>
      </c>
      <c r="C715" s="309">
        <v>46044</v>
      </c>
      <c r="D715" s="310" t="s">
        <v>362</v>
      </c>
      <c r="E715" s="342">
        <v>7.18</v>
      </c>
      <c r="F715" s="342"/>
      <c r="G715" s="344">
        <f t="shared" si="5"/>
        <v>5439.8099999999995</v>
      </c>
      <c r="H715" s="345"/>
      <c r="I715" s="346"/>
      <c r="J715" s="347"/>
      <c r="K715" s="312"/>
      <c r="L715" s="347"/>
      <c r="M715" s="312"/>
      <c r="N715" s="347"/>
      <c r="O715" s="312"/>
      <c r="P715" s="347"/>
      <c r="Q715" s="312"/>
      <c r="R715" s="347"/>
      <c r="S715" s="312"/>
      <c r="T715" s="347"/>
    </row>
    <row r="716" spans="1:20" ht="12" customHeight="1" x14ac:dyDescent="0.3">
      <c r="A716" s="340" t="s">
        <v>287</v>
      </c>
      <c r="B716" s="341" t="s">
        <v>287</v>
      </c>
      <c r="C716" s="309">
        <v>46044</v>
      </c>
      <c r="D716" s="310" t="s">
        <v>316</v>
      </c>
      <c r="E716" s="342">
        <v>126.24</v>
      </c>
      <c r="F716" s="342">
        <v>126.24</v>
      </c>
      <c r="G716" s="344">
        <f t="shared" si="5"/>
        <v>5446.99</v>
      </c>
      <c r="H716" s="345"/>
      <c r="I716" s="346"/>
      <c r="J716" s="347"/>
      <c r="K716" s="312"/>
      <c r="L716" s="347"/>
      <c r="M716" s="312"/>
      <c r="N716" s="347"/>
      <c r="O716" s="312"/>
      <c r="P716" s="347"/>
      <c r="Q716" s="312"/>
      <c r="R716" s="347"/>
      <c r="S716" s="312"/>
      <c r="T716" s="347"/>
    </row>
    <row r="717" spans="1:20" ht="12" customHeight="1" x14ac:dyDescent="0.3">
      <c r="A717" s="340" t="s">
        <v>289</v>
      </c>
      <c r="B717" s="341">
        <v>8</v>
      </c>
      <c r="C717" s="309">
        <v>46043</v>
      </c>
      <c r="D717" s="310" t="s">
        <v>485</v>
      </c>
      <c r="E717" s="342">
        <v>17</v>
      </c>
      <c r="F717" s="342"/>
      <c r="G717" s="344">
        <f t="shared" si="5"/>
        <v>5446.99</v>
      </c>
      <c r="H717" s="345"/>
      <c r="I717" s="346"/>
      <c r="J717" s="347"/>
      <c r="K717" s="312"/>
      <c r="L717" s="347"/>
      <c r="M717" s="312"/>
      <c r="N717" s="347"/>
      <c r="O717" s="312"/>
      <c r="P717" s="347"/>
      <c r="Q717" s="312"/>
      <c r="R717" s="347"/>
      <c r="S717" s="312"/>
      <c r="T717" s="347"/>
    </row>
    <row r="718" spans="1:20" ht="12" customHeight="1" x14ac:dyDescent="0.3">
      <c r="A718" s="340" t="s">
        <v>289</v>
      </c>
      <c r="B718" s="341">
        <v>1</v>
      </c>
      <c r="C718" s="309">
        <v>46043</v>
      </c>
      <c r="D718" s="310" t="s">
        <v>332</v>
      </c>
      <c r="E718" s="342">
        <v>24.75</v>
      </c>
      <c r="F718" s="342"/>
      <c r="G718" s="344">
        <f t="shared" si="5"/>
        <v>5463.99</v>
      </c>
      <c r="H718" s="345"/>
      <c r="I718" s="346"/>
      <c r="J718" s="347"/>
      <c r="K718" s="312"/>
      <c r="L718" s="347"/>
      <c r="M718" s="312"/>
      <c r="N718" s="347"/>
      <c r="O718" s="312"/>
      <c r="P718" s="347"/>
      <c r="Q718" s="312"/>
      <c r="R718" s="347"/>
      <c r="S718" s="312"/>
      <c r="T718" s="347"/>
    </row>
    <row r="719" spans="1:20" ht="12" customHeight="1" x14ac:dyDescent="0.3">
      <c r="A719" s="340" t="s">
        <v>291</v>
      </c>
      <c r="B719" s="341">
        <v>39</v>
      </c>
      <c r="C719" s="309">
        <v>46043</v>
      </c>
      <c r="D719" s="310" t="s">
        <v>292</v>
      </c>
      <c r="E719" s="342"/>
      <c r="F719" s="342">
        <v>3378.82</v>
      </c>
      <c r="G719" s="344">
        <f t="shared" si="5"/>
        <v>5488.74</v>
      </c>
      <c r="H719" s="345"/>
      <c r="I719" s="346"/>
      <c r="J719" s="347"/>
      <c r="K719" s="312"/>
      <c r="L719" s="347"/>
      <c r="M719" s="312"/>
      <c r="N719" s="347"/>
      <c r="O719" s="312"/>
      <c r="P719" s="347"/>
      <c r="Q719" s="312"/>
      <c r="R719" s="347"/>
      <c r="S719" s="312"/>
      <c r="T719" s="347"/>
    </row>
    <row r="720" spans="1:20" ht="12" customHeight="1" x14ac:dyDescent="0.3">
      <c r="A720" s="340" t="s">
        <v>294</v>
      </c>
      <c r="B720" s="341">
        <v>23</v>
      </c>
      <c r="C720" s="309">
        <v>46043</v>
      </c>
      <c r="D720" s="310" t="s">
        <v>67</v>
      </c>
      <c r="E720" s="342">
        <v>650.88</v>
      </c>
      <c r="F720" s="342"/>
      <c r="G720" s="344">
        <f t="shared" si="5"/>
        <v>2109.9199999999992</v>
      </c>
      <c r="H720" s="345"/>
      <c r="I720" s="346"/>
      <c r="J720" s="347"/>
      <c r="K720" s="312"/>
      <c r="L720" s="347"/>
      <c r="M720" s="312"/>
      <c r="N720" s="347"/>
      <c r="O720" s="312"/>
      <c r="P720" s="347"/>
      <c r="Q720" s="312"/>
      <c r="R720" s="347"/>
      <c r="S720" s="312"/>
      <c r="T720" s="347"/>
    </row>
    <row r="721" spans="1:20" ht="12" customHeight="1" x14ac:dyDescent="0.3">
      <c r="A721" s="340" t="s">
        <v>287</v>
      </c>
      <c r="B721" s="341" t="s">
        <v>287</v>
      </c>
      <c r="C721" s="309">
        <v>46043</v>
      </c>
      <c r="D721" s="310" t="s">
        <v>486</v>
      </c>
      <c r="E721" s="342">
        <v>100</v>
      </c>
      <c r="F721" s="342">
        <v>100</v>
      </c>
      <c r="G721" s="344">
        <f t="shared" si="5"/>
        <v>2760.7999999999993</v>
      </c>
      <c r="H721" s="345"/>
      <c r="I721" s="346"/>
      <c r="J721" s="347"/>
      <c r="K721" s="312"/>
      <c r="L721" s="347"/>
      <c r="M721" s="312"/>
      <c r="N721" s="347"/>
      <c r="O721" s="312"/>
      <c r="P721" s="347"/>
      <c r="Q721" s="312"/>
      <c r="R721" s="347"/>
      <c r="S721" s="312"/>
      <c r="T721" s="347"/>
    </row>
    <row r="722" spans="1:20" ht="12" customHeight="1" x14ac:dyDescent="0.3">
      <c r="A722" s="340" t="s">
        <v>289</v>
      </c>
      <c r="B722" s="341">
        <v>2</v>
      </c>
      <c r="C722" s="309">
        <v>46043</v>
      </c>
      <c r="D722" s="310" t="s">
        <v>301</v>
      </c>
      <c r="E722" s="342">
        <v>20</v>
      </c>
      <c r="F722" s="342"/>
      <c r="G722" s="344">
        <f t="shared" si="5"/>
        <v>2760.7999999999993</v>
      </c>
      <c r="H722" s="345"/>
      <c r="I722" s="346"/>
      <c r="J722" s="347"/>
      <c r="K722" s="312"/>
      <c r="L722" s="347"/>
      <c r="M722" s="312"/>
      <c r="N722" s="347"/>
      <c r="O722" s="312"/>
      <c r="P722" s="347"/>
      <c r="Q722" s="312"/>
      <c r="R722" s="347"/>
      <c r="S722" s="312"/>
      <c r="T722" s="347"/>
    </row>
    <row r="723" spans="1:20" ht="12" customHeight="1" x14ac:dyDescent="0.3">
      <c r="A723" s="340" t="s">
        <v>289</v>
      </c>
      <c r="B723" s="341">
        <v>8</v>
      </c>
      <c r="C723" s="309">
        <v>46043</v>
      </c>
      <c r="D723" s="310" t="s">
        <v>295</v>
      </c>
      <c r="E723" s="342">
        <v>6.38</v>
      </c>
      <c r="F723" s="342"/>
      <c r="G723" s="344">
        <f t="shared" si="5"/>
        <v>2780.7999999999993</v>
      </c>
      <c r="H723" s="345"/>
      <c r="I723" s="346"/>
      <c r="J723" s="347"/>
      <c r="K723" s="312"/>
      <c r="L723" s="347"/>
      <c r="M723" s="312"/>
      <c r="N723" s="347"/>
      <c r="O723" s="312"/>
      <c r="P723" s="347"/>
      <c r="Q723" s="312"/>
      <c r="R723" s="347"/>
      <c r="S723" s="312"/>
      <c r="T723" s="347"/>
    </row>
    <row r="724" spans="1:20" ht="12" customHeight="1" x14ac:dyDescent="0.3">
      <c r="A724" s="340" t="s">
        <v>289</v>
      </c>
      <c r="B724" s="341">
        <v>2</v>
      </c>
      <c r="C724" s="309">
        <v>46043</v>
      </c>
      <c r="D724" s="310" t="s">
        <v>295</v>
      </c>
      <c r="E724" s="342">
        <v>17.29</v>
      </c>
      <c r="F724" s="342"/>
      <c r="G724" s="344">
        <f t="shared" si="5"/>
        <v>2787.1799999999994</v>
      </c>
      <c r="H724" s="345"/>
      <c r="I724" s="346"/>
      <c r="J724" s="347"/>
      <c r="K724" s="312"/>
      <c r="L724" s="347"/>
      <c r="M724" s="312"/>
      <c r="N724" s="347"/>
      <c r="O724" s="312"/>
      <c r="P724" s="347"/>
      <c r="Q724" s="312"/>
      <c r="R724" s="347"/>
      <c r="S724" s="312"/>
      <c r="T724" s="347"/>
    </row>
    <row r="725" spans="1:20" ht="12" customHeight="1" x14ac:dyDescent="0.3">
      <c r="A725" s="340" t="s">
        <v>289</v>
      </c>
      <c r="B725" s="341">
        <v>2</v>
      </c>
      <c r="C725" s="309">
        <v>46043</v>
      </c>
      <c r="D725" s="310" t="s">
        <v>362</v>
      </c>
      <c r="E725" s="342">
        <v>14.86</v>
      </c>
      <c r="F725" s="342"/>
      <c r="G725" s="344">
        <f t="shared" si="5"/>
        <v>2804.4699999999993</v>
      </c>
      <c r="H725" s="345"/>
      <c r="I725" s="346"/>
      <c r="J725" s="347"/>
      <c r="K725" s="312"/>
      <c r="L725" s="347"/>
      <c r="M725" s="312"/>
      <c r="N725" s="347"/>
      <c r="O725" s="312"/>
      <c r="P725" s="347"/>
      <c r="Q725" s="312"/>
      <c r="R725" s="347"/>
      <c r="S725" s="312"/>
      <c r="T725" s="347"/>
    </row>
    <row r="726" spans="1:20" ht="12" customHeight="1" x14ac:dyDescent="0.3">
      <c r="A726" s="340" t="s">
        <v>289</v>
      </c>
      <c r="B726" s="341">
        <v>2</v>
      </c>
      <c r="C726" s="309">
        <v>46042</v>
      </c>
      <c r="D726" s="310" t="s">
        <v>375</v>
      </c>
      <c r="E726" s="342">
        <v>13.4</v>
      </c>
      <c r="F726" s="342"/>
      <c r="G726" s="344">
        <f t="shared" si="5"/>
        <v>2819.3299999999995</v>
      </c>
      <c r="H726" s="345"/>
      <c r="I726" s="346"/>
      <c r="J726" s="347"/>
      <c r="K726" s="312"/>
      <c r="L726" s="347"/>
      <c r="M726" s="312"/>
      <c r="N726" s="347"/>
      <c r="O726" s="312"/>
      <c r="P726" s="347"/>
      <c r="Q726" s="312"/>
      <c r="R726" s="347"/>
      <c r="S726" s="312"/>
      <c r="T726" s="347"/>
    </row>
    <row r="727" spans="1:20" ht="12" customHeight="1" x14ac:dyDescent="0.3">
      <c r="A727" s="340" t="s">
        <v>289</v>
      </c>
      <c r="B727" s="341">
        <v>2</v>
      </c>
      <c r="C727" s="309">
        <v>46042</v>
      </c>
      <c r="D727" s="310" t="s">
        <v>375</v>
      </c>
      <c r="E727" s="342">
        <v>5.97</v>
      </c>
      <c r="F727" s="342"/>
      <c r="G727" s="344">
        <f t="shared" si="5"/>
        <v>2832.7299999999996</v>
      </c>
      <c r="H727" s="345"/>
      <c r="I727" s="346"/>
      <c r="J727" s="347"/>
      <c r="K727" s="312"/>
      <c r="L727" s="347"/>
      <c r="M727" s="312"/>
      <c r="N727" s="347"/>
      <c r="O727" s="312"/>
      <c r="P727" s="347"/>
      <c r="Q727" s="312"/>
      <c r="R727" s="347"/>
      <c r="S727" s="312"/>
      <c r="T727" s="347"/>
    </row>
    <row r="728" spans="1:20" ht="12" customHeight="1" x14ac:dyDescent="0.3">
      <c r="A728" s="340" t="s">
        <v>294</v>
      </c>
      <c r="B728" s="341">
        <v>22</v>
      </c>
      <c r="C728" s="309">
        <v>46042</v>
      </c>
      <c r="D728" s="310" t="s">
        <v>325</v>
      </c>
      <c r="E728" s="342">
        <v>18.09</v>
      </c>
      <c r="F728" s="342"/>
      <c r="G728" s="344">
        <f t="shared" si="5"/>
        <v>2838.6999999999994</v>
      </c>
      <c r="H728" s="345"/>
      <c r="I728" s="346"/>
      <c r="J728" s="347"/>
      <c r="K728" s="312"/>
      <c r="L728" s="347"/>
      <c r="M728" s="312"/>
      <c r="N728" s="347"/>
      <c r="O728" s="312"/>
      <c r="P728" s="347"/>
      <c r="Q728" s="312"/>
      <c r="R728" s="347"/>
      <c r="S728" s="312"/>
      <c r="T728" s="347"/>
    </row>
    <row r="729" spans="1:20" ht="12" customHeight="1" x14ac:dyDescent="0.3">
      <c r="A729" s="340" t="s">
        <v>294</v>
      </c>
      <c r="B729" s="341">
        <v>17</v>
      </c>
      <c r="C729" s="309">
        <v>46042</v>
      </c>
      <c r="D729" s="310" t="s">
        <v>188</v>
      </c>
      <c r="E729" s="342">
        <v>42.65</v>
      </c>
      <c r="F729" s="342"/>
      <c r="G729" s="344">
        <f t="shared" si="5"/>
        <v>2856.7899999999995</v>
      </c>
      <c r="H729" s="345"/>
      <c r="I729" s="346"/>
      <c r="J729" s="347"/>
      <c r="K729" s="312"/>
      <c r="L729" s="347"/>
      <c r="M729" s="312"/>
      <c r="N729" s="347"/>
      <c r="O729" s="312"/>
      <c r="P729" s="347"/>
      <c r="Q729" s="312"/>
      <c r="R729" s="347"/>
      <c r="S729" s="312"/>
      <c r="T729" s="347"/>
    </row>
    <row r="730" spans="1:20" ht="12" customHeight="1" x14ac:dyDescent="0.3">
      <c r="A730" s="340" t="s">
        <v>339</v>
      </c>
      <c r="B730" s="341" t="s">
        <v>339</v>
      </c>
      <c r="C730" s="309">
        <v>46042</v>
      </c>
      <c r="D730" s="310" t="s">
        <v>340</v>
      </c>
      <c r="E730" s="342">
        <v>130.51</v>
      </c>
      <c r="F730" s="342"/>
      <c r="G730" s="344">
        <f t="shared" si="5"/>
        <v>2899.4399999999996</v>
      </c>
      <c r="H730" s="345"/>
      <c r="I730" s="346"/>
      <c r="J730" s="347"/>
      <c r="K730" s="312"/>
      <c r="L730" s="347"/>
      <c r="M730" s="312"/>
      <c r="N730" s="347"/>
      <c r="O730" s="312"/>
      <c r="P730" s="347"/>
      <c r="Q730" s="312"/>
      <c r="R730" s="347"/>
      <c r="S730" s="312"/>
      <c r="T730" s="347"/>
    </row>
    <row r="731" spans="1:20" ht="12" customHeight="1" x14ac:dyDescent="0.3">
      <c r="A731" s="340" t="s">
        <v>294</v>
      </c>
      <c r="B731" s="341">
        <v>15</v>
      </c>
      <c r="C731" s="309">
        <v>46042</v>
      </c>
      <c r="D731" s="310" t="s">
        <v>185</v>
      </c>
      <c r="E731" s="342">
        <v>132.4</v>
      </c>
      <c r="F731" s="342"/>
      <c r="G731" s="344">
        <f t="shared" si="5"/>
        <v>3029.9499999999994</v>
      </c>
      <c r="H731" s="345"/>
      <c r="I731" s="346"/>
      <c r="J731" s="347"/>
      <c r="K731" s="312"/>
      <c r="L731" s="347"/>
      <c r="M731" s="312"/>
      <c r="N731" s="347"/>
      <c r="O731" s="312"/>
      <c r="P731" s="347"/>
      <c r="Q731" s="312"/>
      <c r="R731" s="347"/>
      <c r="S731" s="312"/>
      <c r="T731" s="347"/>
    </row>
    <row r="732" spans="1:20" ht="12" customHeight="1" x14ac:dyDescent="0.3">
      <c r="A732" s="340" t="s">
        <v>294</v>
      </c>
      <c r="B732" s="341">
        <v>23</v>
      </c>
      <c r="C732" s="309">
        <v>46042</v>
      </c>
      <c r="D732" s="310" t="s">
        <v>63</v>
      </c>
      <c r="E732" s="342">
        <v>529.46</v>
      </c>
      <c r="F732" s="342"/>
      <c r="G732" s="344">
        <f t="shared" si="5"/>
        <v>3162.3499999999995</v>
      </c>
      <c r="H732" s="345"/>
      <c r="I732" s="346"/>
      <c r="J732" s="347"/>
      <c r="K732" s="312"/>
      <c r="L732" s="347"/>
      <c r="M732" s="312"/>
      <c r="N732" s="347"/>
      <c r="O732" s="312"/>
      <c r="P732" s="347"/>
      <c r="Q732" s="312"/>
      <c r="R732" s="347"/>
      <c r="S732" s="312"/>
      <c r="T732" s="347"/>
    </row>
    <row r="733" spans="1:20" ht="12" customHeight="1" x14ac:dyDescent="0.3">
      <c r="A733" s="340" t="s">
        <v>289</v>
      </c>
      <c r="B733" s="341">
        <v>6</v>
      </c>
      <c r="C733" s="309">
        <v>46042</v>
      </c>
      <c r="D733" s="310" t="s">
        <v>300</v>
      </c>
      <c r="E733" s="342">
        <v>51.63</v>
      </c>
      <c r="F733" s="342"/>
      <c r="G733" s="344">
        <f t="shared" si="5"/>
        <v>3691.8099999999995</v>
      </c>
      <c r="H733" s="345"/>
      <c r="I733" s="346"/>
      <c r="J733" s="347"/>
      <c r="K733" s="312"/>
      <c r="L733" s="347"/>
      <c r="M733" s="312"/>
      <c r="N733" s="347"/>
      <c r="O733" s="312"/>
      <c r="P733" s="347"/>
      <c r="Q733" s="312"/>
      <c r="R733" s="347"/>
      <c r="S733" s="312"/>
      <c r="T733" s="347"/>
    </row>
    <row r="734" spans="1:20" ht="12" customHeight="1" x14ac:dyDescent="0.3">
      <c r="A734" s="340" t="s">
        <v>289</v>
      </c>
      <c r="B734" s="341">
        <v>2</v>
      </c>
      <c r="C734" s="309">
        <v>46042</v>
      </c>
      <c r="D734" s="310" t="s">
        <v>296</v>
      </c>
      <c r="E734" s="342">
        <v>11.17</v>
      </c>
      <c r="F734" s="342"/>
      <c r="G734" s="344">
        <f t="shared" si="5"/>
        <v>3743.4399999999996</v>
      </c>
      <c r="H734" s="345"/>
      <c r="I734" s="346"/>
      <c r="J734" s="347"/>
      <c r="K734" s="312"/>
      <c r="L734" s="347"/>
      <c r="M734" s="312"/>
      <c r="N734" s="347"/>
      <c r="O734" s="312"/>
      <c r="P734" s="347"/>
      <c r="Q734" s="312"/>
      <c r="R734" s="347"/>
      <c r="S734" s="312"/>
      <c r="T734" s="347"/>
    </row>
    <row r="735" spans="1:20" ht="12" customHeight="1" x14ac:dyDescent="0.3">
      <c r="A735" s="340" t="s">
        <v>289</v>
      </c>
      <c r="B735" s="341">
        <v>4</v>
      </c>
      <c r="C735" s="309">
        <v>46042</v>
      </c>
      <c r="D735" s="310" t="s">
        <v>296</v>
      </c>
      <c r="E735" s="342">
        <v>57.37</v>
      </c>
      <c r="F735" s="342"/>
      <c r="G735" s="344">
        <f t="shared" si="5"/>
        <v>3754.6099999999997</v>
      </c>
      <c r="H735" s="345"/>
      <c r="I735" s="346"/>
      <c r="J735" s="347"/>
      <c r="K735" s="312"/>
      <c r="L735" s="347"/>
      <c r="M735" s="312"/>
      <c r="N735" s="347"/>
      <c r="O735" s="312"/>
      <c r="P735" s="347"/>
      <c r="Q735" s="312"/>
      <c r="R735" s="347"/>
      <c r="S735" s="312"/>
      <c r="T735" s="347"/>
    </row>
    <row r="736" spans="1:20" ht="12" customHeight="1" x14ac:dyDescent="0.3">
      <c r="A736" s="340" t="s">
        <v>294</v>
      </c>
      <c r="B736" s="341">
        <v>22</v>
      </c>
      <c r="C736" s="309">
        <v>46042</v>
      </c>
      <c r="D736" s="310" t="s">
        <v>331</v>
      </c>
      <c r="E736" s="342">
        <v>7.46</v>
      </c>
      <c r="F736" s="342"/>
      <c r="G736" s="344">
        <f t="shared" si="5"/>
        <v>3811.9799999999996</v>
      </c>
      <c r="H736" s="345"/>
      <c r="I736" s="346"/>
      <c r="J736" s="347"/>
      <c r="K736" s="312"/>
      <c r="L736" s="347"/>
      <c r="M736" s="312"/>
      <c r="N736" s="347"/>
      <c r="O736" s="312"/>
      <c r="P736" s="347"/>
      <c r="Q736" s="312"/>
      <c r="R736" s="347"/>
      <c r="S736" s="312"/>
      <c r="T736" s="347"/>
    </row>
    <row r="737" spans="1:20" ht="12" customHeight="1" x14ac:dyDescent="0.3">
      <c r="A737" s="340" t="s">
        <v>289</v>
      </c>
      <c r="B737" s="341">
        <v>4</v>
      </c>
      <c r="C737" s="309">
        <v>46042</v>
      </c>
      <c r="D737" s="310" t="s">
        <v>311</v>
      </c>
      <c r="E737" s="342">
        <v>28.91</v>
      </c>
      <c r="F737" s="342"/>
      <c r="G737" s="344">
        <f t="shared" si="5"/>
        <v>3819.4399999999996</v>
      </c>
      <c r="H737" s="345"/>
      <c r="I737" s="346"/>
      <c r="J737" s="347"/>
      <c r="K737" s="312"/>
      <c r="L737" s="347"/>
      <c r="M737" s="312"/>
      <c r="N737" s="347"/>
      <c r="O737" s="312"/>
      <c r="P737" s="347"/>
      <c r="Q737" s="312"/>
      <c r="R737" s="347"/>
      <c r="S737" s="312"/>
      <c r="T737" s="347"/>
    </row>
    <row r="738" spans="1:20" ht="12" customHeight="1" x14ac:dyDescent="0.3">
      <c r="A738" s="340" t="s">
        <v>289</v>
      </c>
      <c r="B738" s="341">
        <v>6</v>
      </c>
      <c r="C738" s="309">
        <v>46040</v>
      </c>
      <c r="D738" s="310" t="s">
        <v>300</v>
      </c>
      <c r="E738" s="342">
        <v>31.35</v>
      </c>
      <c r="F738" s="342"/>
      <c r="G738" s="344">
        <f t="shared" si="5"/>
        <v>3848.3499999999995</v>
      </c>
      <c r="H738" s="345"/>
      <c r="I738" s="346"/>
      <c r="J738" s="347"/>
      <c r="K738" s="312"/>
      <c r="L738" s="347"/>
      <c r="M738" s="312"/>
      <c r="N738" s="347"/>
      <c r="O738" s="312"/>
      <c r="P738" s="347"/>
      <c r="Q738" s="312"/>
      <c r="R738" s="347"/>
      <c r="S738" s="312"/>
      <c r="T738" s="347"/>
    </row>
    <row r="739" spans="1:20" ht="12" customHeight="1" x14ac:dyDescent="0.3">
      <c r="A739" s="340" t="s">
        <v>289</v>
      </c>
      <c r="B739" s="341">
        <v>8</v>
      </c>
      <c r="C739" s="309">
        <v>46040</v>
      </c>
      <c r="D739" s="310" t="s">
        <v>487</v>
      </c>
      <c r="E739" s="342">
        <v>124.75</v>
      </c>
      <c r="F739" s="342"/>
      <c r="G739" s="344">
        <f t="shared" si="5"/>
        <v>3879.6999999999994</v>
      </c>
      <c r="H739" s="345"/>
      <c r="I739" s="346"/>
      <c r="J739" s="347"/>
      <c r="K739" s="312"/>
      <c r="L739" s="347"/>
      <c r="M739" s="312"/>
      <c r="N739" s="347"/>
      <c r="O739" s="312"/>
      <c r="P739" s="347"/>
      <c r="Q739" s="312"/>
      <c r="R739" s="347"/>
      <c r="S739" s="312"/>
      <c r="T739" s="347"/>
    </row>
    <row r="740" spans="1:20" ht="12" customHeight="1" x14ac:dyDescent="0.3">
      <c r="A740" s="340" t="s">
        <v>289</v>
      </c>
      <c r="B740" s="341">
        <v>3</v>
      </c>
      <c r="C740" s="309">
        <v>46040</v>
      </c>
      <c r="D740" s="310" t="s">
        <v>322</v>
      </c>
      <c r="E740" s="342">
        <v>11.3</v>
      </c>
      <c r="F740" s="342"/>
      <c r="G740" s="344">
        <f t="shared" si="5"/>
        <v>4004.4499999999994</v>
      </c>
      <c r="H740" s="345"/>
      <c r="I740" s="346"/>
      <c r="J740" s="347"/>
      <c r="K740" s="312"/>
      <c r="L740" s="347"/>
      <c r="M740" s="312"/>
      <c r="N740" s="347"/>
      <c r="O740" s="312"/>
      <c r="P740" s="347"/>
      <c r="Q740" s="312"/>
      <c r="R740" s="347"/>
      <c r="S740" s="312"/>
      <c r="T740" s="347"/>
    </row>
    <row r="741" spans="1:20" ht="12" customHeight="1" x14ac:dyDescent="0.3">
      <c r="A741" s="340" t="s">
        <v>294</v>
      </c>
      <c r="B741" s="341">
        <v>22</v>
      </c>
      <c r="C741" s="309">
        <v>46040</v>
      </c>
      <c r="D741" s="310" t="s">
        <v>408</v>
      </c>
      <c r="E741" s="342">
        <v>13.84</v>
      </c>
      <c r="F741" s="342"/>
      <c r="G741" s="344">
        <f t="shared" si="5"/>
        <v>4015.7499999999995</v>
      </c>
      <c r="H741" s="345"/>
      <c r="I741" s="346"/>
      <c r="J741" s="347"/>
      <c r="K741" s="312"/>
      <c r="L741" s="347"/>
      <c r="M741" s="312"/>
      <c r="N741" s="347"/>
      <c r="O741" s="312"/>
      <c r="P741" s="347"/>
      <c r="Q741" s="312"/>
      <c r="R741" s="347"/>
      <c r="S741" s="312"/>
      <c r="T741" s="347"/>
    </row>
    <row r="742" spans="1:20" ht="12" customHeight="1" x14ac:dyDescent="0.3">
      <c r="A742" s="340" t="s">
        <v>289</v>
      </c>
      <c r="B742" s="341">
        <v>1</v>
      </c>
      <c r="C742" s="309">
        <v>46040</v>
      </c>
      <c r="D742" s="310" t="s">
        <v>307</v>
      </c>
      <c r="E742" s="342">
        <v>92.06</v>
      </c>
      <c r="F742" s="342"/>
      <c r="G742" s="344">
        <f t="shared" si="5"/>
        <v>4029.5899999999997</v>
      </c>
      <c r="H742" s="345"/>
      <c r="I742" s="346"/>
      <c r="J742" s="347"/>
      <c r="K742" s="312"/>
      <c r="L742" s="347"/>
      <c r="M742" s="312"/>
      <c r="N742" s="347"/>
      <c r="O742" s="312"/>
      <c r="P742" s="347"/>
      <c r="Q742" s="312"/>
      <c r="R742" s="347"/>
      <c r="S742" s="312"/>
      <c r="T742" s="347"/>
    </row>
    <row r="743" spans="1:20" ht="12" customHeight="1" x14ac:dyDescent="0.3">
      <c r="A743" s="340" t="s">
        <v>289</v>
      </c>
      <c r="B743" s="341">
        <v>7</v>
      </c>
      <c r="C743" s="309">
        <v>46040</v>
      </c>
      <c r="D743" s="310" t="s">
        <v>342</v>
      </c>
      <c r="E743" s="342">
        <v>78.47</v>
      </c>
      <c r="F743" s="342"/>
      <c r="G743" s="344">
        <f t="shared" si="5"/>
        <v>4121.6499999999996</v>
      </c>
      <c r="H743" s="345"/>
      <c r="I743" s="346"/>
      <c r="J743" s="347"/>
      <c r="K743" s="312"/>
      <c r="L743" s="347"/>
      <c r="M743" s="312"/>
      <c r="N743" s="347"/>
      <c r="O743" s="312"/>
      <c r="P743" s="347"/>
      <c r="Q743" s="312"/>
      <c r="R743" s="347"/>
      <c r="S743" s="312"/>
      <c r="T743" s="347"/>
    </row>
    <row r="744" spans="1:20" ht="12" customHeight="1" x14ac:dyDescent="0.3">
      <c r="A744" s="340" t="s">
        <v>289</v>
      </c>
      <c r="B744" s="341">
        <v>1</v>
      </c>
      <c r="C744" s="309">
        <v>46040</v>
      </c>
      <c r="D744" s="310" t="s">
        <v>397</v>
      </c>
      <c r="E744" s="342">
        <v>28.22</v>
      </c>
      <c r="F744" s="342"/>
      <c r="G744" s="344">
        <f t="shared" si="5"/>
        <v>4200.12</v>
      </c>
      <c r="H744" s="345"/>
      <c r="I744" s="346"/>
      <c r="J744" s="347"/>
      <c r="K744" s="312"/>
      <c r="L744" s="347"/>
      <c r="M744" s="312"/>
      <c r="N744" s="347"/>
      <c r="O744" s="312"/>
      <c r="P744" s="347"/>
      <c r="Q744" s="312"/>
      <c r="R744" s="347"/>
      <c r="S744" s="312"/>
      <c r="T744" s="347"/>
    </row>
    <row r="745" spans="1:20" ht="12" customHeight="1" x14ac:dyDescent="0.3">
      <c r="A745" s="340" t="s">
        <v>289</v>
      </c>
      <c r="B745" s="341">
        <v>2</v>
      </c>
      <c r="C745" s="309">
        <v>46040</v>
      </c>
      <c r="D745" s="310" t="s">
        <v>396</v>
      </c>
      <c r="E745" s="342">
        <v>32.729999999999997</v>
      </c>
      <c r="F745" s="342"/>
      <c r="G745" s="344">
        <f t="shared" si="5"/>
        <v>4228.34</v>
      </c>
      <c r="H745" s="345"/>
      <c r="I745" s="346"/>
      <c r="J745" s="347"/>
      <c r="K745" s="312"/>
      <c r="L745" s="347"/>
      <c r="M745" s="312"/>
      <c r="N745" s="347"/>
      <c r="O745" s="312"/>
      <c r="P745" s="347"/>
      <c r="Q745" s="312"/>
      <c r="R745" s="347"/>
      <c r="S745" s="312"/>
      <c r="T745" s="347"/>
    </row>
    <row r="746" spans="1:20" ht="12" customHeight="1" x14ac:dyDescent="0.3">
      <c r="A746" s="340" t="s">
        <v>294</v>
      </c>
      <c r="B746" s="341">
        <v>42</v>
      </c>
      <c r="C746" s="309">
        <v>46039</v>
      </c>
      <c r="D746" s="310" t="s">
        <v>337</v>
      </c>
      <c r="E746" s="342">
        <v>29.8</v>
      </c>
      <c r="F746" s="342"/>
      <c r="G746" s="344">
        <f t="shared" si="5"/>
        <v>4261.07</v>
      </c>
      <c r="H746" s="345"/>
      <c r="I746" s="346"/>
      <c r="J746" s="347"/>
      <c r="K746" s="312"/>
      <c r="L746" s="347"/>
      <c r="M746" s="312"/>
      <c r="N746" s="347"/>
      <c r="O746" s="312"/>
      <c r="P746" s="347"/>
      <c r="Q746" s="312"/>
      <c r="R746" s="347"/>
      <c r="S746" s="312"/>
      <c r="T746" s="347"/>
    </row>
    <row r="747" spans="1:20" ht="12" customHeight="1" x14ac:dyDescent="0.3">
      <c r="A747" s="340" t="s">
        <v>294</v>
      </c>
      <c r="B747" s="341">
        <v>43</v>
      </c>
      <c r="C747" s="309">
        <v>46039</v>
      </c>
      <c r="D747" s="310" t="s">
        <v>337</v>
      </c>
      <c r="E747" s="342">
        <v>22.35</v>
      </c>
      <c r="F747" s="342"/>
      <c r="G747" s="344">
        <f t="shared" si="5"/>
        <v>4290.87</v>
      </c>
      <c r="H747" s="345"/>
      <c r="I747" s="346"/>
      <c r="J747" s="347"/>
      <c r="K747" s="312"/>
      <c r="L747" s="347"/>
      <c r="M747" s="312"/>
      <c r="N747" s="347"/>
      <c r="O747" s="312"/>
      <c r="P747" s="347"/>
      <c r="Q747" s="312"/>
      <c r="R747" s="347"/>
      <c r="S747" s="312"/>
      <c r="T747" s="347"/>
    </row>
    <row r="748" spans="1:20" ht="12" customHeight="1" x14ac:dyDescent="0.3">
      <c r="A748" s="340" t="s">
        <v>289</v>
      </c>
      <c r="B748" s="341">
        <v>8</v>
      </c>
      <c r="C748" s="309">
        <v>46039</v>
      </c>
      <c r="D748" s="310" t="s">
        <v>321</v>
      </c>
      <c r="E748" s="342">
        <v>36.92</v>
      </c>
      <c r="F748" s="342"/>
      <c r="G748" s="344">
        <f t="shared" si="5"/>
        <v>4313.22</v>
      </c>
      <c r="H748" s="345"/>
      <c r="I748" s="346"/>
      <c r="J748" s="347"/>
      <c r="K748" s="312"/>
      <c r="L748" s="347"/>
      <c r="M748" s="312"/>
      <c r="N748" s="347"/>
      <c r="O748" s="312"/>
      <c r="P748" s="347"/>
      <c r="Q748" s="312"/>
      <c r="R748" s="347"/>
      <c r="S748" s="312"/>
      <c r="T748" s="347"/>
    </row>
    <row r="749" spans="1:20" ht="12" customHeight="1" x14ac:dyDescent="0.3">
      <c r="A749" s="340" t="s">
        <v>289</v>
      </c>
      <c r="B749" s="341">
        <v>1</v>
      </c>
      <c r="C749" s="309">
        <v>46039</v>
      </c>
      <c r="D749" s="310" t="s">
        <v>312</v>
      </c>
      <c r="E749" s="342">
        <v>117.89</v>
      </c>
      <c r="F749" s="342"/>
      <c r="G749" s="344">
        <f t="shared" si="5"/>
        <v>4350.1400000000003</v>
      </c>
      <c r="H749" s="345"/>
      <c r="I749" s="346"/>
      <c r="J749" s="347"/>
      <c r="K749" s="312"/>
      <c r="L749" s="347"/>
      <c r="M749" s="312"/>
      <c r="N749" s="347"/>
      <c r="O749" s="312"/>
      <c r="P749" s="347"/>
      <c r="Q749" s="312"/>
      <c r="R749" s="347"/>
      <c r="S749" s="312"/>
      <c r="T749" s="347"/>
    </row>
    <row r="750" spans="1:20" ht="12" customHeight="1" x14ac:dyDescent="0.3">
      <c r="A750" s="340" t="s">
        <v>289</v>
      </c>
      <c r="B750" s="341">
        <v>1</v>
      </c>
      <c r="C750" s="309">
        <v>46039</v>
      </c>
      <c r="D750" s="310" t="s">
        <v>332</v>
      </c>
      <c r="E750" s="342">
        <v>196.36</v>
      </c>
      <c r="F750" s="342"/>
      <c r="G750" s="344">
        <f t="shared" si="5"/>
        <v>4468.0300000000007</v>
      </c>
      <c r="H750" s="345"/>
      <c r="I750" s="346"/>
      <c r="J750" s="347"/>
      <c r="K750" s="312"/>
      <c r="L750" s="347"/>
      <c r="M750" s="312"/>
      <c r="N750" s="347"/>
      <c r="O750" s="312"/>
      <c r="P750" s="347"/>
      <c r="Q750" s="312"/>
      <c r="R750" s="347"/>
      <c r="S750" s="312"/>
      <c r="T750" s="347"/>
    </row>
    <row r="751" spans="1:20" ht="12" customHeight="1" x14ac:dyDescent="0.3">
      <c r="A751" s="340" t="s">
        <v>294</v>
      </c>
      <c r="B751" s="341">
        <v>21</v>
      </c>
      <c r="C751" s="309">
        <v>46039</v>
      </c>
      <c r="D751" s="310" t="s">
        <v>194</v>
      </c>
      <c r="E751" s="342">
        <v>70.2</v>
      </c>
      <c r="F751" s="342"/>
      <c r="G751" s="344">
        <f t="shared" si="5"/>
        <v>4664.3900000000003</v>
      </c>
      <c r="H751" s="345"/>
      <c r="I751" s="346"/>
      <c r="J751" s="347"/>
      <c r="K751" s="312"/>
      <c r="L751" s="347"/>
      <c r="M751" s="312"/>
      <c r="N751" s="347"/>
      <c r="O751" s="312"/>
      <c r="P751" s="347"/>
      <c r="Q751" s="312"/>
      <c r="R751" s="347"/>
      <c r="S751" s="312"/>
      <c r="T751" s="347"/>
    </row>
    <row r="752" spans="1:20" ht="12" customHeight="1" x14ac:dyDescent="0.3">
      <c r="A752" s="340" t="s">
        <v>289</v>
      </c>
      <c r="B752" s="341">
        <v>2</v>
      </c>
      <c r="C752" s="309">
        <v>46038</v>
      </c>
      <c r="D752" s="310" t="s">
        <v>327</v>
      </c>
      <c r="E752" s="342">
        <v>13.14</v>
      </c>
      <c r="F752" s="342"/>
      <c r="G752" s="344">
        <f t="shared" si="5"/>
        <v>4734.59</v>
      </c>
      <c r="H752" s="345"/>
      <c r="I752" s="346"/>
      <c r="J752" s="347"/>
      <c r="K752" s="312"/>
      <c r="L752" s="347"/>
      <c r="M752" s="312"/>
      <c r="N752" s="347"/>
      <c r="O752" s="312"/>
      <c r="P752" s="347"/>
      <c r="Q752" s="312"/>
      <c r="R752" s="347"/>
      <c r="S752" s="312"/>
      <c r="T752" s="347"/>
    </row>
    <row r="753" spans="1:20" ht="12" customHeight="1" x14ac:dyDescent="0.3">
      <c r="A753" s="340" t="s">
        <v>289</v>
      </c>
      <c r="B753" s="341">
        <v>2</v>
      </c>
      <c r="C753" s="309">
        <v>46038</v>
      </c>
      <c r="D753" s="310" t="s">
        <v>296</v>
      </c>
      <c r="E753" s="342">
        <v>18.489999999999998</v>
      </c>
      <c r="F753" s="342"/>
      <c r="G753" s="344">
        <f t="shared" si="5"/>
        <v>4747.7300000000005</v>
      </c>
      <c r="H753" s="345"/>
      <c r="I753" s="346"/>
      <c r="J753" s="347"/>
      <c r="K753" s="312"/>
      <c r="L753" s="347"/>
      <c r="M753" s="312"/>
      <c r="N753" s="347"/>
      <c r="O753" s="312"/>
      <c r="P753" s="347"/>
      <c r="Q753" s="312"/>
      <c r="R753" s="347"/>
      <c r="S753" s="312"/>
      <c r="T753" s="347"/>
    </row>
    <row r="754" spans="1:20" ht="12" customHeight="1" x14ac:dyDescent="0.3">
      <c r="A754" s="340" t="s">
        <v>291</v>
      </c>
      <c r="B754" s="341">
        <v>41</v>
      </c>
      <c r="C754" s="309">
        <v>46038</v>
      </c>
      <c r="D754" s="310" t="s">
        <v>488</v>
      </c>
      <c r="E754" s="342"/>
      <c r="F754" s="342">
        <v>800</v>
      </c>
      <c r="G754" s="344">
        <f t="shared" si="5"/>
        <v>4766.22</v>
      </c>
      <c r="H754" s="345" t="s">
        <v>298</v>
      </c>
      <c r="I754" s="346"/>
      <c r="J754" s="347"/>
      <c r="K754" s="312"/>
      <c r="L754" s="347"/>
      <c r="M754" s="312"/>
      <c r="N754" s="347"/>
      <c r="O754" s="312"/>
      <c r="P754" s="347"/>
      <c r="Q754" s="312"/>
      <c r="R754" s="347"/>
      <c r="S754" s="312"/>
      <c r="T754" s="347"/>
    </row>
    <row r="755" spans="1:20" ht="12" customHeight="1" x14ac:dyDescent="0.3">
      <c r="A755" s="340" t="s">
        <v>294</v>
      </c>
      <c r="B755" s="341">
        <v>18</v>
      </c>
      <c r="C755" s="309">
        <v>46038</v>
      </c>
      <c r="D755" s="310" t="s">
        <v>365</v>
      </c>
      <c r="E755" s="342">
        <v>400</v>
      </c>
      <c r="F755" s="342"/>
      <c r="G755" s="344">
        <f t="shared" si="5"/>
        <v>3966.2200000000003</v>
      </c>
      <c r="H755" s="345"/>
      <c r="I755" s="346"/>
      <c r="J755" s="347"/>
      <c r="K755" s="312"/>
      <c r="L755" s="347"/>
      <c r="M755" s="312"/>
      <c r="N755" s="347"/>
      <c r="O755" s="312"/>
      <c r="P755" s="347"/>
      <c r="Q755" s="312"/>
      <c r="R755" s="347"/>
      <c r="S755" s="312"/>
      <c r="T755" s="347"/>
    </row>
    <row r="756" spans="1:20" ht="12" customHeight="1" x14ac:dyDescent="0.3">
      <c r="A756" s="340" t="s">
        <v>294</v>
      </c>
      <c r="B756" s="341">
        <v>19</v>
      </c>
      <c r="C756" s="309">
        <v>46038</v>
      </c>
      <c r="D756" s="310" t="s">
        <v>191</v>
      </c>
      <c r="E756" s="342">
        <v>200</v>
      </c>
      <c r="F756" s="342"/>
      <c r="G756" s="344">
        <f t="shared" si="5"/>
        <v>4366.22</v>
      </c>
      <c r="H756" s="345"/>
      <c r="I756" s="346"/>
      <c r="J756" s="347"/>
      <c r="K756" s="312"/>
      <c r="L756" s="347"/>
      <c r="M756" s="312"/>
      <c r="N756" s="347"/>
      <c r="O756" s="312"/>
      <c r="P756" s="347"/>
      <c r="Q756" s="312"/>
      <c r="R756" s="347"/>
      <c r="S756" s="312"/>
      <c r="T756" s="347"/>
    </row>
    <row r="757" spans="1:20" ht="12" customHeight="1" x14ac:dyDescent="0.3">
      <c r="A757" s="340" t="s">
        <v>294</v>
      </c>
      <c r="B757" s="341">
        <v>11</v>
      </c>
      <c r="C757" s="309">
        <v>46038</v>
      </c>
      <c r="D757" s="310" t="s">
        <v>178</v>
      </c>
      <c r="E757" s="342">
        <v>267.95999999999998</v>
      </c>
      <c r="F757" s="342"/>
      <c r="G757" s="344">
        <f t="shared" si="5"/>
        <v>4566.22</v>
      </c>
      <c r="H757" s="345"/>
      <c r="I757" s="346"/>
      <c r="J757" s="347"/>
      <c r="K757" s="312"/>
      <c r="L757" s="347"/>
      <c r="M757" s="312"/>
      <c r="N757" s="347"/>
      <c r="O757" s="312"/>
      <c r="P757" s="347"/>
      <c r="Q757" s="312"/>
      <c r="R757" s="347"/>
      <c r="S757" s="312"/>
      <c r="T757" s="347"/>
    </row>
    <row r="758" spans="1:20" ht="12" customHeight="1" x14ac:dyDescent="0.3">
      <c r="A758" s="340" t="s">
        <v>289</v>
      </c>
      <c r="B758" s="341">
        <v>8</v>
      </c>
      <c r="C758" s="309">
        <v>46037</v>
      </c>
      <c r="D758" s="310" t="s">
        <v>361</v>
      </c>
      <c r="E758" s="342">
        <v>59.95</v>
      </c>
      <c r="F758" s="342"/>
      <c r="G758" s="344">
        <f t="shared" si="5"/>
        <v>4834.18</v>
      </c>
      <c r="H758" s="345"/>
      <c r="I758" s="346"/>
      <c r="J758" s="347"/>
      <c r="K758" s="312"/>
      <c r="L758" s="347"/>
      <c r="M758" s="312"/>
      <c r="N758" s="347"/>
      <c r="O758" s="312"/>
      <c r="P758" s="347"/>
      <c r="Q758" s="312"/>
      <c r="R758" s="347"/>
      <c r="S758" s="312"/>
      <c r="T758" s="347"/>
    </row>
    <row r="759" spans="1:20" ht="12" customHeight="1" x14ac:dyDescent="0.3">
      <c r="A759" s="340" t="s">
        <v>289</v>
      </c>
      <c r="B759" s="341">
        <v>2</v>
      </c>
      <c r="C759" s="309">
        <v>46037</v>
      </c>
      <c r="D759" s="310" t="s">
        <v>361</v>
      </c>
      <c r="E759" s="342">
        <v>59.96</v>
      </c>
      <c r="F759" s="342"/>
      <c r="G759" s="344">
        <f t="shared" si="5"/>
        <v>4894.13</v>
      </c>
      <c r="H759" s="345"/>
      <c r="I759" s="346"/>
      <c r="J759" s="347"/>
      <c r="K759" s="312"/>
      <c r="L759" s="347"/>
      <c r="M759" s="312"/>
      <c r="N759" s="347"/>
      <c r="O759" s="312"/>
      <c r="P759" s="347"/>
      <c r="Q759" s="312"/>
      <c r="R759" s="347"/>
      <c r="S759" s="312"/>
      <c r="T759" s="347"/>
    </row>
    <row r="760" spans="1:20" ht="12" customHeight="1" x14ac:dyDescent="0.3">
      <c r="A760" s="340" t="s">
        <v>289</v>
      </c>
      <c r="B760" s="341">
        <v>8</v>
      </c>
      <c r="C760" s="309">
        <v>46037</v>
      </c>
      <c r="D760" s="310" t="s">
        <v>321</v>
      </c>
      <c r="E760" s="342">
        <v>12.43</v>
      </c>
      <c r="F760" s="342"/>
      <c r="G760" s="344">
        <f t="shared" si="5"/>
        <v>4954.09</v>
      </c>
      <c r="H760" s="345"/>
      <c r="I760" s="346"/>
      <c r="J760" s="347"/>
      <c r="K760" s="312"/>
      <c r="L760" s="347"/>
      <c r="M760" s="312"/>
      <c r="N760" s="347"/>
      <c r="O760" s="312"/>
      <c r="P760" s="347"/>
      <c r="Q760" s="312"/>
      <c r="R760" s="347"/>
      <c r="S760" s="312"/>
      <c r="T760" s="347"/>
    </row>
    <row r="761" spans="1:20" ht="12" customHeight="1" x14ac:dyDescent="0.3">
      <c r="A761" s="340" t="s">
        <v>289</v>
      </c>
      <c r="B761" s="341">
        <v>2</v>
      </c>
      <c r="C761" s="309">
        <v>46037</v>
      </c>
      <c r="D761" s="310" t="s">
        <v>296</v>
      </c>
      <c r="E761" s="342">
        <v>11.07</v>
      </c>
      <c r="F761" s="342"/>
      <c r="G761" s="344">
        <f t="shared" si="5"/>
        <v>4966.5200000000004</v>
      </c>
      <c r="H761" s="345"/>
      <c r="I761" s="346"/>
      <c r="J761" s="347"/>
      <c r="K761" s="312"/>
      <c r="L761" s="347"/>
      <c r="M761" s="312"/>
      <c r="N761" s="347"/>
      <c r="O761" s="312"/>
      <c r="P761" s="347"/>
      <c r="Q761" s="312"/>
      <c r="R761" s="347"/>
      <c r="S761" s="312"/>
      <c r="T761" s="347"/>
    </row>
    <row r="762" spans="1:20" ht="12" customHeight="1" x14ac:dyDescent="0.3">
      <c r="A762" s="340" t="s">
        <v>289</v>
      </c>
      <c r="B762" s="341">
        <v>4</v>
      </c>
      <c r="C762" s="309">
        <v>46037</v>
      </c>
      <c r="D762" s="310" t="s">
        <v>296</v>
      </c>
      <c r="E762" s="342">
        <v>52.3</v>
      </c>
      <c r="F762" s="342"/>
      <c r="G762" s="344">
        <f t="shared" si="5"/>
        <v>4977.59</v>
      </c>
      <c r="H762" s="345"/>
      <c r="I762" s="346"/>
      <c r="J762" s="347"/>
      <c r="K762" s="312"/>
      <c r="L762" s="347"/>
      <c r="M762" s="312"/>
      <c r="N762" s="347"/>
      <c r="O762" s="312"/>
      <c r="P762" s="347"/>
      <c r="Q762" s="312"/>
      <c r="R762" s="347"/>
      <c r="S762" s="312"/>
      <c r="T762" s="347"/>
    </row>
    <row r="763" spans="1:20" ht="12" customHeight="1" x14ac:dyDescent="0.3">
      <c r="A763" s="340" t="s">
        <v>289</v>
      </c>
      <c r="B763" s="341">
        <v>6</v>
      </c>
      <c r="C763" s="309">
        <v>46037</v>
      </c>
      <c r="D763" s="310" t="s">
        <v>445</v>
      </c>
      <c r="E763" s="342">
        <v>50</v>
      </c>
      <c r="F763" s="342"/>
      <c r="G763" s="344">
        <f t="shared" si="5"/>
        <v>5029.8900000000003</v>
      </c>
      <c r="H763" s="345"/>
      <c r="I763" s="346"/>
      <c r="J763" s="347"/>
      <c r="K763" s="312"/>
      <c r="L763" s="347"/>
      <c r="M763" s="312"/>
      <c r="N763" s="347"/>
      <c r="O763" s="312"/>
      <c r="P763" s="347"/>
      <c r="Q763" s="312"/>
      <c r="R763" s="347"/>
      <c r="S763" s="312"/>
      <c r="T763" s="347"/>
    </row>
    <row r="764" spans="1:20" ht="12" customHeight="1" x14ac:dyDescent="0.3">
      <c r="A764" s="340" t="s">
        <v>291</v>
      </c>
      <c r="B764" s="341">
        <v>38</v>
      </c>
      <c r="C764" s="309">
        <v>46037</v>
      </c>
      <c r="D764" s="310" t="s">
        <v>293</v>
      </c>
      <c r="E764" s="342"/>
      <c r="F764" s="342">
        <v>4365.67</v>
      </c>
      <c r="G764" s="344">
        <f t="shared" si="5"/>
        <v>5079.8900000000003</v>
      </c>
      <c r="H764" s="345"/>
      <c r="I764" s="346"/>
      <c r="J764" s="347"/>
      <c r="K764" s="312"/>
      <c r="L764" s="347"/>
      <c r="M764" s="312"/>
      <c r="N764" s="347"/>
      <c r="O764" s="312"/>
      <c r="P764" s="347"/>
      <c r="Q764" s="312"/>
      <c r="R764" s="347"/>
      <c r="S764" s="312"/>
      <c r="T764" s="347"/>
    </row>
    <row r="765" spans="1:20" ht="12" customHeight="1" x14ac:dyDescent="0.3">
      <c r="A765" s="340" t="s">
        <v>289</v>
      </c>
      <c r="B765" s="341">
        <v>4</v>
      </c>
      <c r="C765" s="309">
        <v>46036</v>
      </c>
      <c r="D765" s="310" t="s">
        <v>295</v>
      </c>
      <c r="E765" s="342">
        <v>30.91</v>
      </c>
      <c r="F765" s="342"/>
      <c r="G765" s="344">
        <f t="shared" si="5"/>
        <v>714.22</v>
      </c>
      <c r="H765" s="345"/>
      <c r="I765" s="346"/>
      <c r="J765" s="347"/>
      <c r="K765" s="312"/>
      <c r="L765" s="347"/>
      <c r="M765" s="312"/>
      <c r="N765" s="347"/>
      <c r="O765" s="312"/>
      <c r="P765" s="347"/>
      <c r="Q765" s="312"/>
      <c r="R765" s="347"/>
      <c r="S765" s="312"/>
      <c r="T765" s="347"/>
    </row>
    <row r="766" spans="1:20" ht="12" customHeight="1" x14ac:dyDescent="0.3">
      <c r="A766" s="340" t="s">
        <v>289</v>
      </c>
      <c r="B766" s="341">
        <v>3</v>
      </c>
      <c r="C766" s="309">
        <v>46036</v>
      </c>
      <c r="D766" s="310" t="s">
        <v>352</v>
      </c>
      <c r="E766" s="342">
        <v>8.67</v>
      </c>
      <c r="F766" s="342"/>
      <c r="G766" s="344">
        <f t="shared" si="5"/>
        <v>745.13</v>
      </c>
      <c r="H766" s="345"/>
      <c r="I766" s="346"/>
      <c r="J766" s="347"/>
      <c r="K766" s="312"/>
      <c r="L766" s="347"/>
      <c r="M766" s="312"/>
      <c r="N766" s="347"/>
      <c r="O766" s="312"/>
      <c r="P766" s="347"/>
      <c r="Q766" s="312"/>
      <c r="R766" s="347"/>
      <c r="S766" s="312"/>
      <c r="T766" s="347"/>
    </row>
    <row r="767" spans="1:20" ht="12" customHeight="1" x14ac:dyDescent="0.3">
      <c r="A767" s="340" t="s">
        <v>289</v>
      </c>
      <c r="B767" s="341">
        <v>3</v>
      </c>
      <c r="C767" s="309">
        <v>46035</v>
      </c>
      <c r="D767" s="310" t="s">
        <v>355</v>
      </c>
      <c r="E767" s="342">
        <v>25.01</v>
      </c>
      <c r="F767" s="342"/>
      <c r="G767" s="344">
        <f t="shared" si="5"/>
        <v>753.8</v>
      </c>
      <c r="H767" s="345"/>
      <c r="I767" s="346"/>
      <c r="J767" s="347"/>
      <c r="K767" s="312"/>
      <c r="L767" s="347"/>
      <c r="M767" s="312"/>
      <c r="N767" s="347"/>
      <c r="O767" s="312"/>
      <c r="P767" s="347"/>
      <c r="Q767" s="312"/>
      <c r="R767" s="347"/>
      <c r="S767" s="312"/>
      <c r="T767" s="347"/>
    </row>
    <row r="768" spans="1:20" ht="12" customHeight="1" x14ac:dyDescent="0.3">
      <c r="A768" s="340" t="s">
        <v>289</v>
      </c>
      <c r="B768" s="341">
        <v>6</v>
      </c>
      <c r="C768" s="309">
        <v>46035</v>
      </c>
      <c r="D768" s="310" t="s">
        <v>419</v>
      </c>
      <c r="E768" s="342">
        <v>-5.9</v>
      </c>
      <c r="F768" s="342"/>
      <c r="G768" s="344">
        <f t="shared" si="5"/>
        <v>778.81</v>
      </c>
      <c r="H768" s="345"/>
      <c r="I768" s="346"/>
      <c r="J768" s="347"/>
      <c r="K768" s="312"/>
      <c r="L768" s="347"/>
      <c r="M768" s="312"/>
      <c r="N768" s="347"/>
      <c r="O768" s="312"/>
      <c r="P768" s="347"/>
      <c r="Q768" s="312"/>
      <c r="R768" s="347"/>
      <c r="S768" s="312"/>
      <c r="T768" s="347"/>
    </row>
    <row r="769" spans="1:20" ht="12" customHeight="1" x14ac:dyDescent="0.3">
      <c r="A769" s="340" t="s">
        <v>289</v>
      </c>
      <c r="B769" s="341">
        <v>6</v>
      </c>
      <c r="C769" s="309">
        <v>46035</v>
      </c>
      <c r="D769" s="310" t="s">
        <v>455</v>
      </c>
      <c r="E769" s="342">
        <v>-0.03</v>
      </c>
      <c r="F769" s="342"/>
      <c r="G769" s="344">
        <f t="shared" si="5"/>
        <v>772.91</v>
      </c>
      <c r="H769" s="345"/>
      <c r="I769" s="346"/>
      <c r="J769" s="347"/>
      <c r="K769" s="312"/>
      <c r="L769" s="347"/>
      <c r="M769" s="312"/>
      <c r="N769" s="347"/>
      <c r="O769" s="312"/>
      <c r="P769" s="347"/>
      <c r="Q769" s="312"/>
      <c r="R769" s="347"/>
      <c r="S769" s="312"/>
      <c r="T769" s="347"/>
    </row>
    <row r="770" spans="1:20" ht="12" customHeight="1" x14ac:dyDescent="0.3">
      <c r="A770" s="340" t="s">
        <v>294</v>
      </c>
      <c r="B770" s="341">
        <v>43</v>
      </c>
      <c r="C770" s="309">
        <v>46035</v>
      </c>
      <c r="D770" s="310" t="s">
        <v>201</v>
      </c>
      <c r="E770" s="342">
        <v>44.18</v>
      </c>
      <c r="F770" s="342"/>
      <c r="G770" s="344">
        <f t="shared" si="5"/>
        <v>772.88</v>
      </c>
      <c r="H770" s="345"/>
      <c r="I770" s="346"/>
      <c r="J770" s="347"/>
      <c r="K770" s="312"/>
      <c r="L770" s="347"/>
      <c r="M770" s="312"/>
      <c r="N770" s="347"/>
      <c r="O770" s="312"/>
      <c r="P770" s="347"/>
      <c r="Q770" s="312"/>
      <c r="R770" s="347"/>
      <c r="S770" s="312"/>
      <c r="T770" s="347"/>
    </row>
    <row r="771" spans="1:20" ht="12" customHeight="1" x14ac:dyDescent="0.3">
      <c r="A771" s="340" t="s">
        <v>294</v>
      </c>
      <c r="B771" s="341">
        <v>42</v>
      </c>
      <c r="C771" s="309">
        <v>46035</v>
      </c>
      <c r="D771" s="310" t="s">
        <v>200</v>
      </c>
      <c r="E771" s="342">
        <v>51.19</v>
      </c>
      <c r="F771" s="342"/>
      <c r="G771" s="344">
        <f t="shared" si="5"/>
        <v>817.06</v>
      </c>
      <c r="H771" s="345"/>
      <c r="I771" s="346"/>
      <c r="J771" s="347"/>
      <c r="K771" s="312"/>
      <c r="L771" s="347"/>
      <c r="M771" s="312"/>
      <c r="N771" s="347"/>
      <c r="O771" s="312"/>
      <c r="P771" s="347"/>
      <c r="Q771" s="312"/>
      <c r="R771" s="347"/>
      <c r="S771" s="312"/>
      <c r="T771" s="347"/>
    </row>
    <row r="772" spans="1:20" ht="12" customHeight="1" x14ac:dyDescent="0.3">
      <c r="A772" s="340" t="s">
        <v>289</v>
      </c>
      <c r="B772" s="341">
        <v>4</v>
      </c>
      <c r="C772" s="309">
        <v>46035</v>
      </c>
      <c r="D772" s="310" t="s">
        <v>295</v>
      </c>
      <c r="E772" s="342">
        <v>28.15</v>
      </c>
      <c r="F772" s="342"/>
      <c r="G772" s="344">
        <f t="shared" si="5"/>
        <v>868.25</v>
      </c>
      <c r="H772" s="345"/>
      <c r="I772" s="346"/>
      <c r="J772" s="347"/>
      <c r="K772" s="312"/>
      <c r="L772" s="347"/>
      <c r="M772" s="312"/>
      <c r="N772" s="347"/>
      <c r="O772" s="312"/>
      <c r="P772" s="347"/>
      <c r="Q772" s="312"/>
      <c r="R772" s="347"/>
      <c r="S772" s="312"/>
      <c r="T772" s="347"/>
    </row>
    <row r="773" spans="1:20" ht="12" customHeight="1" x14ac:dyDescent="0.3">
      <c r="A773" s="340" t="s">
        <v>289</v>
      </c>
      <c r="B773" s="341">
        <v>3</v>
      </c>
      <c r="C773" s="309">
        <v>46035</v>
      </c>
      <c r="D773" s="310" t="s">
        <v>296</v>
      </c>
      <c r="E773" s="342">
        <v>20.85</v>
      </c>
      <c r="F773" s="342"/>
      <c r="G773" s="344">
        <f t="shared" si="5"/>
        <v>896.4</v>
      </c>
      <c r="H773" s="345"/>
      <c r="I773" s="346"/>
      <c r="J773" s="347"/>
      <c r="K773" s="312"/>
      <c r="L773" s="347"/>
      <c r="M773" s="312"/>
      <c r="N773" s="347"/>
      <c r="O773" s="312"/>
      <c r="P773" s="347"/>
      <c r="Q773" s="312"/>
      <c r="R773" s="347"/>
      <c r="S773" s="312"/>
      <c r="T773" s="347"/>
    </row>
    <row r="774" spans="1:20" ht="12" customHeight="1" x14ac:dyDescent="0.3">
      <c r="A774" s="340" t="s">
        <v>289</v>
      </c>
      <c r="B774" s="341">
        <v>1</v>
      </c>
      <c r="C774" s="309">
        <v>46034</v>
      </c>
      <c r="D774" s="310" t="s">
        <v>307</v>
      </c>
      <c r="E774" s="342">
        <v>145.81</v>
      </c>
      <c r="F774" s="342"/>
      <c r="G774" s="344">
        <f t="shared" si="5"/>
        <v>917.25</v>
      </c>
      <c r="H774" s="345"/>
      <c r="I774" s="346"/>
      <c r="J774" s="347"/>
      <c r="K774" s="312"/>
      <c r="L774" s="347"/>
      <c r="M774" s="312"/>
      <c r="N774" s="347"/>
      <c r="O774" s="312"/>
      <c r="P774" s="347"/>
      <c r="Q774" s="312"/>
      <c r="R774" s="347"/>
      <c r="S774" s="312"/>
      <c r="T774" s="347"/>
    </row>
    <row r="775" spans="1:20" ht="12" customHeight="1" x14ac:dyDescent="0.3">
      <c r="A775" s="340" t="s">
        <v>289</v>
      </c>
      <c r="B775" s="341">
        <v>2</v>
      </c>
      <c r="C775" s="309">
        <v>46034</v>
      </c>
      <c r="D775" s="310" t="s">
        <v>431</v>
      </c>
      <c r="E775" s="342">
        <v>25.22</v>
      </c>
      <c r="F775" s="342"/>
      <c r="G775" s="344">
        <f t="shared" si="5"/>
        <v>1063.06</v>
      </c>
      <c r="H775" s="345"/>
      <c r="I775" s="346"/>
      <c r="J775" s="347"/>
      <c r="K775" s="312"/>
      <c r="L775" s="347"/>
      <c r="M775" s="312"/>
      <c r="N775" s="347"/>
      <c r="O775" s="312"/>
      <c r="P775" s="347"/>
      <c r="Q775" s="312"/>
      <c r="R775" s="347"/>
      <c r="S775" s="312"/>
      <c r="T775" s="347"/>
    </row>
    <row r="776" spans="1:20" ht="12" customHeight="1" x14ac:dyDescent="0.3">
      <c r="A776" s="340" t="s">
        <v>289</v>
      </c>
      <c r="B776" s="341">
        <v>2</v>
      </c>
      <c r="C776" s="309">
        <v>46033</v>
      </c>
      <c r="D776" s="310" t="s">
        <v>329</v>
      </c>
      <c r="E776" s="342">
        <v>49.38</v>
      </c>
      <c r="F776" s="342"/>
      <c r="G776" s="344">
        <f t="shared" si="5"/>
        <v>1088.28</v>
      </c>
      <c r="H776" s="345"/>
      <c r="I776" s="346"/>
      <c r="J776" s="347"/>
      <c r="K776" s="312"/>
      <c r="L776" s="347"/>
      <c r="M776" s="312"/>
      <c r="N776" s="347"/>
      <c r="O776" s="312"/>
      <c r="P776" s="347"/>
      <c r="Q776" s="312"/>
      <c r="R776" s="347"/>
      <c r="S776" s="312"/>
      <c r="T776" s="347"/>
    </row>
    <row r="777" spans="1:20" ht="12" customHeight="1" x14ac:dyDescent="0.3">
      <c r="A777" s="340" t="s">
        <v>294</v>
      </c>
      <c r="B777" s="341">
        <v>22</v>
      </c>
      <c r="C777" s="309">
        <v>46033</v>
      </c>
      <c r="D777" s="310" t="s">
        <v>356</v>
      </c>
      <c r="E777" s="342">
        <v>19.16</v>
      </c>
      <c r="F777" s="342"/>
      <c r="G777" s="344">
        <f t="shared" si="5"/>
        <v>1137.6600000000001</v>
      </c>
      <c r="H777" s="345"/>
      <c r="I777" s="346"/>
      <c r="J777" s="347"/>
      <c r="K777" s="312"/>
      <c r="L777" s="347"/>
      <c r="M777" s="312"/>
      <c r="N777" s="347"/>
      <c r="O777" s="312"/>
      <c r="P777" s="347"/>
      <c r="Q777" s="312"/>
      <c r="R777" s="347"/>
      <c r="S777" s="312"/>
      <c r="T777" s="347"/>
    </row>
    <row r="778" spans="1:20" ht="12" customHeight="1" x14ac:dyDescent="0.3">
      <c r="A778" s="340" t="s">
        <v>289</v>
      </c>
      <c r="B778" s="341">
        <v>6</v>
      </c>
      <c r="C778" s="309">
        <v>46033</v>
      </c>
      <c r="D778" s="310" t="s">
        <v>313</v>
      </c>
      <c r="E778" s="342">
        <v>39.86</v>
      </c>
      <c r="F778" s="342"/>
      <c r="G778" s="344">
        <f t="shared" si="5"/>
        <v>1156.8200000000002</v>
      </c>
      <c r="H778" s="345"/>
      <c r="I778" s="346"/>
      <c r="J778" s="347"/>
      <c r="K778" s="312"/>
      <c r="L778" s="347"/>
      <c r="M778" s="312"/>
      <c r="N778" s="347"/>
      <c r="O778" s="312"/>
      <c r="P778" s="347"/>
      <c r="Q778" s="312"/>
      <c r="R778" s="347"/>
      <c r="S778" s="312"/>
      <c r="T778" s="347"/>
    </row>
    <row r="779" spans="1:20" ht="12" customHeight="1" x14ac:dyDescent="0.3">
      <c r="A779" s="340" t="s">
        <v>289</v>
      </c>
      <c r="B779" s="341">
        <v>7</v>
      </c>
      <c r="C779" s="309">
        <v>46033</v>
      </c>
      <c r="D779" s="310" t="s">
        <v>453</v>
      </c>
      <c r="E779" s="342">
        <v>165.05</v>
      </c>
      <c r="F779" s="342"/>
      <c r="G779" s="344">
        <f t="shared" si="5"/>
        <v>1196.68</v>
      </c>
      <c r="H779" s="345"/>
      <c r="I779" s="346"/>
      <c r="J779" s="347"/>
      <c r="K779" s="312"/>
      <c r="L779" s="347"/>
      <c r="M779" s="312"/>
      <c r="N779" s="347"/>
      <c r="O779" s="312"/>
      <c r="P779" s="347"/>
      <c r="Q779" s="312"/>
      <c r="R779" s="347"/>
      <c r="S779" s="312"/>
      <c r="T779" s="347"/>
    </row>
    <row r="780" spans="1:20" ht="12" customHeight="1" x14ac:dyDescent="0.3">
      <c r="A780" s="340" t="s">
        <v>294</v>
      </c>
      <c r="B780" s="341">
        <v>24</v>
      </c>
      <c r="C780" s="309">
        <v>46032</v>
      </c>
      <c r="D780" s="310" t="s">
        <v>437</v>
      </c>
      <c r="E780" s="342">
        <v>83.42</v>
      </c>
      <c r="F780" s="342"/>
      <c r="G780" s="344">
        <f t="shared" si="5"/>
        <v>1361.73</v>
      </c>
      <c r="H780" s="345"/>
      <c r="I780" s="346"/>
      <c r="J780" s="347"/>
      <c r="K780" s="312"/>
      <c r="L780" s="347"/>
      <c r="M780" s="312"/>
      <c r="N780" s="347"/>
      <c r="O780" s="312"/>
      <c r="P780" s="347"/>
      <c r="Q780" s="312"/>
      <c r="R780" s="347"/>
      <c r="S780" s="312"/>
      <c r="T780" s="347"/>
    </row>
    <row r="781" spans="1:20" ht="12" customHeight="1" x14ac:dyDescent="0.3">
      <c r="A781" s="340" t="s">
        <v>289</v>
      </c>
      <c r="B781" s="341">
        <v>4</v>
      </c>
      <c r="C781" s="309">
        <v>46032</v>
      </c>
      <c r="D781" s="310" t="s">
        <v>296</v>
      </c>
      <c r="E781" s="342">
        <v>30.4</v>
      </c>
      <c r="F781" s="342"/>
      <c r="G781" s="344">
        <f t="shared" si="5"/>
        <v>1445.15</v>
      </c>
      <c r="H781" s="345"/>
      <c r="I781" s="346"/>
      <c r="J781" s="347"/>
      <c r="K781" s="312"/>
      <c r="L781" s="347"/>
      <c r="M781" s="312"/>
      <c r="N781" s="347"/>
      <c r="O781" s="312"/>
      <c r="P781" s="347"/>
      <c r="Q781" s="312"/>
      <c r="R781" s="347"/>
      <c r="S781" s="312"/>
      <c r="T781" s="347"/>
    </row>
    <row r="782" spans="1:20" ht="12" customHeight="1" x14ac:dyDescent="0.3">
      <c r="A782" s="340" t="s">
        <v>289</v>
      </c>
      <c r="B782" s="341">
        <v>2</v>
      </c>
      <c r="C782" s="309">
        <v>46032</v>
      </c>
      <c r="D782" s="310" t="s">
        <v>296</v>
      </c>
      <c r="E782" s="342">
        <v>13.83</v>
      </c>
      <c r="F782" s="342"/>
      <c r="G782" s="344">
        <f t="shared" si="5"/>
        <v>1475.5500000000002</v>
      </c>
      <c r="H782" s="345"/>
      <c r="I782" s="346"/>
      <c r="J782" s="347"/>
      <c r="K782" s="312"/>
      <c r="L782" s="347"/>
      <c r="M782" s="312"/>
      <c r="N782" s="347"/>
      <c r="O782" s="312"/>
      <c r="P782" s="347"/>
      <c r="Q782" s="312"/>
      <c r="R782" s="347"/>
      <c r="S782" s="312"/>
      <c r="T782" s="347"/>
    </row>
    <row r="783" spans="1:20" ht="12" customHeight="1" x14ac:dyDescent="0.3">
      <c r="A783" s="340" t="s">
        <v>289</v>
      </c>
      <c r="B783" s="341">
        <v>2</v>
      </c>
      <c r="C783" s="309">
        <v>46032</v>
      </c>
      <c r="D783" s="310" t="s">
        <v>487</v>
      </c>
      <c r="E783" s="342">
        <v>100</v>
      </c>
      <c r="F783" s="342"/>
      <c r="G783" s="344">
        <f t="shared" si="5"/>
        <v>1489.38</v>
      </c>
      <c r="H783" s="345"/>
      <c r="I783" s="346"/>
      <c r="J783" s="347"/>
      <c r="K783" s="312"/>
      <c r="L783" s="347"/>
      <c r="M783" s="312"/>
      <c r="N783" s="347"/>
      <c r="O783" s="312"/>
      <c r="P783" s="347"/>
      <c r="Q783" s="312"/>
      <c r="R783" s="347"/>
      <c r="S783" s="312"/>
      <c r="T783" s="347"/>
    </row>
    <row r="784" spans="1:20" ht="12" customHeight="1" x14ac:dyDescent="0.3">
      <c r="A784" s="340" t="s">
        <v>289</v>
      </c>
      <c r="B784" s="341">
        <v>1</v>
      </c>
      <c r="C784" s="309">
        <v>46032</v>
      </c>
      <c r="D784" s="310" t="s">
        <v>489</v>
      </c>
      <c r="E784" s="342">
        <v>55.68</v>
      </c>
      <c r="F784" s="342"/>
      <c r="G784" s="344">
        <f t="shared" si="5"/>
        <v>1589.38</v>
      </c>
      <c r="H784" s="345"/>
      <c r="I784" s="346"/>
      <c r="J784" s="347"/>
      <c r="K784" s="312"/>
      <c r="L784" s="347"/>
      <c r="M784" s="312"/>
      <c r="N784" s="347"/>
      <c r="O784" s="312"/>
      <c r="P784" s="347"/>
      <c r="Q784" s="312"/>
      <c r="R784" s="347"/>
      <c r="S784" s="312"/>
      <c r="T784" s="347"/>
    </row>
    <row r="785" spans="1:20" ht="12" customHeight="1" x14ac:dyDescent="0.3">
      <c r="A785" s="340" t="s">
        <v>289</v>
      </c>
      <c r="B785" s="341">
        <v>2</v>
      </c>
      <c r="C785" s="309">
        <v>46031</v>
      </c>
      <c r="D785" s="310" t="s">
        <v>362</v>
      </c>
      <c r="E785" s="342">
        <v>9.4700000000000006</v>
      </c>
      <c r="F785" s="342"/>
      <c r="G785" s="344">
        <f t="shared" si="5"/>
        <v>1645.0600000000002</v>
      </c>
      <c r="H785" s="345"/>
      <c r="I785" s="346"/>
      <c r="J785" s="347"/>
      <c r="K785" s="312"/>
      <c r="L785" s="347"/>
      <c r="M785" s="312"/>
      <c r="N785" s="347"/>
      <c r="O785" s="312"/>
      <c r="P785" s="347"/>
      <c r="Q785" s="312"/>
      <c r="R785" s="347"/>
      <c r="S785" s="312"/>
      <c r="T785" s="347"/>
    </row>
    <row r="786" spans="1:20" ht="12" customHeight="1" x14ac:dyDescent="0.3">
      <c r="A786" s="340" t="s">
        <v>289</v>
      </c>
      <c r="B786" s="341">
        <v>5</v>
      </c>
      <c r="C786" s="309">
        <v>46031</v>
      </c>
      <c r="D786" s="310" t="s">
        <v>490</v>
      </c>
      <c r="E786" s="342">
        <v>50</v>
      </c>
      <c r="F786" s="342"/>
      <c r="G786" s="344">
        <f t="shared" si="5"/>
        <v>1654.5300000000002</v>
      </c>
      <c r="H786" s="345"/>
      <c r="I786" s="346"/>
      <c r="J786" s="347"/>
      <c r="K786" s="312"/>
      <c r="L786" s="347"/>
      <c r="M786" s="312"/>
      <c r="N786" s="347"/>
      <c r="O786" s="312"/>
      <c r="P786" s="347"/>
      <c r="Q786" s="312"/>
      <c r="R786" s="347"/>
      <c r="S786" s="312"/>
      <c r="T786" s="347"/>
    </row>
    <row r="787" spans="1:20" ht="12" customHeight="1" x14ac:dyDescent="0.3">
      <c r="A787" s="340" t="s">
        <v>289</v>
      </c>
      <c r="B787" s="341">
        <v>8</v>
      </c>
      <c r="C787" s="309">
        <v>46030</v>
      </c>
      <c r="D787" s="310" t="s">
        <v>491</v>
      </c>
      <c r="E787" s="342">
        <v>32.619999999999997</v>
      </c>
      <c r="F787" s="342"/>
      <c r="G787" s="344">
        <f t="shared" si="5"/>
        <v>1704.5300000000002</v>
      </c>
      <c r="H787" s="345"/>
      <c r="I787" s="346"/>
      <c r="J787" s="347"/>
      <c r="K787" s="312"/>
      <c r="L787" s="347"/>
      <c r="M787" s="312"/>
      <c r="N787" s="347"/>
      <c r="O787" s="312"/>
      <c r="P787" s="347"/>
      <c r="Q787" s="312"/>
      <c r="R787" s="347"/>
      <c r="S787" s="312"/>
      <c r="T787" s="347"/>
    </row>
    <row r="788" spans="1:20" ht="12" customHeight="1" x14ac:dyDescent="0.3">
      <c r="A788" s="340" t="s">
        <v>291</v>
      </c>
      <c r="B788" s="341">
        <v>39</v>
      </c>
      <c r="C788" s="309">
        <v>46030</v>
      </c>
      <c r="D788" s="310" t="s">
        <v>292</v>
      </c>
      <c r="E788" s="342"/>
      <c r="F788" s="342">
        <v>2729.22</v>
      </c>
      <c r="G788" s="344">
        <f t="shared" si="5"/>
        <v>1737.15</v>
      </c>
      <c r="H788" s="345"/>
      <c r="I788" s="346"/>
      <c r="J788" s="347"/>
      <c r="K788" s="312"/>
      <c r="L788" s="347"/>
      <c r="M788" s="312"/>
      <c r="N788" s="347"/>
      <c r="O788" s="312"/>
      <c r="P788" s="347"/>
      <c r="Q788" s="312"/>
      <c r="R788" s="347"/>
      <c r="S788" s="312"/>
      <c r="T788" s="347"/>
    </row>
    <row r="789" spans="1:20" ht="12" customHeight="1" x14ac:dyDescent="0.3">
      <c r="A789" s="340" t="s">
        <v>289</v>
      </c>
      <c r="B789" s="341">
        <v>2</v>
      </c>
      <c r="C789" s="309">
        <v>46030</v>
      </c>
      <c r="D789" s="310" t="s">
        <v>296</v>
      </c>
      <c r="E789" s="342">
        <v>6.37</v>
      </c>
      <c r="F789" s="342"/>
      <c r="G789" s="344">
        <f t="shared" si="5"/>
        <v>-992.06999999999971</v>
      </c>
      <c r="H789" s="345"/>
      <c r="I789" s="346"/>
      <c r="J789" s="347"/>
      <c r="K789" s="312"/>
      <c r="L789" s="347"/>
      <c r="M789" s="312"/>
      <c r="N789" s="347"/>
      <c r="O789" s="312"/>
      <c r="P789" s="347"/>
      <c r="Q789" s="312"/>
      <c r="R789" s="347"/>
      <c r="S789" s="312"/>
      <c r="T789" s="347"/>
    </row>
    <row r="790" spans="1:20" ht="12" customHeight="1" x14ac:dyDescent="0.3">
      <c r="A790" s="340" t="s">
        <v>289</v>
      </c>
      <c r="B790" s="341">
        <v>4</v>
      </c>
      <c r="C790" s="309">
        <v>46030</v>
      </c>
      <c r="D790" s="310" t="s">
        <v>296</v>
      </c>
      <c r="E790" s="342">
        <v>32.119999999999997</v>
      </c>
      <c r="F790" s="342"/>
      <c r="G790" s="344">
        <f t="shared" si="5"/>
        <v>-985.6999999999997</v>
      </c>
      <c r="H790" s="345"/>
      <c r="I790" s="346"/>
      <c r="J790" s="347"/>
      <c r="K790" s="312"/>
      <c r="L790" s="347"/>
      <c r="M790" s="312"/>
      <c r="N790" s="347"/>
      <c r="O790" s="312"/>
      <c r="P790" s="347"/>
      <c r="Q790" s="312"/>
      <c r="R790" s="347"/>
      <c r="S790" s="312"/>
      <c r="T790" s="347"/>
    </row>
    <row r="791" spans="1:20" ht="12" customHeight="1" x14ac:dyDescent="0.3">
      <c r="A791" s="340" t="s">
        <v>289</v>
      </c>
      <c r="B791" s="341">
        <v>2</v>
      </c>
      <c r="C791" s="309">
        <v>46030</v>
      </c>
      <c r="D791" s="310" t="s">
        <v>362</v>
      </c>
      <c r="E791" s="342">
        <v>9.4700000000000006</v>
      </c>
      <c r="F791" s="342"/>
      <c r="G791" s="344">
        <f t="shared" si="5"/>
        <v>-953.5799999999997</v>
      </c>
      <c r="H791" s="345"/>
      <c r="I791" s="346"/>
      <c r="J791" s="347"/>
      <c r="K791" s="312"/>
      <c r="L791" s="347"/>
      <c r="M791" s="312"/>
      <c r="N791" s="347"/>
      <c r="O791" s="312"/>
      <c r="P791" s="347"/>
      <c r="Q791" s="312"/>
      <c r="R791" s="347"/>
      <c r="S791" s="312"/>
      <c r="T791" s="347"/>
    </row>
    <row r="792" spans="1:20" ht="12" customHeight="1" x14ac:dyDescent="0.3">
      <c r="A792" s="340" t="s">
        <v>289</v>
      </c>
      <c r="B792" s="341">
        <v>2</v>
      </c>
      <c r="C792" s="309">
        <v>46030</v>
      </c>
      <c r="D792" s="310" t="s">
        <v>390</v>
      </c>
      <c r="E792" s="342">
        <v>21.18</v>
      </c>
      <c r="F792" s="342"/>
      <c r="G792" s="344">
        <f t="shared" si="5"/>
        <v>-944.10999999999967</v>
      </c>
      <c r="H792" s="345"/>
      <c r="I792" s="346"/>
      <c r="J792" s="347"/>
      <c r="K792" s="312"/>
      <c r="L792" s="347"/>
      <c r="M792" s="312"/>
      <c r="N792" s="347"/>
      <c r="O792" s="312"/>
      <c r="P792" s="347"/>
      <c r="Q792" s="312"/>
      <c r="R792" s="347"/>
      <c r="S792" s="312"/>
      <c r="T792" s="347"/>
    </row>
    <row r="793" spans="1:20" ht="12" customHeight="1" x14ac:dyDescent="0.3">
      <c r="A793" s="340" t="s">
        <v>339</v>
      </c>
      <c r="B793" s="341" t="s">
        <v>339</v>
      </c>
      <c r="C793" s="309">
        <v>46029</v>
      </c>
      <c r="D793" s="310" t="s">
        <v>456</v>
      </c>
      <c r="E793" s="342">
        <v>52.66</v>
      </c>
      <c r="F793" s="342"/>
      <c r="G793" s="344">
        <f t="shared" si="5"/>
        <v>-922.92999999999972</v>
      </c>
      <c r="H793" s="345"/>
      <c r="I793" s="346"/>
      <c r="J793" s="347"/>
      <c r="K793" s="312"/>
      <c r="L793" s="347"/>
      <c r="M793" s="312"/>
      <c r="N793" s="347"/>
      <c r="O793" s="312"/>
      <c r="P793" s="347"/>
      <c r="Q793" s="312"/>
      <c r="R793" s="347"/>
      <c r="S793" s="312"/>
      <c r="T793" s="347"/>
    </row>
    <row r="794" spans="1:20" ht="12" customHeight="1" x14ac:dyDescent="0.3">
      <c r="A794" s="340" t="s">
        <v>294</v>
      </c>
      <c r="B794" s="341">
        <v>13</v>
      </c>
      <c r="C794" s="309">
        <v>46029</v>
      </c>
      <c r="D794" s="310" t="s">
        <v>182</v>
      </c>
      <c r="E794" s="342">
        <v>167.42</v>
      </c>
      <c r="F794" s="342"/>
      <c r="G794" s="344">
        <f t="shared" si="5"/>
        <v>-870.26999999999975</v>
      </c>
      <c r="H794" s="345"/>
      <c r="I794" s="346"/>
      <c r="J794" s="347"/>
      <c r="K794" s="312"/>
      <c r="L794" s="347"/>
      <c r="M794" s="312"/>
      <c r="N794" s="347"/>
      <c r="O794" s="312"/>
      <c r="P794" s="347"/>
      <c r="Q794" s="312"/>
      <c r="R794" s="347"/>
      <c r="S794" s="312"/>
      <c r="T794" s="347"/>
    </row>
    <row r="795" spans="1:20" ht="12" customHeight="1" x14ac:dyDescent="0.3">
      <c r="A795" s="340" t="s">
        <v>289</v>
      </c>
      <c r="B795" s="341">
        <v>4</v>
      </c>
      <c r="C795" s="309">
        <v>46029</v>
      </c>
      <c r="D795" s="310" t="s">
        <v>296</v>
      </c>
      <c r="E795" s="342">
        <v>30.81</v>
      </c>
      <c r="F795" s="342"/>
      <c r="G795" s="344">
        <f t="shared" si="5"/>
        <v>-702.8499999999998</v>
      </c>
      <c r="H795" s="345"/>
      <c r="I795" s="346"/>
      <c r="J795" s="347"/>
      <c r="K795" s="312"/>
      <c r="L795" s="347"/>
      <c r="M795" s="312"/>
      <c r="N795" s="347"/>
      <c r="O795" s="312"/>
      <c r="P795" s="347"/>
      <c r="Q795" s="312"/>
      <c r="R795" s="347"/>
      <c r="S795" s="312"/>
      <c r="T795" s="347"/>
    </row>
    <row r="796" spans="1:20" ht="12" customHeight="1" x14ac:dyDescent="0.3">
      <c r="A796" s="340" t="s">
        <v>289</v>
      </c>
      <c r="B796" s="341">
        <v>2</v>
      </c>
      <c r="C796" s="309">
        <v>46029</v>
      </c>
      <c r="D796" s="310" t="s">
        <v>362</v>
      </c>
      <c r="E796" s="342">
        <v>9.4700000000000006</v>
      </c>
      <c r="F796" s="342"/>
      <c r="G796" s="344">
        <f t="shared" si="5"/>
        <v>-672.03999999999985</v>
      </c>
      <c r="H796" s="345"/>
      <c r="I796" s="346"/>
      <c r="J796" s="347"/>
      <c r="K796" s="312"/>
      <c r="L796" s="347"/>
      <c r="M796" s="312"/>
      <c r="N796" s="347"/>
      <c r="O796" s="312"/>
      <c r="P796" s="347"/>
      <c r="Q796" s="312"/>
      <c r="R796" s="347"/>
      <c r="S796" s="312"/>
      <c r="T796" s="347"/>
    </row>
    <row r="797" spans="1:20" ht="12" customHeight="1" x14ac:dyDescent="0.3">
      <c r="A797" s="340" t="s">
        <v>294</v>
      </c>
      <c r="B797" s="341">
        <v>22</v>
      </c>
      <c r="C797" s="309">
        <v>46029</v>
      </c>
      <c r="D797" s="310" t="s">
        <v>492</v>
      </c>
      <c r="E797" s="342">
        <v>148.04</v>
      </c>
      <c r="F797" s="342"/>
      <c r="G797" s="344">
        <f t="shared" si="5"/>
        <v>-662.56999999999982</v>
      </c>
      <c r="H797" s="345"/>
      <c r="I797" s="346"/>
      <c r="J797" s="347"/>
      <c r="K797" s="312"/>
      <c r="L797" s="347"/>
      <c r="M797" s="312"/>
      <c r="N797" s="347"/>
      <c r="O797" s="312"/>
      <c r="P797" s="347"/>
      <c r="Q797" s="312"/>
      <c r="R797" s="347"/>
      <c r="S797" s="312"/>
      <c r="T797" s="347"/>
    </row>
    <row r="798" spans="1:20" ht="12" customHeight="1" x14ac:dyDescent="0.3">
      <c r="A798" s="340" t="s">
        <v>294</v>
      </c>
      <c r="B798" s="341">
        <v>14</v>
      </c>
      <c r="C798" s="309">
        <v>46028</v>
      </c>
      <c r="D798" s="310" t="s">
        <v>370</v>
      </c>
      <c r="E798" s="342">
        <v>66.67</v>
      </c>
      <c r="F798" s="342"/>
      <c r="G798" s="344">
        <f t="shared" si="5"/>
        <v>-514.52999999999986</v>
      </c>
      <c r="H798" s="345"/>
      <c r="I798" s="346"/>
      <c r="J798" s="347"/>
      <c r="K798" s="312"/>
      <c r="L798" s="347"/>
      <c r="M798" s="312"/>
      <c r="N798" s="347"/>
      <c r="O798" s="312"/>
      <c r="P798" s="347"/>
      <c r="Q798" s="312"/>
      <c r="R798" s="347"/>
      <c r="S798" s="312"/>
      <c r="T798" s="347"/>
    </row>
    <row r="799" spans="1:20" ht="12" customHeight="1" x14ac:dyDescent="0.3">
      <c r="A799" s="340" t="s">
        <v>289</v>
      </c>
      <c r="B799" s="341">
        <v>3</v>
      </c>
      <c r="C799" s="309">
        <v>46028</v>
      </c>
      <c r="D799" s="310" t="s">
        <v>296</v>
      </c>
      <c r="E799" s="342">
        <v>5.7</v>
      </c>
      <c r="F799" s="342"/>
      <c r="G799" s="344">
        <f t="shared" si="5"/>
        <v>-447.8599999999999</v>
      </c>
      <c r="H799" s="345"/>
      <c r="I799" s="346"/>
      <c r="J799" s="347"/>
      <c r="K799" s="312"/>
      <c r="L799" s="347"/>
      <c r="M799" s="312"/>
      <c r="N799" s="347"/>
      <c r="O799" s="312"/>
      <c r="P799" s="347"/>
      <c r="Q799" s="312"/>
      <c r="R799" s="347"/>
      <c r="S799" s="312"/>
      <c r="T799" s="347"/>
    </row>
    <row r="800" spans="1:20" ht="12" customHeight="1" x14ac:dyDescent="0.3">
      <c r="A800" s="340" t="s">
        <v>294</v>
      </c>
      <c r="B800" s="341">
        <v>21</v>
      </c>
      <c r="C800" s="309">
        <v>46028</v>
      </c>
      <c r="D800" s="310" t="s">
        <v>194</v>
      </c>
      <c r="E800" s="342">
        <v>30.59</v>
      </c>
      <c r="F800" s="342"/>
      <c r="G800" s="344">
        <f t="shared" si="5"/>
        <v>-442.15999999999991</v>
      </c>
      <c r="H800" s="345"/>
      <c r="I800" s="346"/>
      <c r="J800" s="347"/>
      <c r="K800" s="312"/>
      <c r="L800" s="347"/>
      <c r="M800" s="312"/>
      <c r="N800" s="347"/>
      <c r="O800" s="312"/>
      <c r="P800" s="347"/>
      <c r="Q800" s="312"/>
      <c r="R800" s="347"/>
      <c r="S800" s="312"/>
      <c r="T800" s="347"/>
    </row>
    <row r="801" spans="1:20" ht="12" customHeight="1" x14ac:dyDescent="0.3">
      <c r="A801" s="340" t="s">
        <v>294</v>
      </c>
      <c r="B801" s="341">
        <v>17</v>
      </c>
      <c r="C801" s="309">
        <v>46027</v>
      </c>
      <c r="D801" s="310" t="s">
        <v>374</v>
      </c>
      <c r="E801" s="342">
        <v>133.91999999999999</v>
      </c>
      <c r="F801" s="342"/>
      <c r="G801" s="344">
        <f t="shared" si="5"/>
        <v>-411.56999999999994</v>
      </c>
      <c r="H801" s="345"/>
      <c r="I801" s="346"/>
      <c r="J801" s="347"/>
      <c r="K801" s="312"/>
      <c r="L801" s="347"/>
      <c r="M801" s="312"/>
      <c r="N801" s="347"/>
      <c r="O801" s="312"/>
      <c r="P801" s="347"/>
      <c r="Q801" s="312"/>
      <c r="R801" s="347"/>
      <c r="S801" s="312"/>
      <c r="T801" s="347"/>
    </row>
    <row r="802" spans="1:20" ht="12" customHeight="1" x14ac:dyDescent="0.3">
      <c r="A802" s="340" t="s">
        <v>294</v>
      </c>
      <c r="B802" s="341">
        <v>17</v>
      </c>
      <c r="C802" s="309">
        <v>46027</v>
      </c>
      <c r="D802" s="310" t="s">
        <v>374</v>
      </c>
      <c r="E802" s="342">
        <v>62</v>
      </c>
      <c r="F802" s="342"/>
      <c r="G802" s="344">
        <f t="shared" si="5"/>
        <v>-277.64999999999992</v>
      </c>
      <c r="H802" s="345"/>
      <c r="I802" s="346"/>
      <c r="J802" s="347"/>
      <c r="K802" s="312"/>
      <c r="L802" s="347"/>
      <c r="M802" s="312"/>
      <c r="N802" s="347"/>
      <c r="O802" s="312"/>
      <c r="P802" s="347"/>
      <c r="Q802" s="312"/>
      <c r="R802" s="347"/>
      <c r="S802" s="312"/>
      <c r="T802" s="347"/>
    </row>
    <row r="803" spans="1:20" ht="12" customHeight="1" x14ac:dyDescent="0.3">
      <c r="A803" s="340" t="s">
        <v>289</v>
      </c>
      <c r="B803" s="341">
        <v>6</v>
      </c>
      <c r="C803" s="309">
        <v>46027</v>
      </c>
      <c r="D803" s="310" t="s">
        <v>300</v>
      </c>
      <c r="E803" s="342">
        <v>10.64</v>
      </c>
      <c r="F803" s="342"/>
      <c r="G803" s="344">
        <f t="shared" si="5"/>
        <v>-215.64999999999992</v>
      </c>
      <c r="H803" s="345"/>
      <c r="I803" s="346"/>
      <c r="J803" s="347"/>
      <c r="K803" s="312"/>
      <c r="L803" s="347"/>
      <c r="M803" s="312"/>
      <c r="N803" s="347"/>
      <c r="O803" s="312"/>
      <c r="P803" s="347"/>
      <c r="Q803" s="312"/>
      <c r="R803" s="347"/>
      <c r="S803" s="312"/>
      <c r="T803" s="347"/>
    </row>
    <row r="804" spans="1:20" ht="12" customHeight="1" x14ac:dyDescent="0.3">
      <c r="A804" s="340" t="s">
        <v>289</v>
      </c>
      <c r="B804" s="341">
        <v>8</v>
      </c>
      <c r="C804" s="309">
        <v>46027</v>
      </c>
      <c r="D804" s="310" t="s">
        <v>321</v>
      </c>
      <c r="E804" s="342">
        <v>17.440000000000001</v>
      </c>
      <c r="F804" s="342"/>
      <c r="G804" s="344">
        <f t="shared" si="5"/>
        <v>-205.00999999999991</v>
      </c>
      <c r="H804" s="345"/>
      <c r="I804" s="346"/>
      <c r="J804" s="347"/>
      <c r="K804" s="312"/>
      <c r="L804" s="347"/>
      <c r="M804" s="312"/>
      <c r="N804" s="347"/>
      <c r="O804" s="312"/>
      <c r="P804" s="347"/>
      <c r="Q804" s="312"/>
      <c r="R804" s="347"/>
      <c r="S804" s="312"/>
      <c r="T804" s="347"/>
    </row>
    <row r="805" spans="1:20" ht="12" customHeight="1" x14ac:dyDescent="0.3">
      <c r="A805" s="340" t="s">
        <v>289</v>
      </c>
      <c r="B805" s="341">
        <v>1</v>
      </c>
      <c r="C805" s="309">
        <v>46027</v>
      </c>
      <c r="D805" s="310" t="s">
        <v>307</v>
      </c>
      <c r="E805" s="342">
        <v>216.19</v>
      </c>
      <c r="F805" s="342"/>
      <c r="G805" s="344">
        <f t="shared" si="5"/>
        <v>-187.56999999999991</v>
      </c>
      <c r="H805" s="345"/>
      <c r="I805" s="346"/>
      <c r="J805" s="347"/>
      <c r="K805" s="312"/>
      <c r="L805" s="347"/>
      <c r="M805" s="312"/>
      <c r="N805" s="347"/>
      <c r="O805" s="312"/>
      <c r="P805" s="347"/>
      <c r="Q805" s="312"/>
      <c r="R805" s="347"/>
      <c r="S805" s="312"/>
      <c r="T805" s="347"/>
    </row>
    <row r="806" spans="1:20" ht="12" customHeight="1" x14ac:dyDescent="0.3">
      <c r="A806" s="340" t="s">
        <v>289</v>
      </c>
      <c r="B806" s="341">
        <v>2</v>
      </c>
      <c r="C806" s="309">
        <v>46027</v>
      </c>
      <c r="D806" s="310" t="s">
        <v>493</v>
      </c>
      <c r="E806" s="342">
        <v>70</v>
      </c>
      <c r="F806" s="342"/>
      <c r="G806" s="344">
        <f t="shared" si="5"/>
        <v>28.62000000000009</v>
      </c>
      <c r="H806" s="345"/>
      <c r="I806" s="346"/>
      <c r="J806" s="347"/>
      <c r="K806" s="312"/>
      <c r="L806" s="347"/>
      <c r="M806" s="312"/>
      <c r="N806" s="347"/>
      <c r="O806" s="312"/>
      <c r="P806" s="347"/>
      <c r="Q806" s="312"/>
      <c r="R806" s="347"/>
      <c r="S806" s="312"/>
      <c r="T806" s="347"/>
    </row>
    <row r="807" spans="1:20" ht="12" customHeight="1" x14ac:dyDescent="0.3">
      <c r="A807" s="340" t="s">
        <v>289</v>
      </c>
      <c r="B807" s="341">
        <v>2</v>
      </c>
      <c r="C807" s="309">
        <v>46027</v>
      </c>
      <c r="D807" s="310" t="s">
        <v>362</v>
      </c>
      <c r="E807" s="342">
        <v>14.05</v>
      </c>
      <c r="F807" s="342"/>
      <c r="G807" s="344">
        <f t="shared" si="5"/>
        <v>98.62000000000009</v>
      </c>
      <c r="H807" s="345"/>
      <c r="I807" s="346"/>
      <c r="J807" s="347"/>
      <c r="K807" s="312"/>
      <c r="L807" s="347"/>
      <c r="M807" s="312"/>
      <c r="N807" s="347"/>
      <c r="O807" s="312"/>
      <c r="P807" s="347"/>
      <c r="Q807" s="312"/>
      <c r="R807" s="347"/>
      <c r="S807" s="312"/>
      <c r="T807" s="347"/>
    </row>
    <row r="808" spans="1:20" ht="12" customHeight="1" x14ac:dyDescent="0.3">
      <c r="A808" s="340" t="s">
        <v>294</v>
      </c>
      <c r="B808" s="341">
        <v>14</v>
      </c>
      <c r="C808" s="309">
        <v>46027</v>
      </c>
      <c r="D808" s="310" t="s">
        <v>371</v>
      </c>
      <c r="E808" s="342">
        <v>68.739999999999995</v>
      </c>
      <c r="F808" s="342"/>
      <c r="G808" s="344">
        <f t="shared" si="5"/>
        <v>112.67000000000009</v>
      </c>
      <c r="H808" s="345"/>
      <c r="I808" s="346"/>
      <c r="J808" s="347"/>
      <c r="K808" s="312"/>
      <c r="L808" s="347"/>
      <c r="M808" s="312"/>
      <c r="N808" s="347"/>
      <c r="O808" s="312"/>
      <c r="P808" s="347"/>
      <c r="Q808" s="312"/>
      <c r="R808" s="347"/>
      <c r="S808" s="312"/>
      <c r="T808" s="347"/>
    </row>
    <row r="809" spans="1:20" ht="12" customHeight="1" x14ac:dyDescent="0.3">
      <c r="A809" s="340" t="s">
        <v>289</v>
      </c>
      <c r="B809" s="341">
        <v>6</v>
      </c>
      <c r="C809" s="309">
        <v>46027</v>
      </c>
      <c r="D809" s="310" t="s">
        <v>494</v>
      </c>
      <c r="E809" s="342">
        <v>120</v>
      </c>
      <c r="F809" s="342"/>
      <c r="G809" s="344">
        <f t="shared" si="5"/>
        <v>181.41000000000008</v>
      </c>
      <c r="H809" s="345"/>
      <c r="I809" s="346"/>
      <c r="J809" s="347"/>
      <c r="K809" s="312"/>
      <c r="L809" s="347"/>
      <c r="M809" s="312"/>
      <c r="N809" s="347"/>
      <c r="O809" s="312"/>
      <c r="P809" s="347"/>
      <c r="Q809" s="312"/>
      <c r="R809" s="347"/>
      <c r="S809" s="312"/>
      <c r="T809" s="347"/>
    </row>
    <row r="810" spans="1:20" ht="12" customHeight="1" x14ac:dyDescent="0.3">
      <c r="A810" s="340" t="s">
        <v>294</v>
      </c>
      <c r="B810" s="341">
        <v>9</v>
      </c>
      <c r="C810" s="309">
        <v>46027</v>
      </c>
      <c r="D810" s="310" t="s">
        <v>58</v>
      </c>
      <c r="E810" s="342">
        <v>1281.53</v>
      </c>
      <c r="F810" s="342"/>
      <c r="G810" s="344">
        <f t="shared" si="5"/>
        <v>301.41000000000008</v>
      </c>
      <c r="H810" s="345"/>
      <c r="I810" s="346"/>
      <c r="J810" s="347"/>
      <c r="K810" s="312"/>
      <c r="L810" s="347"/>
      <c r="M810" s="312"/>
      <c r="N810" s="347"/>
      <c r="O810" s="312"/>
      <c r="P810" s="347"/>
      <c r="Q810" s="312"/>
      <c r="R810" s="347"/>
      <c r="S810" s="312"/>
      <c r="T810" s="347"/>
    </row>
    <row r="811" spans="1:20" ht="12" customHeight="1" x14ac:dyDescent="0.3">
      <c r="A811" s="340" t="s">
        <v>289</v>
      </c>
      <c r="B811" s="341">
        <v>7</v>
      </c>
      <c r="C811" s="309">
        <v>46026</v>
      </c>
      <c r="D811" s="310" t="s">
        <v>342</v>
      </c>
      <c r="E811" s="342">
        <v>18.260000000000002</v>
      </c>
      <c r="F811" s="342"/>
      <c r="G811" s="344">
        <f t="shared" si="5"/>
        <v>1582.94</v>
      </c>
      <c r="H811" s="345"/>
      <c r="I811" s="346"/>
      <c r="J811" s="347"/>
      <c r="K811" s="312"/>
      <c r="L811" s="347"/>
      <c r="M811" s="312"/>
      <c r="N811" s="347"/>
      <c r="O811" s="312"/>
      <c r="P811" s="347"/>
      <c r="Q811" s="312"/>
      <c r="R811" s="347"/>
      <c r="S811" s="312"/>
      <c r="T811" s="347"/>
    </row>
    <row r="812" spans="1:20" ht="12" customHeight="1" x14ac:dyDescent="0.3">
      <c r="A812" s="340" t="s">
        <v>287</v>
      </c>
      <c r="B812" s="341" t="s">
        <v>287</v>
      </c>
      <c r="C812" s="309">
        <v>46026</v>
      </c>
      <c r="D812" s="310" t="s">
        <v>300</v>
      </c>
      <c r="E812" s="342">
        <v>114.91</v>
      </c>
      <c r="F812" s="342">
        <v>114.91</v>
      </c>
      <c r="G812" s="344">
        <f t="shared" si="5"/>
        <v>1601.2</v>
      </c>
      <c r="H812" s="345"/>
      <c r="I812" s="346"/>
      <c r="J812" s="347"/>
      <c r="K812" s="312"/>
      <c r="L812" s="347"/>
      <c r="M812" s="312"/>
      <c r="N812" s="347"/>
      <c r="O812" s="312"/>
      <c r="P812" s="347"/>
      <c r="Q812" s="312"/>
      <c r="R812" s="347"/>
      <c r="S812" s="312"/>
      <c r="T812" s="347"/>
    </row>
    <row r="813" spans="1:20" ht="12" customHeight="1" x14ac:dyDescent="0.3">
      <c r="A813" s="340" t="s">
        <v>289</v>
      </c>
      <c r="B813" s="341">
        <v>5</v>
      </c>
      <c r="C813" s="309">
        <v>46026</v>
      </c>
      <c r="D813" s="310" t="s">
        <v>495</v>
      </c>
      <c r="E813" s="342">
        <v>42.43</v>
      </c>
      <c r="F813" s="342"/>
      <c r="G813" s="344">
        <f t="shared" si="5"/>
        <v>1601.2</v>
      </c>
      <c r="H813" s="345"/>
      <c r="I813" s="346"/>
      <c r="J813" s="347"/>
      <c r="K813" s="312"/>
      <c r="L813" s="347"/>
      <c r="M813" s="312"/>
      <c r="N813" s="347"/>
      <c r="O813" s="312"/>
      <c r="P813" s="347"/>
      <c r="Q813" s="312"/>
      <c r="R813" s="347"/>
      <c r="S813" s="312"/>
      <c r="T813" s="347"/>
    </row>
    <row r="814" spans="1:20" ht="12" customHeight="1" x14ac:dyDescent="0.3">
      <c r="A814" s="340" t="s">
        <v>289</v>
      </c>
      <c r="B814" s="341">
        <v>7</v>
      </c>
      <c r="C814" s="309">
        <v>46026</v>
      </c>
      <c r="D814" s="310" t="s">
        <v>300</v>
      </c>
      <c r="E814" s="342">
        <v>42.59</v>
      </c>
      <c r="F814" s="342"/>
      <c r="G814" s="344">
        <f t="shared" si="5"/>
        <v>1643.63</v>
      </c>
      <c r="H814" s="345"/>
      <c r="I814" s="346"/>
      <c r="J814" s="347"/>
      <c r="K814" s="312"/>
      <c r="L814" s="347"/>
      <c r="M814" s="312"/>
      <c r="N814" s="347"/>
      <c r="O814" s="312"/>
      <c r="P814" s="347"/>
      <c r="Q814" s="312"/>
      <c r="R814" s="347"/>
      <c r="S814" s="312"/>
      <c r="T814" s="347"/>
    </row>
    <row r="815" spans="1:20" ht="12" customHeight="1" x14ac:dyDescent="0.3">
      <c r="A815" s="340" t="s">
        <v>289</v>
      </c>
      <c r="B815" s="341">
        <v>3</v>
      </c>
      <c r="C815" s="309">
        <v>46025</v>
      </c>
      <c r="D815" s="310" t="s">
        <v>352</v>
      </c>
      <c r="E815" s="342">
        <v>14.57</v>
      </c>
      <c r="F815" s="342"/>
      <c r="G815" s="344">
        <f t="shared" si="5"/>
        <v>1686.22</v>
      </c>
      <c r="H815" s="345"/>
      <c r="I815" s="346"/>
      <c r="J815" s="347"/>
      <c r="K815" s="312"/>
      <c r="L815" s="347"/>
      <c r="M815" s="312"/>
      <c r="N815" s="347"/>
      <c r="O815" s="312"/>
      <c r="P815" s="347"/>
      <c r="Q815" s="312"/>
      <c r="R815" s="347"/>
      <c r="S815" s="312"/>
      <c r="T815" s="347"/>
    </row>
    <row r="816" spans="1:20" ht="12" customHeight="1" x14ac:dyDescent="0.3">
      <c r="A816" s="340" t="s">
        <v>289</v>
      </c>
      <c r="B816" s="341">
        <v>2</v>
      </c>
      <c r="C816" s="309">
        <v>46025</v>
      </c>
      <c r="D816" s="310" t="s">
        <v>496</v>
      </c>
      <c r="E816" s="342">
        <v>41.05</v>
      </c>
      <c r="F816" s="342"/>
      <c r="G816" s="344">
        <f t="shared" si="5"/>
        <v>1700.79</v>
      </c>
      <c r="H816" s="345"/>
      <c r="I816" s="346"/>
      <c r="J816" s="347"/>
      <c r="K816" s="312"/>
      <c r="L816" s="347"/>
      <c r="M816" s="312"/>
      <c r="N816" s="347"/>
      <c r="O816" s="312"/>
      <c r="P816" s="347"/>
      <c r="Q816" s="312"/>
      <c r="R816" s="347"/>
      <c r="S816" s="312"/>
      <c r="T816" s="347"/>
    </row>
    <row r="817" spans="1:20" ht="12" customHeight="1" x14ac:dyDescent="0.3">
      <c r="A817" s="340" t="s">
        <v>289</v>
      </c>
      <c r="B817" s="341">
        <v>4</v>
      </c>
      <c r="C817" s="309">
        <v>46025</v>
      </c>
      <c r="D817" s="310" t="s">
        <v>311</v>
      </c>
      <c r="E817" s="342">
        <v>26.88</v>
      </c>
      <c r="F817" s="342"/>
      <c r="G817" s="344">
        <f t="shared" si="5"/>
        <v>1741.84</v>
      </c>
      <c r="H817" s="345"/>
      <c r="I817" s="346"/>
      <c r="J817" s="347"/>
      <c r="K817" s="312"/>
      <c r="L817" s="347"/>
      <c r="M817" s="312"/>
      <c r="N817" s="347"/>
      <c r="O817" s="312"/>
      <c r="P817" s="347"/>
      <c r="Q817" s="312"/>
      <c r="R817" s="347"/>
      <c r="S817" s="312"/>
      <c r="T817" s="347"/>
    </row>
    <row r="818" spans="1:20" ht="12" customHeight="1" x14ac:dyDescent="0.3">
      <c r="A818" s="340" t="s">
        <v>289</v>
      </c>
      <c r="B818" s="341">
        <v>2</v>
      </c>
      <c r="C818" s="309">
        <v>46025</v>
      </c>
      <c r="D818" s="310" t="s">
        <v>309</v>
      </c>
      <c r="E818" s="342">
        <v>130.08000000000001</v>
      </c>
      <c r="F818" s="342"/>
      <c r="G818" s="344">
        <f t="shared" si="5"/>
        <v>1768.72</v>
      </c>
      <c r="H818" s="345"/>
      <c r="I818" s="346"/>
      <c r="J818" s="347"/>
      <c r="K818" s="312"/>
      <c r="L818" s="347"/>
      <c r="M818" s="312"/>
      <c r="N818" s="347"/>
      <c r="O818" s="312"/>
      <c r="P818" s="347"/>
      <c r="Q818" s="312"/>
      <c r="R818" s="347"/>
      <c r="S818" s="312"/>
      <c r="T818" s="347"/>
    </row>
    <row r="819" spans="1:20" ht="12" customHeight="1" x14ac:dyDescent="0.3">
      <c r="A819" s="340" t="s">
        <v>289</v>
      </c>
      <c r="B819" s="341">
        <v>7</v>
      </c>
      <c r="C819" s="309">
        <v>46025</v>
      </c>
      <c r="D819" s="310" t="s">
        <v>497</v>
      </c>
      <c r="E819" s="342">
        <v>222.49</v>
      </c>
      <c r="F819" s="342"/>
      <c r="G819" s="344">
        <f t="shared" si="5"/>
        <v>1898.8</v>
      </c>
      <c r="H819" s="345"/>
      <c r="I819" s="346"/>
      <c r="J819" s="347"/>
      <c r="K819" s="312"/>
      <c r="L819" s="347"/>
      <c r="M819" s="312"/>
      <c r="N819" s="347"/>
      <c r="O819" s="312"/>
      <c r="P819" s="347"/>
      <c r="Q819" s="312"/>
      <c r="R819" s="347"/>
      <c r="S819" s="312"/>
      <c r="T819" s="347"/>
    </row>
    <row r="820" spans="1:20" ht="12" customHeight="1" x14ac:dyDescent="0.3">
      <c r="A820" s="340" t="s">
        <v>289</v>
      </c>
      <c r="B820" s="341">
        <v>7</v>
      </c>
      <c r="C820" s="309">
        <v>46025</v>
      </c>
      <c r="D820" s="310" t="s">
        <v>497</v>
      </c>
      <c r="E820" s="342">
        <v>99.18</v>
      </c>
      <c r="F820" s="342"/>
      <c r="G820" s="344">
        <f t="shared" si="5"/>
        <v>2121.29</v>
      </c>
      <c r="H820" s="345"/>
      <c r="I820" s="346"/>
      <c r="J820" s="347"/>
      <c r="K820" s="312"/>
      <c r="L820" s="347"/>
      <c r="M820" s="312"/>
      <c r="N820" s="347"/>
      <c r="O820" s="312"/>
      <c r="P820" s="347"/>
      <c r="Q820" s="312"/>
      <c r="R820" s="347"/>
      <c r="S820" s="312"/>
      <c r="T820" s="347"/>
    </row>
    <row r="821" spans="1:20" ht="12" customHeight="1" x14ac:dyDescent="0.3">
      <c r="A821" s="340" t="s">
        <v>289</v>
      </c>
      <c r="B821" s="341">
        <v>5</v>
      </c>
      <c r="C821" s="309">
        <v>46024</v>
      </c>
      <c r="D821" s="310" t="s">
        <v>498</v>
      </c>
      <c r="E821" s="342">
        <v>35</v>
      </c>
      <c r="F821" s="342"/>
      <c r="G821" s="344">
        <f t="shared" si="5"/>
        <v>2220.4699999999998</v>
      </c>
      <c r="H821" s="345"/>
      <c r="I821" s="346"/>
      <c r="J821" s="347"/>
      <c r="K821" s="312"/>
      <c r="L821" s="347"/>
      <c r="M821" s="312"/>
      <c r="N821" s="347"/>
      <c r="O821" s="312"/>
      <c r="P821" s="347"/>
      <c r="Q821" s="312"/>
      <c r="R821" s="347"/>
      <c r="S821" s="312"/>
      <c r="T821" s="347"/>
    </row>
    <row r="822" spans="1:20" ht="12" customHeight="1" x14ac:dyDescent="0.3">
      <c r="A822" s="340" t="s">
        <v>289</v>
      </c>
      <c r="B822" s="341">
        <v>3</v>
      </c>
      <c r="C822" s="309">
        <v>46024</v>
      </c>
      <c r="D822" s="310" t="s">
        <v>296</v>
      </c>
      <c r="E822" s="342">
        <v>15.11</v>
      </c>
      <c r="F822" s="342"/>
      <c r="G822" s="344">
        <f t="shared" si="5"/>
        <v>2255.4699999999998</v>
      </c>
      <c r="H822" s="345"/>
      <c r="I822" s="346"/>
      <c r="J822" s="347"/>
      <c r="K822" s="312"/>
      <c r="L822" s="347"/>
      <c r="M822" s="312"/>
      <c r="N822" s="347"/>
      <c r="O822" s="312"/>
      <c r="P822" s="347"/>
      <c r="Q822" s="312"/>
      <c r="R822" s="347"/>
      <c r="S822" s="312"/>
      <c r="T822" s="347"/>
    </row>
    <row r="823" spans="1:20" ht="12" customHeight="1" x14ac:dyDescent="0.3">
      <c r="A823" s="340" t="s">
        <v>289</v>
      </c>
      <c r="B823" s="341">
        <v>5</v>
      </c>
      <c r="C823" s="309">
        <v>46024</v>
      </c>
      <c r="D823" s="310" t="s">
        <v>499</v>
      </c>
      <c r="E823" s="342">
        <v>29.67</v>
      </c>
      <c r="F823" s="342"/>
      <c r="G823" s="344">
        <f t="shared" si="5"/>
        <v>2270.58</v>
      </c>
      <c r="H823" s="345"/>
      <c r="I823" s="346"/>
      <c r="J823" s="347"/>
      <c r="K823" s="312"/>
      <c r="L823" s="347"/>
      <c r="M823" s="312"/>
      <c r="N823" s="347"/>
      <c r="O823" s="312"/>
      <c r="P823" s="347"/>
      <c r="Q823" s="312"/>
      <c r="R823" s="347"/>
      <c r="S823" s="312"/>
      <c r="T823" s="347"/>
    </row>
    <row r="824" spans="1:20" ht="12" customHeight="1" x14ac:dyDescent="0.3">
      <c r="A824" s="340" t="s">
        <v>287</v>
      </c>
      <c r="B824" s="341" t="s">
        <v>287</v>
      </c>
      <c r="C824" s="309">
        <v>46024</v>
      </c>
      <c r="D824" s="310" t="s">
        <v>402</v>
      </c>
      <c r="E824" s="342">
        <v>70.56</v>
      </c>
      <c r="F824" s="342">
        <v>70.56</v>
      </c>
      <c r="G824" s="344">
        <f t="shared" si="5"/>
        <v>2300.25</v>
      </c>
      <c r="H824" s="345"/>
      <c r="I824" s="346"/>
      <c r="J824" s="347"/>
      <c r="K824" s="312"/>
      <c r="L824" s="347"/>
      <c r="M824" s="312"/>
      <c r="N824" s="347"/>
      <c r="O824" s="312"/>
      <c r="P824" s="347"/>
      <c r="Q824" s="312"/>
      <c r="R824" s="347"/>
      <c r="S824" s="312"/>
      <c r="T824" s="347"/>
    </row>
    <row r="825" spans="1:20" ht="12" customHeight="1" x14ac:dyDescent="0.3">
      <c r="A825" s="340" t="s">
        <v>287</v>
      </c>
      <c r="B825" s="341" t="s">
        <v>287</v>
      </c>
      <c r="C825" s="309">
        <v>46024</v>
      </c>
      <c r="D825" s="310" t="s">
        <v>500</v>
      </c>
      <c r="E825" s="342">
        <v>113.94</v>
      </c>
      <c r="F825" s="342">
        <v>113.94</v>
      </c>
      <c r="G825" s="344">
        <f t="shared" si="5"/>
        <v>2300.25</v>
      </c>
      <c r="H825" s="345"/>
      <c r="I825" s="346"/>
      <c r="J825" s="347"/>
      <c r="K825" s="312"/>
      <c r="L825" s="347"/>
      <c r="M825" s="312"/>
      <c r="N825" s="347"/>
      <c r="O825" s="312"/>
      <c r="P825" s="347"/>
      <c r="Q825" s="312"/>
      <c r="R825" s="347"/>
      <c r="S825" s="312"/>
      <c r="T825" s="347"/>
    </row>
    <row r="826" spans="1:20" ht="12" customHeight="1" x14ac:dyDescent="0.3">
      <c r="A826" s="340" t="s">
        <v>289</v>
      </c>
      <c r="B826" s="341">
        <v>2</v>
      </c>
      <c r="C826" s="309">
        <v>46024</v>
      </c>
      <c r="D826" s="310" t="s">
        <v>375</v>
      </c>
      <c r="E826" s="342">
        <v>11.9</v>
      </c>
      <c r="F826" s="342"/>
      <c r="G826" s="344">
        <f t="shared" si="5"/>
        <v>2300.25</v>
      </c>
      <c r="H826" s="345"/>
      <c r="I826" s="346"/>
      <c r="J826" s="347"/>
      <c r="K826" s="312"/>
      <c r="L826" s="347"/>
      <c r="M826" s="312"/>
      <c r="N826" s="347"/>
      <c r="O826" s="312"/>
      <c r="P826" s="347"/>
      <c r="Q826" s="312"/>
      <c r="R826" s="347"/>
      <c r="S826" s="312"/>
      <c r="T826" s="347"/>
    </row>
    <row r="827" spans="1:20" ht="12" customHeight="1" x14ac:dyDescent="0.3">
      <c r="A827" s="340" t="s">
        <v>289</v>
      </c>
      <c r="B827" s="341">
        <v>2</v>
      </c>
      <c r="C827" s="309">
        <v>46024</v>
      </c>
      <c r="D827" s="310" t="s">
        <v>415</v>
      </c>
      <c r="E827" s="342">
        <v>23.9</v>
      </c>
      <c r="F827" s="342"/>
      <c r="G827" s="344">
        <f t="shared" si="5"/>
        <v>2312.15</v>
      </c>
      <c r="H827" s="345"/>
      <c r="I827" s="346"/>
      <c r="J827" s="347"/>
      <c r="K827" s="312"/>
      <c r="L827" s="347"/>
      <c r="M827" s="312"/>
      <c r="N827" s="347"/>
      <c r="O827" s="312"/>
      <c r="P827" s="347"/>
      <c r="Q827" s="312"/>
      <c r="R827" s="347"/>
      <c r="S827" s="312"/>
      <c r="T827" s="347"/>
    </row>
    <row r="828" spans="1:20" ht="12" customHeight="1" x14ac:dyDescent="0.3">
      <c r="A828" s="340" t="s">
        <v>289</v>
      </c>
      <c r="B828" s="341">
        <v>5</v>
      </c>
      <c r="C828" s="309">
        <v>46024</v>
      </c>
      <c r="D828" s="310" t="s">
        <v>501</v>
      </c>
      <c r="E828" s="342">
        <v>160</v>
      </c>
      <c r="F828" s="342"/>
      <c r="G828" s="344">
        <f t="shared" si="5"/>
        <v>2336.0500000000002</v>
      </c>
      <c r="H828" s="345"/>
      <c r="I828" s="346"/>
      <c r="J828" s="347"/>
      <c r="K828" s="312"/>
      <c r="L828" s="347"/>
      <c r="M828" s="312"/>
      <c r="N828" s="347"/>
      <c r="O828" s="312"/>
      <c r="P828" s="347"/>
      <c r="Q828" s="312"/>
      <c r="R828" s="347"/>
      <c r="S828" s="312"/>
      <c r="T828" s="347"/>
    </row>
    <row r="829" spans="1:20" ht="12" customHeight="1" x14ac:dyDescent="0.3">
      <c r="A829" s="340" t="s">
        <v>284</v>
      </c>
      <c r="B829" s="341">
        <v>36</v>
      </c>
      <c r="C829" s="309">
        <v>46024</v>
      </c>
      <c r="D829" s="310" t="s">
        <v>378</v>
      </c>
      <c r="E829" s="342">
        <v>50</v>
      </c>
      <c r="F829" s="342"/>
      <c r="G829" s="344">
        <f t="shared" si="5"/>
        <v>2496.0500000000002</v>
      </c>
      <c r="H829" s="345"/>
      <c r="I829" s="346"/>
      <c r="J829" s="347"/>
      <c r="K829" s="312"/>
      <c r="L829" s="347"/>
      <c r="M829" s="312"/>
      <c r="N829" s="347"/>
      <c r="O829" s="312"/>
      <c r="P829" s="347"/>
      <c r="Q829" s="312"/>
      <c r="R829" s="347"/>
      <c r="S829" s="312"/>
      <c r="T829" s="347"/>
    </row>
    <row r="830" spans="1:20" ht="12" customHeight="1" x14ac:dyDescent="0.3">
      <c r="A830" s="340" t="s">
        <v>289</v>
      </c>
      <c r="B830" s="341">
        <v>6</v>
      </c>
      <c r="C830" s="309">
        <v>46023</v>
      </c>
      <c r="D830" s="310" t="s">
        <v>313</v>
      </c>
      <c r="E830" s="342">
        <v>8</v>
      </c>
      <c r="F830" s="342"/>
      <c r="G830" s="344">
        <f t="shared" si="5"/>
        <v>2546.0500000000002</v>
      </c>
      <c r="H830" s="345"/>
      <c r="I830" s="346"/>
      <c r="J830" s="347"/>
      <c r="K830" s="312"/>
      <c r="L830" s="347"/>
      <c r="M830" s="312"/>
      <c r="N830" s="347"/>
      <c r="O830" s="312"/>
      <c r="P830" s="347"/>
      <c r="Q830" s="312"/>
      <c r="R830" s="347"/>
      <c r="S830" s="312"/>
      <c r="T830" s="347"/>
    </row>
    <row r="831" spans="1:20" ht="12" customHeight="1" x14ac:dyDescent="0.3">
      <c r="A831" s="340" t="s">
        <v>289</v>
      </c>
      <c r="B831" s="341">
        <v>2</v>
      </c>
      <c r="C831" s="309">
        <v>46023</v>
      </c>
      <c r="D831" s="310" t="s">
        <v>375</v>
      </c>
      <c r="E831" s="342">
        <v>13.06</v>
      </c>
      <c r="F831" s="342"/>
      <c r="G831" s="344">
        <f t="shared" si="5"/>
        <v>2554.0500000000002</v>
      </c>
      <c r="H831" s="345"/>
      <c r="I831" s="346"/>
      <c r="J831" s="347"/>
      <c r="K831" s="312"/>
      <c r="L831" s="347"/>
      <c r="M831" s="312"/>
      <c r="N831" s="347"/>
      <c r="O831" s="312"/>
      <c r="P831" s="347"/>
      <c r="Q831" s="312"/>
      <c r="R831" s="347"/>
      <c r="S831" s="312"/>
      <c r="T831" s="347"/>
    </row>
    <row r="832" spans="1:20" ht="12" customHeight="1" x14ac:dyDescent="0.3">
      <c r="A832" s="340" t="s">
        <v>294</v>
      </c>
      <c r="B832" s="341">
        <v>22</v>
      </c>
      <c r="C832" s="309">
        <v>46023</v>
      </c>
      <c r="D832" s="310" t="s">
        <v>379</v>
      </c>
      <c r="E832" s="342">
        <v>6.37</v>
      </c>
      <c r="F832" s="342"/>
      <c r="G832" s="344">
        <f t="shared" si="5"/>
        <v>2567.11</v>
      </c>
      <c r="H832" s="345"/>
      <c r="I832" s="346"/>
      <c r="J832" s="347"/>
      <c r="K832" s="312"/>
      <c r="L832" s="347"/>
      <c r="M832" s="312"/>
      <c r="N832" s="347"/>
      <c r="O832" s="312"/>
      <c r="P832" s="347"/>
      <c r="Q832" s="312"/>
      <c r="R832" s="347"/>
      <c r="S832" s="312"/>
      <c r="T832" s="347"/>
    </row>
    <row r="833" spans="1:20" ht="12" customHeight="1" x14ac:dyDescent="0.3">
      <c r="A833" s="340" t="s">
        <v>289</v>
      </c>
      <c r="B833" s="341">
        <v>2</v>
      </c>
      <c r="C833" s="309">
        <v>46023</v>
      </c>
      <c r="D833" s="310" t="s">
        <v>362</v>
      </c>
      <c r="E833" s="342">
        <v>10.27</v>
      </c>
      <c r="F833" s="342"/>
      <c r="G833" s="344">
        <f t="shared" si="5"/>
        <v>2573.48</v>
      </c>
      <c r="H833" s="345"/>
      <c r="I833" s="346"/>
      <c r="J833" s="347"/>
      <c r="K833" s="312"/>
      <c r="L833" s="347"/>
      <c r="M833" s="312"/>
      <c r="N833" s="347"/>
      <c r="O833" s="312"/>
      <c r="P833" s="347"/>
      <c r="Q833" s="312"/>
      <c r="R833" s="347"/>
      <c r="S833" s="312"/>
      <c r="T833" s="347"/>
    </row>
    <row r="834" spans="1:20" ht="12" customHeight="1" x14ac:dyDescent="0.3">
      <c r="A834" s="340" t="s">
        <v>289</v>
      </c>
      <c r="B834" s="341">
        <v>6</v>
      </c>
      <c r="C834" s="309">
        <v>46023</v>
      </c>
      <c r="D834" s="310" t="s">
        <v>502</v>
      </c>
      <c r="E834" s="342">
        <v>176.57</v>
      </c>
      <c r="F834" s="342"/>
      <c r="G834" s="344">
        <f t="shared" si="5"/>
        <v>2583.75</v>
      </c>
      <c r="H834" s="345"/>
      <c r="I834" s="346"/>
      <c r="J834" s="347"/>
      <c r="K834" s="312"/>
      <c r="L834" s="347"/>
      <c r="M834" s="312"/>
      <c r="N834" s="347"/>
      <c r="O834" s="312"/>
      <c r="P834" s="347"/>
      <c r="Q834" s="312"/>
      <c r="R834" s="347"/>
      <c r="S834" s="312"/>
      <c r="T834" s="347"/>
    </row>
    <row r="835" spans="1:20" ht="12" customHeight="1" x14ac:dyDescent="0.3">
      <c r="A835" s="340" t="s">
        <v>287</v>
      </c>
      <c r="B835" s="341" t="s">
        <v>287</v>
      </c>
      <c r="C835" s="309">
        <v>46023</v>
      </c>
      <c r="D835" s="310" t="s">
        <v>300</v>
      </c>
      <c r="E835" s="342">
        <v>383.39</v>
      </c>
      <c r="F835" s="342">
        <v>383.39</v>
      </c>
      <c r="G835" s="344">
        <f t="shared" si="5"/>
        <v>2760.32</v>
      </c>
      <c r="H835" s="345"/>
      <c r="I835" s="346"/>
      <c r="J835" s="347"/>
      <c r="K835" s="312"/>
      <c r="L835" s="347"/>
      <c r="M835" s="312"/>
      <c r="N835" s="347"/>
      <c r="O835" s="312"/>
      <c r="P835" s="347"/>
      <c r="Q835" s="312"/>
      <c r="R835" s="347"/>
      <c r="S835" s="312"/>
      <c r="T835" s="347"/>
    </row>
    <row r="836" spans="1:20" ht="12" customHeight="1" x14ac:dyDescent="0.3">
      <c r="A836" s="340" t="s">
        <v>287</v>
      </c>
      <c r="B836" s="341" t="s">
        <v>287</v>
      </c>
      <c r="C836" s="309">
        <v>46023</v>
      </c>
      <c r="D836" s="310" t="s">
        <v>300</v>
      </c>
      <c r="E836" s="342">
        <v>53.24</v>
      </c>
      <c r="F836" s="342">
        <v>53.24</v>
      </c>
      <c r="G836" s="344">
        <f t="shared" si="5"/>
        <v>2760.32</v>
      </c>
      <c r="H836" s="345"/>
      <c r="I836" s="346"/>
      <c r="J836" s="347"/>
      <c r="K836" s="312"/>
      <c r="L836" s="347"/>
      <c r="M836" s="312"/>
      <c r="N836" s="347"/>
      <c r="O836" s="312"/>
      <c r="P836" s="347"/>
      <c r="Q836" s="312"/>
      <c r="R836" s="347"/>
      <c r="S836" s="312"/>
      <c r="T836" s="347"/>
    </row>
    <row r="837" spans="1:20" ht="12" customHeight="1" x14ac:dyDescent="0.3">
      <c r="A837" s="340" t="s">
        <v>339</v>
      </c>
      <c r="B837" s="341" t="s">
        <v>339</v>
      </c>
      <c r="C837" s="309">
        <v>46023</v>
      </c>
      <c r="D837" s="348" t="s">
        <v>470</v>
      </c>
      <c r="E837" s="342">
        <v>239.68</v>
      </c>
      <c r="F837" s="342"/>
      <c r="G837" s="344">
        <f t="shared" si="5"/>
        <v>2760.32</v>
      </c>
      <c r="H837" s="345"/>
      <c r="I837" s="346"/>
      <c r="J837" s="347"/>
      <c r="K837" s="312"/>
      <c r="L837" s="347"/>
      <c r="M837" s="312"/>
      <c r="N837" s="347"/>
      <c r="O837" s="312"/>
      <c r="P837" s="347"/>
      <c r="Q837" s="312"/>
      <c r="R837" s="347"/>
      <c r="S837" s="312"/>
      <c r="T837" s="347"/>
    </row>
    <row r="838" spans="1:20" ht="12" customHeight="1" x14ac:dyDescent="0.3">
      <c r="A838" s="340" t="s">
        <v>503</v>
      </c>
      <c r="B838" s="341" t="s">
        <v>503</v>
      </c>
      <c r="C838" s="309">
        <v>45658</v>
      </c>
      <c r="D838" s="309" t="s">
        <v>504</v>
      </c>
      <c r="E838" s="343"/>
      <c r="F838" s="343"/>
      <c r="G838" s="344">
        <v>3000</v>
      </c>
      <c r="H838" s="345"/>
      <c r="I838" s="346"/>
      <c r="J838" s="347"/>
      <c r="K838" s="312"/>
      <c r="L838" s="347"/>
      <c r="M838" s="312"/>
      <c r="N838" s="347"/>
      <c r="O838" s="312"/>
      <c r="P838" s="347"/>
      <c r="Q838" s="312"/>
      <c r="R838" s="347"/>
      <c r="S838" s="312"/>
      <c r="T838" s="347"/>
    </row>
    <row r="839" spans="1:20" ht="15.75" customHeight="1" x14ac:dyDescent="0.3"/>
    <row r="840" spans="1:20" ht="15.75" customHeight="1" x14ac:dyDescent="0.3"/>
    <row r="841" spans="1:20" ht="15.75" customHeight="1" x14ac:dyDescent="0.3"/>
    <row r="842" spans="1:20" ht="15.75" customHeight="1" x14ac:dyDescent="0.3"/>
    <row r="843" spans="1:20" ht="15.75" customHeight="1" x14ac:dyDescent="0.3"/>
    <row r="844" spans="1:20" ht="15.75" customHeight="1" x14ac:dyDescent="0.3"/>
    <row r="845" spans="1:20" ht="15.75" customHeight="1" x14ac:dyDescent="0.3"/>
    <row r="846" spans="1:20" ht="15.75" customHeight="1" x14ac:dyDescent="0.3"/>
    <row r="847" spans="1:20" ht="15.75" customHeight="1" x14ac:dyDescent="0.3"/>
    <row r="848" spans="1:20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  <row r="1001" ht="15.75" customHeight="1" x14ac:dyDescent="0.3"/>
    <row r="1002" ht="15.75" customHeight="1" x14ac:dyDescent="0.3"/>
    <row r="1003" ht="15.75" customHeight="1" x14ac:dyDescent="0.3"/>
    <row r="1004" ht="15.75" customHeight="1" x14ac:dyDescent="0.3"/>
    <row r="1005" ht="15.75" customHeight="1" x14ac:dyDescent="0.3"/>
    <row r="1006" ht="15.75" customHeight="1" x14ac:dyDescent="0.3"/>
    <row r="1007" ht="15.75" customHeight="1" x14ac:dyDescent="0.3"/>
    <row r="1008" ht="15.75" customHeight="1" x14ac:dyDescent="0.3"/>
    <row r="1009" ht="15.75" customHeight="1" x14ac:dyDescent="0.3"/>
    <row r="1010" ht="15.75" customHeight="1" x14ac:dyDescent="0.3"/>
    <row r="1011" ht="15.75" customHeight="1" x14ac:dyDescent="0.3"/>
    <row r="1012" ht="15.75" customHeight="1" x14ac:dyDescent="0.3"/>
    <row r="1013" ht="15.75" customHeight="1" x14ac:dyDescent="0.3"/>
    <row r="1014" ht="15.75" customHeight="1" x14ac:dyDescent="0.3"/>
    <row r="1015" ht="15.75" customHeight="1" x14ac:dyDescent="0.3"/>
    <row r="1016" ht="15.75" customHeight="1" x14ac:dyDescent="0.3"/>
    <row r="1017" ht="15.75" customHeight="1" x14ac:dyDescent="0.3"/>
    <row r="1018" ht="15.75" customHeight="1" x14ac:dyDescent="0.3"/>
    <row r="1019" ht="15.75" customHeight="1" x14ac:dyDescent="0.3"/>
    <row r="1020" ht="15.75" customHeight="1" x14ac:dyDescent="0.3"/>
    <row r="1021" ht="15.75" customHeight="1" x14ac:dyDescent="0.3"/>
    <row r="1022" ht="15.75" customHeight="1" x14ac:dyDescent="0.3"/>
    <row r="1023" ht="15.75" customHeight="1" x14ac:dyDescent="0.3"/>
    <row r="1024" ht="15.75" customHeight="1" x14ac:dyDescent="0.3"/>
    <row r="1025" ht="15.75" customHeight="1" x14ac:dyDescent="0.3"/>
    <row r="1026" ht="15.75" customHeight="1" x14ac:dyDescent="0.3"/>
    <row r="1027" ht="15.75" customHeight="1" x14ac:dyDescent="0.3"/>
    <row r="1028" ht="15.75" customHeight="1" x14ac:dyDescent="0.3"/>
    <row r="1029" ht="15.75" customHeight="1" x14ac:dyDescent="0.3"/>
    <row r="1030" ht="15.75" customHeight="1" x14ac:dyDescent="0.3"/>
    <row r="1031" ht="15.75" customHeight="1" x14ac:dyDescent="0.3"/>
    <row r="1032" ht="15.75" customHeight="1" x14ac:dyDescent="0.3"/>
    <row r="1033" ht="15.75" customHeight="1" x14ac:dyDescent="0.3"/>
    <row r="1034" ht="15.75" customHeight="1" x14ac:dyDescent="0.3"/>
    <row r="1035" ht="15.75" customHeight="1" x14ac:dyDescent="0.3"/>
    <row r="1036" ht="15.75" customHeight="1" x14ac:dyDescent="0.3"/>
    <row r="1037" ht="15.75" customHeight="1" x14ac:dyDescent="0.3"/>
    <row r="1038" ht="15.75" customHeight="1" x14ac:dyDescent="0.3"/>
    <row r="1039" ht="15.75" customHeight="1" x14ac:dyDescent="0.3"/>
    <row r="1040" ht="15.75" customHeight="1" x14ac:dyDescent="0.3"/>
    <row r="1041" ht="15.75" customHeight="1" x14ac:dyDescent="0.3"/>
    <row r="1042" ht="15.75" customHeight="1" x14ac:dyDescent="0.3"/>
    <row r="1043" ht="15.75" customHeight="1" x14ac:dyDescent="0.3"/>
    <row r="1044" ht="15.75" customHeight="1" x14ac:dyDescent="0.3"/>
    <row r="1045" ht="15.75" customHeight="1" x14ac:dyDescent="0.3"/>
    <row r="1046" ht="15.75" customHeight="1" x14ac:dyDescent="0.3"/>
    <row r="1047" ht="15.75" customHeight="1" x14ac:dyDescent="0.3"/>
    <row r="1048" ht="15.75" customHeight="1" x14ac:dyDescent="0.3"/>
    <row r="1049" ht="15.75" customHeight="1" x14ac:dyDescent="0.3"/>
    <row r="1050" ht="15.75" customHeight="1" x14ac:dyDescent="0.3"/>
    <row r="1051" ht="15.75" customHeight="1" x14ac:dyDescent="0.3"/>
    <row r="1052" ht="15.75" customHeight="1" x14ac:dyDescent="0.3"/>
    <row r="1053" ht="15.75" customHeight="1" x14ac:dyDescent="0.3"/>
    <row r="1054" ht="15.75" customHeight="1" x14ac:dyDescent="0.3"/>
    <row r="1055" ht="15.75" customHeight="1" x14ac:dyDescent="0.3"/>
    <row r="1056" ht="15.75" customHeight="1" x14ac:dyDescent="0.3"/>
    <row r="1057" ht="15.75" customHeight="1" x14ac:dyDescent="0.3"/>
    <row r="1058" ht="15.75" customHeight="1" x14ac:dyDescent="0.3"/>
    <row r="1059" ht="15.75" customHeight="1" x14ac:dyDescent="0.3"/>
    <row r="1060" ht="15.75" customHeight="1" x14ac:dyDescent="0.3"/>
    <row r="1061" ht="15.75" customHeight="1" x14ac:dyDescent="0.3"/>
    <row r="1062" ht="15.75" customHeight="1" x14ac:dyDescent="0.3"/>
    <row r="1063" ht="15.75" customHeight="1" x14ac:dyDescent="0.3"/>
    <row r="1064" ht="15.75" customHeight="1" x14ac:dyDescent="0.3"/>
    <row r="1065" ht="15.75" customHeight="1" x14ac:dyDescent="0.3"/>
    <row r="1066" ht="15.75" customHeight="1" x14ac:dyDescent="0.3"/>
    <row r="1067" ht="15.75" customHeight="1" x14ac:dyDescent="0.3"/>
    <row r="1068" ht="15.75" customHeight="1" x14ac:dyDescent="0.3"/>
    <row r="1069" ht="15.75" customHeight="1" x14ac:dyDescent="0.3"/>
    <row r="1070" ht="15.75" customHeight="1" x14ac:dyDescent="0.3"/>
    <row r="1071" ht="15.75" customHeight="1" x14ac:dyDescent="0.3"/>
    <row r="1072" ht="15.75" customHeight="1" x14ac:dyDescent="0.3"/>
    <row r="1073" ht="15.75" customHeight="1" x14ac:dyDescent="0.3"/>
    <row r="1074" ht="15.75" customHeight="1" x14ac:dyDescent="0.3"/>
    <row r="1075" ht="15.75" customHeight="1" x14ac:dyDescent="0.3"/>
    <row r="1076" ht="15.75" customHeight="1" x14ac:dyDescent="0.3"/>
    <row r="1077" ht="15.75" customHeight="1" x14ac:dyDescent="0.3"/>
    <row r="1078" ht="15.75" customHeight="1" x14ac:dyDescent="0.3"/>
    <row r="1079" ht="15.75" customHeight="1" x14ac:dyDescent="0.3"/>
    <row r="1080" ht="15.75" customHeight="1" x14ac:dyDescent="0.3"/>
    <row r="1081" ht="15.75" customHeight="1" x14ac:dyDescent="0.3"/>
    <row r="1082" ht="15.75" customHeight="1" x14ac:dyDescent="0.3"/>
    <row r="1083" ht="15.75" customHeight="1" x14ac:dyDescent="0.3"/>
    <row r="1084" ht="15.75" customHeight="1" x14ac:dyDescent="0.3"/>
    <row r="1085" ht="15.75" customHeight="1" x14ac:dyDescent="0.3"/>
    <row r="1086" ht="15.75" customHeight="1" x14ac:dyDescent="0.3"/>
    <row r="1087" ht="15.75" customHeight="1" x14ac:dyDescent="0.3"/>
    <row r="1088" ht="15.75" customHeight="1" x14ac:dyDescent="0.3"/>
    <row r="1089" ht="15.75" customHeight="1" x14ac:dyDescent="0.3"/>
    <row r="1090" ht="15.75" customHeight="1" x14ac:dyDescent="0.3"/>
    <row r="1091" ht="15.75" customHeight="1" x14ac:dyDescent="0.3"/>
    <row r="1092" ht="15.75" customHeight="1" x14ac:dyDescent="0.3"/>
    <row r="1093" ht="15.75" customHeight="1" x14ac:dyDescent="0.3"/>
    <row r="1094" ht="15.75" customHeight="1" x14ac:dyDescent="0.3"/>
    <row r="1095" ht="15.75" customHeight="1" x14ac:dyDescent="0.3"/>
    <row r="1096" ht="15.75" customHeight="1" x14ac:dyDescent="0.3"/>
    <row r="1097" ht="15.75" customHeight="1" x14ac:dyDescent="0.3"/>
    <row r="1098" ht="15.75" customHeight="1" x14ac:dyDescent="0.3"/>
    <row r="1099" ht="15.75" customHeight="1" x14ac:dyDescent="0.3"/>
    <row r="1100" ht="15.75" customHeight="1" x14ac:dyDescent="0.3"/>
    <row r="1101" ht="15.75" customHeight="1" x14ac:dyDescent="0.3"/>
    <row r="1102" ht="15.75" customHeight="1" x14ac:dyDescent="0.3"/>
    <row r="1103" ht="15.75" customHeight="1" x14ac:dyDescent="0.3"/>
    <row r="1104" ht="15.75" customHeight="1" x14ac:dyDescent="0.3"/>
    <row r="1105" ht="15.75" customHeight="1" x14ac:dyDescent="0.3"/>
    <row r="1106" ht="15.75" customHeight="1" x14ac:dyDescent="0.3"/>
    <row r="1107" ht="15.75" customHeight="1" x14ac:dyDescent="0.3"/>
    <row r="1108" ht="15.75" customHeight="1" x14ac:dyDescent="0.3"/>
    <row r="1109" ht="15.75" customHeight="1" x14ac:dyDescent="0.3"/>
    <row r="1110" ht="15.75" customHeight="1" x14ac:dyDescent="0.3"/>
    <row r="1111" ht="15.75" customHeight="1" x14ac:dyDescent="0.3"/>
    <row r="1112" ht="15.75" customHeight="1" x14ac:dyDescent="0.3"/>
    <row r="1113" ht="15.75" customHeight="1" x14ac:dyDescent="0.3"/>
    <row r="1114" ht="15.75" customHeight="1" x14ac:dyDescent="0.3"/>
    <row r="1115" ht="15.75" customHeight="1" x14ac:dyDescent="0.3"/>
    <row r="1116" ht="15.75" customHeight="1" x14ac:dyDescent="0.3"/>
    <row r="1117" ht="15.75" customHeight="1" x14ac:dyDescent="0.3"/>
    <row r="1118" ht="15.75" customHeight="1" x14ac:dyDescent="0.3"/>
    <row r="1119" ht="15.75" customHeight="1" x14ac:dyDescent="0.3"/>
    <row r="1120" ht="15.75" customHeight="1" x14ac:dyDescent="0.3"/>
    <row r="1121" ht="15.75" customHeight="1" x14ac:dyDescent="0.3"/>
    <row r="1122" ht="15.75" customHeight="1" x14ac:dyDescent="0.3"/>
    <row r="1123" ht="15.75" customHeight="1" x14ac:dyDescent="0.3"/>
    <row r="1124" ht="15.75" customHeight="1" x14ac:dyDescent="0.3"/>
    <row r="1125" ht="15.75" customHeight="1" x14ac:dyDescent="0.3"/>
    <row r="1126" ht="15.75" customHeight="1" x14ac:dyDescent="0.3"/>
    <row r="1127" ht="15.75" customHeight="1" x14ac:dyDescent="0.3"/>
    <row r="1128" ht="15.75" customHeight="1" x14ac:dyDescent="0.3"/>
    <row r="1129" ht="15.75" customHeight="1" x14ac:dyDescent="0.3"/>
    <row r="1130" ht="15.75" customHeight="1" x14ac:dyDescent="0.3"/>
    <row r="1131" ht="15.75" customHeight="1" x14ac:dyDescent="0.3"/>
    <row r="1132" ht="15.75" customHeight="1" x14ac:dyDescent="0.3"/>
    <row r="1133" ht="15.75" customHeight="1" x14ac:dyDescent="0.3"/>
    <row r="1134" ht="15.75" customHeight="1" x14ac:dyDescent="0.3"/>
    <row r="1135" ht="15.75" customHeight="1" x14ac:dyDescent="0.3"/>
    <row r="1136" ht="15.75" customHeight="1" x14ac:dyDescent="0.3"/>
    <row r="1137" ht="15.75" customHeight="1" x14ac:dyDescent="0.3"/>
    <row r="1138" ht="15.75" customHeight="1" x14ac:dyDescent="0.3"/>
    <row r="1139" ht="15.75" customHeight="1" x14ac:dyDescent="0.3"/>
    <row r="1140" ht="15.75" customHeight="1" x14ac:dyDescent="0.3"/>
    <row r="1141" ht="15.75" customHeight="1" x14ac:dyDescent="0.3"/>
    <row r="1142" ht="15.75" customHeight="1" x14ac:dyDescent="0.3"/>
    <row r="1143" ht="15.75" customHeight="1" x14ac:dyDescent="0.3"/>
    <row r="1144" ht="15.75" customHeight="1" x14ac:dyDescent="0.3"/>
    <row r="1145" ht="15.75" customHeight="1" x14ac:dyDescent="0.3"/>
    <row r="1146" ht="15.75" customHeight="1" x14ac:dyDescent="0.3"/>
    <row r="1147" ht="15.75" customHeight="1" x14ac:dyDescent="0.3"/>
    <row r="1148" ht="15.75" customHeight="1" x14ac:dyDescent="0.3"/>
    <row r="1149" ht="15.75" customHeight="1" x14ac:dyDescent="0.3"/>
    <row r="1150" ht="15.75" customHeight="1" x14ac:dyDescent="0.3"/>
    <row r="1151" ht="15.75" customHeight="1" x14ac:dyDescent="0.3"/>
    <row r="1152" ht="15.75" customHeight="1" x14ac:dyDescent="0.3"/>
    <row r="1153" ht="15.75" customHeight="1" x14ac:dyDescent="0.3"/>
    <row r="1154" ht="15.75" customHeight="1" x14ac:dyDescent="0.3"/>
    <row r="1155" ht="15.75" customHeight="1" x14ac:dyDescent="0.3"/>
    <row r="1156" ht="15.75" customHeight="1" x14ac:dyDescent="0.3"/>
    <row r="1157" ht="15.75" customHeight="1" x14ac:dyDescent="0.3"/>
    <row r="1158" ht="15.75" customHeight="1" x14ac:dyDescent="0.3"/>
    <row r="1159" ht="15.75" customHeight="1" x14ac:dyDescent="0.3"/>
    <row r="1160" ht="15.75" customHeight="1" x14ac:dyDescent="0.3"/>
    <row r="1161" ht="15.75" customHeight="1" x14ac:dyDescent="0.3"/>
    <row r="1162" ht="15.75" customHeight="1" x14ac:dyDescent="0.3"/>
    <row r="1163" ht="15.75" customHeight="1" x14ac:dyDescent="0.3"/>
    <row r="1164" ht="15.75" customHeight="1" x14ac:dyDescent="0.3"/>
    <row r="1165" ht="15.75" customHeight="1" x14ac:dyDescent="0.3"/>
    <row r="1166" ht="15.75" customHeight="1" x14ac:dyDescent="0.3"/>
    <row r="1167" ht="15.75" customHeight="1" x14ac:dyDescent="0.3"/>
    <row r="1168" ht="15.75" customHeight="1" x14ac:dyDescent="0.3"/>
    <row r="1169" ht="15.75" customHeight="1" x14ac:dyDescent="0.3"/>
    <row r="1170" ht="15.75" customHeight="1" x14ac:dyDescent="0.3"/>
    <row r="1171" ht="15.75" customHeight="1" x14ac:dyDescent="0.3"/>
    <row r="1172" ht="15.75" customHeight="1" x14ac:dyDescent="0.3"/>
    <row r="1173" ht="15.75" customHeight="1" x14ac:dyDescent="0.3"/>
    <row r="1174" ht="15.75" customHeight="1" x14ac:dyDescent="0.3"/>
    <row r="1175" ht="15.75" customHeight="1" x14ac:dyDescent="0.3"/>
    <row r="1176" ht="15.75" customHeight="1" x14ac:dyDescent="0.3"/>
    <row r="1177" ht="15.75" customHeight="1" x14ac:dyDescent="0.3"/>
    <row r="1178" ht="15.75" customHeight="1" x14ac:dyDescent="0.3"/>
    <row r="1179" ht="15.75" customHeight="1" x14ac:dyDescent="0.3"/>
    <row r="1180" ht="15.75" customHeight="1" x14ac:dyDescent="0.3"/>
    <row r="1181" ht="15.75" customHeight="1" x14ac:dyDescent="0.3"/>
    <row r="1182" ht="15.75" customHeight="1" x14ac:dyDescent="0.3"/>
    <row r="1183" ht="15.75" customHeight="1" x14ac:dyDescent="0.3"/>
    <row r="1184" ht="15.75" customHeight="1" x14ac:dyDescent="0.3"/>
    <row r="1185" ht="15.75" customHeight="1" x14ac:dyDescent="0.3"/>
    <row r="1186" ht="15.75" customHeight="1" x14ac:dyDescent="0.3"/>
    <row r="1187" ht="15.75" customHeight="1" x14ac:dyDescent="0.3"/>
    <row r="1188" ht="15.75" customHeight="1" x14ac:dyDescent="0.3"/>
    <row r="1189" ht="15.75" customHeight="1" x14ac:dyDescent="0.3"/>
    <row r="1190" ht="15.75" customHeight="1" x14ac:dyDescent="0.3"/>
    <row r="1191" ht="15.75" customHeight="1" x14ac:dyDescent="0.3"/>
    <row r="1192" ht="15.75" customHeight="1" x14ac:dyDescent="0.3"/>
    <row r="1193" ht="15.75" customHeight="1" x14ac:dyDescent="0.3"/>
    <row r="1194" ht="15.75" customHeight="1" x14ac:dyDescent="0.3"/>
    <row r="1195" ht="15.75" customHeight="1" x14ac:dyDescent="0.3"/>
    <row r="1196" ht="15.75" customHeight="1" x14ac:dyDescent="0.3"/>
    <row r="1197" ht="15.75" customHeight="1" x14ac:dyDescent="0.3"/>
    <row r="1198" ht="15.75" customHeight="1" x14ac:dyDescent="0.3"/>
    <row r="1199" ht="15.75" customHeight="1" x14ac:dyDescent="0.3"/>
    <row r="1200" ht="15.75" customHeight="1" x14ac:dyDescent="0.3"/>
    <row r="1201" ht="15.75" customHeight="1" x14ac:dyDescent="0.3"/>
    <row r="1202" ht="15.75" customHeight="1" x14ac:dyDescent="0.3"/>
    <row r="1203" ht="15.75" customHeight="1" x14ac:dyDescent="0.3"/>
    <row r="1204" ht="15.75" customHeight="1" x14ac:dyDescent="0.3"/>
    <row r="1205" ht="15.75" customHeight="1" x14ac:dyDescent="0.3"/>
    <row r="1206" ht="15.75" customHeight="1" x14ac:dyDescent="0.3"/>
    <row r="1207" ht="15.75" customHeight="1" x14ac:dyDescent="0.3"/>
    <row r="1208" ht="15.75" customHeight="1" x14ac:dyDescent="0.3"/>
    <row r="1209" ht="15.75" customHeight="1" x14ac:dyDescent="0.3"/>
    <row r="1210" ht="15.75" customHeight="1" x14ac:dyDescent="0.3"/>
    <row r="1211" ht="15.75" customHeight="1" x14ac:dyDescent="0.3"/>
    <row r="1212" ht="15.75" customHeight="1" x14ac:dyDescent="0.3"/>
    <row r="1213" ht="15.75" customHeight="1" x14ac:dyDescent="0.3"/>
    <row r="1214" ht="15.75" customHeight="1" x14ac:dyDescent="0.3"/>
    <row r="1215" ht="15.75" customHeight="1" x14ac:dyDescent="0.3"/>
    <row r="1216" ht="15.75" customHeight="1" x14ac:dyDescent="0.3"/>
    <row r="1217" ht="15.75" customHeight="1" x14ac:dyDescent="0.3"/>
    <row r="1218" ht="15.75" customHeight="1" x14ac:dyDescent="0.3"/>
    <row r="1219" ht="15.75" customHeight="1" x14ac:dyDescent="0.3"/>
    <row r="1220" ht="15.75" customHeight="1" x14ac:dyDescent="0.3"/>
    <row r="1221" ht="15.75" customHeight="1" x14ac:dyDescent="0.3"/>
    <row r="1222" ht="15.75" customHeight="1" x14ac:dyDescent="0.3"/>
    <row r="1223" ht="15.75" customHeight="1" x14ac:dyDescent="0.3"/>
    <row r="1224" ht="15.75" customHeight="1" x14ac:dyDescent="0.3"/>
    <row r="1225" ht="15.75" customHeight="1" x14ac:dyDescent="0.3"/>
    <row r="1226" ht="15.75" customHeight="1" x14ac:dyDescent="0.3"/>
    <row r="1227" ht="15.75" customHeight="1" x14ac:dyDescent="0.3"/>
    <row r="1228" ht="15.75" customHeight="1" x14ac:dyDescent="0.3"/>
    <row r="1229" ht="15.75" customHeight="1" x14ac:dyDescent="0.3"/>
    <row r="1230" ht="15.75" customHeight="1" x14ac:dyDescent="0.3"/>
    <row r="1231" ht="15.75" customHeight="1" x14ac:dyDescent="0.3"/>
    <row r="1232" ht="15.75" customHeight="1" x14ac:dyDescent="0.3"/>
    <row r="1233" ht="15.75" customHeight="1" x14ac:dyDescent="0.3"/>
    <row r="1234" ht="15.75" customHeight="1" x14ac:dyDescent="0.3"/>
    <row r="1235" ht="15.75" customHeight="1" x14ac:dyDescent="0.3"/>
    <row r="1236" ht="15.75" customHeight="1" x14ac:dyDescent="0.3"/>
    <row r="1237" ht="15.75" customHeight="1" x14ac:dyDescent="0.3"/>
    <row r="1238" ht="15.75" customHeight="1" x14ac:dyDescent="0.3"/>
    <row r="1239" ht="15.75" customHeight="1" x14ac:dyDescent="0.3"/>
    <row r="1240" ht="15.75" customHeight="1" x14ac:dyDescent="0.3"/>
    <row r="1241" ht="15.75" customHeight="1" x14ac:dyDescent="0.3"/>
    <row r="1242" ht="15.75" customHeight="1" x14ac:dyDescent="0.3"/>
    <row r="1243" ht="15.75" customHeight="1" x14ac:dyDescent="0.3"/>
    <row r="1244" ht="15.75" customHeight="1" x14ac:dyDescent="0.3"/>
    <row r="1245" ht="15.75" customHeight="1" x14ac:dyDescent="0.3"/>
    <row r="1246" ht="15.75" customHeight="1" x14ac:dyDescent="0.3"/>
    <row r="1247" ht="15.75" customHeight="1" x14ac:dyDescent="0.3"/>
    <row r="1248" ht="15.75" customHeight="1" x14ac:dyDescent="0.3"/>
    <row r="1249" ht="15.75" customHeight="1" x14ac:dyDescent="0.3"/>
    <row r="1250" ht="15.75" customHeight="1" x14ac:dyDescent="0.3"/>
    <row r="1251" ht="15.75" customHeight="1" x14ac:dyDescent="0.3"/>
    <row r="1252" ht="15.75" customHeight="1" x14ac:dyDescent="0.3"/>
    <row r="1253" ht="15.75" customHeight="1" x14ac:dyDescent="0.3"/>
    <row r="1254" ht="15.75" customHeight="1" x14ac:dyDescent="0.3"/>
    <row r="1255" ht="15.75" customHeight="1" x14ac:dyDescent="0.3"/>
    <row r="1256" ht="15.75" customHeight="1" x14ac:dyDescent="0.3"/>
    <row r="1257" ht="15.75" customHeight="1" x14ac:dyDescent="0.3"/>
    <row r="1258" ht="15.75" customHeight="1" x14ac:dyDescent="0.3"/>
    <row r="1259" ht="15.75" customHeight="1" x14ac:dyDescent="0.3"/>
    <row r="1260" ht="15.75" customHeight="1" x14ac:dyDescent="0.3"/>
    <row r="1261" ht="15.75" customHeight="1" x14ac:dyDescent="0.3"/>
    <row r="1262" ht="15.75" customHeight="1" x14ac:dyDescent="0.3"/>
    <row r="1263" ht="15.75" customHeight="1" x14ac:dyDescent="0.3"/>
    <row r="1264" ht="15.75" customHeight="1" x14ac:dyDescent="0.3"/>
    <row r="1265" ht="15.75" customHeight="1" x14ac:dyDescent="0.3"/>
    <row r="1266" ht="15.75" customHeight="1" x14ac:dyDescent="0.3"/>
    <row r="1267" ht="15.75" customHeight="1" x14ac:dyDescent="0.3"/>
    <row r="1268" ht="15.75" customHeight="1" x14ac:dyDescent="0.3"/>
    <row r="1269" ht="15.75" customHeight="1" x14ac:dyDescent="0.3"/>
    <row r="1270" ht="15.75" customHeight="1" x14ac:dyDescent="0.3"/>
    <row r="1271" ht="15.75" customHeight="1" x14ac:dyDescent="0.3"/>
    <row r="1272" ht="15.75" customHeight="1" x14ac:dyDescent="0.3"/>
    <row r="1273" ht="15.75" customHeight="1" x14ac:dyDescent="0.3"/>
    <row r="1274" ht="15.75" customHeight="1" x14ac:dyDescent="0.3"/>
    <row r="1275" ht="15.75" customHeight="1" x14ac:dyDescent="0.3"/>
    <row r="1276" ht="15.75" customHeight="1" x14ac:dyDescent="0.3"/>
    <row r="1277" ht="15.75" customHeight="1" x14ac:dyDescent="0.3"/>
    <row r="1278" ht="15.75" customHeight="1" x14ac:dyDescent="0.3"/>
    <row r="1279" ht="15.75" customHeight="1" x14ac:dyDescent="0.3"/>
    <row r="1280" ht="15.75" customHeight="1" x14ac:dyDescent="0.3"/>
    <row r="1281" ht="15.75" customHeight="1" x14ac:dyDescent="0.3"/>
    <row r="1282" ht="15.75" customHeight="1" x14ac:dyDescent="0.3"/>
    <row r="1283" ht="15.75" customHeight="1" x14ac:dyDescent="0.3"/>
    <row r="1284" ht="15.75" customHeight="1" x14ac:dyDescent="0.3"/>
    <row r="1285" ht="15.75" customHeight="1" x14ac:dyDescent="0.3"/>
    <row r="1286" ht="15.75" customHeight="1" x14ac:dyDescent="0.3"/>
    <row r="1287" ht="15.75" customHeight="1" x14ac:dyDescent="0.3"/>
    <row r="1288" ht="15.75" customHeight="1" x14ac:dyDescent="0.3"/>
    <row r="1289" ht="15.75" customHeight="1" x14ac:dyDescent="0.3"/>
    <row r="1290" ht="15.75" customHeight="1" x14ac:dyDescent="0.3"/>
    <row r="1291" ht="15.75" customHeight="1" x14ac:dyDescent="0.3"/>
    <row r="1292" ht="15.75" customHeight="1" x14ac:dyDescent="0.3"/>
    <row r="1293" ht="15.75" customHeight="1" x14ac:dyDescent="0.3"/>
    <row r="1294" ht="15.75" customHeight="1" x14ac:dyDescent="0.3"/>
    <row r="1295" ht="15.75" customHeight="1" x14ac:dyDescent="0.3"/>
    <row r="1296" ht="15.75" customHeight="1" x14ac:dyDescent="0.3"/>
    <row r="1297" ht="15.75" customHeight="1" x14ac:dyDescent="0.3"/>
    <row r="1298" ht="15.75" customHeight="1" x14ac:dyDescent="0.3"/>
    <row r="1299" ht="15.75" customHeight="1" x14ac:dyDescent="0.3"/>
    <row r="1300" ht="15.75" customHeight="1" x14ac:dyDescent="0.3"/>
    <row r="1301" ht="15.75" customHeight="1" x14ac:dyDescent="0.3"/>
    <row r="1302" ht="15.75" customHeight="1" x14ac:dyDescent="0.3"/>
    <row r="1303" ht="15.75" customHeight="1" x14ac:dyDescent="0.3"/>
    <row r="1304" ht="15.75" customHeight="1" x14ac:dyDescent="0.3"/>
    <row r="1305" ht="15.75" customHeight="1" x14ac:dyDescent="0.3"/>
    <row r="1306" ht="15.75" customHeight="1" x14ac:dyDescent="0.3"/>
    <row r="1307" ht="15.75" customHeight="1" x14ac:dyDescent="0.3"/>
    <row r="1308" ht="15.75" customHeight="1" x14ac:dyDescent="0.3"/>
    <row r="1309" ht="15.75" customHeight="1" x14ac:dyDescent="0.3"/>
    <row r="1310" ht="15.75" customHeight="1" x14ac:dyDescent="0.3"/>
    <row r="1311" ht="15.75" customHeight="1" x14ac:dyDescent="0.3"/>
    <row r="1312" ht="15.75" customHeight="1" x14ac:dyDescent="0.3"/>
    <row r="1313" ht="15.75" customHeight="1" x14ac:dyDescent="0.3"/>
    <row r="1314" ht="15.75" customHeight="1" x14ac:dyDescent="0.3"/>
    <row r="1315" ht="15.75" customHeight="1" x14ac:dyDescent="0.3"/>
    <row r="1316" ht="15.75" customHeight="1" x14ac:dyDescent="0.3"/>
    <row r="1317" ht="15.75" customHeight="1" x14ac:dyDescent="0.3"/>
    <row r="1318" ht="15.75" customHeight="1" x14ac:dyDescent="0.3"/>
    <row r="1319" ht="15.75" customHeight="1" x14ac:dyDescent="0.3"/>
    <row r="1320" ht="15.75" customHeight="1" x14ac:dyDescent="0.3"/>
    <row r="1321" ht="15.75" customHeight="1" x14ac:dyDescent="0.3"/>
    <row r="1322" ht="15.75" customHeight="1" x14ac:dyDescent="0.3"/>
    <row r="1323" ht="15.75" customHeight="1" x14ac:dyDescent="0.3"/>
    <row r="1324" ht="15.75" customHeight="1" x14ac:dyDescent="0.3"/>
    <row r="1325" ht="15.75" customHeight="1" x14ac:dyDescent="0.3"/>
    <row r="1326" ht="15.75" customHeight="1" x14ac:dyDescent="0.3"/>
    <row r="1327" ht="15.75" customHeight="1" x14ac:dyDescent="0.3"/>
    <row r="1328" ht="15.75" customHeight="1" x14ac:dyDescent="0.3"/>
    <row r="1329" ht="15.75" customHeight="1" x14ac:dyDescent="0.3"/>
    <row r="1330" ht="15.75" customHeight="1" x14ac:dyDescent="0.3"/>
    <row r="1331" ht="15.75" customHeight="1" x14ac:dyDescent="0.3"/>
    <row r="1332" ht="15.75" customHeight="1" x14ac:dyDescent="0.3"/>
    <row r="1333" ht="15.75" customHeight="1" x14ac:dyDescent="0.3"/>
    <row r="1334" ht="15.75" customHeight="1" x14ac:dyDescent="0.3"/>
    <row r="1335" ht="15.75" customHeight="1" x14ac:dyDescent="0.3"/>
    <row r="1336" ht="15.75" customHeight="1" x14ac:dyDescent="0.3"/>
    <row r="1337" ht="15.75" customHeight="1" x14ac:dyDescent="0.3"/>
    <row r="1338" ht="15.75" customHeight="1" x14ac:dyDescent="0.3"/>
    <row r="1339" ht="15.75" customHeight="1" x14ac:dyDescent="0.3"/>
    <row r="1340" ht="15.75" customHeight="1" x14ac:dyDescent="0.3"/>
    <row r="1341" ht="15.75" customHeight="1" x14ac:dyDescent="0.3"/>
    <row r="1342" ht="15.75" customHeight="1" x14ac:dyDescent="0.3"/>
    <row r="1343" ht="15.75" customHeight="1" x14ac:dyDescent="0.3"/>
    <row r="1344" ht="15.75" customHeight="1" x14ac:dyDescent="0.3"/>
    <row r="1345" ht="15.75" customHeight="1" x14ac:dyDescent="0.3"/>
    <row r="1346" ht="15.75" customHeight="1" x14ac:dyDescent="0.3"/>
    <row r="1347" ht="15.75" customHeight="1" x14ac:dyDescent="0.3"/>
    <row r="1348" ht="15.75" customHeight="1" x14ac:dyDescent="0.3"/>
    <row r="1349" ht="15.75" customHeight="1" x14ac:dyDescent="0.3"/>
    <row r="1350" ht="15.75" customHeight="1" x14ac:dyDescent="0.3"/>
    <row r="1351" ht="15.75" customHeight="1" x14ac:dyDescent="0.3"/>
    <row r="1352" ht="15.75" customHeight="1" x14ac:dyDescent="0.3"/>
    <row r="1353" ht="15.75" customHeight="1" x14ac:dyDescent="0.3"/>
    <row r="1354" ht="15.75" customHeight="1" x14ac:dyDescent="0.3"/>
    <row r="1355" ht="15.75" customHeight="1" x14ac:dyDescent="0.3"/>
    <row r="1356" ht="15.75" customHeight="1" x14ac:dyDescent="0.3"/>
    <row r="1357" ht="15.75" customHeight="1" x14ac:dyDescent="0.3"/>
    <row r="1358" ht="15.75" customHeight="1" x14ac:dyDescent="0.3"/>
    <row r="1359" ht="15.75" customHeight="1" x14ac:dyDescent="0.3"/>
    <row r="1360" ht="15.75" customHeight="1" x14ac:dyDescent="0.3"/>
    <row r="1361" ht="15.75" customHeight="1" x14ac:dyDescent="0.3"/>
    <row r="1362" ht="15.75" customHeight="1" x14ac:dyDescent="0.3"/>
    <row r="1363" ht="15.75" customHeight="1" x14ac:dyDescent="0.3"/>
    <row r="1364" ht="15.75" customHeight="1" x14ac:dyDescent="0.3"/>
    <row r="1365" ht="15.75" customHeight="1" x14ac:dyDescent="0.3"/>
    <row r="1366" ht="15.75" customHeight="1" x14ac:dyDescent="0.3"/>
    <row r="1367" ht="15.75" customHeight="1" x14ac:dyDescent="0.3"/>
    <row r="1368" ht="15.75" customHeight="1" x14ac:dyDescent="0.3"/>
    <row r="1369" ht="15.75" customHeight="1" x14ac:dyDescent="0.3"/>
    <row r="1370" ht="15.75" customHeight="1" x14ac:dyDescent="0.3"/>
    <row r="1371" ht="15.75" customHeight="1" x14ac:dyDescent="0.3"/>
    <row r="1372" ht="15.75" customHeight="1" x14ac:dyDescent="0.3"/>
    <row r="1373" ht="15.75" customHeight="1" x14ac:dyDescent="0.3"/>
    <row r="1374" ht="15.75" customHeight="1" x14ac:dyDescent="0.3"/>
    <row r="1375" ht="15.75" customHeight="1" x14ac:dyDescent="0.3"/>
    <row r="1376" ht="15.75" customHeight="1" x14ac:dyDescent="0.3"/>
    <row r="1377" ht="15.75" customHeight="1" x14ac:dyDescent="0.3"/>
    <row r="1378" ht="15.75" customHeight="1" x14ac:dyDescent="0.3"/>
    <row r="1379" ht="15.75" customHeight="1" x14ac:dyDescent="0.3"/>
    <row r="1380" ht="15.75" customHeight="1" x14ac:dyDescent="0.3"/>
    <row r="1381" ht="15.75" customHeight="1" x14ac:dyDescent="0.3"/>
    <row r="1382" ht="15.75" customHeight="1" x14ac:dyDescent="0.3"/>
    <row r="1383" ht="15.75" customHeight="1" x14ac:dyDescent="0.3"/>
    <row r="1384" ht="15.75" customHeight="1" x14ac:dyDescent="0.3"/>
    <row r="1385" ht="15.75" customHeight="1" x14ac:dyDescent="0.3"/>
    <row r="1386" ht="15.75" customHeight="1" x14ac:dyDescent="0.3"/>
    <row r="1387" ht="15.75" customHeight="1" x14ac:dyDescent="0.3"/>
    <row r="1388" ht="15.75" customHeight="1" x14ac:dyDescent="0.3"/>
    <row r="1389" ht="15.75" customHeight="1" x14ac:dyDescent="0.3"/>
    <row r="1390" ht="15.75" customHeight="1" x14ac:dyDescent="0.3"/>
    <row r="1391" ht="15.75" customHeight="1" x14ac:dyDescent="0.3"/>
    <row r="1392" ht="15.75" customHeight="1" x14ac:dyDescent="0.3"/>
    <row r="1393" ht="15.75" customHeight="1" x14ac:dyDescent="0.3"/>
    <row r="1394" ht="15.75" customHeight="1" x14ac:dyDescent="0.3"/>
    <row r="1395" ht="15.75" customHeight="1" x14ac:dyDescent="0.3"/>
    <row r="1396" ht="15.75" customHeight="1" x14ac:dyDescent="0.3"/>
    <row r="1397" ht="15.75" customHeight="1" x14ac:dyDescent="0.3"/>
    <row r="1398" ht="15.75" customHeight="1" x14ac:dyDescent="0.3"/>
    <row r="1399" ht="15.75" customHeight="1" x14ac:dyDescent="0.3"/>
    <row r="1400" ht="15.75" customHeight="1" x14ac:dyDescent="0.3"/>
    <row r="1401" ht="15.75" customHeight="1" x14ac:dyDescent="0.3"/>
    <row r="1402" ht="15.75" customHeight="1" x14ac:dyDescent="0.3"/>
    <row r="1403" ht="15.75" customHeight="1" x14ac:dyDescent="0.3"/>
    <row r="1404" ht="15.75" customHeight="1" x14ac:dyDescent="0.3"/>
    <row r="1405" ht="15.75" customHeight="1" x14ac:dyDescent="0.3"/>
    <row r="1406" ht="15.75" customHeight="1" x14ac:dyDescent="0.3"/>
    <row r="1407" ht="15.75" customHeight="1" x14ac:dyDescent="0.3"/>
    <row r="1408" ht="15.75" customHeight="1" x14ac:dyDescent="0.3"/>
    <row r="1409" ht="15.75" customHeight="1" x14ac:dyDescent="0.3"/>
    <row r="1410" ht="15.75" customHeight="1" x14ac:dyDescent="0.3"/>
    <row r="1411" ht="15.75" customHeight="1" x14ac:dyDescent="0.3"/>
    <row r="1412" ht="15.75" customHeight="1" x14ac:dyDescent="0.3"/>
    <row r="1413" ht="15.75" customHeight="1" x14ac:dyDescent="0.3"/>
    <row r="1414" ht="15.75" customHeight="1" x14ac:dyDescent="0.3"/>
    <row r="1415" ht="15.75" customHeight="1" x14ac:dyDescent="0.3"/>
    <row r="1416" ht="15.75" customHeight="1" x14ac:dyDescent="0.3"/>
    <row r="1417" ht="15.75" customHeight="1" x14ac:dyDescent="0.3"/>
    <row r="1418" ht="15.75" customHeight="1" x14ac:dyDescent="0.3"/>
    <row r="1419" ht="15.75" customHeight="1" x14ac:dyDescent="0.3"/>
    <row r="1420" ht="15.75" customHeight="1" x14ac:dyDescent="0.3"/>
    <row r="1421" ht="15.75" customHeight="1" x14ac:dyDescent="0.3"/>
    <row r="1422" ht="15.75" customHeight="1" x14ac:dyDescent="0.3"/>
    <row r="1423" ht="15.75" customHeight="1" x14ac:dyDescent="0.3"/>
    <row r="1424" ht="15.75" customHeight="1" x14ac:dyDescent="0.3"/>
    <row r="1425" ht="15.75" customHeight="1" x14ac:dyDescent="0.3"/>
    <row r="1426" ht="15.75" customHeight="1" x14ac:dyDescent="0.3"/>
    <row r="1427" ht="15.75" customHeight="1" x14ac:dyDescent="0.3"/>
    <row r="1428" ht="15.75" customHeight="1" x14ac:dyDescent="0.3"/>
    <row r="1429" ht="15.75" customHeight="1" x14ac:dyDescent="0.3"/>
    <row r="1430" ht="15.75" customHeight="1" x14ac:dyDescent="0.3"/>
    <row r="1431" ht="15.75" customHeight="1" x14ac:dyDescent="0.3"/>
    <row r="1432" ht="15.75" customHeight="1" x14ac:dyDescent="0.3"/>
    <row r="1433" ht="15.75" customHeight="1" x14ac:dyDescent="0.3"/>
    <row r="1434" ht="15.75" customHeight="1" x14ac:dyDescent="0.3"/>
    <row r="1435" ht="15.75" customHeight="1" x14ac:dyDescent="0.3"/>
    <row r="1436" ht="15.75" customHeight="1" x14ac:dyDescent="0.3"/>
    <row r="1437" ht="15.75" customHeight="1" x14ac:dyDescent="0.3"/>
    <row r="1438" ht="15.75" customHeight="1" x14ac:dyDescent="0.3"/>
    <row r="1439" ht="15.75" customHeight="1" x14ac:dyDescent="0.3"/>
    <row r="1440" ht="15.75" customHeight="1" x14ac:dyDescent="0.3"/>
    <row r="1441" ht="15.75" customHeight="1" x14ac:dyDescent="0.3"/>
    <row r="1442" ht="15.75" customHeight="1" x14ac:dyDescent="0.3"/>
    <row r="1443" ht="15.75" customHeight="1" x14ac:dyDescent="0.3"/>
    <row r="1444" ht="15.75" customHeight="1" x14ac:dyDescent="0.3"/>
    <row r="1445" ht="15.75" customHeight="1" x14ac:dyDescent="0.3"/>
    <row r="1446" ht="15.75" customHeight="1" x14ac:dyDescent="0.3"/>
    <row r="1447" ht="15.75" customHeight="1" x14ac:dyDescent="0.3"/>
    <row r="1448" ht="15.75" customHeight="1" x14ac:dyDescent="0.3"/>
    <row r="1449" ht="15.75" customHeight="1" x14ac:dyDescent="0.3"/>
    <row r="1450" ht="15.75" customHeight="1" x14ac:dyDescent="0.3"/>
    <row r="1451" ht="15.75" customHeight="1" x14ac:dyDescent="0.3"/>
    <row r="1452" ht="15.75" customHeight="1" x14ac:dyDescent="0.3"/>
    <row r="1453" ht="15.75" customHeight="1" x14ac:dyDescent="0.3"/>
    <row r="1454" ht="15.75" customHeight="1" x14ac:dyDescent="0.3"/>
    <row r="1455" ht="15.75" customHeight="1" x14ac:dyDescent="0.3"/>
    <row r="1456" ht="15.75" customHeight="1" x14ac:dyDescent="0.3"/>
    <row r="1457" ht="15.75" customHeight="1" x14ac:dyDescent="0.3"/>
    <row r="1458" ht="15.75" customHeight="1" x14ac:dyDescent="0.3"/>
    <row r="1459" ht="15.75" customHeight="1" x14ac:dyDescent="0.3"/>
    <row r="1460" ht="15.75" customHeight="1" x14ac:dyDescent="0.3"/>
    <row r="1461" ht="15.75" customHeight="1" x14ac:dyDescent="0.3"/>
    <row r="1462" ht="15.75" customHeight="1" x14ac:dyDescent="0.3"/>
    <row r="1463" ht="15.75" customHeight="1" x14ac:dyDescent="0.3"/>
    <row r="1464" ht="15.75" customHeight="1" x14ac:dyDescent="0.3"/>
    <row r="1465" ht="15.75" customHeight="1" x14ac:dyDescent="0.3"/>
    <row r="1466" ht="15.75" customHeight="1" x14ac:dyDescent="0.3"/>
    <row r="1467" ht="15.75" customHeight="1" x14ac:dyDescent="0.3"/>
    <row r="1468" ht="15.75" customHeight="1" x14ac:dyDescent="0.3"/>
    <row r="1469" ht="15.75" customHeight="1" x14ac:dyDescent="0.3"/>
    <row r="1470" ht="15.75" customHeight="1" x14ac:dyDescent="0.3"/>
    <row r="1471" ht="15.75" customHeight="1" x14ac:dyDescent="0.3"/>
    <row r="1472" ht="15.75" customHeight="1" x14ac:dyDescent="0.3"/>
    <row r="1473" ht="15.75" customHeight="1" x14ac:dyDescent="0.3"/>
    <row r="1474" ht="15.75" customHeight="1" x14ac:dyDescent="0.3"/>
    <row r="1475" ht="15.75" customHeight="1" x14ac:dyDescent="0.3"/>
    <row r="1476" ht="15.75" customHeight="1" x14ac:dyDescent="0.3"/>
    <row r="1477" ht="15.75" customHeight="1" x14ac:dyDescent="0.3"/>
    <row r="1478" ht="15.75" customHeight="1" x14ac:dyDescent="0.3"/>
    <row r="1479" ht="15.75" customHeight="1" x14ac:dyDescent="0.3"/>
    <row r="1480" ht="15.75" customHeight="1" x14ac:dyDescent="0.3"/>
    <row r="1481" ht="15.75" customHeight="1" x14ac:dyDescent="0.3"/>
    <row r="1482" ht="15.75" customHeight="1" x14ac:dyDescent="0.3"/>
    <row r="1483" ht="15.75" customHeight="1" x14ac:dyDescent="0.3"/>
    <row r="1484" ht="15.75" customHeight="1" x14ac:dyDescent="0.3"/>
    <row r="1485" ht="15.75" customHeight="1" x14ac:dyDescent="0.3"/>
    <row r="1486" ht="15.75" customHeight="1" x14ac:dyDescent="0.3"/>
    <row r="1487" ht="15.75" customHeight="1" x14ac:dyDescent="0.3"/>
    <row r="1488" ht="15.75" customHeight="1" x14ac:dyDescent="0.3"/>
    <row r="1489" ht="15.75" customHeight="1" x14ac:dyDescent="0.3"/>
    <row r="1490" ht="15.75" customHeight="1" x14ac:dyDescent="0.3"/>
    <row r="1491" ht="15.75" customHeight="1" x14ac:dyDescent="0.3"/>
    <row r="1492" ht="15.75" customHeight="1" x14ac:dyDescent="0.3"/>
    <row r="1493" ht="15.75" customHeight="1" x14ac:dyDescent="0.3"/>
    <row r="1494" ht="15.75" customHeight="1" x14ac:dyDescent="0.3"/>
    <row r="1495" ht="15.75" customHeight="1" x14ac:dyDescent="0.3"/>
    <row r="1496" ht="15.75" customHeight="1" x14ac:dyDescent="0.3"/>
    <row r="1497" ht="15.75" customHeight="1" x14ac:dyDescent="0.3"/>
    <row r="1498" ht="15.75" customHeight="1" x14ac:dyDescent="0.3"/>
    <row r="1499" ht="15.75" customHeight="1" x14ac:dyDescent="0.3"/>
    <row r="1500" ht="15.75" customHeight="1" x14ac:dyDescent="0.3"/>
    <row r="1501" ht="15.75" customHeight="1" x14ac:dyDescent="0.3"/>
    <row r="1502" ht="15.75" customHeight="1" x14ac:dyDescent="0.3"/>
    <row r="1503" ht="15.75" customHeight="1" x14ac:dyDescent="0.3"/>
    <row r="1504" ht="15.75" customHeight="1" x14ac:dyDescent="0.3"/>
    <row r="1505" ht="15.75" customHeight="1" x14ac:dyDescent="0.3"/>
    <row r="1506" ht="15.75" customHeight="1" x14ac:dyDescent="0.3"/>
    <row r="1507" ht="15.75" customHeight="1" x14ac:dyDescent="0.3"/>
    <row r="1508" ht="15.75" customHeight="1" x14ac:dyDescent="0.3"/>
    <row r="1509" ht="15.75" customHeight="1" x14ac:dyDescent="0.3"/>
    <row r="1510" ht="15.75" customHeight="1" x14ac:dyDescent="0.3"/>
    <row r="1511" ht="15.75" customHeight="1" x14ac:dyDescent="0.3"/>
    <row r="1512" ht="15.75" customHeight="1" x14ac:dyDescent="0.3"/>
    <row r="1513" ht="15.75" customHeight="1" x14ac:dyDescent="0.3"/>
    <row r="1514" ht="15.75" customHeight="1" x14ac:dyDescent="0.3"/>
    <row r="1515" ht="15.75" customHeight="1" x14ac:dyDescent="0.3"/>
    <row r="1516" ht="15.75" customHeight="1" x14ac:dyDescent="0.3"/>
    <row r="1517" ht="15.75" customHeight="1" x14ac:dyDescent="0.3"/>
    <row r="1518" ht="15.75" customHeight="1" x14ac:dyDescent="0.3"/>
    <row r="1519" ht="15.75" customHeight="1" x14ac:dyDescent="0.3"/>
    <row r="1520" ht="15.75" customHeight="1" x14ac:dyDescent="0.3"/>
    <row r="1521" ht="15.75" customHeight="1" x14ac:dyDescent="0.3"/>
    <row r="1522" ht="15.75" customHeight="1" x14ac:dyDescent="0.3"/>
    <row r="1523" ht="15.75" customHeight="1" x14ac:dyDescent="0.3"/>
    <row r="1524" ht="15.75" customHeight="1" x14ac:dyDescent="0.3"/>
    <row r="1525" ht="15.75" customHeight="1" x14ac:dyDescent="0.3"/>
    <row r="1526" ht="15.75" customHeight="1" x14ac:dyDescent="0.3"/>
    <row r="1527" ht="15.75" customHeight="1" x14ac:dyDescent="0.3"/>
    <row r="1528" ht="15.75" customHeight="1" x14ac:dyDescent="0.3"/>
    <row r="1529" ht="15.75" customHeight="1" x14ac:dyDescent="0.3"/>
    <row r="1530" ht="15.75" customHeight="1" x14ac:dyDescent="0.3"/>
    <row r="1531" ht="15.75" customHeight="1" x14ac:dyDescent="0.3"/>
    <row r="1532" ht="15.75" customHeight="1" x14ac:dyDescent="0.3"/>
    <row r="1533" ht="15.75" customHeight="1" x14ac:dyDescent="0.3"/>
    <row r="1534" ht="15.75" customHeight="1" x14ac:dyDescent="0.3"/>
    <row r="1535" ht="15.75" customHeight="1" x14ac:dyDescent="0.3"/>
    <row r="1536" ht="15.75" customHeight="1" x14ac:dyDescent="0.3"/>
    <row r="1537" ht="15.75" customHeight="1" x14ac:dyDescent="0.3"/>
    <row r="1538" ht="15.75" customHeight="1" x14ac:dyDescent="0.3"/>
    <row r="1539" ht="15.75" customHeight="1" x14ac:dyDescent="0.3"/>
    <row r="1540" ht="15.75" customHeight="1" x14ac:dyDescent="0.3"/>
    <row r="1541" ht="15.75" customHeight="1" x14ac:dyDescent="0.3"/>
    <row r="1542" ht="15.75" customHeight="1" x14ac:dyDescent="0.3"/>
    <row r="1543" ht="15.75" customHeight="1" x14ac:dyDescent="0.3"/>
    <row r="1544" ht="15.75" customHeight="1" x14ac:dyDescent="0.3"/>
    <row r="1545" ht="15.75" customHeight="1" x14ac:dyDescent="0.3"/>
    <row r="1546" ht="15.75" customHeight="1" x14ac:dyDescent="0.3"/>
    <row r="1547" ht="15.75" customHeight="1" x14ac:dyDescent="0.3"/>
    <row r="1548" ht="15.75" customHeight="1" x14ac:dyDescent="0.3"/>
    <row r="1549" ht="15.75" customHeight="1" x14ac:dyDescent="0.3"/>
    <row r="1550" ht="15.75" customHeight="1" x14ac:dyDescent="0.3"/>
    <row r="1551" ht="15.75" customHeight="1" x14ac:dyDescent="0.3"/>
    <row r="1552" ht="15.75" customHeight="1" x14ac:dyDescent="0.3"/>
    <row r="1553" ht="15.75" customHeight="1" x14ac:dyDescent="0.3"/>
    <row r="1554" ht="15.75" customHeight="1" x14ac:dyDescent="0.3"/>
    <row r="1555" ht="15.75" customHeight="1" x14ac:dyDescent="0.3"/>
    <row r="1556" ht="15.75" customHeight="1" x14ac:dyDescent="0.3"/>
    <row r="1557" ht="15.75" customHeight="1" x14ac:dyDescent="0.3"/>
    <row r="1558" ht="15.75" customHeight="1" x14ac:dyDescent="0.3"/>
    <row r="1559" ht="15.75" customHeight="1" x14ac:dyDescent="0.3"/>
    <row r="1560" ht="15.75" customHeight="1" x14ac:dyDescent="0.3"/>
    <row r="1561" ht="15.75" customHeight="1" x14ac:dyDescent="0.3"/>
    <row r="1562" ht="15.75" customHeight="1" x14ac:dyDescent="0.3"/>
    <row r="1563" ht="15.75" customHeight="1" x14ac:dyDescent="0.3"/>
    <row r="1564" ht="15.75" customHeight="1" x14ac:dyDescent="0.3"/>
    <row r="1565" ht="15.75" customHeight="1" x14ac:dyDescent="0.3"/>
    <row r="1566" ht="15.75" customHeight="1" x14ac:dyDescent="0.3"/>
    <row r="1567" ht="15.75" customHeight="1" x14ac:dyDescent="0.3"/>
    <row r="1568" ht="15.75" customHeight="1" x14ac:dyDescent="0.3"/>
    <row r="1569" ht="15.75" customHeight="1" x14ac:dyDescent="0.3"/>
    <row r="1570" ht="15.75" customHeight="1" x14ac:dyDescent="0.3"/>
    <row r="1571" ht="15.75" customHeight="1" x14ac:dyDescent="0.3"/>
    <row r="1572" ht="15.75" customHeight="1" x14ac:dyDescent="0.3"/>
    <row r="1573" ht="15.75" customHeight="1" x14ac:dyDescent="0.3"/>
    <row r="1574" ht="15.75" customHeight="1" x14ac:dyDescent="0.3"/>
    <row r="1575" ht="15.75" customHeight="1" x14ac:dyDescent="0.3"/>
    <row r="1576" ht="15.75" customHeight="1" x14ac:dyDescent="0.3"/>
    <row r="1577" ht="15.75" customHeight="1" x14ac:dyDescent="0.3"/>
    <row r="1578" ht="15.75" customHeight="1" x14ac:dyDescent="0.3"/>
    <row r="1579" ht="15.75" customHeight="1" x14ac:dyDescent="0.3"/>
    <row r="1580" ht="15.75" customHeight="1" x14ac:dyDescent="0.3"/>
    <row r="1581" ht="15.75" customHeight="1" x14ac:dyDescent="0.3"/>
    <row r="1582" ht="15.75" customHeight="1" x14ac:dyDescent="0.3"/>
    <row r="1583" ht="15.75" customHeight="1" x14ac:dyDescent="0.3"/>
    <row r="1584" ht="15.75" customHeight="1" x14ac:dyDescent="0.3"/>
    <row r="1585" ht="15.75" customHeight="1" x14ac:dyDescent="0.3"/>
    <row r="1586" ht="15.75" customHeight="1" x14ac:dyDescent="0.3"/>
    <row r="1587" ht="15.75" customHeight="1" x14ac:dyDescent="0.3"/>
    <row r="1588" ht="15.75" customHeight="1" x14ac:dyDescent="0.3"/>
    <row r="1589" ht="15.75" customHeight="1" x14ac:dyDescent="0.3"/>
    <row r="1590" ht="15.75" customHeight="1" x14ac:dyDescent="0.3"/>
    <row r="1591" ht="15.75" customHeight="1" x14ac:dyDescent="0.3"/>
    <row r="1592" ht="15.75" customHeight="1" x14ac:dyDescent="0.3"/>
    <row r="1593" ht="15.75" customHeight="1" x14ac:dyDescent="0.3"/>
    <row r="1594" ht="15.75" customHeight="1" x14ac:dyDescent="0.3"/>
    <row r="1595" ht="15.75" customHeight="1" x14ac:dyDescent="0.3"/>
    <row r="1596" ht="15.75" customHeight="1" x14ac:dyDescent="0.3"/>
    <row r="1597" ht="15.75" customHeight="1" x14ac:dyDescent="0.3"/>
    <row r="1598" ht="15.75" customHeight="1" x14ac:dyDescent="0.3"/>
    <row r="1599" ht="15.75" customHeight="1" x14ac:dyDescent="0.3"/>
    <row r="1600" ht="15.75" customHeight="1" x14ac:dyDescent="0.3"/>
    <row r="1601" ht="15.75" customHeight="1" x14ac:dyDescent="0.3"/>
    <row r="1602" ht="15.75" customHeight="1" x14ac:dyDescent="0.3"/>
    <row r="1603" ht="15.75" customHeight="1" x14ac:dyDescent="0.3"/>
    <row r="1604" ht="15.75" customHeight="1" x14ac:dyDescent="0.3"/>
    <row r="1605" ht="15.75" customHeight="1" x14ac:dyDescent="0.3"/>
    <row r="1606" ht="15.75" customHeight="1" x14ac:dyDescent="0.3"/>
    <row r="1607" ht="15.75" customHeight="1" x14ac:dyDescent="0.3"/>
    <row r="1608" ht="15.75" customHeight="1" x14ac:dyDescent="0.3"/>
    <row r="1609" ht="15.75" customHeight="1" x14ac:dyDescent="0.3"/>
    <row r="1610" ht="15.75" customHeight="1" x14ac:dyDescent="0.3"/>
    <row r="1611" ht="15.75" customHeight="1" x14ac:dyDescent="0.3"/>
    <row r="1612" ht="15.75" customHeight="1" x14ac:dyDescent="0.3"/>
    <row r="1613" ht="15.75" customHeight="1" x14ac:dyDescent="0.3"/>
    <row r="1614" ht="15.75" customHeight="1" x14ac:dyDescent="0.3"/>
    <row r="1615" ht="15.75" customHeight="1" x14ac:dyDescent="0.3"/>
    <row r="1616" ht="15.75" customHeight="1" x14ac:dyDescent="0.3"/>
    <row r="1617" ht="15.75" customHeight="1" x14ac:dyDescent="0.3"/>
    <row r="1618" ht="15.75" customHeight="1" x14ac:dyDescent="0.3"/>
    <row r="1619" ht="15.75" customHeight="1" x14ac:dyDescent="0.3"/>
    <row r="1620" ht="15.75" customHeight="1" x14ac:dyDescent="0.3"/>
    <row r="1621" ht="15.75" customHeight="1" x14ac:dyDescent="0.3"/>
    <row r="1622" ht="15.75" customHeight="1" x14ac:dyDescent="0.3"/>
    <row r="1623" ht="15.75" customHeight="1" x14ac:dyDescent="0.3"/>
    <row r="1624" ht="15.75" customHeight="1" x14ac:dyDescent="0.3"/>
    <row r="1625" ht="15.75" customHeight="1" x14ac:dyDescent="0.3"/>
    <row r="1626" ht="15.75" customHeight="1" x14ac:dyDescent="0.3"/>
    <row r="1627" ht="15.75" customHeight="1" x14ac:dyDescent="0.3"/>
    <row r="1628" ht="15.75" customHeight="1" x14ac:dyDescent="0.3"/>
    <row r="1629" ht="15.75" customHeight="1" x14ac:dyDescent="0.3"/>
    <row r="1630" ht="15.75" customHeight="1" x14ac:dyDescent="0.3"/>
    <row r="1631" ht="15.75" customHeight="1" x14ac:dyDescent="0.3"/>
    <row r="1632" ht="15.75" customHeight="1" x14ac:dyDescent="0.3"/>
    <row r="1633" ht="15.75" customHeight="1" x14ac:dyDescent="0.3"/>
    <row r="1634" ht="15.75" customHeight="1" x14ac:dyDescent="0.3"/>
    <row r="1635" ht="15.75" customHeight="1" x14ac:dyDescent="0.3"/>
    <row r="1636" ht="15.75" customHeight="1" x14ac:dyDescent="0.3"/>
    <row r="1637" ht="15.75" customHeight="1" x14ac:dyDescent="0.3"/>
    <row r="1638" ht="15.75" customHeight="1" x14ac:dyDescent="0.3"/>
    <row r="1639" ht="15.75" customHeight="1" x14ac:dyDescent="0.3"/>
    <row r="1640" ht="15.75" customHeight="1" x14ac:dyDescent="0.3"/>
    <row r="1641" ht="15.75" customHeight="1" x14ac:dyDescent="0.3"/>
    <row r="1642" ht="15.75" customHeight="1" x14ac:dyDescent="0.3"/>
    <row r="1643" ht="15.75" customHeight="1" x14ac:dyDescent="0.3"/>
    <row r="1644" ht="15.75" customHeight="1" x14ac:dyDescent="0.3"/>
    <row r="1645" ht="15.75" customHeight="1" x14ac:dyDescent="0.3"/>
    <row r="1646" ht="15.75" customHeight="1" x14ac:dyDescent="0.3"/>
    <row r="1647" ht="15.75" customHeight="1" x14ac:dyDescent="0.3"/>
    <row r="1648" ht="15.75" customHeight="1" x14ac:dyDescent="0.3"/>
    <row r="1649" ht="15.75" customHeight="1" x14ac:dyDescent="0.3"/>
    <row r="1650" ht="15.75" customHeight="1" x14ac:dyDescent="0.3"/>
    <row r="1651" ht="15.75" customHeight="1" x14ac:dyDescent="0.3"/>
    <row r="1652" ht="15.75" customHeight="1" x14ac:dyDescent="0.3"/>
    <row r="1653" ht="15.75" customHeight="1" x14ac:dyDescent="0.3"/>
    <row r="1654" ht="15.75" customHeight="1" x14ac:dyDescent="0.3"/>
    <row r="1655" ht="15.75" customHeight="1" x14ac:dyDescent="0.3"/>
    <row r="1656" ht="15.75" customHeight="1" x14ac:dyDescent="0.3"/>
    <row r="1657" ht="15.75" customHeight="1" x14ac:dyDescent="0.3"/>
    <row r="1658" ht="15.75" customHeight="1" x14ac:dyDescent="0.3"/>
    <row r="1659" ht="15.75" customHeight="1" x14ac:dyDescent="0.3"/>
    <row r="1660" ht="15.75" customHeight="1" x14ac:dyDescent="0.3"/>
    <row r="1661" ht="15.75" customHeight="1" x14ac:dyDescent="0.3"/>
    <row r="1662" ht="15.75" customHeight="1" x14ac:dyDescent="0.3"/>
    <row r="1663" ht="15.75" customHeight="1" x14ac:dyDescent="0.3"/>
    <row r="1664" ht="15.75" customHeight="1" x14ac:dyDescent="0.3"/>
    <row r="1665" ht="15.75" customHeight="1" x14ac:dyDescent="0.3"/>
    <row r="1666" ht="15.75" customHeight="1" x14ac:dyDescent="0.3"/>
    <row r="1667" ht="15.75" customHeight="1" x14ac:dyDescent="0.3"/>
    <row r="1668" ht="15.75" customHeight="1" x14ac:dyDescent="0.3"/>
    <row r="1669" ht="15.75" customHeight="1" x14ac:dyDescent="0.3"/>
    <row r="1670" ht="15.75" customHeight="1" x14ac:dyDescent="0.3"/>
    <row r="1671" ht="15.75" customHeight="1" x14ac:dyDescent="0.3"/>
    <row r="1672" ht="15.75" customHeight="1" x14ac:dyDescent="0.3"/>
    <row r="1673" ht="15.75" customHeight="1" x14ac:dyDescent="0.3"/>
    <row r="1674" ht="15.75" customHeight="1" x14ac:dyDescent="0.3"/>
    <row r="1675" ht="15.75" customHeight="1" x14ac:dyDescent="0.3"/>
    <row r="1676" ht="15.75" customHeight="1" x14ac:dyDescent="0.3"/>
    <row r="1677" ht="15.75" customHeight="1" x14ac:dyDescent="0.3"/>
    <row r="1678" ht="15.75" customHeight="1" x14ac:dyDescent="0.3"/>
    <row r="1679" ht="15.75" customHeight="1" x14ac:dyDescent="0.3"/>
    <row r="1680" ht="15.75" customHeight="1" x14ac:dyDescent="0.3"/>
    <row r="1681" ht="15.75" customHeight="1" x14ac:dyDescent="0.3"/>
    <row r="1682" ht="15.75" customHeight="1" x14ac:dyDescent="0.3"/>
    <row r="1683" ht="15.75" customHeight="1" x14ac:dyDescent="0.3"/>
    <row r="1684" ht="15.75" customHeight="1" x14ac:dyDescent="0.3"/>
    <row r="1685" ht="15.75" customHeight="1" x14ac:dyDescent="0.3"/>
    <row r="1686" ht="15.75" customHeight="1" x14ac:dyDescent="0.3"/>
    <row r="1687" ht="15.75" customHeight="1" x14ac:dyDescent="0.3"/>
    <row r="1688" ht="15.75" customHeight="1" x14ac:dyDescent="0.3"/>
    <row r="1689" ht="15.75" customHeight="1" x14ac:dyDescent="0.3"/>
    <row r="1690" ht="15.75" customHeight="1" x14ac:dyDescent="0.3"/>
    <row r="1691" ht="15.75" customHeight="1" x14ac:dyDescent="0.3"/>
    <row r="1692" ht="15.75" customHeight="1" x14ac:dyDescent="0.3"/>
    <row r="1693" ht="15.75" customHeight="1" x14ac:dyDescent="0.3"/>
    <row r="1694" ht="15.75" customHeight="1" x14ac:dyDescent="0.3"/>
    <row r="1695" ht="15.75" customHeight="1" x14ac:dyDescent="0.3"/>
    <row r="1696" ht="15.75" customHeight="1" x14ac:dyDescent="0.3"/>
    <row r="1697" ht="15.75" customHeight="1" x14ac:dyDescent="0.3"/>
    <row r="1698" ht="15.75" customHeight="1" x14ac:dyDescent="0.3"/>
    <row r="1699" ht="15.75" customHeight="1" x14ac:dyDescent="0.3"/>
    <row r="1700" ht="15.75" customHeight="1" x14ac:dyDescent="0.3"/>
    <row r="1701" ht="15.75" customHeight="1" x14ac:dyDescent="0.3"/>
    <row r="1702" ht="15.75" customHeight="1" x14ac:dyDescent="0.3"/>
    <row r="1703" ht="15.75" customHeight="1" x14ac:dyDescent="0.3"/>
    <row r="1704" ht="15.75" customHeight="1" x14ac:dyDescent="0.3"/>
    <row r="1705" ht="15.75" customHeight="1" x14ac:dyDescent="0.3"/>
    <row r="1706" ht="15.75" customHeight="1" x14ac:dyDescent="0.3"/>
    <row r="1707" ht="15.75" customHeight="1" x14ac:dyDescent="0.3"/>
    <row r="1708" ht="15.75" customHeight="1" x14ac:dyDescent="0.3"/>
    <row r="1709" ht="15.75" customHeight="1" x14ac:dyDescent="0.3"/>
    <row r="1710" ht="15.75" customHeight="1" x14ac:dyDescent="0.3"/>
    <row r="1711" ht="15.75" customHeight="1" x14ac:dyDescent="0.3"/>
    <row r="1712" ht="15.75" customHeight="1" x14ac:dyDescent="0.3"/>
    <row r="1713" ht="15.75" customHeight="1" x14ac:dyDescent="0.3"/>
    <row r="1714" ht="15.75" customHeight="1" x14ac:dyDescent="0.3"/>
    <row r="1715" ht="15.75" customHeight="1" x14ac:dyDescent="0.3"/>
    <row r="1716" ht="15.75" customHeight="1" x14ac:dyDescent="0.3"/>
    <row r="1717" ht="15.75" customHeight="1" x14ac:dyDescent="0.3"/>
    <row r="1718" ht="15.75" customHeight="1" x14ac:dyDescent="0.3"/>
    <row r="1719" ht="15.75" customHeight="1" x14ac:dyDescent="0.3"/>
    <row r="1720" ht="15.75" customHeight="1" x14ac:dyDescent="0.3"/>
    <row r="1721" ht="15.75" customHeight="1" x14ac:dyDescent="0.3"/>
    <row r="1722" ht="15.75" customHeight="1" x14ac:dyDescent="0.3"/>
    <row r="1723" ht="15.75" customHeight="1" x14ac:dyDescent="0.3"/>
    <row r="1724" ht="15.75" customHeight="1" x14ac:dyDescent="0.3"/>
    <row r="1725" ht="15.75" customHeight="1" x14ac:dyDescent="0.3"/>
    <row r="1726" ht="15.75" customHeight="1" x14ac:dyDescent="0.3"/>
    <row r="1727" ht="15.75" customHeight="1" x14ac:dyDescent="0.3"/>
    <row r="1728" ht="15.75" customHeight="1" x14ac:dyDescent="0.3"/>
    <row r="1729" ht="15.75" customHeight="1" x14ac:dyDescent="0.3"/>
    <row r="1730" ht="15.75" customHeight="1" x14ac:dyDescent="0.3"/>
    <row r="1731" ht="15.75" customHeight="1" x14ac:dyDescent="0.3"/>
    <row r="1732" ht="15.75" customHeight="1" x14ac:dyDescent="0.3"/>
    <row r="1733" ht="15.75" customHeight="1" x14ac:dyDescent="0.3"/>
    <row r="1734" ht="15.75" customHeight="1" x14ac:dyDescent="0.3"/>
    <row r="1735" ht="15.75" customHeight="1" x14ac:dyDescent="0.3"/>
    <row r="1736" ht="15.75" customHeight="1" x14ac:dyDescent="0.3"/>
    <row r="1737" ht="15.75" customHeight="1" x14ac:dyDescent="0.3"/>
    <row r="1738" ht="15.75" customHeight="1" x14ac:dyDescent="0.3"/>
    <row r="1739" ht="15.75" customHeight="1" x14ac:dyDescent="0.3"/>
    <row r="1740" ht="15.75" customHeight="1" x14ac:dyDescent="0.3"/>
    <row r="1741" ht="15.75" customHeight="1" x14ac:dyDescent="0.3"/>
    <row r="1742" ht="15.75" customHeight="1" x14ac:dyDescent="0.3"/>
    <row r="1743" ht="15.75" customHeight="1" x14ac:dyDescent="0.3"/>
    <row r="1744" ht="15.75" customHeight="1" x14ac:dyDescent="0.3"/>
    <row r="1745" ht="15.75" customHeight="1" x14ac:dyDescent="0.3"/>
    <row r="1746" ht="15.75" customHeight="1" x14ac:dyDescent="0.3"/>
    <row r="1747" ht="15.75" customHeight="1" x14ac:dyDescent="0.3"/>
    <row r="1748" ht="15.75" customHeight="1" x14ac:dyDescent="0.3"/>
    <row r="1749" ht="15.75" customHeight="1" x14ac:dyDescent="0.3"/>
    <row r="1750" ht="15.75" customHeight="1" x14ac:dyDescent="0.3"/>
    <row r="1751" ht="15.75" customHeight="1" x14ac:dyDescent="0.3"/>
    <row r="1752" ht="15.75" customHeight="1" x14ac:dyDescent="0.3"/>
    <row r="1753" ht="15.75" customHeight="1" x14ac:dyDescent="0.3"/>
    <row r="1754" ht="15.75" customHeight="1" x14ac:dyDescent="0.3"/>
    <row r="1755" ht="15.75" customHeight="1" x14ac:dyDescent="0.3"/>
    <row r="1756" ht="15.75" customHeight="1" x14ac:dyDescent="0.3"/>
    <row r="1757" ht="15.75" customHeight="1" x14ac:dyDescent="0.3"/>
    <row r="1758" ht="15.75" customHeight="1" x14ac:dyDescent="0.3"/>
    <row r="1759" ht="15.75" customHeight="1" x14ac:dyDescent="0.3"/>
    <row r="1760" ht="15.75" customHeight="1" x14ac:dyDescent="0.3"/>
    <row r="1761" ht="15.75" customHeight="1" x14ac:dyDescent="0.3"/>
    <row r="1762" ht="15.75" customHeight="1" x14ac:dyDescent="0.3"/>
    <row r="1763" ht="15.75" customHeight="1" x14ac:dyDescent="0.3"/>
    <row r="1764" ht="15.75" customHeight="1" x14ac:dyDescent="0.3"/>
    <row r="1765" ht="15.75" customHeight="1" x14ac:dyDescent="0.3"/>
    <row r="1766" ht="15.75" customHeight="1" x14ac:dyDescent="0.3"/>
    <row r="1767" ht="15.75" customHeight="1" x14ac:dyDescent="0.3"/>
    <row r="1768" ht="15.75" customHeight="1" x14ac:dyDescent="0.3"/>
    <row r="1769" ht="15.75" customHeight="1" x14ac:dyDescent="0.3"/>
    <row r="1770" ht="15.75" customHeight="1" x14ac:dyDescent="0.3"/>
    <row r="1771" ht="15.75" customHeight="1" x14ac:dyDescent="0.3"/>
    <row r="1772" ht="15.75" customHeight="1" x14ac:dyDescent="0.3"/>
    <row r="1773" ht="15.75" customHeight="1" x14ac:dyDescent="0.3"/>
    <row r="1774" ht="15.75" customHeight="1" x14ac:dyDescent="0.3"/>
    <row r="1775" ht="15.75" customHeight="1" x14ac:dyDescent="0.3"/>
    <row r="1776" ht="15.75" customHeight="1" x14ac:dyDescent="0.3"/>
    <row r="1777" ht="15.75" customHeight="1" x14ac:dyDescent="0.3"/>
    <row r="1778" ht="15.75" customHeight="1" x14ac:dyDescent="0.3"/>
    <row r="1779" ht="15.75" customHeight="1" x14ac:dyDescent="0.3"/>
    <row r="1780" ht="15.75" customHeight="1" x14ac:dyDescent="0.3"/>
    <row r="1781" ht="15.75" customHeight="1" x14ac:dyDescent="0.3"/>
    <row r="1782" ht="15.75" customHeight="1" x14ac:dyDescent="0.3"/>
    <row r="1783" ht="15.75" customHeight="1" x14ac:dyDescent="0.3"/>
    <row r="1784" ht="15.75" customHeight="1" x14ac:dyDescent="0.3"/>
    <row r="1785" ht="15.75" customHeight="1" x14ac:dyDescent="0.3"/>
    <row r="1786" ht="15.75" customHeight="1" x14ac:dyDescent="0.3"/>
    <row r="1787" ht="15.75" customHeight="1" x14ac:dyDescent="0.3"/>
    <row r="1788" ht="15.75" customHeight="1" x14ac:dyDescent="0.3"/>
    <row r="1789" ht="15.75" customHeight="1" x14ac:dyDescent="0.3"/>
    <row r="1790" ht="15.75" customHeight="1" x14ac:dyDescent="0.3"/>
    <row r="1791" ht="15.75" customHeight="1" x14ac:dyDescent="0.3"/>
    <row r="1792" ht="15.75" customHeight="1" x14ac:dyDescent="0.3"/>
    <row r="1793" ht="15.75" customHeight="1" x14ac:dyDescent="0.3"/>
    <row r="1794" ht="15.75" customHeight="1" x14ac:dyDescent="0.3"/>
    <row r="1795" ht="15.75" customHeight="1" x14ac:dyDescent="0.3"/>
    <row r="1796" ht="15.75" customHeight="1" x14ac:dyDescent="0.3"/>
    <row r="1797" ht="15.75" customHeight="1" x14ac:dyDescent="0.3"/>
    <row r="1798" ht="15.75" customHeight="1" x14ac:dyDescent="0.3"/>
    <row r="1799" ht="15.75" customHeight="1" x14ac:dyDescent="0.3"/>
    <row r="1800" ht="15.75" customHeight="1" x14ac:dyDescent="0.3"/>
    <row r="1801" ht="15.75" customHeight="1" x14ac:dyDescent="0.3"/>
    <row r="1802" ht="15.75" customHeight="1" x14ac:dyDescent="0.3"/>
    <row r="1803" ht="15.75" customHeight="1" x14ac:dyDescent="0.3"/>
    <row r="1804" ht="15.75" customHeight="1" x14ac:dyDescent="0.3"/>
    <row r="1805" ht="15.75" customHeight="1" x14ac:dyDescent="0.3"/>
    <row r="1806" ht="15.75" customHeight="1" x14ac:dyDescent="0.3"/>
    <row r="1807" ht="15.75" customHeight="1" x14ac:dyDescent="0.3"/>
    <row r="1808" ht="15.75" customHeight="1" x14ac:dyDescent="0.3"/>
    <row r="1809" ht="15.75" customHeight="1" x14ac:dyDescent="0.3"/>
    <row r="1810" ht="15.75" customHeight="1" x14ac:dyDescent="0.3"/>
    <row r="1811" ht="15.75" customHeight="1" x14ac:dyDescent="0.3"/>
    <row r="1812" ht="15.75" customHeight="1" x14ac:dyDescent="0.3"/>
    <row r="1813" ht="15.75" customHeight="1" x14ac:dyDescent="0.3"/>
    <row r="1814" ht="15.75" customHeight="1" x14ac:dyDescent="0.3"/>
    <row r="1815" ht="15.75" customHeight="1" x14ac:dyDescent="0.3"/>
    <row r="1816" ht="15.75" customHeight="1" x14ac:dyDescent="0.3"/>
    <row r="1817" ht="15.75" customHeight="1" x14ac:dyDescent="0.3"/>
    <row r="1818" ht="15.75" customHeight="1" x14ac:dyDescent="0.3"/>
    <row r="1819" ht="15.75" customHeight="1" x14ac:dyDescent="0.3"/>
    <row r="1820" ht="15.75" customHeight="1" x14ac:dyDescent="0.3"/>
    <row r="1821" ht="15.75" customHeight="1" x14ac:dyDescent="0.3"/>
    <row r="1822" ht="15.75" customHeight="1" x14ac:dyDescent="0.3"/>
    <row r="1823" ht="15.75" customHeight="1" x14ac:dyDescent="0.3"/>
    <row r="1824" ht="15.75" customHeight="1" x14ac:dyDescent="0.3"/>
    <row r="1825" ht="15.75" customHeight="1" x14ac:dyDescent="0.3"/>
    <row r="1826" ht="15.75" customHeight="1" x14ac:dyDescent="0.3"/>
    <row r="1827" ht="15.75" customHeight="1" x14ac:dyDescent="0.3"/>
    <row r="1828" ht="15.75" customHeight="1" x14ac:dyDescent="0.3"/>
    <row r="1829" ht="15.75" customHeight="1" x14ac:dyDescent="0.3"/>
    <row r="1830" ht="15.75" customHeight="1" x14ac:dyDescent="0.3"/>
    <row r="1831" ht="15.75" customHeight="1" x14ac:dyDescent="0.3"/>
    <row r="1832" ht="15.75" customHeight="1" x14ac:dyDescent="0.3"/>
    <row r="1833" ht="15.75" customHeight="1" x14ac:dyDescent="0.3"/>
    <row r="1834" ht="15.75" customHeight="1" x14ac:dyDescent="0.3"/>
    <row r="1835" ht="15.75" customHeight="1" x14ac:dyDescent="0.3"/>
    <row r="1836" ht="15.75" customHeight="1" x14ac:dyDescent="0.3"/>
    <row r="1837" ht="15.75" customHeight="1" x14ac:dyDescent="0.3"/>
    <row r="1838" ht="15.75" customHeight="1" x14ac:dyDescent="0.3"/>
    <row r="1839" ht="15.75" customHeight="1" x14ac:dyDescent="0.3"/>
    <row r="1840" ht="15.75" customHeight="1" x14ac:dyDescent="0.3"/>
    <row r="1841" ht="15.75" customHeight="1" x14ac:dyDescent="0.3"/>
    <row r="1842" ht="15.75" customHeight="1" x14ac:dyDescent="0.3"/>
    <row r="1843" ht="15.75" customHeight="1" x14ac:dyDescent="0.3"/>
    <row r="1844" ht="15.75" customHeight="1" x14ac:dyDescent="0.3"/>
    <row r="1845" ht="15.75" customHeight="1" x14ac:dyDescent="0.3"/>
    <row r="1846" ht="15.75" customHeight="1" x14ac:dyDescent="0.3"/>
    <row r="1847" ht="15.75" customHeight="1" x14ac:dyDescent="0.3"/>
    <row r="1848" ht="15.75" customHeight="1" x14ac:dyDescent="0.3"/>
    <row r="1849" ht="15.75" customHeight="1" x14ac:dyDescent="0.3"/>
    <row r="1850" ht="15.75" customHeight="1" x14ac:dyDescent="0.3"/>
    <row r="1851" ht="15.75" customHeight="1" x14ac:dyDescent="0.3"/>
    <row r="1852" ht="15.75" customHeight="1" x14ac:dyDescent="0.3"/>
    <row r="1853" ht="15.75" customHeight="1" x14ac:dyDescent="0.3"/>
    <row r="1854" ht="15.75" customHeight="1" x14ac:dyDescent="0.3"/>
    <row r="1855" ht="15.75" customHeight="1" x14ac:dyDescent="0.3"/>
    <row r="1856" ht="15.75" customHeight="1" x14ac:dyDescent="0.3"/>
    <row r="1857" ht="15.75" customHeight="1" x14ac:dyDescent="0.3"/>
    <row r="1858" ht="15.75" customHeight="1" x14ac:dyDescent="0.3"/>
    <row r="1859" ht="15.75" customHeight="1" x14ac:dyDescent="0.3"/>
    <row r="1860" ht="15.75" customHeight="1" x14ac:dyDescent="0.3"/>
    <row r="1861" ht="15.75" customHeight="1" x14ac:dyDescent="0.3"/>
    <row r="1862" ht="15.75" customHeight="1" x14ac:dyDescent="0.3"/>
    <row r="1863" ht="15.75" customHeight="1" x14ac:dyDescent="0.3"/>
    <row r="1864" ht="15.75" customHeight="1" x14ac:dyDescent="0.3"/>
    <row r="1865" ht="15.75" customHeight="1" x14ac:dyDescent="0.3"/>
    <row r="1866" ht="15.75" customHeight="1" x14ac:dyDescent="0.3"/>
    <row r="1867" ht="15.75" customHeight="1" x14ac:dyDescent="0.3"/>
    <row r="1868" ht="15.75" customHeight="1" x14ac:dyDescent="0.3"/>
    <row r="1869" ht="15.75" customHeight="1" x14ac:dyDescent="0.3"/>
    <row r="1870" ht="15.75" customHeight="1" x14ac:dyDescent="0.3"/>
    <row r="1871" ht="15.75" customHeight="1" x14ac:dyDescent="0.3"/>
    <row r="1872" ht="15.75" customHeight="1" x14ac:dyDescent="0.3"/>
    <row r="1873" ht="15.75" customHeight="1" x14ac:dyDescent="0.3"/>
    <row r="1874" ht="15.75" customHeight="1" x14ac:dyDescent="0.3"/>
    <row r="1875" ht="15.75" customHeight="1" x14ac:dyDescent="0.3"/>
    <row r="1876" ht="15.75" customHeight="1" x14ac:dyDescent="0.3"/>
    <row r="1877" ht="15.75" customHeight="1" x14ac:dyDescent="0.3"/>
    <row r="1878" ht="15.75" customHeight="1" x14ac:dyDescent="0.3"/>
    <row r="1879" ht="15.75" customHeight="1" x14ac:dyDescent="0.3"/>
    <row r="1880" ht="15.75" customHeight="1" x14ac:dyDescent="0.3"/>
    <row r="1881" ht="15.75" customHeight="1" x14ac:dyDescent="0.3"/>
    <row r="1882" ht="15.75" customHeight="1" x14ac:dyDescent="0.3"/>
    <row r="1883" ht="15.75" customHeight="1" x14ac:dyDescent="0.3"/>
    <row r="1884" ht="15.75" customHeight="1" x14ac:dyDescent="0.3"/>
    <row r="1885" ht="15.75" customHeight="1" x14ac:dyDescent="0.3"/>
    <row r="1886" ht="15.75" customHeight="1" x14ac:dyDescent="0.3"/>
    <row r="1887" ht="15.75" customHeight="1" x14ac:dyDescent="0.3"/>
    <row r="1888" ht="15.75" customHeight="1" x14ac:dyDescent="0.3"/>
    <row r="1889" ht="15.75" customHeight="1" x14ac:dyDescent="0.3"/>
    <row r="1890" ht="15.75" customHeight="1" x14ac:dyDescent="0.3"/>
    <row r="1891" ht="15.75" customHeight="1" x14ac:dyDescent="0.3"/>
    <row r="1892" ht="15.75" customHeight="1" x14ac:dyDescent="0.3"/>
    <row r="1893" ht="15.75" customHeight="1" x14ac:dyDescent="0.3"/>
    <row r="1894" ht="15.75" customHeight="1" x14ac:dyDescent="0.3"/>
    <row r="1895" ht="15.75" customHeight="1" x14ac:dyDescent="0.3"/>
    <row r="1896" ht="15.75" customHeight="1" x14ac:dyDescent="0.3"/>
    <row r="1897" ht="15.75" customHeight="1" x14ac:dyDescent="0.3"/>
    <row r="1898" ht="15.75" customHeight="1" x14ac:dyDescent="0.3"/>
    <row r="1899" ht="15.75" customHeight="1" x14ac:dyDescent="0.3"/>
    <row r="1900" ht="15.75" customHeight="1" x14ac:dyDescent="0.3"/>
    <row r="1901" ht="15.75" customHeight="1" x14ac:dyDescent="0.3"/>
    <row r="1902" ht="15.75" customHeight="1" x14ac:dyDescent="0.3"/>
    <row r="1903" ht="15.75" customHeight="1" x14ac:dyDescent="0.3"/>
    <row r="1904" ht="15.75" customHeight="1" x14ac:dyDescent="0.3"/>
    <row r="1905" ht="15.75" customHeight="1" x14ac:dyDescent="0.3"/>
    <row r="1906" ht="15.75" customHeight="1" x14ac:dyDescent="0.3"/>
    <row r="1907" ht="15.75" customHeight="1" x14ac:dyDescent="0.3"/>
    <row r="1908" ht="15.75" customHeight="1" x14ac:dyDescent="0.3"/>
    <row r="1909" ht="15.75" customHeight="1" x14ac:dyDescent="0.3"/>
    <row r="1910" ht="15.75" customHeight="1" x14ac:dyDescent="0.3"/>
    <row r="1911" ht="15.75" customHeight="1" x14ac:dyDescent="0.3"/>
    <row r="1912" ht="15.75" customHeight="1" x14ac:dyDescent="0.3"/>
    <row r="1913" ht="15.75" customHeight="1" x14ac:dyDescent="0.3"/>
    <row r="1914" ht="15.75" customHeight="1" x14ac:dyDescent="0.3"/>
    <row r="1915" ht="15.75" customHeight="1" x14ac:dyDescent="0.3"/>
    <row r="1916" ht="15.75" customHeight="1" x14ac:dyDescent="0.3"/>
    <row r="1917" ht="15.75" customHeight="1" x14ac:dyDescent="0.3"/>
    <row r="1918" ht="15.75" customHeight="1" x14ac:dyDescent="0.3"/>
    <row r="1919" ht="15.75" customHeight="1" x14ac:dyDescent="0.3"/>
    <row r="1920" ht="15.75" customHeight="1" x14ac:dyDescent="0.3"/>
    <row r="1921" ht="15.75" customHeight="1" x14ac:dyDescent="0.3"/>
    <row r="1922" ht="15.75" customHeight="1" x14ac:dyDescent="0.3"/>
    <row r="1923" ht="15.75" customHeight="1" x14ac:dyDescent="0.3"/>
    <row r="1924" ht="15.75" customHeight="1" x14ac:dyDescent="0.3"/>
    <row r="1925" ht="15.75" customHeight="1" x14ac:dyDescent="0.3"/>
    <row r="1926" ht="15.75" customHeight="1" x14ac:dyDescent="0.3"/>
    <row r="1927" ht="15.75" customHeight="1" x14ac:dyDescent="0.3"/>
    <row r="1928" ht="15.75" customHeight="1" x14ac:dyDescent="0.3"/>
    <row r="1929" ht="15.75" customHeight="1" x14ac:dyDescent="0.3"/>
    <row r="1930" ht="15.75" customHeight="1" x14ac:dyDescent="0.3"/>
    <row r="1931" ht="15.75" customHeight="1" x14ac:dyDescent="0.3"/>
    <row r="1932" ht="15.75" customHeight="1" x14ac:dyDescent="0.3"/>
    <row r="1933" ht="15.75" customHeight="1" x14ac:dyDescent="0.3"/>
    <row r="1934" ht="15.75" customHeight="1" x14ac:dyDescent="0.3"/>
    <row r="1935" ht="15.75" customHeight="1" x14ac:dyDescent="0.3"/>
    <row r="1936" ht="15.75" customHeight="1" x14ac:dyDescent="0.3"/>
    <row r="1937" ht="15.75" customHeight="1" x14ac:dyDescent="0.3"/>
    <row r="1938" ht="15.75" customHeight="1" x14ac:dyDescent="0.3"/>
    <row r="1939" ht="15.75" customHeight="1" x14ac:dyDescent="0.3"/>
    <row r="1940" ht="15.75" customHeight="1" x14ac:dyDescent="0.3"/>
    <row r="1941" ht="15.75" customHeight="1" x14ac:dyDescent="0.3"/>
    <row r="1942" ht="15.75" customHeight="1" x14ac:dyDescent="0.3"/>
    <row r="1943" ht="15.75" customHeight="1" x14ac:dyDescent="0.3"/>
    <row r="1944" ht="15.75" customHeight="1" x14ac:dyDescent="0.3"/>
    <row r="1945" ht="15.75" customHeight="1" x14ac:dyDescent="0.3"/>
    <row r="1946" ht="15.75" customHeight="1" x14ac:dyDescent="0.3"/>
    <row r="1947" ht="15.75" customHeight="1" x14ac:dyDescent="0.3"/>
    <row r="1948" ht="15.75" customHeight="1" x14ac:dyDescent="0.3"/>
    <row r="1949" ht="15.75" customHeight="1" x14ac:dyDescent="0.3"/>
    <row r="1950" ht="15.75" customHeight="1" x14ac:dyDescent="0.3"/>
    <row r="1951" ht="15.75" customHeight="1" x14ac:dyDescent="0.3"/>
    <row r="1952" ht="15.75" customHeight="1" x14ac:dyDescent="0.3"/>
    <row r="1953" ht="15.75" customHeight="1" x14ac:dyDescent="0.3"/>
    <row r="1954" ht="15.75" customHeight="1" x14ac:dyDescent="0.3"/>
    <row r="1955" ht="15.75" customHeight="1" x14ac:dyDescent="0.3"/>
    <row r="1956" ht="15.75" customHeight="1" x14ac:dyDescent="0.3"/>
    <row r="1957" ht="15.75" customHeight="1" x14ac:dyDescent="0.3"/>
    <row r="1958" ht="15.75" customHeight="1" x14ac:dyDescent="0.3"/>
    <row r="1959" ht="15.75" customHeight="1" x14ac:dyDescent="0.3"/>
    <row r="1960" ht="15.75" customHeight="1" x14ac:dyDescent="0.3"/>
    <row r="1961" ht="15.75" customHeight="1" x14ac:dyDescent="0.3"/>
    <row r="1962" ht="15.75" customHeight="1" x14ac:dyDescent="0.3"/>
    <row r="1963" ht="15.75" customHeight="1" x14ac:dyDescent="0.3"/>
    <row r="1964" ht="15.75" customHeight="1" x14ac:dyDescent="0.3"/>
    <row r="1965" ht="15.75" customHeight="1" x14ac:dyDescent="0.3"/>
    <row r="1966" ht="15.75" customHeight="1" x14ac:dyDescent="0.3"/>
    <row r="1967" ht="15.75" customHeight="1" x14ac:dyDescent="0.3"/>
    <row r="1968" ht="15.75" customHeight="1" x14ac:dyDescent="0.3"/>
    <row r="1969" ht="15.75" customHeight="1" x14ac:dyDescent="0.3"/>
    <row r="1970" ht="15.75" customHeight="1" x14ac:dyDescent="0.3"/>
    <row r="1971" ht="15.75" customHeight="1" x14ac:dyDescent="0.3"/>
    <row r="1972" ht="15.75" customHeight="1" x14ac:dyDescent="0.3"/>
    <row r="1973" ht="15.75" customHeight="1" x14ac:dyDescent="0.3"/>
    <row r="1974" ht="15.75" customHeight="1" x14ac:dyDescent="0.3"/>
    <row r="1975" ht="15.75" customHeight="1" x14ac:dyDescent="0.3"/>
    <row r="1976" ht="15.75" customHeight="1" x14ac:dyDescent="0.3"/>
    <row r="1977" ht="15.75" customHeight="1" x14ac:dyDescent="0.3"/>
    <row r="1978" ht="15.75" customHeight="1" x14ac:dyDescent="0.3"/>
    <row r="1979" ht="15.75" customHeight="1" x14ac:dyDescent="0.3"/>
    <row r="1980" ht="15.75" customHeight="1" x14ac:dyDescent="0.3"/>
    <row r="1981" ht="15.75" customHeight="1" x14ac:dyDescent="0.3"/>
    <row r="1982" ht="15.75" customHeight="1" x14ac:dyDescent="0.3"/>
    <row r="1983" ht="15.75" customHeight="1" x14ac:dyDescent="0.3"/>
    <row r="1984" ht="15.75" customHeight="1" x14ac:dyDescent="0.3"/>
    <row r="1985" ht="15.75" customHeight="1" x14ac:dyDescent="0.3"/>
    <row r="1986" ht="15.75" customHeight="1" x14ac:dyDescent="0.3"/>
    <row r="1987" ht="15.75" customHeight="1" x14ac:dyDescent="0.3"/>
    <row r="1988" ht="15.75" customHeight="1" x14ac:dyDescent="0.3"/>
    <row r="1989" ht="15.75" customHeight="1" x14ac:dyDescent="0.3"/>
    <row r="1990" ht="15.75" customHeight="1" x14ac:dyDescent="0.3"/>
    <row r="1991" ht="15.75" customHeight="1" x14ac:dyDescent="0.3"/>
    <row r="1992" ht="15.75" customHeight="1" x14ac:dyDescent="0.3"/>
    <row r="1993" ht="15.75" customHeight="1" x14ac:dyDescent="0.3"/>
    <row r="1994" ht="15.75" customHeight="1" x14ac:dyDescent="0.3"/>
    <row r="1995" ht="15.75" customHeight="1" x14ac:dyDescent="0.3"/>
    <row r="1996" ht="15.75" customHeight="1" x14ac:dyDescent="0.3"/>
    <row r="1997" ht="15.75" customHeight="1" x14ac:dyDescent="0.3"/>
    <row r="1998" ht="15.75" customHeight="1" x14ac:dyDescent="0.3"/>
    <row r="1999" ht="15.75" customHeight="1" x14ac:dyDescent="0.3"/>
    <row r="2000" ht="15.75" customHeight="1" x14ac:dyDescent="0.3"/>
    <row r="2001" ht="15.75" customHeight="1" x14ac:dyDescent="0.3"/>
    <row r="2002" ht="15.75" customHeight="1" x14ac:dyDescent="0.3"/>
    <row r="2003" ht="15.75" customHeight="1" x14ac:dyDescent="0.3"/>
    <row r="2004" ht="15.75" customHeight="1" x14ac:dyDescent="0.3"/>
    <row r="2005" ht="15.75" customHeight="1" x14ac:dyDescent="0.3"/>
    <row r="2006" ht="15.75" customHeight="1" x14ac:dyDescent="0.3"/>
    <row r="2007" ht="15.75" customHeight="1" x14ac:dyDescent="0.3"/>
    <row r="2008" ht="15.75" customHeight="1" x14ac:dyDescent="0.3"/>
    <row r="2009" ht="15.75" customHeight="1" x14ac:dyDescent="0.3"/>
    <row r="2010" ht="15.75" customHeight="1" x14ac:dyDescent="0.3"/>
    <row r="2011" ht="15.75" customHeight="1" x14ac:dyDescent="0.3"/>
    <row r="2012" ht="15.75" customHeight="1" x14ac:dyDescent="0.3"/>
    <row r="2013" ht="15.75" customHeight="1" x14ac:dyDescent="0.3"/>
    <row r="2014" ht="15.75" customHeight="1" x14ac:dyDescent="0.3"/>
    <row r="2015" ht="15.75" customHeight="1" x14ac:dyDescent="0.3"/>
    <row r="2016" ht="15.75" customHeight="1" x14ac:dyDescent="0.3"/>
    <row r="2017" ht="15.75" customHeight="1" x14ac:dyDescent="0.3"/>
    <row r="2018" ht="15.75" customHeight="1" x14ac:dyDescent="0.3"/>
    <row r="2019" ht="15.75" customHeight="1" x14ac:dyDescent="0.3"/>
    <row r="2020" ht="15.75" customHeight="1" x14ac:dyDescent="0.3"/>
    <row r="2021" ht="15.75" customHeight="1" x14ac:dyDescent="0.3"/>
    <row r="2022" ht="15.75" customHeight="1" x14ac:dyDescent="0.3"/>
    <row r="2023" ht="15.75" customHeight="1" x14ac:dyDescent="0.3"/>
    <row r="2024" ht="15.75" customHeight="1" x14ac:dyDescent="0.3"/>
    <row r="2025" ht="15.75" customHeight="1" x14ac:dyDescent="0.3"/>
    <row r="2026" ht="15.75" customHeight="1" x14ac:dyDescent="0.3"/>
    <row r="2027" ht="15.75" customHeight="1" x14ac:dyDescent="0.3"/>
    <row r="2028" ht="15.75" customHeight="1" x14ac:dyDescent="0.3"/>
    <row r="2029" ht="15.75" customHeight="1" x14ac:dyDescent="0.3"/>
    <row r="2030" ht="15.75" customHeight="1" x14ac:dyDescent="0.3"/>
    <row r="2031" ht="15.75" customHeight="1" x14ac:dyDescent="0.3"/>
    <row r="2032" ht="15.75" customHeight="1" x14ac:dyDescent="0.3"/>
    <row r="2033" ht="15.75" customHeight="1" x14ac:dyDescent="0.3"/>
    <row r="2034" ht="15.75" customHeight="1" x14ac:dyDescent="0.3"/>
    <row r="2035" ht="15.75" customHeight="1" x14ac:dyDescent="0.3"/>
    <row r="2036" ht="15.75" customHeight="1" x14ac:dyDescent="0.3"/>
    <row r="2037" ht="15.75" customHeight="1" x14ac:dyDescent="0.3"/>
    <row r="2038" ht="15.75" customHeight="1" x14ac:dyDescent="0.3"/>
    <row r="2039" ht="15.75" customHeight="1" x14ac:dyDescent="0.3"/>
    <row r="2040" ht="15.75" customHeight="1" x14ac:dyDescent="0.3"/>
    <row r="2041" ht="15.75" customHeight="1" x14ac:dyDescent="0.3"/>
    <row r="2042" ht="15.75" customHeight="1" x14ac:dyDescent="0.3"/>
    <row r="2043" ht="15.75" customHeight="1" x14ac:dyDescent="0.3"/>
    <row r="2044" ht="15.75" customHeight="1" x14ac:dyDescent="0.3"/>
    <row r="2045" ht="15.75" customHeight="1" x14ac:dyDescent="0.3"/>
    <row r="2046" ht="15.75" customHeight="1" x14ac:dyDescent="0.3"/>
    <row r="2047" ht="15.75" customHeight="1" x14ac:dyDescent="0.3"/>
    <row r="2048" ht="15.75" customHeight="1" x14ac:dyDescent="0.3"/>
    <row r="2049" ht="15.75" customHeight="1" x14ac:dyDescent="0.3"/>
    <row r="2050" ht="15.75" customHeight="1" x14ac:dyDescent="0.3"/>
    <row r="2051" ht="15.75" customHeight="1" x14ac:dyDescent="0.3"/>
    <row r="2052" ht="15.75" customHeight="1" x14ac:dyDescent="0.3"/>
    <row r="2053" ht="15.75" customHeight="1" x14ac:dyDescent="0.3"/>
    <row r="2054" ht="15.75" customHeight="1" x14ac:dyDescent="0.3"/>
    <row r="2055" ht="15.75" customHeight="1" x14ac:dyDescent="0.3"/>
    <row r="2056" ht="15.75" customHeight="1" x14ac:dyDescent="0.3"/>
    <row r="2057" ht="15.75" customHeight="1" x14ac:dyDescent="0.3"/>
    <row r="2058" ht="15.75" customHeight="1" x14ac:dyDescent="0.3"/>
    <row r="2059" ht="15.75" customHeight="1" x14ac:dyDescent="0.3"/>
    <row r="2060" ht="15.75" customHeight="1" x14ac:dyDescent="0.3"/>
    <row r="2061" ht="15.75" customHeight="1" x14ac:dyDescent="0.3"/>
    <row r="2062" ht="15.75" customHeight="1" x14ac:dyDescent="0.3"/>
    <row r="2063" ht="15.75" customHeight="1" x14ac:dyDescent="0.3"/>
    <row r="2064" ht="15.75" customHeight="1" x14ac:dyDescent="0.3"/>
    <row r="2065" ht="15.75" customHeight="1" x14ac:dyDescent="0.3"/>
    <row r="2066" ht="15.75" customHeight="1" x14ac:dyDescent="0.3"/>
    <row r="2067" ht="15.75" customHeight="1" x14ac:dyDescent="0.3"/>
    <row r="2068" ht="15.75" customHeight="1" x14ac:dyDescent="0.3"/>
    <row r="2069" ht="15.75" customHeight="1" x14ac:dyDescent="0.3"/>
    <row r="2070" ht="15.75" customHeight="1" x14ac:dyDescent="0.3"/>
    <row r="2071" ht="15.75" customHeight="1" x14ac:dyDescent="0.3"/>
    <row r="2072" ht="15.75" customHeight="1" x14ac:dyDescent="0.3"/>
    <row r="2073" ht="15.75" customHeight="1" x14ac:dyDescent="0.3"/>
    <row r="2074" ht="15.75" customHeight="1" x14ac:dyDescent="0.3"/>
    <row r="2075" ht="15.75" customHeight="1" x14ac:dyDescent="0.3"/>
    <row r="2076" ht="15.75" customHeight="1" x14ac:dyDescent="0.3"/>
    <row r="2077" ht="15.75" customHeight="1" x14ac:dyDescent="0.3"/>
    <row r="2078" ht="15.75" customHeight="1" x14ac:dyDescent="0.3"/>
    <row r="2079" ht="15.75" customHeight="1" x14ac:dyDescent="0.3"/>
    <row r="2080" ht="15.75" customHeight="1" x14ac:dyDescent="0.3"/>
    <row r="2081" ht="15.75" customHeight="1" x14ac:dyDescent="0.3"/>
    <row r="2082" ht="15.75" customHeight="1" x14ac:dyDescent="0.3"/>
    <row r="2083" ht="15.75" customHeight="1" x14ac:dyDescent="0.3"/>
    <row r="2084" ht="15.75" customHeight="1" x14ac:dyDescent="0.3"/>
    <row r="2085" ht="15.75" customHeight="1" x14ac:dyDescent="0.3"/>
    <row r="2086" ht="15.75" customHeight="1" x14ac:dyDescent="0.3"/>
    <row r="2087" ht="15.75" customHeight="1" x14ac:dyDescent="0.3"/>
    <row r="2088" ht="15.75" customHeight="1" x14ac:dyDescent="0.3"/>
    <row r="2089" ht="15.75" customHeight="1" x14ac:dyDescent="0.3"/>
    <row r="2090" ht="15.75" customHeight="1" x14ac:dyDescent="0.3"/>
    <row r="2091" ht="15.75" customHeight="1" x14ac:dyDescent="0.3"/>
    <row r="2092" ht="15.75" customHeight="1" x14ac:dyDescent="0.3"/>
    <row r="2093" ht="15.75" customHeight="1" x14ac:dyDescent="0.3"/>
    <row r="2094" ht="15.75" customHeight="1" x14ac:dyDescent="0.3"/>
    <row r="2095" ht="15.75" customHeight="1" x14ac:dyDescent="0.3"/>
    <row r="2096" ht="15.75" customHeight="1" x14ac:dyDescent="0.3"/>
    <row r="2097" ht="15.75" customHeight="1" x14ac:dyDescent="0.3"/>
    <row r="2098" ht="15.75" customHeight="1" x14ac:dyDescent="0.3"/>
    <row r="2099" ht="15.75" customHeight="1" x14ac:dyDescent="0.3"/>
    <row r="2100" ht="15.75" customHeight="1" x14ac:dyDescent="0.3"/>
    <row r="2101" ht="15.75" customHeight="1" x14ac:dyDescent="0.3"/>
    <row r="2102" ht="15.75" customHeight="1" x14ac:dyDescent="0.3"/>
    <row r="2103" ht="15.75" customHeight="1" x14ac:dyDescent="0.3"/>
    <row r="2104" ht="15.75" customHeight="1" x14ac:dyDescent="0.3"/>
    <row r="2105" ht="15.75" customHeight="1" x14ac:dyDescent="0.3"/>
    <row r="2106" ht="15.75" customHeight="1" x14ac:dyDescent="0.3"/>
    <row r="2107" ht="15.75" customHeight="1" x14ac:dyDescent="0.3"/>
    <row r="2108" ht="15.75" customHeight="1" x14ac:dyDescent="0.3"/>
    <row r="2109" ht="15.75" customHeight="1" x14ac:dyDescent="0.3"/>
    <row r="2110" ht="15.75" customHeight="1" x14ac:dyDescent="0.3"/>
    <row r="2111" ht="15.75" customHeight="1" x14ac:dyDescent="0.3"/>
    <row r="2112" ht="15.75" customHeight="1" x14ac:dyDescent="0.3"/>
    <row r="2113" ht="15.75" customHeight="1" x14ac:dyDescent="0.3"/>
    <row r="2114" ht="15.75" customHeight="1" x14ac:dyDescent="0.3"/>
    <row r="2115" ht="15.75" customHeight="1" x14ac:dyDescent="0.3"/>
    <row r="2116" ht="15.75" customHeight="1" x14ac:dyDescent="0.3"/>
    <row r="2117" ht="15.75" customHeight="1" x14ac:dyDescent="0.3"/>
    <row r="2118" ht="15.75" customHeight="1" x14ac:dyDescent="0.3"/>
    <row r="2119" ht="15.75" customHeight="1" x14ac:dyDescent="0.3"/>
    <row r="2120" ht="15.75" customHeight="1" x14ac:dyDescent="0.3"/>
    <row r="2121" ht="15.75" customHeight="1" x14ac:dyDescent="0.3"/>
    <row r="2122" ht="15.75" customHeight="1" x14ac:dyDescent="0.3"/>
    <row r="2123" ht="15.75" customHeight="1" x14ac:dyDescent="0.3"/>
    <row r="2124" ht="15.75" customHeight="1" x14ac:dyDescent="0.3"/>
    <row r="2125" ht="15.75" customHeight="1" x14ac:dyDescent="0.3"/>
    <row r="2126" ht="15.75" customHeight="1" x14ac:dyDescent="0.3"/>
    <row r="2127" ht="15.75" customHeight="1" x14ac:dyDescent="0.3"/>
    <row r="2128" ht="15.75" customHeight="1" x14ac:dyDescent="0.3"/>
    <row r="2129" ht="15.75" customHeight="1" x14ac:dyDescent="0.3"/>
    <row r="2130" ht="15.75" customHeight="1" x14ac:dyDescent="0.3"/>
    <row r="2131" ht="15.75" customHeight="1" x14ac:dyDescent="0.3"/>
    <row r="2132" ht="15.75" customHeight="1" x14ac:dyDescent="0.3"/>
    <row r="2133" ht="15.75" customHeight="1" x14ac:dyDescent="0.3"/>
    <row r="2134" ht="15.75" customHeight="1" x14ac:dyDescent="0.3"/>
    <row r="2135" ht="15.75" customHeight="1" x14ac:dyDescent="0.3"/>
    <row r="2136" ht="15.75" customHeight="1" x14ac:dyDescent="0.3"/>
    <row r="2137" ht="15.75" customHeight="1" x14ac:dyDescent="0.3"/>
    <row r="2138" ht="15.75" customHeight="1" x14ac:dyDescent="0.3"/>
    <row r="2139" ht="15.75" customHeight="1" x14ac:dyDescent="0.3"/>
    <row r="2140" ht="15.75" customHeight="1" x14ac:dyDescent="0.3"/>
    <row r="2141" ht="15.75" customHeight="1" x14ac:dyDescent="0.3"/>
    <row r="2142" ht="15.75" customHeight="1" x14ac:dyDescent="0.3"/>
    <row r="2143" ht="15.75" customHeight="1" x14ac:dyDescent="0.3"/>
    <row r="2144" ht="15.75" customHeight="1" x14ac:dyDescent="0.3"/>
    <row r="2145" ht="15.75" customHeight="1" x14ac:dyDescent="0.3"/>
    <row r="2146" ht="15.75" customHeight="1" x14ac:dyDescent="0.3"/>
    <row r="2147" ht="15.75" customHeight="1" x14ac:dyDescent="0.3"/>
    <row r="2148" ht="15.75" customHeight="1" x14ac:dyDescent="0.3"/>
    <row r="2149" ht="15.75" customHeight="1" x14ac:dyDescent="0.3"/>
    <row r="2150" ht="15.75" customHeight="1" x14ac:dyDescent="0.3"/>
    <row r="2151" ht="15.75" customHeight="1" x14ac:dyDescent="0.3"/>
    <row r="2152" ht="15.75" customHeight="1" x14ac:dyDescent="0.3"/>
    <row r="2153" ht="15.75" customHeight="1" x14ac:dyDescent="0.3"/>
    <row r="2154" ht="15.75" customHeight="1" x14ac:dyDescent="0.3"/>
    <row r="2155" ht="15.75" customHeight="1" x14ac:dyDescent="0.3"/>
    <row r="2156" ht="15.75" customHeight="1" x14ac:dyDescent="0.3"/>
    <row r="2157" ht="15.75" customHeight="1" x14ac:dyDescent="0.3"/>
    <row r="2158" ht="15.75" customHeight="1" x14ac:dyDescent="0.3"/>
    <row r="2159" ht="15.75" customHeight="1" x14ac:dyDescent="0.3"/>
    <row r="2160" ht="15.75" customHeight="1" x14ac:dyDescent="0.3"/>
    <row r="2161" ht="15.75" customHeight="1" x14ac:dyDescent="0.3"/>
    <row r="2162" ht="15.75" customHeight="1" x14ac:dyDescent="0.3"/>
    <row r="2163" ht="15.75" customHeight="1" x14ac:dyDescent="0.3"/>
    <row r="2164" ht="15.75" customHeight="1" x14ac:dyDescent="0.3"/>
    <row r="2165" ht="15.75" customHeight="1" x14ac:dyDescent="0.3"/>
    <row r="2166" ht="15.75" customHeight="1" x14ac:dyDescent="0.3"/>
    <row r="2167" ht="15.75" customHeight="1" x14ac:dyDescent="0.3"/>
    <row r="2168" ht="15.75" customHeight="1" x14ac:dyDescent="0.3"/>
    <row r="2169" ht="15.75" customHeight="1" x14ac:dyDescent="0.3"/>
    <row r="2170" ht="15.75" customHeight="1" x14ac:dyDescent="0.3"/>
    <row r="2171" ht="15.75" customHeight="1" x14ac:dyDescent="0.3"/>
    <row r="2172" ht="15.75" customHeight="1" x14ac:dyDescent="0.3"/>
    <row r="2173" ht="15.75" customHeight="1" x14ac:dyDescent="0.3"/>
    <row r="2174" ht="15.75" customHeight="1" x14ac:dyDescent="0.3"/>
    <row r="2175" ht="15.75" customHeight="1" x14ac:dyDescent="0.3"/>
    <row r="2176" ht="15.75" customHeight="1" x14ac:dyDescent="0.3"/>
    <row r="2177" ht="15.75" customHeight="1" x14ac:dyDescent="0.3"/>
    <row r="2178" ht="15.75" customHeight="1" x14ac:dyDescent="0.3"/>
    <row r="2179" ht="15.75" customHeight="1" x14ac:dyDescent="0.3"/>
    <row r="2180" ht="15.75" customHeight="1" x14ac:dyDescent="0.3"/>
    <row r="2181" ht="15.75" customHeight="1" x14ac:dyDescent="0.3"/>
    <row r="2182" ht="15.75" customHeight="1" x14ac:dyDescent="0.3"/>
    <row r="2183" ht="15.75" customHeight="1" x14ac:dyDescent="0.3"/>
    <row r="2184" ht="15.75" customHeight="1" x14ac:dyDescent="0.3"/>
    <row r="2185" ht="15.75" customHeight="1" x14ac:dyDescent="0.3"/>
    <row r="2186" ht="15.75" customHeight="1" x14ac:dyDescent="0.3"/>
    <row r="2187" ht="15.75" customHeight="1" x14ac:dyDescent="0.3"/>
    <row r="2188" ht="15.75" customHeight="1" x14ac:dyDescent="0.3"/>
    <row r="2189" ht="15.75" customHeight="1" x14ac:dyDescent="0.3"/>
    <row r="2190" ht="15.75" customHeight="1" x14ac:dyDescent="0.3"/>
    <row r="2191" ht="15.75" customHeight="1" x14ac:dyDescent="0.3"/>
    <row r="2192" ht="15.75" customHeight="1" x14ac:dyDescent="0.3"/>
    <row r="2193" ht="15.75" customHeight="1" x14ac:dyDescent="0.3"/>
    <row r="2194" ht="15.75" customHeight="1" x14ac:dyDescent="0.3"/>
    <row r="2195" ht="15.75" customHeight="1" x14ac:dyDescent="0.3"/>
    <row r="2196" ht="15.75" customHeight="1" x14ac:dyDescent="0.3"/>
    <row r="2197" ht="15.75" customHeight="1" x14ac:dyDescent="0.3"/>
    <row r="2198" ht="15.75" customHeight="1" x14ac:dyDescent="0.3"/>
    <row r="2199" ht="15.75" customHeight="1" x14ac:dyDescent="0.3"/>
    <row r="2200" ht="15.75" customHeight="1" x14ac:dyDescent="0.3"/>
    <row r="2201" ht="15.75" customHeight="1" x14ac:dyDescent="0.3"/>
    <row r="2202" ht="15.75" customHeight="1" x14ac:dyDescent="0.3"/>
    <row r="2203" ht="15.75" customHeight="1" x14ac:dyDescent="0.3"/>
    <row r="2204" ht="15.75" customHeight="1" x14ac:dyDescent="0.3"/>
    <row r="2205" ht="15.75" customHeight="1" x14ac:dyDescent="0.3"/>
    <row r="2206" ht="15.75" customHeight="1" x14ac:dyDescent="0.3"/>
    <row r="2207" ht="15.75" customHeight="1" x14ac:dyDescent="0.3"/>
    <row r="2208" ht="15.75" customHeight="1" x14ac:dyDescent="0.3"/>
    <row r="2209" ht="15.75" customHeight="1" x14ac:dyDescent="0.3"/>
    <row r="2210" ht="15.75" customHeight="1" x14ac:dyDescent="0.3"/>
    <row r="2211" ht="15.75" customHeight="1" x14ac:dyDescent="0.3"/>
    <row r="2212" ht="15.75" customHeight="1" x14ac:dyDescent="0.3"/>
    <row r="2213" ht="15.75" customHeight="1" x14ac:dyDescent="0.3"/>
    <row r="2214" ht="15.75" customHeight="1" x14ac:dyDescent="0.3"/>
    <row r="2215" ht="15.75" customHeight="1" x14ac:dyDescent="0.3"/>
    <row r="2216" ht="15.75" customHeight="1" x14ac:dyDescent="0.3"/>
    <row r="2217" ht="15.75" customHeight="1" x14ac:dyDescent="0.3"/>
    <row r="2218" ht="15.75" customHeight="1" x14ac:dyDescent="0.3"/>
    <row r="2219" ht="15.75" customHeight="1" x14ac:dyDescent="0.3"/>
    <row r="2220" ht="15.75" customHeight="1" x14ac:dyDescent="0.3"/>
    <row r="2221" ht="15.75" customHeight="1" x14ac:dyDescent="0.3"/>
    <row r="2222" ht="15.75" customHeight="1" x14ac:dyDescent="0.3"/>
    <row r="2223" ht="15.75" customHeight="1" x14ac:dyDescent="0.3"/>
    <row r="2224" ht="15.75" customHeight="1" x14ac:dyDescent="0.3"/>
    <row r="2225" ht="15.75" customHeight="1" x14ac:dyDescent="0.3"/>
    <row r="2226" ht="15.75" customHeight="1" x14ac:dyDescent="0.3"/>
    <row r="2227" ht="15.75" customHeight="1" x14ac:dyDescent="0.3"/>
    <row r="2228" ht="15.75" customHeight="1" x14ac:dyDescent="0.3"/>
    <row r="2229" ht="15.75" customHeight="1" x14ac:dyDescent="0.3"/>
    <row r="2230" ht="15.75" customHeight="1" x14ac:dyDescent="0.3"/>
    <row r="2231" ht="15.75" customHeight="1" x14ac:dyDescent="0.3"/>
    <row r="2232" ht="15.75" customHeight="1" x14ac:dyDescent="0.3"/>
    <row r="2233" ht="15.75" customHeight="1" x14ac:dyDescent="0.3"/>
    <row r="2234" ht="15.75" customHeight="1" x14ac:dyDescent="0.3"/>
    <row r="2235" ht="15.75" customHeight="1" x14ac:dyDescent="0.3"/>
    <row r="2236" ht="15.75" customHeight="1" x14ac:dyDescent="0.3"/>
    <row r="2237" ht="15.75" customHeight="1" x14ac:dyDescent="0.3"/>
    <row r="2238" ht="15.75" customHeight="1" x14ac:dyDescent="0.3"/>
    <row r="2239" ht="15.75" customHeight="1" x14ac:dyDescent="0.3"/>
    <row r="2240" ht="15.75" customHeight="1" x14ac:dyDescent="0.3"/>
    <row r="2241" ht="15.75" customHeight="1" x14ac:dyDescent="0.3"/>
    <row r="2242" ht="15.75" customHeight="1" x14ac:dyDescent="0.3"/>
    <row r="2243" ht="15.75" customHeight="1" x14ac:dyDescent="0.3"/>
    <row r="2244" ht="15.75" customHeight="1" x14ac:dyDescent="0.3"/>
    <row r="2245" ht="15.75" customHeight="1" x14ac:dyDescent="0.3"/>
    <row r="2246" ht="15.75" customHeight="1" x14ac:dyDescent="0.3"/>
    <row r="2247" ht="15.75" customHeight="1" x14ac:dyDescent="0.3"/>
    <row r="2248" ht="15.75" customHeight="1" x14ac:dyDescent="0.3"/>
    <row r="2249" ht="15.75" customHeight="1" x14ac:dyDescent="0.3"/>
    <row r="2250" ht="15.75" customHeight="1" x14ac:dyDescent="0.3"/>
    <row r="2251" ht="15.75" customHeight="1" x14ac:dyDescent="0.3"/>
    <row r="2252" ht="15.75" customHeight="1" x14ac:dyDescent="0.3"/>
    <row r="2253" ht="15.75" customHeight="1" x14ac:dyDescent="0.3"/>
    <row r="2254" ht="15.75" customHeight="1" x14ac:dyDescent="0.3"/>
    <row r="2255" ht="15.75" customHeight="1" x14ac:dyDescent="0.3"/>
    <row r="2256" ht="15.75" customHeight="1" x14ac:dyDescent="0.3"/>
    <row r="2257" ht="15.75" customHeight="1" x14ac:dyDescent="0.3"/>
    <row r="2258" ht="15.75" customHeight="1" x14ac:dyDescent="0.3"/>
    <row r="2259" ht="15.75" customHeight="1" x14ac:dyDescent="0.3"/>
    <row r="2260" ht="15.75" customHeight="1" x14ac:dyDescent="0.3"/>
    <row r="2261" ht="15.75" customHeight="1" x14ac:dyDescent="0.3"/>
    <row r="2262" ht="15.75" customHeight="1" x14ac:dyDescent="0.3"/>
    <row r="2263" ht="15.75" customHeight="1" x14ac:dyDescent="0.3"/>
    <row r="2264" ht="15.75" customHeight="1" x14ac:dyDescent="0.3"/>
    <row r="2265" ht="15.75" customHeight="1" x14ac:dyDescent="0.3"/>
    <row r="2266" ht="15.75" customHeight="1" x14ac:dyDescent="0.3"/>
    <row r="2267" ht="15.75" customHeight="1" x14ac:dyDescent="0.3"/>
    <row r="2268" ht="15.75" customHeight="1" x14ac:dyDescent="0.3"/>
    <row r="2269" ht="15.75" customHeight="1" x14ac:dyDescent="0.3"/>
    <row r="2270" ht="15.75" customHeight="1" x14ac:dyDescent="0.3"/>
    <row r="2271" ht="15.75" customHeight="1" x14ac:dyDescent="0.3"/>
    <row r="2272" ht="15.75" customHeight="1" x14ac:dyDescent="0.3"/>
    <row r="2273" ht="15.75" customHeight="1" x14ac:dyDescent="0.3"/>
    <row r="2274" ht="15.75" customHeight="1" x14ac:dyDescent="0.3"/>
    <row r="2275" ht="15.75" customHeight="1" x14ac:dyDescent="0.3"/>
    <row r="2276" ht="15.75" customHeight="1" x14ac:dyDescent="0.3"/>
    <row r="2277" ht="15.75" customHeight="1" x14ac:dyDescent="0.3"/>
    <row r="2278" ht="15.75" customHeight="1" x14ac:dyDescent="0.3"/>
    <row r="2279" ht="15.75" customHeight="1" x14ac:dyDescent="0.3"/>
    <row r="2280" ht="15.75" customHeight="1" x14ac:dyDescent="0.3"/>
    <row r="2281" ht="15.75" customHeight="1" x14ac:dyDescent="0.3"/>
    <row r="2282" ht="15.75" customHeight="1" x14ac:dyDescent="0.3"/>
    <row r="2283" ht="15.75" customHeight="1" x14ac:dyDescent="0.3"/>
    <row r="2284" ht="15.75" customHeight="1" x14ac:dyDescent="0.3"/>
    <row r="2285" ht="15.75" customHeight="1" x14ac:dyDescent="0.3"/>
    <row r="2286" ht="15.75" customHeight="1" x14ac:dyDescent="0.3"/>
    <row r="2287" ht="15.75" customHeight="1" x14ac:dyDescent="0.3"/>
    <row r="2288" ht="15.75" customHeight="1" x14ac:dyDescent="0.3"/>
    <row r="2289" ht="15.75" customHeight="1" x14ac:dyDescent="0.3"/>
    <row r="2290" ht="15.75" customHeight="1" x14ac:dyDescent="0.3"/>
    <row r="2291" ht="15.75" customHeight="1" x14ac:dyDescent="0.3"/>
    <row r="2292" ht="15.75" customHeight="1" x14ac:dyDescent="0.3"/>
    <row r="2293" ht="15.75" customHeight="1" x14ac:dyDescent="0.3"/>
    <row r="2294" ht="15.75" customHeight="1" x14ac:dyDescent="0.3"/>
    <row r="2295" ht="15.75" customHeight="1" x14ac:dyDescent="0.3"/>
    <row r="2296" ht="15.75" customHeight="1" x14ac:dyDescent="0.3"/>
    <row r="2297" ht="15.75" customHeight="1" x14ac:dyDescent="0.3"/>
    <row r="2298" ht="15.75" customHeight="1" x14ac:dyDescent="0.3"/>
    <row r="2299" ht="15.75" customHeight="1" x14ac:dyDescent="0.3"/>
    <row r="2300" ht="15.75" customHeight="1" x14ac:dyDescent="0.3"/>
    <row r="2301" ht="15.75" customHeight="1" x14ac:dyDescent="0.3"/>
    <row r="2302" ht="15.75" customHeight="1" x14ac:dyDescent="0.3"/>
    <row r="2303" ht="15.75" customHeight="1" x14ac:dyDescent="0.3"/>
    <row r="2304" ht="15.75" customHeight="1" x14ac:dyDescent="0.3"/>
    <row r="2305" ht="15.75" customHeight="1" x14ac:dyDescent="0.3"/>
    <row r="2306" ht="15.75" customHeight="1" x14ac:dyDescent="0.3"/>
    <row r="2307" ht="15.75" customHeight="1" x14ac:dyDescent="0.3"/>
    <row r="2308" ht="15.75" customHeight="1" x14ac:dyDescent="0.3"/>
    <row r="2309" ht="15.75" customHeight="1" x14ac:dyDescent="0.3"/>
    <row r="2310" ht="15.75" customHeight="1" x14ac:dyDescent="0.3"/>
    <row r="2311" ht="15.75" customHeight="1" x14ac:dyDescent="0.3"/>
    <row r="2312" ht="15.75" customHeight="1" x14ac:dyDescent="0.3"/>
    <row r="2313" ht="15.75" customHeight="1" x14ac:dyDescent="0.3"/>
    <row r="2314" ht="15.75" customHeight="1" x14ac:dyDescent="0.3"/>
    <row r="2315" ht="15.75" customHeight="1" x14ac:dyDescent="0.3"/>
    <row r="2316" ht="15.75" customHeight="1" x14ac:dyDescent="0.3"/>
    <row r="2317" ht="15.75" customHeight="1" x14ac:dyDescent="0.3"/>
    <row r="2318" ht="15.75" customHeight="1" x14ac:dyDescent="0.3"/>
    <row r="2319" ht="15.75" customHeight="1" x14ac:dyDescent="0.3"/>
    <row r="2320" ht="15.75" customHeight="1" x14ac:dyDescent="0.3"/>
    <row r="2321" ht="15.75" customHeight="1" x14ac:dyDescent="0.3"/>
    <row r="2322" ht="15.75" customHeight="1" x14ac:dyDescent="0.3"/>
    <row r="2323" ht="15.75" customHeight="1" x14ac:dyDescent="0.3"/>
    <row r="2324" ht="15.75" customHeight="1" x14ac:dyDescent="0.3"/>
    <row r="2325" ht="15.75" customHeight="1" x14ac:dyDescent="0.3"/>
    <row r="2326" ht="15.75" customHeight="1" x14ac:dyDescent="0.3"/>
    <row r="2327" ht="15.75" customHeight="1" x14ac:dyDescent="0.3"/>
    <row r="2328" ht="15.75" customHeight="1" x14ac:dyDescent="0.3"/>
    <row r="2329" ht="15.75" customHeight="1" x14ac:dyDescent="0.3"/>
    <row r="2330" ht="15.75" customHeight="1" x14ac:dyDescent="0.3"/>
    <row r="2331" ht="15.75" customHeight="1" x14ac:dyDescent="0.3"/>
    <row r="2332" ht="15.75" customHeight="1" x14ac:dyDescent="0.3"/>
    <row r="2333" ht="15.75" customHeight="1" x14ac:dyDescent="0.3"/>
    <row r="2334" ht="15.75" customHeight="1" x14ac:dyDescent="0.3"/>
    <row r="2335" ht="15.75" customHeight="1" x14ac:dyDescent="0.3"/>
    <row r="2336" ht="15.75" customHeight="1" x14ac:dyDescent="0.3"/>
    <row r="2337" ht="15.75" customHeight="1" x14ac:dyDescent="0.3"/>
    <row r="2338" ht="15.75" customHeight="1" x14ac:dyDescent="0.3"/>
    <row r="2339" ht="15.75" customHeight="1" x14ac:dyDescent="0.3"/>
    <row r="2340" ht="15.75" customHeight="1" x14ac:dyDescent="0.3"/>
    <row r="2341" ht="15.75" customHeight="1" x14ac:dyDescent="0.3"/>
    <row r="2342" ht="15.75" customHeight="1" x14ac:dyDescent="0.3"/>
    <row r="2343" ht="15.75" customHeight="1" x14ac:dyDescent="0.3"/>
    <row r="2344" ht="15.75" customHeight="1" x14ac:dyDescent="0.3"/>
    <row r="2345" ht="15.75" customHeight="1" x14ac:dyDescent="0.3"/>
    <row r="2346" ht="15.75" customHeight="1" x14ac:dyDescent="0.3"/>
    <row r="2347" ht="15.75" customHeight="1" x14ac:dyDescent="0.3"/>
    <row r="2348" ht="15.75" customHeight="1" x14ac:dyDescent="0.3"/>
    <row r="2349" ht="15.75" customHeight="1" x14ac:dyDescent="0.3"/>
    <row r="2350" ht="15.75" customHeight="1" x14ac:dyDescent="0.3"/>
    <row r="2351" ht="15.75" customHeight="1" x14ac:dyDescent="0.3"/>
    <row r="2352" ht="15.75" customHeight="1" x14ac:dyDescent="0.3"/>
    <row r="2353" ht="15.75" customHeight="1" x14ac:dyDescent="0.3"/>
    <row r="2354" ht="15.75" customHeight="1" x14ac:dyDescent="0.3"/>
    <row r="2355" ht="15.75" customHeight="1" x14ac:dyDescent="0.3"/>
    <row r="2356" ht="15.75" customHeight="1" x14ac:dyDescent="0.3"/>
    <row r="2357" ht="15.75" customHeight="1" x14ac:dyDescent="0.3"/>
    <row r="2358" ht="15.75" customHeight="1" x14ac:dyDescent="0.3"/>
    <row r="2359" ht="15.75" customHeight="1" x14ac:dyDescent="0.3"/>
    <row r="2360" ht="15.75" customHeight="1" x14ac:dyDescent="0.3"/>
    <row r="2361" ht="15.75" customHeight="1" x14ac:dyDescent="0.3"/>
    <row r="2362" ht="15.75" customHeight="1" x14ac:dyDescent="0.3"/>
    <row r="2363" ht="15.75" customHeight="1" x14ac:dyDescent="0.3"/>
    <row r="2364" ht="15.75" customHeight="1" x14ac:dyDescent="0.3"/>
    <row r="2365" ht="15.75" customHeight="1" x14ac:dyDescent="0.3"/>
    <row r="2366" ht="15.75" customHeight="1" x14ac:dyDescent="0.3"/>
    <row r="2367" ht="15.75" customHeight="1" x14ac:dyDescent="0.3"/>
    <row r="2368" ht="15.75" customHeight="1" x14ac:dyDescent="0.3"/>
    <row r="2369" ht="15.75" customHeight="1" x14ac:dyDescent="0.3"/>
    <row r="2370" ht="15.75" customHeight="1" x14ac:dyDescent="0.3"/>
    <row r="2371" ht="15.75" customHeight="1" x14ac:dyDescent="0.3"/>
    <row r="2372" ht="15.75" customHeight="1" x14ac:dyDescent="0.3"/>
    <row r="2373" ht="15.75" customHeight="1" x14ac:dyDescent="0.3"/>
    <row r="2374" ht="15.75" customHeight="1" x14ac:dyDescent="0.3"/>
    <row r="2375" ht="15.75" customHeight="1" x14ac:dyDescent="0.3"/>
    <row r="2376" ht="15.75" customHeight="1" x14ac:dyDescent="0.3"/>
    <row r="2377" ht="15.75" customHeight="1" x14ac:dyDescent="0.3"/>
    <row r="2378" ht="15.75" customHeight="1" x14ac:dyDescent="0.3"/>
    <row r="2379" ht="15.75" customHeight="1" x14ac:dyDescent="0.3"/>
    <row r="2380" ht="15.75" customHeight="1" x14ac:dyDescent="0.3"/>
    <row r="2381" ht="15.75" customHeight="1" x14ac:dyDescent="0.3"/>
    <row r="2382" ht="15.75" customHeight="1" x14ac:dyDescent="0.3"/>
    <row r="2383" ht="15.75" customHeight="1" x14ac:dyDescent="0.3"/>
    <row r="2384" ht="15.75" customHeight="1" x14ac:dyDescent="0.3"/>
    <row r="2385" ht="15.75" customHeight="1" x14ac:dyDescent="0.3"/>
    <row r="2386" ht="15.75" customHeight="1" x14ac:dyDescent="0.3"/>
    <row r="2387" ht="15.75" customHeight="1" x14ac:dyDescent="0.3"/>
    <row r="2388" ht="15.75" customHeight="1" x14ac:dyDescent="0.3"/>
    <row r="2389" ht="15.75" customHeight="1" x14ac:dyDescent="0.3"/>
    <row r="2390" ht="15.75" customHeight="1" x14ac:dyDescent="0.3"/>
    <row r="2391" ht="15.75" customHeight="1" x14ac:dyDescent="0.3"/>
    <row r="2392" ht="15.75" customHeight="1" x14ac:dyDescent="0.3"/>
    <row r="2393" ht="15.75" customHeight="1" x14ac:dyDescent="0.3"/>
    <row r="2394" ht="15.75" customHeight="1" x14ac:dyDescent="0.3"/>
    <row r="2395" ht="15.75" customHeight="1" x14ac:dyDescent="0.3"/>
    <row r="2396" ht="15.75" customHeight="1" x14ac:dyDescent="0.3"/>
    <row r="2397" ht="15.75" customHeight="1" x14ac:dyDescent="0.3"/>
    <row r="2398" ht="15.75" customHeight="1" x14ac:dyDescent="0.3"/>
    <row r="2399" ht="15.75" customHeight="1" x14ac:dyDescent="0.3"/>
    <row r="2400" ht="15.75" customHeight="1" x14ac:dyDescent="0.3"/>
    <row r="2401" ht="15.75" customHeight="1" x14ac:dyDescent="0.3"/>
    <row r="2402" ht="15.75" customHeight="1" x14ac:dyDescent="0.3"/>
    <row r="2403" ht="15.75" customHeight="1" x14ac:dyDescent="0.3"/>
    <row r="2404" ht="15.75" customHeight="1" x14ac:dyDescent="0.3"/>
    <row r="2405" ht="15.75" customHeight="1" x14ac:dyDescent="0.3"/>
    <row r="2406" ht="15.75" customHeight="1" x14ac:dyDescent="0.3"/>
    <row r="2407" ht="15.75" customHeight="1" x14ac:dyDescent="0.3"/>
    <row r="2408" ht="15.75" customHeight="1" x14ac:dyDescent="0.3"/>
    <row r="2409" ht="15.75" customHeight="1" x14ac:dyDescent="0.3"/>
    <row r="2410" ht="15.75" customHeight="1" x14ac:dyDescent="0.3"/>
    <row r="2411" ht="15.75" customHeight="1" x14ac:dyDescent="0.3"/>
    <row r="2412" ht="15.75" customHeight="1" x14ac:dyDescent="0.3"/>
    <row r="2413" ht="15.75" customHeight="1" x14ac:dyDescent="0.3"/>
    <row r="2414" ht="15.75" customHeight="1" x14ac:dyDescent="0.3"/>
    <row r="2415" ht="15.75" customHeight="1" x14ac:dyDescent="0.3"/>
    <row r="2416" ht="15.75" customHeight="1" x14ac:dyDescent="0.3"/>
    <row r="2417" ht="15.75" customHeight="1" x14ac:dyDescent="0.3"/>
    <row r="2418" ht="15.75" customHeight="1" x14ac:dyDescent="0.3"/>
    <row r="2419" ht="15.75" customHeight="1" x14ac:dyDescent="0.3"/>
    <row r="2420" ht="15.75" customHeight="1" x14ac:dyDescent="0.3"/>
    <row r="2421" ht="15.75" customHeight="1" x14ac:dyDescent="0.3"/>
    <row r="2422" ht="15.75" customHeight="1" x14ac:dyDescent="0.3"/>
    <row r="2423" ht="15.75" customHeight="1" x14ac:dyDescent="0.3"/>
    <row r="2424" ht="15.75" customHeight="1" x14ac:dyDescent="0.3"/>
    <row r="2425" ht="15.75" customHeight="1" x14ac:dyDescent="0.3"/>
    <row r="2426" ht="15.75" customHeight="1" x14ac:dyDescent="0.3"/>
    <row r="2427" ht="15.75" customHeight="1" x14ac:dyDescent="0.3"/>
    <row r="2428" ht="15.75" customHeight="1" x14ac:dyDescent="0.3"/>
    <row r="2429" ht="15.75" customHeight="1" x14ac:dyDescent="0.3"/>
    <row r="2430" ht="15.75" customHeight="1" x14ac:dyDescent="0.3"/>
    <row r="2431" ht="15.75" customHeight="1" x14ac:dyDescent="0.3"/>
    <row r="2432" ht="15.75" customHeight="1" x14ac:dyDescent="0.3"/>
    <row r="2433" ht="15.75" customHeight="1" x14ac:dyDescent="0.3"/>
    <row r="2434" ht="15.75" customHeight="1" x14ac:dyDescent="0.3"/>
    <row r="2435" ht="15.75" customHeight="1" x14ac:dyDescent="0.3"/>
    <row r="2436" ht="15.75" customHeight="1" x14ac:dyDescent="0.3"/>
    <row r="2437" ht="15.75" customHeight="1" x14ac:dyDescent="0.3"/>
    <row r="2438" ht="15.75" customHeight="1" x14ac:dyDescent="0.3"/>
    <row r="2439" ht="15.75" customHeight="1" x14ac:dyDescent="0.3"/>
    <row r="2440" ht="15.75" customHeight="1" x14ac:dyDescent="0.3"/>
    <row r="2441" ht="15.75" customHeight="1" x14ac:dyDescent="0.3"/>
    <row r="2442" ht="15.75" customHeight="1" x14ac:dyDescent="0.3"/>
    <row r="2443" ht="15.75" customHeight="1" x14ac:dyDescent="0.3"/>
    <row r="2444" ht="15.75" customHeight="1" x14ac:dyDescent="0.3"/>
    <row r="2445" ht="15.75" customHeight="1" x14ac:dyDescent="0.3"/>
    <row r="2446" ht="15.75" customHeight="1" x14ac:dyDescent="0.3"/>
    <row r="2447" ht="15.75" customHeight="1" x14ac:dyDescent="0.3"/>
    <row r="2448" ht="15.75" customHeight="1" x14ac:dyDescent="0.3"/>
    <row r="2449" ht="15.75" customHeight="1" x14ac:dyDescent="0.3"/>
    <row r="2450" ht="15.75" customHeight="1" x14ac:dyDescent="0.3"/>
    <row r="2451" ht="15.75" customHeight="1" x14ac:dyDescent="0.3"/>
    <row r="2452" ht="15.75" customHeight="1" x14ac:dyDescent="0.3"/>
    <row r="2453" ht="15.75" customHeight="1" x14ac:dyDescent="0.3"/>
    <row r="2454" ht="15.75" customHeight="1" x14ac:dyDescent="0.3"/>
    <row r="2455" ht="15.75" customHeight="1" x14ac:dyDescent="0.3"/>
    <row r="2456" ht="15.75" customHeight="1" x14ac:dyDescent="0.3"/>
    <row r="2457" ht="15.75" customHeight="1" x14ac:dyDescent="0.3"/>
    <row r="2458" ht="15.75" customHeight="1" x14ac:dyDescent="0.3"/>
    <row r="2459" ht="15.75" customHeight="1" x14ac:dyDescent="0.3"/>
    <row r="2460" ht="15.75" customHeight="1" x14ac:dyDescent="0.3"/>
    <row r="2461" ht="15.75" customHeight="1" x14ac:dyDescent="0.3"/>
    <row r="2462" ht="15.75" customHeight="1" x14ac:dyDescent="0.3"/>
    <row r="2463" ht="15.75" customHeight="1" x14ac:dyDescent="0.3"/>
    <row r="2464" ht="15.75" customHeight="1" x14ac:dyDescent="0.3"/>
    <row r="2465" ht="15.75" customHeight="1" x14ac:dyDescent="0.3"/>
    <row r="2466" ht="15.75" customHeight="1" x14ac:dyDescent="0.3"/>
    <row r="2467" ht="15.75" customHeight="1" x14ac:dyDescent="0.3"/>
    <row r="2468" ht="15.75" customHeight="1" x14ac:dyDescent="0.3"/>
    <row r="2469" ht="15.75" customHeight="1" x14ac:dyDescent="0.3"/>
    <row r="2470" ht="15.75" customHeight="1" x14ac:dyDescent="0.3"/>
    <row r="2471" ht="15.75" customHeight="1" x14ac:dyDescent="0.3"/>
    <row r="2472" ht="15.75" customHeight="1" x14ac:dyDescent="0.3"/>
    <row r="2473" ht="15.75" customHeight="1" x14ac:dyDescent="0.3"/>
    <row r="2474" ht="15.75" customHeight="1" x14ac:dyDescent="0.3"/>
    <row r="2475" ht="15.75" customHeight="1" x14ac:dyDescent="0.3"/>
    <row r="2476" ht="15.75" customHeight="1" x14ac:dyDescent="0.3"/>
    <row r="2477" ht="15.75" customHeight="1" x14ac:dyDescent="0.3"/>
    <row r="2478" ht="15.75" customHeight="1" x14ac:dyDescent="0.3"/>
    <row r="2479" ht="15.75" customHeight="1" x14ac:dyDescent="0.3"/>
    <row r="2480" ht="15.75" customHeight="1" x14ac:dyDescent="0.3"/>
    <row r="2481" ht="15.75" customHeight="1" x14ac:dyDescent="0.3"/>
    <row r="2482" ht="15.75" customHeight="1" x14ac:dyDescent="0.3"/>
    <row r="2483" ht="15.75" customHeight="1" x14ac:dyDescent="0.3"/>
    <row r="2484" ht="15.75" customHeight="1" x14ac:dyDescent="0.3"/>
    <row r="2485" ht="15.75" customHeight="1" x14ac:dyDescent="0.3"/>
    <row r="2486" ht="15.75" customHeight="1" x14ac:dyDescent="0.3"/>
    <row r="2487" ht="15.75" customHeight="1" x14ac:dyDescent="0.3"/>
    <row r="2488" ht="15.75" customHeight="1" x14ac:dyDescent="0.3"/>
    <row r="2489" ht="15.75" customHeight="1" x14ac:dyDescent="0.3"/>
    <row r="2490" ht="15.75" customHeight="1" x14ac:dyDescent="0.3"/>
    <row r="2491" ht="15.75" customHeight="1" x14ac:dyDescent="0.3"/>
    <row r="2492" ht="15.75" customHeight="1" x14ac:dyDescent="0.3"/>
    <row r="2493" ht="15.75" customHeight="1" x14ac:dyDescent="0.3"/>
    <row r="2494" ht="15.75" customHeight="1" x14ac:dyDescent="0.3"/>
    <row r="2495" ht="15.75" customHeight="1" x14ac:dyDescent="0.3"/>
    <row r="2496" ht="15.75" customHeight="1" x14ac:dyDescent="0.3"/>
    <row r="2497" ht="15.75" customHeight="1" x14ac:dyDescent="0.3"/>
    <row r="2498" ht="15.75" customHeight="1" x14ac:dyDescent="0.3"/>
    <row r="2499" ht="15.75" customHeight="1" x14ac:dyDescent="0.3"/>
    <row r="2500" ht="15.75" customHeight="1" x14ac:dyDescent="0.3"/>
    <row r="2501" ht="15.75" customHeight="1" x14ac:dyDescent="0.3"/>
    <row r="2502" ht="15.75" customHeight="1" x14ac:dyDescent="0.3"/>
    <row r="2503" ht="15.75" customHeight="1" x14ac:dyDescent="0.3"/>
    <row r="2504" ht="15.75" customHeight="1" x14ac:dyDescent="0.3"/>
    <row r="2505" ht="15.75" customHeight="1" x14ac:dyDescent="0.3"/>
    <row r="2506" ht="15.75" customHeight="1" x14ac:dyDescent="0.3"/>
    <row r="2507" ht="15.75" customHeight="1" x14ac:dyDescent="0.3"/>
    <row r="2508" ht="15.75" customHeight="1" x14ac:dyDescent="0.3"/>
    <row r="2509" ht="15.75" customHeight="1" x14ac:dyDescent="0.3"/>
    <row r="2510" ht="15.75" customHeight="1" x14ac:dyDescent="0.3"/>
    <row r="2511" ht="15.75" customHeight="1" x14ac:dyDescent="0.3"/>
    <row r="2512" ht="15.75" customHeight="1" x14ac:dyDescent="0.3"/>
    <row r="2513" ht="15.75" customHeight="1" x14ac:dyDescent="0.3"/>
    <row r="2514" ht="15.75" customHeight="1" x14ac:dyDescent="0.3"/>
    <row r="2515" ht="15.75" customHeight="1" x14ac:dyDescent="0.3"/>
    <row r="2516" ht="15.75" customHeight="1" x14ac:dyDescent="0.3"/>
    <row r="2517" ht="15.75" customHeight="1" x14ac:dyDescent="0.3"/>
    <row r="2518" ht="15.75" customHeight="1" x14ac:dyDescent="0.3"/>
    <row r="2519" ht="15.75" customHeight="1" x14ac:dyDescent="0.3"/>
    <row r="2520" ht="15.75" customHeight="1" x14ac:dyDescent="0.3"/>
    <row r="2521" ht="15.75" customHeight="1" x14ac:dyDescent="0.3"/>
    <row r="2522" ht="15.75" customHeight="1" x14ac:dyDescent="0.3"/>
    <row r="2523" ht="15.75" customHeight="1" x14ac:dyDescent="0.3"/>
    <row r="2524" ht="15.75" customHeight="1" x14ac:dyDescent="0.3"/>
    <row r="2525" ht="15.75" customHeight="1" x14ac:dyDescent="0.3"/>
    <row r="2526" ht="15.75" customHeight="1" x14ac:dyDescent="0.3"/>
    <row r="2527" ht="15.75" customHeight="1" x14ac:dyDescent="0.3"/>
    <row r="2528" ht="15.75" customHeight="1" x14ac:dyDescent="0.3"/>
    <row r="2529" ht="15.75" customHeight="1" x14ac:dyDescent="0.3"/>
    <row r="2530" ht="15.75" customHeight="1" x14ac:dyDescent="0.3"/>
    <row r="2531" ht="15.75" customHeight="1" x14ac:dyDescent="0.3"/>
    <row r="2532" ht="15.75" customHeight="1" x14ac:dyDescent="0.3"/>
    <row r="2533" ht="15.75" customHeight="1" x14ac:dyDescent="0.3"/>
    <row r="2534" ht="15.75" customHeight="1" x14ac:dyDescent="0.3"/>
    <row r="2535" ht="15.75" customHeight="1" x14ac:dyDescent="0.3"/>
    <row r="2536" ht="15.75" customHeight="1" x14ac:dyDescent="0.3"/>
    <row r="2537" ht="15.75" customHeight="1" x14ac:dyDescent="0.3"/>
    <row r="2538" ht="15.75" customHeight="1" x14ac:dyDescent="0.3"/>
    <row r="2539" ht="15.75" customHeight="1" x14ac:dyDescent="0.3"/>
    <row r="2540" ht="15.75" customHeight="1" x14ac:dyDescent="0.3"/>
    <row r="2541" ht="15.75" customHeight="1" x14ac:dyDescent="0.3"/>
    <row r="2542" ht="15.75" customHeight="1" x14ac:dyDescent="0.3"/>
    <row r="2543" ht="15.75" customHeight="1" x14ac:dyDescent="0.3"/>
    <row r="2544" ht="15.75" customHeight="1" x14ac:dyDescent="0.3"/>
    <row r="2545" ht="15.75" customHeight="1" x14ac:dyDescent="0.3"/>
    <row r="2546" ht="15.75" customHeight="1" x14ac:dyDescent="0.3"/>
    <row r="2547" ht="15.75" customHeight="1" x14ac:dyDescent="0.3"/>
    <row r="2548" ht="15.75" customHeight="1" x14ac:dyDescent="0.3"/>
    <row r="2549" ht="15.75" customHeight="1" x14ac:dyDescent="0.3"/>
    <row r="2550" ht="15.75" customHeight="1" x14ac:dyDescent="0.3"/>
    <row r="2551" ht="15.75" customHeight="1" x14ac:dyDescent="0.3"/>
    <row r="2552" ht="15.75" customHeight="1" x14ac:dyDescent="0.3"/>
    <row r="2553" ht="15.75" customHeight="1" x14ac:dyDescent="0.3"/>
    <row r="2554" ht="15.75" customHeight="1" x14ac:dyDescent="0.3"/>
    <row r="2555" ht="15.75" customHeight="1" x14ac:dyDescent="0.3"/>
    <row r="2556" ht="15.75" customHeight="1" x14ac:dyDescent="0.3"/>
    <row r="2557" ht="15.75" customHeight="1" x14ac:dyDescent="0.3"/>
    <row r="2558" ht="15.75" customHeight="1" x14ac:dyDescent="0.3"/>
    <row r="2559" ht="15.75" customHeight="1" x14ac:dyDescent="0.3"/>
    <row r="2560" ht="15.75" customHeight="1" x14ac:dyDescent="0.3"/>
    <row r="2561" spans="9:9" ht="15.75" customHeight="1" x14ac:dyDescent="0.3"/>
    <row r="2562" spans="9:9" ht="15.75" customHeight="1" x14ac:dyDescent="0.3"/>
    <row r="2563" spans="9:9" ht="15.75" customHeight="1" x14ac:dyDescent="0.3"/>
    <row r="2564" spans="9:9" ht="15.75" customHeight="1" x14ac:dyDescent="0.3"/>
    <row r="2565" spans="9:9" ht="15.75" customHeight="1" x14ac:dyDescent="0.3"/>
    <row r="2566" spans="9:9" ht="15.75" customHeight="1" x14ac:dyDescent="0.3"/>
    <row r="2567" spans="9:9" ht="15.75" customHeight="1" x14ac:dyDescent="0.3"/>
    <row r="2568" spans="9:9" ht="12" customHeight="1" x14ac:dyDescent="0.3">
      <c r="I2568" s="346" t="s">
        <v>225</v>
      </c>
    </row>
    <row r="2569" spans="9:9" ht="12" customHeight="1" x14ac:dyDescent="0.3">
      <c r="I2569" s="346"/>
    </row>
    <row r="2570" spans="9:9" ht="12" customHeight="1" x14ac:dyDescent="0.3">
      <c r="I2570" s="346"/>
    </row>
    <row r="2571" spans="9:9" ht="12" customHeight="1" x14ac:dyDescent="0.3">
      <c r="I2571" s="346"/>
    </row>
    <row r="2572" spans="9:9" ht="12" customHeight="1" x14ac:dyDescent="0.3">
      <c r="I2572" s="346"/>
    </row>
    <row r="2573" spans="9:9" ht="12" customHeight="1" x14ac:dyDescent="0.3">
      <c r="I2573" s="346"/>
    </row>
    <row r="2574" spans="9:9" ht="12" customHeight="1" x14ac:dyDescent="0.3">
      <c r="I2574" s="346"/>
    </row>
    <row r="2575" spans="9:9" ht="12" customHeight="1" x14ac:dyDescent="0.3">
      <c r="I2575" s="346"/>
    </row>
    <row r="2576" spans="9:9" ht="12" customHeight="1" x14ac:dyDescent="0.3">
      <c r="I2576" s="346"/>
    </row>
    <row r="2577" spans="9:9" ht="12" customHeight="1" x14ac:dyDescent="0.3">
      <c r="I2577" s="346" t="s">
        <v>226</v>
      </c>
    </row>
    <row r="2578" spans="9:9" ht="15.75" customHeight="1" x14ac:dyDescent="0.3"/>
    <row r="2579" spans="9:9" ht="15.75" customHeight="1" x14ac:dyDescent="0.3"/>
    <row r="2580" spans="9:9" ht="12" customHeight="1" x14ac:dyDescent="0.3">
      <c r="I2580" s="346" t="s">
        <v>226</v>
      </c>
    </row>
    <row r="2581" spans="9:9" ht="12" customHeight="1" x14ac:dyDescent="0.3">
      <c r="I2581" s="346"/>
    </row>
    <row r="2582" spans="9:9" ht="12" customHeight="1" x14ac:dyDescent="0.3">
      <c r="I2582" s="346"/>
    </row>
    <row r="2583" spans="9:9" ht="12" customHeight="1" x14ac:dyDescent="0.3">
      <c r="I2583" s="346"/>
    </row>
    <row r="2584" spans="9:9" ht="12" customHeight="1" x14ac:dyDescent="0.3">
      <c r="I2584" s="346"/>
    </row>
    <row r="2585" spans="9:9" ht="12" customHeight="1" x14ac:dyDescent="0.3">
      <c r="I2585" s="346"/>
    </row>
    <row r="2586" spans="9:9" ht="12" customHeight="1" x14ac:dyDescent="0.3">
      <c r="I2586" s="346" t="s">
        <v>226</v>
      </c>
    </row>
    <row r="2587" spans="9:9" ht="12" customHeight="1" x14ac:dyDescent="0.3">
      <c r="I2587" s="346" t="s">
        <v>226</v>
      </c>
    </row>
    <row r="2588" spans="9:9" ht="12" customHeight="1" x14ac:dyDescent="0.3">
      <c r="I2588" s="346"/>
    </row>
    <row r="2589" spans="9:9" ht="12" customHeight="1" x14ac:dyDescent="0.3">
      <c r="I2589" s="346"/>
    </row>
    <row r="2590" spans="9:9" ht="12" customHeight="1" x14ac:dyDescent="0.3">
      <c r="I2590" s="346"/>
    </row>
    <row r="2591" spans="9:9" ht="12" customHeight="1" x14ac:dyDescent="0.3">
      <c r="I2591" s="346" t="s">
        <v>226</v>
      </c>
    </row>
    <row r="2592" spans="9:9" ht="12" customHeight="1" x14ac:dyDescent="0.3">
      <c r="I2592" s="346" t="s">
        <v>225</v>
      </c>
    </row>
    <row r="2593" spans="9:9" ht="12" customHeight="1" x14ac:dyDescent="0.3">
      <c r="I2593" s="346" t="s">
        <v>225</v>
      </c>
    </row>
    <row r="2594" spans="9:9" ht="15.75" customHeight="1" x14ac:dyDescent="0.3"/>
    <row r="2595" spans="9:9" ht="15.75" customHeight="1" x14ac:dyDescent="0.3"/>
    <row r="2596" spans="9:9" ht="12" customHeight="1" x14ac:dyDescent="0.3">
      <c r="I2596" s="346" t="s">
        <v>225</v>
      </c>
    </row>
    <row r="2597" spans="9:9" ht="12" customHeight="1" x14ac:dyDescent="0.3">
      <c r="I2597" s="346"/>
    </row>
    <row r="2598" spans="9:9" ht="12" customHeight="1" x14ac:dyDescent="0.3">
      <c r="I2598" s="346" t="s">
        <v>226</v>
      </c>
    </row>
    <row r="2599" spans="9:9" ht="12" customHeight="1" x14ac:dyDescent="0.3">
      <c r="I2599" s="346"/>
    </row>
    <row r="2600" spans="9:9" ht="12" customHeight="1" x14ac:dyDescent="0.3">
      <c r="I2600" s="346"/>
    </row>
    <row r="2601" spans="9:9" ht="12" customHeight="1" x14ac:dyDescent="0.3">
      <c r="I2601" s="346" t="s">
        <v>226</v>
      </c>
    </row>
    <row r="2602" spans="9:9" ht="12" customHeight="1" x14ac:dyDescent="0.3">
      <c r="I2602" s="346"/>
    </row>
    <row r="2603" spans="9:9" ht="12" customHeight="1" x14ac:dyDescent="0.3">
      <c r="I2603" s="346" t="s">
        <v>226</v>
      </c>
    </row>
    <row r="2604" spans="9:9" ht="15.75" customHeight="1" x14ac:dyDescent="0.3"/>
    <row r="2605" spans="9:9" ht="15.75" customHeight="1" x14ac:dyDescent="0.3"/>
    <row r="2606" spans="9:9" ht="15.75" customHeight="1" x14ac:dyDescent="0.3"/>
    <row r="2607" spans="9:9" ht="15.75" customHeight="1" x14ac:dyDescent="0.3"/>
    <row r="2608" spans="9:9" ht="15.75" customHeight="1" x14ac:dyDescent="0.3"/>
    <row r="2609" spans="9:9" ht="15.75" customHeight="1" x14ac:dyDescent="0.3"/>
    <row r="2610" spans="9:9" ht="15.75" customHeight="1" x14ac:dyDescent="0.3"/>
    <row r="2611" spans="9:9" ht="15.75" customHeight="1" x14ac:dyDescent="0.3"/>
    <row r="2612" spans="9:9" ht="12" customHeight="1" x14ac:dyDescent="0.3">
      <c r="I2612" s="346" t="s">
        <v>226</v>
      </c>
    </row>
    <row r="2613" spans="9:9" ht="12" customHeight="1" x14ac:dyDescent="0.3">
      <c r="I2613" s="346"/>
    </row>
    <row r="2614" spans="9:9" ht="12" customHeight="1" x14ac:dyDescent="0.3">
      <c r="I2614" s="346" t="s">
        <v>225</v>
      </c>
    </row>
    <row r="2615" spans="9:9" ht="12" customHeight="1" x14ac:dyDescent="0.3">
      <c r="I2615" s="346"/>
    </row>
    <row r="2616" spans="9:9" ht="12" customHeight="1" x14ac:dyDescent="0.3">
      <c r="I2616" s="346" t="s">
        <v>226</v>
      </c>
    </row>
    <row r="2617" spans="9:9" ht="12" customHeight="1" x14ac:dyDescent="0.3">
      <c r="I2617" s="346" t="s">
        <v>225</v>
      </c>
    </row>
    <row r="2618" spans="9:9" ht="15.75" customHeight="1" x14ac:dyDescent="0.3"/>
    <row r="2619" spans="9:9" ht="15.75" customHeight="1" x14ac:dyDescent="0.3"/>
    <row r="2620" spans="9:9" ht="15.75" customHeight="1" x14ac:dyDescent="0.3"/>
    <row r="2621" spans="9:9" ht="15.75" customHeight="1" x14ac:dyDescent="0.3"/>
    <row r="2622" spans="9:9" ht="15.75" customHeight="1" x14ac:dyDescent="0.3"/>
    <row r="2623" spans="9:9" ht="15.75" customHeight="1" x14ac:dyDescent="0.3"/>
    <row r="2624" spans="9:9" ht="15.75" customHeight="1" x14ac:dyDescent="0.3"/>
    <row r="2625" spans="9:9" ht="15.75" customHeight="1" x14ac:dyDescent="0.3"/>
    <row r="2626" spans="9:9" ht="15.75" customHeight="1" x14ac:dyDescent="0.3"/>
    <row r="2627" spans="9:9" ht="15.75" customHeight="1" x14ac:dyDescent="0.3"/>
    <row r="2628" spans="9:9" ht="15.75" customHeight="1" x14ac:dyDescent="0.3"/>
    <row r="2629" spans="9:9" ht="15.75" customHeight="1" x14ac:dyDescent="0.3"/>
    <row r="2630" spans="9:9" ht="15.75" customHeight="1" x14ac:dyDescent="0.3"/>
    <row r="2631" spans="9:9" ht="15.75" customHeight="1" x14ac:dyDescent="0.3"/>
    <row r="2632" spans="9:9" ht="15.75" customHeight="1" x14ac:dyDescent="0.3"/>
    <row r="2633" spans="9:9" ht="15.75" customHeight="1" x14ac:dyDescent="0.3"/>
    <row r="2634" spans="9:9" ht="15.75" customHeight="1" x14ac:dyDescent="0.3"/>
    <row r="2635" spans="9:9" ht="15.75" customHeight="1" x14ac:dyDescent="0.3"/>
    <row r="2636" spans="9:9" ht="12" customHeight="1" x14ac:dyDescent="0.3">
      <c r="I2636" s="346" t="s">
        <v>226</v>
      </c>
    </row>
  </sheetData>
  <autoFilter ref="A1:G838" xr:uid="{00000000-0009-0000-0000-000006000000}"/>
  <mergeCells count="5">
    <mergeCell ref="A1:B1"/>
    <mergeCell ref="E1:F1"/>
    <mergeCell ref="Q1:R1"/>
    <mergeCell ref="E2:F2"/>
    <mergeCell ref="E3:F3"/>
  </mergeCells>
  <conditionalFormatting sqref="I1 I4:I2636">
    <cfRule type="cellIs" dxfId="9" priority="1" operator="equal">
      <formula>6</formula>
    </cfRule>
    <cfRule type="cellIs" dxfId="8" priority="2" operator="equal">
      <formula>5</formula>
    </cfRule>
    <cfRule type="cellIs" dxfId="7" priority="3" operator="equal">
      <formula>4</formula>
    </cfRule>
    <cfRule type="cellIs" dxfId="6" priority="4" operator="equal">
      <formula>3</formula>
    </cfRule>
    <cfRule type="cellIs" dxfId="5" priority="5" operator="equal">
      <formula>1</formula>
    </cfRule>
    <cfRule type="cellIs" dxfId="4" priority="6" operator="equal">
      <formula>2</formula>
    </cfRule>
  </conditionalFormatting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C1006"/>
  <sheetViews>
    <sheetView topLeftCell="G1" workbookViewId="0">
      <pane ySplit="1" topLeftCell="A28" activePane="bottomLeft" state="frozen"/>
      <selection pane="bottomLeft" activeCell="C13" sqref="C13"/>
    </sheetView>
  </sheetViews>
  <sheetFormatPr defaultColWidth="14.44140625" defaultRowHeight="15" customHeight="1" x14ac:dyDescent="0.3"/>
  <cols>
    <col min="1" max="1" width="14.109375" customWidth="1"/>
    <col min="2" max="2" width="12" customWidth="1"/>
    <col min="3" max="3" width="43.88671875" customWidth="1"/>
    <col min="4" max="4" width="11" customWidth="1"/>
    <col min="5" max="5" width="12" customWidth="1"/>
    <col min="6" max="9" width="11" customWidth="1"/>
    <col min="10" max="10" width="10" customWidth="1"/>
    <col min="11" max="11" width="11" customWidth="1"/>
    <col min="12" max="12" width="10" customWidth="1"/>
    <col min="13" max="13" width="11" customWidth="1"/>
    <col min="14" max="16" width="10" customWidth="1"/>
    <col min="17" max="17" width="11" customWidth="1"/>
    <col min="18" max="19" width="11.33203125" customWidth="1"/>
    <col min="20" max="21" width="12.6640625" customWidth="1"/>
    <col min="22" max="22" width="10" customWidth="1"/>
    <col min="23" max="23" width="11" customWidth="1"/>
    <col min="24" max="25" width="10" customWidth="1"/>
    <col min="26" max="27" width="12.109375" customWidth="1"/>
    <col min="28" max="29" width="10" customWidth="1"/>
  </cols>
  <sheetData>
    <row r="1" spans="1:29" ht="14.25" customHeight="1" x14ac:dyDescent="0.3">
      <c r="A1" s="349" t="s">
        <v>505</v>
      </c>
      <c r="B1" s="350"/>
      <c r="C1" s="351"/>
      <c r="D1" s="553" t="s">
        <v>506</v>
      </c>
      <c r="E1" s="537"/>
      <c r="F1" s="554" t="s">
        <v>507</v>
      </c>
      <c r="G1" s="537"/>
      <c r="H1" s="553" t="str">
        <f>'Proposed Budget'!C33</f>
        <v>Vehicle Maintenance</v>
      </c>
      <c r="I1" s="537"/>
      <c r="J1" s="554" t="str">
        <f>'Proposed Budget'!C34</f>
        <v>Car Insurance</v>
      </c>
      <c r="K1" s="537"/>
      <c r="L1" s="553" t="str">
        <f>'Proposed Budget'!C35</f>
        <v>Rental Garbage</v>
      </c>
      <c r="M1" s="537"/>
      <c r="N1" s="554" t="str">
        <f>'Proposed Budget'!C36</f>
        <v>Garbage</v>
      </c>
      <c r="O1" s="537"/>
      <c r="P1" s="553" t="str">
        <f>'Monthly Breakdown'!C37</f>
        <v>Sanitation - Main</v>
      </c>
      <c r="Q1" s="537"/>
      <c r="R1" s="554" t="str">
        <f>'Proposed Budget'!C38</f>
        <v>Camping/Vacation</v>
      </c>
      <c r="S1" s="537"/>
      <c r="T1" s="553" t="str">
        <f>'Proposed Budget'!C39</f>
        <v>Home Maintenance</v>
      </c>
      <c r="U1" s="537"/>
      <c r="V1" s="554" t="str">
        <f>'Proposed Budget'!C40</f>
        <v>Rental Repairs</v>
      </c>
      <c r="W1" s="537"/>
      <c r="X1" s="553" t="str">
        <f>'Proposed Budget'!C41</f>
        <v>Rental Insurance</v>
      </c>
      <c r="Y1" s="537"/>
      <c r="Z1" s="554" t="str">
        <f>'Proposed Budget'!C42</f>
        <v>Rental Property Taxes</v>
      </c>
      <c r="AA1" s="537"/>
      <c r="AB1" s="553" t="str">
        <f>'Proposed Budget'!C43</f>
        <v>Rental Sanitation</v>
      </c>
      <c r="AC1" s="537"/>
    </row>
    <row r="2" spans="1:29" ht="14.25" customHeight="1" x14ac:dyDescent="0.3">
      <c r="A2" s="352">
        <f t="shared" ref="A2:A3" si="0">SUM(G2,E2,U2,I2,S2,O2,K2,M2,Q2,W2,Y2,AA2,AC2)</f>
        <v>7309.3899999999985</v>
      </c>
      <c r="B2" s="350"/>
      <c r="C2" s="351"/>
      <c r="D2" s="353" t="s">
        <v>508</v>
      </c>
      <c r="E2" s="354">
        <f>E3-E64</f>
        <v>15130.390000000001</v>
      </c>
      <c r="F2" s="355" t="s">
        <v>508</v>
      </c>
      <c r="G2" s="356">
        <f>G3-G64</f>
        <v>552.59000000000015</v>
      </c>
      <c r="H2" s="354" t="s">
        <v>508</v>
      </c>
      <c r="I2" s="354">
        <f>I3-I64</f>
        <v>870.94999999999982</v>
      </c>
      <c r="J2" s="355" t="s">
        <v>508</v>
      </c>
      <c r="K2" s="356">
        <f>K3-K64</f>
        <v>1280</v>
      </c>
      <c r="L2" s="354" t="s">
        <v>508</v>
      </c>
      <c r="M2" s="354">
        <f>M3-M64</f>
        <v>-26.960000000000008</v>
      </c>
      <c r="N2" s="356" t="s">
        <v>508</v>
      </c>
      <c r="O2" s="356">
        <f>O3-O64</f>
        <v>-26.960000000000008</v>
      </c>
      <c r="P2" s="354" t="s">
        <v>508</v>
      </c>
      <c r="Q2" s="354">
        <f>Q3-Q64</f>
        <v>-5.6399999999999864</v>
      </c>
      <c r="R2" s="356" t="s">
        <v>508</v>
      </c>
      <c r="S2" s="356">
        <f>S3-S64</f>
        <v>-2224.7800000000002</v>
      </c>
      <c r="T2" s="357" t="s">
        <v>508</v>
      </c>
      <c r="U2" s="354">
        <f>U3-U64</f>
        <v>-8117.66</v>
      </c>
      <c r="V2" s="356" t="s">
        <v>508</v>
      </c>
      <c r="W2" s="356">
        <f>W3-W64</f>
        <v>400</v>
      </c>
      <c r="X2" s="354" t="s">
        <v>508</v>
      </c>
      <c r="Y2" s="354">
        <f>Y3-Y64</f>
        <v>-160.5</v>
      </c>
      <c r="Z2" s="356" t="s">
        <v>508</v>
      </c>
      <c r="AA2" s="356">
        <f>AA3-AA64</f>
        <v>-356.40000000000009</v>
      </c>
      <c r="AB2" s="354" t="s">
        <v>508</v>
      </c>
      <c r="AC2" s="354">
        <f>AC3-AC64</f>
        <v>-5.6399999999999864</v>
      </c>
    </row>
    <row r="3" spans="1:29" ht="14.25" customHeight="1" x14ac:dyDescent="0.3">
      <c r="A3" s="352">
        <f t="shared" si="0"/>
        <v>19549.880000000005</v>
      </c>
      <c r="B3" s="358"/>
      <c r="C3" s="351"/>
      <c r="D3" s="353" t="s">
        <v>509</v>
      </c>
      <c r="E3" s="354">
        <f>SUM(E6:E64)-SUM(D6:D64)</f>
        <v>16840.88</v>
      </c>
      <c r="F3" s="356" t="s">
        <v>509</v>
      </c>
      <c r="G3" s="356">
        <f>SUM(G6:G64)-SUM(F6:F64)</f>
        <v>1052.5900000000001</v>
      </c>
      <c r="H3" s="354" t="s">
        <v>509</v>
      </c>
      <c r="I3" s="354">
        <f>SUM(I6:I64)-SUM(H6:H64)</f>
        <v>2870.95</v>
      </c>
      <c r="J3" s="356" t="s">
        <v>509</v>
      </c>
      <c r="K3" s="356">
        <f>SUM(K6:K64)-SUM(J6:J64)</f>
        <v>2280</v>
      </c>
      <c r="L3" s="354" t="s">
        <v>509</v>
      </c>
      <c r="M3" s="354">
        <f>SUM(M6:M64)-SUM(L6:L64)</f>
        <v>38.039999999999992</v>
      </c>
      <c r="N3" s="356" t="s">
        <v>509</v>
      </c>
      <c r="O3" s="356">
        <f>SUM(O6:O64)-SUM(N6:N64)</f>
        <v>38.039999999999992</v>
      </c>
      <c r="P3" s="354" t="s">
        <v>509</v>
      </c>
      <c r="Q3" s="354">
        <f>SUM(Q6:Q64)-SUM(P6:P64)</f>
        <v>94.360000000000014</v>
      </c>
      <c r="R3" s="356" t="s">
        <v>509</v>
      </c>
      <c r="S3" s="356">
        <f>SUM(S6:S64)-SUM(R6:R64)</f>
        <v>-224.7800000000002</v>
      </c>
      <c r="T3" s="354" t="s">
        <v>509</v>
      </c>
      <c r="U3" s="354">
        <f>SUM(U6:U64)-SUM(T6:T64)</f>
        <v>-5617.66</v>
      </c>
      <c r="V3" s="356" t="s">
        <v>509</v>
      </c>
      <c r="W3" s="356">
        <f>SUM(W6:W64)-SUM(V6:V64)</f>
        <v>900</v>
      </c>
      <c r="X3" s="354" t="s">
        <v>509</v>
      </c>
      <c r="Y3" s="354">
        <f>SUM(Y6:Y64)-SUM(X6:X64)</f>
        <v>39.5</v>
      </c>
      <c r="Z3" s="356" t="s">
        <v>509</v>
      </c>
      <c r="AA3" s="356">
        <f>SUM(AA6:AA64)-SUM(Z6:Z64)</f>
        <v>1143.5999999999999</v>
      </c>
      <c r="AB3" s="354" t="s">
        <v>509</v>
      </c>
      <c r="AC3" s="354">
        <f>SUM(AC6:AC64)-SUM(AB6:AB64)</f>
        <v>94.360000000000014</v>
      </c>
    </row>
    <row r="4" spans="1:29" ht="14.25" customHeight="1" x14ac:dyDescent="0.3">
      <c r="A4" s="349" t="s">
        <v>510</v>
      </c>
      <c r="B4" s="358"/>
      <c r="C4" s="351"/>
      <c r="D4" s="553" t="s">
        <v>511</v>
      </c>
      <c r="E4" s="537"/>
      <c r="F4" s="554" t="s">
        <v>511</v>
      </c>
      <c r="G4" s="537"/>
      <c r="H4" s="553" t="s">
        <v>511</v>
      </c>
      <c r="I4" s="537"/>
      <c r="J4" s="554" t="s">
        <v>511</v>
      </c>
      <c r="K4" s="537"/>
      <c r="L4" s="553" t="s">
        <v>511</v>
      </c>
      <c r="M4" s="537"/>
      <c r="N4" s="554" t="s">
        <v>511</v>
      </c>
      <c r="O4" s="537"/>
      <c r="P4" s="553" t="s">
        <v>511</v>
      </c>
      <c r="Q4" s="537"/>
      <c r="R4" s="554" t="s">
        <v>512</v>
      </c>
      <c r="S4" s="537"/>
      <c r="T4" s="553" t="s">
        <v>513</v>
      </c>
      <c r="U4" s="537"/>
      <c r="V4" s="554" t="s">
        <v>511</v>
      </c>
      <c r="W4" s="537"/>
      <c r="X4" s="553" t="s">
        <v>511</v>
      </c>
      <c r="Y4" s="537"/>
      <c r="Z4" s="554" t="s">
        <v>511</v>
      </c>
      <c r="AA4" s="537"/>
      <c r="AB4" s="553" t="s">
        <v>511</v>
      </c>
      <c r="AC4" s="537"/>
    </row>
    <row r="5" spans="1:29" ht="14.25" customHeight="1" x14ac:dyDescent="0.3">
      <c r="A5" s="349" t="s">
        <v>514</v>
      </c>
      <c r="B5" s="358"/>
      <c r="C5" s="351"/>
      <c r="D5" s="353">
        <f t="shared" ref="D5:AC5" si="1">SUM(D6:D63)</f>
        <v>2804.9300000000003</v>
      </c>
      <c r="E5" s="354">
        <f t="shared" si="1"/>
        <v>17935.32</v>
      </c>
      <c r="F5" s="356">
        <f t="shared" si="1"/>
        <v>0</v>
      </c>
      <c r="G5" s="356">
        <f t="shared" si="1"/>
        <v>552.59</v>
      </c>
      <c r="H5" s="354">
        <f t="shared" si="1"/>
        <v>529.04999999999995</v>
      </c>
      <c r="I5" s="354">
        <f t="shared" si="1"/>
        <v>1400</v>
      </c>
      <c r="J5" s="356">
        <f t="shared" si="1"/>
        <v>0</v>
      </c>
      <c r="K5" s="356">
        <f t="shared" si="1"/>
        <v>1280</v>
      </c>
      <c r="L5" s="354">
        <f t="shared" si="1"/>
        <v>126.96000000000001</v>
      </c>
      <c r="M5" s="354">
        <f t="shared" si="1"/>
        <v>100</v>
      </c>
      <c r="N5" s="356">
        <f t="shared" si="1"/>
        <v>126.96000000000001</v>
      </c>
      <c r="O5" s="356">
        <f t="shared" si="1"/>
        <v>100</v>
      </c>
      <c r="P5" s="354">
        <f t="shared" si="1"/>
        <v>185.64</v>
      </c>
      <c r="Q5" s="354">
        <f t="shared" si="1"/>
        <v>180</v>
      </c>
      <c r="R5" s="356">
        <f t="shared" si="1"/>
        <v>3824.78</v>
      </c>
      <c r="S5" s="356">
        <f t="shared" si="1"/>
        <v>1600</v>
      </c>
      <c r="T5" s="354">
        <f t="shared" si="1"/>
        <v>9617.66</v>
      </c>
      <c r="U5" s="354">
        <f t="shared" si="1"/>
        <v>1500</v>
      </c>
      <c r="V5" s="356">
        <f t="shared" si="1"/>
        <v>0</v>
      </c>
      <c r="W5" s="356">
        <f t="shared" si="1"/>
        <v>400</v>
      </c>
      <c r="X5" s="354">
        <f t="shared" si="1"/>
        <v>500.5</v>
      </c>
      <c r="Y5" s="354">
        <f t="shared" si="1"/>
        <v>340</v>
      </c>
      <c r="Z5" s="356">
        <f t="shared" si="1"/>
        <v>1276.4000000000001</v>
      </c>
      <c r="AA5" s="356">
        <f t="shared" si="1"/>
        <v>920</v>
      </c>
      <c r="AB5" s="354">
        <f t="shared" si="1"/>
        <v>185.64</v>
      </c>
      <c r="AC5" s="354">
        <f t="shared" si="1"/>
        <v>180</v>
      </c>
    </row>
    <row r="6" spans="1:29" ht="14.25" customHeight="1" x14ac:dyDescent="0.3">
      <c r="A6" s="349" t="s">
        <v>515</v>
      </c>
      <c r="B6" s="358" t="s">
        <v>516</v>
      </c>
      <c r="C6" s="295" t="s">
        <v>517</v>
      </c>
      <c r="D6" s="353" t="s">
        <v>281</v>
      </c>
      <c r="E6" s="354" t="s">
        <v>282</v>
      </c>
      <c r="F6" s="356" t="s">
        <v>281</v>
      </c>
      <c r="G6" s="356" t="s">
        <v>282</v>
      </c>
      <c r="H6" s="354" t="s">
        <v>281</v>
      </c>
      <c r="I6" s="354" t="s">
        <v>282</v>
      </c>
      <c r="J6" s="356" t="s">
        <v>281</v>
      </c>
      <c r="K6" s="356" t="s">
        <v>282</v>
      </c>
      <c r="L6" s="354" t="s">
        <v>281</v>
      </c>
      <c r="M6" s="354" t="s">
        <v>282</v>
      </c>
      <c r="N6" s="356" t="s">
        <v>281</v>
      </c>
      <c r="O6" s="356" t="s">
        <v>282</v>
      </c>
      <c r="P6" s="354" t="s">
        <v>281</v>
      </c>
      <c r="Q6" s="354" t="s">
        <v>282</v>
      </c>
      <c r="R6" s="356" t="s">
        <v>281</v>
      </c>
      <c r="S6" s="356" t="s">
        <v>282</v>
      </c>
      <c r="T6" s="354" t="s">
        <v>281</v>
      </c>
      <c r="U6" s="354" t="s">
        <v>282</v>
      </c>
      <c r="V6" s="356" t="s">
        <v>281</v>
      </c>
      <c r="W6" s="356" t="s">
        <v>282</v>
      </c>
      <c r="X6" s="354" t="s">
        <v>281</v>
      </c>
      <c r="Y6" s="354" t="s">
        <v>282</v>
      </c>
      <c r="Z6" s="356" t="s">
        <v>281</v>
      </c>
      <c r="AA6" s="356" t="s">
        <v>282</v>
      </c>
      <c r="AB6" s="354" t="s">
        <v>281</v>
      </c>
      <c r="AC6" s="354" t="s">
        <v>282</v>
      </c>
    </row>
    <row r="7" spans="1:29" ht="14.25" customHeight="1" x14ac:dyDescent="0.3">
      <c r="A7" s="349">
        <v>46155</v>
      </c>
      <c r="B7" s="358">
        <f t="shared" ref="B7:B64" si="2">SUM(E7,U7,K7,G7,I7,S7,O7,M7,Q7,W7,Y7,AA7,AC7)-SUM(D7,F7,T7,H7,R7,N7,J7,L7,P7,V7,X7,Z7,AB7)</f>
        <v>-221.4</v>
      </c>
      <c r="C7" s="359" t="s">
        <v>873</v>
      </c>
      <c r="D7" s="353"/>
      <c r="E7" s="354"/>
      <c r="F7" s="356"/>
      <c r="G7" s="356"/>
      <c r="H7" s="354">
        <v>221.4</v>
      </c>
      <c r="I7" s="354"/>
      <c r="J7" s="356"/>
      <c r="K7" s="356"/>
      <c r="L7" s="354"/>
      <c r="M7" s="354"/>
      <c r="N7" s="356"/>
      <c r="O7" s="356"/>
      <c r="P7" s="354"/>
      <c r="Q7" s="354"/>
      <c r="R7" s="356"/>
      <c r="S7" s="356"/>
      <c r="T7" s="354"/>
      <c r="U7" s="354"/>
      <c r="V7" s="356"/>
      <c r="W7" s="356"/>
      <c r="X7" s="354"/>
      <c r="Y7" s="354"/>
      <c r="Z7" s="356"/>
      <c r="AA7" s="356"/>
      <c r="AB7" s="354"/>
      <c r="AC7" s="354"/>
    </row>
    <row r="8" spans="1:29" ht="14.25" customHeight="1" x14ac:dyDescent="0.3">
      <c r="A8" s="349">
        <v>46153</v>
      </c>
      <c r="B8" s="358">
        <f t="shared" si="2"/>
        <v>-1045.8699999999999</v>
      </c>
      <c r="C8" s="359" t="s">
        <v>860</v>
      </c>
      <c r="D8" s="353"/>
      <c r="E8" s="354"/>
      <c r="F8" s="356"/>
      <c r="G8" s="356"/>
      <c r="H8" s="354"/>
      <c r="I8" s="354"/>
      <c r="J8" s="356"/>
      <c r="K8" s="356"/>
      <c r="L8" s="354"/>
      <c r="M8" s="354"/>
      <c r="N8" s="356"/>
      <c r="O8" s="356"/>
      <c r="P8" s="354"/>
      <c r="Q8" s="354"/>
      <c r="R8" s="356"/>
      <c r="S8" s="356"/>
      <c r="T8" s="354">
        <v>1045.8699999999999</v>
      </c>
      <c r="U8" s="354"/>
      <c r="V8" s="356"/>
      <c r="W8" s="356"/>
      <c r="X8" s="354"/>
      <c r="Y8" s="354"/>
      <c r="Z8" s="356"/>
      <c r="AA8" s="356"/>
      <c r="AB8" s="354"/>
      <c r="AC8" s="354"/>
    </row>
    <row r="9" spans="1:29" ht="14.25" customHeight="1" x14ac:dyDescent="0.3">
      <c r="A9" s="349">
        <v>46151</v>
      </c>
      <c r="B9" s="358">
        <f t="shared" si="2"/>
        <v>-903.88</v>
      </c>
      <c r="C9" s="359" t="s">
        <v>874</v>
      </c>
      <c r="D9" s="353"/>
      <c r="E9" s="354"/>
      <c r="F9" s="356"/>
      <c r="G9" s="356"/>
      <c r="H9" s="354"/>
      <c r="I9" s="354"/>
      <c r="J9" s="356"/>
      <c r="K9" s="356"/>
      <c r="L9" s="354"/>
      <c r="M9" s="354"/>
      <c r="N9" s="356"/>
      <c r="O9" s="356"/>
      <c r="P9" s="354"/>
      <c r="Q9" s="354"/>
      <c r="R9" s="356"/>
      <c r="S9" s="356"/>
      <c r="T9" s="354">
        <v>903.88</v>
      </c>
      <c r="U9" s="354"/>
      <c r="V9" s="356"/>
      <c r="W9" s="356"/>
      <c r="X9" s="354"/>
      <c r="Y9" s="354"/>
      <c r="Z9" s="356"/>
      <c r="AA9" s="356"/>
      <c r="AB9" s="354"/>
      <c r="AC9" s="354"/>
    </row>
    <row r="10" spans="1:29" ht="14.25" customHeight="1" x14ac:dyDescent="0.3">
      <c r="A10" s="349">
        <v>46149</v>
      </c>
      <c r="B10" s="358">
        <f t="shared" si="2"/>
        <v>69.400000000000006</v>
      </c>
      <c r="C10" s="359" t="s">
        <v>524</v>
      </c>
      <c r="D10" s="353"/>
      <c r="E10" s="354"/>
      <c r="F10" s="356"/>
      <c r="G10" s="356">
        <v>69.400000000000006</v>
      </c>
      <c r="H10" s="354"/>
      <c r="I10" s="354"/>
      <c r="J10" s="356"/>
      <c r="K10" s="356"/>
      <c r="L10" s="354"/>
      <c r="M10" s="354"/>
      <c r="N10" s="356"/>
      <c r="O10" s="356"/>
      <c r="P10" s="354"/>
      <c r="Q10" s="354"/>
      <c r="R10" s="356"/>
      <c r="S10" s="356"/>
      <c r="T10" s="354"/>
      <c r="U10" s="354"/>
      <c r="V10" s="356"/>
      <c r="W10" s="356"/>
      <c r="X10" s="354"/>
      <c r="Y10" s="354"/>
      <c r="Z10" s="356"/>
      <c r="AA10" s="356"/>
      <c r="AB10" s="354"/>
      <c r="AC10" s="354"/>
    </row>
    <row r="11" spans="1:29" ht="14.25" customHeight="1" x14ac:dyDescent="0.3">
      <c r="A11" s="349">
        <v>46148</v>
      </c>
      <c r="B11" s="358">
        <f t="shared" si="2"/>
        <v>-500.5</v>
      </c>
      <c r="C11" s="359" t="s">
        <v>212</v>
      </c>
      <c r="D11" s="353"/>
      <c r="E11" s="354"/>
      <c r="F11" s="356"/>
      <c r="G11" s="356"/>
      <c r="H11" s="354"/>
      <c r="I11" s="354"/>
      <c r="J11" s="356"/>
      <c r="K11" s="356"/>
      <c r="L11" s="354"/>
      <c r="M11" s="354"/>
      <c r="N11" s="356"/>
      <c r="O11" s="356"/>
      <c r="P11" s="354"/>
      <c r="Q11" s="354"/>
      <c r="R11" s="356"/>
      <c r="S11" s="356"/>
      <c r="T11" s="354"/>
      <c r="U11" s="354"/>
      <c r="V11" s="356"/>
      <c r="W11" s="356"/>
      <c r="X11" s="354">
        <v>500.5</v>
      </c>
      <c r="Y11" s="354"/>
      <c r="Z11" s="356"/>
      <c r="AA11" s="356"/>
      <c r="AB11" s="354"/>
      <c r="AC11" s="354"/>
    </row>
    <row r="12" spans="1:29" ht="14.25" customHeight="1" x14ac:dyDescent="0.3">
      <c r="A12" s="349">
        <v>46148</v>
      </c>
      <c r="B12" s="358">
        <f t="shared" si="2"/>
        <v>-457.94</v>
      </c>
      <c r="C12" s="359" t="s">
        <v>875</v>
      </c>
      <c r="D12" s="353">
        <v>457.94</v>
      </c>
      <c r="E12" s="354"/>
      <c r="F12" s="356"/>
      <c r="G12" s="356"/>
      <c r="H12" s="354"/>
      <c r="I12" s="354"/>
      <c r="J12" s="356"/>
      <c r="K12" s="356"/>
      <c r="L12" s="354"/>
      <c r="M12" s="354"/>
      <c r="N12" s="356"/>
      <c r="O12" s="356"/>
      <c r="P12" s="354"/>
      <c r="Q12" s="354"/>
      <c r="R12" s="356"/>
      <c r="S12" s="356"/>
      <c r="T12" s="354"/>
      <c r="U12" s="354"/>
      <c r="V12" s="356"/>
      <c r="W12" s="356"/>
      <c r="X12" s="354"/>
      <c r="Y12" s="354"/>
      <c r="Z12" s="356"/>
      <c r="AA12" s="356"/>
      <c r="AB12" s="354"/>
      <c r="AC12" s="354"/>
    </row>
    <row r="13" spans="1:29" ht="14.25" customHeight="1" x14ac:dyDescent="0.3">
      <c r="A13" s="349">
        <v>46142</v>
      </c>
      <c r="B13" s="358">
        <f t="shared" si="2"/>
        <v>5616.82</v>
      </c>
      <c r="C13" s="359" t="s">
        <v>285</v>
      </c>
      <c r="D13" s="353"/>
      <c r="E13" s="354">
        <v>5616.82</v>
      </c>
      <c r="F13" s="356"/>
      <c r="G13" s="356"/>
      <c r="H13" s="354"/>
      <c r="I13" s="354"/>
      <c r="J13" s="356"/>
      <c r="K13" s="356"/>
      <c r="L13" s="354"/>
      <c r="M13" s="354"/>
      <c r="N13" s="356"/>
      <c r="O13" s="356"/>
      <c r="P13" s="354"/>
      <c r="Q13" s="354"/>
      <c r="R13" s="356"/>
      <c r="S13" s="356"/>
      <c r="T13" s="354"/>
      <c r="U13" s="354"/>
      <c r="V13" s="356"/>
      <c r="W13" s="356"/>
      <c r="X13" s="354"/>
      <c r="Y13" s="354"/>
      <c r="Z13" s="356"/>
      <c r="AA13" s="356"/>
      <c r="AB13" s="354"/>
      <c r="AC13" s="354"/>
    </row>
    <row r="14" spans="1:29" ht="14.25" customHeight="1" x14ac:dyDescent="0.3">
      <c r="A14" s="349">
        <v>46142</v>
      </c>
      <c r="B14" s="358">
        <f t="shared" si="2"/>
        <v>2000</v>
      </c>
      <c r="C14" s="359" t="s">
        <v>518</v>
      </c>
      <c r="D14" s="353"/>
      <c r="E14" s="354"/>
      <c r="F14" s="356"/>
      <c r="G14" s="356"/>
      <c r="H14" s="354"/>
      <c r="I14" s="354">
        <v>350</v>
      </c>
      <c r="J14" s="356"/>
      <c r="K14" s="356">
        <v>320</v>
      </c>
      <c r="L14" s="354"/>
      <c r="M14" s="354">
        <v>25</v>
      </c>
      <c r="N14" s="356"/>
      <c r="O14" s="356">
        <v>25</v>
      </c>
      <c r="P14" s="354"/>
      <c r="Q14" s="354">
        <v>45</v>
      </c>
      <c r="R14" s="356"/>
      <c r="S14" s="356">
        <v>400</v>
      </c>
      <c r="T14" s="354"/>
      <c r="U14" s="354">
        <v>375</v>
      </c>
      <c r="V14" s="356"/>
      <c r="W14" s="356">
        <v>100</v>
      </c>
      <c r="X14" s="354"/>
      <c r="Y14" s="354">
        <v>85</v>
      </c>
      <c r="Z14" s="356"/>
      <c r="AA14" s="356">
        <v>230</v>
      </c>
      <c r="AB14" s="354"/>
      <c r="AC14" s="354">
        <v>45</v>
      </c>
    </row>
    <row r="15" spans="1:29" ht="14.25" customHeight="1" x14ac:dyDescent="0.3">
      <c r="A15" s="349">
        <v>46142</v>
      </c>
      <c r="B15" s="358">
        <f t="shared" si="2"/>
        <v>62.26</v>
      </c>
      <c r="C15" s="359" t="s">
        <v>519</v>
      </c>
      <c r="D15" s="353"/>
      <c r="E15" s="354"/>
      <c r="F15" s="356"/>
      <c r="G15" s="356">
        <v>62.26</v>
      </c>
      <c r="H15" s="354"/>
      <c r="I15" s="354"/>
      <c r="J15" s="356"/>
      <c r="K15" s="356"/>
      <c r="L15" s="354"/>
      <c r="M15" s="354"/>
      <c r="N15" s="356"/>
      <c r="O15" s="356"/>
      <c r="P15" s="354"/>
      <c r="Q15" s="354"/>
      <c r="R15" s="356"/>
      <c r="S15" s="356"/>
      <c r="T15" s="354"/>
      <c r="U15" s="354"/>
      <c r="V15" s="356"/>
      <c r="W15" s="356"/>
      <c r="X15" s="354"/>
      <c r="Y15" s="354"/>
      <c r="Z15" s="356"/>
      <c r="AA15" s="356"/>
      <c r="AB15" s="354"/>
      <c r="AC15" s="354"/>
    </row>
    <row r="16" spans="1:29" ht="14.25" customHeight="1" x14ac:dyDescent="0.3">
      <c r="A16" s="349">
        <v>46142</v>
      </c>
      <c r="B16" s="358">
        <f t="shared" si="2"/>
        <v>-185.64</v>
      </c>
      <c r="C16" s="359" t="s">
        <v>430</v>
      </c>
      <c r="D16" s="353"/>
      <c r="E16" s="354"/>
      <c r="F16" s="356"/>
      <c r="G16" s="356"/>
      <c r="H16" s="354"/>
      <c r="I16" s="354"/>
      <c r="J16" s="356"/>
      <c r="K16" s="356"/>
      <c r="L16" s="354"/>
      <c r="M16" s="354"/>
      <c r="N16" s="356"/>
      <c r="O16" s="356"/>
      <c r="P16" s="354">
        <v>92.82</v>
      </c>
      <c r="Q16" s="354"/>
      <c r="R16" s="356"/>
      <c r="S16" s="356"/>
      <c r="T16" s="354"/>
      <c r="U16" s="354"/>
      <c r="V16" s="356"/>
      <c r="W16" s="356"/>
      <c r="X16" s="354"/>
      <c r="Y16" s="354"/>
      <c r="Z16" s="356"/>
      <c r="AA16" s="356"/>
      <c r="AB16" s="354">
        <v>92.82</v>
      </c>
      <c r="AC16" s="354"/>
    </row>
    <row r="17" spans="1:29" ht="14.25" customHeight="1" x14ac:dyDescent="0.3">
      <c r="A17" s="349">
        <v>46142</v>
      </c>
      <c r="B17" s="358">
        <f t="shared" si="2"/>
        <v>-127.68</v>
      </c>
      <c r="C17" s="359" t="s">
        <v>316</v>
      </c>
      <c r="D17" s="353"/>
      <c r="E17" s="354"/>
      <c r="F17" s="356"/>
      <c r="G17" s="356"/>
      <c r="H17" s="354"/>
      <c r="I17" s="354"/>
      <c r="J17" s="356"/>
      <c r="K17" s="356"/>
      <c r="L17" s="354">
        <v>63.84</v>
      </c>
      <c r="M17" s="354"/>
      <c r="N17" s="356">
        <v>63.84</v>
      </c>
      <c r="O17" s="356"/>
      <c r="P17" s="354"/>
      <c r="Q17" s="354"/>
      <c r="R17" s="356"/>
      <c r="S17" s="356"/>
      <c r="T17" s="354"/>
      <c r="U17" s="354"/>
      <c r="V17" s="356"/>
      <c r="W17" s="356"/>
      <c r="X17" s="354"/>
      <c r="Y17" s="354"/>
      <c r="Z17" s="356"/>
      <c r="AA17" s="356"/>
      <c r="AB17" s="354"/>
      <c r="AC17" s="354"/>
    </row>
    <row r="18" spans="1:29" ht="14.25" customHeight="1" x14ac:dyDescent="0.3">
      <c r="A18" s="349">
        <v>46142</v>
      </c>
      <c r="B18" s="358">
        <f t="shared" si="2"/>
        <v>0.52</v>
      </c>
      <c r="C18" s="359" t="s">
        <v>520</v>
      </c>
      <c r="D18" s="353"/>
      <c r="E18" s="354"/>
      <c r="F18" s="356"/>
      <c r="G18" s="356">
        <v>0.52</v>
      </c>
      <c r="H18" s="354"/>
      <c r="I18" s="354"/>
      <c r="J18" s="356"/>
      <c r="K18" s="356"/>
      <c r="L18" s="354"/>
      <c r="M18" s="354"/>
      <c r="N18" s="356"/>
      <c r="O18" s="356"/>
      <c r="P18" s="354"/>
      <c r="Q18" s="354"/>
      <c r="R18" s="356"/>
      <c r="S18" s="356"/>
      <c r="T18" s="354"/>
      <c r="U18" s="354"/>
      <c r="V18" s="356"/>
      <c r="W18" s="356"/>
      <c r="X18" s="354"/>
      <c r="Y18" s="354"/>
      <c r="Z18" s="356"/>
      <c r="AA18" s="356"/>
      <c r="AB18" s="354"/>
      <c r="AC18" s="354"/>
    </row>
    <row r="19" spans="1:29" ht="14.25" customHeight="1" x14ac:dyDescent="0.3">
      <c r="A19" s="349">
        <v>46130</v>
      </c>
      <c r="B19" s="358">
        <f t="shared" si="2"/>
        <v>-578.57000000000005</v>
      </c>
      <c r="C19" s="359" t="s">
        <v>521</v>
      </c>
      <c r="D19" s="353"/>
      <c r="E19" s="354"/>
      <c r="F19" s="356"/>
      <c r="G19" s="356"/>
      <c r="H19" s="354"/>
      <c r="I19" s="354"/>
      <c r="J19" s="356"/>
      <c r="K19" s="356"/>
      <c r="L19" s="354"/>
      <c r="M19" s="354"/>
      <c r="N19" s="356"/>
      <c r="O19" s="356"/>
      <c r="P19" s="354"/>
      <c r="Q19" s="354"/>
      <c r="R19" s="356"/>
      <c r="S19" s="356"/>
      <c r="T19" s="354">
        <v>578.57000000000005</v>
      </c>
      <c r="U19" s="354"/>
      <c r="V19" s="356"/>
      <c r="W19" s="356"/>
      <c r="X19" s="354"/>
      <c r="Y19" s="354"/>
      <c r="Z19" s="356"/>
      <c r="AA19" s="356"/>
      <c r="AB19" s="354"/>
      <c r="AC19" s="354"/>
    </row>
    <row r="20" spans="1:29" ht="14.25" customHeight="1" x14ac:dyDescent="0.3">
      <c r="A20" s="349">
        <v>46130</v>
      </c>
      <c r="B20" s="358">
        <f t="shared" si="2"/>
        <v>-93.71</v>
      </c>
      <c r="C20" s="359" t="s">
        <v>522</v>
      </c>
      <c r="D20" s="353"/>
      <c r="E20" s="354"/>
      <c r="F20" s="356"/>
      <c r="G20" s="356"/>
      <c r="H20" s="354">
        <v>93.71</v>
      </c>
      <c r="I20" s="354"/>
      <c r="J20" s="356"/>
      <c r="K20" s="356"/>
      <c r="L20" s="354"/>
      <c r="M20" s="354"/>
      <c r="N20" s="356"/>
      <c r="O20" s="356"/>
      <c r="P20" s="354"/>
      <c r="Q20" s="354"/>
      <c r="R20" s="356"/>
      <c r="S20" s="356"/>
      <c r="T20" s="354"/>
      <c r="U20" s="354"/>
      <c r="V20" s="356"/>
      <c r="W20" s="356"/>
      <c r="X20" s="354"/>
      <c r="Y20" s="354"/>
      <c r="Z20" s="356"/>
      <c r="AA20" s="356"/>
      <c r="AB20" s="354"/>
      <c r="AC20" s="354"/>
    </row>
    <row r="21" spans="1:29" ht="14.25" customHeight="1" x14ac:dyDescent="0.3">
      <c r="A21" s="349">
        <v>46130</v>
      </c>
      <c r="B21" s="358">
        <f t="shared" si="2"/>
        <v>-318.36</v>
      </c>
      <c r="C21" s="359" t="s">
        <v>523</v>
      </c>
      <c r="D21" s="353"/>
      <c r="E21" s="354"/>
      <c r="F21" s="356"/>
      <c r="G21" s="356"/>
      <c r="H21" s="354"/>
      <c r="I21" s="354"/>
      <c r="J21" s="356"/>
      <c r="K21" s="356"/>
      <c r="L21" s="354"/>
      <c r="M21" s="354"/>
      <c r="N21" s="356"/>
      <c r="O21" s="356"/>
      <c r="P21" s="354"/>
      <c r="Q21" s="354"/>
      <c r="R21" s="356">
        <v>318.36</v>
      </c>
      <c r="S21" s="356"/>
      <c r="T21" s="354"/>
      <c r="U21" s="354"/>
      <c r="V21" s="356"/>
      <c r="W21" s="356"/>
      <c r="X21" s="354"/>
      <c r="Y21" s="354"/>
      <c r="Z21" s="356"/>
      <c r="AA21" s="356"/>
      <c r="AB21" s="354"/>
      <c r="AC21" s="354"/>
    </row>
    <row r="22" spans="1:29" ht="14.25" customHeight="1" x14ac:dyDescent="0.3">
      <c r="A22" s="349">
        <v>46129</v>
      </c>
      <c r="B22" s="358">
        <f t="shared" si="2"/>
        <v>62.19</v>
      </c>
      <c r="C22" s="359" t="s">
        <v>524</v>
      </c>
      <c r="D22" s="353"/>
      <c r="E22" s="354"/>
      <c r="F22" s="356"/>
      <c r="G22" s="356">
        <v>62.19</v>
      </c>
      <c r="H22" s="354"/>
      <c r="I22" s="354"/>
      <c r="J22" s="356"/>
      <c r="K22" s="356"/>
      <c r="L22" s="354"/>
      <c r="M22" s="354"/>
      <c r="N22" s="356"/>
      <c r="O22" s="356"/>
      <c r="P22" s="354"/>
      <c r="Q22" s="354"/>
      <c r="R22" s="356"/>
      <c r="S22" s="356"/>
      <c r="T22" s="354"/>
      <c r="U22" s="354"/>
      <c r="V22" s="356"/>
      <c r="W22" s="356"/>
      <c r="X22" s="354"/>
      <c r="Y22" s="354"/>
      <c r="Z22" s="356"/>
      <c r="AA22" s="356"/>
      <c r="AB22" s="354"/>
      <c r="AC22" s="354"/>
    </row>
    <row r="23" spans="1:29" ht="14.25" customHeight="1" x14ac:dyDescent="0.3">
      <c r="A23" s="349">
        <v>46112</v>
      </c>
      <c r="B23" s="358">
        <f t="shared" si="2"/>
        <v>4309.58</v>
      </c>
      <c r="C23" s="359" t="s">
        <v>525</v>
      </c>
      <c r="D23" s="353"/>
      <c r="E23" s="354">
        <v>4309.58</v>
      </c>
      <c r="F23" s="356"/>
      <c r="G23" s="356"/>
      <c r="H23" s="354"/>
      <c r="I23" s="354"/>
      <c r="J23" s="356"/>
      <c r="K23" s="356"/>
      <c r="L23" s="354"/>
      <c r="M23" s="354"/>
      <c r="N23" s="356"/>
      <c r="O23" s="356"/>
      <c r="P23" s="354"/>
      <c r="Q23" s="354"/>
      <c r="R23" s="356"/>
      <c r="S23" s="356"/>
      <c r="T23" s="354"/>
      <c r="U23" s="354"/>
      <c r="V23" s="356"/>
      <c r="W23" s="356"/>
      <c r="X23" s="354"/>
      <c r="Y23" s="354"/>
      <c r="Z23" s="356"/>
      <c r="AA23" s="356"/>
      <c r="AB23" s="354"/>
      <c r="AC23" s="354"/>
    </row>
    <row r="24" spans="1:29" ht="14.25" customHeight="1" x14ac:dyDescent="0.3">
      <c r="A24" s="349">
        <v>46112</v>
      </c>
      <c r="B24" s="358">
        <f t="shared" si="2"/>
        <v>2000</v>
      </c>
      <c r="C24" s="359" t="s">
        <v>526</v>
      </c>
      <c r="D24" s="353"/>
      <c r="E24" s="354"/>
      <c r="F24" s="356"/>
      <c r="G24" s="356"/>
      <c r="H24" s="354"/>
      <c r="I24" s="354">
        <v>350</v>
      </c>
      <c r="J24" s="356"/>
      <c r="K24" s="356">
        <v>320</v>
      </c>
      <c r="L24" s="354"/>
      <c r="M24" s="354">
        <v>25</v>
      </c>
      <c r="N24" s="356"/>
      <c r="O24" s="356">
        <v>25</v>
      </c>
      <c r="P24" s="354"/>
      <c r="Q24" s="354">
        <v>45</v>
      </c>
      <c r="R24" s="356"/>
      <c r="S24" s="356">
        <v>400</v>
      </c>
      <c r="T24" s="354"/>
      <c r="U24" s="354">
        <v>375</v>
      </c>
      <c r="V24" s="356"/>
      <c r="W24" s="356">
        <v>100</v>
      </c>
      <c r="X24" s="354"/>
      <c r="Y24" s="354">
        <v>85</v>
      </c>
      <c r="Z24" s="356"/>
      <c r="AA24" s="356">
        <v>230</v>
      </c>
      <c r="AB24" s="354"/>
      <c r="AC24" s="354">
        <v>45</v>
      </c>
    </row>
    <row r="25" spans="1:29" ht="14.25" customHeight="1" x14ac:dyDescent="0.3">
      <c r="A25" s="349">
        <v>46112</v>
      </c>
      <c r="B25" s="358">
        <f t="shared" si="2"/>
        <v>0.34</v>
      </c>
      <c r="C25" s="359" t="s">
        <v>520</v>
      </c>
      <c r="D25" s="353"/>
      <c r="E25" s="354"/>
      <c r="F25" s="356"/>
      <c r="G25" s="356">
        <v>0.34</v>
      </c>
      <c r="H25" s="354"/>
      <c r="I25" s="354"/>
      <c r="J25" s="356"/>
      <c r="K25" s="356"/>
      <c r="L25" s="354"/>
      <c r="M25" s="354"/>
      <c r="N25" s="356"/>
      <c r="O25" s="356"/>
      <c r="P25" s="354"/>
      <c r="Q25" s="354"/>
      <c r="R25" s="356"/>
      <c r="S25" s="356"/>
      <c r="T25" s="354"/>
      <c r="U25" s="354"/>
      <c r="V25" s="356"/>
      <c r="W25" s="356"/>
      <c r="X25" s="354"/>
      <c r="Y25" s="354"/>
      <c r="Z25" s="356"/>
      <c r="AA25" s="356"/>
      <c r="AB25" s="354"/>
      <c r="AC25" s="354"/>
    </row>
    <row r="26" spans="1:29" ht="14.25" customHeight="1" x14ac:dyDescent="0.3">
      <c r="A26" s="349">
        <v>46112</v>
      </c>
      <c r="B26" s="358">
        <f t="shared" si="2"/>
        <v>-1200</v>
      </c>
      <c r="C26" s="359" t="s">
        <v>527</v>
      </c>
      <c r="D26" s="353"/>
      <c r="E26" s="354"/>
      <c r="F26" s="356"/>
      <c r="G26" s="356"/>
      <c r="H26" s="354"/>
      <c r="I26" s="354"/>
      <c r="J26" s="356"/>
      <c r="K26" s="356"/>
      <c r="L26" s="354"/>
      <c r="M26" s="354"/>
      <c r="N26" s="356"/>
      <c r="O26" s="356"/>
      <c r="P26" s="354"/>
      <c r="Q26" s="354"/>
      <c r="R26" s="356"/>
      <c r="S26" s="356"/>
      <c r="T26" s="354">
        <v>1200</v>
      </c>
      <c r="U26" s="354"/>
      <c r="V26" s="356"/>
      <c r="W26" s="356"/>
      <c r="X26" s="354"/>
      <c r="Y26" s="354"/>
      <c r="Z26" s="356"/>
      <c r="AA26" s="356"/>
      <c r="AB26" s="354"/>
      <c r="AC26" s="354"/>
    </row>
    <row r="27" spans="1:29" ht="14.25" customHeight="1" x14ac:dyDescent="0.3">
      <c r="A27" s="349">
        <v>46108</v>
      </c>
      <c r="B27" s="358">
        <f t="shared" si="2"/>
        <v>68.72</v>
      </c>
      <c r="C27" s="359" t="s">
        <v>519</v>
      </c>
      <c r="D27" s="353"/>
      <c r="E27" s="354"/>
      <c r="F27" s="356"/>
      <c r="G27" s="356">
        <v>68.72</v>
      </c>
      <c r="H27" s="354"/>
      <c r="I27" s="354"/>
      <c r="J27" s="356"/>
      <c r="K27" s="356"/>
      <c r="L27" s="354"/>
      <c r="M27" s="354"/>
      <c r="N27" s="356"/>
      <c r="O27" s="356"/>
      <c r="P27" s="354"/>
      <c r="Q27" s="354"/>
      <c r="R27" s="356"/>
      <c r="S27" s="356"/>
      <c r="T27" s="354"/>
      <c r="U27" s="354"/>
      <c r="V27" s="356"/>
      <c r="W27" s="356"/>
      <c r="X27" s="354"/>
      <c r="Y27" s="354"/>
      <c r="Z27" s="356"/>
      <c r="AA27" s="356"/>
      <c r="AB27" s="354"/>
      <c r="AC27" s="354"/>
    </row>
    <row r="28" spans="1:29" ht="14.25" customHeight="1" x14ac:dyDescent="0.3">
      <c r="A28" s="349">
        <v>46104</v>
      </c>
      <c r="B28" s="358">
        <f t="shared" si="2"/>
        <v>-6</v>
      </c>
      <c r="C28" s="359" t="s">
        <v>528</v>
      </c>
      <c r="D28" s="353">
        <v>6</v>
      </c>
      <c r="E28" s="354"/>
      <c r="F28" s="356"/>
      <c r="G28" s="356"/>
      <c r="H28" s="354"/>
      <c r="I28" s="354"/>
      <c r="J28" s="356"/>
      <c r="K28" s="356"/>
      <c r="L28" s="354"/>
      <c r="M28" s="354"/>
      <c r="N28" s="356"/>
      <c r="O28" s="356"/>
      <c r="P28" s="354"/>
      <c r="Q28" s="354"/>
      <c r="R28" s="356"/>
      <c r="S28" s="356"/>
      <c r="T28" s="354"/>
      <c r="U28" s="354"/>
      <c r="V28" s="356"/>
      <c r="W28" s="356"/>
      <c r="X28" s="354"/>
      <c r="Y28" s="354"/>
      <c r="Z28" s="356"/>
      <c r="AA28" s="356"/>
      <c r="AB28" s="354"/>
      <c r="AC28" s="354"/>
    </row>
    <row r="29" spans="1:29" ht="14.25" customHeight="1" x14ac:dyDescent="0.3">
      <c r="A29" s="349">
        <v>46103</v>
      </c>
      <c r="B29" s="358">
        <f t="shared" si="2"/>
        <v>-100</v>
      </c>
      <c r="C29" s="359" t="s">
        <v>529</v>
      </c>
      <c r="D29" s="353">
        <v>100</v>
      </c>
      <c r="E29" s="354"/>
      <c r="F29" s="356"/>
      <c r="G29" s="356"/>
      <c r="H29" s="354"/>
      <c r="I29" s="354"/>
      <c r="J29" s="356"/>
      <c r="K29" s="356"/>
      <c r="L29" s="354"/>
      <c r="M29" s="354"/>
      <c r="N29" s="356"/>
      <c r="O29" s="356"/>
      <c r="P29" s="354"/>
      <c r="Q29" s="354"/>
      <c r="R29" s="356"/>
      <c r="S29" s="356"/>
      <c r="T29" s="354"/>
      <c r="U29" s="354"/>
      <c r="V29" s="356"/>
      <c r="W29" s="356"/>
      <c r="X29" s="354"/>
      <c r="Y29" s="354"/>
      <c r="Z29" s="356"/>
      <c r="AA29" s="356"/>
      <c r="AB29" s="354"/>
      <c r="AC29" s="354"/>
    </row>
    <row r="30" spans="1:29" ht="14.25" customHeight="1" x14ac:dyDescent="0.3">
      <c r="A30" s="349">
        <v>46103</v>
      </c>
      <c r="B30" s="358">
        <f t="shared" si="2"/>
        <v>-100</v>
      </c>
      <c r="C30" s="359" t="s">
        <v>530</v>
      </c>
      <c r="D30" s="353">
        <v>100</v>
      </c>
      <c r="E30" s="354"/>
      <c r="F30" s="356"/>
      <c r="G30" s="356"/>
      <c r="H30" s="354"/>
      <c r="I30" s="354"/>
      <c r="J30" s="356"/>
      <c r="K30" s="356"/>
      <c r="L30" s="354"/>
      <c r="M30" s="354"/>
      <c r="N30" s="356"/>
      <c r="O30" s="356"/>
      <c r="P30" s="354"/>
      <c r="Q30" s="354"/>
      <c r="R30" s="356"/>
      <c r="S30" s="356"/>
      <c r="T30" s="354"/>
      <c r="U30" s="354"/>
      <c r="V30" s="356"/>
      <c r="W30" s="356"/>
      <c r="X30" s="354"/>
      <c r="Y30" s="354"/>
      <c r="Z30" s="356"/>
      <c r="AA30" s="356"/>
      <c r="AB30" s="354"/>
      <c r="AC30" s="354"/>
    </row>
    <row r="31" spans="1:29" ht="14.25" customHeight="1" x14ac:dyDescent="0.3">
      <c r="A31" s="349">
        <v>46103</v>
      </c>
      <c r="B31" s="358">
        <f t="shared" si="2"/>
        <v>-50</v>
      </c>
      <c r="C31" s="359" t="s">
        <v>531</v>
      </c>
      <c r="D31" s="353">
        <v>50</v>
      </c>
      <c r="E31" s="354"/>
      <c r="F31" s="356"/>
      <c r="G31" s="356"/>
      <c r="H31" s="354"/>
      <c r="I31" s="354"/>
      <c r="J31" s="356"/>
      <c r="K31" s="356"/>
      <c r="L31" s="354"/>
      <c r="M31" s="354"/>
      <c r="N31" s="356"/>
      <c r="O31" s="356"/>
      <c r="P31" s="354"/>
      <c r="Q31" s="354"/>
      <c r="R31" s="356"/>
      <c r="S31" s="356"/>
      <c r="T31" s="354"/>
      <c r="U31" s="354"/>
      <c r="V31" s="356"/>
      <c r="W31" s="356"/>
      <c r="X31" s="354"/>
      <c r="Y31" s="354"/>
      <c r="Z31" s="356"/>
      <c r="AA31" s="356"/>
      <c r="AB31" s="354"/>
      <c r="AC31" s="354"/>
    </row>
    <row r="32" spans="1:29" ht="14.25" customHeight="1" x14ac:dyDescent="0.3">
      <c r="A32" s="349">
        <v>46103</v>
      </c>
      <c r="B32" s="358">
        <f t="shared" si="2"/>
        <v>-100</v>
      </c>
      <c r="C32" s="359" t="s">
        <v>532</v>
      </c>
      <c r="D32" s="353">
        <v>100</v>
      </c>
      <c r="E32" s="354"/>
      <c r="F32" s="356"/>
      <c r="G32" s="356"/>
      <c r="H32" s="354"/>
      <c r="I32" s="354"/>
      <c r="J32" s="356"/>
      <c r="K32" s="356"/>
      <c r="L32" s="354"/>
      <c r="M32" s="354"/>
      <c r="N32" s="356"/>
      <c r="O32" s="356"/>
      <c r="P32" s="354"/>
      <c r="Q32" s="354"/>
      <c r="R32" s="356"/>
      <c r="S32" s="356"/>
      <c r="T32" s="354"/>
      <c r="U32" s="354"/>
      <c r="V32" s="356"/>
      <c r="W32" s="356"/>
      <c r="X32" s="354"/>
      <c r="Y32" s="354"/>
      <c r="Z32" s="356"/>
      <c r="AA32" s="356"/>
      <c r="AB32" s="354"/>
      <c r="AC32" s="354"/>
    </row>
    <row r="33" spans="1:29" ht="14.25" customHeight="1" x14ac:dyDescent="0.3">
      <c r="A33" s="349">
        <v>46103</v>
      </c>
      <c r="B33" s="358">
        <f t="shared" si="2"/>
        <v>-100</v>
      </c>
      <c r="C33" s="359" t="s">
        <v>533</v>
      </c>
      <c r="D33" s="353">
        <v>100</v>
      </c>
      <c r="E33" s="354"/>
      <c r="F33" s="356"/>
      <c r="G33" s="356"/>
      <c r="H33" s="354"/>
      <c r="I33" s="354"/>
      <c r="J33" s="356"/>
      <c r="K33" s="356"/>
      <c r="L33" s="354"/>
      <c r="M33" s="354"/>
      <c r="N33" s="356"/>
      <c r="O33" s="356"/>
      <c r="P33" s="354"/>
      <c r="Q33" s="354"/>
      <c r="R33" s="356"/>
      <c r="S33" s="356"/>
      <c r="T33" s="354"/>
      <c r="U33" s="354"/>
      <c r="V33" s="356"/>
      <c r="W33" s="356"/>
      <c r="X33" s="354"/>
      <c r="Y33" s="354"/>
      <c r="Z33" s="356"/>
      <c r="AA33" s="356"/>
      <c r="AB33" s="354"/>
      <c r="AC33" s="354"/>
    </row>
    <row r="34" spans="1:29" ht="14.25" customHeight="1" x14ac:dyDescent="0.3">
      <c r="A34" s="349">
        <v>46102</v>
      </c>
      <c r="B34" s="358">
        <f t="shared" si="2"/>
        <v>-300</v>
      </c>
      <c r="C34" s="359" t="s">
        <v>534</v>
      </c>
      <c r="D34" s="353">
        <v>300</v>
      </c>
      <c r="E34" s="354"/>
      <c r="F34" s="356"/>
      <c r="G34" s="356"/>
      <c r="H34" s="354"/>
      <c r="I34" s="354"/>
      <c r="J34" s="356"/>
      <c r="K34" s="356"/>
      <c r="L34" s="354"/>
      <c r="M34" s="354"/>
      <c r="N34" s="356"/>
      <c r="O34" s="356"/>
      <c r="P34" s="354"/>
      <c r="Q34" s="354"/>
      <c r="R34" s="356"/>
      <c r="S34" s="356"/>
      <c r="T34" s="354"/>
      <c r="U34" s="354"/>
      <c r="V34" s="356"/>
      <c r="W34" s="356"/>
      <c r="X34" s="354"/>
      <c r="Y34" s="354"/>
      <c r="Z34" s="356"/>
      <c r="AA34" s="356"/>
      <c r="AB34" s="354"/>
      <c r="AC34" s="354"/>
    </row>
    <row r="35" spans="1:29" ht="14.25" customHeight="1" x14ac:dyDescent="0.3">
      <c r="A35" s="349">
        <v>46102</v>
      </c>
      <c r="B35" s="358">
        <f t="shared" si="2"/>
        <v>1384.5</v>
      </c>
      <c r="C35" s="359" t="s">
        <v>535</v>
      </c>
      <c r="D35" s="353"/>
      <c r="E35" s="354"/>
      <c r="F35" s="356"/>
      <c r="G35" s="356"/>
      <c r="H35" s="354"/>
      <c r="I35" s="354"/>
      <c r="J35" s="356"/>
      <c r="K35" s="356"/>
      <c r="L35" s="354"/>
      <c r="M35" s="354"/>
      <c r="N35" s="356"/>
      <c r="O35" s="356"/>
      <c r="P35" s="354"/>
      <c r="Q35" s="354"/>
      <c r="R35" s="356">
        <v>-1384.5</v>
      </c>
      <c r="S35" s="356"/>
      <c r="T35" s="354"/>
      <c r="U35" s="354"/>
      <c r="V35" s="356"/>
      <c r="W35" s="356"/>
      <c r="X35" s="354"/>
      <c r="Y35" s="354"/>
      <c r="Z35" s="356"/>
      <c r="AA35" s="356"/>
      <c r="AB35" s="354"/>
      <c r="AC35" s="354"/>
    </row>
    <row r="36" spans="1:29" ht="14.25" customHeight="1" x14ac:dyDescent="0.3">
      <c r="A36" s="349">
        <v>46094</v>
      </c>
      <c r="B36" s="358">
        <f t="shared" si="2"/>
        <v>55.66</v>
      </c>
      <c r="C36" s="359" t="s">
        <v>524</v>
      </c>
      <c r="D36" s="353"/>
      <c r="E36" s="354"/>
      <c r="F36" s="356"/>
      <c r="G36" s="356">
        <v>55.66</v>
      </c>
      <c r="H36" s="354"/>
      <c r="I36" s="354"/>
      <c r="J36" s="356"/>
      <c r="K36" s="356"/>
      <c r="L36" s="354"/>
      <c r="M36" s="354"/>
      <c r="N36" s="356"/>
      <c r="O36" s="356"/>
      <c r="P36" s="354"/>
      <c r="Q36" s="354"/>
      <c r="R36" s="356"/>
      <c r="S36" s="356"/>
      <c r="T36" s="354"/>
      <c r="U36" s="354"/>
      <c r="V36" s="356"/>
      <c r="W36" s="356"/>
      <c r="X36" s="354"/>
      <c r="Y36" s="354"/>
      <c r="Z36" s="356"/>
      <c r="AA36" s="356"/>
      <c r="AB36" s="354"/>
      <c r="AC36" s="354"/>
    </row>
    <row r="37" spans="1:29" ht="14.25" customHeight="1" x14ac:dyDescent="0.3">
      <c r="A37" s="349">
        <v>46090</v>
      </c>
      <c r="B37" s="358">
        <f t="shared" si="2"/>
        <v>-380</v>
      </c>
      <c r="C37" s="359" t="s">
        <v>536</v>
      </c>
      <c r="D37" s="353"/>
      <c r="E37" s="354"/>
      <c r="F37" s="356"/>
      <c r="G37" s="356"/>
      <c r="H37" s="354"/>
      <c r="I37" s="354"/>
      <c r="J37" s="356"/>
      <c r="K37" s="356"/>
      <c r="L37" s="354"/>
      <c r="M37" s="354"/>
      <c r="N37" s="356"/>
      <c r="O37" s="356"/>
      <c r="P37" s="354"/>
      <c r="Q37" s="354"/>
      <c r="R37" s="356">
        <v>380</v>
      </c>
      <c r="S37" s="356"/>
      <c r="T37" s="354"/>
      <c r="U37" s="354"/>
      <c r="V37" s="356"/>
      <c r="W37" s="356"/>
      <c r="X37" s="354"/>
      <c r="Y37" s="354"/>
      <c r="Z37" s="356"/>
      <c r="AA37" s="356"/>
      <c r="AB37" s="354"/>
      <c r="AC37" s="354"/>
    </row>
    <row r="38" spans="1:29" ht="14.25" customHeight="1" x14ac:dyDescent="0.3">
      <c r="A38" s="349">
        <v>46083</v>
      </c>
      <c r="B38" s="358">
        <f t="shared" si="2"/>
        <v>-185.64</v>
      </c>
      <c r="C38" s="359" t="s">
        <v>430</v>
      </c>
      <c r="D38" s="353"/>
      <c r="E38" s="354"/>
      <c r="F38" s="356"/>
      <c r="G38" s="356"/>
      <c r="H38" s="354"/>
      <c r="I38" s="354"/>
      <c r="J38" s="356"/>
      <c r="K38" s="356"/>
      <c r="L38" s="354"/>
      <c r="M38" s="354"/>
      <c r="N38" s="356"/>
      <c r="O38" s="356"/>
      <c r="P38" s="354">
        <v>92.82</v>
      </c>
      <c r="Q38" s="354"/>
      <c r="R38" s="356"/>
      <c r="S38" s="356"/>
      <c r="T38" s="354"/>
      <c r="U38" s="354"/>
      <c r="V38" s="356"/>
      <c r="W38" s="356"/>
      <c r="X38" s="354"/>
      <c r="Y38" s="354"/>
      <c r="Z38" s="356"/>
      <c r="AA38" s="356"/>
      <c r="AB38" s="354">
        <v>92.82</v>
      </c>
      <c r="AC38" s="354"/>
    </row>
    <row r="39" spans="1:29" ht="14.25" customHeight="1" x14ac:dyDescent="0.3">
      <c r="A39" s="349">
        <v>46081</v>
      </c>
      <c r="B39" s="358">
        <f t="shared" si="2"/>
        <v>3764.91</v>
      </c>
      <c r="C39" s="359" t="s">
        <v>432</v>
      </c>
      <c r="D39" s="353"/>
      <c r="E39" s="354">
        <v>3764.91</v>
      </c>
      <c r="F39" s="356"/>
      <c r="G39" s="356"/>
      <c r="H39" s="354"/>
      <c r="I39" s="354"/>
      <c r="J39" s="356"/>
      <c r="K39" s="356"/>
      <c r="L39" s="354"/>
      <c r="M39" s="354"/>
      <c r="N39" s="356"/>
      <c r="O39" s="356"/>
      <c r="P39" s="354"/>
      <c r="Q39" s="354"/>
      <c r="R39" s="356"/>
      <c r="S39" s="356"/>
      <c r="T39" s="354"/>
      <c r="U39" s="354"/>
      <c r="V39" s="356"/>
      <c r="W39" s="356"/>
      <c r="X39" s="354"/>
      <c r="Y39" s="354"/>
      <c r="Z39" s="356"/>
      <c r="AA39" s="356"/>
      <c r="AB39" s="354"/>
      <c r="AC39" s="354"/>
    </row>
    <row r="40" spans="1:29" ht="14.25" customHeight="1" x14ac:dyDescent="0.3">
      <c r="A40" s="349">
        <v>46081</v>
      </c>
      <c r="B40" s="358">
        <f t="shared" si="2"/>
        <v>2000</v>
      </c>
      <c r="C40" s="359" t="s">
        <v>537</v>
      </c>
      <c r="D40" s="353"/>
      <c r="E40" s="354"/>
      <c r="F40" s="356"/>
      <c r="G40" s="356"/>
      <c r="H40" s="354"/>
      <c r="I40" s="354">
        <v>350</v>
      </c>
      <c r="J40" s="356"/>
      <c r="K40" s="356">
        <v>320</v>
      </c>
      <c r="L40" s="354"/>
      <c r="M40" s="354">
        <v>25</v>
      </c>
      <c r="N40" s="356"/>
      <c r="O40" s="356">
        <v>25</v>
      </c>
      <c r="P40" s="354"/>
      <c r="Q40" s="354">
        <v>45</v>
      </c>
      <c r="R40" s="356"/>
      <c r="S40" s="356">
        <v>400</v>
      </c>
      <c r="T40" s="354"/>
      <c r="U40" s="354">
        <v>375</v>
      </c>
      <c r="V40" s="356"/>
      <c r="W40" s="356">
        <v>100</v>
      </c>
      <c r="X40" s="354"/>
      <c r="Y40" s="354">
        <v>85</v>
      </c>
      <c r="Z40" s="356"/>
      <c r="AA40" s="356">
        <v>230</v>
      </c>
      <c r="AB40" s="354"/>
      <c r="AC40" s="354">
        <v>45</v>
      </c>
    </row>
    <row r="41" spans="1:29" ht="14.25" customHeight="1" x14ac:dyDescent="0.3">
      <c r="A41" s="349">
        <v>46081</v>
      </c>
      <c r="B41" s="358">
        <f t="shared" si="2"/>
        <v>0.23</v>
      </c>
      <c r="C41" s="359" t="s">
        <v>520</v>
      </c>
      <c r="D41" s="353"/>
      <c r="E41" s="354"/>
      <c r="F41" s="356"/>
      <c r="G41" s="356">
        <v>0.23</v>
      </c>
      <c r="H41" s="354"/>
      <c r="I41" s="354"/>
      <c r="J41" s="356"/>
      <c r="K41" s="356"/>
      <c r="L41" s="354"/>
      <c r="M41" s="354"/>
      <c r="N41" s="356"/>
      <c r="O41" s="356"/>
      <c r="P41" s="354"/>
      <c r="Q41" s="354"/>
      <c r="R41" s="356"/>
      <c r="S41" s="356"/>
      <c r="T41" s="354"/>
      <c r="U41" s="354"/>
      <c r="V41" s="356"/>
      <c r="W41" s="356"/>
      <c r="X41" s="354"/>
      <c r="Y41" s="354"/>
      <c r="Z41" s="356"/>
      <c r="AA41" s="356"/>
      <c r="AB41" s="354"/>
      <c r="AC41" s="354"/>
    </row>
    <row r="42" spans="1:29" ht="14.25" customHeight="1" x14ac:dyDescent="0.3">
      <c r="A42" s="349">
        <v>46070</v>
      </c>
      <c r="B42" s="358">
        <f t="shared" si="2"/>
        <v>-1920</v>
      </c>
      <c r="C42" s="359" t="s">
        <v>538</v>
      </c>
      <c r="D42" s="353"/>
      <c r="E42" s="354"/>
      <c r="F42" s="356"/>
      <c r="G42" s="356"/>
      <c r="H42" s="354"/>
      <c r="I42" s="354"/>
      <c r="J42" s="356"/>
      <c r="K42" s="356"/>
      <c r="L42" s="354"/>
      <c r="M42" s="354"/>
      <c r="N42" s="356"/>
      <c r="O42" s="356"/>
      <c r="P42" s="354"/>
      <c r="Q42" s="354"/>
      <c r="R42" s="356"/>
      <c r="S42" s="356"/>
      <c r="T42" s="354">
        <v>1920</v>
      </c>
      <c r="U42" s="354"/>
      <c r="V42" s="356"/>
      <c r="W42" s="356"/>
      <c r="X42" s="354"/>
      <c r="Y42" s="354"/>
      <c r="Z42" s="356"/>
      <c r="AA42" s="356"/>
      <c r="AB42" s="354"/>
      <c r="AC42" s="354"/>
    </row>
    <row r="43" spans="1:29" ht="14.25" customHeight="1" x14ac:dyDescent="0.3">
      <c r="A43" s="349">
        <v>46069</v>
      </c>
      <c r="B43" s="358">
        <f t="shared" si="2"/>
        <v>-243.8</v>
      </c>
      <c r="C43" s="359" t="s">
        <v>538</v>
      </c>
      <c r="D43" s="353"/>
      <c r="E43" s="354"/>
      <c r="F43" s="356"/>
      <c r="G43" s="356"/>
      <c r="H43" s="354"/>
      <c r="I43" s="354"/>
      <c r="J43" s="356"/>
      <c r="K43" s="356"/>
      <c r="L43" s="354"/>
      <c r="M43" s="354"/>
      <c r="N43" s="356"/>
      <c r="O43" s="356"/>
      <c r="P43" s="354"/>
      <c r="Q43" s="354"/>
      <c r="R43" s="356"/>
      <c r="S43" s="356"/>
      <c r="T43" s="354">
        <v>243.8</v>
      </c>
      <c r="U43" s="354"/>
      <c r="V43" s="356"/>
      <c r="W43" s="356"/>
      <c r="X43" s="354"/>
      <c r="Y43" s="354"/>
      <c r="Z43" s="356"/>
      <c r="AA43" s="356"/>
      <c r="AB43" s="354"/>
      <c r="AC43" s="354"/>
    </row>
    <row r="44" spans="1:29" ht="14.25" customHeight="1" x14ac:dyDescent="0.3">
      <c r="A44" s="349">
        <v>46068</v>
      </c>
      <c r="B44" s="358">
        <f t="shared" si="2"/>
        <v>63.46</v>
      </c>
      <c r="C44" s="359" t="s">
        <v>524</v>
      </c>
      <c r="D44" s="353"/>
      <c r="E44" s="354"/>
      <c r="F44" s="356"/>
      <c r="G44" s="356">
        <v>63.46</v>
      </c>
      <c r="H44" s="354"/>
      <c r="I44" s="354"/>
      <c r="J44" s="356"/>
      <c r="K44" s="356"/>
      <c r="L44" s="354"/>
      <c r="M44" s="354"/>
      <c r="N44" s="356"/>
      <c r="O44" s="356"/>
      <c r="P44" s="354"/>
      <c r="Q44" s="354"/>
      <c r="R44" s="356"/>
      <c r="S44" s="356"/>
      <c r="T44" s="354"/>
      <c r="U44" s="354"/>
      <c r="V44" s="356"/>
      <c r="W44" s="356"/>
      <c r="X44" s="354"/>
      <c r="Y44" s="354"/>
      <c r="Z44" s="356"/>
      <c r="AA44" s="356"/>
      <c r="AB44" s="354"/>
      <c r="AC44" s="354"/>
    </row>
    <row r="45" spans="1:29" ht="14.25" customHeight="1" x14ac:dyDescent="0.3">
      <c r="A45" s="349">
        <v>46067</v>
      </c>
      <c r="B45" s="358">
        <f t="shared" si="2"/>
        <v>-1007.99</v>
      </c>
      <c r="C45" s="359" t="s">
        <v>539</v>
      </c>
      <c r="D45" s="353">
        <v>1007.99</v>
      </c>
      <c r="E45" s="354"/>
      <c r="F45" s="356"/>
      <c r="G45" s="356"/>
      <c r="H45" s="354"/>
      <c r="I45" s="354"/>
      <c r="J45" s="356"/>
      <c r="K45" s="356"/>
      <c r="L45" s="354"/>
      <c r="M45" s="354"/>
      <c r="N45" s="356"/>
      <c r="O45" s="356"/>
      <c r="P45" s="354"/>
      <c r="Q45" s="354"/>
      <c r="R45" s="356"/>
      <c r="S45" s="356"/>
      <c r="T45" s="354"/>
      <c r="U45" s="354"/>
      <c r="V45" s="356"/>
      <c r="W45" s="356"/>
      <c r="X45" s="354"/>
      <c r="Y45" s="354"/>
      <c r="Z45" s="356"/>
      <c r="AA45" s="356"/>
      <c r="AB45" s="354"/>
      <c r="AC45" s="354"/>
    </row>
    <row r="46" spans="1:29" ht="14.25" customHeight="1" x14ac:dyDescent="0.3">
      <c r="A46" s="349">
        <v>46063</v>
      </c>
      <c r="B46" s="358">
        <f t="shared" si="2"/>
        <v>-1276.4000000000001</v>
      </c>
      <c r="C46" s="359" t="s">
        <v>540</v>
      </c>
      <c r="D46" s="353"/>
      <c r="E46" s="354"/>
      <c r="F46" s="356"/>
      <c r="G46" s="356"/>
      <c r="H46" s="354"/>
      <c r="I46" s="354"/>
      <c r="J46" s="356"/>
      <c r="K46" s="356"/>
      <c r="L46" s="354"/>
      <c r="M46" s="354"/>
      <c r="N46" s="356"/>
      <c r="O46" s="356"/>
      <c r="P46" s="354"/>
      <c r="Q46" s="354"/>
      <c r="R46" s="356"/>
      <c r="S46" s="356"/>
      <c r="T46" s="354"/>
      <c r="U46" s="354"/>
      <c r="V46" s="356"/>
      <c r="W46" s="356"/>
      <c r="X46" s="354"/>
      <c r="Y46" s="354"/>
      <c r="Z46" s="356">
        <v>1276.4000000000001</v>
      </c>
      <c r="AA46" s="356"/>
      <c r="AB46" s="354"/>
      <c r="AC46" s="354"/>
    </row>
    <row r="47" spans="1:29" ht="14.25" customHeight="1" x14ac:dyDescent="0.3">
      <c r="A47" s="349">
        <v>46063</v>
      </c>
      <c r="B47" s="358">
        <f t="shared" si="2"/>
        <v>-955</v>
      </c>
      <c r="C47" s="359" t="s">
        <v>541</v>
      </c>
      <c r="D47" s="353"/>
      <c r="E47" s="354"/>
      <c r="F47" s="356"/>
      <c r="G47" s="356"/>
      <c r="H47" s="354"/>
      <c r="I47" s="354"/>
      <c r="J47" s="356"/>
      <c r="K47" s="356"/>
      <c r="L47" s="354"/>
      <c r="M47" s="354"/>
      <c r="N47" s="356"/>
      <c r="O47" s="356"/>
      <c r="P47" s="354"/>
      <c r="Q47" s="354"/>
      <c r="R47" s="356">
        <v>955</v>
      </c>
      <c r="S47" s="356"/>
      <c r="T47" s="354"/>
      <c r="U47" s="354"/>
      <c r="V47" s="356"/>
      <c r="W47" s="356"/>
      <c r="X47" s="354"/>
      <c r="Y47" s="354"/>
      <c r="Z47" s="356"/>
      <c r="AA47" s="356"/>
      <c r="AB47" s="354"/>
      <c r="AC47" s="354"/>
    </row>
    <row r="48" spans="1:29" ht="14.25" customHeight="1" x14ac:dyDescent="0.3">
      <c r="A48" s="349">
        <v>46063</v>
      </c>
      <c r="B48" s="358">
        <f t="shared" si="2"/>
        <v>59.19</v>
      </c>
      <c r="C48" s="359" t="s">
        <v>519</v>
      </c>
      <c r="D48" s="353"/>
      <c r="E48" s="354"/>
      <c r="F48" s="356"/>
      <c r="G48" s="356">
        <v>59.19</v>
      </c>
      <c r="H48" s="354"/>
      <c r="I48" s="354"/>
      <c r="J48" s="356"/>
      <c r="K48" s="356"/>
      <c r="L48" s="354"/>
      <c r="M48" s="354"/>
      <c r="N48" s="356"/>
      <c r="O48" s="356"/>
      <c r="P48" s="354"/>
      <c r="Q48" s="354"/>
      <c r="R48" s="356"/>
      <c r="S48" s="356"/>
      <c r="T48" s="354"/>
      <c r="U48" s="354"/>
      <c r="V48" s="356"/>
      <c r="W48" s="356"/>
      <c r="X48" s="354"/>
      <c r="Y48" s="354"/>
      <c r="Z48" s="356"/>
      <c r="AA48" s="356"/>
      <c r="AB48" s="354"/>
      <c r="AC48" s="354"/>
    </row>
    <row r="49" spans="1:29" ht="14.25" customHeight="1" x14ac:dyDescent="0.3">
      <c r="A49" s="349">
        <v>46061</v>
      </c>
      <c r="B49" s="358">
        <f t="shared" si="2"/>
        <v>-2203.44</v>
      </c>
      <c r="C49" s="359" t="s">
        <v>538</v>
      </c>
      <c r="D49" s="353"/>
      <c r="E49" s="354"/>
      <c r="F49" s="356"/>
      <c r="G49" s="356"/>
      <c r="H49" s="354"/>
      <c r="I49" s="354"/>
      <c r="J49" s="356"/>
      <c r="K49" s="356"/>
      <c r="L49" s="354"/>
      <c r="M49" s="354"/>
      <c r="N49" s="356"/>
      <c r="O49" s="356"/>
      <c r="P49" s="354"/>
      <c r="Q49" s="354"/>
      <c r="R49" s="356"/>
      <c r="S49" s="356"/>
      <c r="T49" s="354">
        <v>2203.44</v>
      </c>
      <c r="U49" s="354"/>
      <c r="V49" s="356"/>
      <c r="W49" s="356"/>
      <c r="X49" s="354"/>
      <c r="Y49" s="354"/>
      <c r="Z49" s="356"/>
      <c r="AA49" s="356"/>
      <c r="AB49" s="354"/>
      <c r="AC49" s="354"/>
    </row>
    <row r="50" spans="1:29" ht="14.25" customHeight="1" x14ac:dyDescent="0.3">
      <c r="A50" s="349">
        <v>46061</v>
      </c>
      <c r="B50" s="358">
        <f t="shared" si="2"/>
        <v>-831.92</v>
      </c>
      <c r="C50" s="359" t="s">
        <v>542</v>
      </c>
      <c r="D50" s="353"/>
      <c r="E50" s="354"/>
      <c r="F50" s="356"/>
      <c r="G50" s="356"/>
      <c r="H50" s="354"/>
      <c r="I50" s="354"/>
      <c r="J50" s="356"/>
      <c r="K50" s="356"/>
      <c r="L50" s="354"/>
      <c r="M50" s="354"/>
      <c r="N50" s="356"/>
      <c r="O50" s="356"/>
      <c r="P50" s="354"/>
      <c r="Q50" s="354"/>
      <c r="R50" s="356">
        <v>831.92</v>
      </c>
      <c r="S50" s="356"/>
      <c r="T50" s="354"/>
      <c r="U50" s="354"/>
      <c r="V50" s="356"/>
      <c r="W50" s="356"/>
      <c r="X50" s="354"/>
      <c r="Y50" s="354"/>
      <c r="Z50" s="356"/>
      <c r="AA50" s="356"/>
      <c r="AB50" s="354"/>
      <c r="AC50" s="354"/>
    </row>
    <row r="51" spans="1:29" ht="14.25" customHeight="1" x14ac:dyDescent="0.3">
      <c r="A51" s="349">
        <v>46055</v>
      </c>
      <c r="B51" s="358">
        <f t="shared" si="2"/>
        <v>-900</v>
      </c>
      <c r="C51" s="359" t="s">
        <v>527</v>
      </c>
      <c r="D51" s="353"/>
      <c r="E51" s="354"/>
      <c r="F51" s="356"/>
      <c r="G51" s="356"/>
      <c r="H51" s="354"/>
      <c r="I51" s="354"/>
      <c r="J51" s="356"/>
      <c r="K51" s="356"/>
      <c r="L51" s="354"/>
      <c r="M51" s="354"/>
      <c r="N51" s="356"/>
      <c r="O51" s="356"/>
      <c r="P51" s="354"/>
      <c r="Q51" s="354"/>
      <c r="R51" s="356"/>
      <c r="S51" s="356"/>
      <c r="T51" s="354">
        <v>900</v>
      </c>
      <c r="U51" s="354"/>
      <c r="V51" s="356"/>
      <c r="W51" s="356"/>
      <c r="X51" s="354"/>
      <c r="Y51" s="354"/>
      <c r="Z51" s="356"/>
      <c r="AA51" s="356"/>
      <c r="AB51" s="354"/>
      <c r="AC51" s="354"/>
    </row>
    <row r="52" spans="1:29" ht="14.25" customHeight="1" x14ac:dyDescent="0.3">
      <c r="A52" s="349">
        <v>46053</v>
      </c>
      <c r="B52" s="358">
        <f t="shared" si="2"/>
        <v>3194.64</v>
      </c>
      <c r="C52" s="359" t="s">
        <v>469</v>
      </c>
      <c r="D52" s="353"/>
      <c r="E52" s="354">
        <v>3194.64</v>
      </c>
      <c r="F52" s="356"/>
      <c r="G52" s="356"/>
      <c r="H52" s="354"/>
      <c r="I52" s="354"/>
      <c r="J52" s="356"/>
      <c r="K52" s="356"/>
      <c r="L52" s="354"/>
      <c r="M52" s="354"/>
      <c r="N52" s="356"/>
      <c r="O52" s="356"/>
      <c r="P52" s="354"/>
      <c r="Q52" s="354"/>
      <c r="R52" s="356"/>
      <c r="S52" s="356"/>
      <c r="T52" s="354"/>
      <c r="U52" s="354"/>
      <c r="V52" s="356"/>
      <c r="W52" s="356"/>
      <c r="X52" s="354"/>
      <c r="Y52" s="354"/>
      <c r="Z52" s="356"/>
      <c r="AA52" s="356"/>
      <c r="AB52" s="354"/>
      <c r="AC52" s="354"/>
    </row>
    <row r="53" spans="1:29" ht="14.25" customHeight="1" x14ac:dyDescent="0.3">
      <c r="A53" s="349">
        <v>46053</v>
      </c>
      <c r="B53" s="358">
        <f t="shared" si="2"/>
        <v>2000</v>
      </c>
      <c r="C53" s="359" t="s">
        <v>543</v>
      </c>
      <c r="D53" s="353"/>
      <c r="E53" s="354"/>
      <c r="F53" s="356"/>
      <c r="G53" s="356"/>
      <c r="H53" s="354"/>
      <c r="I53" s="354">
        <v>350</v>
      </c>
      <c r="J53" s="356"/>
      <c r="K53" s="356">
        <v>320</v>
      </c>
      <c r="L53" s="354"/>
      <c r="M53" s="354">
        <v>25</v>
      </c>
      <c r="N53" s="356"/>
      <c r="O53" s="356">
        <v>25</v>
      </c>
      <c r="P53" s="354"/>
      <c r="Q53" s="354">
        <v>45</v>
      </c>
      <c r="R53" s="356"/>
      <c r="S53" s="356">
        <v>400</v>
      </c>
      <c r="T53" s="354"/>
      <c r="U53" s="354">
        <v>375</v>
      </c>
      <c r="V53" s="356"/>
      <c r="W53" s="356">
        <v>100</v>
      </c>
      <c r="X53" s="354"/>
      <c r="Y53" s="354">
        <v>85</v>
      </c>
      <c r="Z53" s="356"/>
      <c r="AA53" s="356">
        <v>230</v>
      </c>
      <c r="AB53" s="354"/>
      <c r="AC53" s="354">
        <v>45</v>
      </c>
    </row>
    <row r="54" spans="1:29" ht="14.25" customHeight="1" x14ac:dyDescent="0.3">
      <c r="A54" s="349">
        <v>46053</v>
      </c>
      <c r="B54" s="358">
        <f t="shared" si="2"/>
        <v>0.38</v>
      </c>
      <c r="C54" s="359" t="s">
        <v>520</v>
      </c>
      <c r="D54" s="353"/>
      <c r="E54" s="354"/>
      <c r="F54" s="356"/>
      <c r="G54" s="356">
        <v>0.38</v>
      </c>
      <c r="H54" s="354"/>
      <c r="I54" s="354"/>
      <c r="J54" s="356"/>
      <c r="K54" s="356"/>
      <c r="L54" s="354"/>
      <c r="M54" s="354"/>
      <c r="N54" s="356"/>
      <c r="O54" s="356"/>
      <c r="P54" s="354"/>
      <c r="Q54" s="354"/>
      <c r="R54" s="356"/>
      <c r="S54" s="356"/>
      <c r="T54" s="354"/>
      <c r="U54" s="354"/>
      <c r="V54" s="356"/>
      <c r="W54" s="356"/>
      <c r="X54" s="354"/>
      <c r="Y54" s="354"/>
      <c r="Z54" s="356"/>
      <c r="AA54" s="356"/>
      <c r="AB54" s="354"/>
      <c r="AC54" s="354"/>
    </row>
    <row r="55" spans="1:29" ht="14.25" customHeight="1" x14ac:dyDescent="0.3">
      <c r="A55" s="349">
        <v>46053</v>
      </c>
      <c r="B55" s="358">
        <f t="shared" si="2"/>
        <v>54.55</v>
      </c>
      <c r="C55" s="359" t="s">
        <v>524</v>
      </c>
      <c r="D55" s="353"/>
      <c r="E55" s="354"/>
      <c r="F55" s="356"/>
      <c r="G55" s="356">
        <v>54.55</v>
      </c>
      <c r="H55" s="354"/>
      <c r="I55" s="354"/>
      <c r="J55" s="356"/>
      <c r="K55" s="356"/>
      <c r="L55" s="354"/>
      <c r="M55" s="354"/>
      <c r="N55" s="356"/>
      <c r="O55" s="356"/>
      <c r="P55" s="354"/>
      <c r="Q55" s="354"/>
      <c r="R55" s="356"/>
      <c r="S55" s="356"/>
      <c r="T55" s="354"/>
      <c r="U55" s="354"/>
      <c r="V55" s="356"/>
      <c r="W55" s="356"/>
      <c r="X55" s="354"/>
      <c r="Y55" s="354"/>
      <c r="Z55" s="356"/>
      <c r="AA55" s="356"/>
      <c r="AB55" s="354"/>
      <c r="AC55" s="354"/>
    </row>
    <row r="56" spans="1:29" ht="14.25" customHeight="1" x14ac:dyDescent="0.3">
      <c r="A56" s="349">
        <v>46048</v>
      </c>
      <c r="B56" s="358">
        <f t="shared" si="2"/>
        <v>-583</v>
      </c>
      <c r="C56" s="359" t="s">
        <v>544</v>
      </c>
      <c r="D56" s="353">
        <v>583</v>
      </c>
      <c r="E56" s="354"/>
      <c r="F56" s="356"/>
      <c r="G56" s="356"/>
      <c r="H56" s="354"/>
      <c r="I56" s="354"/>
      <c r="J56" s="356"/>
      <c r="K56" s="356"/>
      <c r="L56" s="354"/>
      <c r="M56" s="354"/>
      <c r="N56" s="356"/>
      <c r="O56" s="356"/>
      <c r="P56" s="354"/>
      <c r="Q56" s="354"/>
      <c r="R56" s="356"/>
      <c r="S56" s="356"/>
      <c r="T56" s="354"/>
      <c r="U56" s="354"/>
      <c r="V56" s="356"/>
      <c r="W56" s="356"/>
      <c r="X56" s="354"/>
      <c r="Y56" s="354"/>
      <c r="Z56" s="356"/>
      <c r="AA56" s="356"/>
      <c r="AB56" s="354"/>
      <c r="AC56" s="354"/>
    </row>
    <row r="57" spans="1:29" ht="14.25" customHeight="1" x14ac:dyDescent="0.3">
      <c r="A57" s="349">
        <v>46044</v>
      </c>
      <c r="B57" s="358">
        <f t="shared" si="2"/>
        <v>-126.24</v>
      </c>
      <c r="C57" s="359" t="s">
        <v>316</v>
      </c>
      <c r="D57" s="353"/>
      <c r="E57" s="354"/>
      <c r="F57" s="356"/>
      <c r="G57" s="356"/>
      <c r="H57" s="354"/>
      <c r="I57" s="354"/>
      <c r="J57" s="356"/>
      <c r="K57" s="356"/>
      <c r="L57" s="354">
        <v>63.12</v>
      </c>
      <c r="M57" s="354"/>
      <c r="N57" s="356">
        <v>63.12</v>
      </c>
      <c r="O57" s="356"/>
      <c r="P57" s="354"/>
      <c r="Q57" s="354"/>
      <c r="R57" s="356"/>
      <c r="S57" s="356"/>
      <c r="T57" s="354"/>
      <c r="U57" s="354"/>
      <c r="V57" s="356"/>
      <c r="W57" s="356"/>
      <c r="X57" s="354"/>
      <c r="Y57" s="354"/>
      <c r="Z57" s="356"/>
      <c r="AA57" s="356"/>
      <c r="AB57" s="354"/>
      <c r="AC57" s="354"/>
    </row>
    <row r="58" spans="1:29" ht="14.25" customHeight="1" x14ac:dyDescent="0.3">
      <c r="A58" s="349">
        <v>46043</v>
      </c>
      <c r="B58" s="358">
        <f t="shared" si="2"/>
        <v>-100</v>
      </c>
      <c r="C58" s="359" t="s">
        <v>545</v>
      </c>
      <c r="D58" s="353"/>
      <c r="E58" s="354"/>
      <c r="F58" s="356"/>
      <c r="G58" s="356"/>
      <c r="H58" s="354">
        <v>100</v>
      </c>
      <c r="I58" s="354"/>
      <c r="J58" s="356"/>
      <c r="K58" s="356"/>
      <c r="L58" s="354"/>
      <c r="M58" s="354"/>
      <c r="N58" s="356"/>
      <c r="O58" s="356"/>
      <c r="P58" s="354"/>
      <c r="Q58" s="354"/>
      <c r="R58" s="356"/>
      <c r="S58" s="356"/>
      <c r="T58" s="354"/>
      <c r="U58" s="354"/>
      <c r="V58" s="356"/>
      <c r="W58" s="356"/>
      <c r="X58" s="354"/>
      <c r="Y58" s="354"/>
      <c r="Z58" s="356"/>
      <c r="AA58" s="356"/>
      <c r="AB58" s="354"/>
      <c r="AC58" s="354"/>
    </row>
    <row r="59" spans="1:29" ht="14.25" customHeight="1" x14ac:dyDescent="0.3">
      <c r="A59" s="349">
        <v>46043</v>
      </c>
      <c r="B59" s="358">
        <f t="shared" si="2"/>
        <v>-2724</v>
      </c>
      <c r="C59" s="359" t="s">
        <v>546</v>
      </c>
      <c r="D59" s="353"/>
      <c r="E59" s="354"/>
      <c r="F59" s="356"/>
      <c r="G59" s="356"/>
      <c r="H59" s="354"/>
      <c r="I59" s="354"/>
      <c r="J59" s="356"/>
      <c r="K59" s="356"/>
      <c r="L59" s="354"/>
      <c r="M59" s="354"/>
      <c r="N59" s="356"/>
      <c r="O59" s="356"/>
      <c r="P59" s="354"/>
      <c r="Q59" s="354"/>
      <c r="R59" s="356">
        <v>2724</v>
      </c>
      <c r="S59" s="356"/>
      <c r="T59" s="354"/>
      <c r="U59" s="354"/>
      <c r="V59" s="356"/>
      <c r="W59" s="356"/>
      <c r="X59" s="354"/>
      <c r="Y59" s="354"/>
      <c r="Z59" s="356"/>
      <c r="AA59" s="356"/>
      <c r="AB59" s="354"/>
      <c r="AC59" s="354"/>
    </row>
    <row r="60" spans="1:29" ht="14.25" customHeight="1" x14ac:dyDescent="0.3">
      <c r="A60" s="349">
        <v>46038</v>
      </c>
      <c r="B60" s="358">
        <f t="shared" si="2"/>
        <v>55.69</v>
      </c>
      <c r="C60" s="359" t="s">
        <v>524</v>
      </c>
      <c r="D60" s="353"/>
      <c r="E60" s="354"/>
      <c r="F60" s="356"/>
      <c r="G60" s="356">
        <v>55.69</v>
      </c>
      <c r="H60" s="354"/>
      <c r="I60" s="354"/>
      <c r="J60" s="356"/>
      <c r="K60" s="356"/>
      <c r="L60" s="354"/>
      <c r="M60" s="354"/>
      <c r="N60" s="356"/>
      <c r="O60" s="356"/>
      <c r="P60" s="354"/>
      <c r="Q60" s="354"/>
      <c r="R60" s="356"/>
      <c r="S60" s="356"/>
      <c r="T60" s="354"/>
      <c r="U60" s="354"/>
      <c r="V60" s="356"/>
      <c r="W60" s="356"/>
      <c r="X60" s="354"/>
      <c r="Y60" s="354"/>
      <c r="Z60" s="356"/>
      <c r="AA60" s="356"/>
      <c r="AB60" s="354"/>
      <c r="AC60" s="354"/>
    </row>
    <row r="61" spans="1:29" ht="14.25" customHeight="1" x14ac:dyDescent="0.3">
      <c r="A61" s="349">
        <v>46030</v>
      </c>
      <c r="B61" s="358">
        <f t="shared" si="2"/>
        <v>1049.3699999999999</v>
      </c>
      <c r="C61" s="351" t="s">
        <v>547</v>
      </c>
      <c r="D61" s="353"/>
      <c r="E61" s="354">
        <v>1049.3699999999999</v>
      </c>
      <c r="F61" s="356"/>
      <c r="G61" s="356"/>
      <c r="H61" s="354"/>
      <c r="I61" s="354"/>
      <c r="J61" s="356"/>
      <c r="K61" s="356"/>
      <c r="L61" s="354"/>
      <c r="M61" s="354"/>
      <c r="N61" s="356"/>
      <c r="O61" s="356"/>
      <c r="P61" s="354"/>
      <c r="Q61" s="354"/>
      <c r="R61" s="356"/>
      <c r="S61" s="356"/>
      <c r="T61" s="354"/>
      <c r="U61" s="354"/>
      <c r="V61" s="356"/>
      <c r="W61" s="356"/>
      <c r="X61" s="354"/>
      <c r="Y61" s="354"/>
      <c r="Z61" s="356"/>
      <c r="AA61" s="356"/>
      <c r="AB61" s="354"/>
      <c r="AC61" s="354"/>
    </row>
    <row r="62" spans="1:29" ht="14.25" customHeight="1" x14ac:dyDescent="0.3">
      <c r="A62" s="349">
        <v>46027</v>
      </c>
      <c r="B62" s="358">
        <f t="shared" si="2"/>
        <v>-113.94</v>
      </c>
      <c r="C62" s="359" t="s">
        <v>548</v>
      </c>
      <c r="D62" s="353"/>
      <c r="E62" s="354"/>
      <c r="F62" s="356"/>
      <c r="G62" s="356"/>
      <c r="H62" s="354">
        <v>113.94</v>
      </c>
      <c r="I62" s="354"/>
      <c r="J62" s="356"/>
      <c r="K62" s="356"/>
      <c r="L62" s="354"/>
      <c r="M62" s="354"/>
      <c r="N62" s="356"/>
      <c r="O62" s="356"/>
      <c r="P62" s="354"/>
      <c r="Q62" s="354"/>
      <c r="R62" s="356"/>
      <c r="S62" s="356"/>
      <c r="T62" s="354"/>
      <c r="U62" s="354"/>
      <c r="V62" s="356"/>
      <c r="W62" s="356"/>
      <c r="X62" s="354"/>
      <c r="Y62" s="354"/>
      <c r="Z62" s="356"/>
      <c r="AA62" s="356"/>
      <c r="AB62" s="354"/>
      <c r="AC62" s="354"/>
    </row>
    <row r="63" spans="1:29" ht="14.25" customHeight="1" x14ac:dyDescent="0.3">
      <c r="A63" s="349">
        <v>46027</v>
      </c>
      <c r="B63" s="358">
        <f t="shared" si="2"/>
        <v>-622.1</v>
      </c>
      <c r="C63" s="359" t="s">
        <v>538</v>
      </c>
      <c r="D63" s="353"/>
      <c r="E63" s="354"/>
      <c r="F63" s="356"/>
      <c r="G63" s="356"/>
      <c r="H63" s="354"/>
      <c r="I63" s="354"/>
      <c r="J63" s="356"/>
      <c r="K63" s="356"/>
      <c r="L63" s="354"/>
      <c r="M63" s="354"/>
      <c r="N63" s="356"/>
      <c r="O63" s="356"/>
      <c r="P63" s="354"/>
      <c r="Q63" s="354"/>
      <c r="R63" s="356"/>
      <c r="S63" s="356"/>
      <c r="T63" s="354">
        <v>622.1</v>
      </c>
      <c r="U63" s="354"/>
      <c r="V63" s="356"/>
      <c r="W63" s="356"/>
      <c r="X63" s="354"/>
      <c r="Y63" s="354"/>
      <c r="Z63" s="356"/>
      <c r="AA63" s="356"/>
      <c r="AB63" s="354"/>
      <c r="AC63" s="354"/>
    </row>
    <row r="64" spans="1:29" ht="14.25" customHeight="1" x14ac:dyDescent="0.3">
      <c r="A64" s="349">
        <v>44562</v>
      </c>
      <c r="B64" s="358">
        <f t="shared" si="2"/>
        <v>12240.49</v>
      </c>
      <c r="C64" s="359" t="s">
        <v>549</v>
      </c>
      <c r="D64" s="353"/>
      <c r="E64" s="354">
        <v>1710.49</v>
      </c>
      <c r="F64" s="356"/>
      <c r="G64" s="356">
        <v>500</v>
      </c>
      <c r="H64" s="354"/>
      <c r="I64" s="354">
        <v>2000</v>
      </c>
      <c r="J64" s="356"/>
      <c r="K64" s="356">
        <v>1000</v>
      </c>
      <c r="L64" s="354"/>
      <c r="M64" s="354">
        <v>65</v>
      </c>
      <c r="N64" s="356"/>
      <c r="O64" s="356">
        <v>65</v>
      </c>
      <c r="P64" s="354"/>
      <c r="Q64" s="354">
        <v>100</v>
      </c>
      <c r="R64" s="356"/>
      <c r="S64" s="356">
        <v>2000</v>
      </c>
      <c r="T64" s="354"/>
      <c r="U64" s="354">
        <v>2500</v>
      </c>
      <c r="V64" s="356"/>
      <c r="W64" s="356">
        <v>500</v>
      </c>
      <c r="X64" s="354"/>
      <c r="Y64" s="354">
        <v>200</v>
      </c>
      <c r="Z64" s="356"/>
      <c r="AA64" s="356">
        <v>1500</v>
      </c>
      <c r="AB64" s="354"/>
      <c r="AC64" s="354">
        <v>100</v>
      </c>
    </row>
    <row r="65" ht="14.25" customHeight="1" x14ac:dyDescent="0.3"/>
    <row r="66" ht="14.25" customHeight="1" x14ac:dyDescent="0.3"/>
    <row r="67" ht="14.25" customHeight="1" x14ac:dyDescent="0.3"/>
    <row r="68" ht="14.25" customHeight="1" x14ac:dyDescent="0.3"/>
    <row r="69" ht="14.25" customHeight="1" x14ac:dyDescent="0.3"/>
    <row r="70" ht="14.25" customHeight="1" x14ac:dyDescent="0.3"/>
    <row r="71" ht="14.25" customHeight="1" x14ac:dyDescent="0.3"/>
    <row r="72" ht="14.25" customHeight="1" x14ac:dyDescent="0.3"/>
    <row r="73" ht="14.25" customHeight="1" x14ac:dyDescent="0.3"/>
    <row r="74" ht="14.25" customHeight="1" x14ac:dyDescent="0.3"/>
    <row r="75" ht="14.25" customHeight="1" x14ac:dyDescent="0.3"/>
    <row r="76" ht="14.25" customHeight="1" x14ac:dyDescent="0.3"/>
    <row r="77" ht="14.25" customHeight="1" x14ac:dyDescent="0.3"/>
    <row r="78" ht="14.25" customHeight="1" x14ac:dyDescent="0.3"/>
    <row r="79" ht="14.25" customHeight="1" x14ac:dyDescent="0.3"/>
    <row r="80" ht="14.25" customHeight="1" x14ac:dyDescent="0.3"/>
    <row r="81" ht="14.25" customHeight="1" x14ac:dyDescent="0.3"/>
    <row r="82" ht="14.25" customHeight="1" x14ac:dyDescent="0.3"/>
    <row r="83" ht="14.25" customHeight="1" x14ac:dyDescent="0.3"/>
    <row r="84" ht="14.25" customHeight="1" x14ac:dyDescent="0.3"/>
    <row r="85" ht="14.25" customHeight="1" x14ac:dyDescent="0.3"/>
    <row r="86" ht="14.25" customHeight="1" x14ac:dyDescent="0.3"/>
    <row r="87" ht="14.25" customHeight="1" x14ac:dyDescent="0.3"/>
    <row r="88" ht="14.25" customHeight="1" x14ac:dyDescent="0.3"/>
    <row r="89" ht="14.25" customHeight="1" x14ac:dyDescent="0.3"/>
    <row r="90" ht="14.25" customHeight="1" x14ac:dyDescent="0.3"/>
    <row r="91" ht="14.25" customHeight="1" x14ac:dyDescent="0.3"/>
    <row r="92" ht="14.25" customHeight="1" x14ac:dyDescent="0.3"/>
    <row r="93" ht="14.25" customHeight="1" x14ac:dyDescent="0.3"/>
    <row r="94" ht="14.25" customHeight="1" x14ac:dyDescent="0.3"/>
    <row r="95" ht="14.25" customHeight="1" x14ac:dyDescent="0.3"/>
    <row r="96" ht="14.25" customHeight="1" x14ac:dyDescent="0.3"/>
    <row r="97" ht="14.25" customHeight="1" x14ac:dyDescent="0.3"/>
    <row r="98" ht="14.25" customHeight="1" x14ac:dyDescent="0.3"/>
    <row r="99" ht="14.25" customHeight="1" x14ac:dyDescent="0.3"/>
    <row r="100" ht="14.25" customHeight="1" x14ac:dyDescent="0.3"/>
    <row r="101" ht="14.25" customHeight="1" x14ac:dyDescent="0.3"/>
    <row r="102" ht="14.25" customHeight="1" x14ac:dyDescent="0.3"/>
    <row r="103" ht="14.25" customHeight="1" x14ac:dyDescent="0.3"/>
    <row r="104" ht="14.25" customHeight="1" x14ac:dyDescent="0.3"/>
    <row r="105" ht="14.25" customHeight="1" x14ac:dyDescent="0.3"/>
    <row r="106" ht="14.25" customHeight="1" x14ac:dyDescent="0.3"/>
    <row r="107" ht="14.25" customHeight="1" x14ac:dyDescent="0.3"/>
    <row r="108" ht="14.25" customHeight="1" x14ac:dyDescent="0.3"/>
    <row r="109" ht="14.25" customHeight="1" x14ac:dyDescent="0.3"/>
    <row r="110" ht="14.25" customHeight="1" x14ac:dyDescent="0.3"/>
    <row r="111" ht="14.25" customHeight="1" x14ac:dyDescent="0.3"/>
    <row r="112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</sheetData>
  <mergeCells count="26">
    <mergeCell ref="AB4:AC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1:AC1"/>
    <mergeCell ref="D1:E1"/>
    <mergeCell ref="F1:G1"/>
    <mergeCell ref="H1:I1"/>
    <mergeCell ref="J1:K1"/>
    <mergeCell ref="L1:M1"/>
    <mergeCell ref="N1:O1"/>
    <mergeCell ref="P1:Q1"/>
    <mergeCell ref="R1:S1"/>
    <mergeCell ref="T1:U1"/>
    <mergeCell ref="V1:W1"/>
    <mergeCell ref="X1:Y1"/>
    <mergeCell ref="Z1:AA1"/>
  </mergeCell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Q1000"/>
  <sheetViews>
    <sheetView workbookViewId="0"/>
  </sheetViews>
  <sheetFormatPr defaultColWidth="14.44140625" defaultRowHeight="15" customHeight="1" x14ac:dyDescent="0.3"/>
  <cols>
    <col min="1" max="1" width="13.88671875" customWidth="1"/>
    <col min="2" max="5" width="11.33203125" customWidth="1"/>
    <col min="6" max="26" width="8.6640625" customWidth="1"/>
  </cols>
  <sheetData>
    <row r="1" spans="1:17" ht="14.25" customHeight="1" x14ac:dyDescent="0.3">
      <c r="B1" s="23"/>
      <c r="D1" s="25"/>
      <c r="E1" s="25"/>
      <c r="M1" s="12"/>
      <c r="N1" s="122"/>
      <c r="O1" s="122"/>
      <c r="P1" s="122"/>
      <c r="Q1" s="122"/>
    </row>
    <row r="2" spans="1:17" ht="14.25" customHeight="1" x14ac:dyDescent="0.3">
      <c r="B2" s="23"/>
      <c r="D2" s="25" t="s">
        <v>550</v>
      </c>
      <c r="E2" s="25" t="s">
        <v>551</v>
      </c>
      <c r="M2" s="12"/>
      <c r="N2" s="122"/>
      <c r="O2" s="122"/>
      <c r="P2" s="122"/>
      <c r="Q2" s="122"/>
    </row>
    <row r="3" spans="1:17" ht="14.25" customHeight="1" x14ac:dyDescent="0.3">
      <c r="A3" s="92" t="s">
        <v>540</v>
      </c>
      <c r="B3" s="23">
        <v>2700</v>
      </c>
      <c r="C3" s="92" t="s">
        <v>552</v>
      </c>
      <c r="D3" s="25">
        <f t="shared" ref="D3:D4" si="0">B3/12</f>
        <v>225</v>
      </c>
      <c r="E3" s="25">
        <f t="shared" ref="E3:E7" si="1">D3*12</f>
        <v>2700</v>
      </c>
      <c r="M3" s="12"/>
      <c r="N3" s="122"/>
      <c r="O3" s="122"/>
      <c r="P3" s="122"/>
      <c r="Q3" s="122"/>
    </row>
    <row r="4" spans="1:17" ht="14.25" customHeight="1" x14ac:dyDescent="0.3">
      <c r="A4" s="92" t="s">
        <v>553</v>
      </c>
      <c r="B4" s="23">
        <v>780</v>
      </c>
      <c r="C4" s="92" t="s">
        <v>552</v>
      </c>
      <c r="D4" s="25">
        <f t="shared" si="0"/>
        <v>65</v>
      </c>
      <c r="E4" s="25">
        <f t="shared" si="1"/>
        <v>780</v>
      </c>
      <c r="M4" s="12"/>
      <c r="N4" s="122"/>
      <c r="O4" s="122"/>
      <c r="P4" s="122"/>
      <c r="Q4" s="122"/>
    </row>
    <row r="5" spans="1:17" ht="14.25" customHeight="1" x14ac:dyDescent="0.3">
      <c r="A5" s="92" t="s">
        <v>207</v>
      </c>
      <c r="B5" s="23">
        <v>75</v>
      </c>
      <c r="C5" s="92" t="s">
        <v>554</v>
      </c>
      <c r="D5" s="25">
        <f>B5/3</f>
        <v>25</v>
      </c>
      <c r="E5" s="25">
        <f t="shared" si="1"/>
        <v>300</v>
      </c>
      <c r="M5" s="12"/>
      <c r="N5" s="122"/>
      <c r="O5" s="122"/>
      <c r="P5" s="122"/>
      <c r="Q5" s="122"/>
    </row>
    <row r="6" spans="1:17" ht="14.25" customHeight="1" x14ac:dyDescent="0.3">
      <c r="A6" s="92" t="s">
        <v>430</v>
      </c>
      <c r="B6" s="23">
        <v>90</v>
      </c>
      <c r="C6" s="92" t="s">
        <v>555</v>
      </c>
      <c r="D6" s="25">
        <f>B6/2</f>
        <v>45</v>
      </c>
      <c r="E6" s="25">
        <f t="shared" si="1"/>
        <v>540</v>
      </c>
      <c r="M6" s="12"/>
      <c r="N6" s="122"/>
      <c r="O6" s="122"/>
      <c r="P6" s="122"/>
      <c r="Q6" s="122"/>
    </row>
    <row r="7" spans="1:17" ht="14.25" customHeight="1" x14ac:dyDescent="0.3">
      <c r="A7" s="92" t="s">
        <v>556</v>
      </c>
      <c r="B7" s="23">
        <v>60</v>
      </c>
      <c r="C7" s="92" t="s">
        <v>557</v>
      </c>
      <c r="D7" s="25">
        <f>B7</f>
        <v>60</v>
      </c>
      <c r="E7" s="25">
        <f t="shared" si="1"/>
        <v>720</v>
      </c>
      <c r="M7" s="12"/>
      <c r="N7" s="122"/>
      <c r="O7" s="122"/>
      <c r="P7" s="122"/>
      <c r="Q7" s="122"/>
    </row>
    <row r="8" spans="1:17" ht="14.25" customHeight="1" x14ac:dyDescent="0.3">
      <c r="B8" s="23"/>
      <c r="D8" s="25"/>
      <c r="E8" s="25"/>
      <c r="M8" s="12"/>
      <c r="N8" s="122"/>
      <c r="O8" s="122"/>
      <c r="P8" s="122"/>
      <c r="Q8" s="122"/>
    </row>
    <row r="9" spans="1:17" ht="14.25" customHeight="1" x14ac:dyDescent="0.3">
      <c r="A9" s="92" t="s">
        <v>68</v>
      </c>
      <c r="B9" s="23"/>
      <c r="D9" s="25">
        <f>SUM(D3:D7)</f>
        <v>420</v>
      </c>
      <c r="E9" s="25">
        <f>D9*12</f>
        <v>5040</v>
      </c>
      <c r="M9" s="12"/>
      <c r="N9" s="122"/>
      <c r="O9" s="122"/>
      <c r="P9" s="122"/>
      <c r="Q9" s="122"/>
    </row>
    <row r="10" spans="1:17" ht="14.25" customHeight="1" x14ac:dyDescent="0.3">
      <c r="B10" s="23"/>
      <c r="D10" s="25"/>
      <c r="E10" s="25"/>
      <c r="M10" s="12"/>
      <c r="N10" s="122"/>
      <c r="O10" s="122"/>
      <c r="P10" s="122"/>
      <c r="Q10" s="122"/>
    </row>
    <row r="11" spans="1:17" ht="14.25" customHeight="1" x14ac:dyDescent="0.3">
      <c r="A11" s="92" t="s">
        <v>558</v>
      </c>
      <c r="B11" s="23">
        <v>100</v>
      </c>
      <c r="C11" s="92" t="s">
        <v>557</v>
      </c>
      <c r="D11" s="25">
        <f>B11</f>
        <v>100</v>
      </c>
      <c r="E11" s="25">
        <f>D11*12</f>
        <v>1200</v>
      </c>
      <c r="M11" s="12"/>
      <c r="N11" s="122"/>
      <c r="O11" s="122"/>
      <c r="P11" s="122"/>
      <c r="Q11" s="122"/>
    </row>
    <row r="12" spans="1:17" ht="14.25" customHeight="1" x14ac:dyDescent="0.3">
      <c r="B12" s="23"/>
      <c r="D12" s="25"/>
      <c r="E12" s="25"/>
      <c r="M12" s="12"/>
      <c r="N12" s="122"/>
      <c r="O12" s="122"/>
      <c r="P12" s="122"/>
      <c r="Q12" s="122"/>
    </row>
    <row r="13" spans="1:17" ht="14.25" customHeight="1" x14ac:dyDescent="0.3">
      <c r="A13" s="92" t="s">
        <v>559</v>
      </c>
      <c r="B13" s="23"/>
      <c r="D13" s="25">
        <f>SUM(D9+D11)</f>
        <v>520</v>
      </c>
      <c r="E13" s="25">
        <f>D13*12</f>
        <v>6240</v>
      </c>
      <c r="M13" s="12"/>
      <c r="N13" s="122"/>
      <c r="O13" s="122"/>
      <c r="P13" s="122"/>
      <c r="Q13" s="122"/>
    </row>
    <row r="14" spans="1:17" ht="14.25" customHeight="1" x14ac:dyDescent="0.3">
      <c r="B14" s="23"/>
      <c r="D14" s="25"/>
      <c r="E14" s="25"/>
      <c r="M14" s="12"/>
      <c r="N14" s="122"/>
      <c r="O14" s="122"/>
      <c r="P14" s="122"/>
      <c r="Q14" s="122"/>
    </row>
    <row r="15" spans="1:17" ht="14.25" customHeight="1" x14ac:dyDescent="0.3">
      <c r="B15" s="23"/>
      <c r="D15" s="25"/>
      <c r="E15" s="25"/>
      <c r="M15" s="12"/>
      <c r="N15" s="122"/>
      <c r="O15" s="122"/>
      <c r="P15" s="122"/>
      <c r="Q15" s="122"/>
    </row>
    <row r="16" spans="1:17" ht="14.25" customHeight="1" x14ac:dyDescent="0.3">
      <c r="A16" s="92" t="s">
        <v>560</v>
      </c>
      <c r="B16" s="23">
        <v>800</v>
      </c>
      <c r="C16" s="92" t="s">
        <v>557</v>
      </c>
      <c r="D16" s="25">
        <f>B16</f>
        <v>800</v>
      </c>
      <c r="E16" s="25">
        <f>D16*12</f>
        <v>9600</v>
      </c>
      <c r="M16" s="12"/>
      <c r="N16" s="122"/>
      <c r="O16" s="122"/>
      <c r="P16" s="122"/>
      <c r="Q16" s="122"/>
    </row>
    <row r="17" spans="1:17" ht="14.25" customHeight="1" x14ac:dyDescent="0.3">
      <c r="B17" s="23"/>
      <c r="D17" s="25"/>
      <c r="E17" s="25"/>
      <c r="M17" s="12"/>
      <c r="N17" s="122"/>
      <c r="O17" s="122"/>
      <c r="P17" s="122"/>
      <c r="Q17" s="122"/>
    </row>
    <row r="18" spans="1:17" ht="14.25" customHeight="1" x14ac:dyDescent="0.3">
      <c r="A18" s="92" t="s">
        <v>561</v>
      </c>
      <c r="B18" s="23"/>
      <c r="D18" s="25">
        <f>D16-D13</f>
        <v>280</v>
      </c>
      <c r="E18" s="25">
        <f>D18*12</f>
        <v>3360</v>
      </c>
      <c r="M18" s="12"/>
      <c r="N18" s="122"/>
      <c r="O18" s="122"/>
      <c r="P18" s="122"/>
      <c r="Q18" s="122"/>
    </row>
    <row r="19" spans="1:17" ht="14.25" customHeight="1" x14ac:dyDescent="0.3">
      <c r="A19" s="92" t="s">
        <v>562</v>
      </c>
      <c r="B19" s="23"/>
      <c r="D19" s="25"/>
      <c r="E19" s="50">
        <f>(E16-E13)/E13</f>
        <v>0.53846153846153844</v>
      </c>
      <c r="M19" s="12"/>
      <c r="N19" s="122"/>
      <c r="O19" s="122"/>
      <c r="P19" s="122"/>
      <c r="Q19" s="122"/>
    </row>
    <row r="20" spans="1:17" ht="14.25" customHeight="1" x14ac:dyDescent="0.3">
      <c r="B20" s="23"/>
      <c r="D20" s="25"/>
      <c r="E20" s="25"/>
      <c r="M20" s="12"/>
      <c r="N20" s="122"/>
      <c r="O20" s="122"/>
      <c r="P20" s="122"/>
      <c r="Q20" s="122"/>
    </row>
    <row r="21" spans="1:17" ht="14.25" customHeight="1" x14ac:dyDescent="0.3">
      <c r="B21" s="23"/>
      <c r="D21" s="25"/>
      <c r="E21" s="25"/>
      <c r="M21" s="12"/>
      <c r="N21" s="122"/>
      <c r="O21" s="122"/>
      <c r="P21" s="122"/>
      <c r="Q21" s="122"/>
    </row>
    <row r="22" spans="1:17" ht="14.25" customHeight="1" x14ac:dyDescent="0.3">
      <c r="B22" s="23"/>
      <c r="D22" s="25"/>
      <c r="E22" s="25"/>
      <c r="M22" s="12"/>
      <c r="N22" s="122"/>
      <c r="O22" s="122"/>
      <c r="P22" s="122"/>
      <c r="Q22" s="122"/>
    </row>
    <row r="23" spans="1:17" ht="14.25" customHeight="1" x14ac:dyDescent="0.3">
      <c r="B23" s="23"/>
      <c r="D23" s="25"/>
      <c r="E23" s="25"/>
      <c r="M23" s="12"/>
      <c r="N23" s="122"/>
      <c r="O23" s="122"/>
      <c r="P23" s="122"/>
      <c r="Q23" s="122"/>
    </row>
    <row r="24" spans="1:17" ht="14.25" customHeight="1" x14ac:dyDescent="0.3">
      <c r="B24" s="23"/>
      <c r="D24" s="25"/>
      <c r="E24" s="25"/>
      <c r="M24" s="12"/>
      <c r="N24" s="122"/>
      <c r="O24" s="122"/>
      <c r="P24" s="122"/>
      <c r="Q24" s="122"/>
    </row>
    <row r="25" spans="1:17" ht="14.25" customHeight="1" x14ac:dyDescent="0.3">
      <c r="B25" s="23"/>
      <c r="D25" s="25"/>
      <c r="E25" s="25"/>
      <c r="M25" s="12"/>
      <c r="N25" s="122"/>
      <c r="O25" s="122"/>
      <c r="P25" s="122"/>
      <c r="Q25" s="122"/>
    </row>
    <row r="26" spans="1:17" ht="14.25" customHeight="1" x14ac:dyDescent="0.3">
      <c r="B26" s="23"/>
      <c r="D26" s="25"/>
      <c r="E26" s="25"/>
      <c r="M26" s="12"/>
      <c r="N26" s="122"/>
      <c r="O26" s="122"/>
      <c r="P26" s="122"/>
      <c r="Q26" s="122"/>
    </row>
    <row r="27" spans="1:17" ht="14.25" customHeight="1" x14ac:dyDescent="0.3">
      <c r="B27" s="23"/>
      <c r="D27" s="25"/>
      <c r="E27" s="25"/>
      <c r="M27" s="12"/>
      <c r="N27" s="122"/>
      <c r="O27" s="122"/>
      <c r="P27" s="122"/>
      <c r="Q27" s="122"/>
    </row>
    <row r="28" spans="1:17" ht="14.25" customHeight="1" x14ac:dyDescent="0.3">
      <c r="B28" s="23"/>
      <c r="D28" s="25"/>
      <c r="E28" s="25"/>
      <c r="M28" s="12"/>
      <c r="N28" s="122"/>
      <c r="O28" s="122"/>
      <c r="P28" s="122"/>
      <c r="Q28" s="122"/>
    </row>
    <row r="29" spans="1:17" ht="14.25" customHeight="1" x14ac:dyDescent="0.3">
      <c r="B29" s="23"/>
      <c r="D29" s="25"/>
      <c r="E29" s="25"/>
      <c r="M29" s="12"/>
      <c r="N29" s="122"/>
      <c r="O29" s="122"/>
      <c r="P29" s="122"/>
      <c r="Q29" s="122"/>
    </row>
    <row r="30" spans="1:17" ht="14.25" customHeight="1" x14ac:dyDescent="0.3">
      <c r="B30" s="23"/>
      <c r="D30" s="25"/>
      <c r="E30" s="25"/>
      <c r="M30" s="12"/>
      <c r="N30" s="122"/>
      <c r="O30" s="122"/>
      <c r="P30" s="122"/>
      <c r="Q30" s="122"/>
    </row>
    <row r="31" spans="1:17" ht="14.25" customHeight="1" x14ac:dyDescent="0.3">
      <c r="B31" s="23"/>
      <c r="D31" s="25"/>
      <c r="E31" s="25"/>
      <c r="M31" s="12"/>
      <c r="N31" s="122"/>
      <c r="O31" s="122"/>
      <c r="P31" s="122"/>
      <c r="Q31" s="122"/>
    </row>
    <row r="32" spans="1:17" ht="14.25" customHeight="1" x14ac:dyDescent="0.3">
      <c r="B32" s="23"/>
      <c r="D32" s="25"/>
      <c r="E32" s="25"/>
      <c r="M32" s="12"/>
      <c r="N32" s="122"/>
      <c r="O32" s="122"/>
      <c r="P32" s="122"/>
      <c r="Q32" s="122"/>
    </row>
    <row r="33" spans="2:17" ht="14.25" customHeight="1" x14ac:dyDescent="0.3">
      <c r="B33" s="23"/>
      <c r="D33" s="25"/>
      <c r="E33" s="25"/>
      <c r="M33" s="12"/>
      <c r="N33" s="122"/>
      <c r="O33" s="122"/>
      <c r="P33" s="122"/>
      <c r="Q33" s="122"/>
    </row>
    <row r="34" spans="2:17" ht="14.25" customHeight="1" x14ac:dyDescent="0.3">
      <c r="B34" s="23"/>
      <c r="D34" s="25"/>
      <c r="E34" s="25"/>
      <c r="M34" s="12"/>
      <c r="N34" s="122"/>
      <c r="O34" s="122"/>
      <c r="P34" s="122"/>
      <c r="Q34" s="122"/>
    </row>
    <row r="35" spans="2:17" ht="14.25" customHeight="1" x14ac:dyDescent="0.3">
      <c r="B35" s="23"/>
      <c r="D35" s="25"/>
      <c r="E35" s="25"/>
      <c r="M35" s="12"/>
      <c r="N35" s="122"/>
      <c r="O35" s="122"/>
      <c r="P35" s="122"/>
      <c r="Q35" s="122"/>
    </row>
    <row r="36" spans="2:17" ht="14.25" customHeight="1" x14ac:dyDescent="0.3">
      <c r="B36" s="23"/>
      <c r="D36" s="25"/>
      <c r="E36" s="25"/>
      <c r="M36" s="12"/>
      <c r="N36" s="122"/>
      <c r="O36" s="122"/>
      <c r="P36" s="122"/>
      <c r="Q36" s="122"/>
    </row>
    <row r="37" spans="2:17" ht="14.25" customHeight="1" x14ac:dyDescent="0.3">
      <c r="B37" s="23"/>
      <c r="D37" s="25"/>
      <c r="E37" s="25"/>
      <c r="M37" s="12"/>
      <c r="N37" s="122"/>
      <c r="O37" s="122"/>
      <c r="P37" s="122"/>
      <c r="Q37" s="122"/>
    </row>
    <row r="38" spans="2:17" ht="14.25" customHeight="1" x14ac:dyDescent="0.3">
      <c r="B38" s="23"/>
      <c r="D38" s="25"/>
      <c r="E38" s="25"/>
      <c r="M38" s="12"/>
      <c r="N38" s="122"/>
      <c r="O38" s="122"/>
      <c r="P38" s="122"/>
      <c r="Q38" s="122"/>
    </row>
    <row r="39" spans="2:17" ht="14.25" customHeight="1" x14ac:dyDescent="0.3">
      <c r="B39" s="23"/>
      <c r="D39" s="25"/>
      <c r="E39" s="25"/>
      <c r="M39" s="12"/>
      <c r="N39" s="122"/>
      <c r="O39" s="122"/>
      <c r="P39" s="122"/>
      <c r="Q39" s="122"/>
    </row>
    <row r="40" spans="2:17" ht="14.25" customHeight="1" x14ac:dyDescent="0.3">
      <c r="B40" s="23"/>
      <c r="D40" s="25"/>
      <c r="E40" s="25"/>
      <c r="M40" s="12"/>
      <c r="N40" s="122"/>
      <c r="O40" s="122"/>
      <c r="P40" s="122"/>
      <c r="Q40" s="122"/>
    </row>
    <row r="41" spans="2:17" ht="14.25" customHeight="1" x14ac:dyDescent="0.3">
      <c r="B41" s="23"/>
      <c r="D41" s="25"/>
      <c r="E41" s="25"/>
      <c r="M41" s="12"/>
      <c r="N41" s="122"/>
      <c r="O41" s="122"/>
      <c r="P41" s="122"/>
      <c r="Q41" s="122"/>
    </row>
    <row r="42" spans="2:17" ht="14.25" customHeight="1" x14ac:dyDescent="0.3">
      <c r="B42" s="23"/>
      <c r="D42" s="25"/>
      <c r="E42" s="25"/>
      <c r="M42" s="12"/>
      <c r="N42" s="122"/>
      <c r="O42" s="122"/>
      <c r="P42" s="122"/>
      <c r="Q42" s="122"/>
    </row>
    <row r="43" spans="2:17" ht="14.25" customHeight="1" x14ac:dyDescent="0.3">
      <c r="B43" s="23"/>
      <c r="D43" s="25"/>
      <c r="E43" s="25"/>
      <c r="M43" s="12"/>
      <c r="N43" s="122"/>
      <c r="O43" s="122"/>
      <c r="P43" s="122"/>
      <c r="Q43" s="122"/>
    </row>
    <row r="44" spans="2:17" ht="14.25" customHeight="1" x14ac:dyDescent="0.3">
      <c r="B44" s="23"/>
      <c r="D44" s="25"/>
      <c r="E44" s="25"/>
      <c r="M44" s="12"/>
      <c r="N44" s="122"/>
      <c r="O44" s="122"/>
      <c r="P44" s="122"/>
      <c r="Q44" s="122"/>
    </row>
    <row r="45" spans="2:17" ht="14.25" customHeight="1" x14ac:dyDescent="0.3">
      <c r="B45" s="23"/>
      <c r="D45" s="25"/>
      <c r="E45" s="25"/>
      <c r="M45" s="12"/>
      <c r="N45" s="122"/>
      <c r="O45" s="122"/>
      <c r="P45" s="122"/>
      <c r="Q45" s="122"/>
    </row>
    <row r="46" spans="2:17" ht="14.25" customHeight="1" x14ac:dyDescent="0.3">
      <c r="B46" s="23"/>
      <c r="D46" s="25"/>
      <c r="E46" s="25"/>
      <c r="M46" s="12"/>
      <c r="N46" s="122"/>
      <c r="O46" s="122"/>
      <c r="P46" s="122"/>
      <c r="Q46" s="122"/>
    </row>
    <row r="47" spans="2:17" ht="14.25" customHeight="1" x14ac:dyDescent="0.3">
      <c r="B47" s="23"/>
      <c r="D47" s="25"/>
      <c r="E47" s="25"/>
      <c r="M47" s="12"/>
      <c r="N47" s="122"/>
      <c r="O47" s="122"/>
      <c r="P47" s="122"/>
      <c r="Q47" s="122"/>
    </row>
    <row r="48" spans="2:17" ht="14.25" customHeight="1" x14ac:dyDescent="0.3">
      <c r="B48" s="23"/>
      <c r="D48" s="25"/>
      <c r="E48" s="25"/>
      <c r="M48" s="12"/>
      <c r="N48" s="122"/>
      <c r="O48" s="122"/>
      <c r="P48" s="122"/>
      <c r="Q48" s="122"/>
    </row>
    <row r="49" spans="2:17" ht="14.25" customHeight="1" x14ac:dyDescent="0.3">
      <c r="B49" s="23"/>
      <c r="D49" s="25"/>
      <c r="E49" s="25"/>
      <c r="M49" s="12"/>
      <c r="N49" s="122"/>
      <c r="O49" s="122"/>
      <c r="P49" s="122"/>
      <c r="Q49" s="122"/>
    </row>
    <row r="50" spans="2:17" ht="14.25" customHeight="1" x14ac:dyDescent="0.3">
      <c r="B50" s="23"/>
      <c r="D50" s="25"/>
      <c r="E50" s="25"/>
      <c r="M50" s="12"/>
      <c r="N50" s="122"/>
      <c r="O50" s="122"/>
      <c r="P50" s="122"/>
      <c r="Q50" s="122"/>
    </row>
    <row r="51" spans="2:17" ht="14.25" customHeight="1" x14ac:dyDescent="0.3">
      <c r="B51" s="23"/>
      <c r="D51" s="25"/>
      <c r="E51" s="25"/>
      <c r="M51" s="12"/>
      <c r="N51" s="122"/>
      <c r="O51" s="122"/>
      <c r="P51" s="122"/>
      <c r="Q51" s="122"/>
    </row>
    <row r="52" spans="2:17" ht="14.25" customHeight="1" x14ac:dyDescent="0.3">
      <c r="B52" s="23"/>
      <c r="D52" s="25"/>
      <c r="E52" s="25"/>
      <c r="M52" s="12"/>
      <c r="N52" s="122"/>
      <c r="O52" s="122"/>
      <c r="P52" s="122"/>
      <c r="Q52" s="122"/>
    </row>
    <row r="53" spans="2:17" ht="14.25" customHeight="1" x14ac:dyDescent="0.3">
      <c r="B53" s="23"/>
      <c r="D53" s="25"/>
      <c r="E53" s="25"/>
      <c r="M53" s="12"/>
      <c r="N53" s="122"/>
      <c r="O53" s="122"/>
      <c r="P53" s="122"/>
      <c r="Q53" s="122"/>
    </row>
    <row r="54" spans="2:17" ht="14.25" customHeight="1" x14ac:dyDescent="0.3">
      <c r="B54" s="23"/>
      <c r="D54" s="25"/>
      <c r="E54" s="25"/>
      <c r="M54" s="12"/>
      <c r="N54" s="122"/>
      <c r="O54" s="122"/>
      <c r="P54" s="122"/>
      <c r="Q54" s="122"/>
    </row>
    <row r="55" spans="2:17" ht="14.25" customHeight="1" x14ac:dyDescent="0.3">
      <c r="B55" s="23"/>
      <c r="D55" s="25"/>
      <c r="E55" s="25"/>
      <c r="M55" s="12"/>
      <c r="N55" s="122"/>
      <c r="O55" s="122"/>
      <c r="P55" s="122"/>
      <c r="Q55" s="122"/>
    </row>
    <row r="56" spans="2:17" ht="14.25" customHeight="1" x14ac:dyDescent="0.3">
      <c r="B56" s="23"/>
      <c r="D56" s="25"/>
      <c r="E56" s="25"/>
      <c r="M56" s="12"/>
      <c r="N56" s="122"/>
      <c r="O56" s="122"/>
      <c r="P56" s="122"/>
      <c r="Q56" s="122"/>
    </row>
    <row r="57" spans="2:17" ht="14.25" customHeight="1" x14ac:dyDescent="0.3">
      <c r="B57" s="23"/>
      <c r="D57" s="25"/>
      <c r="E57" s="25"/>
      <c r="M57" s="12"/>
      <c r="N57" s="122"/>
      <c r="O57" s="122"/>
      <c r="P57" s="122"/>
      <c r="Q57" s="122"/>
    </row>
    <row r="58" spans="2:17" ht="14.25" customHeight="1" x14ac:dyDescent="0.3">
      <c r="B58" s="23"/>
      <c r="D58" s="25"/>
      <c r="E58" s="25"/>
      <c r="M58" s="12"/>
      <c r="N58" s="122"/>
      <c r="O58" s="122"/>
      <c r="P58" s="122"/>
      <c r="Q58" s="122"/>
    </row>
    <row r="59" spans="2:17" ht="14.25" customHeight="1" x14ac:dyDescent="0.3">
      <c r="B59" s="23"/>
      <c r="D59" s="25"/>
      <c r="E59" s="25"/>
      <c r="M59" s="12"/>
      <c r="N59" s="122"/>
      <c r="O59" s="122"/>
      <c r="P59" s="122"/>
      <c r="Q59" s="122"/>
    </row>
    <row r="60" spans="2:17" ht="14.25" customHeight="1" x14ac:dyDescent="0.3">
      <c r="B60" s="23"/>
      <c r="D60" s="25"/>
      <c r="E60" s="25"/>
      <c r="M60" s="12"/>
      <c r="N60" s="122"/>
      <c r="O60" s="122"/>
      <c r="P60" s="122"/>
      <c r="Q60" s="122"/>
    </row>
    <row r="61" spans="2:17" ht="14.25" customHeight="1" x14ac:dyDescent="0.3">
      <c r="B61" s="23"/>
      <c r="D61" s="25"/>
      <c r="E61" s="25"/>
      <c r="M61" s="12"/>
      <c r="N61" s="122"/>
      <c r="O61" s="122"/>
      <c r="P61" s="122"/>
      <c r="Q61" s="122"/>
    </row>
    <row r="62" spans="2:17" ht="14.25" customHeight="1" x14ac:dyDescent="0.3">
      <c r="B62" s="23"/>
      <c r="D62" s="25"/>
      <c r="E62" s="25"/>
      <c r="M62" s="12"/>
      <c r="N62" s="122"/>
      <c r="O62" s="122"/>
      <c r="P62" s="122"/>
      <c r="Q62" s="122"/>
    </row>
    <row r="63" spans="2:17" ht="14.25" customHeight="1" x14ac:dyDescent="0.3">
      <c r="B63" s="23"/>
      <c r="D63" s="25"/>
      <c r="E63" s="25"/>
      <c r="M63" s="12"/>
      <c r="N63" s="122"/>
      <c r="O63" s="122"/>
      <c r="P63" s="122"/>
      <c r="Q63" s="122"/>
    </row>
    <row r="64" spans="2:17" ht="14.25" customHeight="1" x14ac:dyDescent="0.3">
      <c r="B64" s="23"/>
      <c r="D64" s="25"/>
      <c r="E64" s="25"/>
      <c r="M64" s="12"/>
      <c r="N64" s="122"/>
      <c r="O64" s="122"/>
      <c r="P64" s="122"/>
      <c r="Q64" s="122"/>
    </row>
    <row r="65" spans="2:17" ht="14.25" customHeight="1" x14ac:dyDescent="0.3">
      <c r="B65" s="23"/>
      <c r="D65" s="25"/>
      <c r="E65" s="25"/>
      <c r="M65" s="12"/>
      <c r="N65" s="122"/>
      <c r="O65" s="122"/>
      <c r="P65" s="122"/>
      <c r="Q65" s="122"/>
    </row>
    <row r="66" spans="2:17" ht="14.25" customHeight="1" x14ac:dyDescent="0.3">
      <c r="B66" s="23"/>
      <c r="D66" s="25"/>
      <c r="E66" s="25"/>
      <c r="M66" s="12"/>
      <c r="N66" s="122"/>
      <c r="O66" s="122"/>
      <c r="P66" s="122"/>
      <c r="Q66" s="122"/>
    </row>
    <row r="67" spans="2:17" ht="14.25" customHeight="1" x14ac:dyDescent="0.3">
      <c r="B67" s="23"/>
      <c r="D67" s="25"/>
      <c r="E67" s="25"/>
      <c r="M67" s="12"/>
      <c r="N67" s="122"/>
      <c r="O67" s="122"/>
      <c r="P67" s="122"/>
      <c r="Q67" s="122"/>
    </row>
    <row r="68" spans="2:17" ht="14.25" customHeight="1" x14ac:dyDescent="0.3">
      <c r="B68" s="23"/>
      <c r="D68" s="25"/>
      <c r="E68" s="25"/>
      <c r="M68" s="12"/>
      <c r="N68" s="122"/>
      <c r="O68" s="122"/>
      <c r="P68" s="122"/>
      <c r="Q68" s="122"/>
    </row>
    <row r="69" spans="2:17" ht="14.25" customHeight="1" x14ac:dyDescent="0.3">
      <c r="B69" s="23"/>
      <c r="D69" s="25"/>
      <c r="E69" s="25"/>
      <c r="M69" s="12"/>
      <c r="N69" s="122"/>
      <c r="O69" s="122"/>
      <c r="P69" s="122"/>
      <c r="Q69" s="122"/>
    </row>
    <row r="70" spans="2:17" ht="14.25" customHeight="1" x14ac:dyDescent="0.3">
      <c r="B70" s="23"/>
      <c r="D70" s="25"/>
      <c r="E70" s="25"/>
      <c r="M70" s="12"/>
      <c r="N70" s="122"/>
      <c r="O70" s="122"/>
      <c r="P70" s="122"/>
      <c r="Q70" s="122"/>
    </row>
    <row r="71" spans="2:17" ht="14.25" customHeight="1" x14ac:dyDescent="0.3">
      <c r="B71" s="23"/>
      <c r="D71" s="25"/>
      <c r="E71" s="25"/>
      <c r="M71" s="12"/>
      <c r="N71" s="122"/>
      <c r="O71" s="122"/>
      <c r="P71" s="122"/>
      <c r="Q71" s="122"/>
    </row>
    <row r="72" spans="2:17" ht="14.25" customHeight="1" x14ac:dyDescent="0.3">
      <c r="B72" s="23"/>
      <c r="D72" s="25"/>
      <c r="E72" s="25"/>
      <c r="M72" s="12"/>
      <c r="N72" s="122"/>
      <c r="O72" s="122"/>
      <c r="P72" s="122"/>
      <c r="Q72" s="122"/>
    </row>
    <row r="73" spans="2:17" ht="14.25" customHeight="1" x14ac:dyDescent="0.3">
      <c r="B73" s="23"/>
      <c r="D73" s="25"/>
      <c r="E73" s="25"/>
      <c r="M73" s="12"/>
      <c r="N73" s="122"/>
      <c r="O73" s="122"/>
      <c r="P73" s="122"/>
      <c r="Q73" s="122"/>
    </row>
    <row r="74" spans="2:17" ht="14.25" customHeight="1" x14ac:dyDescent="0.3">
      <c r="B74" s="23"/>
      <c r="D74" s="25"/>
      <c r="E74" s="25"/>
      <c r="M74" s="12"/>
      <c r="N74" s="122"/>
      <c r="O74" s="122"/>
      <c r="P74" s="122"/>
      <c r="Q74" s="122"/>
    </row>
    <row r="75" spans="2:17" ht="14.25" customHeight="1" x14ac:dyDescent="0.3">
      <c r="B75" s="23"/>
      <c r="D75" s="25"/>
      <c r="E75" s="25"/>
      <c r="M75" s="12"/>
      <c r="N75" s="122"/>
      <c r="O75" s="122"/>
      <c r="P75" s="122"/>
      <c r="Q75" s="122"/>
    </row>
    <row r="76" spans="2:17" ht="14.25" customHeight="1" x14ac:dyDescent="0.3">
      <c r="B76" s="23"/>
      <c r="D76" s="25"/>
      <c r="E76" s="25"/>
      <c r="M76" s="12"/>
      <c r="N76" s="122"/>
      <c r="O76" s="122"/>
      <c r="P76" s="122"/>
      <c r="Q76" s="122"/>
    </row>
    <row r="77" spans="2:17" ht="14.25" customHeight="1" x14ac:dyDescent="0.3">
      <c r="B77" s="23"/>
      <c r="D77" s="25"/>
      <c r="E77" s="25"/>
      <c r="M77" s="12"/>
      <c r="N77" s="122"/>
      <c r="O77" s="122"/>
      <c r="P77" s="122"/>
      <c r="Q77" s="122"/>
    </row>
    <row r="78" spans="2:17" ht="14.25" customHeight="1" x14ac:dyDescent="0.3">
      <c r="B78" s="23"/>
      <c r="D78" s="25"/>
      <c r="E78" s="25"/>
      <c r="M78" s="12"/>
      <c r="N78" s="122"/>
      <c r="O78" s="122"/>
      <c r="P78" s="122"/>
      <c r="Q78" s="122"/>
    </row>
    <row r="79" spans="2:17" ht="14.25" customHeight="1" x14ac:dyDescent="0.3">
      <c r="B79" s="23"/>
      <c r="D79" s="25"/>
      <c r="E79" s="25"/>
      <c r="M79" s="12"/>
      <c r="N79" s="122"/>
      <c r="O79" s="122"/>
      <c r="P79" s="122"/>
      <c r="Q79" s="122"/>
    </row>
    <row r="80" spans="2:17" ht="14.25" customHeight="1" x14ac:dyDescent="0.3">
      <c r="B80" s="23"/>
      <c r="D80" s="25"/>
      <c r="E80" s="25"/>
      <c r="M80" s="12"/>
      <c r="N80" s="122"/>
      <c r="O80" s="122"/>
      <c r="P80" s="122"/>
      <c r="Q80" s="122"/>
    </row>
    <row r="81" spans="2:17" ht="14.25" customHeight="1" x14ac:dyDescent="0.3">
      <c r="B81" s="23"/>
      <c r="D81" s="25"/>
      <c r="E81" s="25"/>
      <c r="M81" s="12"/>
      <c r="N81" s="122"/>
      <c r="O81" s="122"/>
      <c r="P81" s="122"/>
      <c r="Q81" s="122"/>
    </row>
    <row r="82" spans="2:17" ht="14.25" customHeight="1" x14ac:dyDescent="0.3">
      <c r="B82" s="23"/>
      <c r="D82" s="25"/>
      <c r="E82" s="25"/>
      <c r="M82" s="12"/>
      <c r="N82" s="122"/>
      <c r="O82" s="122"/>
      <c r="P82" s="122"/>
      <c r="Q82" s="122"/>
    </row>
    <row r="83" spans="2:17" ht="14.25" customHeight="1" x14ac:dyDescent="0.3">
      <c r="B83" s="23"/>
      <c r="D83" s="25"/>
      <c r="E83" s="25"/>
      <c r="M83" s="12"/>
      <c r="N83" s="122"/>
      <c r="O83" s="122"/>
      <c r="P83" s="122"/>
      <c r="Q83" s="122"/>
    </row>
    <row r="84" spans="2:17" ht="14.25" customHeight="1" x14ac:dyDescent="0.3">
      <c r="B84" s="23"/>
      <c r="D84" s="25"/>
      <c r="E84" s="25"/>
      <c r="M84" s="12"/>
      <c r="N84" s="122"/>
      <c r="O84" s="122"/>
      <c r="P84" s="122"/>
      <c r="Q84" s="122"/>
    </row>
    <row r="85" spans="2:17" ht="14.25" customHeight="1" x14ac:dyDescent="0.3">
      <c r="B85" s="23"/>
      <c r="D85" s="25"/>
      <c r="E85" s="25"/>
      <c r="M85" s="12"/>
      <c r="N85" s="122"/>
      <c r="O85" s="122"/>
      <c r="P85" s="122"/>
      <c r="Q85" s="122"/>
    </row>
    <row r="86" spans="2:17" ht="14.25" customHeight="1" x14ac:dyDescent="0.3">
      <c r="B86" s="23"/>
      <c r="D86" s="25"/>
      <c r="E86" s="25"/>
      <c r="M86" s="12"/>
      <c r="N86" s="122"/>
      <c r="O86" s="122"/>
      <c r="P86" s="122"/>
      <c r="Q86" s="122"/>
    </row>
    <row r="87" spans="2:17" ht="14.25" customHeight="1" x14ac:dyDescent="0.3">
      <c r="B87" s="23"/>
      <c r="D87" s="25"/>
      <c r="E87" s="25"/>
      <c r="M87" s="12"/>
      <c r="N87" s="122"/>
      <c r="O87" s="122"/>
      <c r="P87" s="122"/>
      <c r="Q87" s="122"/>
    </row>
    <row r="88" spans="2:17" ht="14.25" customHeight="1" x14ac:dyDescent="0.3">
      <c r="B88" s="23"/>
      <c r="D88" s="25"/>
      <c r="E88" s="25"/>
      <c r="M88" s="12"/>
      <c r="N88" s="122"/>
      <c r="O88" s="122"/>
      <c r="P88" s="122"/>
      <c r="Q88" s="122"/>
    </row>
    <row r="89" spans="2:17" ht="14.25" customHeight="1" x14ac:dyDescent="0.3">
      <c r="B89" s="23"/>
      <c r="D89" s="25"/>
      <c r="E89" s="25"/>
      <c r="M89" s="12"/>
      <c r="N89" s="122"/>
      <c r="O89" s="122"/>
      <c r="P89" s="122"/>
      <c r="Q89" s="122"/>
    </row>
    <row r="90" spans="2:17" ht="14.25" customHeight="1" x14ac:dyDescent="0.3">
      <c r="B90" s="23"/>
      <c r="D90" s="25"/>
      <c r="E90" s="25"/>
      <c r="M90" s="12"/>
      <c r="N90" s="122"/>
      <c r="O90" s="122"/>
      <c r="P90" s="122"/>
      <c r="Q90" s="122"/>
    </row>
    <row r="91" spans="2:17" ht="14.25" customHeight="1" x14ac:dyDescent="0.3">
      <c r="B91" s="23"/>
      <c r="D91" s="25"/>
      <c r="E91" s="25"/>
      <c r="M91" s="12"/>
      <c r="N91" s="122"/>
      <c r="O91" s="122"/>
      <c r="P91" s="122"/>
      <c r="Q91" s="122"/>
    </row>
    <row r="92" spans="2:17" ht="14.25" customHeight="1" x14ac:dyDescent="0.3">
      <c r="B92" s="23"/>
      <c r="D92" s="25"/>
      <c r="E92" s="25"/>
      <c r="M92" s="12"/>
      <c r="N92" s="122"/>
      <c r="O92" s="122"/>
      <c r="P92" s="122"/>
      <c r="Q92" s="122"/>
    </row>
    <row r="93" spans="2:17" ht="14.25" customHeight="1" x14ac:dyDescent="0.3">
      <c r="B93" s="23"/>
      <c r="D93" s="25"/>
      <c r="E93" s="25"/>
      <c r="M93" s="12"/>
      <c r="N93" s="122"/>
      <c r="O93" s="122"/>
      <c r="P93" s="122"/>
      <c r="Q93" s="122"/>
    </row>
    <row r="94" spans="2:17" ht="14.25" customHeight="1" x14ac:dyDescent="0.3">
      <c r="B94" s="23"/>
      <c r="D94" s="25"/>
      <c r="E94" s="25"/>
      <c r="M94" s="12"/>
      <c r="N94" s="122"/>
      <c r="O94" s="122"/>
      <c r="P94" s="122"/>
      <c r="Q94" s="122"/>
    </row>
    <row r="95" spans="2:17" ht="14.25" customHeight="1" x14ac:dyDescent="0.3">
      <c r="B95" s="23"/>
      <c r="D95" s="25"/>
      <c r="E95" s="25"/>
      <c r="M95" s="12"/>
      <c r="N95" s="122"/>
      <c r="O95" s="122"/>
      <c r="P95" s="122"/>
      <c r="Q95" s="122"/>
    </row>
    <row r="96" spans="2:17" ht="14.25" customHeight="1" x14ac:dyDescent="0.3">
      <c r="B96" s="23"/>
      <c r="D96" s="25"/>
      <c r="E96" s="25"/>
      <c r="M96" s="12"/>
      <c r="N96" s="122"/>
      <c r="O96" s="122"/>
      <c r="P96" s="122"/>
      <c r="Q96" s="122"/>
    </row>
    <row r="97" spans="2:17" ht="14.25" customHeight="1" x14ac:dyDescent="0.3">
      <c r="B97" s="23"/>
      <c r="D97" s="25"/>
      <c r="E97" s="25"/>
      <c r="M97" s="12"/>
      <c r="N97" s="122"/>
      <c r="O97" s="122"/>
      <c r="P97" s="122"/>
      <c r="Q97" s="122"/>
    </row>
    <row r="98" spans="2:17" ht="14.25" customHeight="1" x14ac:dyDescent="0.3">
      <c r="B98" s="23"/>
      <c r="D98" s="25"/>
      <c r="E98" s="25"/>
      <c r="M98" s="12"/>
      <c r="N98" s="122"/>
      <c r="O98" s="122"/>
      <c r="P98" s="122"/>
      <c r="Q98" s="122"/>
    </row>
    <row r="99" spans="2:17" ht="14.25" customHeight="1" x14ac:dyDescent="0.3">
      <c r="B99" s="23"/>
      <c r="D99" s="25"/>
      <c r="E99" s="25"/>
      <c r="M99" s="12"/>
      <c r="N99" s="122"/>
      <c r="O99" s="122"/>
      <c r="P99" s="122"/>
      <c r="Q99" s="122"/>
    </row>
    <row r="100" spans="2:17" ht="14.25" customHeight="1" x14ac:dyDescent="0.3">
      <c r="B100" s="23"/>
      <c r="D100" s="25"/>
      <c r="E100" s="25"/>
      <c r="M100" s="12"/>
      <c r="N100" s="122"/>
      <c r="O100" s="122"/>
      <c r="P100" s="122"/>
      <c r="Q100" s="122"/>
    </row>
    <row r="101" spans="2:17" ht="14.25" customHeight="1" x14ac:dyDescent="0.3">
      <c r="B101" s="23"/>
      <c r="D101" s="25"/>
      <c r="E101" s="25"/>
      <c r="M101" s="12"/>
      <c r="N101" s="122"/>
      <c r="O101" s="122"/>
      <c r="P101" s="122"/>
      <c r="Q101" s="122"/>
    </row>
    <row r="102" spans="2:17" ht="14.25" customHeight="1" x14ac:dyDescent="0.3">
      <c r="B102" s="23"/>
      <c r="D102" s="25"/>
      <c r="E102" s="25"/>
      <c r="M102" s="12"/>
      <c r="N102" s="122"/>
      <c r="O102" s="122"/>
      <c r="P102" s="122"/>
      <c r="Q102" s="122"/>
    </row>
    <row r="103" spans="2:17" ht="14.25" customHeight="1" x14ac:dyDescent="0.3">
      <c r="B103" s="23"/>
      <c r="D103" s="25"/>
      <c r="E103" s="25"/>
      <c r="M103" s="12"/>
      <c r="N103" s="122"/>
      <c r="O103" s="122"/>
      <c r="P103" s="122"/>
      <c r="Q103" s="122"/>
    </row>
    <row r="104" spans="2:17" ht="14.25" customHeight="1" x14ac:dyDescent="0.3">
      <c r="B104" s="23"/>
      <c r="D104" s="25"/>
      <c r="E104" s="25"/>
      <c r="M104" s="12"/>
      <c r="N104" s="122"/>
      <c r="O104" s="122"/>
      <c r="P104" s="122"/>
      <c r="Q104" s="122"/>
    </row>
    <row r="105" spans="2:17" ht="14.25" customHeight="1" x14ac:dyDescent="0.3">
      <c r="B105" s="23"/>
      <c r="D105" s="25"/>
      <c r="E105" s="25"/>
      <c r="M105" s="12"/>
      <c r="N105" s="122"/>
      <c r="O105" s="122"/>
      <c r="P105" s="122"/>
      <c r="Q105" s="122"/>
    </row>
    <row r="106" spans="2:17" ht="14.25" customHeight="1" x14ac:dyDescent="0.3">
      <c r="B106" s="23"/>
      <c r="D106" s="25"/>
      <c r="E106" s="25"/>
      <c r="M106" s="12"/>
      <c r="N106" s="122"/>
      <c r="O106" s="122"/>
      <c r="P106" s="122"/>
      <c r="Q106" s="122"/>
    </row>
    <row r="107" spans="2:17" ht="14.25" customHeight="1" x14ac:dyDescent="0.3">
      <c r="B107" s="23"/>
      <c r="D107" s="25"/>
      <c r="E107" s="25"/>
      <c r="M107" s="12"/>
      <c r="N107" s="122"/>
      <c r="O107" s="122"/>
      <c r="P107" s="122"/>
      <c r="Q107" s="122"/>
    </row>
    <row r="108" spans="2:17" ht="14.25" customHeight="1" x14ac:dyDescent="0.3">
      <c r="B108" s="23"/>
      <c r="D108" s="25"/>
      <c r="E108" s="25"/>
      <c r="M108" s="12"/>
      <c r="N108" s="122"/>
      <c r="O108" s="122"/>
      <c r="P108" s="122"/>
      <c r="Q108" s="122"/>
    </row>
    <row r="109" spans="2:17" ht="14.25" customHeight="1" x14ac:dyDescent="0.3">
      <c r="B109" s="23"/>
      <c r="D109" s="25"/>
      <c r="E109" s="25"/>
      <c r="M109" s="12"/>
      <c r="N109" s="122"/>
      <c r="O109" s="122"/>
      <c r="P109" s="122"/>
      <c r="Q109" s="122"/>
    </row>
    <row r="110" spans="2:17" ht="14.25" customHeight="1" x14ac:dyDescent="0.3">
      <c r="B110" s="23"/>
      <c r="D110" s="25"/>
      <c r="E110" s="25"/>
      <c r="M110" s="12"/>
      <c r="N110" s="122"/>
      <c r="O110" s="122"/>
      <c r="P110" s="122"/>
      <c r="Q110" s="122"/>
    </row>
    <row r="111" spans="2:17" ht="14.25" customHeight="1" x14ac:dyDescent="0.3">
      <c r="B111" s="23"/>
      <c r="D111" s="25"/>
      <c r="E111" s="25"/>
      <c r="M111" s="12"/>
      <c r="N111" s="122"/>
      <c r="O111" s="122"/>
      <c r="P111" s="122"/>
      <c r="Q111" s="122"/>
    </row>
    <row r="112" spans="2:17" ht="14.25" customHeight="1" x14ac:dyDescent="0.3">
      <c r="B112" s="23"/>
      <c r="D112" s="25"/>
      <c r="E112" s="25"/>
      <c r="M112" s="12"/>
      <c r="N112" s="122"/>
      <c r="O112" s="122"/>
      <c r="P112" s="122"/>
      <c r="Q112" s="122"/>
    </row>
    <row r="113" spans="2:17" ht="14.25" customHeight="1" x14ac:dyDescent="0.3">
      <c r="B113" s="23"/>
      <c r="D113" s="25"/>
      <c r="E113" s="25"/>
      <c r="M113" s="12"/>
      <c r="N113" s="122"/>
      <c r="O113" s="122"/>
      <c r="P113" s="122"/>
      <c r="Q113" s="122"/>
    </row>
    <row r="114" spans="2:17" ht="14.25" customHeight="1" x14ac:dyDescent="0.3">
      <c r="B114" s="23"/>
      <c r="D114" s="25"/>
      <c r="E114" s="25"/>
      <c r="M114" s="12"/>
      <c r="N114" s="122"/>
      <c r="O114" s="122"/>
      <c r="P114" s="122"/>
      <c r="Q114" s="122"/>
    </row>
    <row r="115" spans="2:17" ht="14.25" customHeight="1" x14ac:dyDescent="0.3">
      <c r="B115" s="23"/>
      <c r="D115" s="25"/>
      <c r="E115" s="25"/>
      <c r="M115" s="12"/>
      <c r="N115" s="122"/>
      <c r="O115" s="122"/>
      <c r="P115" s="122"/>
      <c r="Q115" s="122"/>
    </row>
    <row r="116" spans="2:17" ht="14.25" customHeight="1" x14ac:dyDescent="0.3">
      <c r="B116" s="23"/>
      <c r="D116" s="25"/>
      <c r="E116" s="25"/>
      <c r="M116" s="12"/>
      <c r="N116" s="122"/>
      <c r="O116" s="122"/>
      <c r="P116" s="122"/>
      <c r="Q116" s="122"/>
    </row>
    <row r="117" spans="2:17" ht="14.25" customHeight="1" x14ac:dyDescent="0.3">
      <c r="B117" s="23"/>
      <c r="D117" s="25"/>
      <c r="E117" s="25"/>
      <c r="M117" s="12"/>
      <c r="N117" s="122"/>
      <c r="O117" s="122"/>
      <c r="P117" s="122"/>
      <c r="Q117" s="122"/>
    </row>
    <row r="118" spans="2:17" ht="14.25" customHeight="1" x14ac:dyDescent="0.3">
      <c r="B118" s="23"/>
      <c r="D118" s="25"/>
      <c r="E118" s="25"/>
      <c r="M118" s="12"/>
      <c r="N118" s="122"/>
      <c r="O118" s="122"/>
      <c r="P118" s="122"/>
      <c r="Q118" s="122"/>
    </row>
    <row r="119" spans="2:17" ht="14.25" customHeight="1" x14ac:dyDescent="0.3">
      <c r="B119" s="23"/>
      <c r="D119" s="25"/>
      <c r="E119" s="25"/>
      <c r="M119" s="12"/>
      <c r="N119" s="122"/>
      <c r="O119" s="122"/>
      <c r="P119" s="122"/>
      <c r="Q119" s="122"/>
    </row>
    <row r="120" spans="2:17" ht="14.25" customHeight="1" x14ac:dyDescent="0.3">
      <c r="B120" s="23"/>
      <c r="D120" s="25"/>
      <c r="E120" s="25"/>
      <c r="M120" s="12"/>
      <c r="N120" s="122"/>
      <c r="O120" s="122"/>
      <c r="P120" s="122"/>
      <c r="Q120" s="122"/>
    </row>
    <row r="121" spans="2:17" ht="14.25" customHeight="1" x14ac:dyDescent="0.3">
      <c r="B121" s="23"/>
      <c r="D121" s="25"/>
      <c r="E121" s="25"/>
      <c r="M121" s="12"/>
      <c r="N121" s="122"/>
      <c r="O121" s="122"/>
      <c r="P121" s="122"/>
      <c r="Q121" s="122"/>
    </row>
    <row r="122" spans="2:17" ht="14.25" customHeight="1" x14ac:dyDescent="0.3">
      <c r="B122" s="23"/>
      <c r="D122" s="25"/>
      <c r="E122" s="25"/>
      <c r="M122" s="12"/>
      <c r="N122" s="122"/>
      <c r="O122" s="122"/>
      <c r="P122" s="122"/>
      <c r="Q122" s="122"/>
    </row>
    <row r="123" spans="2:17" ht="14.25" customHeight="1" x14ac:dyDescent="0.3">
      <c r="B123" s="23"/>
      <c r="D123" s="25"/>
      <c r="E123" s="25"/>
      <c r="M123" s="12"/>
      <c r="N123" s="122"/>
      <c r="O123" s="122"/>
      <c r="P123" s="122"/>
      <c r="Q123" s="122"/>
    </row>
    <row r="124" spans="2:17" ht="14.25" customHeight="1" x14ac:dyDescent="0.3">
      <c r="B124" s="23"/>
      <c r="D124" s="25"/>
      <c r="E124" s="25"/>
      <c r="M124" s="12"/>
      <c r="N124" s="122"/>
      <c r="O124" s="122"/>
      <c r="P124" s="122"/>
      <c r="Q124" s="122"/>
    </row>
    <row r="125" spans="2:17" ht="14.25" customHeight="1" x14ac:dyDescent="0.3">
      <c r="B125" s="23"/>
      <c r="D125" s="25"/>
      <c r="E125" s="25"/>
      <c r="M125" s="12"/>
      <c r="N125" s="122"/>
      <c r="O125" s="122"/>
      <c r="P125" s="122"/>
      <c r="Q125" s="122"/>
    </row>
    <row r="126" spans="2:17" ht="14.25" customHeight="1" x14ac:dyDescent="0.3">
      <c r="B126" s="23"/>
      <c r="D126" s="25"/>
      <c r="E126" s="25"/>
      <c r="M126" s="12"/>
      <c r="N126" s="122"/>
      <c r="O126" s="122"/>
      <c r="P126" s="122"/>
      <c r="Q126" s="122"/>
    </row>
    <row r="127" spans="2:17" ht="14.25" customHeight="1" x14ac:dyDescent="0.3">
      <c r="B127" s="23"/>
      <c r="D127" s="25"/>
      <c r="E127" s="25"/>
      <c r="M127" s="12"/>
      <c r="N127" s="122"/>
      <c r="O127" s="122"/>
      <c r="P127" s="122"/>
      <c r="Q127" s="122"/>
    </row>
    <row r="128" spans="2:17" ht="14.25" customHeight="1" x14ac:dyDescent="0.3">
      <c r="B128" s="23"/>
      <c r="D128" s="25"/>
      <c r="E128" s="25"/>
      <c r="M128" s="12"/>
      <c r="N128" s="122"/>
      <c r="O128" s="122"/>
      <c r="P128" s="122"/>
      <c r="Q128" s="122"/>
    </row>
    <row r="129" spans="2:17" ht="14.25" customHeight="1" x14ac:dyDescent="0.3">
      <c r="B129" s="23"/>
      <c r="D129" s="25"/>
      <c r="E129" s="25"/>
      <c r="M129" s="12"/>
      <c r="N129" s="122"/>
      <c r="O129" s="122"/>
      <c r="P129" s="122"/>
      <c r="Q129" s="122"/>
    </row>
    <row r="130" spans="2:17" ht="14.25" customHeight="1" x14ac:dyDescent="0.3">
      <c r="B130" s="23"/>
      <c r="D130" s="25"/>
      <c r="E130" s="25"/>
      <c r="M130" s="12"/>
      <c r="N130" s="122"/>
      <c r="O130" s="122"/>
      <c r="P130" s="122"/>
      <c r="Q130" s="122"/>
    </row>
    <row r="131" spans="2:17" ht="14.25" customHeight="1" x14ac:dyDescent="0.3">
      <c r="B131" s="23"/>
      <c r="D131" s="25"/>
      <c r="E131" s="25"/>
      <c r="M131" s="12"/>
      <c r="N131" s="122"/>
      <c r="O131" s="122"/>
      <c r="P131" s="122"/>
      <c r="Q131" s="122"/>
    </row>
    <row r="132" spans="2:17" ht="14.25" customHeight="1" x14ac:dyDescent="0.3">
      <c r="B132" s="23"/>
      <c r="D132" s="25"/>
      <c r="E132" s="25"/>
      <c r="M132" s="12"/>
      <c r="N132" s="122"/>
      <c r="O132" s="122"/>
      <c r="P132" s="122"/>
      <c r="Q132" s="122"/>
    </row>
    <row r="133" spans="2:17" ht="14.25" customHeight="1" x14ac:dyDescent="0.3">
      <c r="B133" s="23"/>
      <c r="D133" s="25"/>
      <c r="E133" s="25"/>
      <c r="M133" s="12"/>
      <c r="N133" s="122"/>
      <c r="O133" s="122"/>
      <c r="P133" s="122"/>
      <c r="Q133" s="122"/>
    </row>
    <row r="134" spans="2:17" ht="14.25" customHeight="1" x14ac:dyDescent="0.3">
      <c r="B134" s="23"/>
      <c r="D134" s="25"/>
      <c r="E134" s="25"/>
      <c r="M134" s="12"/>
      <c r="N134" s="122"/>
      <c r="O134" s="122"/>
      <c r="P134" s="122"/>
      <c r="Q134" s="122"/>
    </row>
    <row r="135" spans="2:17" ht="14.25" customHeight="1" x14ac:dyDescent="0.3">
      <c r="B135" s="23"/>
      <c r="D135" s="25"/>
      <c r="E135" s="25"/>
      <c r="M135" s="12"/>
      <c r="N135" s="122"/>
      <c r="O135" s="122"/>
      <c r="P135" s="122"/>
      <c r="Q135" s="122"/>
    </row>
    <row r="136" spans="2:17" ht="14.25" customHeight="1" x14ac:dyDescent="0.3">
      <c r="B136" s="23"/>
      <c r="D136" s="25"/>
      <c r="E136" s="25"/>
      <c r="M136" s="12"/>
      <c r="N136" s="122"/>
      <c r="O136" s="122"/>
      <c r="P136" s="122"/>
      <c r="Q136" s="122"/>
    </row>
    <row r="137" spans="2:17" ht="14.25" customHeight="1" x14ac:dyDescent="0.3">
      <c r="B137" s="23"/>
      <c r="D137" s="25"/>
      <c r="E137" s="25"/>
      <c r="M137" s="12"/>
      <c r="N137" s="122"/>
      <c r="O137" s="122"/>
      <c r="P137" s="122"/>
      <c r="Q137" s="122"/>
    </row>
    <row r="138" spans="2:17" ht="14.25" customHeight="1" x14ac:dyDescent="0.3">
      <c r="B138" s="23"/>
      <c r="D138" s="25"/>
      <c r="E138" s="25"/>
      <c r="M138" s="12"/>
      <c r="N138" s="122"/>
      <c r="O138" s="122"/>
      <c r="P138" s="122"/>
      <c r="Q138" s="122"/>
    </row>
    <row r="139" spans="2:17" ht="14.25" customHeight="1" x14ac:dyDescent="0.3">
      <c r="B139" s="23"/>
      <c r="D139" s="25"/>
      <c r="E139" s="25"/>
      <c r="M139" s="12"/>
      <c r="N139" s="122"/>
      <c r="O139" s="122"/>
      <c r="P139" s="122"/>
      <c r="Q139" s="122"/>
    </row>
    <row r="140" spans="2:17" ht="14.25" customHeight="1" x14ac:dyDescent="0.3">
      <c r="B140" s="23"/>
      <c r="D140" s="25"/>
      <c r="E140" s="25"/>
      <c r="M140" s="12"/>
      <c r="N140" s="122"/>
      <c r="O140" s="122"/>
      <c r="P140" s="122"/>
      <c r="Q140" s="122"/>
    </row>
    <row r="141" spans="2:17" ht="14.25" customHeight="1" x14ac:dyDescent="0.3">
      <c r="B141" s="23"/>
      <c r="D141" s="25"/>
      <c r="E141" s="25"/>
      <c r="M141" s="12"/>
      <c r="N141" s="122"/>
      <c r="O141" s="122"/>
      <c r="P141" s="122"/>
      <c r="Q141" s="122"/>
    </row>
    <row r="142" spans="2:17" ht="14.25" customHeight="1" x14ac:dyDescent="0.3">
      <c r="B142" s="23"/>
      <c r="D142" s="25"/>
      <c r="E142" s="25"/>
      <c r="M142" s="12"/>
      <c r="N142" s="122"/>
      <c r="O142" s="122"/>
      <c r="P142" s="122"/>
      <c r="Q142" s="122"/>
    </row>
    <row r="143" spans="2:17" ht="14.25" customHeight="1" x14ac:dyDescent="0.3">
      <c r="B143" s="23"/>
      <c r="D143" s="25"/>
      <c r="E143" s="25"/>
      <c r="M143" s="12"/>
      <c r="N143" s="122"/>
      <c r="O143" s="122"/>
      <c r="P143" s="122"/>
      <c r="Q143" s="122"/>
    </row>
    <row r="144" spans="2:17" ht="14.25" customHeight="1" x14ac:dyDescent="0.3">
      <c r="B144" s="23"/>
      <c r="D144" s="25"/>
      <c r="E144" s="25"/>
      <c r="M144" s="12"/>
      <c r="N144" s="122"/>
      <c r="O144" s="122"/>
      <c r="P144" s="122"/>
      <c r="Q144" s="122"/>
    </row>
    <row r="145" spans="2:17" ht="14.25" customHeight="1" x14ac:dyDescent="0.3">
      <c r="B145" s="23"/>
      <c r="D145" s="25"/>
      <c r="E145" s="25"/>
      <c r="M145" s="12"/>
      <c r="N145" s="122"/>
      <c r="O145" s="122"/>
      <c r="P145" s="122"/>
      <c r="Q145" s="122"/>
    </row>
    <row r="146" spans="2:17" ht="14.25" customHeight="1" x14ac:dyDescent="0.3">
      <c r="B146" s="23"/>
      <c r="D146" s="25"/>
      <c r="E146" s="25"/>
      <c r="M146" s="12"/>
      <c r="N146" s="122"/>
      <c r="O146" s="122"/>
      <c r="P146" s="122"/>
      <c r="Q146" s="122"/>
    </row>
    <row r="147" spans="2:17" ht="14.25" customHeight="1" x14ac:dyDescent="0.3">
      <c r="B147" s="23"/>
      <c r="D147" s="25"/>
      <c r="E147" s="25"/>
      <c r="M147" s="12"/>
      <c r="N147" s="122"/>
      <c r="O147" s="122"/>
      <c r="P147" s="122"/>
      <c r="Q147" s="122"/>
    </row>
    <row r="148" spans="2:17" ht="14.25" customHeight="1" x14ac:dyDescent="0.3">
      <c r="B148" s="23"/>
      <c r="D148" s="25"/>
      <c r="E148" s="25"/>
      <c r="M148" s="12"/>
      <c r="N148" s="122"/>
      <c r="O148" s="122"/>
      <c r="P148" s="122"/>
      <c r="Q148" s="122"/>
    </row>
    <row r="149" spans="2:17" ht="14.25" customHeight="1" x14ac:dyDescent="0.3">
      <c r="B149" s="23"/>
      <c r="D149" s="25"/>
      <c r="E149" s="25"/>
      <c r="M149" s="12"/>
      <c r="N149" s="122"/>
      <c r="O149" s="122"/>
      <c r="P149" s="122"/>
      <c r="Q149" s="122"/>
    </row>
    <row r="150" spans="2:17" ht="14.25" customHeight="1" x14ac:dyDescent="0.3">
      <c r="B150" s="23"/>
      <c r="D150" s="25"/>
      <c r="E150" s="25"/>
      <c r="M150" s="12"/>
      <c r="N150" s="122"/>
      <c r="O150" s="122"/>
      <c r="P150" s="122"/>
      <c r="Q150" s="122"/>
    </row>
    <row r="151" spans="2:17" ht="14.25" customHeight="1" x14ac:dyDescent="0.3">
      <c r="B151" s="23"/>
      <c r="D151" s="25"/>
      <c r="E151" s="25"/>
      <c r="M151" s="12"/>
      <c r="N151" s="122"/>
      <c r="O151" s="122"/>
      <c r="P151" s="122"/>
      <c r="Q151" s="122"/>
    </row>
    <row r="152" spans="2:17" ht="14.25" customHeight="1" x14ac:dyDescent="0.3">
      <c r="B152" s="23"/>
      <c r="D152" s="25"/>
      <c r="E152" s="25"/>
      <c r="M152" s="12"/>
      <c r="N152" s="122"/>
      <c r="O152" s="122"/>
      <c r="P152" s="122"/>
      <c r="Q152" s="122"/>
    </row>
    <row r="153" spans="2:17" ht="14.25" customHeight="1" x14ac:dyDescent="0.3">
      <c r="B153" s="23"/>
      <c r="D153" s="25"/>
      <c r="E153" s="25"/>
      <c r="M153" s="12"/>
      <c r="N153" s="122"/>
      <c r="O153" s="122"/>
      <c r="P153" s="122"/>
      <c r="Q153" s="122"/>
    </row>
    <row r="154" spans="2:17" ht="14.25" customHeight="1" x14ac:dyDescent="0.3">
      <c r="B154" s="23"/>
      <c r="D154" s="25"/>
      <c r="E154" s="25"/>
      <c r="M154" s="12"/>
      <c r="N154" s="122"/>
      <c r="O154" s="122"/>
      <c r="P154" s="122"/>
      <c r="Q154" s="122"/>
    </row>
    <row r="155" spans="2:17" ht="14.25" customHeight="1" x14ac:dyDescent="0.3">
      <c r="B155" s="23"/>
      <c r="D155" s="25"/>
      <c r="E155" s="25"/>
      <c r="M155" s="12"/>
      <c r="N155" s="122"/>
      <c r="O155" s="122"/>
      <c r="P155" s="122"/>
      <c r="Q155" s="122"/>
    </row>
    <row r="156" spans="2:17" ht="14.25" customHeight="1" x14ac:dyDescent="0.3">
      <c r="B156" s="23"/>
      <c r="D156" s="25"/>
      <c r="E156" s="25"/>
      <c r="M156" s="12"/>
      <c r="N156" s="122"/>
      <c r="O156" s="122"/>
      <c r="P156" s="122"/>
      <c r="Q156" s="122"/>
    </row>
    <row r="157" spans="2:17" ht="14.25" customHeight="1" x14ac:dyDescent="0.3">
      <c r="B157" s="23"/>
      <c r="D157" s="25"/>
      <c r="E157" s="25"/>
      <c r="M157" s="12"/>
      <c r="N157" s="122"/>
      <c r="O157" s="122"/>
      <c r="P157" s="122"/>
      <c r="Q157" s="122"/>
    </row>
    <row r="158" spans="2:17" ht="14.25" customHeight="1" x14ac:dyDescent="0.3">
      <c r="B158" s="23"/>
      <c r="D158" s="25"/>
      <c r="E158" s="25"/>
      <c r="M158" s="12"/>
      <c r="N158" s="122"/>
      <c r="O158" s="122"/>
      <c r="P158" s="122"/>
      <c r="Q158" s="122"/>
    </row>
    <row r="159" spans="2:17" ht="14.25" customHeight="1" x14ac:dyDescent="0.3">
      <c r="B159" s="23"/>
      <c r="D159" s="25"/>
      <c r="E159" s="25"/>
      <c r="M159" s="12"/>
      <c r="N159" s="122"/>
      <c r="O159" s="122"/>
      <c r="P159" s="122"/>
      <c r="Q159" s="122"/>
    </row>
    <row r="160" spans="2:17" ht="14.25" customHeight="1" x14ac:dyDescent="0.3">
      <c r="B160" s="23"/>
      <c r="D160" s="25"/>
      <c r="E160" s="25"/>
      <c r="M160" s="12"/>
      <c r="N160" s="122"/>
      <c r="O160" s="122"/>
      <c r="P160" s="122"/>
      <c r="Q160" s="122"/>
    </row>
    <row r="161" spans="2:17" ht="14.25" customHeight="1" x14ac:dyDescent="0.3">
      <c r="B161" s="23"/>
      <c r="D161" s="25"/>
      <c r="E161" s="25"/>
      <c r="M161" s="12"/>
      <c r="N161" s="122"/>
      <c r="O161" s="122"/>
      <c r="P161" s="122"/>
      <c r="Q161" s="122"/>
    </row>
    <row r="162" spans="2:17" ht="14.25" customHeight="1" x14ac:dyDescent="0.3">
      <c r="B162" s="23"/>
      <c r="D162" s="25"/>
      <c r="E162" s="25"/>
      <c r="M162" s="12"/>
      <c r="N162" s="122"/>
      <c r="O162" s="122"/>
      <c r="P162" s="122"/>
      <c r="Q162" s="122"/>
    </row>
    <row r="163" spans="2:17" ht="14.25" customHeight="1" x14ac:dyDescent="0.3">
      <c r="B163" s="23"/>
      <c r="D163" s="25"/>
      <c r="E163" s="25"/>
      <c r="M163" s="12"/>
      <c r="N163" s="122"/>
      <c r="O163" s="122"/>
      <c r="P163" s="122"/>
      <c r="Q163" s="122"/>
    </row>
    <row r="164" spans="2:17" ht="14.25" customHeight="1" x14ac:dyDescent="0.3">
      <c r="B164" s="23"/>
      <c r="D164" s="25"/>
      <c r="E164" s="25"/>
      <c r="M164" s="12"/>
      <c r="N164" s="122"/>
      <c r="O164" s="122"/>
      <c r="P164" s="122"/>
      <c r="Q164" s="122"/>
    </row>
    <row r="165" spans="2:17" ht="14.25" customHeight="1" x14ac:dyDescent="0.3">
      <c r="B165" s="23"/>
      <c r="D165" s="25"/>
      <c r="E165" s="25"/>
      <c r="M165" s="12"/>
      <c r="N165" s="122"/>
      <c r="O165" s="122"/>
      <c r="P165" s="122"/>
      <c r="Q165" s="122"/>
    </row>
    <row r="166" spans="2:17" ht="14.25" customHeight="1" x14ac:dyDescent="0.3">
      <c r="B166" s="23"/>
      <c r="D166" s="25"/>
      <c r="E166" s="25"/>
      <c r="M166" s="12"/>
      <c r="N166" s="122"/>
      <c r="O166" s="122"/>
      <c r="P166" s="122"/>
      <c r="Q166" s="122"/>
    </row>
    <row r="167" spans="2:17" ht="14.25" customHeight="1" x14ac:dyDescent="0.3">
      <c r="B167" s="23"/>
      <c r="D167" s="25"/>
      <c r="E167" s="25"/>
      <c r="M167" s="12"/>
      <c r="N167" s="122"/>
      <c r="O167" s="122"/>
      <c r="P167" s="122"/>
      <c r="Q167" s="122"/>
    </row>
    <row r="168" spans="2:17" ht="14.25" customHeight="1" x14ac:dyDescent="0.3">
      <c r="B168" s="23"/>
      <c r="D168" s="25"/>
      <c r="E168" s="25"/>
      <c r="M168" s="12"/>
      <c r="N168" s="122"/>
      <c r="O168" s="122"/>
      <c r="P168" s="122"/>
      <c r="Q168" s="122"/>
    </row>
    <row r="169" spans="2:17" ht="14.25" customHeight="1" x14ac:dyDescent="0.3">
      <c r="B169" s="23"/>
      <c r="D169" s="25"/>
      <c r="E169" s="25"/>
      <c r="M169" s="12"/>
      <c r="N169" s="122"/>
      <c r="O169" s="122"/>
      <c r="P169" s="122"/>
      <c r="Q169" s="122"/>
    </row>
    <row r="170" spans="2:17" ht="14.25" customHeight="1" x14ac:dyDescent="0.3">
      <c r="B170" s="23"/>
      <c r="D170" s="25"/>
      <c r="E170" s="25"/>
      <c r="M170" s="12"/>
      <c r="N170" s="122"/>
      <c r="O170" s="122"/>
      <c r="P170" s="122"/>
      <c r="Q170" s="122"/>
    </row>
    <row r="171" spans="2:17" ht="14.25" customHeight="1" x14ac:dyDescent="0.3">
      <c r="B171" s="23"/>
      <c r="D171" s="25"/>
      <c r="E171" s="25"/>
      <c r="M171" s="12"/>
      <c r="N171" s="122"/>
      <c r="O171" s="122"/>
      <c r="P171" s="122"/>
      <c r="Q171" s="122"/>
    </row>
    <row r="172" spans="2:17" ht="14.25" customHeight="1" x14ac:dyDescent="0.3">
      <c r="B172" s="23"/>
      <c r="D172" s="25"/>
      <c r="E172" s="25"/>
      <c r="M172" s="12"/>
      <c r="N172" s="122"/>
      <c r="O172" s="122"/>
      <c r="P172" s="122"/>
      <c r="Q172" s="122"/>
    </row>
    <row r="173" spans="2:17" ht="14.25" customHeight="1" x14ac:dyDescent="0.3">
      <c r="B173" s="23"/>
      <c r="D173" s="25"/>
      <c r="E173" s="25"/>
      <c r="M173" s="12"/>
      <c r="N173" s="122"/>
      <c r="O173" s="122"/>
      <c r="P173" s="122"/>
      <c r="Q173" s="122"/>
    </row>
    <row r="174" spans="2:17" ht="14.25" customHeight="1" x14ac:dyDescent="0.3">
      <c r="B174" s="23"/>
      <c r="D174" s="25"/>
      <c r="E174" s="25"/>
      <c r="M174" s="12"/>
      <c r="N174" s="122"/>
      <c r="O174" s="122"/>
      <c r="P174" s="122"/>
      <c r="Q174" s="122"/>
    </row>
    <row r="175" spans="2:17" ht="14.25" customHeight="1" x14ac:dyDescent="0.3">
      <c r="B175" s="23"/>
      <c r="D175" s="25"/>
      <c r="E175" s="25"/>
      <c r="M175" s="12"/>
      <c r="N175" s="122"/>
      <c r="O175" s="122"/>
      <c r="P175" s="122"/>
      <c r="Q175" s="122"/>
    </row>
    <row r="176" spans="2:17" ht="14.25" customHeight="1" x14ac:dyDescent="0.3">
      <c r="B176" s="23"/>
      <c r="D176" s="25"/>
      <c r="E176" s="25"/>
      <c r="M176" s="12"/>
      <c r="N176" s="122"/>
      <c r="O176" s="122"/>
      <c r="P176" s="122"/>
      <c r="Q176" s="122"/>
    </row>
    <row r="177" spans="2:17" ht="14.25" customHeight="1" x14ac:dyDescent="0.3">
      <c r="B177" s="23"/>
      <c r="D177" s="25"/>
      <c r="E177" s="25"/>
      <c r="M177" s="12"/>
      <c r="N177" s="122"/>
      <c r="O177" s="122"/>
      <c r="P177" s="122"/>
      <c r="Q177" s="122"/>
    </row>
    <row r="178" spans="2:17" ht="14.25" customHeight="1" x14ac:dyDescent="0.3">
      <c r="B178" s="23"/>
      <c r="D178" s="25"/>
      <c r="E178" s="25"/>
      <c r="M178" s="12"/>
      <c r="N178" s="122"/>
      <c r="O178" s="122"/>
      <c r="P178" s="122"/>
      <c r="Q178" s="122"/>
    </row>
    <row r="179" spans="2:17" ht="14.25" customHeight="1" x14ac:dyDescent="0.3">
      <c r="B179" s="23"/>
      <c r="D179" s="25"/>
      <c r="E179" s="25"/>
      <c r="M179" s="12"/>
      <c r="N179" s="122"/>
      <c r="O179" s="122"/>
      <c r="P179" s="122"/>
      <c r="Q179" s="122"/>
    </row>
    <row r="180" spans="2:17" ht="14.25" customHeight="1" x14ac:dyDescent="0.3">
      <c r="B180" s="23"/>
      <c r="D180" s="25"/>
      <c r="E180" s="25"/>
      <c r="M180" s="12"/>
      <c r="N180" s="122"/>
      <c r="O180" s="122"/>
      <c r="P180" s="122"/>
      <c r="Q180" s="122"/>
    </row>
    <row r="181" spans="2:17" ht="14.25" customHeight="1" x14ac:dyDescent="0.3">
      <c r="B181" s="23"/>
      <c r="D181" s="25"/>
      <c r="E181" s="25"/>
      <c r="M181" s="12"/>
      <c r="N181" s="122"/>
      <c r="O181" s="122"/>
      <c r="P181" s="122"/>
      <c r="Q181" s="122"/>
    </row>
    <row r="182" spans="2:17" ht="14.25" customHeight="1" x14ac:dyDescent="0.3">
      <c r="B182" s="23"/>
      <c r="D182" s="25"/>
      <c r="E182" s="25"/>
      <c r="M182" s="12"/>
      <c r="N182" s="122"/>
      <c r="O182" s="122"/>
      <c r="P182" s="122"/>
      <c r="Q182" s="122"/>
    </row>
    <row r="183" spans="2:17" ht="14.25" customHeight="1" x14ac:dyDescent="0.3">
      <c r="B183" s="23"/>
      <c r="D183" s="25"/>
      <c r="E183" s="25"/>
      <c r="M183" s="12"/>
      <c r="N183" s="122"/>
      <c r="O183" s="122"/>
      <c r="P183" s="122"/>
      <c r="Q183" s="122"/>
    </row>
    <row r="184" spans="2:17" ht="14.25" customHeight="1" x14ac:dyDescent="0.3">
      <c r="B184" s="23"/>
      <c r="D184" s="25"/>
      <c r="E184" s="25"/>
      <c r="M184" s="12"/>
      <c r="N184" s="122"/>
      <c r="O184" s="122"/>
      <c r="P184" s="122"/>
      <c r="Q184" s="122"/>
    </row>
    <row r="185" spans="2:17" ht="14.25" customHeight="1" x14ac:dyDescent="0.3">
      <c r="B185" s="23"/>
      <c r="D185" s="25"/>
      <c r="E185" s="25"/>
      <c r="M185" s="12"/>
      <c r="N185" s="122"/>
      <c r="O185" s="122"/>
      <c r="P185" s="122"/>
      <c r="Q185" s="122"/>
    </row>
    <row r="186" spans="2:17" ht="14.25" customHeight="1" x14ac:dyDescent="0.3">
      <c r="B186" s="23"/>
      <c r="D186" s="25"/>
      <c r="E186" s="25"/>
      <c r="M186" s="12"/>
      <c r="N186" s="122"/>
      <c r="O186" s="122"/>
      <c r="P186" s="122"/>
      <c r="Q186" s="122"/>
    </row>
    <row r="187" spans="2:17" ht="14.25" customHeight="1" x14ac:dyDescent="0.3">
      <c r="B187" s="23"/>
      <c r="D187" s="25"/>
      <c r="E187" s="25"/>
      <c r="M187" s="12"/>
      <c r="N187" s="122"/>
      <c r="O187" s="122"/>
      <c r="P187" s="122"/>
      <c r="Q187" s="122"/>
    </row>
    <row r="188" spans="2:17" ht="14.25" customHeight="1" x14ac:dyDescent="0.3">
      <c r="B188" s="23"/>
      <c r="D188" s="25"/>
      <c r="E188" s="25"/>
      <c r="M188" s="12"/>
      <c r="N188" s="122"/>
      <c r="O188" s="122"/>
      <c r="P188" s="122"/>
      <c r="Q188" s="122"/>
    </row>
    <row r="189" spans="2:17" ht="14.25" customHeight="1" x14ac:dyDescent="0.3">
      <c r="B189" s="23"/>
      <c r="D189" s="25"/>
      <c r="E189" s="25"/>
      <c r="M189" s="12"/>
      <c r="N189" s="122"/>
      <c r="O189" s="122"/>
      <c r="P189" s="122"/>
      <c r="Q189" s="122"/>
    </row>
    <row r="190" spans="2:17" ht="14.25" customHeight="1" x14ac:dyDescent="0.3">
      <c r="B190" s="23"/>
      <c r="D190" s="25"/>
      <c r="E190" s="25"/>
      <c r="M190" s="12"/>
      <c r="N190" s="122"/>
      <c r="O190" s="122"/>
      <c r="P190" s="122"/>
      <c r="Q190" s="122"/>
    </row>
    <row r="191" spans="2:17" ht="14.25" customHeight="1" x14ac:dyDescent="0.3">
      <c r="B191" s="23"/>
      <c r="D191" s="25"/>
      <c r="E191" s="25"/>
      <c r="M191" s="12"/>
      <c r="N191" s="122"/>
      <c r="O191" s="122"/>
      <c r="P191" s="122"/>
      <c r="Q191" s="122"/>
    </row>
    <row r="192" spans="2:17" ht="14.25" customHeight="1" x14ac:dyDescent="0.3">
      <c r="B192" s="23"/>
      <c r="D192" s="25"/>
      <c r="E192" s="25"/>
      <c r="M192" s="12"/>
      <c r="N192" s="122"/>
      <c r="O192" s="122"/>
      <c r="P192" s="122"/>
      <c r="Q192" s="122"/>
    </row>
    <row r="193" spans="2:17" ht="14.25" customHeight="1" x14ac:dyDescent="0.3">
      <c r="B193" s="23"/>
      <c r="D193" s="25"/>
      <c r="E193" s="25"/>
      <c r="M193" s="12"/>
      <c r="N193" s="122"/>
      <c r="O193" s="122"/>
      <c r="P193" s="122"/>
      <c r="Q193" s="122"/>
    </row>
    <row r="194" spans="2:17" ht="14.25" customHeight="1" x14ac:dyDescent="0.3">
      <c r="B194" s="23"/>
      <c r="D194" s="25"/>
      <c r="E194" s="25"/>
      <c r="M194" s="12"/>
      <c r="N194" s="122"/>
      <c r="O194" s="122"/>
      <c r="P194" s="122"/>
      <c r="Q194" s="122"/>
    </row>
    <row r="195" spans="2:17" ht="14.25" customHeight="1" x14ac:dyDescent="0.3">
      <c r="B195" s="23"/>
      <c r="D195" s="25"/>
      <c r="E195" s="25"/>
      <c r="M195" s="12"/>
      <c r="N195" s="122"/>
      <c r="O195" s="122"/>
      <c r="P195" s="122"/>
      <c r="Q195" s="122"/>
    </row>
    <row r="196" spans="2:17" ht="14.25" customHeight="1" x14ac:dyDescent="0.3">
      <c r="B196" s="23"/>
      <c r="D196" s="25"/>
      <c r="E196" s="25"/>
      <c r="M196" s="12"/>
      <c r="N196" s="122"/>
      <c r="O196" s="122"/>
      <c r="P196" s="122"/>
      <c r="Q196" s="122"/>
    </row>
    <row r="197" spans="2:17" ht="14.25" customHeight="1" x14ac:dyDescent="0.3">
      <c r="B197" s="23"/>
      <c r="D197" s="25"/>
      <c r="E197" s="25"/>
      <c r="M197" s="12"/>
      <c r="N197" s="122"/>
      <c r="O197" s="122"/>
      <c r="P197" s="122"/>
      <c r="Q197" s="122"/>
    </row>
    <row r="198" spans="2:17" ht="14.25" customHeight="1" x14ac:dyDescent="0.3">
      <c r="B198" s="23"/>
      <c r="D198" s="25"/>
      <c r="E198" s="25"/>
      <c r="M198" s="12"/>
      <c r="N198" s="122"/>
      <c r="O198" s="122"/>
      <c r="P198" s="122"/>
      <c r="Q198" s="122"/>
    </row>
    <row r="199" spans="2:17" ht="14.25" customHeight="1" x14ac:dyDescent="0.3">
      <c r="B199" s="23"/>
      <c r="D199" s="25"/>
      <c r="E199" s="25"/>
      <c r="M199" s="12"/>
      <c r="N199" s="122"/>
      <c r="O199" s="122"/>
      <c r="P199" s="122"/>
      <c r="Q199" s="122"/>
    </row>
    <row r="200" spans="2:17" ht="14.25" customHeight="1" x14ac:dyDescent="0.3">
      <c r="B200" s="23"/>
      <c r="D200" s="25"/>
      <c r="E200" s="25"/>
      <c r="M200" s="12"/>
      <c r="N200" s="122"/>
      <c r="O200" s="122"/>
      <c r="P200" s="122"/>
      <c r="Q200" s="122"/>
    </row>
    <row r="201" spans="2:17" ht="14.25" customHeight="1" x14ac:dyDescent="0.3">
      <c r="B201" s="23"/>
      <c r="D201" s="25"/>
      <c r="E201" s="25"/>
      <c r="M201" s="12"/>
      <c r="N201" s="122"/>
      <c r="O201" s="122"/>
      <c r="P201" s="122"/>
      <c r="Q201" s="122"/>
    </row>
    <row r="202" spans="2:17" ht="14.25" customHeight="1" x14ac:dyDescent="0.3">
      <c r="B202" s="23"/>
      <c r="D202" s="25"/>
      <c r="E202" s="25"/>
      <c r="M202" s="12"/>
      <c r="N202" s="122"/>
      <c r="O202" s="122"/>
      <c r="P202" s="122"/>
      <c r="Q202" s="122"/>
    </row>
    <row r="203" spans="2:17" ht="14.25" customHeight="1" x14ac:dyDescent="0.3">
      <c r="B203" s="23"/>
      <c r="D203" s="25"/>
      <c r="E203" s="25"/>
      <c r="M203" s="12"/>
      <c r="N203" s="122"/>
      <c r="O203" s="122"/>
      <c r="P203" s="122"/>
      <c r="Q203" s="122"/>
    </row>
    <row r="204" spans="2:17" ht="14.25" customHeight="1" x14ac:dyDescent="0.3">
      <c r="B204" s="23"/>
      <c r="D204" s="25"/>
      <c r="E204" s="25"/>
      <c r="M204" s="12"/>
      <c r="N204" s="122"/>
      <c r="O204" s="122"/>
      <c r="P204" s="122"/>
      <c r="Q204" s="122"/>
    </row>
    <row r="205" spans="2:17" ht="14.25" customHeight="1" x14ac:dyDescent="0.3">
      <c r="B205" s="23"/>
      <c r="D205" s="25"/>
      <c r="E205" s="25"/>
      <c r="M205" s="12"/>
      <c r="N205" s="122"/>
      <c r="O205" s="122"/>
      <c r="P205" s="122"/>
      <c r="Q205" s="122"/>
    </row>
    <row r="206" spans="2:17" ht="14.25" customHeight="1" x14ac:dyDescent="0.3">
      <c r="B206" s="23"/>
      <c r="D206" s="25"/>
      <c r="E206" s="25"/>
      <c r="M206" s="12"/>
      <c r="N206" s="122"/>
      <c r="O206" s="122"/>
      <c r="P206" s="122"/>
      <c r="Q206" s="122"/>
    </row>
    <row r="207" spans="2:17" ht="14.25" customHeight="1" x14ac:dyDescent="0.3">
      <c r="B207" s="23"/>
      <c r="D207" s="25"/>
      <c r="E207" s="25"/>
      <c r="M207" s="12"/>
      <c r="N207" s="122"/>
      <c r="O207" s="122"/>
      <c r="P207" s="122"/>
      <c r="Q207" s="122"/>
    </row>
    <row r="208" spans="2:17" ht="14.25" customHeight="1" x14ac:dyDescent="0.3">
      <c r="B208" s="23"/>
      <c r="D208" s="25"/>
      <c r="E208" s="25"/>
      <c r="M208" s="12"/>
      <c r="N208" s="122"/>
      <c r="O208" s="122"/>
      <c r="P208" s="122"/>
      <c r="Q208" s="122"/>
    </row>
    <row r="209" spans="2:17" ht="14.25" customHeight="1" x14ac:dyDescent="0.3">
      <c r="B209" s="23"/>
      <c r="D209" s="25"/>
      <c r="E209" s="25"/>
      <c r="M209" s="12"/>
      <c r="N209" s="122"/>
      <c r="O209" s="122"/>
      <c r="P209" s="122"/>
      <c r="Q209" s="122"/>
    </row>
    <row r="210" spans="2:17" ht="14.25" customHeight="1" x14ac:dyDescent="0.3">
      <c r="B210" s="23"/>
      <c r="D210" s="25"/>
      <c r="E210" s="25"/>
      <c r="M210" s="12"/>
      <c r="N210" s="122"/>
      <c r="O210" s="122"/>
      <c r="P210" s="122"/>
      <c r="Q210" s="122"/>
    </row>
    <row r="211" spans="2:17" ht="14.25" customHeight="1" x14ac:dyDescent="0.3">
      <c r="B211" s="23"/>
      <c r="D211" s="25"/>
      <c r="E211" s="25"/>
      <c r="M211" s="12"/>
      <c r="N211" s="122"/>
      <c r="O211" s="122"/>
      <c r="P211" s="122"/>
      <c r="Q211" s="122"/>
    </row>
    <row r="212" spans="2:17" ht="14.25" customHeight="1" x14ac:dyDescent="0.3">
      <c r="B212" s="23"/>
      <c r="D212" s="25"/>
      <c r="E212" s="25"/>
      <c r="M212" s="12"/>
      <c r="N212" s="122"/>
      <c r="O212" s="122"/>
      <c r="P212" s="122"/>
      <c r="Q212" s="122"/>
    </row>
    <row r="213" spans="2:17" ht="14.25" customHeight="1" x14ac:dyDescent="0.3">
      <c r="B213" s="23"/>
      <c r="D213" s="25"/>
      <c r="E213" s="25"/>
      <c r="M213" s="12"/>
      <c r="N213" s="122"/>
      <c r="O213" s="122"/>
      <c r="P213" s="122"/>
      <c r="Q213" s="122"/>
    </row>
    <row r="214" spans="2:17" ht="14.25" customHeight="1" x14ac:dyDescent="0.3">
      <c r="B214" s="23"/>
      <c r="D214" s="25"/>
      <c r="E214" s="25"/>
      <c r="M214" s="12"/>
      <c r="N214" s="122"/>
      <c r="O214" s="122"/>
      <c r="P214" s="122"/>
      <c r="Q214" s="122"/>
    </row>
    <row r="215" spans="2:17" ht="14.25" customHeight="1" x14ac:dyDescent="0.3">
      <c r="B215" s="23"/>
      <c r="D215" s="25"/>
      <c r="E215" s="25"/>
      <c r="M215" s="12"/>
      <c r="N215" s="122"/>
      <c r="O215" s="122"/>
      <c r="P215" s="122"/>
      <c r="Q215" s="122"/>
    </row>
    <row r="216" spans="2:17" ht="14.25" customHeight="1" x14ac:dyDescent="0.3">
      <c r="B216" s="23"/>
      <c r="D216" s="25"/>
      <c r="E216" s="25"/>
      <c r="M216" s="12"/>
      <c r="N216" s="122"/>
      <c r="O216" s="122"/>
      <c r="P216" s="122"/>
      <c r="Q216" s="122"/>
    </row>
    <row r="217" spans="2:17" ht="14.25" customHeight="1" x14ac:dyDescent="0.3">
      <c r="B217" s="23"/>
      <c r="D217" s="25"/>
      <c r="E217" s="25"/>
      <c r="M217" s="12"/>
      <c r="N217" s="122"/>
      <c r="O217" s="122"/>
      <c r="P217" s="122"/>
      <c r="Q217" s="122"/>
    </row>
    <row r="218" spans="2:17" ht="14.25" customHeight="1" x14ac:dyDescent="0.3">
      <c r="B218" s="23"/>
      <c r="D218" s="25"/>
      <c r="E218" s="25"/>
      <c r="M218" s="12"/>
      <c r="N218" s="122"/>
      <c r="O218" s="122"/>
      <c r="P218" s="122"/>
      <c r="Q218" s="122"/>
    </row>
    <row r="219" spans="2:17" ht="14.25" customHeight="1" x14ac:dyDescent="0.3">
      <c r="B219" s="23"/>
      <c r="D219" s="25"/>
      <c r="E219" s="25"/>
      <c r="M219" s="12"/>
      <c r="N219" s="122"/>
      <c r="O219" s="122"/>
      <c r="P219" s="122"/>
      <c r="Q219" s="122"/>
    </row>
    <row r="220" spans="2:17" ht="14.25" customHeight="1" x14ac:dyDescent="0.3">
      <c r="B220" s="23"/>
      <c r="D220" s="25"/>
      <c r="E220" s="25"/>
      <c r="M220" s="12"/>
      <c r="N220" s="122"/>
      <c r="O220" s="122"/>
      <c r="P220" s="122"/>
      <c r="Q220" s="122"/>
    </row>
    <row r="221" spans="2:17" ht="14.25" customHeight="1" x14ac:dyDescent="0.3">
      <c r="B221" s="23"/>
      <c r="D221" s="25"/>
      <c r="E221" s="25"/>
      <c r="M221" s="12"/>
      <c r="N221" s="122"/>
      <c r="O221" s="122"/>
      <c r="P221" s="122"/>
      <c r="Q221" s="122"/>
    </row>
    <row r="222" spans="2:17" ht="14.25" customHeight="1" x14ac:dyDescent="0.3">
      <c r="B222" s="23"/>
      <c r="D222" s="25"/>
      <c r="E222" s="25"/>
      <c r="M222" s="12"/>
      <c r="N222" s="122"/>
      <c r="O222" s="122"/>
      <c r="P222" s="122"/>
      <c r="Q222" s="122"/>
    </row>
    <row r="223" spans="2:17" ht="14.25" customHeight="1" x14ac:dyDescent="0.3">
      <c r="B223" s="23"/>
      <c r="D223" s="25"/>
      <c r="E223" s="25"/>
      <c r="M223" s="12"/>
      <c r="N223" s="122"/>
      <c r="O223" s="122"/>
      <c r="P223" s="122"/>
      <c r="Q223" s="122"/>
    </row>
    <row r="224" spans="2:17" ht="14.25" customHeight="1" x14ac:dyDescent="0.3">
      <c r="B224" s="23"/>
      <c r="D224" s="25"/>
      <c r="E224" s="25"/>
      <c r="M224" s="12"/>
      <c r="N224" s="122"/>
      <c r="O224" s="122"/>
      <c r="P224" s="122"/>
      <c r="Q224" s="122"/>
    </row>
    <row r="225" spans="2:17" ht="14.25" customHeight="1" x14ac:dyDescent="0.3">
      <c r="B225" s="23"/>
      <c r="D225" s="25"/>
      <c r="E225" s="25"/>
      <c r="M225" s="12"/>
      <c r="N225" s="122"/>
      <c r="O225" s="122"/>
      <c r="P225" s="122"/>
      <c r="Q225" s="122"/>
    </row>
    <row r="226" spans="2:17" ht="14.25" customHeight="1" x14ac:dyDescent="0.3">
      <c r="B226" s="23"/>
      <c r="D226" s="25"/>
      <c r="E226" s="25"/>
      <c r="M226" s="12"/>
      <c r="N226" s="122"/>
      <c r="O226" s="122"/>
      <c r="P226" s="122"/>
      <c r="Q226" s="122"/>
    </row>
    <row r="227" spans="2:17" ht="14.25" customHeight="1" x14ac:dyDescent="0.3">
      <c r="B227" s="23"/>
      <c r="D227" s="25"/>
      <c r="E227" s="25"/>
      <c r="M227" s="12"/>
      <c r="N227" s="122"/>
      <c r="O227" s="122"/>
      <c r="P227" s="122"/>
      <c r="Q227" s="122"/>
    </row>
    <row r="228" spans="2:17" ht="14.25" customHeight="1" x14ac:dyDescent="0.3">
      <c r="B228" s="23"/>
      <c r="D228" s="25"/>
      <c r="E228" s="25"/>
      <c r="M228" s="12"/>
      <c r="N228" s="122"/>
      <c r="O228" s="122"/>
      <c r="P228" s="122"/>
      <c r="Q228" s="122"/>
    </row>
    <row r="229" spans="2:17" ht="14.25" customHeight="1" x14ac:dyDescent="0.3">
      <c r="B229" s="23"/>
      <c r="D229" s="25"/>
      <c r="E229" s="25"/>
      <c r="M229" s="12"/>
      <c r="N229" s="122"/>
      <c r="O229" s="122"/>
      <c r="P229" s="122"/>
      <c r="Q229" s="122"/>
    </row>
    <row r="230" spans="2:17" ht="14.25" customHeight="1" x14ac:dyDescent="0.3">
      <c r="B230" s="23"/>
      <c r="D230" s="25"/>
      <c r="E230" s="25"/>
      <c r="M230" s="12"/>
      <c r="N230" s="122"/>
      <c r="O230" s="122"/>
      <c r="P230" s="122"/>
      <c r="Q230" s="122"/>
    </row>
    <row r="231" spans="2:17" ht="14.25" customHeight="1" x14ac:dyDescent="0.3">
      <c r="B231" s="23"/>
      <c r="D231" s="25"/>
      <c r="E231" s="25"/>
      <c r="M231" s="12"/>
      <c r="N231" s="122"/>
      <c r="O231" s="122"/>
      <c r="P231" s="122"/>
      <c r="Q231" s="122"/>
    </row>
    <row r="232" spans="2:17" ht="14.25" customHeight="1" x14ac:dyDescent="0.3">
      <c r="B232" s="23"/>
      <c r="D232" s="25"/>
      <c r="E232" s="25"/>
      <c r="M232" s="12"/>
      <c r="N232" s="122"/>
      <c r="O232" s="122"/>
      <c r="P232" s="122"/>
      <c r="Q232" s="122"/>
    </row>
    <row r="233" spans="2:17" ht="14.25" customHeight="1" x14ac:dyDescent="0.3">
      <c r="B233" s="23"/>
      <c r="D233" s="25"/>
      <c r="E233" s="25"/>
      <c r="M233" s="12"/>
      <c r="N233" s="122"/>
      <c r="O233" s="122"/>
      <c r="P233" s="122"/>
      <c r="Q233" s="122"/>
    </row>
    <row r="234" spans="2:17" ht="14.25" customHeight="1" x14ac:dyDescent="0.3">
      <c r="B234" s="23"/>
      <c r="D234" s="25"/>
      <c r="E234" s="25"/>
      <c r="M234" s="12"/>
      <c r="N234" s="122"/>
      <c r="O234" s="122"/>
      <c r="P234" s="122"/>
      <c r="Q234" s="122"/>
    </row>
    <row r="235" spans="2:17" ht="14.25" customHeight="1" x14ac:dyDescent="0.3">
      <c r="B235" s="23"/>
      <c r="D235" s="25"/>
      <c r="E235" s="25"/>
      <c r="M235" s="12"/>
      <c r="N235" s="122"/>
      <c r="O235" s="122"/>
      <c r="P235" s="122"/>
      <c r="Q235" s="122"/>
    </row>
    <row r="236" spans="2:17" ht="14.25" customHeight="1" x14ac:dyDescent="0.3">
      <c r="B236" s="23"/>
      <c r="D236" s="25"/>
      <c r="E236" s="25"/>
      <c r="M236" s="12"/>
      <c r="N236" s="122"/>
      <c r="O236" s="122"/>
      <c r="P236" s="122"/>
      <c r="Q236" s="122"/>
    </row>
    <row r="237" spans="2:17" ht="14.25" customHeight="1" x14ac:dyDescent="0.3">
      <c r="B237" s="23"/>
      <c r="D237" s="25"/>
      <c r="E237" s="25"/>
      <c r="M237" s="12"/>
      <c r="N237" s="122"/>
      <c r="O237" s="122"/>
      <c r="P237" s="122"/>
      <c r="Q237" s="122"/>
    </row>
    <row r="238" spans="2:17" ht="14.25" customHeight="1" x14ac:dyDescent="0.3">
      <c r="B238" s="23"/>
      <c r="D238" s="25"/>
      <c r="E238" s="25"/>
      <c r="M238" s="12"/>
      <c r="N238" s="122"/>
      <c r="O238" s="122"/>
      <c r="P238" s="122"/>
      <c r="Q238" s="122"/>
    </row>
    <row r="239" spans="2:17" ht="14.25" customHeight="1" x14ac:dyDescent="0.3">
      <c r="B239" s="23"/>
      <c r="D239" s="25"/>
      <c r="E239" s="25"/>
      <c r="M239" s="12"/>
      <c r="N239" s="122"/>
      <c r="O239" s="122"/>
      <c r="P239" s="122"/>
      <c r="Q239" s="122"/>
    </row>
    <row r="240" spans="2:17" ht="14.25" customHeight="1" x14ac:dyDescent="0.3">
      <c r="B240" s="23"/>
      <c r="D240" s="25"/>
      <c r="E240" s="25"/>
      <c r="M240" s="12"/>
      <c r="N240" s="122"/>
      <c r="O240" s="122"/>
      <c r="P240" s="122"/>
      <c r="Q240" s="122"/>
    </row>
    <row r="241" spans="2:17" ht="14.25" customHeight="1" x14ac:dyDescent="0.3">
      <c r="B241" s="23"/>
      <c r="D241" s="25"/>
      <c r="E241" s="25"/>
      <c r="M241" s="12"/>
      <c r="N241" s="122"/>
      <c r="O241" s="122"/>
      <c r="P241" s="122"/>
      <c r="Q241" s="122"/>
    </row>
    <row r="242" spans="2:17" ht="14.25" customHeight="1" x14ac:dyDescent="0.3">
      <c r="B242" s="23"/>
      <c r="D242" s="25"/>
      <c r="E242" s="25"/>
      <c r="M242" s="12"/>
      <c r="N242" s="122"/>
      <c r="O242" s="122"/>
      <c r="P242" s="122"/>
      <c r="Q242" s="122"/>
    </row>
    <row r="243" spans="2:17" ht="14.25" customHeight="1" x14ac:dyDescent="0.3">
      <c r="B243" s="23"/>
      <c r="D243" s="25"/>
      <c r="E243" s="25"/>
      <c r="M243" s="12"/>
      <c r="N243" s="122"/>
      <c r="O243" s="122"/>
      <c r="P243" s="122"/>
      <c r="Q243" s="122"/>
    </row>
    <row r="244" spans="2:17" ht="14.25" customHeight="1" x14ac:dyDescent="0.3">
      <c r="B244" s="23"/>
      <c r="D244" s="25"/>
      <c r="E244" s="25"/>
      <c r="M244" s="12"/>
      <c r="N244" s="122"/>
      <c r="O244" s="122"/>
      <c r="P244" s="122"/>
      <c r="Q244" s="122"/>
    </row>
    <row r="245" spans="2:17" ht="14.25" customHeight="1" x14ac:dyDescent="0.3">
      <c r="B245" s="23"/>
      <c r="D245" s="25"/>
      <c r="E245" s="25"/>
      <c r="M245" s="12"/>
      <c r="N245" s="122"/>
      <c r="O245" s="122"/>
      <c r="P245" s="122"/>
      <c r="Q245" s="122"/>
    </row>
    <row r="246" spans="2:17" ht="14.25" customHeight="1" x14ac:dyDescent="0.3">
      <c r="B246" s="23"/>
      <c r="D246" s="25"/>
      <c r="E246" s="25"/>
      <c r="M246" s="12"/>
      <c r="N246" s="122"/>
      <c r="O246" s="122"/>
      <c r="P246" s="122"/>
      <c r="Q246" s="122"/>
    </row>
    <row r="247" spans="2:17" ht="14.25" customHeight="1" x14ac:dyDescent="0.3">
      <c r="B247" s="23"/>
      <c r="D247" s="25"/>
      <c r="E247" s="25"/>
      <c r="M247" s="12"/>
      <c r="N247" s="122"/>
      <c r="O247" s="122"/>
      <c r="P247" s="122"/>
      <c r="Q247" s="122"/>
    </row>
    <row r="248" spans="2:17" ht="14.25" customHeight="1" x14ac:dyDescent="0.3">
      <c r="B248" s="23"/>
      <c r="D248" s="25"/>
      <c r="E248" s="25"/>
      <c r="M248" s="12"/>
      <c r="N248" s="122"/>
      <c r="O248" s="122"/>
      <c r="P248" s="122"/>
      <c r="Q248" s="122"/>
    </row>
    <row r="249" spans="2:17" ht="14.25" customHeight="1" x14ac:dyDescent="0.3">
      <c r="B249" s="23"/>
      <c r="D249" s="25"/>
      <c r="E249" s="25"/>
      <c r="M249" s="12"/>
      <c r="N249" s="122"/>
      <c r="O249" s="122"/>
      <c r="P249" s="122"/>
      <c r="Q249" s="122"/>
    </row>
    <row r="250" spans="2:17" ht="14.25" customHeight="1" x14ac:dyDescent="0.3">
      <c r="B250" s="23"/>
      <c r="D250" s="25"/>
      <c r="E250" s="25"/>
      <c r="M250" s="12"/>
      <c r="N250" s="122"/>
      <c r="O250" s="122"/>
      <c r="P250" s="122"/>
      <c r="Q250" s="122"/>
    </row>
    <row r="251" spans="2:17" ht="14.25" customHeight="1" x14ac:dyDescent="0.3">
      <c r="B251" s="23"/>
      <c r="D251" s="25"/>
      <c r="E251" s="25"/>
      <c r="M251" s="12"/>
      <c r="N251" s="122"/>
      <c r="O251" s="122"/>
      <c r="P251" s="122"/>
      <c r="Q251" s="122"/>
    </row>
    <row r="252" spans="2:17" ht="14.25" customHeight="1" x14ac:dyDescent="0.3">
      <c r="B252" s="23"/>
      <c r="D252" s="25"/>
      <c r="E252" s="25"/>
      <c r="M252" s="12"/>
      <c r="N252" s="122"/>
      <c r="O252" s="122"/>
      <c r="P252" s="122"/>
      <c r="Q252" s="122"/>
    </row>
    <row r="253" spans="2:17" ht="14.25" customHeight="1" x14ac:dyDescent="0.3">
      <c r="B253" s="23"/>
      <c r="D253" s="25"/>
      <c r="E253" s="25"/>
      <c r="M253" s="12"/>
      <c r="N253" s="122"/>
      <c r="O253" s="122"/>
      <c r="P253" s="122"/>
      <c r="Q253" s="122"/>
    </row>
    <row r="254" spans="2:17" ht="14.25" customHeight="1" x14ac:dyDescent="0.3">
      <c r="B254" s="23"/>
      <c r="D254" s="25"/>
      <c r="E254" s="25"/>
      <c r="M254" s="12"/>
      <c r="N254" s="122"/>
      <c r="O254" s="122"/>
      <c r="P254" s="122"/>
      <c r="Q254" s="122"/>
    </row>
    <row r="255" spans="2:17" ht="14.25" customHeight="1" x14ac:dyDescent="0.3">
      <c r="B255" s="23"/>
      <c r="D255" s="25"/>
      <c r="E255" s="25"/>
      <c r="M255" s="12"/>
      <c r="N255" s="122"/>
      <c r="O255" s="122"/>
      <c r="P255" s="122"/>
      <c r="Q255" s="122"/>
    </row>
    <row r="256" spans="2:17" ht="14.25" customHeight="1" x14ac:dyDescent="0.3">
      <c r="B256" s="23"/>
      <c r="D256" s="25"/>
      <c r="E256" s="25"/>
      <c r="M256" s="12"/>
      <c r="N256" s="122"/>
      <c r="O256" s="122"/>
      <c r="P256" s="122"/>
      <c r="Q256" s="122"/>
    </row>
    <row r="257" spans="2:17" ht="14.25" customHeight="1" x14ac:dyDescent="0.3">
      <c r="B257" s="23"/>
      <c r="D257" s="25"/>
      <c r="E257" s="25"/>
      <c r="M257" s="12"/>
      <c r="N257" s="122"/>
      <c r="O257" s="122"/>
      <c r="P257" s="122"/>
      <c r="Q257" s="122"/>
    </row>
    <row r="258" spans="2:17" ht="14.25" customHeight="1" x14ac:dyDescent="0.3">
      <c r="B258" s="23"/>
      <c r="D258" s="25"/>
      <c r="E258" s="25"/>
      <c r="M258" s="12"/>
      <c r="N258" s="122"/>
      <c r="O258" s="122"/>
      <c r="P258" s="122"/>
      <c r="Q258" s="122"/>
    </row>
    <row r="259" spans="2:17" ht="14.25" customHeight="1" x14ac:dyDescent="0.3">
      <c r="B259" s="23"/>
      <c r="D259" s="25"/>
      <c r="E259" s="25"/>
      <c r="M259" s="12"/>
      <c r="N259" s="122"/>
      <c r="O259" s="122"/>
      <c r="P259" s="122"/>
      <c r="Q259" s="122"/>
    </row>
    <row r="260" spans="2:17" ht="14.25" customHeight="1" x14ac:dyDescent="0.3">
      <c r="B260" s="23"/>
      <c r="D260" s="25"/>
      <c r="E260" s="25"/>
      <c r="M260" s="12"/>
      <c r="N260" s="122"/>
      <c r="O260" s="122"/>
      <c r="P260" s="122"/>
      <c r="Q260" s="122"/>
    </row>
    <row r="261" spans="2:17" ht="14.25" customHeight="1" x14ac:dyDescent="0.3">
      <c r="B261" s="23"/>
      <c r="D261" s="25"/>
      <c r="E261" s="25"/>
      <c r="M261" s="12"/>
      <c r="N261" s="122"/>
      <c r="O261" s="122"/>
      <c r="P261" s="122"/>
      <c r="Q261" s="122"/>
    </row>
    <row r="262" spans="2:17" ht="14.25" customHeight="1" x14ac:dyDescent="0.3">
      <c r="B262" s="23"/>
      <c r="D262" s="25"/>
      <c r="E262" s="25"/>
      <c r="M262" s="12"/>
      <c r="N262" s="122"/>
      <c r="O262" s="122"/>
      <c r="P262" s="122"/>
      <c r="Q262" s="122"/>
    </row>
    <row r="263" spans="2:17" ht="14.25" customHeight="1" x14ac:dyDescent="0.3">
      <c r="B263" s="23"/>
      <c r="D263" s="25"/>
      <c r="E263" s="25"/>
      <c r="M263" s="12"/>
      <c r="N263" s="122"/>
      <c r="O263" s="122"/>
      <c r="P263" s="122"/>
      <c r="Q263" s="122"/>
    </row>
    <row r="264" spans="2:17" ht="14.25" customHeight="1" x14ac:dyDescent="0.3">
      <c r="B264" s="23"/>
      <c r="D264" s="25"/>
      <c r="E264" s="25"/>
      <c r="M264" s="12"/>
      <c r="N264" s="122"/>
      <c r="O264" s="122"/>
      <c r="P264" s="122"/>
      <c r="Q264" s="122"/>
    </row>
    <row r="265" spans="2:17" ht="14.25" customHeight="1" x14ac:dyDescent="0.3">
      <c r="B265" s="23"/>
      <c r="D265" s="25"/>
      <c r="E265" s="25"/>
      <c r="M265" s="12"/>
      <c r="N265" s="122"/>
      <c r="O265" s="122"/>
      <c r="P265" s="122"/>
      <c r="Q265" s="122"/>
    </row>
    <row r="266" spans="2:17" ht="14.25" customHeight="1" x14ac:dyDescent="0.3">
      <c r="B266" s="23"/>
      <c r="D266" s="25"/>
      <c r="E266" s="25"/>
      <c r="M266" s="12"/>
      <c r="N266" s="122"/>
      <c r="O266" s="122"/>
      <c r="P266" s="122"/>
      <c r="Q266" s="122"/>
    </row>
    <row r="267" spans="2:17" ht="14.25" customHeight="1" x14ac:dyDescent="0.3">
      <c r="B267" s="23"/>
      <c r="D267" s="25"/>
      <c r="E267" s="25"/>
      <c r="M267" s="12"/>
      <c r="N267" s="122"/>
      <c r="O267" s="122"/>
      <c r="P267" s="122"/>
      <c r="Q267" s="122"/>
    </row>
    <row r="268" spans="2:17" ht="14.25" customHeight="1" x14ac:dyDescent="0.3">
      <c r="B268" s="23"/>
      <c r="D268" s="25"/>
      <c r="E268" s="25"/>
      <c r="M268" s="12"/>
      <c r="N268" s="122"/>
      <c r="O268" s="122"/>
      <c r="P268" s="122"/>
      <c r="Q268" s="122"/>
    </row>
    <row r="269" spans="2:17" ht="14.25" customHeight="1" x14ac:dyDescent="0.3">
      <c r="B269" s="23"/>
      <c r="D269" s="25"/>
      <c r="E269" s="25"/>
      <c r="M269" s="12"/>
      <c r="N269" s="122"/>
      <c r="O269" s="122"/>
      <c r="P269" s="122"/>
      <c r="Q269" s="122"/>
    </row>
    <row r="270" spans="2:17" ht="14.25" customHeight="1" x14ac:dyDescent="0.3">
      <c r="B270" s="23"/>
      <c r="D270" s="25"/>
      <c r="E270" s="25"/>
      <c r="M270" s="12"/>
      <c r="N270" s="122"/>
      <c r="O270" s="122"/>
      <c r="P270" s="122"/>
      <c r="Q270" s="122"/>
    </row>
    <row r="271" spans="2:17" ht="14.25" customHeight="1" x14ac:dyDescent="0.3">
      <c r="B271" s="23"/>
      <c r="D271" s="25"/>
      <c r="E271" s="25"/>
      <c r="M271" s="12"/>
      <c r="N271" s="122"/>
      <c r="O271" s="122"/>
      <c r="P271" s="122"/>
      <c r="Q271" s="122"/>
    </row>
    <row r="272" spans="2:17" ht="14.25" customHeight="1" x14ac:dyDescent="0.3">
      <c r="B272" s="23"/>
      <c r="D272" s="25"/>
      <c r="E272" s="25"/>
      <c r="M272" s="12"/>
      <c r="N272" s="122"/>
      <c r="O272" s="122"/>
      <c r="P272" s="122"/>
      <c r="Q272" s="122"/>
    </row>
    <row r="273" spans="2:17" ht="14.25" customHeight="1" x14ac:dyDescent="0.3">
      <c r="B273" s="23"/>
      <c r="D273" s="25"/>
      <c r="E273" s="25"/>
      <c r="M273" s="12"/>
      <c r="N273" s="122"/>
      <c r="O273" s="122"/>
      <c r="P273" s="122"/>
      <c r="Q273" s="122"/>
    </row>
    <row r="274" spans="2:17" ht="14.25" customHeight="1" x14ac:dyDescent="0.3">
      <c r="B274" s="23"/>
      <c r="D274" s="25"/>
      <c r="E274" s="25"/>
      <c r="M274" s="12"/>
      <c r="N274" s="122"/>
      <c r="O274" s="122"/>
      <c r="P274" s="122"/>
      <c r="Q274" s="122"/>
    </row>
    <row r="275" spans="2:17" ht="14.25" customHeight="1" x14ac:dyDescent="0.3">
      <c r="B275" s="23"/>
      <c r="D275" s="25"/>
      <c r="E275" s="25"/>
      <c r="M275" s="12"/>
      <c r="N275" s="122"/>
      <c r="O275" s="122"/>
      <c r="P275" s="122"/>
      <c r="Q275" s="122"/>
    </row>
    <row r="276" spans="2:17" ht="14.25" customHeight="1" x14ac:dyDescent="0.3">
      <c r="B276" s="23"/>
      <c r="D276" s="25"/>
      <c r="E276" s="25"/>
      <c r="M276" s="12"/>
      <c r="N276" s="122"/>
      <c r="O276" s="122"/>
      <c r="P276" s="122"/>
      <c r="Q276" s="122"/>
    </row>
    <row r="277" spans="2:17" ht="14.25" customHeight="1" x14ac:dyDescent="0.3">
      <c r="B277" s="23"/>
      <c r="D277" s="25"/>
      <c r="E277" s="25"/>
      <c r="M277" s="12"/>
      <c r="N277" s="122"/>
      <c r="O277" s="122"/>
      <c r="P277" s="122"/>
      <c r="Q277" s="122"/>
    </row>
    <row r="278" spans="2:17" ht="14.25" customHeight="1" x14ac:dyDescent="0.3">
      <c r="B278" s="23"/>
      <c r="D278" s="25"/>
      <c r="E278" s="25"/>
      <c r="M278" s="12"/>
      <c r="N278" s="122"/>
      <c r="O278" s="122"/>
      <c r="P278" s="122"/>
      <c r="Q278" s="122"/>
    </row>
    <row r="279" spans="2:17" ht="14.25" customHeight="1" x14ac:dyDescent="0.3">
      <c r="B279" s="23"/>
      <c r="D279" s="25"/>
      <c r="E279" s="25"/>
      <c r="M279" s="12"/>
      <c r="N279" s="122"/>
      <c r="O279" s="122"/>
      <c r="P279" s="122"/>
      <c r="Q279" s="122"/>
    </row>
    <row r="280" spans="2:17" ht="14.25" customHeight="1" x14ac:dyDescent="0.3">
      <c r="B280" s="23"/>
      <c r="D280" s="25"/>
      <c r="E280" s="25"/>
      <c r="M280" s="12"/>
      <c r="N280" s="122"/>
      <c r="O280" s="122"/>
      <c r="P280" s="122"/>
      <c r="Q280" s="122"/>
    </row>
    <row r="281" spans="2:17" ht="14.25" customHeight="1" x14ac:dyDescent="0.3">
      <c r="B281" s="23"/>
      <c r="D281" s="25"/>
      <c r="E281" s="25"/>
      <c r="M281" s="12"/>
      <c r="N281" s="122"/>
      <c r="O281" s="122"/>
      <c r="P281" s="122"/>
      <c r="Q281" s="122"/>
    </row>
    <row r="282" spans="2:17" ht="14.25" customHeight="1" x14ac:dyDescent="0.3">
      <c r="B282" s="23"/>
      <c r="D282" s="25"/>
      <c r="E282" s="25"/>
      <c r="M282" s="12"/>
      <c r="N282" s="122"/>
      <c r="O282" s="122"/>
      <c r="P282" s="122"/>
      <c r="Q282" s="122"/>
    </row>
    <row r="283" spans="2:17" ht="14.25" customHeight="1" x14ac:dyDescent="0.3">
      <c r="B283" s="23"/>
      <c r="D283" s="25"/>
      <c r="E283" s="25"/>
      <c r="M283" s="12"/>
      <c r="N283" s="122"/>
      <c r="O283" s="122"/>
      <c r="P283" s="122"/>
      <c r="Q283" s="122"/>
    </row>
    <row r="284" spans="2:17" ht="14.25" customHeight="1" x14ac:dyDescent="0.3">
      <c r="B284" s="23"/>
      <c r="D284" s="25"/>
      <c r="E284" s="25"/>
      <c r="M284" s="12"/>
      <c r="N284" s="122"/>
      <c r="O284" s="122"/>
      <c r="P284" s="122"/>
      <c r="Q284" s="122"/>
    </row>
    <row r="285" spans="2:17" ht="14.25" customHeight="1" x14ac:dyDescent="0.3">
      <c r="B285" s="23"/>
      <c r="D285" s="25"/>
      <c r="E285" s="25"/>
      <c r="M285" s="12"/>
      <c r="N285" s="122"/>
      <c r="O285" s="122"/>
      <c r="P285" s="122"/>
      <c r="Q285" s="122"/>
    </row>
    <row r="286" spans="2:17" ht="14.25" customHeight="1" x14ac:dyDescent="0.3">
      <c r="B286" s="23"/>
      <c r="D286" s="25"/>
      <c r="E286" s="25"/>
      <c r="M286" s="12"/>
      <c r="N286" s="122"/>
      <c r="O286" s="122"/>
      <c r="P286" s="122"/>
      <c r="Q286" s="122"/>
    </row>
    <row r="287" spans="2:17" ht="14.25" customHeight="1" x14ac:dyDescent="0.3">
      <c r="B287" s="23"/>
      <c r="D287" s="25"/>
      <c r="E287" s="25"/>
      <c r="M287" s="12"/>
      <c r="N287" s="122"/>
      <c r="O287" s="122"/>
      <c r="P287" s="122"/>
      <c r="Q287" s="122"/>
    </row>
    <row r="288" spans="2:17" ht="14.25" customHeight="1" x14ac:dyDescent="0.3">
      <c r="B288" s="23"/>
      <c r="D288" s="25"/>
      <c r="E288" s="25"/>
      <c r="M288" s="12"/>
      <c r="N288" s="122"/>
      <c r="O288" s="122"/>
      <c r="P288" s="122"/>
      <c r="Q288" s="122"/>
    </row>
    <row r="289" spans="2:17" ht="14.25" customHeight="1" x14ac:dyDescent="0.3">
      <c r="B289" s="23"/>
      <c r="D289" s="25"/>
      <c r="E289" s="25"/>
      <c r="M289" s="12"/>
      <c r="N289" s="122"/>
      <c r="O289" s="122"/>
      <c r="P289" s="122"/>
      <c r="Q289" s="122"/>
    </row>
    <row r="290" spans="2:17" ht="14.25" customHeight="1" x14ac:dyDescent="0.3">
      <c r="B290" s="23"/>
      <c r="D290" s="25"/>
      <c r="E290" s="25"/>
      <c r="M290" s="12"/>
      <c r="N290" s="122"/>
      <c r="O290" s="122"/>
      <c r="P290" s="122"/>
      <c r="Q290" s="122"/>
    </row>
    <row r="291" spans="2:17" ht="14.25" customHeight="1" x14ac:dyDescent="0.3">
      <c r="B291" s="23"/>
      <c r="D291" s="25"/>
      <c r="E291" s="25"/>
      <c r="M291" s="12"/>
      <c r="N291" s="122"/>
      <c r="O291" s="122"/>
      <c r="P291" s="122"/>
      <c r="Q291" s="122"/>
    </row>
    <row r="292" spans="2:17" ht="14.25" customHeight="1" x14ac:dyDescent="0.3">
      <c r="B292" s="23"/>
      <c r="D292" s="25"/>
      <c r="E292" s="25"/>
      <c r="M292" s="12"/>
      <c r="N292" s="122"/>
      <c r="O292" s="122"/>
      <c r="P292" s="122"/>
      <c r="Q292" s="122"/>
    </row>
    <row r="293" spans="2:17" ht="14.25" customHeight="1" x14ac:dyDescent="0.3">
      <c r="B293" s="23"/>
      <c r="D293" s="25"/>
      <c r="E293" s="25"/>
      <c r="M293" s="12"/>
      <c r="N293" s="122"/>
      <c r="O293" s="122"/>
      <c r="P293" s="122"/>
      <c r="Q293" s="122"/>
    </row>
    <row r="294" spans="2:17" ht="14.25" customHeight="1" x14ac:dyDescent="0.3">
      <c r="B294" s="23"/>
      <c r="D294" s="25"/>
      <c r="E294" s="25"/>
      <c r="M294" s="12"/>
      <c r="N294" s="122"/>
      <c r="O294" s="122"/>
      <c r="P294" s="122"/>
      <c r="Q294" s="122"/>
    </row>
    <row r="295" spans="2:17" ht="14.25" customHeight="1" x14ac:dyDescent="0.3">
      <c r="B295" s="23"/>
      <c r="D295" s="25"/>
      <c r="E295" s="25"/>
      <c r="M295" s="12"/>
      <c r="N295" s="122"/>
      <c r="O295" s="122"/>
      <c r="P295" s="122"/>
      <c r="Q295" s="122"/>
    </row>
    <row r="296" spans="2:17" ht="14.25" customHeight="1" x14ac:dyDescent="0.3">
      <c r="B296" s="23"/>
      <c r="D296" s="25"/>
      <c r="E296" s="25"/>
      <c r="M296" s="12"/>
      <c r="N296" s="122"/>
      <c r="O296" s="122"/>
      <c r="P296" s="122"/>
      <c r="Q296" s="122"/>
    </row>
    <row r="297" spans="2:17" ht="14.25" customHeight="1" x14ac:dyDescent="0.3">
      <c r="B297" s="23"/>
      <c r="D297" s="25"/>
      <c r="E297" s="25"/>
      <c r="M297" s="12"/>
      <c r="N297" s="122"/>
      <c r="O297" s="122"/>
      <c r="P297" s="122"/>
      <c r="Q297" s="122"/>
    </row>
    <row r="298" spans="2:17" ht="14.25" customHeight="1" x14ac:dyDescent="0.3">
      <c r="B298" s="23"/>
      <c r="D298" s="25"/>
      <c r="E298" s="25"/>
      <c r="M298" s="12"/>
      <c r="N298" s="122"/>
      <c r="O298" s="122"/>
      <c r="P298" s="122"/>
      <c r="Q298" s="122"/>
    </row>
    <row r="299" spans="2:17" ht="14.25" customHeight="1" x14ac:dyDescent="0.3">
      <c r="B299" s="23"/>
      <c r="D299" s="25"/>
      <c r="E299" s="25"/>
      <c r="M299" s="12"/>
      <c r="N299" s="122"/>
      <c r="O299" s="122"/>
      <c r="P299" s="122"/>
      <c r="Q299" s="122"/>
    </row>
    <row r="300" spans="2:17" ht="14.25" customHeight="1" x14ac:dyDescent="0.3">
      <c r="B300" s="23"/>
      <c r="D300" s="25"/>
      <c r="E300" s="25"/>
      <c r="M300" s="12"/>
      <c r="N300" s="122"/>
      <c r="O300" s="122"/>
      <c r="P300" s="122"/>
      <c r="Q300" s="122"/>
    </row>
    <row r="301" spans="2:17" ht="14.25" customHeight="1" x14ac:dyDescent="0.3">
      <c r="B301" s="23"/>
      <c r="D301" s="25"/>
      <c r="E301" s="25"/>
      <c r="M301" s="12"/>
      <c r="N301" s="122"/>
      <c r="O301" s="122"/>
      <c r="P301" s="122"/>
      <c r="Q301" s="122"/>
    </row>
    <row r="302" spans="2:17" ht="14.25" customHeight="1" x14ac:dyDescent="0.3">
      <c r="B302" s="23"/>
      <c r="D302" s="25"/>
      <c r="E302" s="25"/>
      <c r="M302" s="12"/>
      <c r="N302" s="122"/>
      <c r="O302" s="122"/>
      <c r="P302" s="122"/>
      <c r="Q302" s="122"/>
    </row>
    <row r="303" spans="2:17" ht="14.25" customHeight="1" x14ac:dyDescent="0.3">
      <c r="B303" s="23"/>
      <c r="D303" s="25"/>
      <c r="E303" s="25"/>
      <c r="M303" s="12"/>
      <c r="N303" s="122"/>
      <c r="O303" s="122"/>
      <c r="P303" s="122"/>
      <c r="Q303" s="122"/>
    </row>
    <row r="304" spans="2:17" ht="14.25" customHeight="1" x14ac:dyDescent="0.3">
      <c r="B304" s="23"/>
      <c r="D304" s="25"/>
      <c r="E304" s="25"/>
      <c r="M304" s="12"/>
      <c r="N304" s="122"/>
      <c r="O304" s="122"/>
      <c r="P304" s="122"/>
      <c r="Q304" s="122"/>
    </row>
    <row r="305" spans="2:17" ht="14.25" customHeight="1" x14ac:dyDescent="0.3">
      <c r="B305" s="23"/>
      <c r="D305" s="25"/>
      <c r="E305" s="25"/>
      <c r="M305" s="12"/>
      <c r="N305" s="122"/>
      <c r="O305" s="122"/>
      <c r="P305" s="122"/>
      <c r="Q305" s="122"/>
    </row>
    <row r="306" spans="2:17" ht="14.25" customHeight="1" x14ac:dyDescent="0.3">
      <c r="B306" s="23"/>
      <c r="D306" s="25"/>
      <c r="E306" s="25"/>
      <c r="M306" s="12"/>
      <c r="N306" s="122"/>
      <c r="O306" s="122"/>
      <c r="P306" s="122"/>
      <c r="Q306" s="122"/>
    </row>
    <row r="307" spans="2:17" ht="14.25" customHeight="1" x14ac:dyDescent="0.3">
      <c r="B307" s="23"/>
      <c r="D307" s="25"/>
      <c r="E307" s="25"/>
      <c r="M307" s="12"/>
      <c r="N307" s="122"/>
      <c r="O307" s="122"/>
      <c r="P307" s="122"/>
      <c r="Q307" s="122"/>
    </row>
    <row r="308" spans="2:17" ht="14.25" customHeight="1" x14ac:dyDescent="0.3">
      <c r="B308" s="23"/>
      <c r="D308" s="25"/>
      <c r="E308" s="25"/>
      <c r="M308" s="12"/>
      <c r="N308" s="122"/>
      <c r="O308" s="122"/>
      <c r="P308" s="122"/>
      <c r="Q308" s="122"/>
    </row>
    <row r="309" spans="2:17" ht="14.25" customHeight="1" x14ac:dyDescent="0.3">
      <c r="B309" s="23"/>
      <c r="D309" s="25"/>
      <c r="E309" s="25"/>
      <c r="M309" s="12"/>
      <c r="N309" s="122"/>
      <c r="O309" s="122"/>
      <c r="P309" s="122"/>
      <c r="Q309" s="122"/>
    </row>
    <row r="310" spans="2:17" ht="14.25" customHeight="1" x14ac:dyDescent="0.3">
      <c r="B310" s="23"/>
      <c r="D310" s="25"/>
      <c r="E310" s="25"/>
      <c r="M310" s="12"/>
      <c r="N310" s="122"/>
      <c r="O310" s="122"/>
      <c r="P310" s="122"/>
      <c r="Q310" s="122"/>
    </row>
    <row r="311" spans="2:17" ht="14.25" customHeight="1" x14ac:dyDescent="0.3">
      <c r="B311" s="23"/>
      <c r="D311" s="25"/>
      <c r="E311" s="25"/>
      <c r="M311" s="12"/>
      <c r="N311" s="122"/>
      <c r="O311" s="122"/>
      <c r="P311" s="122"/>
      <c r="Q311" s="122"/>
    </row>
    <row r="312" spans="2:17" ht="14.25" customHeight="1" x14ac:dyDescent="0.3">
      <c r="B312" s="23"/>
      <c r="D312" s="25"/>
      <c r="E312" s="25"/>
      <c r="M312" s="12"/>
      <c r="N312" s="122"/>
      <c r="O312" s="122"/>
      <c r="P312" s="122"/>
      <c r="Q312" s="122"/>
    </row>
    <row r="313" spans="2:17" ht="14.25" customHeight="1" x14ac:dyDescent="0.3">
      <c r="B313" s="23"/>
      <c r="D313" s="25"/>
      <c r="E313" s="25"/>
      <c r="M313" s="12"/>
      <c r="N313" s="122"/>
      <c r="O313" s="122"/>
      <c r="P313" s="122"/>
      <c r="Q313" s="122"/>
    </row>
    <row r="314" spans="2:17" ht="14.25" customHeight="1" x14ac:dyDescent="0.3">
      <c r="B314" s="23"/>
      <c r="D314" s="25"/>
      <c r="E314" s="25"/>
      <c r="M314" s="12"/>
      <c r="N314" s="122"/>
      <c r="O314" s="122"/>
      <c r="P314" s="122"/>
      <c r="Q314" s="122"/>
    </row>
    <row r="315" spans="2:17" ht="14.25" customHeight="1" x14ac:dyDescent="0.3">
      <c r="B315" s="23"/>
      <c r="D315" s="25"/>
      <c r="E315" s="25"/>
      <c r="M315" s="12"/>
      <c r="N315" s="122"/>
      <c r="O315" s="122"/>
      <c r="P315" s="122"/>
      <c r="Q315" s="122"/>
    </row>
    <row r="316" spans="2:17" ht="14.25" customHeight="1" x14ac:dyDescent="0.3">
      <c r="B316" s="23"/>
      <c r="D316" s="25"/>
      <c r="E316" s="25"/>
      <c r="M316" s="12"/>
      <c r="N316" s="122"/>
      <c r="O316" s="122"/>
      <c r="P316" s="122"/>
      <c r="Q316" s="122"/>
    </row>
    <row r="317" spans="2:17" ht="14.25" customHeight="1" x14ac:dyDescent="0.3">
      <c r="B317" s="23"/>
      <c r="D317" s="25"/>
      <c r="E317" s="25"/>
      <c r="M317" s="12"/>
      <c r="N317" s="122"/>
      <c r="O317" s="122"/>
      <c r="P317" s="122"/>
      <c r="Q317" s="122"/>
    </row>
    <row r="318" spans="2:17" ht="14.25" customHeight="1" x14ac:dyDescent="0.3">
      <c r="B318" s="23"/>
      <c r="D318" s="25"/>
      <c r="E318" s="25"/>
      <c r="M318" s="12"/>
      <c r="N318" s="122"/>
      <c r="O318" s="122"/>
      <c r="P318" s="122"/>
      <c r="Q318" s="122"/>
    </row>
    <row r="319" spans="2:17" ht="14.25" customHeight="1" x14ac:dyDescent="0.3">
      <c r="B319" s="23"/>
      <c r="D319" s="25"/>
      <c r="E319" s="25"/>
      <c r="M319" s="12"/>
      <c r="N319" s="122"/>
      <c r="O319" s="122"/>
      <c r="P319" s="122"/>
      <c r="Q319" s="122"/>
    </row>
    <row r="320" spans="2:17" ht="14.25" customHeight="1" x14ac:dyDescent="0.3">
      <c r="B320" s="23"/>
      <c r="D320" s="25"/>
      <c r="E320" s="25"/>
      <c r="M320" s="12"/>
      <c r="N320" s="122"/>
      <c r="O320" s="122"/>
      <c r="P320" s="122"/>
      <c r="Q320" s="122"/>
    </row>
    <row r="321" spans="2:17" ht="14.25" customHeight="1" x14ac:dyDescent="0.3">
      <c r="B321" s="23"/>
      <c r="D321" s="25"/>
      <c r="E321" s="25"/>
      <c r="M321" s="12"/>
      <c r="N321" s="122"/>
      <c r="O321" s="122"/>
      <c r="P321" s="122"/>
      <c r="Q321" s="122"/>
    </row>
    <row r="322" spans="2:17" ht="14.25" customHeight="1" x14ac:dyDescent="0.3">
      <c r="B322" s="23"/>
      <c r="D322" s="25"/>
      <c r="E322" s="25"/>
      <c r="M322" s="12"/>
      <c r="N322" s="122"/>
      <c r="O322" s="122"/>
      <c r="P322" s="122"/>
      <c r="Q322" s="122"/>
    </row>
    <row r="323" spans="2:17" ht="14.25" customHeight="1" x14ac:dyDescent="0.3">
      <c r="B323" s="23"/>
      <c r="D323" s="25"/>
      <c r="E323" s="25"/>
      <c r="M323" s="12"/>
      <c r="N323" s="122"/>
      <c r="O323" s="122"/>
      <c r="P323" s="122"/>
      <c r="Q323" s="122"/>
    </row>
    <row r="324" spans="2:17" ht="14.25" customHeight="1" x14ac:dyDescent="0.3">
      <c r="B324" s="23"/>
      <c r="D324" s="25"/>
      <c r="E324" s="25"/>
      <c r="M324" s="12"/>
      <c r="N324" s="122"/>
      <c r="O324" s="122"/>
      <c r="P324" s="122"/>
      <c r="Q324" s="122"/>
    </row>
    <row r="325" spans="2:17" ht="14.25" customHeight="1" x14ac:dyDescent="0.3">
      <c r="B325" s="23"/>
      <c r="D325" s="25"/>
      <c r="E325" s="25"/>
      <c r="M325" s="12"/>
      <c r="N325" s="122"/>
      <c r="O325" s="122"/>
      <c r="P325" s="122"/>
      <c r="Q325" s="122"/>
    </row>
    <row r="326" spans="2:17" ht="14.25" customHeight="1" x14ac:dyDescent="0.3">
      <c r="B326" s="23"/>
      <c r="D326" s="25"/>
      <c r="E326" s="25"/>
      <c r="M326" s="12"/>
      <c r="N326" s="122"/>
      <c r="O326" s="122"/>
      <c r="P326" s="122"/>
      <c r="Q326" s="122"/>
    </row>
    <row r="327" spans="2:17" ht="14.25" customHeight="1" x14ac:dyDescent="0.3">
      <c r="B327" s="23"/>
      <c r="D327" s="25"/>
      <c r="E327" s="25"/>
      <c r="M327" s="12"/>
      <c r="N327" s="122"/>
      <c r="O327" s="122"/>
      <c r="P327" s="122"/>
      <c r="Q327" s="122"/>
    </row>
    <row r="328" spans="2:17" ht="14.25" customHeight="1" x14ac:dyDescent="0.3">
      <c r="B328" s="23"/>
      <c r="D328" s="25"/>
      <c r="E328" s="25"/>
      <c r="M328" s="12"/>
      <c r="N328" s="122"/>
      <c r="O328" s="122"/>
      <c r="P328" s="122"/>
      <c r="Q328" s="122"/>
    </row>
    <row r="329" spans="2:17" ht="14.25" customHeight="1" x14ac:dyDescent="0.3">
      <c r="B329" s="23"/>
      <c r="D329" s="25"/>
      <c r="E329" s="25"/>
      <c r="M329" s="12"/>
      <c r="N329" s="122"/>
      <c r="O329" s="122"/>
      <c r="P329" s="122"/>
      <c r="Q329" s="122"/>
    </row>
    <row r="330" spans="2:17" ht="14.25" customHeight="1" x14ac:dyDescent="0.3">
      <c r="B330" s="23"/>
      <c r="D330" s="25"/>
      <c r="E330" s="25"/>
      <c r="M330" s="12"/>
      <c r="N330" s="122"/>
      <c r="O330" s="122"/>
      <c r="P330" s="122"/>
      <c r="Q330" s="122"/>
    </row>
    <row r="331" spans="2:17" ht="14.25" customHeight="1" x14ac:dyDescent="0.3">
      <c r="B331" s="23"/>
      <c r="D331" s="25"/>
      <c r="E331" s="25"/>
      <c r="M331" s="12"/>
      <c r="N331" s="122"/>
      <c r="O331" s="122"/>
      <c r="P331" s="122"/>
      <c r="Q331" s="122"/>
    </row>
    <row r="332" spans="2:17" ht="14.25" customHeight="1" x14ac:dyDescent="0.3">
      <c r="B332" s="23"/>
      <c r="D332" s="25"/>
      <c r="E332" s="25"/>
      <c r="M332" s="12"/>
      <c r="N332" s="122"/>
      <c r="O332" s="122"/>
      <c r="P332" s="122"/>
      <c r="Q332" s="122"/>
    </row>
    <row r="333" spans="2:17" ht="14.25" customHeight="1" x14ac:dyDescent="0.3">
      <c r="B333" s="23"/>
      <c r="D333" s="25"/>
      <c r="E333" s="25"/>
      <c r="M333" s="12"/>
      <c r="N333" s="122"/>
      <c r="O333" s="122"/>
      <c r="P333" s="122"/>
      <c r="Q333" s="122"/>
    </row>
    <row r="334" spans="2:17" ht="14.25" customHeight="1" x14ac:dyDescent="0.3">
      <c r="B334" s="23"/>
      <c r="D334" s="25"/>
      <c r="E334" s="25"/>
      <c r="M334" s="12"/>
      <c r="N334" s="122"/>
      <c r="O334" s="122"/>
      <c r="P334" s="122"/>
      <c r="Q334" s="122"/>
    </row>
    <row r="335" spans="2:17" ht="14.25" customHeight="1" x14ac:dyDescent="0.3">
      <c r="B335" s="23"/>
      <c r="D335" s="25"/>
      <c r="E335" s="25"/>
      <c r="M335" s="12"/>
      <c r="N335" s="122"/>
      <c r="O335" s="122"/>
      <c r="P335" s="122"/>
      <c r="Q335" s="122"/>
    </row>
    <row r="336" spans="2:17" ht="14.25" customHeight="1" x14ac:dyDescent="0.3">
      <c r="B336" s="23"/>
      <c r="D336" s="25"/>
      <c r="E336" s="25"/>
      <c r="M336" s="12"/>
      <c r="N336" s="122"/>
      <c r="O336" s="122"/>
      <c r="P336" s="122"/>
      <c r="Q336" s="122"/>
    </row>
    <row r="337" spans="2:17" ht="14.25" customHeight="1" x14ac:dyDescent="0.3">
      <c r="B337" s="23"/>
      <c r="D337" s="25"/>
      <c r="E337" s="25"/>
      <c r="M337" s="12"/>
      <c r="N337" s="122"/>
      <c r="O337" s="122"/>
      <c r="P337" s="122"/>
      <c r="Q337" s="122"/>
    </row>
    <row r="338" spans="2:17" ht="14.25" customHeight="1" x14ac:dyDescent="0.3">
      <c r="B338" s="23"/>
      <c r="D338" s="25"/>
      <c r="E338" s="25"/>
      <c r="M338" s="12"/>
      <c r="N338" s="122"/>
      <c r="O338" s="122"/>
      <c r="P338" s="122"/>
      <c r="Q338" s="122"/>
    </row>
    <row r="339" spans="2:17" ht="14.25" customHeight="1" x14ac:dyDescent="0.3">
      <c r="B339" s="23"/>
      <c r="D339" s="25"/>
      <c r="E339" s="25"/>
      <c r="M339" s="12"/>
      <c r="N339" s="122"/>
      <c r="O339" s="122"/>
      <c r="P339" s="122"/>
      <c r="Q339" s="122"/>
    </row>
    <row r="340" spans="2:17" ht="14.25" customHeight="1" x14ac:dyDescent="0.3">
      <c r="B340" s="23"/>
      <c r="D340" s="25"/>
      <c r="E340" s="25"/>
      <c r="M340" s="12"/>
      <c r="N340" s="122"/>
      <c r="O340" s="122"/>
      <c r="P340" s="122"/>
      <c r="Q340" s="122"/>
    </row>
    <row r="341" spans="2:17" ht="14.25" customHeight="1" x14ac:dyDescent="0.3">
      <c r="B341" s="23"/>
      <c r="D341" s="25"/>
      <c r="E341" s="25"/>
      <c r="M341" s="12"/>
      <c r="N341" s="122"/>
      <c r="O341" s="122"/>
      <c r="P341" s="122"/>
      <c r="Q341" s="122"/>
    </row>
    <row r="342" spans="2:17" ht="14.25" customHeight="1" x14ac:dyDescent="0.3">
      <c r="B342" s="23"/>
      <c r="D342" s="25"/>
      <c r="E342" s="25"/>
      <c r="M342" s="12"/>
      <c r="N342" s="122"/>
      <c r="O342" s="122"/>
      <c r="P342" s="122"/>
      <c r="Q342" s="122"/>
    </row>
    <row r="343" spans="2:17" ht="14.25" customHeight="1" x14ac:dyDescent="0.3">
      <c r="B343" s="23"/>
      <c r="D343" s="25"/>
      <c r="E343" s="25"/>
      <c r="M343" s="12"/>
      <c r="N343" s="122"/>
      <c r="O343" s="122"/>
      <c r="P343" s="122"/>
      <c r="Q343" s="122"/>
    </row>
    <row r="344" spans="2:17" ht="14.25" customHeight="1" x14ac:dyDescent="0.3">
      <c r="B344" s="23"/>
      <c r="D344" s="25"/>
      <c r="E344" s="25"/>
      <c r="M344" s="12"/>
      <c r="N344" s="122"/>
      <c r="O344" s="122"/>
      <c r="P344" s="122"/>
      <c r="Q344" s="122"/>
    </row>
    <row r="345" spans="2:17" ht="14.25" customHeight="1" x14ac:dyDescent="0.3">
      <c r="B345" s="23"/>
      <c r="D345" s="25"/>
      <c r="E345" s="25"/>
      <c r="M345" s="12"/>
      <c r="N345" s="122"/>
      <c r="O345" s="122"/>
      <c r="P345" s="122"/>
      <c r="Q345" s="122"/>
    </row>
    <row r="346" spans="2:17" ht="14.25" customHeight="1" x14ac:dyDescent="0.3">
      <c r="B346" s="23"/>
      <c r="D346" s="25"/>
      <c r="E346" s="25"/>
      <c r="M346" s="12"/>
      <c r="N346" s="122"/>
      <c r="O346" s="122"/>
      <c r="P346" s="122"/>
      <c r="Q346" s="122"/>
    </row>
    <row r="347" spans="2:17" ht="14.25" customHeight="1" x14ac:dyDescent="0.3">
      <c r="B347" s="23"/>
      <c r="D347" s="25"/>
      <c r="E347" s="25"/>
      <c r="M347" s="12"/>
      <c r="N347" s="122"/>
      <c r="O347" s="122"/>
      <c r="P347" s="122"/>
      <c r="Q347" s="122"/>
    </row>
    <row r="348" spans="2:17" ht="14.25" customHeight="1" x14ac:dyDescent="0.3">
      <c r="B348" s="23"/>
      <c r="D348" s="25"/>
      <c r="E348" s="25"/>
      <c r="M348" s="12"/>
      <c r="N348" s="122"/>
      <c r="O348" s="122"/>
      <c r="P348" s="122"/>
      <c r="Q348" s="122"/>
    </row>
    <row r="349" spans="2:17" ht="14.25" customHeight="1" x14ac:dyDescent="0.3">
      <c r="B349" s="23"/>
      <c r="D349" s="25"/>
      <c r="E349" s="25"/>
      <c r="M349" s="12"/>
      <c r="N349" s="122"/>
      <c r="O349" s="122"/>
      <c r="P349" s="122"/>
      <c r="Q349" s="122"/>
    </row>
    <row r="350" spans="2:17" ht="14.25" customHeight="1" x14ac:dyDescent="0.3">
      <c r="B350" s="23"/>
      <c r="D350" s="25"/>
      <c r="E350" s="25"/>
      <c r="M350" s="12"/>
      <c r="N350" s="122"/>
      <c r="O350" s="122"/>
      <c r="P350" s="122"/>
      <c r="Q350" s="122"/>
    </row>
    <row r="351" spans="2:17" ht="14.25" customHeight="1" x14ac:dyDescent="0.3">
      <c r="B351" s="23"/>
      <c r="D351" s="25"/>
      <c r="E351" s="25"/>
      <c r="M351" s="12"/>
      <c r="N351" s="122"/>
      <c r="O351" s="122"/>
      <c r="P351" s="122"/>
      <c r="Q351" s="122"/>
    </row>
    <row r="352" spans="2:17" ht="14.25" customHeight="1" x14ac:dyDescent="0.3">
      <c r="B352" s="23"/>
      <c r="D352" s="25"/>
      <c r="E352" s="25"/>
      <c r="M352" s="12"/>
      <c r="N352" s="122"/>
      <c r="O352" s="122"/>
      <c r="P352" s="122"/>
      <c r="Q352" s="122"/>
    </row>
    <row r="353" spans="2:17" ht="14.25" customHeight="1" x14ac:dyDescent="0.3">
      <c r="B353" s="23"/>
      <c r="D353" s="25"/>
      <c r="E353" s="25"/>
      <c r="M353" s="12"/>
      <c r="N353" s="122"/>
      <c r="O353" s="122"/>
      <c r="P353" s="122"/>
      <c r="Q353" s="122"/>
    </row>
    <row r="354" spans="2:17" ht="14.25" customHeight="1" x14ac:dyDescent="0.3">
      <c r="B354" s="23"/>
      <c r="D354" s="25"/>
      <c r="E354" s="25"/>
      <c r="M354" s="12"/>
      <c r="N354" s="122"/>
      <c r="O354" s="122"/>
      <c r="P354" s="122"/>
      <c r="Q354" s="122"/>
    </row>
    <row r="355" spans="2:17" ht="14.25" customHeight="1" x14ac:dyDescent="0.3">
      <c r="B355" s="23"/>
      <c r="D355" s="25"/>
      <c r="E355" s="25"/>
      <c r="M355" s="12"/>
      <c r="N355" s="122"/>
      <c r="O355" s="122"/>
      <c r="P355" s="122"/>
      <c r="Q355" s="122"/>
    </row>
    <row r="356" spans="2:17" ht="14.25" customHeight="1" x14ac:dyDescent="0.3">
      <c r="B356" s="23"/>
      <c r="D356" s="25"/>
      <c r="E356" s="25"/>
      <c r="M356" s="12"/>
      <c r="N356" s="122"/>
      <c r="O356" s="122"/>
      <c r="P356" s="122"/>
      <c r="Q356" s="122"/>
    </row>
    <row r="357" spans="2:17" ht="14.25" customHeight="1" x14ac:dyDescent="0.3">
      <c r="B357" s="23"/>
      <c r="D357" s="25"/>
      <c r="E357" s="25"/>
      <c r="M357" s="12"/>
      <c r="N357" s="122"/>
      <c r="O357" s="122"/>
      <c r="P357" s="122"/>
      <c r="Q357" s="122"/>
    </row>
    <row r="358" spans="2:17" ht="14.25" customHeight="1" x14ac:dyDescent="0.3">
      <c r="B358" s="23"/>
      <c r="D358" s="25"/>
      <c r="E358" s="25"/>
      <c r="M358" s="12"/>
      <c r="N358" s="122"/>
      <c r="O358" s="122"/>
      <c r="P358" s="122"/>
      <c r="Q358" s="122"/>
    </row>
    <row r="359" spans="2:17" ht="14.25" customHeight="1" x14ac:dyDescent="0.3">
      <c r="B359" s="23"/>
      <c r="D359" s="25"/>
      <c r="E359" s="25"/>
      <c r="M359" s="12"/>
      <c r="N359" s="122"/>
      <c r="O359" s="122"/>
      <c r="P359" s="122"/>
      <c r="Q359" s="122"/>
    </row>
    <row r="360" spans="2:17" ht="14.25" customHeight="1" x14ac:dyDescent="0.3">
      <c r="B360" s="23"/>
      <c r="D360" s="25"/>
      <c r="E360" s="25"/>
      <c r="M360" s="12"/>
      <c r="N360" s="122"/>
      <c r="O360" s="122"/>
      <c r="P360" s="122"/>
      <c r="Q360" s="122"/>
    </row>
    <row r="361" spans="2:17" ht="14.25" customHeight="1" x14ac:dyDescent="0.3">
      <c r="B361" s="23"/>
      <c r="D361" s="25"/>
      <c r="E361" s="25"/>
      <c r="M361" s="12"/>
      <c r="N361" s="122"/>
      <c r="O361" s="122"/>
      <c r="P361" s="122"/>
      <c r="Q361" s="122"/>
    </row>
    <row r="362" spans="2:17" ht="14.25" customHeight="1" x14ac:dyDescent="0.3">
      <c r="B362" s="23"/>
      <c r="D362" s="25"/>
      <c r="E362" s="25"/>
      <c r="M362" s="12"/>
      <c r="N362" s="122"/>
      <c r="O362" s="122"/>
      <c r="P362" s="122"/>
      <c r="Q362" s="122"/>
    </row>
    <row r="363" spans="2:17" ht="14.25" customHeight="1" x14ac:dyDescent="0.3">
      <c r="B363" s="23"/>
      <c r="D363" s="25"/>
      <c r="E363" s="25"/>
      <c r="M363" s="12"/>
      <c r="N363" s="122"/>
      <c r="O363" s="122"/>
      <c r="P363" s="122"/>
      <c r="Q363" s="122"/>
    </row>
    <row r="364" spans="2:17" ht="14.25" customHeight="1" x14ac:dyDescent="0.3">
      <c r="B364" s="23"/>
      <c r="D364" s="25"/>
      <c r="E364" s="25"/>
      <c r="M364" s="12"/>
      <c r="N364" s="122"/>
      <c r="O364" s="122"/>
      <c r="P364" s="122"/>
      <c r="Q364" s="122"/>
    </row>
    <row r="365" spans="2:17" ht="14.25" customHeight="1" x14ac:dyDescent="0.3">
      <c r="B365" s="23"/>
      <c r="D365" s="25"/>
      <c r="E365" s="25"/>
      <c r="M365" s="12"/>
      <c r="N365" s="122"/>
      <c r="O365" s="122"/>
      <c r="P365" s="122"/>
      <c r="Q365" s="122"/>
    </row>
    <row r="366" spans="2:17" ht="14.25" customHeight="1" x14ac:dyDescent="0.3">
      <c r="B366" s="23"/>
      <c r="D366" s="25"/>
      <c r="E366" s="25"/>
      <c r="M366" s="12"/>
      <c r="N366" s="122"/>
      <c r="O366" s="122"/>
      <c r="P366" s="122"/>
      <c r="Q366" s="122"/>
    </row>
    <row r="367" spans="2:17" ht="14.25" customHeight="1" x14ac:dyDescent="0.3">
      <c r="B367" s="23"/>
      <c r="D367" s="25"/>
      <c r="E367" s="25"/>
      <c r="M367" s="12"/>
      <c r="N367" s="122"/>
      <c r="O367" s="122"/>
      <c r="P367" s="122"/>
      <c r="Q367" s="122"/>
    </row>
    <row r="368" spans="2:17" ht="14.25" customHeight="1" x14ac:dyDescent="0.3">
      <c r="B368" s="23"/>
      <c r="D368" s="25"/>
      <c r="E368" s="25"/>
      <c r="M368" s="12"/>
      <c r="N368" s="122"/>
      <c r="O368" s="122"/>
      <c r="P368" s="122"/>
      <c r="Q368" s="122"/>
    </row>
    <row r="369" spans="2:17" ht="14.25" customHeight="1" x14ac:dyDescent="0.3">
      <c r="B369" s="23"/>
      <c r="D369" s="25"/>
      <c r="E369" s="25"/>
      <c r="M369" s="12"/>
      <c r="N369" s="122"/>
      <c r="O369" s="122"/>
      <c r="P369" s="122"/>
      <c r="Q369" s="122"/>
    </row>
    <row r="370" spans="2:17" ht="14.25" customHeight="1" x14ac:dyDescent="0.3">
      <c r="B370" s="23"/>
      <c r="D370" s="25"/>
      <c r="E370" s="25"/>
      <c r="M370" s="12"/>
      <c r="N370" s="122"/>
      <c r="O370" s="122"/>
      <c r="P370" s="122"/>
      <c r="Q370" s="122"/>
    </row>
    <row r="371" spans="2:17" ht="14.25" customHeight="1" x14ac:dyDescent="0.3">
      <c r="B371" s="23"/>
      <c r="D371" s="25"/>
      <c r="E371" s="25"/>
      <c r="M371" s="12"/>
      <c r="N371" s="122"/>
      <c r="O371" s="122"/>
      <c r="P371" s="122"/>
      <c r="Q371" s="122"/>
    </row>
    <row r="372" spans="2:17" ht="14.25" customHeight="1" x14ac:dyDescent="0.3">
      <c r="B372" s="23"/>
      <c r="D372" s="25"/>
      <c r="E372" s="25"/>
      <c r="M372" s="12"/>
      <c r="N372" s="122"/>
      <c r="O372" s="122"/>
      <c r="P372" s="122"/>
      <c r="Q372" s="122"/>
    </row>
    <row r="373" spans="2:17" ht="14.25" customHeight="1" x14ac:dyDescent="0.3">
      <c r="B373" s="23"/>
      <c r="D373" s="25"/>
      <c r="E373" s="25"/>
      <c r="M373" s="12"/>
      <c r="N373" s="122"/>
      <c r="O373" s="122"/>
      <c r="P373" s="122"/>
      <c r="Q373" s="122"/>
    </row>
    <row r="374" spans="2:17" ht="14.25" customHeight="1" x14ac:dyDescent="0.3">
      <c r="B374" s="23"/>
      <c r="D374" s="25"/>
      <c r="E374" s="25"/>
      <c r="M374" s="12"/>
      <c r="N374" s="122"/>
      <c r="O374" s="122"/>
      <c r="P374" s="122"/>
      <c r="Q374" s="122"/>
    </row>
    <row r="375" spans="2:17" ht="14.25" customHeight="1" x14ac:dyDescent="0.3">
      <c r="B375" s="23"/>
      <c r="D375" s="25"/>
      <c r="E375" s="25"/>
      <c r="M375" s="12"/>
      <c r="N375" s="122"/>
      <c r="O375" s="122"/>
      <c r="P375" s="122"/>
      <c r="Q375" s="122"/>
    </row>
    <row r="376" spans="2:17" ht="14.25" customHeight="1" x14ac:dyDescent="0.3">
      <c r="B376" s="23"/>
      <c r="D376" s="25"/>
      <c r="E376" s="25"/>
      <c r="M376" s="12"/>
      <c r="N376" s="122"/>
      <c r="O376" s="122"/>
      <c r="P376" s="122"/>
      <c r="Q376" s="122"/>
    </row>
    <row r="377" spans="2:17" ht="14.25" customHeight="1" x14ac:dyDescent="0.3">
      <c r="B377" s="23"/>
      <c r="D377" s="25"/>
      <c r="E377" s="25"/>
      <c r="M377" s="12"/>
      <c r="N377" s="122"/>
      <c r="O377" s="122"/>
      <c r="P377" s="122"/>
      <c r="Q377" s="122"/>
    </row>
    <row r="378" spans="2:17" ht="14.25" customHeight="1" x14ac:dyDescent="0.3">
      <c r="B378" s="23"/>
      <c r="D378" s="25"/>
      <c r="E378" s="25"/>
      <c r="M378" s="12"/>
      <c r="N378" s="122"/>
      <c r="O378" s="122"/>
      <c r="P378" s="122"/>
      <c r="Q378" s="122"/>
    </row>
    <row r="379" spans="2:17" ht="14.25" customHeight="1" x14ac:dyDescent="0.3">
      <c r="B379" s="23"/>
      <c r="D379" s="25"/>
      <c r="E379" s="25"/>
      <c r="M379" s="12"/>
      <c r="N379" s="122"/>
      <c r="O379" s="122"/>
      <c r="P379" s="122"/>
      <c r="Q379" s="122"/>
    </row>
    <row r="380" spans="2:17" ht="14.25" customHeight="1" x14ac:dyDescent="0.3">
      <c r="B380" s="23"/>
      <c r="D380" s="25"/>
      <c r="E380" s="25"/>
      <c r="M380" s="12"/>
      <c r="N380" s="122"/>
      <c r="O380" s="122"/>
      <c r="P380" s="122"/>
      <c r="Q380" s="122"/>
    </row>
    <row r="381" spans="2:17" ht="14.25" customHeight="1" x14ac:dyDescent="0.3">
      <c r="B381" s="23"/>
      <c r="D381" s="25"/>
      <c r="E381" s="25"/>
      <c r="M381" s="12"/>
      <c r="N381" s="122"/>
      <c r="O381" s="122"/>
      <c r="P381" s="122"/>
      <c r="Q381" s="122"/>
    </row>
    <row r="382" spans="2:17" ht="14.25" customHeight="1" x14ac:dyDescent="0.3">
      <c r="B382" s="23"/>
      <c r="D382" s="25"/>
      <c r="E382" s="25"/>
      <c r="M382" s="12"/>
      <c r="N382" s="122"/>
      <c r="O382" s="122"/>
      <c r="P382" s="122"/>
      <c r="Q382" s="122"/>
    </row>
    <row r="383" spans="2:17" ht="14.25" customHeight="1" x14ac:dyDescent="0.3">
      <c r="B383" s="23"/>
      <c r="D383" s="25"/>
      <c r="E383" s="25"/>
      <c r="M383" s="12"/>
      <c r="N383" s="122"/>
      <c r="O383" s="122"/>
      <c r="P383" s="122"/>
      <c r="Q383" s="122"/>
    </row>
    <row r="384" spans="2:17" ht="14.25" customHeight="1" x14ac:dyDescent="0.3">
      <c r="B384" s="23"/>
      <c r="D384" s="25"/>
      <c r="E384" s="25"/>
      <c r="M384" s="12"/>
      <c r="N384" s="122"/>
      <c r="O384" s="122"/>
      <c r="P384" s="122"/>
      <c r="Q384" s="122"/>
    </row>
    <row r="385" spans="2:17" ht="14.25" customHeight="1" x14ac:dyDescent="0.3">
      <c r="B385" s="23"/>
      <c r="D385" s="25"/>
      <c r="E385" s="25"/>
      <c r="M385" s="12"/>
      <c r="N385" s="122"/>
      <c r="O385" s="122"/>
      <c r="P385" s="122"/>
      <c r="Q385" s="122"/>
    </row>
    <row r="386" spans="2:17" ht="14.25" customHeight="1" x14ac:dyDescent="0.3">
      <c r="B386" s="23"/>
      <c r="D386" s="25"/>
      <c r="E386" s="25"/>
      <c r="M386" s="12"/>
      <c r="N386" s="122"/>
      <c r="O386" s="122"/>
      <c r="P386" s="122"/>
      <c r="Q386" s="122"/>
    </row>
    <row r="387" spans="2:17" ht="14.25" customHeight="1" x14ac:dyDescent="0.3">
      <c r="B387" s="23"/>
      <c r="D387" s="25"/>
      <c r="E387" s="25"/>
      <c r="M387" s="12"/>
      <c r="N387" s="122"/>
      <c r="O387" s="122"/>
      <c r="P387" s="122"/>
      <c r="Q387" s="122"/>
    </row>
    <row r="388" spans="2:17" ht="14.25" customHeight="1" x14ac:dyDescent="0.3">
      <c r="B388" s="23"/>
      <c r="D388" s="25"/>
      <c r="E388" s="25"/>
      <c r="M388" s="12"/>
      <c r="N388" s="122"/>
      <c r="O388" s="122"/>
      <c r="P388" s="122"/>
      <c r="Q388" s="122"/>
    </row>
    <row r="389" spans="2:17" ht="14.25" customHeight="1" x14ac:dyDescent="0.3">
      <c r="B389" s="23"/>
      <c r="D389" s="25"/>
      <c r="E389" s="25"/>
      <c r="M389" s="12"/>
      <c r="N389" s="122"/>
      <c r="O389" s="122"/>
      <c r="P389" s="122"/>
      <c r="Q389" s="122"/>
    </row>
    <row r="390" spans="2:17" ht="14.25" customHeight="1" x14ac:dyDescent="0.3">
      <c r="B390" s="23"/>
      <c r="D390" s="25"/>
      <c r="E390" s="25"/>
      <c r="M390" s="12"/>
      <c r="N390" s="122"/>
      <c r="O390" s="122"/>
      <c r="P390" s="122"/>
      <c r="Q390" s="122"/>
    </row>
    <row r="391" spans="2:17" ht="14.25" customHeight="1" x14ac:dyDescent="0.3">
      <c r="B391" s="23"/>
      <c r="D391" s="25"/>
      <c r="E391" s="25"/>
      <c r="M391" s="12"/>
      <c r="N391" s="122"/>
      <c r="O391" s="122"/>
      <c r="P391" s="122"/>
      <c r="Q391" s="122"/>
    </row>
    <row r="392" spans="2:17" ht="14.25" customHeight="1" x14ac:dyDescent="0.3">
      <c r="B392" s="23"/>
      <c r="D392" s="25"/>
      <c r="E392" s="25"/>
      <c r="M392" s="12"/>
      <c r="N392" s="122"/>
      <c r="O392" s="122"/>
      <c r="P392" s="122"/>
      <c r="Q392" s="122"/>
    </row>
    <row r="393" spans="2:17" ht="14.25" customHeight="1" x14ac:dyDescent="0.3">
      <c r="B393" s="23"/>
      <c r="D393" s="25"/>
      <c r="E393" s="25"/>
      <c r="M393" s="12"/>
      <c r="N393" s="122"/>
      <c r="O393" s="122"/>
      <c r="P393" s="122"/>
      <c r="Q393" s="122"/>
    </row>
    <row r="394" spans="2:17" ht="14.25" customHeight="1" x14ac:dyDescent="0.3">
      <c r="B394" s="23"/>
      <c r="D394" s="25"/>
      <c r="E394" s="25"/>
      <c r="M394" s="12"/>
      <c r="N394" s="122"/>
      <c r="O394" s="122"/>
      <c r="P394" s="122"/>
      <c r="Q394" s="122"/>
    </row>
    <row r="395" spans="2:17" ht="14.25" customHeight="1" x14ac:dyDescent="0.3">
      <c r="B395" s="23"/>
      <c r="D395" s="25"/>
      <c r="E395" s="25"/>
      <c r="M395" s="12"/>
      <c r="N395" s="122"/>
      <c r="O395" s="122"/>
      <c r="P395" s="122"/>
      <c r="Q395" s="122"/>
    </row>
    <row r="396" spans="2:17" ht="14.25" customHeight="1" x14ac:dyDescent="0.3">
      <c r="B396" s="23"/>
      <c r="D396" s="25"/>
      <c r="E396" s="25"/>
      <c r="M396" s="12"/>
      <c r="N396" s="122"/>
      <c r="O396" s="122"/>
      <c r="P396" s="122"/>
      <c r="Q396" s="122"/>
    </row>
    <row r="397" spans="2:17" ht="14.25" customHeight="1" x14ac:dyDescent="0.3">
      <c r="B397" s="23"/>
      <c r="D397" s="25"/>
      <c r="E397" s="25"/>
      <c r="M397" s="12"/>
      <c r="N397" s="122"/>
      <c r="O397" s="122"/>
      <c r="P397" s="122"/>
      <c r="Q397" s="122"/>
    </row>
    <row r="398" spans="2:17" ht="14.25" customHeight="1" x14ac:dyDescent="0.3">
      <c r="B398" s="23"/>
      <c r="D398" s="25"/>
      <c r="E398" s="25"/>
      <c r="M398" s="12"/>
      <c r="N398" s="122"/>
      <c r="O398" s="122"/>
      <c r="P398" s="122"/>
      <c r="Q398" s="122"/>
    </row>
    <row r="399" spans="2:17" ht="14.25" customHeight="1" x14ac:dyDescent="0.3">
      <c r="B399" s="23"/>
      <c r="D399" s="25"/>
      <c r="E399" s="25"/>
      <c r="M399" s="12"/>
      <c r="N399" s="122"/>
      <c r="O399" s="122"/>
      <c r="P399" s="122"/>
      <c r="Q399" s="122"/>
    </row>
    <row r="400" spans="2:17" ht="14.25" customHeight="1" x14ac:dyDescent="0.3">
      <c r="B400" s="23"/>
      <c r="D400" s="25"/>
      <c r="E400" s="25"/>
      <c r="M400" s="12"/>
      <c r="N400" s="122"/>
      <c r="O400" s="122"/>
      <c r="P400" s="122"/>
      <c r="Q400" s="122"/>
    </row>
    <row r="401" spans="2:17" ht="14.25" customHeight="1" x14ac:dyDescent="0.3">
      <c r="B401" s="23"/>
      <c r="D401" s="25"/>
      <c r="E401" s="25"/>
      <c r="M401" s="12"/>
      <c r="N401" s="122"/>
      <c r="O401" s="122"/>
      <c r="P401" s="122"/>
      <c r="Q401" s="122"/>
    </row>
    <row r="402" spans="2:17" ht="14.25" customHeight="1" x14ac:dyDescent="0.3">
      <c r="B402" s="23"/>
      <c r="D402" s="25"/>
      <c r="E402" s="25"/>
      <c r="M402" s="12"/>
      <c r="N402" s="122"/>
      <c r="O402" s="122"/>
      <c r="P402" s="122"/>
      <c r="Q402" s="122"/>
    </row>
    <row r="403" spans="2:17" ht="14.25" customHeight="1" x14ac:dyDescent="0.3">
      <c r="B403" s="23"/>
      <c r="D403" s="25"/>
      <c r="E403" s="25"/>
      <c r="M403" s="12"/>
      <c r="N403" s="122"/>
      <c r="O403" s="122"/>
      <c r="P403" s="122"/>
      <c r="Q403" s="122"/>
    </row>
    <row r="404" spans="2:17" ht="14.25" customHeight="1" x14ac:dyDescent="0.3">
      <c r="B404" s="23"/>
      <c r="D404" s="25"/>
      <c r="E404" s="25"/>
      <c r="M404" s="12"/>
      <c r="N404" s="122"/>
      <c r="O404" s="122"/>
      <c r="P404" s="122"/>
      <c r="Q404" s="122"/>
    </row>
    <row r="405" spans="2:17" ht="14.25" customHeight="1" x14ac:dyDescent="0.3">
      <c r="B405" s="23"/>
      <c r="D405" s="25"/>
      <c r="E405" s="25"/>
      <c r="M405" s="12"/>
      <c r="N405" s="122"/>
      <c r="O405" s="122"/>
      <c r="P405" s="122"/>
      <c r="Q405" s="122"/>
    </row>
    <row r="406" spans="2:17" ht="14.25" customHeight="1" x14ac:dyDescent="0.3">
      <c r="B406" s="23"/>
      <c r="D406" s="25"/>
      <c r="E406" s="25"/>
      <c r="M406" s="12"/>
      <c r="N406" s="122"/>
      <c r="O406" s="122"/>
      <c r="P406" s="122"/>
      <c r="Q406" s="122"/>
    </row>
    <row r="407" spans="2:17" ht="14.25" customHeight="1" x14ac:dyDescent="0.3">
      <c r="B407" s="23"/>
      <c r="D407" s="25"/>
      <c r="E407" s="25"/>
      <c r="M407" s="12"/>
      <c r="N407" s="122"/>
      <c r="O407" s="122"/>
      <c r="P407" s="122"/>
      <c r="Q407" s="122"/>
    </row>
    <row r="408" spans="2:17" ht="14.25" customHeight="1" x14ac:dyDescent="0.3">
      <c r="B408" s="23"/>
      <c r="D408" s="25"/>
      <c r="E408" s="25"/>
      <c r="M408" s="12"/>
      <c r="N408" s="122"/>
      <c r="O408" s="122"/>
      <c r="P408" s="122"/>
      <c r="Q408" s="122"/>
    </row>
    <row r="409" spans="2:17" ht="14.25" customHeight="1" x14ac:dyDescent="0.3">
      <c r="B409" s="23"/>
      <c r="D409" s="25"/>
      <c r="E409" s="25"/>
      <c r="M409" s="12"/>
      <c r="N409" s="122"/>
      <c r="O409" s="122"/>
      <c r="P409" s="122"/>
      <c r="Q409" s="122"/>
    </row>
    <row r="410" spans="2:17" ht="14.25" customHeight="1" x14ac:dyDescent="0.3">
      <c r="B410" s="23"/>
      <c r="D410" s="25"/>
      <c r="E410" s="25"/>
      <c r="M410" s="12"/>
      <c r="N410" s="122"/>
      <c r="O410" s="122"/>
      <c r="P410" s="122"/>
      <c r="Q410" s="122"/>
    </row>
    <row r="411" spans="2:17" ht="14.25" customHeight="1" x14ac:dyDescent="0.3">
      <c r="B411" s="23"/>
      <c r="D411" s="25"/>
      <c r="E411" s="25"/>
      <c r="M411" s="12"/>
      <c r="N411" s="122"/>
      <c r="O411" s="122"/>
      <c r="P411" s="122"/>
      <c r="Q411" s="122"/>
    </row>
    <row r="412" spans="2:17" ht="14.25" customHeight="1" x14ac:dyDescent="0.3">
      <c r="B412" s="23"/>
      <c r="D412" s="25"/>
      <c r="E412" s="25"/>
      <c r="M412" s="12"/>
      <c r="N412" s="122"/>
      <c r="O412" s="122"/>
      <c r="P412" s="122"/>
      <c r="Q412" s="122"/>
    </row>
    <row r="413" spans="2:17" ht="14.25" customHeight="1" x14ac:dyDescent="0.3">
      <c r="B413" s="23"/>
      <c r="D413" s="25"/>
      <c r="E413" s="25"/>
      <c r="M413" s="12"/>
      <c r="N413" s="122"/>
      <c r="O413" s="122"/>
      <c r="P413" s="122"/>
      <c r="Q413" s="122"/>
    </row>
    <row r="414" spans="2:17" ht="14.25" customHeight="1" x14ac:dyDescent="0.3">
      <c r="B414" s="23"/>
      <c r="D414" s="25"/>
      <c r="E414" s="25"/>
      <c r="M414" s="12"/>
      <c r="N414" s="122"/>
      <c r="O414" s="122"/>
      <c r="P414" s="122"/>
      <c r="Q414" s="122"/>
    </row>
    <row r="415" spans="2:17" ht="14.25" customHeight="1" x14ac:dyDescent="0.3">
      <c r="B415" s="23"/>
      <c r="D415" s="25"/>
      <c r="E415" s="25"/>
      <c r="M415" s="12"/>
      <c r="N415" s="122"/>
      <c r="O415" s="122"/>
      <c r="P415" s="122"/>
      <c r="Q415" s="122"/>
    </row>
    <row r="416" spans="2:17" ht="14.25" customHeight="1" x14ac:dyDescent="0.3">
      <c r="B416" s="23"/>
      <c r="D416" s="25"/>
      <c r="E416" s="25"/>
      <c r="M416" s="12"/>
      <c r="N416" s="122"/>
      <c r="O416" s="122"/>
      <c r="P416" s="122"/>
      <c r="Q416" s="122"/>
    </row>
    <row r="417" spans="2:17" ht="14.25" customHeight="1" x14ac:dyDescent="0.3">
      <c r="B417" s="23"/>
      <c r="D417" s="25"/>
      <c r="E417" s="25"/>
      <c r="M417" s="12"/>
      <c r="N417" s="122"/>
      <c r="O417" s="122"/>
      <c r="P417" s="122"/>
      <c r="Q417" s="122"/>
    </row>
    <row r="418" spans="2:17" ht="14.25" customHeight="1" x14ac:dyDescent="0.3">
      <c r="B418" s="23"/>
      <c r="D418" s="25"/>
      <c r="E418" s="25"/>
      <c r="M418" s="12"/>
      <c r="N418" s="122"/>
      <c r="O418" s="122"/>
      <c r="P418" s="122"/>
      <c r="Q418" s="122"/>
    </row>
    <row r="419" spans="2:17" ht="14.25" customHeight="1" x14ac:dyDescent="0.3">
      <c r="B419" s="23"/>
      <c r="D419" s="25"/>
      <c r="E419" s="25"/>
      <c r="M419" s="12"/>
      <c r="N419" s="122"/>
      <c r="O419" s="122"/>
      <c r="P419" s="122"/>
      <c r="Q419" s="122"/>
    </row>
    <row r="420" spans="2:17" ht="14.25" customHeight="1" x14ac:dyDescent="0.3">
      <c r="B420" s="23"/>
      <c r="D420" s="25"/>
      <c r="E420" s="25"/>
      <c r="M420" s="12"/>
      <c r="N420" s="122"/>
      <c r="O420" s="122"/>
      <c r="P420" s="122"/>
      <c r="Q420" s="122"/>
    </row>
    <row r="421" spans="2:17" ht="14.25" customHeight="1" x14ac:dyDescent="0.3">
      <c r="B421" s="23"/>
      <c r="D421" s="25"/>
      <c r="E421" s="25"/>
      <c r="M421" s="12"/>
      <c r="N421" s="122"/>
      <c r="O421" s="122"/>
      <c r="P421" s="122"/>
      <c r="Q421" s="122"/>
    </row>
    <row r="422" spans="2:17" ht="14.25" customHeight="1" x14ac:dyDescent="0.3">
      <c r="B422" s="23"/>
      <c r="D422" s="25"/>
      <c r="E422" s="25"/>
      <c r="M422" s="12"/>
      <c r="N422" s="122"/>
      <c r="O422" s="122"/>
      <c r="P422" s="122"/>
      <c r="Q422" s="122"/>
    </row>
    <row r="423" spans="2:17" ht="14.25" customHeight="1" x14ac:dyDescent="0.3">
      <c r="B423" s="23"/>
      <c r="D423" s="25"/>
      <c r="E423" s="25"/>
      <c r="M423" s="12"/>
      <c r="N423" s="122"/>
      <c r="O423" s="122"/>
      <c r="P423" s="122"/>
      <c r="Q423" s="122"/>
    </row>
    <row r="424" spans="2:17" ht="14.25" customHeight="1" x14ac:dyDescent="0.3">
      <c r="B424" s="23"/>
      <c r="D424" s="25"/>
      <c r="E424" s="25"/>
      <c r="M424" s="12"/>
      <c r="N424" s="122"/>
      <c r="O424" s="122"/>
      <c r="P424" s="122"/>
      <c r="Q424" s="122"/>
    </row>
    <row r="425" spans="2:17" ht="14.25" customHeight="1" x14ac:dyDescent="0.3">
      <c r="B425" s="23"/>
      <c r="D425" s="25"/>
      <c r="E425" s="25"/>
      <c r="M425" s="12"/>
      <c r="N425" s="122"/>
      <c r="O425" s="122"/>
      <c r="P425" s="122"/>
      <c r="Q425" s="122"/>
    </row>
    <row r="426" spans="2:17" ht="14.25" customHeight="1" x14ac:dyDescent="0.3">
      <c r="B426" s="23"/>
      <c r="D426" s="25"/>
      <c r="E426" s="25"/>
      <c r="M426" s="12"/>
      <c r="N426" s="122"/>
      <c r="O426" s="122"/>
      <c r="P426" s="122"/>
      <c r="Q426" s="122"/>
    </row>
    <row r="427" spans="2:17" ht="14.25" customHeight="1" x14ac:dyDescent="0.3">
      <c r="B427" s="23"/>
      <c r="D427" s="25"/>
      <c r="E427" s="25"/>
      <c r="M427" s="12"/>
      <c r="N427" s="122"/>
      <c r="O427" s="122"/>
      <c r="P427" s="122"/>
      <c r="Q427" s="122"/>
    </row>
    <row r="428" spans="2:17" ht="14.25" customHeight="1" x14ac:dyDescent="0.3">
      <c r="B428" s="23"/>
      <c r="D428" s="25"/>
      <c r="E428" s="25"/>
      <c r="M428" s="12"/>
      <c r="N428" s="122"/>
      <c r="O428" s="122"/>
      <c r="P428" s="122"/>
      <c r="Q428" s="122"/>
    </row>
    <row r="429" spans="2:17" ht="14.25" customHeight="1" x14ac:dyDescent="0.3">
      <c r="B429" s="23"/>
      <c r="D429" s="25"/>
      <c r="E429" s="25"/>
      <c r="M429" s="12"/>
      <c r="N429" s="122"/>
      <c r="O429" s="122"/>
      <c r="P429" s="122"/>
      <c r="Q429" s="122"/>
    </row>
    <row r="430" spans="2:17" ht="14.25" customHeight="1" x14ac:dyDescent="0.3">
      <c r="B430" s="23"/>
      <c r="D430" s="25"/>
      <c r="E430" s="25"/>
      <c r="M430" s="12"/>
      <c r="N430" s="122"/>
      <c r="O430" s="122"/>
      <c r="P430" s="122"/>
      <c r="Q430" s="122"/>
    </row>
    <row r="431" spans="2:17" ht="14.25" customHeight="1" x14ac:dyDescent="0.3">
      <c r="B431" s="23"/>
      <c r="D431" s="25"/>
      <c r="E431" s="25"/>
      <c r="M431" s="12"/>
      <c r="N431" s="122"/>
      <c r="O431" s="122"/>
      <c r="P431" s="122"/>
      <c r="Q431" s="122"/>
    </row>
    <row r="432" spans="2:17" ht="14.25" customHeight="1" x14ac:dyDescent="0.3">
      <c r="B432" s="23"/>
      <c r="D432" s="25"/>
      <c r="E432" s="25"/>
      <c r="M432" s="12"/>
      <c r="N432" s="122"/>
      <c r="O432" s="122"/>
      <c r="P432" s="122"/>
      <c r="Q432" s="122"/>
    </row>
    <row r="433" spans="2:17" ht="14.25" customHeight="1" x14ac:dyDescent="0.3">
      <c r="B433" s="23"/>
      <c r="D433" s="25"/>
      <c r="E433" s="25"/>
      <c r="M433" s="12"/>
      <c r="N433" s="122"/>
      <c r="O433" s="122"/>
      <c r="P433" s="122"/>
      <c r="Q433" s="122"/>
    </row>
    <row r="434" spans="2:17" ht="14.25" customHeight="1" x14ac:dyDescent="0.3">
      <c r="B434" s="23"/>
      <c r="D434" s="25"/>
      <c r="E434" s="25"/>
      <c r="M434" s="12"/>
      <c r="N434" s="122"/>
      <c r="O434" s="122"/>
      <c r="P434" s="122"/>
      <c r="Q434" s="122"/>
    </row>
    <row r="435" spans="2:17" ht="14.25" customHeight="1" x14ac:dyDescent="0.3">
      <c r="B435" s="23"/>
      <c r="D435" s="25"/>
      <c r="E435" s="25"/>
      <c r="M435" s="12"/>
      <c r="N435" s="122"/>
      <c r="O435" s="122"/>
      <c r="P435" s="122"/>
      <c r="Q435" s="122"/>
    </row>
    <row r="436" spans="2:17" ht="14.25" customHeight="1" x14ac:dyDescent="0.3">
      <c r="B436" s="23"/>
      <c r="D436" s="25"/>
      <c r="E436" s="25"/>
      <c r="M436" s="12"/>
      <c r="N436" s="122"/>
      <c r="O436" s="122"/>
      <c r="P436" s="122"/>
      <c r="Q436" s="122"/>
    </row>
    <row r="437" spans="2:17" ht="14.25" customHeight="1" x14ac:dyDescent="0.3">
      <c r="B437" s="23"/>
      <c r="D437" s="25"/>
      <c r="E437" s="25"/>
      <c r="M437" s="12"/>
      <c r="N437" s="122"/>
      <c r="O437" s="122"/>
      <c r="P437" s="122"/>
      <c r="Q437" s="122"/>
    </row>
    <row r="438" spans="2:17" ht="14.25" customHeight="1" x14ac:dyDescent="0.3">
      <c r="B438" s="23"/>
      <c r="D438" s="25"/>
      <c r="E438" s="25"/>
      <c r="M438" s="12"/>
      <c r="N438" s="122"/>
      <c r="O438" s="122"/>
      <c r="P438" s="122"/>
      <c r="Q438" s="122"/>
    </row>
    <row r="439" spans="2:17" ht="14.25" customHeight="1" x14ac:dyDescent="0.3">
      <c r="B439" s="23"/>
      <c r="D439" s="25"/>
      <c r="E439" s="25"/>
      <c r="M439" s="12"/>
      <c r="N439" s="122"/>
      <c r="O439" s="122"/>
      <c r="P439" s="122"/>
      <c r="Q439" s="122"/>
    </row>
    <row r="440" spans="2:17" ht="14.25" customHeight="1" x14ac:dyDescent="0.3">
      <c r="B440" s="23"/>
      <c r="D440" s="25"/>
      <c r="E440" s="25"/>
      <c r="M440" s="12"/>
      <c r="N440" s="122"/>
      <c r="O440" s="122"/>
      <c r="P440" s="122"/>
      <c r="Q440" s="122"/>
    </row>
    <row r="441" spans="2:17" ht="14.25" customHeight="1" x14ac:dyDescent="0.3">
      <c r="B441" s="23"/>
      <c r="D441" s="25"/>
      <c r="E441" s="25"/>
      <c r="M441" s="12"/>
      <c r="N441" s="122"/>
      <c r="O441" s="122"/>
      <c r="P441" s="122"/>
      <c r="Q441" s="122"/>
    </row>
    <row r="442" spans="2:17" ht="14.25" customHeight="1" x14ac:dyDescent="0.3">
      <c r="B442" s="23"/>
      <c r="D442" s="25"/>
      <c r="E442" s="25"/>
      <c r="M442" s="12"/>
      <c r="N442" s="122"/>
      <c r="O442" s="122"/>
      <c r="P442" s="122"/>
      <c r="Q442" s="122"/>
    </row>
    <row r="443" spans="2:17" ht="14.25" customHeight="1" x14ac:dyDescent="0.3">
      <c r="B443" s="23"/>
      <c r="D443" s="25"/>
      <c r="E443" s="25"/>
      <c r="M443" s="12"/>
      <c r="N443" s="122"/>
      <c r="O443" s="122"/>
      <c r="P443" s="122"/>
      <c r="Q443" s="122"/>
    </row>
    <row r="444" spans="2:17" ht="14.25" customHeight="1" x14ac:dyDescent="0.3">
      <c r="B444" s="23"/>
      <c r="D444" s="25"/>
      <c r="E444" s="25"/>
      <c r="M444" s="12"/>
      <c r="N444" s="122"/>
      <c r="O444" s="122"/>
      <c r="P444" s="122"/>
      <c r="Q444" s="122"/>
    </row>
    <row r="445" spans="2:17" ht="14.25" customHeight="1" x14ac:dyDescent="0.3">
      <c r="B445" s="23"/>
      <c r="D445" s="25"/>
      <c r="E445" s="25"/>
      <c r="M445" s="12"/>
      <c r="N445" s="122"/>
      <c r="O445" s="122"/>
      <c r="P445" s="122"/>
      <c r="Q445" s="122"/>
    </row>
    <row r="446" spans="2:17" ht="14.25" customHeight="1" x14ac:dyDescent="0.3">
      <c r="B446" s="23"/>
      <c r="D446" s="25"/>
      <c r="E446" s="25"/>
      <c r="M446" s="12"/>
      <c r="N446" s="122"/>
      <c r="O446" s="122"/>
      <c r="P446" s="122"/>
      <c r="Q446" s="122"/>
    </row>
    <row r="447" spans="2:17" ht="14.25" customHeight="1" x14ac:dyDescent="0.3">
      <c r="B447" s="23"/>
      <c r="D447" s="25"/>
      <c r="E447" s="25"/>
      <c r="M447" s="12"/>
      <c r="N447" s="122"/>
      <c r="O447" s="122"/>
      <c r="P447" s="122"/>
      <c r="Q447" s="122"/>
    </row>
    <row r="448" spans="2:17" ht="14.25" customHeight="1" x14ac:dyDescent="0.3">
      <c r="B448" s="23"/>
      <c r="D448" s="25"/>
      <c r="E448" s="25"/>
      <c r="M448" s="12"/>
      <c r="N448" s="122"/>
      <c r="O448" s="122"/>
      <c r="P448" s="122"/>
      <c r="Q448" s="122"/>
    </row>
    <row r="449" spans="2:17" ht="14.25" customHeight="1" x14ac:dyDescent="0.3">
      <c r="B449" s="23"/>
      <c r="D449" s="25"/>
      <c r="E449" s="25"/>
      <c r="M449" s="12"/>
      <c r="N449" s="122"/>
      <c r="O449" s="122"/>
      <c r="P449" s="122"/>
      <c r="Q449" s="122"/>
    </row>
    <row r="450" spans="2:17" ht="14.25" customHeight="1" x14ac:dyDescent="0.3">
      <c r="B450" s="23"/>
      <c r="D450" s="25"/>
      <c r="E450" s="25"/>
      <c r="M450" s="12"/>
      <c r="N450" s="122"/>
      <c r="O450" s="122"/>
      <c r="P450" s="122"/>
      <c r="Q450" s="122"/>
    </row>
    <row r="451" spans="2:17" ht="14.25" customHeight="1" x14ac:dyDescent="0.3">
      <c r="B451" s="23"/>
      <c r="D451" s="25"/>
      <c r="E451" s="25"/>
      <c r="M451" s="12"/>
      <c r="N451" s="122"/>
      <c r="O451" s="122"/>
      <c r="P451" s="122"/>
      <c r="Q451" s="122"/>
    </row>
    <row r="452" spans="2:17" ht="14.25" customHeight="1" x14ac:dyDescent="0.3">
      <c r="B452" s="23"/>
      <c r="D452" s="25"/>
      <c r="E452" s="25"/>
      <c r="M452" s="12"/>
      <c r="N452" s="122"/>
      <c r="O452" s="122"/>
      <c r="P452" s="122"/>
      <c r="Q452" s="122"/>
    </row>
    <row r="453" spans="2:17" ht="14.25" customHeight="1" x14ac:dyDescent="0.3">
      <c r="B453" s="23"/>
      <c r="D453" s="25"/>
      <c r="E453" s="25"/>
      <c r="M453" s="12"/>
      <c r="N453" s="122"/>
      <c r="O453" s="122"/>
      <c r="P453" s="122"/>
      <c r="Q453" s="122"/>
    </row>
    <row r="454" spans="2:17" ht="14.25" customHeight="1" x14ac:dyDescent="0.3">
      <c r="B454" s="23"/>
      <c r="D454" s="25"/>
      <c r="E454" s="25"/>
      <c r="M454" s="12"/>
      <c r="N454" s="122"/>
      <c r="O454" s="122"/>
      <c r="P454" s="122"/>
      <c r="Q454" s="122"/>
    </row>
    <row r="455" spans="2:17" ht="14.25" customHeight="1" x14ac:dyDescent="0.3">
      <c r="B455" s="23"/>
      <c r="D455" s="25"/>
      <c r="E455" s="25"/>
      <c r="M455" s="12"/>
      <c r="N455" s="122"/>
      <c r="O455" s="122"/>
      <c r="P455" s="122"/>
      <c r="Q455" s="122"/>
    </row>
    <row r="456" spans="2:17" ht="14.25" customHeight="1" x14ac:dyDescent="0.3">
      <c r="B456" s="23"/>
      <c r="D456" s="25"/>
      <c r="E456" s="25"/>
      <c r="M456" s="12"/>
      <c r="N456" s="122"/>
      <c r="O456" s="122"/>
      <c r="P456" s="122"/>
      <c r="Q456" s="122"/>
    </row>
    <row r="457" spans="2:17" ht="14.25" customHeight="1" x14ac:dyDescent="0.3">
      <c r="B457" s="23"/>
      <c r="D457" s="25"/>
      <c r="E457" s="25"/>
      <c r="M457" s="12"/>
      <c r="N457" s="122"/>
      <c r="O457" s="122"/>
      <c r="P457" s="122"/>
      <c r="Q457" s="122"/>
    </row>
    <row r="458" spans="2:17" ht="14.25" customHeight="1" x14ac:dyDescent="0.3">
      <c r="B458" s="23"/>
      <c r="D458" s="25"/>
      <c r="E458" s="25"/>
      <c r="M458" s="12"/>
      <c r="N458" s="122"/>
      <c r="O458" s="122"/>
      <c r="P458" s="122"/>
      <c r="Q458" s="122"/>
    </row>
    <row r="459" spans="2:17" ht="14.25" customHeight="1" x14ac:dyDescent="0.3">
      <c r="B459" s="23"/>
      <c r="D459" s="25"/>
      <c r="E459" s="25"/>
      <c r="M459" s="12"/>
      <c r="N459" s="122"/>
      <c r="O459" s="122"/>
      <c r="P459" s="122"/>
      <c r="Q459" s="122"/>
    </row>
    <row r="460" spans="2:17" ht="14.25" customHeight="1" x14ac:dyDescent="0.3">
      <c r="B460" s="23"/>
      <c r="D460" s="25"/>
      <c r="E460" s="25"/>
      <c r="M460" s="12"/>
      <c r="N460" s="122"/>
      <c r="O460" s="122"/>
      <c r="P460" s="122"/>
      <c r="Q460" s="122"/>
    </row>
    <row r="461" spans="2:17" ht="14.25" customHeight="1" x14ac:dyDescent="0.3">
      <c r="B461" s="23"/>
      <c r="D461" s="25"/>
      <c r="E461" s="25"/>
      <c r="M461" s="12"/>
      <c r="N461" s="122"/>
      <c r="O461" s="122"/>
      <c r="P461" s="122"/>
      <c r="Q461" s="122"/>
    </row>
    <row r="462" spans="2:17" ht="14.25" customHeight="1" x14ac:dyDescent="0.3">
      <c r="B462" s="23"/>
      <c r="D462" s="25"/>
      <c r="E462" s="25"/>
      <c r="M462" s="12"/>
      <c r="N462" s="122"/>
      <c r="O462" s="122"/>
      <c r="P462" s="122"/>
      <c r="Q462" s="122"/>
    </row>
    <row r="463" spans="2:17" ht="14.25" customHeight="1" x14ac:dyDescent="0.3">
      <c r="B463" s="23"/>
      <c r="D463" s="25"/>
      <c r="E463" s="25"/>
      <c r="M463" s="12"/>
      <c r="N463" s="122"/>
      <c r="O463" s="122"/>
      <c r="P463" s="122"/>
      <c r="Q463" s="122"/>
    </row>
    <row r="464" spans="2:17" ht="14.25" customHeight="1" x14ac:dyDescent="0.3">
      <c r="B464" s="23"/>
      <c r="D464" s="25"/>
      <c r="E464" s="25"/>
      <c r="M464" s="12"/>
      <c r="N464" s="122"/>
      <c r="O464" s="122"/>
      <c r="P464" s="122"/>
      <c r="Q464" s="122"/>
    </row>
    <row r="465" spans="2:17" ht="14.25" customHeight="1" x14ac:dyDescent="0.3">
      <c r="B465" s="23"/>
      <c r="D465" s="25"/>
      <c r="E465" s="25"/>
      <c r="M465" s="12"/>
      <c r="N465" s="122"/>
      <c r="O465" s="122"/>
      <c r="P465" s="122"/>
      <c r="Q465" s="122"/>
    </row>
    <row r="466" spans="2:17" ht="14.25" customHeight="1" x14ac:dyDescent="0.3">
      <c r="B466" s="23"/>
      <c r="D466" s="25"/>
      <c r="E466" s="25"/>
      <c r="M466" s="12"/>
      <c r="N466" s="122"/>
      <c r="O466" s="122"/>
      <c r="P466" s="122"/>
      <c r="Q466" s="122"/>
    </row>
    <row r="467" spans="2:17" ht="14.25" customHeight="1" x14ac:dyDescent="0.3">
      <c r="B467" s="23"/>
      <c r="D467" s="25"/>
      <c r="E467" s="25"/>
      <c r="M467" s="12"/>
      <c r="N467" s="122"/>
      <c r="O467" s="122"/>
      <c r="P467" s="122"/>
      <c r="Q467" s="122"/>
    </row>
    <row r="468" spans="2:17" ht="14.25" customHeight="1" x14ac:dyDescent="0.3">
      <c r="B468" s="23"/>
      <c r="D468" s="25"/>
      <c r="E468" s="25"/>
      <c r="M468" s="12"/>
      <c r="N468" s="122"/>
      <c r="O468" s="122"/>
      <c r="P468" s="122"/>
      <c r="Q468" s="122"/>
    </row>
    <row r="469" spans="2:17" ht="14.25" customHeight="1" x14ac:dyDescent="0.3">
      <c r="B469" s="23"/>
      <c r="D469" s="25"/>
      <c r="E469" s="25"/>
      <c r="M469" s="12"/>
      <c r="N469" s="122"/>
      <c r="O469" s="122"/>
      <c r="P469" s="122"/>
      <c r="Q469" s="122"/>
    </row>
    <row r="470" spans="2:17" ht="14.25" customHeight="1" x14ac:dyDescent="0.3">
      <c r="B470" s="23"/>
      <c r="D470" s="25"/>
      <c r="E470" s="25"/>
      <c r="M470" s="12"/>
      <c r="N470" s="122"/>
      <c r="O470" s="122"/>
      <c r="P470" s="122"/>
      <c r="Q470" s="122"/>
    </row>
    <row r="471" spans="2:17" ht="14.25" customHeight="1" x14ac:dyDescent="0.3">
      <c r="B471" s="23"/>
      <c r="D471" s="25"/>
      <c r="E471" s="25"/>
      <c r="M471" s="12"/>
      <c r="N471" s="122"/>
      <c r="O471" s="122"/>
      <c r="P471" s="122"/>
      <c r="Q471" s="122"/>
    </row>
    <row r="472" spans="2:17" ht="14.25" customHeight="1" x14ac:dyDescent="0.3">
      <c r="B472" s="23"/>
      <c r="D472" s="25"/>
      <c r="E472" s="25"/>
      <c r="M472" s="12"/>
      <c r="N472" s="122"/>
      <c r="O472" s="122"/>
      <c r="P472" s="122"/>
      <c r="Q472" s="122"/>
    </row>
    <row r="473" spans="2:17" ht="14.25" customHeight="1" x14ac:dyDescent="0.3">
      <c r="B473" s="23"/>
      <c r="D473" s="25"/>
      <c r="E473" s="25"/>
      <c r="M473" s="12"/>
      <c r="N473" s="122"/>
      <c r="O473" s="122"/>
      <c r="P473" s="122"/>
      <c r="Q473" s="122"/>
    </row>
    <row r="474" spans="2:17" ht="14.25" customHeight="1" x14ac:dyDescent="0.3">
      <c r="B474" s="23"/>
      <c r="D474" s="25"/>
      <c r="E474" s="25"/>
      <c r="M474" s="12"/>
      <c r="N474" s="122"/>
      <c r="O474" s="122"/>
      <c r="P474" s="122"/>
      <c r="Q474" s="122"/>
    </row>
    <row r="475" spans="2:17" ht="14.25" customHeight="1" x14ac:dyDescent="0.3">
      <c r="B475" s="23"/>
      <c r="D475" s="25"/>
      <c r="E475" s="25"/>
      <c r="M475" s="12"/>
      <c r="N475" s="122"/>
      <c r="O475" s="122"/>
      <c r="P475" s="122"/>
      <c r="Q475" s="122"/>
    </row>
    <row r="476" spans="2:17" ht="14.25" customHeight="1" x14ac:dyDescent="0.3">
      <c r="B476" s="23"/>
      <c r="D476" s="25"/>
      <c r="E476" s="25"/>
      <c r="M476" s="12"/>
      <c r="N476" s="122"/>
      <c r="O476" s="122"/>
      <c r="P476" s="122"/>
      <c r="Q476" s="122"/>
    </row>
    <row r="477" spans="2:17" ht="14.25" customHeight="1" x14ac:dyDescent="0.3">
      <c r="B477" s="23"/>
      <c r="D477" s="25"/>
      <c r="E477" s="25"/>
      <c r="M477" s="12"/>
      <c r="N477" s="122"/>
      <c r="O477" s="122"/>
      <c r="P477" s="122"/>
      <c r="Q477" s="122"/>
    </row>
    <row r="478" spans="2:17" ht="14.25" customHeight="1" x14ac:dyDescent="0.3">
      <c r="B478" s="23"/>
      <c r="D478" s="25"/>
      <c r="E478" s="25"/>
      <c r="M478" s="12"/>
      <c r="N478" s="122"/>
      <c r="O478" s="122"/>
      <c r="P478" s="122"/>
      <c r="Q478" s="122"/>
    </row>
    <row r="479" spans="2:17" ht="14.25" customHeight="1" x14ac:dyDescent="0.3">
      <c r="B479" s="23"/>
      <c r="D479" s="25"/>
      <c r="E479" s="25"/>
      <c r="M479" s="12"/>
      <c r="N479" s="122"/>
      <c r="O479" s="122"/>
      <c r="P479" s="122"/>
      <c r="Q479" s="122"/>
    </row>
    <row r="480" spans="2:17" ht="14.25" customHeight="1" x14ac:dyDescent="0.3">
      <c r="B480" s="23"/>
      <c r="D480" s="25"/>
      <c r="E480" s="25"/>
      <c r="M480" s="12"/>
      <c r="N480" s="122"/>
      <c r="O480" s="122"/>
      <c r="P480" s="122"/>
      <c r="Q480" s="122"/>
    </row>
    <row r="481" spans="2:17" ht="14.25" customHeight="1" x14ac:dyDescent="0.3">
      <c r="B481" s="23"/>
      <c r="D481" s="25"/>
      <c r="E481" s="25"/>
      <c r="M481" s="12"/>
      <c r="N481" s="122"/>
      <c r="O481" s="122"/>
      <c r="P481" s="122"/>
      <c r="Q481" s="122"/>
    </row>
    <row r="482" spans="2:17" ht="14.25" customHeight="1" x14ac:dyDescent="0.3">
      <c r="B482" s="23"/>
      <c r="D482" s="25"/>
      <c r="E482" s="25"/>
      <c r="M482" s="12"/>
      <c r="N482" s="122"/>
      <c r="O482" s="122"/>
      <c r="P482" s="122"/>
      <c r="Q482" s="122"/>
    </row>
    <row r="483" spans="2:17" ht="14.25" customHeight="1" x14ac:dyDescent="0.3">
      <c r="B483" s="23"/>
      <c r="D483" s="25"/>
      <c r="E483" s="25"/>
      <c r="M483" s="12"/>
      <c r="N483" s="122"/>
      <c r="O483" s="122"/>
      <c r="P483" s="122"/>
      <c r="Q483" s="122"/>
    </row>
    <row r="484" spans="2:17" ht="14.25" customHeight="1" x14ac:dyDescent="0.3">
      <c r="B484" s="23"/>
      <c r="D484" s="25"/>
      <c r="E484" s="25"/>
      <c r="M484" s="12"/>
      <c r="N484" s="122"/>
      <c r="O484" s="122"/>
      <c r="P484" s="122"/>
      <c r="Q484" s="122"/>
    </row>
    <row r="485" spans="2:17" ht="14.25" customHeight="1" x14ac:dyDescent="0.3">
      <c r="B485" s="23"/>
      <c r="D485" s="25"/>
      <c r="E485" s="25"/>
      <c r="M485" s="12"/>
      <c r="N485" s="122"/>
      <c r="O485" s="122"/>
      <c r="P485" s="122"/>
      <c r="Q485" s="122"/>
    </row>
    <row r="486" spans="2:17" ht="14.25" customHeight="1" x14ac:dyDescent="0.3">
      <c r="B486" s="23"/>
      <c r="D486" s="25"/>
      <c r="E486" s="25"/>
      <c r="M486" s="12"/>
      <c r="N486" s="122"/>
      <c r="O486" s="122"/>
      <c r="P486" s="122"/>
      <c r="Q486" s="122"/>
    </row>
    <row r="487" spans="2:17" ht="14.25" customHeight="1" x14ac:dyDescent="0.3">
      <c r="B487" s="23"/>
      <c r="D487" s="25"/>
      <c r="E487" s="25"/>
      <c r="M487" s="12"/>
      <c r="N487" s="122"/>
      <c r="O487" s="122"/>
      <c r="P487" s="122"/>
      <c r="Q487" s="122"/>
    </row>
    <row r="488" spans="2:17" ht="14.25" customHeight="1" x14ac:dyDescent="0.3">
      <c r="B488" s="23"/>
      <c r="D488" s="25"/>
      <c r="E488" s="25"/>
      <c r="M488" s="12"/>
      <c r="N488" s="122"/>
      <c r="O488" s="122"/>
      <c r="P488" s="122"/>
      <c r="Q488" s="122"/>
    </row>
    <row r="489" spans="2:17" ht="14.25" customHeight="1" x14ac:dyDescent="0.3">
      <c r="B489" s="23"/>
      <c r="D489" s="25"/>
      <c r="E489" s="25"/>
      <c r="M489" s="12"/>
      <c r="N489" s="122"/>
      <c r="O489" s="122"/>
      <c r="P489" s="122"/>
      <c r="Q489" s="122"/>
    </row>
    <row r="490" spans="2:17" ht="14.25" customHeight="1" x14ac:dyDescent="0.3">
      <c r="B490" s="23"/>
      <c r="D490" s="25"/>
      <c r="E490" s="25"/>
      <c r="M490" s="12"/>
      <c r="N490" s="122"/>
      <c r="O490" s="122"/>
      <c r="P490" s="122"/>
      <c r="Q490" s="122"/>
    </row>
    <row r="491" spans="2:17" ht="14.25" customHeight="1" x14ac:dyDescent="0.3">
      <c r="B491" s="23"/>
      <c r="D491" s="25"/>
      <c r="E491" s="25"/>
      <c r="M491" s="12"/>
      <c r="N491" s="122"/>
      <c r="O491" s="122"/>
      <c r="P491" s="122"/>
      <c r="Q491" s="122"/>
    </row>
    <row r="492" spans="2:17" ht="14.25" customHeight="1" x14ac:dyDescent="0.3">
      <c r="B492" s="23"/>
      <c r="D492" s="25"/>
      <c r="E492" s="25"/>
      <c r="M492" s="12"/>
      <c r="N492" s="122"/>
      <c r="O492" s="122"/>
      <c r="P492" s="122"/>
      <c r="Q492" s="122"/>
    </row>
    <row r="493" spans="2:17" ht="14.25" customHeight="1" x14ac:dyDescent="0.3">
      <c r="B493" s="23"/>
      <c r="D493" s="25"/>
      <c r="E493" s="25"/>
      <c r="M493" s="12"/>
      <c r="N493" s="122"/>
      <c r="O493" s="122"/>
      <c r="P493" s="122"/>
      <c r="Q493" s="122"/>
    </row>
    <row r="494" spans="2:17" ht="14.25" customHeight="1" x14ac:dyDescent="0.3">
      <c r="B494" s="23"/>
      <c r="D494" s="25"/>
      <c r="E494" s="25"/>
      <c r="M494" s="12"/>
      <c r="N494" s="122"/>
      <c r="O494" s="122"/>
      <c r="P494" s="122"/>
      <c r="Q494" s="122"/>
    </row>
    <row r="495" spans="2:17" ht="14.25" customHeight="1" x14ac:dyDescent="0.3">
      <c r="B495" s="23"/>
      <c r="D495" s="25"/>
      <c r="E495" s="25"/>
      <c r="M495" s="12"/>
      <c r="N495" s="122"/>
      <c r="O495" s="122"/>
      <c r="P495" s="122"/>
      <c r="Q495" s="122"/>
    </row>
    <row r="496" spans="2:17" ht="14.25" customHeight="1" x14ac:dyDescent="0.3">
      <c r="B496" s="23"/>
      <c r="D496" s="25"/>
      <c r="E496" s="25"/>
      <c r="M496" s="12"/>
      <c r="N496" s="122"/>
      <c r="O496" s="122"/>
      <c r="P496" s="122"/>
      <c r="Q496" s="122"/>
    </row>
    <row r="497" spans="2:17" ht="14.25" customHeight="1" x14ac:dyDescent="0.3">
      <c r="B497" s="23"/>
      <c r="D497" s="25"/>
      <c r="E497" s="25"/>
      <c r="M497" s="12"/>
      <c r="N497" s="122"/>
      <c r="O497" s="122"/>
      <c r="P497" s="122"/>
      <c r="Q497" s="122"/>
    </row>
    <row r="498" spans="2:17" ht="14.25" customHeight="1" x14ac:dyDescent="0.3">
      <c r="B498" s="23"/>
      <c r="D498" s="25"/>
      <c r="E498" s="25"/>
      <c r="M498" s="12"/>
      <c r="N498" s="122"/>
      <c r="O498" s="122"/>
      <c r="P498" s="122"/>
      <c r="Q498" s="122"/>
    </row>
    <row r="499" spans="2:17" ht="14.25" customHeight="1" x14ac:dyDescent="0.3">
      <c r="B499" s="23"/>
      <c r="D499" s="25"/>
      <c r="E499" s="25"/>
      <c r="M499" s="12"/>
      <c r="N499" s="122"/>
      <c r="O499" s="122"/>
      <c r="P499" s="122"/>
      <c r="Q499" s="122"/>
    </row>
    <row r="500" spans="2:17" ht="14.25" customHeight="1" x14ac:dyDescent="0.3">
      <c r="B500" s="23"/>
      <c r="D500" s="25"/>
      <c r="E500" s="25"/>
      <c r="M500" s="12"/>
      <c r="N500" s="122"/>
      <c r="O500" s="122"/>
      <c r="P500" s="122"/>
      <c r="Q500" s="122"/>
    </row>
    <row r="501" spans="2:17" ht="14.25" customHeight="1" x14ac:dyDescent="0.3">
      <c r="B501" s="23"/>
      <c r="D501" s="25"/>
      <c r="E501" s="25"/>
      <c r="M501" s="12"/>
      <c r="N501" s="122"/>
      <c r="O501" s="122"/>
      <c r="P501" s="122"/>
      <c r="Q501" s="122"/>
    </row>
    <row r="502" spans="2:17" ht="14.25" customHeight="1" x14ac:dyDescent="0.3">
      <c r="B502" s="23"/>
      <c r="D502" s="25"/>
      <c r="E502" s="25"/>
      <c r="M502" s="12"/>
      <c r="N502" s="122"/>
      <c r="O502" s="122"/>
      <c r="P502" s="122"/>
      <c r="Q502" s="122"/>
    </row>
    <row r="503" spans="2:17" ht="14.25" customHeight="1" x14ac:dyDescent="0.3">
      <c r="B503" s="23"/>
      <c r="D503" s="25"/>
      <c r="E503" s="25"/>
      <c r="M503" s="12"/>
      <c r="N503" s="122"/>
      <c r="O503" s="122"/>
      <c r="P503" s="122"/>
      <c r="Q503" s="122"/>
    </row>
    <row r="504" spans="2:17" ht="14.25" customHeight="1" x14ac:dyDescent="0.3">
      <c r="B504" s="23"/>
      <c r="D504" s="25"/>
      <c r="E504" s="25"/>
      <c r="M504" s="12"/>
      <c r="N504" s="122"/>
      <c r="O504" s="122"/>
      <c r="P504" s="122"/>
      <c r="Q504" s="122"/>
    </row>
    <row r="505" spans="2:17" ht="14.25" customHeight="1" x14ac:dyDescent="0.3">
      <c r="B505" s="23"/>
      <c r="D505" s="25"/>
      <c r="E505" s="25"/>
      <c r="M505" s="12"/>
      <c r="N505" s="122"/>
      <c r="O505" s="122"/>
      <c r="P505" s="122"/>
      <c r="Q505" s="122"/>
    </row>
    <row r="506" spans="2:17" ht="14.25" customHeight="1" x14ac:dyDescent="0.3">
      <c r="B506" s="23"/>
      <c r="D506" s="25"/>
      <c r="E506" s="25"/>
      <c r="M506" s="12"/>
      <c r="N506" s="122"/>
      <c r="O506" s="122"/>
      <c r="P506" s="122"/>
      <c r="Q506" s="122"/>
    </row>
    <row r="507" spans="2:17" ht="14.25" customHeight="1" x14ac:dyDescent="0.3">
      <c r="B507" s="23"/>
      <c r="D507" s="25"/>
      <c r="E507" s="25"/>
      <c r="M507" s="12"/>
      <c r="N507" s="122"/>
      <c r="O507" s="122"/>
      <c r="P507" s="122"/>
      <c r="Q507" s="122"/>
    </row>
    <row r="508" spans="2:17" ht="14.25" customHeight="1" x14ac:dyDescent="0.3">
      <c r="B508" s="23"/>
      <c r="D508" s="25"/>
      <c r="E508" s="25"/>
      <c r="M508" s="12"/>
      <c r="N508" s="122"/>
      <c r="O508" s="122"/>
      <c r="P508" s="122"/>
      <c r="Q508" s="122"/>
    </row>
    <row r="509" spans="2:17" ht="14.25" customHeight="1" x14ac:dyDescent="0.3">
      <c r="B509" s="23"/>
      <c r="D509" s="25"/>
      <c r="E509" s="25"/>
      <c r="M509" s="12"/>
      <c r="N509" s="122"/>
      <c r="O509" s="122"/>
      <c r="P509" s="122"/>
      <c r="Q509" s="122"/>
    </row>
    <row r="510" spans="2:17" ht="14.25" customHeight="1" x14ac:dyDescent="0.3">
      <c r="B510" s="23"/>
      <c r="D510" s="25"/>
      <c r="E510" s="25"/>
      <c r="M510" s="12"/>
      <c r="N510" s="122"/>
      <c r="O510" s="122"/>
      <c r="P510" s="122"/>
      <c r="Q510" s="122"/>
    </row>
    <row r="511" spans="2:17" ht="14.25" customHeight="1" x14ac:dyDescent="0.3">
      <c r="B511" s="23"/>
      <c r="D511" s="25"/>
      <c r="E511" s="25"/>
      <c r="M511" s="12"/>
      <c r="N511" s="122"/>
      <c r="O511" s="122"/>
      <c r="P511" s="122"/>
      <c r="Q511" s="122"/>
    </row>
    <row r="512" spans="2:17" ht="14.25" customHeight="1" x14ac:dyDescent="0.3">
      <c r="B512" s="23"/>
      <c r="D512" s="25"/>
      <c r="E512" s="25"/>
      <c r="M512" s="12"/>
      <c r="N512" s="122"/>
      <c r="O512" s="122"/>
      <c r="P512" s="122"/>
      <c r="Q512" s="122"/>
    </row>
    <row r="513" spans="2:17" ht="14.25" customHeight="1" x14ac:dyDescent="0.3">
      <c r="B513" s="23"/>
      <c r="D513" s="25"/>
      <c r="E513" s="25"/>
      <c r="M513" s="12"/>
      <c r="N513" s="122"/>
      <c r="O513" s="122"/>
      <c r="P513" s="122"/>
      <c r="Q513" s="122"/>
    </row>
    <row r="514" spans="2:17" ht="14.25" customHeight="1" x14ac:dyDescent="0.3">
      <c r="B514" s="23"/>
      <c r="D514" s="25"/>
      <c r="E514" s="25"/>
      <c r="M514" s="12"/>
      <c r="N514" s="122"/>
      <c r="O514" s="122"/>
      <c r="P514" s="122"/>
      <c r="Q514" s="122"/>
    </row>
    <row r="515" spans="2:17" ht="14.25" customHeight="1" x14ac:dyDescent="0.3">
      <c r="B515" s="23"/>
      <c r="D515" s="25"/>
      <c r="E515" s="25"/>
      <c r="M515" s="12"/>
      <c r="N515" s="122"/>
      <c r="O515" s="122"/>
      <c r="P515" s="122"/>
      <c r="Q515" s="122"/>
    </row>
    <row r="516" spans="2:17" ht="14.25" customHeight="1" x14ac:dyDescent="0.3">
      <c r="B516" s="23"/>
      <c r="D516" s="25"/>
      <c r="E516" s="25"/>
      <c r="M516" s="12"/>
      <c r="N516" s="122"/>
      <c r="O516" s="122"/>
      <c r="P516" s="122"/>
      <c r="Q516" s="122"/>
    </row>
    <row r="517" spans="2:17" ht="14.25" customHeight="1" x14ac:dyDescent="0.3">
      <c r="B517" s="23"/>
      <c r="D517" s="25"/>
      <c r="E517" s="25"/>
      <c r="M517" s="12"/>
      <c r="N517" s="122"/>
      <c r="O517" s="122"/>
      <c r="P517" s="122"/>
      <c r="Q517" s="122"/>
    </row>
    <row r="518" spans="2:17" ht="14.25" customHeight="1" x14ac:dyDescent="0.3">
      <c r="B518" s="23"/>
      <c r="D518" s="25"/>
      <c r="E518" s="25"/>
      <c r="M518" s="12"/>
      <c r="N518" s="122"/>
      <c r="O518" s="122"/>
      <c r="P518" s="122"/>
      <c r="Q518" s="122"/>
    </row>
    <row r="519" spans="2:17" ht="14.25" customHeight="1" x14ac:dyDescent="0.3">
      <c r="B519" s="23"/>
      <c r="D519" s="25"/>
      <c r="E519" s="25"/>
      <c r="M519" s="12"/>
      <c r="N519" s="122"/>
      <c r="O519" s="122"/>
      <c r="P519" s="122"/>
      <c r="Q519" s="122"/>
    </row>
    <row r="520" spans="2:17" ht="14.25" customHeight="1" x14ac:dyDescent="0.3">
      <c r="B520" s="23"/>
      <c r="D520" s="25"/>
      <c r="E520" s="25"/>
      <c r="M520" s="12"/>
      <c r="N520" s="122"/>
      <c r="O520" s="122"/>
      <c r="P520" s="122"/>
      <c r="Q520" s="122"/>
    </row>
    <row r="521" spans="2:17" ht="14.25" customHeight="1" x14ac:dyDescent="0.3">
      <c r="B521" s="23"/>
      <c r="D521" s="25"/>
      <c r="E521" s="25"/>
      <c r="M521" s="12"/>
      <c r="N521" s="122"/>
      <c r="O521" s="122"/>
      <c r="P521" s="122"/>
      <c r="Q521" s="122"/>
    </row>
    <row r="522" spans="2:17" ht="14.25" customHeight="1" x14ac:dyDescent="0.3">
      <c r="B522" s="23"/>
      <c r="D522" s="25"/>
      <c r="E522" s="25"/>
      <c r="M522" s="12"/>
      <c r="N522" s="122"/>
      <c r="O522" s="122"/>
      <c r="P522" s="122"/>
      <c r="Q522" s="122"/>
    </row>
    <row r="523" spans="2:17" ht="14.25" customHeight="1" x14ac:dyDescent="0.3">
      <c r="B523" s="23"/>
      <c r="D523" s="25"/>
      <c r="E523" s="25"/>
      <c r="M523" s="12"/>
      <c r="N523" s="122"/>
      <c r="O523" s="122"/>
      <c r="P523" s="122"/>
      <c r="Q523" s="122"/>
    </row>
    <row r="524" spans="2:17" ht="14.25" customHeight="1" x14ac:dyDescent="0.3">
      <c r="B524" s="23"/>
      <c r="D524" s="25"/>
      <c r="E524" s="25"/>
      <c r="M524" s="12"/>
      <c r="N524" s="122"/>
      <c r="O524" s="122"/>
      <c r="P524" s="122"/>
      <c r="Q524" s="122"/>
    </row>
    <row r="525" spans="2:17" ht="14.25" customHeight="1" x14ac:dyDescent="0.3">
      <c r="B525" s="23"/>
      <c r="D525" s="25"/>
      <c r="E525" s="25"/>
      <c r="M525" s="12"/>
      <c r="N525" s="122"/>
      <c r="O525" s="122"/>
      <c r="P525" s="122"/>
      <c r="Q525" s="122"/>
    </row>
    <row r="526" spans="2:17" ht="14.25" customHeight="1" x14ac:dyDescent="0.3">
      <c r="B526" s="23"/>
      <c r="D526" s="25"/>
      <c r="E526" s="25"/>
      <c r="M526" s="12"/>
      <c r="N526" s="122"/>
      <c r="O526" s="122"/>
      <c r="P526" s="122"/>
      <c r="Q526" s="122"/>
    </row>
    <row r="527" spans="2:17" ht="14.25" customHeight="1" x14ac:dyDescent="0.3">
      <c r="B527" s="23"/>
      <c r="D527" s="25"/>
      <c r="E527" s="25"/>
      <c r="M527" s="12"/>
      <c r="N527" s="122"/>
      <c r="O527" s="122"/>
      <c r="P527" s="122"/>
      <c r="Q527" s="122"/>
    </row>
    <row r="528" spans="2:17" ht="14.25" customHeight="1" x14ac:dyDescent="0.3">
      <c r="B528" s="23"/>
      <c r="D528" s="25"/>
      <c r="E528" s="25"/>
      <c r="M528" s="12"/>
      <c r="N528" s="122"/>
      <c r="O528" s="122"/>
      <c r="P528" s="122"/>
      <c r="Q528" s="122"/>
    </row>
    <row r="529" spans="2:17" ht="14.25" customHeight="1" x14ac:dyDescent="0.3">
      <c r="B529" s="23"/>
      <c r="D529" s="25"/>
      <c r="E529" s="25"/>
      <c r="M529" s="12"/>
      <c r="N529" s="122"/>
      <c r="O529" s="122"/>
      <c r="P529" s="122"/>
      <c r="Q529" s="122"/>
    </row>
    <row r="530" spans="2:17" ht="14.25" customHeight="1" x14ac:dyDescent="0.3">
      <c r="B530" s="23"/>
      <c r="D530" s="25"/>
      <c r="E530" s="25"/>
      <c r="M530" s="12"/>
      <c r="N530" s="122"/>
      <c r="O530" s="122"/>
      <c r="P530" s="122"/>
      <c r="Q530" s="122"/>
    </row>
    <row r="531" spans="2:17" ht="14.25" customHeight="1" x14ac:dyDescent="0.3">
      <c r="B531" s="23"/>
      <c r="D531" s="25"/>
      <c r="E531" s="25"/>
      <c r="M531" s="12"/>
      <c r="N531" s="122"/>
      <c r="O531" s="122"/>
      <c r="P531" s="122"/>
      <c r="Q531" s="122"/>
    </row>
    <row r="532" spans="2:17" ht="14.25" customHeight="1" x14ac:dyDescent="0.3">
      <c r="B532" s="23"/>
      <c r="D532" s="25"/>
      <c r="E532" s="25"/>
      <c r="M532" s="12"/>
      <c r="N532" s="122"/>
      <c r="O532" s="122"/>
      <c r="P532" s="122"/>
      <c r="Q532" s="122"/>
    </row>
    <row r="533" spans="2:17" ht="14.25" customHeight="1" x14ac:dyDescent="0.3">
      <c r="B533" s="23"/>
      <c r="D533" s="25"/>
      <c r="E533" s="25"/>
      <c r="M533" s="12"/>
      <c r="N533" s="122"/>
      <c r="O533" s="122"/>
      <c r="P533" s="122"/>
      <c r="Q533" s="122"/>
    </row>
    <row r="534" spans="2:17" ht="14.25" customHeight="1" x14ac:dyDescent="0.3">
      <c r="B534" s="23"/>
      <c r="D534" s="25"/>
      <c r="E534" s="25"/>
      <c r="M534" s="12"/>
      <c r="N534" s="122"/>
      <c r="O534" s="122"/>
      <c r="P534" s="122"/>
      <c r="Q534" s="122"/>
    </row>
    <row r="535" spans="2:17" ht="14.25" customHeight="1" x14ac:dyDescent="0.3">
      <c r="B535" s="23"/>
      <c r="D535" s="25"/>
      <c r="E535" s="25"/>
      <c r="M535" s="12"/>
      <c r="N535" s="122"/>
      <c r="O535" s="122"/>
      <c r="P535" s="122"/>
      <c r="Q535" s="122"/>
    </row>
    <row r="536" spans="2:17" ht="14.25" customHeight="1" x14ac:dyDescent="0.3">
      <c r="B536" s="23"/>
      <c r="D536" s="25"/>
      <c r="E536" s="25"/>
      <c r="M536" s="12"/>
      <c r="N536" s="122"/>
      <c r="O536" s="122"/>
      <c r="P536" s="122"/>
      <c r="Q536" s="122"/>
    </row>
    <row r="537" spans="2:17" ht="14.25" customHeight="1" x14ac:dyDescent="0.3">
      <c r="B537" s="23"/>
      <c r="D537" s="25"/>
      <c r="E537" s="25"/>
      <c r="M537" s="12"/>
      <c r="N537" s="122"/>
      <c r="O537" s="122"/>
      <c r="P537" s="122"/>
      <c r="Q537" s="122"/>
    </row>
    <row r="538" spans="2:17" ht="14.25" customHeight="1" x14ac:dyDescent="0.3">
      <c r="B538" s="23"/>
      <c r="D538" s="25"/>
      <c r="E538" s="25"/>
      <c r="M538" s="12"/>
      <c r="N538" s="122"/>
      <c r="O538" s="122"/>
      <c r="P538" s="122"/>
      <c r="Q538" s="122"/>
    </row>
    <row r="539" spans="2:17" ht="14.25" customHeight="1" x14ac:dyDescent="0.3">
      <c r="B539" s="23"/>
      <c r="D539" s="25"/>
      <c r="E539" s="25"/>
      <c r="M539" s="12"/>
      <c r="N539" s="122"/>
      <c r="O539" s="122"/>
      <c r="P539" s="122"/>
      <c r="Q539" s="122"/>
    </row>
    <row r="540" spans="2:17" ht="14.25" customHeight="1" x14ac:dyDescent="0.3">
      <c r="B540" s="23"/>
      <c r="D540" s="25"/>
      <c r="E540" s="25"/>
      <c r="M540" s="12"/>
      <c r="N540" s="122"/>
      <c r="O540" s="122"/>
      <c r="P540" s="122"/>
      <c r="Q540" s="122"/>
    </row>
    <row r="541" spans="2:17" ht="14.25" customHeight="1" x14ac:dyDescent="0.3">
      <c r="B541" s="23"/>
      <c r="D541" s="25"/>
      <c r="E541" s="25"/>
      <c r="M541" s="12"/>
      <c r="N541" s="122"/>
      <c r="O541" s="122"/>
      <c r="P541" s="122"/>
      <c r="Q541" s="122"/>
    </row>
    <row r="542" spans="2:17" ht="14.25" customHeight="1" x14ac:dyDescent="0.3">
      <c r="B542" s="23"/>
      <c r="D542" s="25"/>
      <c r="E542" s="25"/>
      <c r="M542" s="12"/>
      <c r="N542" s="122"/>
      <c r="O542" s="122"/>
      <c r="P542" s="122"/>
      <c r="Q542" s="122"/>
    </row>
    <row r="543" spans="2:17" ht="14.25" customHeight="1" x14ac:dyDescent="0.3">
      <c r="B543" s="23"/>
      <c r="D543" s="25"/>
      <c r="E543" s="25"/>
      <c r="M543" s="12"/>
      <c r="N543" s="122"/>
      <c r="O543" s="122"/>
      <c r="P543" s="122"/>
      <c r="Q543" s="122"/>
    </row>
    <row r="544" spans="2:17" ht="14.25" customHeight="1" x14ac:dyDescent="0.3">
      <c r="B544" s="23"/>
      <c r="D544" s="25"/>
      <c r="E544" s="25"/>
      <c r="M544" s="12"/>
      <c r="N544" s="122"/>
      <c r="O544" s="122"/>
      <c r="P544" s="122"/>
      <c r="Q544" s="122"/>
    </row>
    <row r="545" spans="2:17" ht="14.25" customHeight="1" x14ac:dyDescent="0.3">
      <c r="B545" s="23"/>
      <c r="D545" s="25"/>
      <c r="E545" s="25"/>
      <c r="M545" s="12"/>
      <c r="N545" s="122"/>
      <c r="O545" s="122"/>
      <c r="P545" s="122"/>
      <c r="Q545" s="122"/>
    </row>
    <row r="546" spans="2:17" ht="14.25" customHeight="1" x14ac:dyDescent="0.3">
      <c r="B546" s="23"/>
      <c r="D546" s="25"/>
      <c r="E546" s="25"/>
      <c r="M546" s="12"/>
      <c r="N546" s="122"/>
      <c r="O546" s="122"/>
      <c r="P546" s="122"/>
      <c r="Q546" s="122"/>
    </row>
    <row r="547" spans="2:17" ht="14.25" customHeight="1" x14ac:dyDescent="0.3">
      <c r="B547" s="23"/>
      <c r="D547" s="25"/>
      <c r="E547" s="25"/>
      <c r="M547" s="12"/>
      <c r="N547" s="122"/>
      <c r="O547" s="122"/>
      <c r="P547" s="122"/>
      <c r="Q547" s="122"/>
    </row>
    <row r="548" spans="2:17" ht="14.25" customHeight="1" x14ac:dyDescent="0.3">
      <c r="B548" s="23"/>
      <c r="D548" s="25"/>
      <c r="E548" s="25"/>
      <c r="M548" s="12"/>
      <c r="N548" s="122"/>
      <c r="O548" s="122"/>
      <c r="P548" s="122"/>
      <c r="Q548" s="122"/>
    </row>
    <row r="549" spans="2:17" ht="14.25" customHeight="1" x14ac:dyDescent="0.3">
      <c r="B549" s="23"/>
      <c r="D549" s="25"/>
      <c r="E549" s="25"/>
      <c r="M549" s="12"/>
      <c r="N549" s="122"/>
      <c r="O549" s="122"/>
      <c r="P549" s="122"/>
      <c r="Q549" s="122"/>
    </row>
    <row r="550" spans="2:17" ht="14.25" customHeight="1" x14ac:dyDescent="0.3">
      <c r="B550" s="23"/>
      <c r="D550" s="25"/>
      <c r="E550" s="25"/>
      <c r="M550" s="12"/>
      <c r="N550" s="122"/>
      <c r="O550" s="122"/>
      <c r="P550" s="122"/>
      <c r="Q550" s="122"/>
    </row>
    <row r="551" spans="2:17" ht="14.25" customHeight="1" x14ac:dyDescent="0.3">
      <c r="B551" s="23"/>
      <c r="D551" s="25"/>
      <c r="E551" s="25"/>
      <c r="M551" s="12"/>
      <c r="N551" s="122"/>
      <c r="O551" s="122"/>
      <c r="P551" s="122"/>
      <c r="Q551" s="122"/>
    </row>
    <row r="552" spans="2:17" ht="14.25" customHeight="1" x14ac:dyDescent="0.3">
      <c r="B552" s="23"/>
      <c r="D552" s="25"/>
      <c r="E552" s="25"/>
      <c r="M552" s="12"/>
      <c r="N552" s="122"/>
      <c r="O552" s="122"/>
      <c r="P552" s="122"/>
      <c r="Q552" s="122"/>
    </row>
    <row r="553" spans="2:17" ht="14.25" customHeight="1" x14ac:dyDescent="0.3">
      <c r="B553" s="23"/>
      <c r="D553" s="25"/>
      <c r="E553" s="25"/>
      <c r="M553" s="12"/>
      <c r="N553" s="122"/>
      <c r="O553" s="122"/>
      <c r="P553" s="122"/>
      <c r="Q553" s="122"/>
    </row>
    <row r="554" spans="2:17" ht="14.25" customHeight="1" x14ac:dyDescent="0.3">
      <c r="B554" s="23"/>
      <c r="D554" s="25"/>
      <c r="E554" s="25"/>
      <c r="M554" s="12"/>
      <c r="N554" s="122"/>
      <c r="O554" s="122"/>
      <c r="P554" s="122"/>
      <c r="Q554" s="122"/>
    </row>
    <row r="555" spans="2:17" ht="14.25" customHeight="1" x14ac:dyDescent="0.3">
      <c r="B555" s="23"/>
      <c r="D555" s="25"/>
      <c r="E555" s="25"/>
      <c r="M555" s="12"/>
      <c r="N555" s="122"/>
      <c r="O555" s="122"/>
      <c r="P555" s="122"/>
      <c r="Q555" s="122"/>
    </row>
    <row r="556" spans="2:17" ht="14.25" customHeight="1" x14ac:dyDescent="0.3">
      <c r="B556" s="23"/>
      <c r="D556" s="25"/>
      <c r="E556" s="25"/>
      <c r="M556" s="12"/>
      <c r="N556" s="122"/>
      <c r="O556" s="122"/>
      <c r="P556" s="122"/>
      <c r="Q556" s="122"/>
    </row>
    <row r="557" spans="2:17" ht="14.25" customHeight="1" x14ac:dyDescent="0.3">
      <c r="B557" s="23"/>
      <c r="D557" s="25"/>
      <c r="E557" s="25"/>
      <c r="M557" s="12"/>
      <c r="N557" s="122"/>
      <c r="O557" s="122"/>
      <c r="P557" s="122"/>
      <c r="Q557" s="122"/>
    </row>
    <row r="558" spans="2:17" ht="14.25" customHeight="1" x14ac:dyDescent="0.3">
      <c r="B558" s="23"/>
      <c r="D558" s="25"/>
      <c r="E558" s="25"/>
      <c r="M558" s="12"/>
      <c r="N558" s="122"/>
      <c r="O558" s="122"/>
      <c r="P558" s="122"/>
      <c r="Q558" s="122"/>
    </row>
    <row r="559" spans="2:17" ht="14.25" customHeight="1" x14ac:dyDescent="0.3">
      <c r="B559" s="23"/>
      <c r="D559" s="25"/>
      <c r="E559" s="25"/>
      <c r="M559" s="12"/>
      <c r="N559" s="122"/>
      <c r="O559" s="122"/>
      <c r="P559" s="122"/>
      <c r="Q559" s="122"/>
    </row>
    <row r="560" spans="2:17" ht="14.25" customHeight="1" x14ac:dyDescent="0.3">
      <c r="B560" s="23"/>
      <c r="D560" s="25"/>
      <c r="E560" s="25"/>
      <c r="M560" s="12"/>
      <c r="N560" s="122"/>
      <c r="O560" s="122"/>
      <c r="P560" s="122"/>
      <c r="Q560" s="122"/>
    </row>
    <row r="561" spans="2:17" ht="14.25" customHeight="1" x14ac:dyDescent="0.3">
      <c r="B561" s="23"/>
      <c r="D561" s="25"/>
      <c r="E561" s="25"/>
      <c r="M561" s="12"/>
      <c r="N561" s="122"/>
      <c r="O561" s="122"/>
      <c r="P561" s="122"/>
      <c r="Q561" s="122"/>
    </row>
    <row r="562" spans="2:17" ht="14.25" customHeight="1" x14ac:dyDescent="0.3">
      <c r="B562" s="23"/>
      <c r="D562" s="25"/>
      <c r="E562" s="25"/>
      <c r="M562" s="12"/>
      <c r="N562" s="122"/>
      <c r="O562" s="122"/>
      <c r="P562" s="122"/>
      <c r="Q562" s="122"/>
    </row>
    <row r="563" spans="2:17" ht="14.25" customHeight="1" x14ac:dyDescent="0.3">
      <c r="B563" s="23"/>
      <c r="D563" s="25"/>
      <c r="E563" s="25"/>
      <c r="M563" s="12"/>
      <c r="N563" s="122"/>
      <c r="O563" s="122"/>
      <c r="P563" s="122"/>
      <c r="Q563" s="122"/>
    </row>
    <row r="564" spans="2:17" ht="14.25" customHeight="1" x14ac:dyDescent="0.3">
      <c r="B564" s="23"/>
      <c r="D564" s="25"/>
      <c r="E564" s="25"/>
      <c r="M564" s="12"/>
      <c r="N564" s="122"/>
      <c r="O564" s="122"/>
      <c r="P564" s="122"/>
      <c r="Q564" s="122"/>
    </row>
    <row r="565" spans="2:17" ht="14.25" customHeight="1" x14ac:dyDescent="0.3">
      <c r="B565" s="23"/>
      <c r="D565" s="25"/>
      <c r="E565" s="25"/>
      <c r="M565" s="12"/>
      <c r="N565" s="122"/>
      <c r="O565" s="122"/>
      <c r="P565" s="122"/>
      <c r="Q565" s="122"/>
    </row>
    <row r="566" spans="2:17" ht="14.25" customHeight="1" x14ac:dyDescent="0.3">
      <c r="B566" s="23"/>
      <c r="D566" s="25"/>
      <c r="E566" s="25"/>
      <c r="M566" s="12"/>
      <c r="N566" s="122"/>
      <c r="O566" s="122"/>
      <c r="P566" s="122"/>
      <c r="Q566" s="122"/>
    </row>
    <row r="567" spans="2:17" ht="14.25" customHeight="1" x14ac:dyDescent="0.3">
      <c r="B567" s="23"/>
      <c r="D567" s="25"/>
      <c r="E567" s="25"/>
      <c r="M567" s="12"/>
      <c r="N567" s="122"/>
      <c r="O567" s="122"/>
      <c r="P567" s="122"/>
      <c r="Q567" s="122"/>
    </row>
    <row r="568" spans="2:17" ht="14.25" customHeight="1" x14ac:dyDescent="0.3">
      <c r="B568" s="23"/>
      <c r="D568" s="25"/>
      <c r="E568" s="25"/>
      <c r="M568" s="12"/>
      <c r="N568" s="122"/>
      <c r="O568" s="122"/>
      <c r="P568" s="122"/>
      <c r="Q568" s="122"/>
    </row>
    <row r="569" spans="2:17" ht="14.25" customHeight="1" x14ac:dyDescent="0.3">
      <c r="B569" s="23"/>
      <c r="D569" s="25"/>
      <c r="E569" s="25"/>
      <c r="M569" s="12"/>
      <c r="N569" s="122"/>
      <c r="O569" s="122"/>
      <c r="P569" s="122"/>
      <c r="Q569" s="122"/>
    </row>
    <row r="570" spans="2:17" ht="14.25" customHeight="1" x14ac:dyDescent="0.3">
      <c r="B570" s="23"/>
      <c r="D570" s="25"/>
      <c r="E570" s="25"/>
      <c r="M570" s="12"/>
      <c r="N570" s="122"/>
      <c r="O570" s="122"/>
      <c r="P570" s="122"/>
      <c r="Q570" s="122"/>
    </row>
    <row r="571" spans="2:17" ht="14.25" customHeight="1" x14ac:dyDescent="0.3">
      <c r="B571" s="23"/>
      <c r="D571" s="25"/>
      <c r="E571" s="25"/>
      <c r="M571" s="12"/>
      <c r="N571" s="122"/>
      <c r="O571" s="122"/>
      <c r="P571" s="122"/>
      <c r="Q571" s="122"/>
    </row>
    <row r="572" spans="2:17" ht="14.25" customHeight="1" x14ac:dyDescent="0.3">
      <c r="B572" s="23"/>
      <c r="D572" s="25"/>
      <c r="E572" s="25"/>
      <c r="M572" s="12"/>
      <c r="N572" s="122"/>
      <c r="O572" s="122"/>
      <c r="P572" s="122"/>
      <c r="Q572" s="122"/>
    </row>
    <row r="573" spans="2:17" ht="14.25" customHeight="1" x14ac:dyDescent="0.3">
      <c r="B573" s="23"/>
      <c r="D573" s="25"/>
      <c r="E573" s="25"/>
      <c r="M573" s="12"/>
      <c r="N573" s="122"/>
      <c r="O573" s="122"/>
      <c r="P573" s="122"/>
      <c r="Q573" s="122"/>
    </row>
    <row r="574" spans="2:17" ht="14.25" customHeight="1" x14ac:dyDescent="0.3">
      <c r="B574" s="23"/>
      <c r="D574" s="25"/>
      <c r="E574" s="25"/>
      <c r="M574" s="12"/>
      <c r="N574" s="122"/>
      <c r="O574" s="122"/>
      <c r="P574" s="122"/>
      <c r="Q574" s="122"/>
    </row>
    <row r="575" spans="2:17" ht="14.25" customHeight="1" x14ac:dyDescent="0.3">
      <c r="B575" s="23"/>
      <c r="D575" s="25"/>
      <c r="E575" s="25"/>
      <c r="M575" s="12"/>
      <c r="N575" s="122"/>
      <c r="O575" s="122"/>
      <c r="P575" s="122"/>
      <c r="Q575" s="122"/>
    </row>
    <row r="576" spans="2:17" ht="14.25" customHeight="1" x14ac:dyDescent="0.3">
      <c r="B576" s="23"/>
      <c r="D576" s="25"/>
      <c r="E576" s="25"/>
      <c r="M576" s="12"/>
      <c r="N576" s="122"/>
      <c r="O576" s="122"/>
      <c r="P576" s="122"/>
      <c r="Q576" s="122"/>
    </row>
    <row r="577" spans="2:17" ht="14.25" customHeight="1" x14ac:dyDescent="0.3">
      <c r="B577" s="23"/>
      <c r="D577" s="25"/>
      <c r="E577" s="25"/>
      <c r="M577" s="12"/>
      <c r="N577" s="122"/>
      <c r="O577" s="122"/>
      <c r="P577" s="122"/>
      <c r="Q577" s="122"/>
    </row>
    <row r="578" spans="2:17" ht="14.25" customHeight="1" x14ac:dyDescent="0.3">
      <c r="B578" s="23"/>
      <c r="D578" s="25"/>
      <c r="E578" s="25"/>
      <c r="M578" s="12"/>
      <c r="N578" s="122"/>
      <c r="O578" s="122"/>
      <c r="P578" s="122"/>
      <c r="Q578" s="122"/>
    </row>
    <row r="579" spans="2:17" ht="14.25" customHeight="1" x14ac:dyDescent="0.3">
      <c r="B579" s="23"/>
      <c r="D579" s="25"/>
      <c r="E579" s="25"/>
      <c r="M579" s="12"/>
      <c r="N579" s="122"/>
      <c r="O579" s="122"/>
      <c r="P579" s="122"/>
      <c r="Q579" s="122"/>
    </row>
    <row r="580" spans="2:17" ht="14.25" customHeight="1" x14ac:dyDescent="0.3">
      <c r="B580" s="23"/>
      <c r="D580" s="25"/>
      <c r="E580" s="25"/>
      <c r="M580" s="12"/>
      <c r="N580" s="122"/>
      <c r="O580" s="122"/>
      <c r="P580" s="122"/>
      <c r="Q580" s="122"/>
    </row>
    <row r="581" spans="2:17" ht="14.25" customHeight="1" x14ac:dyDescent="0.3">
      <c r="B581" s="23"/>
      <c r="D581" s="25"/>
      <c r="E581" s="25"/>
      <c r="M581" s="12"/>
      <c r="N581" s="122"/>
      <c r="O581" s="122"/>
      <c r="P581" s="122"/>
      <c r="Q581" s="122"/>
    </row>
    <row r="582" spans="2:17" ht="14.25" customHeight="1" x14ac:dyDescent="0.3">
      <c r="B582" s="23"/>
      <c r="D582" s="25"/>
      <c r="E582" s="25"/>
      <c r="M582" s="12"/>
      <c r="N582" s="122"/>
      <c r="O582" s="122"/>
      <c r="P582" s="122"/>
      <c r="Q582" s="122"/>
    </row>
    <row r="583" spans="2:17" ht="14.25" customHeight="1" x14ac:dyDescent="0.3">
      <c r="B583" s="23"/>
      <c r="D583" s="25"/>
      <c r="E583" s="25"/>
      <c r="M583" s="12"/>
      <c r="N583" s="122"/>
      <c r="O583" s="122"/>
      <c r="P583" s="122"/>
      <c r="Q583" s="122"/>
    </row>
    <row r="584" spans="2:17" ht="14.25" customHeight="1" x14ac:dyDescent="0.3">
      <c r="B584" s="23"/>
      <c r="D584" s="25"/>
      <c r="E584" s="25"/>
      <c r="M584" s="12"/>
      <c r="N584" s="122"/>
      <c r="O584" s="122"/>
      <c r="P584" s="122"/>
      <c r="Q584" s="122"/>
    </row>
    <row r="585" spans="2:17" ht="14.25" customHeight="1" x14ac:dyDescent="0.3">
      <c r="B585" s="23"/>
      <c r="D585" s="25"/>
      <c r="E585" s="25"/>
      <c r="M585" s="12"/>
      <c r="N585" s="122"/>
      <c r="O585" s="122"/>
      <c r="P585" s="122"/>
      <c r="Q585" s="122"/>
    </row>
    <row r="586" spans="2:17" ht="14.25" customHeight="1" x14ac:dyDescent="0.3">
      <c r="B586" s="23"/>
      <c r="D586" s="25"/>
      <c r="E586" s="25"/>
      <c r="M586" s="12"/>
      <c r="N586" s="122"/>
      <c r="O586" s="122"/>
      <c r="P586" s="122"/>
      <c r="Q586" s="122"/>
    </row>
    <row r="587" spans="2:17" ht="14.25" customHeight="1" x14ac:dyDescent="0.3">
      <c r="B587" s="23"/>
      <c r="D587" s="25"/>
      <c r="E587" s="25"/>
      <c r="M587" s="12"/>
      <c r="N587" s="122"/>
      <c r="O587" s="122"/>
      <c r="P587" s="122"/>
      <c r="Q587" s="122"/>
    </row>
    <row r="588" spans="2:17" ht="14.25" customHeight="1" x14ac:dyDescent="0.3">
      <c r="B588" s="23"/>
      <c r="D588" s="25"/>
      <c r="E588" s="25"/>
      <c r="M588" s="12"/>
      <c r="N588" s="122"/>
      <c r="O588" s="122"/>
      <c r="P588" s="122"/>
      <c r="Q588" s="122"/>
    </row>
    <row r="589" spans="2:17" ht="14.25" customHeight="1" x14ac:dyDescent="0.3">
      <c r="B589" s="23"/>
      <c r="D589" s="25"/>
      <c r="E589" s="25"/>
      <c r="M589" s="12"/>
      <c r="N589" s="122"/>
      <c r="O589" s="122"/>
      <c r="P589" s="122"/>
      <c r="Q589" s="122"/>
    </row>
    <row r="590" spans="2:17" ht="14.25" customHeight="1" x14ac:dyDescent="0.3">
      <c r="B590" s="23"/>
      <c r="D590" s="25"/>
      <c r="E590" s="25"/>
      <c r="M590" s="12"/>
      <c r="N590" s="122"/>
      <c r="O590" s="122"/>
      <c r="P590" s="122"/>
      <c r="Q590" s="122"/>
    </row>
    <row r="591" spans="2:17" ht="14.25" customHeight="1" x14ac:dyDescent="0.3">
      <c r="B591" s="23"/>
      <c r="D591" s="25"/>
      <c r="E591" s="25"/>
      <c r="M591" s="12"/>
      <c r="N591" s="122"/>
      <c r="O591" s="122"/>
      <c r="P591" s="122"/>
      <c r="Q591" s="122"/>
    </row>
    <row r="592" spans="2:17" ht="14.25" customHeight="1" x14ac:dyDescent="0.3">
      <c r="B592" s="23"/>
      <c r="D592" s="25"/>
      <c r="E592" s="25"/>
      <c r="M592" s="12"/>
      <c r="N592" s="122"/>
      <c r="O592" s="122"/>
      <c r="P592" s="122"/>
      <c r="Q592" s="122"/>
    </row>
    <row r="593" spans="2:17" ht="14.25" customHeight="1" x14ac:dyDescent="0.3">
      <c r="B593" s="23"/>
      <c r="D593" s="25"/>
      <c r="E593" s="25"/>
      <c r="M593" s="12"/>
      <c r="N593" s="122"/>
      <c r="O593" s="122"/>
      <c r="P593" s="122"/>
      <c r="Q593" s="122"/>
    </row>
    <row r="594" spans="2:17" ht="14.25" customHeight="1" x14ac:dyDescent="0.3">
      <c r="B594" s="23"/>
      <c r="D594" s="25"/>
      <c r="E594" s="25"/>
      <c r="M594" s="12"/>
      <c r="N594" s="122"/>
      <c r="O594" s="122"/>
      <c r="P594" s="122"/>
      <c r="Q594" s="122"/>
    </row>
    <row r="595" spans="2:17" ht="14.25" customHeight="1" x14ac:dyDescent="0.3">
      <c r="B595" s="23"/>
      <c r="D595" s="25"/>
      <c r="E595" s="25"/>
      <c r="M595" s="12"/>
      <c r="N595" s="122"/>
      <c r="O595" s="122"/>
      <c r="P595" s="122"/>
      <c r="Q595" s="122"/>
    </row>
    <row r="596" spans="2:17" ht="14.25" customHeight="1" x14ac:dyDescent="0.3">
      <c r="B596" s="23"/>
      <c r="D596" s="25"/>
      <c r="E596" s="25"/>
      <c r="M596" s="12"/>
      <c r="N596" s="122"/>
      <c r="O596" s="122"/>
      <c r="P596" s="122"/>
      <c r="Q596" s="122"/>
    </row>
    <row r="597" spans="2:17" ht="14.25" customHeight="1" x14ac:dyDescent="0.3">
      <c r="B597" s="23"/>
      <c r="D597" s="25"/>
      <c r="E597" s="25"/>
      <c r="M597" s="12"/>
      <c r="N597" s="122"/>
      <c r="O597" s="122"/>
      <c r="P597" s="122"/>
      <c r="Q597" s="122"/>
    </row>
    <row r="598" spans="2:17" ht="14.25" customHeight="1" x14ac:dyDescent="0.3">
      <c r="B598" s="23"/>
      <c r="D598" s="25"/>
      <c r="E598" s="25"/>
      <c r="M598" s="12"/>
      <c r="N598" s="122"/>
      <c r="O598" s="122"/>
      <c r="P598" s="122"/>
      <c r="Q598" s="122"/>
    </row>
    <row r="599" spans="2:17" ht="14.25" customHeight="1" x14ac:dyDescent="0.3">
      <c r="B599" s="23"/>
      <c r="D599" s="25"/>
      <c r="E599" s="25"/>
      <c r="M599" s="12"/>
      <c r="N599" s="122"/>
      <c r="O599" s="122"/>
      <c r="P599" s="122"/>
      <c r="Q599" s="122"/>
    </row>
    <row r="600" spans="2:17" ht="14.25" customHeight="1" x14ac:dyDescent="0.3">
      <c r="B600" s="23"/>
      <c r="D600" s="25"/>
      <c r="E600" s="25"/>
      <c r="M600" s="12"/>
      <c r="N600" s="122"/>
      <c r="O600" s="122"/>
      <c r="P600" s="122"/>
      <c r="Q600" s="122"/>
    </row>
    <row r="601" spans="2:17" ht="14.25" customHeight="1" x14ac:dyDescent="0.3">
      <c r="B601" s="23"/>
      <c r="D601" s="25"/>
      <c r="E601" s="25"/>
      <c r="M601" s="12"/>
      <c r="N601" s="122"/>
      <c r="O601" s="122"/>
      <c r="P601" s="122"/>
      <c r="Q601" s="122"/>
    </row>
    <row r="602" spans="2:17" ht="14.25" customHeight="1" x14ac:dyDescent="0.3">
      <c r="B602" s="23"/>
      <c r="D602" s="25"/>
      <c r="E602" s="25"/>
      <c r="M602" s="12"/>
      <c r="N602" s="122"/>
      <c r="O602" s="122"/>
      <c r="P602" s="122"/>
      <c r="Q602" s="122"/>
    </row>
    <row r="603" spans="2:17" ht="14.25" customHeight="1" x14ac:dyDescent="0.3">
      <c r="B603" s="23"/>
      <c r="D603" s="25"/>
      <c r="E603" s="25"/>
      <c r="M603" s="12"/>
      <c r="N603" s="122"/>
      <c r="O603" s="122"/>
      <c r="P603" s="122"/>
      <c r="Q603" s="122"/>
    </row>
    <row r="604" spans="2:17" ht="14.25" customHeight="1" x14ac:dyDescent="0.3">
      <c r="B604" s="23"/>
      <c r="D604" s="25"/>
      <c r="E604" s="25"/>
      <c r="M604" s="12"/>
      <c r="N604" s="122"/>
      <c r="O604" s="122"/>
      <c r="P604" s="122"/>
      <c r="Q604" s="122"/>
    </row>
    <row r="605" spans="2:17" ht="14.25" customHeight="1" x14ac:dyDescent="0.3">
      <c r="B605" s="23"/>
      <c r="D605" s="25"/>
      <c r="E605" s="25"/>
      <c r="M605" s="12"/>
      <c r="N605" s="122"/>
      <c r="O605" s="122"/>
      <c r="P605" s="122"/>
      <c r="Q605" s="122"/>
    </row>
    <row r="606" spans="2:17" ht="14.25" customHeight="1" x14ac:dyDescent="0.3">
      <c r="B606" s="23"/>
      <c r="D606" s="25"/>
      <c r="E606" s="25"/>
      <c r="M606" s="12"/>
      <c r="N606" s="122"/>
      <c r="O606" s="122"/>
      <c r="P606" s="122"/>
      <c r="Q606" s="122"/>
    </row>
    <row r="607" spans="2:17" ht="14.25" customHeight="1" x14ac:dyDescent="0.3">
      <c r="B607" s="23"/>
      <c r="D607" s="25"/>
      <c r="E607" s="25"/>
      <c r="M607" s="12"/>
      <c r="N607" s="122"/>
      <c r="O607" s="122"/>
      <c r="P607" s="122"/>
      <c r="Q607" s="122"/>
    </row>
    <row r="608" spans="2:17" ht="14.25" customHeight="1" x14ac:dyDescent="0.3">
      <c r="B608" s="23"/>
      <c r="D608" s="25"/>
      <c r="E608" s="25"/>
      <c r="M608" s="12"/>
      <c r="N608" s="122"/>
      <c r="O608" s="122"/>
      <c r="P608" s="122"/>
      <c r="Q608" s="122"/>
    </row>
    <row r="609" spans="2:17" ht="14.25" customHeight="1" x14ac:dyDescent="0.3">
      <c r="B609" s="23"/>
      <c r="D609" s="25"/>
      <c r="E609" s="25"/>
      <c r="M609" s="12"/>
      <c r="N609" s="122"/>
      <c r="O609" s="122"/>
      <c r="P609" s="122"/>
      <c r="Q609" s="122"/>
    </row>
    <row r="610" spans="2:17" ht="14.25" customHeight="1" x14ac:dyDescent="0.3">
      <c r="B610" s="23"/>
      <c r="D610" s="25"/>
      <c r="E610" s="25"/>
      <c r="M610" s="12"/>
      <c r="N610" s="122"/>
      <c r="O610" s="122"/>
      <c r="P610" s="122"/>
      <c r="Q610" s="122"/>
    </row>
    <row r="611" spans="2:17" ht="14.25" customHeight="1" x14ac:dyDescent="0.3">
      <c r="B611" s="23"/>
      <c r="D611" s="25"/>
      <c r="E611" s="25"/>
      <c r="M611" s="12"/>
      <c r="N611" s="122"/>
      <c r="O611" s="122"/>
      <c r="P611" s="122"/>
      <c r="Q611" s="122"/>
    </row>
    <row r="612" spans="2:17" ht="14.25" customHeight="1" x14ac:dyDescent="0.3">
      <c r="B612" s="23"/>
      <c r="D612" s="25"/>
      <c r="E612" s="25"/>
      <c r="M612" s="12"/>
      <c r="N612" s="122"/>
      <c r="O612" s="122"/>
      <c r="P612" s="122"/>
      <c r="Q612" s="122"/>
    </row>
    <row r="613" spans="2:17" ht="14.25" customHeight="1" x14ac:dyDescent="0.3">
      <c r="B613" s="23"/>
      <c r="D613" s="25"/>
      <c r="E613" s="25"/>
      <c r="M613" s="12"/>
      <c r="N613" s="122"/>
      <c r="O613" s="122"/>
      <c r="P613" s="122"/>
      <c r="Q613" s="122"/>
    </row>
    <row r="614" spans="2:17" ht="14.25" customHeight="1" x14ac:dyDescent="0.3">
      <c r="B614" s="23"/>
      <c r="D614" s="25"/>
      <c r="E614" s="25"/>
      <c r="M614" s="12"/>
      <c r="N614" s="122"/>
      <c r="O614" s="122"/>
      <c r="P614" s="122"/>
      <c r="Q614" s="122"/>
    </row>
    <row r="615" spans="2:17" ht="14.25" customHeight="1" x14ac:dyDescent="0.3">
      <c r="B615" s="23"/>
      <c r="D615" s="25"/>
      <c r="E615" s="25"/>
      <c r="M615" s="12"/>
      <c r="N615" s="122"/>
      <c r="O615" s="122"/>
      <c r="P615" s="122"/>
      <c r="Q615" s="122"/>
    </row>
    <row r="616" spans="2:17" ht="14.25" customHeight="1" x14ac:dyDescent="0.3">
      <c r="B616" s="23"/>
      <c r="D616" s="25"/>
      <c r="E616" s="25"/>
      <c r="M616" s="12"/>
      <c r="N616" s="122"/>
      <c r="O616" s="122"/>
      <c r="P616" s="122"/>
      <c r="Q616" s="122"/>
    </row>
    <row r="617" spans="2:17" ht="14.25" customHeight="1" x14ac:dyDescent="0.3">
      <c r="B617" s="23"/>
      <c r="D617" s="25"/>
      <c r="E617" s="25"/>
      <c r="M617" s="12"/>
      <c r="N617" s="122"/>
      <c r="O617" s="122"/>
      <c r="P617" s="122"/>
      <c r="Q617" s="122"/>
    </row>
    <row r="618" spans="2:17" ht="14.25" customHeight="1" x14ac:dyDescent="0.3">
      <c r="B618" s="23"/>
      <c r="D618" s="25"/>
      <c r="E618" s="25"/>
      <c r="M618" s="12"/>
      <c r="N618" s="122"/>
      <c r="O618" s="122"/>
      <c r="P618" s="122"/>
      <c r="Q618" s="122"/>
    </row>
    <row r="619" spans="2:17" ht="14.25" customHeight="1" x14ac:dyDescent="0.3">
      <c r="B619" s="23"/>
      <c r="D619" s="25"/>
      <c r="E619" s="25"/>
      <c r="M619" s="12"/>
      <c r="N619" s="122"/>
      <c r="O619" s="122"/>
      <c r="P619" s="122"/>
      <c r="Q619" s="122"/>
    </row>
    <row r="620" spans="2:17" ht="14.25" customHeight="1" x14ac:dyDescent="0.3">
      <c r="B620" s="23"/>
      <c r="D620" s="25"/>
      <c r="E620" s="25"/>
      <c r="M620" s="12"/>
      <c r="N620" s="122"/>
      <c r="O620" s="122"/>
      <c r="P620" s="122"/>
      <c r="Q620" s="122"/>
    </row>
    <row r="621" spans="2:17" ht="14.25" customHeight="1" x14ac:dyDescent="0.3">
      <c r="B621" s="23"/>
      <c r="D621" s="25"/>
      <c r="E621" s="25"/>
      <c r="M621" s="12"/>
      <c r="N621" s="122"/>
      <c r="O621" s="122"/>
      <c r="P621" s="122"/>
      <c r="Q621" s="122"/>
    </row>
    <row r="622" spans="2:17" ht="14.25" customHeight="1" x14ac:dyDescent="0.3">
      <c r="B622" s="23"/>
      <c r="D622" s="25"/>
      <c r="E622" s="25"/>
      <c r="M622" s="12"/>
      <c r="N622" s="122"/>
      <c r="O622" s="122"/>
      <c r="P622" s="122"/>
      <c r="Q622" s="122"/>
    </row>
    <row r="623" spans="2:17" ht="14.25" customHeight="1" x14ac:dyDescent="0.3">
      <c r="B623" s="23"/>
      <c r="D623" s="25"/>
      <c r="E623" s="25"/>
      <c r="M623" s="12"/>
      <c r="N623" s="122"/>
      <c r="O623" s="122"/>
      <c r="P623" s="122"/>
      <c r="Q623" s="122"/>
    </row>
    <row r="624" spans="2:17" ht="14.25" customHeight="1" x14ac:dyDescent="0.3">
      <c r="B624" s="23"/>
      <c r="D624" s="25"/>
      <c r="E624" s="25"/>
      <c r="M624" s="12"/>
      <c r="N624" s="122"/>
      <c r="O624" s="122"/>
      <c r="P624" s="122"/>
      <c r="Q624" s="122"/>
    </row>
    <row r="625" spans="2:17" ht="14.25" customHeight="1" x14ac:dyDescent="0.3">
      <c r="B625" s="23"/>
      <c r="D625" s="25"/>
      <c r="E625" s="25"/>
      <c r="M625" s="12"/>
      <c r="N625" s="122"/>
      <c r="O625" s="122"/>
      <c r="P625" s="122"/>
      <c r="Q625" s="122"/>
    </row>
    <row r="626" spans="2:17" ht="14.25" customHeight="1" x14ac:dyDescent="0.3">
      <c r="B626" s="23"/>
      <c r="D626" s="25"/>
      <c r="E626" s="25"/>
      <c r="M626" s="12"/>
      <c r="N626" s="122"/>
      <c r="O626" s="122"/>
      <c r="P626" s="122"/>
      <c r="Q626" s="122"/>
    </row>
    <row r="627" spans="2:17" ht="14.25" customHeight="1" x14ac:dyDescent="0.3">
      <c r="B627" s="23"/>
      <c r="D627" s="25"/>
      <c r="E627" s="25"/>
      <c r="M627" s="12"/>
      <c r="N627" s="122"/>
      <c r="O627" s="122"/>
      <c r="P627" s="122"/>
      <c r="Q627" s="122"/>
    </row>
    <row r="628" spans="2:17" ht="14.25" customHeight="1" x14ac:dyDescent="0.3">
      <c r="B628" s="23"/>
      <c r="D628" s="25"/>
      <c r="E628" s="25"/>
      <c r="M628" s="12"/>
      <c r="N628" s="122"/>
      <c r="O628" s="122"/>
      <c r="P628" s="122"/>
      <c r="Q628" s="122"/>
    </row>
    <row r="629" spans="2:17" ht="14.25" customHeight="1" x14ac:dyDescent="0.3">
      <c r="B629" s="23"/>
      <c r="D629" s="25"/>
      <c r="E629" s="25"/>
      <c r="M629" s="12"/>
      <c r="N629" s="122"/>
      <c r="O629" s="122"/>
      <c r="P629" s="122"/>
      <c r="Q629" s="122"/>
    </row>
    <row r="630" spans="2:17" ht="14.25" customHeight="1" x14ac:dyDescent="0.3">
      <c r="B630" s="23"/>
      <c r="D630" s="25"/>
      <c r="E630" s="25"/>
      <c r="M630" s="12"/>
      <c r="N630" s="122"/>
      <c r="O630" s="122"/>
      <c r="P630" s="122"/>
      <c r="Q630" s="122"/>
    </row>
    <row r="631" spans="2:17" ht="14.25" customHeight="1" x14ac:dyDescent="0.3">
      <c r="B631" s="23"/>
      <c r="D631" s="25"/>
      <c r="E631" s="25"/>
      <c r="M631" s="12"/>
      <c r="N631" s="122"/>
      <c r="O631" s="122"/>
      <c r="P631" s="122"/>
      <c r="Q631" s="122"/>
    </row>
    <row r="632" spans="2:17" ht="14.25" customHeight="1" x14ac:dyDescent="0.3">
      <c r="B632" s="23"/>
      <c r="D632" s="25"/>
      <c r="E632" s="25"/>
      <c r="M632" s="12"/>
      <c r="N632" s="122"/>
      <c r="O632" s="122"/>
      <c r="P632" s="122"/>
      <c r="Q632" s="122"/>
    </row>
    <row r="633" spans="2:17" ht="14.25" customHeight="1" x14ac:dyDescent="0.3">
      <c r="B633" s="23"/>
      <c r="D633" s="25"/>
      <c r="E633" s="25"/>
      <c r="M633" s="12"/>
      <c r="N633" s="122"/>
      <c r="O633" s="122"/>
      <c r="P633" s="122"/>
      <c r="Q633" s="122"/>
    </row>
    <row r="634" spans="2:17" ht="14.25" customHeight="1" x14ac:dyDescent="0.3">
      <c r="B634" s="23"/>
      <c r="D634" s="25"/>
      <c r="E634" s="25"/>
      <c r="M634" s="12"/>
      <c r="N634" s="122"/>
      <c r="O634" s="122"/>
      <c r="P634" s="122"/>
      <c r="Q634" s="122"/>
    </row>
    <row r="635" spans="2:17" ht="14.25" customHeight="1" x14ac:dyDescent="0.3">
      <c r="B635" s="23"/>
      <c r="D635" s="25"/>
      <c r="E635" s="25"/>
      <c r="M635" s="12"/>
      <c r="N635" s="122"/>
      <c r="O635" s="122"/>
      <c r="P635" s="122"/>
      <c r="Q635" s="122"/>
    </row>
    <row r="636" spans="2:17" ht="14.25" customHeight="1" x14ac:dyDescent="0.3">
      <c r="B636" s="23"/>
      <c r="D636" s="25"/>
      <c r="E636" s="25"/>
      <c r="M636" s="12"/>
      <c r="N636" s="122"/>
      <c r="O636" s="122"/>
      <c r="P636" s="122"/>
      <c r="Q636" s="122"/>
    </row>
    <row r="637" spans="2:17" ht="14.25" customHeight="1" x14ac:dyDescent="0.3">
      <c r="B637" s="23"/>
      <c r="D637" s="25"/>
      <c r="E637" s="25"/>
      <c r="M637" s="12"/>
      <c r="N637" s="122"/>
      <c r="O637" s="122"/>
      <c r="P637" s="122"/>
      <c r="Q637" s="122"/>
    </row>
    <row r="638" spans="2:17" ht="14.25" customHeight="1" x14ac:dyDescent="0.3">
      <c r="B638" s="23"/>
      <c r="D638" s="25"/>
      <c r="E638" s="25"/>
      <c r="M638" s="12"/>
      <c r="N638" s="122"/>
      <c r="O638" s="122"/>
      <c r="P638" s="122"/>
      <c r="Q638" s="122"/>
    </row>
    <row r="639" spans="2:17" ht="14.25" customHeight="1" x14ac:dyDescent="0.3">
      <c r="B639" s="23"/>
      <c r="D639" s="25"/>
      <c r="E639" s="25"/>
      <c r="M639" s="12"/>
      <c r="N639" s="122"/>
      <c r="O639" s="122"/>
      <c r="P639" s="122"/>
      <c r="Q639" s="122"/>
    </row>
    <row r="640" spans="2:17" ht="14.25" customHeight="1" x14ac:dyDescent="0.3">
      <c r="B640" s="23"/>
      <c r="D640" s="25"/>
      <c r="E640" s="25"/>
      <c r="M640" s="12"/>
      <c r="N640" s="122"/>
      <c r="O640" s="122"/>
      <c r="P640" s="122"/>
      <c r="Q640" s="122"/>
    </row>
    <row r="641" spans="2:17" ht="14.25" customHeight="1" x14ac:dyDescent="0.3">
      <c r="B641" s="23"/>
      <c r="D641" s="25"/>
      <c r="E641" s="25"/>
      <c r="M641" s="12"/>
      <c r="N641" s="122"/>
      <c r="O641" s="122"/>
      <c r="P641" s="122"/>
      <c r="Q641" s="122"/>
    </row>
    <row r="642" spans="2:17" ht="14.25" customHeight="1" x14ac:dyDescent="0.3">
      <c r="B642" s="23"/>
      <c r="D642" s="25"/>
      <c r="E642" s="25"/>
      <c r="M642" s="12"/>
      <c r="N642" s="122"/>
      <c r="O642" s="122"/>
      <c r="P642" s="122"/>
      <c r="Q642" s="122"/>
    </row>
    <row r="643" spans="2:17" ht="14.25" customHeight="1" x14ac:dyDescent="0.3">
      <c r="B643" s="23"/>
      <c r="D643" s="25"/>
      <c r="E643" s="25"/>
      <c r="M643" s="12"/>
      <c r="N643" s="122"/>
      <c r="O643" s="122"/>
      <c r="P643" s="122"/>
      <c r="Q643" s="122"/>
    </row>
    <row r="644" spans="2:17" ht="14.25" customHeight="1" x14ac:dyDescent="0.3">
      <c r="B644" s="23"/>
      <c r="D644" s="25"/>
      <c r="E644" s="25"/>
      <c r="M644" s="12"/>
      <c r="N644" s="122"/>
      <c r="O644" s="122"/>
      <c r="P644" s="122"/>
      <c r="Q644" s="122"/>
    </row>
    <row r="645" spans="2:17" ht="14.25" customHeight="1" x14ac:dyDescent="0.3">
      <c r="B645" s="23"/>
      <c r="D645" s="25"/>
      <c r="E645" s="25"/>
      <c r="M645" s="12"/>
      <c r="N645" s="122"/>
      <c r="O645" s="122"/>
      <c r="P645" s="122"/>
      <c r="Q645" s="122"/>
    </row>
    <row r="646" spans="2:17" ht="14.25" customHeight="1" x14ac:dyDescent="0.3">
      <c r="B646" s="23"/>
      <c r="D646" s="25"/>
      <c r="E646" s="25"/>
      <c r="M646" s="12"/>
      <c r="N646" s="122"/>
      <c r="O646" s="122"/>
      <c r="P646" s="122"/>
      <c r="Q646" s="122"/>
    </row>
    <row r="647" spans="2:17" ht="14.25" customHeight="1" x14ac:dyDescent="0.3">
      <c r="B647" s="23"/>
      <c r="D647" s="25"/>
      <c r="E647" s="25"/>
      <c r="M647" s="12"/>
      <c r="N647" s="122"/>
      <c r="O647" s="122"/>
      <c r="P647" s="122"/>
      <c r="Q647" s="122"/>
    </row>
    <row r="648" spans="2:17" ht="14.25" customHeight="1" x14ac:dyDescent="0.3">
      <c r="B648" s="23"/>
      <c r="D648" s="25"/>
      <c r="E648" s="25"/>
      <c r="M648" s="12"/>
      <c r="N648" s="122"/>
      <c r="O648" s="122"/>
      <c r="P648" s="122"/>
      <c r="Q648" s="122"/>
    </row>
    <row r="649" spans="2:17" ht="14.25" customHeight="1" x14ac:dyDescent="0.3">
      <c r="B649" s="23"/>
      <c r="D649" s="25"/>
      <c r="E649" s="25"/>
      <c r="M649" s="12"/>
      <c r="N649" s="122"/>
      <c r="O649" s="122"/>
      <c r="P649" s="122"/>
      <c r="Q649" s="122"/>
    </row>
    <row r="650" spans="2:17" ht="14.25" customHeight="1" x14ac:dyDescent="0.3">
      <c r="B650" s="23"/>
      <c r="D650" s="25"/>
      <c r="E650" s="25"/>
      <c r="M650" s="12"/>
      <c r="N650" s="122"/>
      <c r="O650" s="122"/>
      <c r="P650" s="122"/>
      <c r="Q650" s="122"/>
    </row>
    <row r="651" spans="2:17" ht="14.25" customHeight="1" x14ac:dyDescent="0.3">
      <c r="B651" s="23"/>
      <c r="D651" s="25"/>
      <c r="E651" s="25"/>
      <c r="M651" s="12"/>
      <c r="N651" s="122"/>
      <c r="O651" s="122"/>
      <c r="P651" s="122"/>
      <c r="Q651" s="122"/>
    </row>
    <row r="652" spans="2:17" ht="14.25" customHeight="1" x14ac:dyDescent="0.3">
      <c r="B652" s="23"/>
      <c r="D652" s="25"/>
      <c r="E652" s="25"/>
      <c r="M652" s="12"/>
      <c r="N652" s="122"/>
      <c r="O652" s="122"/>
      <c r="P652" s="122"/>
      <c r="Q652" s="122"/>
    </row>
    <row r="653" spans="2:17" ht="14.25" customHeight="1" x14ac:dyDescent="0.3">
      <c r="B653" s="23"/>
      <c r="D653" s="25"/>
      <c r="E653" s="25"/>
      <c r="M653" s="12"/>
      <c r="N653" s="122"/>
      <c r="O653" s="122"/>
      <c r="P653" s="122"/>
      <c r="Q653" s="122"/>
    </row>
    <row r="654" spans="2:17" ht="14.25" customHeight="1" x14ac:dyDescent="0.3">
      <c r="B654" s="23"/>
      <c r="D654" s="25"/>
      <c r="E654" s="25"/>
      <c r="M654" s="12"/>
      <c r="N654" s="122"/>
      <c r="O654" s="122"/>
      <c r="P654" s="122"/>
      <c r="Q654" s="122"/>
    </row>
    <row r="655" spans="2:17" ht="14.25" customHeight="1" x14ac:dyDescent="0.3">
      <c r="B655" s="23"/>
      <c r="D655" s="25"/>
      <c r="E655" s="25"/>
      <c r="M655" s="12"/>
      <c r="N655" s="122"/>
      <c r="O655" s="122"/>
      <c r="P655" s="122"/>
      <c r="Q655" s="122"/>
    </row>
    <row r="656" spans="2:17" ht="14.25" customHeight="1" x14ac:dyDescent="0.3">
      <c r="B656" s="23"/>
      <c r="D656" s="25"/>
      <c r="E656" s="25"/>
      <c r="M656" s="12"/>
      <c r="N656" s="122"/>
      <c r="O656" s="122"/>
      <c r="P656" s="122"/>
      <c r="Q656" s="122"/>
    </row>
    <row r="657" spans="2:17" ht="14.25" customHeight="1" x14ac:dyDescent="0.3">
      <c r="B657" s="23"/>
      <c r="D657" s="25"/>
      <c r="E657" s="25"/>
      <c r="M657" s="12"/>
      <c r="N657" s="122"/>
      <c r="O657" s="122"/>
      <c r="P657" s="122"/>
      <c r="Q657" s="122"/>
    </row>
    <row r="658" spans="2:17" ht="14.25" customHeight="1" x14ac:dyDescent="0.3">
      <c r="B658" s="23"/>
      <c r="D658" s="25"/>
      <c r="E658" s="25"/>
      <c r="M658" s="12"/>
      <c r="N658" s="122"/>
      <c r="O658" s="122"/>
      <c r="P658" s="122"/>
      <c r="Q658" s="122"/>
    </row>
    <row r="659" spans="2:17" ht="14.25" customHeight="1" x14ac:dyDescent="0.3">
      <c r="B659" s="23"/>
      <c r="D659" s="25"/>
      <c r="E659" s="25"/>
      <c r="M659" s="12"/>
      <c r="N659" s="122"/>
      <c r="O659" s="122"/>
      <c r="P659" s="122"/>
      <c r="Q659" s="122"/>
    </row>
    <row r="660" spans="2:17" ht="14.25" customHeight="1" x14ac:dyDescent="0.3">
      <c r="B660" s="23"/>
      <c r="D660" s="25"/>
      <c r="E660" s="25"/>
      <c r="M660" s="12"/>
      <c r="N660" s="122"/>
      <c r="O660" s="122"/>
      <c r="P660" s="122"/>
      <c r="Q660" s="122"/>
    </row>
    <row r="661" spans="2:17" ht="14.25" customHeight="1" x14ac:dyDescent="0.3">
      <c r="B661" s="23"/>
      <c r="D661" s="25"/>
      <c r="E661" s="25"/>
      <c r="M661" s="12"/>
      <c r="N661" s="122"/>
      <c r="O661" s="122"/>
      <c r="P661" s="122"/>
      <c r="Q661" s="122"/>
    </row>
    <row r="662" spans="2:17" ht="14.25" customHeight="1" x14ac:dyDescent="0.3">
      <c r="B662" s="23"/>
      <c r="D662" s="25"/>
      <c r="E662" s="25"/>
      <c r="M662" s="12"/>
      <c r="N662" s="122"/>
      <c r="O662" s="122"/>
      <c r="P662" s="122"/>
      <c r="Q662" s="122"/>
    </row>
    <row r="663" spans="2:17" ht="14.25" customHeight="1" x14ac:dyDescent="0.3">
      <c r="B663" s="23"/>
      <c r="D663" s="25"/>
      <c r="E663" s="25"/>
      <c r="M663" s="12"/>
      <c r="N663" s="122"/>
      <c r="O663" s="122"/>
      <c r="P663" s="122"/>
      <c r="Q663" s="122"/>
    </row>
    <row r="664" spans="2:17" ht="14.25" customHeight="1" x14ac:dyDescent="0.3">
      <c r="B664" s="23"/>
      <c r="D664" s="25"/>
      <c r="E664" s="25"/>
      <c r="M664" s="12"/>
      <c r="N664" s="122"/>
      <c r="O664" s="122"/>
      <c r="P664" s="122"/>
      <c r="Q664" s="122"/>
    </row>
    <row r="665" spans="2:17" ht="14.25" customHeight="1" x14ac:dyDescent="0.3">
      <c r="B665" s="23"/>
      <c r="D665" s="25"/>
      <c r="E665" s="25"/>
      <c r="M665" s="12"/>
      <c r="N665" s="122"/>
      <c r="O665" s="122"/>
      <c r="P665" s="122"/>
      <c r="Q665" s="122"/>
    </row>
    <row r="666" spans="2:17" ht="14.25" customHeight="1" x14ac:dyDescent="0.3">
      <c r="B666" s="23"/>
      <c r="D666" s="25"/>
      <c r="E666" s="25"/>
      <c r="M666" s="12"/>
      <c r="N666" s="122"/>
      <c r="O666" s="122"/>
      <c r="P666" s="122"/>
      <c r="Q666" s="122"/>
    </row>
    <row r="667" spans="2:17" ht="14.25" customHeight="1" x14ac:dyDescent="0.3">
      <c r="B667" s="23"/>
      <c r="D667" s="25"/>
      <c r="E667" s="25"/>
      <c r="M667" s="12"/>
      <c r="N667" s="122"/>
      <c r="O667" s="122"/>
      <c r="P667" s="122"/>
      <c r="Q667" s="122"/>
    </row>
    <row r="668" spans="2:17" ht="14.25" customHeight="1" x14ac:dyDescent="0.3">
      <c r="B668" s="23"/>
      <c r="D668" s="25"/>
      <c r="E668" s="25"/>
      <c r="M668" s="12"/>
      <c r="N668" s="122"/>
      <c r="O668" s="122"/>
      <c r="P668" s="122"/>
      <c r="Q668" s="122"/>
    </row>
    <row r="669" spans="2:17" ht="14.25" customHeight="1" x14ac:dyDescent="0.3">
      <c r="B669" s="23"/>
      <c r="D669" s="25"/>
      <c r="E669" s="25"/>
      <c r="M669" s="12"/>
      <c r="N669" s="122"/>
      <c r="O669" s="122"/>
      <c r="P669" s="122"/>
      <c r="Q669" s="122"/>
    </row>
    <row r="670" spans="2:17" ht="14.25" customHeight="1" x14ac:dyDescent="0.3">
      <c r="B670" s="23"/>
      <c r="D670" s="25"/>
      <c r="E670" s="25"/>
      <c r="M670" s="12"/>
      <c r="N670" s="122"/>
      <c r="O670" s="122"/>
      <c r="P670" s="122"/>
      <c r="Q670" s="122"/>
    </row>
    <row r="671" spans="2:17" ht="14.25" customHeight="1" x14ac:dyDescent="0.3">
      <c r="B671" s="23"/>
      <c r="D671" s="25"/>
      <c r="E671" s="25"/>
      <c r="M671" s="12"/>
      <c r="N671" s="122"/>
      <c r="O671" s="122"/>
      <c r="P671" s="122"/>
      <c r="Q671" s="122"/>
    </row>
    <row r="672" spans="2:17" ht="14.25" customHeight="1" x14ac:dyDescent="0.3">
      <c r="B672" s="23"/>
      <c r="D672" s="25"/>
      <c r="E672" s="25"/>
      <c r="M672" s="12"/>
      <c r="N672" s="122"/>
      <c r="O672" s="122"/>
      <c r="P672" s="122"/>
      <c r="Q672" s="122"/>
    </row>
    <row r="673" spans="2:17" ht="14.25" customHeight="1" x14ac:dyDescent="0.3">
      <c r="B673" s="23"/>
      <c r="D673" s="25"/>
      <c r="E673" s="25"/>
      <c r="M673" s="12"/>
      <c r="N673" s="122"/>
      <c r="O673" s="122"/>
      <c r="P673" s="122"/>
      <c r="Q673" s="122"/>
    </row>
    <row r="674" spans="2:17" ht="14.25" customHeight="1" x14ac:dyDescent="0.3">
      <c r="B674" s="23"/>
      <c r="D674" s="25"/>
      <c r="E674" s="25"/>
      <c r="M674" s="12"/>
      <c r="N674" s="122"/>
      <c r="O674" s="122"/>
      <c r="P674" s="122"/>
      <c r="Q674" s="122"/>
    </row>
    <row r="675" spans="2:17" ht="14.25" customHeight="1" x14ac:dyDescent="0.3">
      <c r="B675" s="23"/>
      <c r="D675" s="25"/>
      <c r="E675" s="25"/>
      <c r="M675" s="12"/>
      <c r="N675" s="122"/>
      <c r="O675" s="122"/>
      <c r="P675" s="122"/>
      <c r="Q675" s="122"/>
    </row>
    <row r="676" spans="2:17" ht="14.25" customHeight="1" x14ac:dyDescent="0.3">
      <c r="B676" s="23"/>
      <c r="D676" s="25"/>
      <c r="E676" s="25"/>
      <c r="M676" s="12"/>
      <c r="N676" s="122"/>
      <c r="O676" s="122"/>
      <c r="P676" s="122"/>
      <c r="Q676" s="122"/>
    </row>
    <row r="677" spans="2:17" ht="14.25" customHeight="1" x14ac:dyDescent="0.3">
      <c r="B677" s="23"/>
      <c r="D677" s="25"/>
      <c r="E677" s="25"/>
      <c r="M677" s="12"/>
      <c r="N677" s="122"/>
      <c r="O677" s="122"/>
      <c r="P677" s="122"/>
      <c r="Q677" s="122"/>
    </row>
    <row r="678" spans="2:17" ht="14.25" customHeight="1" x14ac:dyDescent="0.3">
      <c r="B678" s="23"/>
      <c r="D678" s="25"/>
      <c r="E678" s="25"/>
      <c r="M678" s="12"/>
      <c r="N678" s="122"/>
      <c r="O678" s="122"/>
      <c r="P678" s="122"/>
      <c r="Q678" s="122"/>
    </row>
    <row r="679" spans="2:17" ht="14.25" customHeight="1" x14ac:dyDescent="0.3">
      <c r="B679" s="23"/>
      <c r="D679" s="25"/>
      <c r="E679" s="25"/>
      <c r="M679" s="12"/>
      <c r="N679" s="122"/>
      <c r="O679" s="122"/>
      <c r="P679" s="122"/>
      <c r="Q679" s="122"/>
    </row>
    <row r="680" spans="2:17" ht="14.25" customHeight="1" x14ac:dyDescent="0.3">
      <c r="B680" s="23"/>
      <c r="D680" s="25"/>
      <c r="E680" s="25"/>
      <c r="M680" s="12"/>
      <c r="N680" s="122"/>
      <c r="O680" s="122"/>
      <c r="P680" s="122"/>
      <c r="Q680" s="122"/>
    </row>
    <row r="681" spans="2:17" ht="14.25" customHeight="1" x14ac:dyDescent="0.3">
      <c r="B681" s="23"/>
      <c r="D681" s="25"/>
      <c r="E681" s="25"/>
      <c r="M681" s="12"/>
      <c r="N681" s="122"/>
      <c r="O681" s="122"/>
      <c r="P681" s="122"/>
      <c r="Q681" s="122"/>
    </row>
    <row r="682" spans="2:17" ht="14.25" customHeight="1" x14ac:dyDescent="0.3">
      <c r="B682" s="23"/>
      <c r="D682" s="25"/>
      <c r="E682" s="25"/>
      <c r="M682" s="12"/>
      <c r="N682" s="122"/>
      <c r="O682" s="122"/>
      <c r="P682" s="122"/>
      <c r="Q682" s="122"/>
    </row>
    <row r="683" spans="2:17" ht="14.25" customHeight="1" x14ac:dyDescent="0.3">
      <c r="B683" s="23"/>
      <c r="D683" s="25"/>
      <c r="E683" s="25"/>
      <c r="M683" s="12"/>
      <c r="N683" s="122"/>
      <c r="O683" s="122"/>
      <c r="P683" s="122"/>
      <c r="Q683" s="122"/>
    </row>
    <row r="684" spans="2:17" ht="14.25" customHeight="1" x14ac:dyDescent="0.3">
      <c r="B684" s="23"/>
      <c r="D684" s="25"/>
      <c r="E684" s="25"/>
      <c r="M684" s="12"/>
      <c r="N684" s="122"/>
      <c r="O684" s="122"/>
      <c r="P684" s="122"/>
      <c r="Q684" s="122"/>
    </row>
    <row r="685" spans="2:17" ht="14.25" customHeight="1" x14ac:dyDescent="0.3">
      <c r="B685" s="23"/>
      <c r="D685" s="25"/>
      <c r="E685" s="25"/>
      <c r="M685" s="12"/>
      <c r="N685" s="122"/>
      <c r="O685" s="122"/>
      <c r="P685" s="122"/>
      <c r="Q685" s="122"/>
    </row>
    <row r="686" spans="2:17" ht="14.25" customHeight="1" x14ac:dyDescent="0.3">
      <c r="B686" s="23"/>
      <c r="D686" s="25"/>
      <c r="E686" s="25"/>
      <c r="M686" s="12"/>
      <c r="N686" s="122"/>
      <c r="O686" s="122"/>
      <c r="P686" s="122"/>
      <c r="Q686" s="122"/>
    </row>
    <row r="687" spans="2:17" ht="14.25" customHeight="1" x14ac:dyDescent="0.3">
      <c r="B687" s="23"/>
      <c r="D687" s="25"/>
      <c r="E687" s="25"/>
      <c r="M687" s="12"/>
      <c r="N687" s="122"/>
      <c r="O687" s="122"/>
      <c r="P687" s="122"/>
      <c r="Q687" s="122"/>
    </row>
    <row r="688" spans="2:17" ht="14.25" customHeight="1" x14ac:dyDescent="0.3">
      <c r="B688" s="23"/>
      <c r="D688" s="25"/>
      <c r="E688" s="25"/>
      <c r="M688" s="12"/>
      <c r="N688" s="122"/>
      <c r="O688" s="122"/>
      <c r="P688" s="122"/>
      <c r="Q688" s="122"/>
    </row>
    <row r="689" spans="2:17" ht="14.25" customHeight="1" x14ac:dyDescent="0.3">
      <c r="B689" s="23"/>
      <c r="D689" s="25"/>
      <c r="E689" s="25"/>
      <c r="M689" s="12"/>
      <c r="N689" s="122"/>
      <c r="O689" s="122"/>
      <c r="P689" s="122"/>
      <c r="Q689" s="122"/>
    </row>
    <row r="690" spans="2:17" ht="14.25" customHeight="1" x14ac:dyDescent="0.3">
      <c r="B690" s="23"/>
      <c r="D690" s="25"/>
      <c r="E690" s="25"/>
      <c r="M690" s="12"/>
      <c r="N690" s="122"/>
      <c r="O690" s="122"/>
      <c r="P690" s="122"/>
      <c r="Q690" s="122"/>
    </row>
    <row r="691" spans="2:17" ht="14.25" customHeight="1" x14ac:dyDescent="0.3">
      <c r="B691" s="23"/>
      <c r="D691" s="25"/>
      <c r="E691" s="25"/>
      <c r="M691" s="12"/>
      <c r="N691" s="122"/>
      <c r="O691" s="122"/>
      <c r="P691" s="122"/>
      <c r="Q691" s="122"/>
    </row>
    <row r="692" spans="2:17" ht="14.25" customHeight="1" x14ac:dyDescent="0.3">
      <c r="B692" s="23"/>
      <c r="D692" s="25"/>
      <c r="E692" s="25"/>
      <c r="M692" s="12"/>
      <c r="N692" s="122"/>
      <c r="O692" s="122"/>
      <c r="P692" s="122"/>
      <c r="Q692" s="122"/>
    </row>
    <row r="693" spans="2:17" ht="14.25" customHeight="1" x14ac:dyDescent="0.3">
      <c r="B693" s="23"/>
      <c r="D693" s="25"/>
      <c r="E693" s="25"/>
      <c r="M693" s="12"/>
      <c r="N693" s="122"/>
      <c r="O693" s="122"/>
      <c r="P693" s="122"/>
      <c r="Q693" s="122"/>
    </row>
    <row r="694" spans="2:17" ht="14.25" customHeight="1" x14ac:dyDescent="0.3">
      <c r="B694" s="23"/>
      <c r="D694" s="25"/>
      <c r="E694" s="25"/>
      <c r="M694" s="12"/>
      <c r="N694" s="122"/>
      <c r="O694" s="122"/>
      <c r="P694" s="122"/>
      <c r="Q694" s="122"/>
    </row>
    <row r="695" spans="2:17" ht="14.25" customHeight="1" x14ac:dyDescent="0.3">
      <c r="B695" s="23"/>
      <c r="D695" s="25"/>
      <c r="E695" s="25"/>
      <c r="M695" s="12"/>
      <c r="N695" s="122"/>
      <c r="O695" s="122"/>
      <c r="P695" s="122"/>
      <c r="Q695" s="122"/>
    </row>
    <row r="696" spans="2:17" ht="14.25" customHeight="1" x14ac:dyDescent="0.3">
      <c r="B696" s="23"/>
      <c r="D696" s="25"/>
      <c r="E696" s="25"/>
      <c r="M696" s="12"/>
      <c r="N696" s="122"/>
      <c r="O696" s="122"/>
      <c r="P696" s="122"/>
      <c r="Q696" s="122"/>
    </row>
    <row r="697" spans="2:17" ht="14.25" customHeight="1" x14ac:dyDescent="0.3">
      <c r="B697" s="23"/>
      <c r="D697" s="25"/>
      <c r="E697" s="25"/>
      <c r="M697" s="12"/>
      <c r="N697" s="122"/>
      <c r="O697" s="122"/>
      <c r="P697" s="122"/>
      <c r="Q697" s="122"/>
    </row>
    <row r="698" spans="2:17" ht="14.25" customHeight="1" x14ac:dyDescent="0.3">
      <c r="B698" s="23"/>
      <c r="D698" s="25"/>
      <c r="E698" s="25"/>
      <c r="M698" s="12"/>
      <c r="N698" s="122"/>
      <c r="O698" s="122"/>
      <c r="P698" s="122"/>
      <c r="Q698" s="122"/>
    </row>
    <row r="699" spans="2:17" ht="14.25" customHeight="1" x14ac:dyDescent="0.3">
      <c r="B699" s="23"/>
      <c r="D699" s="25"/>
      <c r="E699" s="25"/>
      <c r="M699" s="12"/>
      <c r="N699" s="122"/>
      <c r="O699" s="122"/>
      <c r="P699" s="122"/>
      <c r="Q699" s="122"/>
    </row>
    <row r="700" spans="2:17" ht="14.25" customHeight="1" x14ac:dyDescent="0.3">
      <c r="B700" s="23"/>
      <c r="D700" s="25"/>
      <c r="E700" s="25"/>
      <c r="M700" s="12"/>
      <c r="N700" s="122"/>
      <c r="O700" s="122"/>
      <c r="P700" s="122"/>
      <c r="Q700" s="122"/>
    </row>
    <row r="701" spans="2:17" ht="14.25" customHeight="1" x14ac:dyDescent="0.3">
      <c r="B701" s="23"/>
      <c r="D701" s="25"/>
      <c r="E701" s="25"/>
      <c r="M701" s="12"/>
      <c r="N701" s="122"/>
      <c r="O701" s="122"/>
      <c r="P701" s="122"/>
      <c r="Q701" s="122"/>
    </row>
    <row r="702" spans="2:17" ht="14.25" customHeight="1" x14ac:dyDescent="0.3">
      <c r="B702" s="23"/>
      <c r="D702" s="25"/>
      <c r="E702" s="25"/>
      <c r="M702" s="12"/>
      <c r="N702" s="122"/>
      <c r="O702" s="122"/>
      <c r="P702" s="122"/>
      <c r="Q702" s="122"/>
    </row>
    <row r="703" spans="2:17" ht="14.25" customHeight="1" x14ac:dyDescent="0.3">
      <c r="B703" s="23"/>
      <c r="D703" s="25"/>
      <c r="E703" s="25"/>
      <c r="M703" s="12"/>
      <c r="N703" s="122"/>
      <c r="O703" s="122"/>
      <c r="P703" s="122"/>
      <c r="Q703" s="122"/>
    </row>
    <row r="704" spans="2:17" ht="14.25" customHeight="1" x14ac:dyDescent="0.3">
      <c r="B704" s="23"/>
      <c r="D704" s="25"/>
      <c r="E704" s="25"/>
      <c r="M704" s="12"/>
      <c r="N704" s="122"/>
      <c r="O704" s="122"/>
      <c r="P704" s="122"/>
      <c r="Q704" s="122"/>
    </row>
    <row r="705" spans="2:17" ht="14.25" customHeight="1" x14ac:dyDescent="0.3">
      <c r="B705" s="23"/>
      <c r="D705" s="25"/>
      <c r="E705" s="25"/>
      <c r="M705" s="12"/>
      <c r="N705" s="122"/>
      <c r="O705" s="122"/>
      <c r="P705" s="122"/>
      <c r="Q705" s="122"/>
    </row>
    <row r="706" spans="2:17" ht="14.25" customHeight="1" x14ac:dyDescent="0.3">
      <c r="B706" s="23"/>
      <c r="D706" s="25"/>
      <c r="E706" s="25"/>
      <c r="M706" s="12"/>
      <c r="N706" s="122"/>
      <c r="O706" s="122"/>
      <c r="P706" s="122"/>
      <c r="Q706" s="122"/>
    </row>
    <row r="707" spans="2:17" ht="14.25" customHeight="1" x14ac:dyDescent="0.3">
      <c r="B707" s="23"/>
      <c r="D707" s="25"/>
      <c r="E707" s="25"/>
      <c r="M707" s="12"/>
      <c r="N707" s="122"/>
      <c r="O707" s="122"/>
      <c r="P707" s="122"/>
      <c r="Q707" s="122"/>
    </row>
    <row r="708" spans="2:17" ht="14.25" customHeight="1" x14ac:dyDescent="0.3">
      <c r="B708" s="23"/>
      <c r="D708" s="25"/>
      <c r="E708" s="25"/>
      <c r="M708" s="12"/>
      <c r="N708" s="122"/>
      <c r="O708" s="122"/>
      <c r="P708" s="122"/>
      <c r="Q708" s="122"/>
    </row>
    <row r="709" spans="2:17" ht="14.25" customHeight="1" x14ac:dyDescent="0.3">
      <c r="B709" s="23"/>
      <c r="D709" s="25"/>
      <c r="E709" s="25"/>
      <c r="M709" s="12"/>
      <c r="N709" s="122"/>
      <c r="O709" s="122"/>
      <c r="P709" s="122"/>
      <c r="Q709" s="122"/>
    </row>
    <row r="710" spans="2:17" ht="14.25" customHeight="1" x14ac:dyDescent="0.3">
      <c r="B710" s="23"/>
      <c r="D710" s="25"/>
      <c r="E710" s="25"/>
      <c r="M710" s="12"/>
      <c r="N710" s="122"/>
      <c r="O710" s="122"/>
      <c r="P710" s="122"/>
      <c r="Q710" s="122"/>
    </row>
    <row r="711" spans="2:17" ht="14.25" customHeight="1" x14ac:dyDescent="0.3">
      <c r="B711" s="23"/>
      <c r="D711" s="25"/>
      <c r="E711" s="25"/>
      <c r="M711" s="12"/>
      <c r="N711" s="122"/>
      <c r="O711" s="122"/>
      <c r="P711" s="122"/>
      <c r="Q711" s="122"/>
    </row>
    <row r="712" spans="2:17" ht="14.25" customHeight="1" x14ac:dyDescent="0.3">
      <c r="B712" s="23"/>
      <c r="D712" s="25"/>
      <c r="E712" s="25"/>
      <c r="M712" s="12"/>
      <c r="N712" s="122"/>
      <c r="O712" s="122"/>
      <c r="P712" s="122"/>
      <c r="Q712" s="122"/>
    </row>
    <row r="713" spans="2:17" ht="14.25" customHeight="1" x14ac:dyDescent="0.3">
      <c r="B713" s="23"/>
      <c r="D713" s="25"/>
      <c r="E713" s="25"/>
      <c r="M713" s="12"/>
      <c r="N713" s="122"/>
      <c r="O713" s="122"/>
      <c r="P713" s="122"/>
      <c r="Q713" s="122"/>
    </row>
    <row r="714" spans="2:17" ht="14.25" customHeight="1" x14ac:dyDescent="0.3">
      <c r="B714" s="23"/>
      <c r="D714" s="25"/>
      <c r="E714" s="25"/>
      <c r="M714" s="12"/>
      <c r="N714" s="122"/>
      <c r="O714" s="122"/>
      <c r="P714" s="122"/>
      <c r="Q714" s="122"/>
    </row>
    <row r="715" spans="2:17" ht="14.25" customHeight="1" x14ac:dyDescent="0.3">
      <c r="B715" s="23"/>
      <c r="D715" s="25"/>
      <c r="E715" s="25"/>
      <c r="M715" s="12"/>
      <c r="N715" s="122"/>
      <c r="O715" s="122"/>
      <c r="P715" s="122"/>
      <c r="Q715" s="122"/>
    </row>
    <row r="716" spans="2:17" ht="14.25" customHeight="1" x14ac:dyDescent="0.3">
      <c r="B716" s="23"/>
      <c r="D716" s="25"/>
      <c r="E716" s="25"/>
      <c r="M716" s="12"/>
      <c r="N716" s="122"/>
      <c r="O716" s="122"/>
      <c r="P716" s="122"/>
      <c r="Q716" s="122"/>
    </row>
    <row r="717" spans="2:17" ht="14.25" customHeight="1" x14ac:dyDescent="0.3">
      <c r="B717" s="23"/>
      <c r="D717" s="25"/>
      <c r="E717" s="25"/>
      <c r="M717" s="12"/>
      <c r="N717" s="122"/>
      <c r="O717" s="122"/>
      <c r="P717" s="122"/>
      <c r="Q717" s="122"/>
    </row>
    <row r="718" spans="2:17" ht="14.25" customHeight="1" x14ac:dyDescent="0.3">
      <c r="B718" s="23"/>
      <c r="D718" s="25"/>
      <c r="E718" s="25"/>
      <c r="M718" s="12"/>
      <c r="N718" s="122"/>
      <c r="O718" s="122"/>
      <c r="P718" s="122"/>
      <c r="Q718" s="122"/>
    </row>
    <row r="719" spans="2:17" ht="14.25" customHeight="1" x14ac:dyDescent="0.3">
      <c r="B719" s="23"/>
      <c r="D719" s="25"/>
      <c r="E719" s="25"/>
      <c r="M719" s="12"/>
      <c r="N719" s="122"/>
      <c r="O719" s="122"/>
      <c r="P719" s="122"/>
      <c r="Q719" s="122"/>
    </row>
    <row r="720" spans="2:17" ht="14.25" customHeight="1" x14ac:dyDescent="0.3">
      <c r="B720" s="23"/>
      <c r="D720" s="25"/>
      <c r="E720" s="25"/>
      <c r="M720" s="12"/>
      <c r="N720" s="122"/>
      <c r="O720" s="122"/>
      <c r="P720" s="122"/>
      <c r="Q720" s="122"/>
    </row>
    <row r="721" spans="2:17" ht="14.25" customHeight="1" x14ac:dyDescent="0.3">
      <c r="B721" s="23"/>
      <c r="D721" s="25"/>
      <c r="E721" s="25"/>
      <c r="M721" s="12"/>
      <c r="N721" s="122"/>
      <c r="O721" s="122"/>
      <c r="P721" s="122"/>
      <c r="Q721" s="122"/>
    </row>
    <row r="722" spans="2:17" ht="14.25" customHeight="1" x14ac:dyDescent="0.3">
      <c r="B722" s="23"/>
      <c r="D722" s="25"/>
      <c r="E722" s="25"/>
      <c r="M722" s="12"/>
      <c r="N722" s="122"/>
      <c r="O722" s="122"/>
      <c r="P722" s="122"/>
      <c r="Q722" s="122"/>
    </row>
    <row r="723" spans="2:17" ht="14.25" customHeight="1" x14ac:dyDescent="0.3">
      <c r="B723" s="23"/>
      <c r="D723" s="25"/>
      <c r="E723" s="25"/>
      <c r="M723" s="12"/>
      <c r="N723" s="122"/>
      <c r="O723" s="122"/>
      <c r="P723" s="122"/>
      <c r="Q723" s="122"/>
    </row>
    <row r="724" spans="2:17" ht="14.25" customHeight="1" x14ac:dyDescent="0.3">
      <c r="B724" s="23"/>
      <c r="D724" s="25"/>
      <c r="E724" s="25"/>
      <c r="M724" s="12"/>
      <c r="N724" s="122"/>
      <c r="O724" s="122"/>
      <c r="P724" s="122"/>
      <c r="Q724" s="122"/>
    </row>
    <row r="725" spans="2:17" ht="14.25" customHeight="1" x14ac:dyDescent="0.3">
      <c r="B725" s="23"/>
      <c r="D725" s="25"/>
      <c r="E725" s="25"/>
      <c r="M725" s="12"/>
      <c r="N725" s="122"/>
      <c r="O725" s="122"/>
      <c r="P725" s="122"/>
      <c r="Q725" s="122"/>
    </row>
    <row r="726" spans="2:17" ht="14.25" customHeight="1" x14ac:dyDescent="0.3">
      <c r="B726" s="23"/>
      <c r="D726" s="25"/>
      <c r="E726" s="25"/>
      <c r="M726" s="12"/>
      <c r="N726" s="122"/>
      <c r="O726" s="122"/>
      <c r="P726" s="122"/>
      <c r="Q726" s="122"/>
    </row>
    <row r="727" spans="2:17" ht="14.25" customHeight="1" x14ac:dyDescent="0.3">
      <c r="B727" s="23"/>
      <c r="D727" s="25"/>
      <c r="E727" s="25"/>
      <c r="M727" s="12"/>
      <c r="N727" s="122"/>
      <c r="O727" s="122"/>
      <c r="P727" s="122"/>
      <c r="Q727" s="122"/>
    </row>
    <row r="728" spans="2:17" ht="14.25" customHeight="1" x14ac:dyDescent="0.3">
      <c r="B728" s="23"/>
      <c r="D728" s="25"/>
      <c r="E728" s="25"/>
      <c r="M728" s="12"/>
      <c r="N728" s="122"/>
      <c r="O728" s="122"/>
      <c r="P728" s="122"/>
      <c r="Q728" s="122"/>
    </row>
    <row r="729" spans="2:17" ht="14.25" customHeight="1" x14ac:dyDescent="0.3">
      <c r="B729" s="23"/>
      <c r="D729" s="25"/>
      <c r="E729" s="25"/>
      <c r="M729" s="12"/>
      <c r="N729" s="122"/>
      <c r="O729" s="122"/>
      <c r="P729" s="122"/>
      <c r="Q729" s="122"/>
    </row>
    <row r="730" spans="2:17" ht="14.25" customHeight="1" x14ac:dyDescent="0.3">
      <c r="B730" s="23"/>
      <c r="D730" s="25"/>
      <c r="E730" s="25"/>
      <c r="M730" s="12"/>
      <c r="N730" s="122"/>
      <c r="O730" s="122"/>
      <c r="P730" s="122"/>
      <c r="Q730" s="122"/>
    </row>
    <row r="731" spans="2:17" ht="14.25" customHeight="1" x14ac:dyDescent="0.3">
      <c r="B731" s="23"/>
      <c r="D731" s="25"/>
      <c r="E731" s="25"/>
      <c r="M731" s="12"/>
      <c r="N731" s="122"/>
      <c r="O731" s="122"/>
      <c r="P731" s="122"/>
      <c r="Q731" s="122"/>
    </row>
    <row r="732" spans="2:17" ht="14.25" customHeight="1" x14ac:dyDescent="0.3">
      <c r="B732" s="23"/>
      <c r="D732" s="25"/>
      <c r="E732" s="25"/>
      <c r="M732" s="12"/>
      <c r="N732" s="122"/>
      <c r="O732" s="122"/>
      <c r="P732" s="122"/>
      <c r="Q732" s="122"/>
    </row>
    <row r="733" spans="2:17" ht="14.25" customHeight="1" x14ac:dyDescent="0.3">
      <c r="B733" s="23"/>
      <c r="D733" s="25"/>
      <c r="E733" s="25"/>
      <c r="M733" s="12"/>
      <c r="N733" s="122"/>
      <c r="O733" s="122"/>
      <c r="P733" s="122"/>
      <c r="Q733" s="122"/>
    </row>
    <row r="734" spans="2:17" ht="14.25" customHeight="1" x14ac:dyDescent="0.3">
      <c r="B734" s="23"/>
      <c r="D734" s="25"/>
      <c r="E734" s="25"/>
      <c r="M734" s="12"/>
      <c r="N734" s="122"/>
      <c r="O734" s="122"/>
      <c r="P734" s="122"/>
      <c r="Q734" s="122"/>
    </row>
    <row r="735" spans="2:17" ht="14.25" customHeight="1" x14ac:dyDescent="0.3">
      <c r="B735" s="23"/>
      <c r="D735" s="25"/>
      <c r="E735" s="25"/>
      <c r="M735" s="12"/>
      <c r="N735" s="122"/>
      <c r="O735" s="122"/>
      <c r="P735" s="122"/>
      <c r="Q735" s="122"/>
    </row>
    <row r="736" spans="2:17" ht="14.25" customHeight="1" x14ac:dyDescent="0.3">
      <c r="B736" s="23"/>
      <c r="D736" s="25"/>
      <c r="E736" s="25"/>
      <c r="M736" s="12"/>
      <c r="N736" s="122"/>
      <c r="O736" s="122"/>
      <c r="P736" s="122"/>
      <c r="Q736" s="122"/>
    </row>
    <row r="737" spans="2:17" ht="14.25" customHeight="1" x14ac:dyDescent="0.3">
      <c r="B737" s="23"/>
      <c r="D737" s="25"/>
      <c r="E737" s="25"/>
      <c r="M737" s="12"/>
      <c r="N737" s="122"/>
      <c r="O737" s="122"/>
      <c r="P737" s="122"/>
      <c r="Q737" s="122"/>
    </row>
    <row r="738" spans="2:17" ht="14.25" customHeight="1" x14ac:dyDescent="0.3">
      <c r="B738" s="23"/>
      <c r="D738" s="25"/>
      <c r="E738" s="25"/>
      <c r="M738" s="12"/>
      <c r="N738" s="122"/>
      <c r="O738" s="122"/>
      <c r="P738" s="122"/>
      <c r="Q738" s="122"/>
    </row>
    <row r="739" spans="2:17" ht="14.25" customHeight="1" x14ac:dyDescent="0.3">
      <c r="B739" s="23"/>
      <c r="D739" s="25"/>
      <c r="E739" s="25"/>
      <c r="M739" s="12"/>
      <c r="N739" s="122"/>
      <c r="O739" s="122"/>
      <c r="P739" s="122"/>
      <c r="Q739" s="122"/>
    </row>
    <row r="740" spans="2:17" ht="14.25" customHeight="1" x14ac:dyDescent="0.3">
      <c r="B740" s="23"/>
      <c r="D740" s="25"/>
      <c r="E740" s="25"/>
      <c r="M740" s="12"/>
      <c r="N740" s="122"/>
      <c r="O740" s="122"/>
      <c r="P740" s="122"/>
      <c r="Q740" s="122"/>
    </row>
    <row r="741" spans="2:17" ht="14.25" customHeight="1" x14ac:dyDescent="0.3">
      <c r="B741" s="23"/>
      <c r="D741" s="25"/>
      <c r="E741" s="25"/>
      <c r="M741" s="12"/>
      <c r="N741" s="122"/>
      <c r="O741" s="122"/>
      <c r="P741" s="122"/>
      <c r="Q741" s="122"/>
    </row>
    <row r="742" spans="2:17" ht="14.25" customHeight="1" x14ac:dyDescent="0.3">
      <c r="B742" s="23"/>
      <c r="D742" s="25"/>
      <c r="E742" s="25"/>
      <c r="M742" s="12"/>
      <c r="N742" s="122"/>
      <c r="O742" s="122"/>
      <c r="P742" s="122"/>
      <c r="Q742" s="122"/>
    </row>
    <row r="743" spans="2:17" ht="14.25" customHeight="1" x14ac:dyDescent="0.3">
      <c r="B743" s="23"/>
      <c r="D743" s="25"/>
      <c r="E743" s="25"/>
      <c r="M743" s="12"/>
      <c r="N743" s="122"/>
      <c r="O743" s="122"/>
      <c r="P743" s="122"/>
      <c r="Q743" s="122"/>
    </row>
    <row r="744" spans="2:17" ht="14.25" customHeight="1" x14ac:dyDescent="0.3">
      <c r="B744" s="23"/>
      <c r="D744" s="25"/>
      <c r="E744" s="25"/>
      <c r="M744" s="12"/>
      <c r="N744" s="122"/>
      <c r="O744" s="122"/>
      <c r="P744" s="122"/>
      <c r="Q744" s="122"/>
    </row>
    <row r="745" spans="2:17" ht="14.25" customHeight="1" x14ac:dyDescent="0.3">
      <c r="B745" s="23"/>
      <c r="D745" s="25"/>
      <c r="E745" s="25"/>
      <c r="M745" s="12"/>
      <c r="N745" s="122"/>
      <c r="O745" s="122"/>
      <c r="P745" s="122"/>
      <c r="Q745" s="122"/>
    </row>
    <row r="746" spans="2:17" ht="14.25" customHeight="1" x14ac:dyDescent="0.3">
      <c r="B746" s="23"/>
      <c r="D746" s="25"/>
      <c r="E746" s="25"/>
      <c r="M746" s="12"/>
      <c r="N746" s="122"/>
      <c r="O746" s="122"/>
      <c r="P746" s="122"/>
      <c r="Q746" s="122"/>
    </row>
    <row r="747" spans="2:17" ht="14.25" customHeight="1" x14ac:dyDescent="0.3">
      <c r="B747" s="23"/>
      <c r="D747" s="25"/>
      <c r="E747" s="25"/>
      <c r="M747" s="12"/>
      <c r="N747" s="122"/>
      <c r="O747" s="122"/>
      <c r="P747" s="122"/>
      <c r="Q747" s="122"/>
    </row>
    <row r="748" spans="2:17" ht="14.25" customHeight="1" x14ac:dyDescent="0.3">
      <c r="B748" s="23"/>
      <c r="D748" s="25"/>
      <c r="E748" s="25"/>
      <c r="M748" s="12"/>
      <c r="N748" s="122"/>
      <c r="O748" s="122"/>
      <c r="P748" s="122"/>
      <c r="Q748" s="122"/>
    </row>
    <row r="749" spans="2:17" ht="14.25" customHeight="1" x14ac:dyDescent="0.3">
      <c r="B749" s="23"/>
      <c r="D749" s="25"/>
      <c r="E749" s="25"/>
      <c r="M749" s="12"/>
      <c r="N749" s="122"/>
      <c r="O749" s="122"/>
      <c r="P749" s="122"/>
      <c r="Q749" s="122"/>
    </row>
    <row r="750" spans="2:17" ht="14.25" customHeight="1" x14ac:dyDescent="0.3">
      <c r="B750" s="23"/>
      <c r="D750" s="25"/>
      <c r="E750" s="25"/>
      <c r="M750" s="12"/>
      <c r="N750" s="122"/>
      <c r="O750" s="122"/>
      <c r="P750" s="122"/>
      <c r="Q750" s="122"/>
    </row>
    <row r="751" spans="2:17" ht="14.25" customHeight="1" x14ac:dyDescent="0.3">
      <c r="B751" s="23"/>
      <c r="D751" s="25"/>
      <c r="E751" s="25"/>
      <c r="M751" s="12"/>
      <c r="N751" s="122"/>
      <c r="O751" s="122"/>
      <c r="P751" s="122"/>
      <c r="Q751" s="122"/>
    </row>
    <row r="752" spans="2:17" ht="14.25" customHeight="1" x14ac:dyDescent="0.3">
      <c r="B752" s="23"/>
      <c r="D752" s="25"/>
      <c r="E752" s="25"/>
      <c r="M752" s="12"/>
      <c r="N752" s="122"/>
      <c r="O752" s="122"/>
      <c r="P752" s="122"/>
      <c r="Q752" s="122"/>
    </row>
    <row r="753" spans="2:17" ht="14.25" customHeight="1" x14ac:dyDescent="0.3">
      <c r="B753" s="23"/>
      <c r="D753" s="25"/>
      <c r="E753" s="25"/>
      <c r="M753" s="12"/>
      <c r="N753" s="122"/>
      <c r="O753" s="122"/>
      <c r="P753" s="122"/>
      <c r="Q753" s="122"/>
    </row>
    <row r="754" spans="2:17" ht="14.25" customHeight="1" x14ac:dyDescent="0.3">
      <c r="B754" s="23"/>
      <c r="D754" s="25"/>
      <c r="E754" s="25"/>
      <c r="M754" s="12"/>
      <c r="N754" s="122"/>
      <c r="O754" s="122"/>
      <c r="P754" s="122"/>
      <c r="Q754" s="122"/>
    </row>
    <row r="755" spans="2:17" ht="14.25" customHeight="1" x14ac:dyDescent="0.3">
      <c r="B755" s="23"/>
      <c r="D755" s="25"/>
      <c r="E755" s="25"/>
      <c r="M755" s="12"/>
      <c r="N755" s="122"/>
      <c r="O755" s="122"/>
      <c r="P755" s="122"/>
      <c r="Q755" s="122"/>
    </row>
    <row r="756" spans="2:17" ht="14.25" customHeight="1" x14ac:dyDescent="0.3">
      <c r="B756" s="23"/>
      <c r="D756" s="25"/>
      <c r="E756" s="25"/>
      <c r="M756" s="12"/>
      <c r="N756" s="122"/>
      <c r="O756" s="122"/>
      <c r="P756" s="122"/>
      <c r="Q756" s="122"/>
    </row>
    <row r="757" spans="2:17" ht="14.25" customHeight="1" x14ac:dyDescent="0.3">
      <c r="B757" s="23"/>
      <c r="D757" s="25"/>
      <c r="E757" s="25"/>
      <c r="M757" s="12"/>
      <c r="N757" s="122"/>
      <c r="O757" s="122"/>
      <c r="P757" s="122"/>
      <c r="Q757" s="122"/>
    </row>
    <row r="758" spans="2:17" ht="14.25" customHeight="1" x14ac:dyDescent="0.3">
      <c r="B758" s="23"/>
      <c r="D758" s="25"/>
      <c r="E758" s="25"/>
      <c r="M758" s="12"/>
      <c r="N758" s="122"/>
      <c r="O758" s="122"/>
      <c r="P758" s="122"/>
      <c r="Q758" s="122"/>
    </row>
    <row r="759" spans="2:17" ht="14.25" customHeight="1" x14ac:dyDescent="0.3">
      <c r="B759" s="23"/>
      <c r="D759" s="25"/>
      <c r="E759" s="25"/>
      <c r="M759" s="12"/>
      <c r="N759" s="122"/>
      <c r="O759" s="122"/>
      <c r="P759" s="122"/>
      <c r="Q759" s="122"/>
    </row>
    <row r="760" spans="2:17" ht="14.25" customHeight="1" x14ac:dyDescent="0.3">
      <c r="B760" s="23"/>
      <c r="D760" s="25"/>
      <c r="E760" s="25"/>
      <c r="M760" s="12"/>
      <c r="N760" s="122"/>
      <c r="O760" s="122"/>
      <c r="P760" s="122"/>
      <c r="Q760" s="122"/>
    </row>
    <row r="761" spans="2:17" ht="14.25" customHeight="1" x14ac:dyDescent="0.3">
      <c r="B761" s="23"/>
      <c r="D761" s="25"/>
      <c r="E761" s="25"/>
      <c r="M761" s="12"/>
      <c r="N761" s="122"/>
      <c r="O761" s="122"/>
      <c r="P761" s="122"/>
      <c r="Q761" s="122"/>
    </row>
    <row r="762" spans="2:17" ht="14.25" customHeight="1" x14ac:dyDescent="0.3">
      <c r="B762" s="23"/>
      <c r="D762" s="25"/>
      <c r="E762" s="25"/>
      <c r="M762" s="12"/>
      <c r="N762" s="122"/>
      <c r="O762" s="122"/>
      <c r="P762" s="122"/>
      <c r="Q762" s="122"/>
    </row>
    <row r="763" spans="2:17" ht="14.25" customHeight="1" x14ac:dyDescent="0.3">
      <c r="B763" s="23"/>
      <c r="D763" s="25"/>
      <c r="E763" s="25"/>
      <c r="M763" s="12"/>
      <c r="N763" s="122"/>
      <c r="O763" s="122"/>
      <c r="P763" s="122"/>
      <c r="Q763" s="122"/>
    </row>
    <row r="764" spans="2:17" ht="14.25" customHeight="1" x14ac:dyDescent="0.3">
      <c r="B764" s="23"/>
      <c r="D764" s="25"/>
      <c r="E764" s="25"/>
      <c r="M764" s="12"/>
      <c r="N764" s="122"/>
      <c r="O764" s="122"/>
      <c r="P764" s="122"/>
      <c r="Q764" s="122"/>
    </row>
    <row r="765" spans="2:17" ht="14.25" customHeight="1" x14ac:dyDescent="0.3">
      <c r="B765" s="23"/>
      <c r="D765" s="25"/>
      <c r="E765" s="25"/>
      <c r="M765" s="12"/>
      <c r="N765" s="122"/>
      <c r="O765" s="122"/>
      <c r="P765" s="122"/>
      <c r="Q765" s="122"/>
    </row>
    <row r="766" spans="2:17" ht="14.25" customHeight="1" x14ac:dyDescent="0.3">
      <c r="B766" s="23"/>
      <c r="D766" s="25"/>
      <c r="E766" s="25"/>
      <c r="M766" s="12"/>
      <c r="N766" s="122"/>
      <c r="O766" s="122"/>
      <c r="P766" s="122"/>
      <c r="Q766" s="122"/>
    </row>
    <row r="767" spans="2:17" ht="14.25" customHeight="1" x14ac:dyDescent="0.3">
      <c r="B767" s="23"/>
      <c r="D767" s="25"/>
      <c r="E767" s="25"/>
      <c r="M767" s="12"/>
      <c r="N767" s="122"/>
      <c r="O767" s="122"/>
      <c r="P767" s="122"/>
      <c r="Q767" s="122"/>
    </row>
    <row r="768" spans="2:17" ht="14.25" customHeight="1" x14ac:dyDescent="0.3">
      <c r="B768" s="23"/>
      <c r="D768" s="25"/>
      <c r="E768" s="25"/>
      <c r="M768" s="12"/>
      <c r="N768" s="122"/>
      <c r="O768" s="122"/>
      <c r="P768" s="122"/>
      <c r="Q768" s="122"/>
    </row>
    <row r="769" spans="2:17" ht="14.25" customHeight="1" x14ac:dyDescent="0.3">
      <c r="B769" s="23"/>
      <c r="D769" s="25"/>
      <c r="E769" s="25"/>
      <c r="M769" s="12"/>
      <c r="N769" s="122"/>
      <c r="O769" s="122"/>
      <c r="P769" s="122"/>
      <c r="Q769" s="122"/>
    </row>
    <row r="770" spans="2:17" ht="14.25" customHeight="1" x14ac:dyDescent="0.3">
      <c r="B770" s="23"/>
      <c r="D770" s="25"/>
      <c r="E770" s="25"/>
      <c r="M770" s="12"/>
      <c r="N770" s="122"/>
      <c r="O770" s="122"/>
      <c r="P770" s="122"/>
      <c r="Q770" s="122"/>
    </row>
    <row r="771" spans="2:17" ht="14.25" customHeight="1" x14ac:dyDescent="0.3">
      <c r="B771" s="23"/>
      <c r="D771" s="25"/>
      <c r="E771" s="25"/>
      <c r="M771" s="12"/>
      <c r="N771" s="122"/>
      <c r="O771" s="122"/>
      <c r="P771" s="122"/>
      <c r="Q771" s="122"/>
    </row>
    <row r="772" spans="2:17" ht="14.25" customHeight="1" x14ac:dyDescent="0.3">
      <c r="B772" s="23"/>
      <c r="D772" s="25"/>
      <c r="E772" s="25"/>
      <c r="M772" s="12"/>
      <c r="N772" s="122"/>
      <c r="O772" s="122"/>
      <c r="P772" s="122"/>
      <c r="Q772" s="122"/>
    </row>
    <row r="773" spans="2:17" ht="14.25" customHeight="1" x14ac:dyDescent="0.3">
      <c r="B773" s="23"/>
      <c r="D773" s="25"/>
      <c r="E773" s="25"/>
      <c r="M773" s="12"/>
      <c r="N773" s="122"/>
      <c r="O773" s="122"/>
      <c r="P773" s="122"/>
      <c r="Q773" s="122"/>
    </row>
    <row r="774" spans="2:17" ht="14.25" customHeight="1" x14ac:dyDescent="0.3">
      <c r="B774" s="23"/>
      <c r="D774" s="25"/>
      <c r="E774" s="25"/>
      <c r="M774" s="12"/>
      <c r="N774" s="122"/>
      <c r="O774" s="122"/>
      <c r="P774" s="122"/>
      <c r="Q774" s="122"/>
    </row>
    <row r="775" spans="2:17" ht="14.25" customHeight="1" x14ac:dyDescent="0.3">
      <c r="B775" s="23"/>
      <c r="D775" s="25"/>
      <c r="E775" s="25"/>
      <c r="M775" s="12"/>
      <c r="N775" s="122"/>
      <c r="O775" s="122"/>
      <c r="P775" s="122"/>
      <c r="Q775" s="122"/>
    </row>
    <row r="776" spans="2:17" ht="14.25" customHeight="1" x14ac:dyDescent="0.3">
      <c r="B776" s="23"/>
      <c r="D776" s="25"/>
      <c r="E776" s="25"/>
      <c r="M776" s="12"/>
      <c r="N776" s="122"/>
      <c r="O776" s="122"/>
      <c r="P776" s="122"/>
      <c r="Q776" s="122"/>
    </row>
    <row r="777" spans="2:17" ht="14.25" customHeight="1" x14ac:dyDescent="0.3">
      <c r="B777" s="23"/>
      <c r="D777" s="25"/>
      <c r="E777" s="25"/>
      <c r="M777" s="12"/>
      <c r="N777" s="122"/>
      <c r="O777" s="122"/>
      <c r="P777" s="122"/>
      <c r="Q777" s="122"/>
    </row>
    <row r="778" spans="2:17" ht="14.25" customHeight="1" x14ac:dyDescent="0.3">
      <c r="B778" s="23"/>
      <c r="D778" s="25"/>
      <c r="E778" s="25"/>
      <c r="M778" s="12"/>
      <c r="N778" s="122"/>
      <c r="O778" s="122"/>
      <c r="P778" s="122"/>
      <c r="Q778" s="122"/>
    </row>
    <row r="779" spans="2:17" ht="14.25" customHeight="1" x14ac:dyDescent="0.3">
      <c r="B779" s="23"/>
      <c r="D779" s="25"/>
      <c r="E779" s="25"/>
      <c r="M779" s="12"/>
      <c r="N779" s="122"/>
      <c r="O779" s="122"/>
      <c r="P779" s="122"/>
      <c r="Q779" s="122"/>
    </row>
    <row r="780" spans="2:17" ht="14.25" customHeight="1" x14ac:dyDescent="0.3">
      <c r="B780" s="23"/>
      <c r="D780" s="25"/>
      <c r="E780" s="25"/>
      <c r="M780" s="12"/>
      <c r="N780" s="122"/>
      <c r="O780" s="122"/>
      <c r="P780" s="122"/>
      <c r="Q780" s="122"/>
    </row>
    <row r="781" spans="2:17" ht="14.25" customHeight="1" x14ac:dyDescent="0.3">
      <c r="B781" s="23"/>
      <c r="D781" s="25"/>
      <c r="E781" s="25"/>
      <c r="M781" s="12"/>
      <c r="N781" s="122"/>
      <c r="O781" s="122"/>
      <c r="P781" s="122"/>
      <c r="Q781" s="122"/>
    </row>
    <row r="782" spans="2:17" ht="14.25" customHeight="1" x14ac:dyDescent="0.3">
      <c r="B782" s="23"/>
      <c r="D782" s="25"/>
      <c r="E782" s="25"/>
      <c r="M782" s="12"/>
      <c r="N782" s="122"/>
      <c r="O782" s="122"/>
      <c r="P782" s="122"/>
      <c r="Q782" s="122"/>
    </row>
    <row r="783" spans="2:17" ht="14.25" customHeight="1" x14ac:dyDescent="0.3">
      <c r="B783" s="23"/>
      <c r="D783" s="25"/>
      <c r="E783" s="25"/>
      <c r="M783" s="12"/>
      <c r="N783" s="122"/>
      <c r="O783" s="122"/>
      <c r="P783" s="122"/>
      <c r="Q783" s="122"/>
    </row>
    <row r="784" spans="2:17" ht="14.25" customHeight="1" x14ac:dyDescent="0.3">
      <c r="B784" s="23"/>
      <c r="D784" s="25"/>
      <c r="E784" s="25"/>
      <c r="M784" s="12"/>
      <c r="N784" s="122"/>
      <c r="O784" s="122"/>
      <c r="P784" s="122"/>
      <c r="Q784" s="122"/>
    </row>
    <row r="785" spans="2:17" ht="14.25" customHeight="1" x14ac:dyDescent="0.3">
      <c r="B785" s="23"/>
      <c r="D785" s="25"/>
      <c r="E785" s="25"/>
      <c r="M785" s="12"/>
      <c r="N785" s="122"/>
      <c r="O785" s="122"/>
      <c r="P785" s="122"/>
      <c r="Q785" s="122"/>
    </row>
    <row r="786" spans="2:17" ht="14.25" customHeight="1" x14ac:dyDescent="0.3">
      <c r="B786" s="23"/>
      <c r="D786" s="25"/>
      <c r="E786" s="25"/>
      <c r="M786" s="12"/>
      <c r="N786" s="122"/>
      <c r="O786" s="122"/>
      <c r="P786" s="122"/>
      <c r="Q786" s="122"/>
    </row>
    <row r="787" spans="2:17" ht="14.25" customHeight="1" x14ac:dyDescent="0.3">
      <c r="B787" s="23"/>
      <c r="D787" s="25"/>
      <c r="E787" s="25"/>
      <c r="M787" s="12"/>
      <c r="N787" s="122"/>
      <c r="O787" s="122"/>
      <c r="P787" s="122"/>
      <c r="Q787" s="122"/>
    </row>
    <row r="788" spans="2:17" ht="14.25" customHeight="1" x14ac:dyDescent="0.3">
      <c r="B788" s="23"/>
      <c r="D788" s="25"/>
      <c r="E788" s="25"/>
      <c r="M788" s="12"/>
      <c r="N788" s="122"/>
      <c r="O788" s="122"/>
      <c r="P788" s="122"/>
      <c r="Q788" s="122"/>
    </row>
    <row r="789" spans="2:17" ht="14.25" customHeight="1" x14ac:dyDescent="0.3">
      <c r="B789" s="23"/>
      <c r="D789" s="25"/>
      <c r="E789" s="25"/>
      <c r="M789" s="12"/>
      <c r="N789" s="122"/>
      <c r="O789" s="122"/>
      <c r="P789" s="122"/>
      <c r="Q789" s="122"/>
    </row>
    <row r="790" spans="2:17" ht="14.25" customHeight="1" x14ac:dyDescent="0.3">
      <c r="B790" s="23"/>
      <c r="D790" s="25"/>
      <c r="E790" s="25"/>
      <c r="M790" s="12"/>
      <c r="N790" s="122"/>
      <c r="O790" s="122"/>
      <c r="P790" s="122"/>
      <c r="Q790" s="122"/>
    </row>
    <row r="791" spans="2:17" ht="14.25" customHeight="1" x14ac:dyDescent="0.3">
      <c r="B791" s="23"/>
      <c r="D791" s="25"/>
      <c r="E791" s="25"/>
      <c r="M791" s="12"/>
      <c r="N791" s="122"/>
      <c r="O791" s="122"/>
      <c r="P791" s="122"/>
      <c r="Q791" s="122"/>
    </row>
    <row r="792" spans="2:17" ht="14.25" customHeight="1" x14ac:dyDescent="0.3">
      <c r="B792" s="23"/>
      <c r="D792" s="25"/>
      <c r="E792" s="25"/>
      <c r="M792" s="12"/>
      <c r="N792" s="122"/>
      <c r="O792" s="122"/>
      <c r="P792" s="122"/>
      <c r="Q792" s="122"/>
    </row>
    <row r="793" spans="2:17" ht="14.25" customHeight="1" x14ac:dyDescent="0.3">
      <c r="B793" s="23"/>
      <c r="D793" s="25"/>
      <c r="E793" s="25"/>
      <c r="M793" s="12"/>
      <c r="N793" s="122"/>
      <c r="O793" s="122"/>
      <c r="P793" s="122"/>
      <c r="Q793" s="122"/>
    </row>
    <row r="794" spans="2:17" ht="14.25" customHeight="1" x14ac:dyDescent="0.3">
      <c r="B794" s="23"/>
      <c r="D794" s="25"/>
      <c r="E794" s="25"/>
      <c r="M794" s="12"/>
      <c r="N794" s="122"/>
      <c r="O794" s="122"/>
      <c r="P794" s="122"/>
      <c r="Q794" s="122"/>
    </row>
    <row r="795" spans="2:17" ht="14.25" customHeight="1" x14ac:dyDescent="0.3">
      <c r="B795" s="23"/>
      <c r="D795" s="25"/>
      <c r="E795" s="25"/>
      <c r="M795" s="12"/>
      <c r="N795" s="122"/>
      <c r="O795" s="122"/>
      <c r="P795" s="122"/>
      <c r="Q795" s="122"/>
    </row>
    <row r="796" spans="2:17" ht="14.25" customHeight="1" x14ac:dyDescent="0.3">
      <c r="B796" s="23"/>
      <c r="D796" s="25"/>
      <c r="E796" s="25"/>
      <c r="M796" s="12"/>
      <c r="N796" s="122"/>
      <c r="O796" s="122"/>
      <c r="P796" s="122"/>
      <c r="Q796" s="122"/>
    </row>
    <row r="797" spans="2:17" ht="14.25" customHeight="1" x14ac:dyDescent="0.3">
      <c r="B797" s="23"/>
      <c r="D797" s="25"/>
      <c r="E797" s="25"/>
      <c r="M797" s="12"/>
      <c r="N797" s="122"/>
      <c r="O797" s="122"/>
      <c r="P797" s="122"/>
      <c r="Q797" s="122"/>
    </row>
    <row r="798" spans="2:17" ht="14.25" customHeight="1" x14ac:dyDescent="0.3">
      <c r="B798" s="23"/>
      <c r="D798" s="25"/>
      <c r="E798" s="25"/>
      <c r="M798" s="12"/>
      <c r="N798" s="122"/>
      <c r="O798" s="122"/>
      <c r="P798" s="122"/>
      <c r="Q798" s="122"/>
    </row>
    <row r="799" spans="2:17" ht="14.25" customHeight="1" x14ac:dyDescent="0.3">
      <c r="B799" s="23"/>
      <c r="D799" s="25"/>
      <c r="E799" s="25"/>
      <c r="M799" s="12"/>
      <c r="N799" s="122"/>
      <c r="O799" s="122"/>
      <c r="P799" s="122"/>
      <c r="Q799" s="122"/>
    </row>
    <row r="800" spans="2:17" ht="14.25" customHeight="1" x14ac:dyDescent="0.3">
      <c r="B800" s="23"/>
      <c r="D800" s="25"/>
      <c r="E800" s="25"/>
      <c r="M800" s="12"/>
      <c r="N800" s="122"/>
      <c r="O800" s="122"/>
      <c r="P800" s="122"/>
      <c r="Q800" s="122"/>
    </row>
    <row r="801" spans="2:17" ht="14.25" customHeight="1" x14ac:dyDescent="0.3">
      <c r="B801" s="23"/>
      <c r="D801" s="25"/>
      <c r="E801" s="25"/>
      <c r="M801" s="12"/>
      <c r="N801" s="122"/>
      <c r="O801" s="122"/>
      <c r="P801" s="122"/>
      <c r="Q801" s="122"/>
    </row>
    <row r="802" spans="2:17" ht="14.25" customHeight="1" x14ac:dyDescent="0.3">
      <c r="B802" s="23"/>
      <c r="D802" s="25"/>
      <c r="E802" s="25"/>
      <c r="M802" s="12"/>
      <c r="N802" s="122"/>
      <c r="O802" s="122"/>
      <c r="P802" s="122"/>
      <c r="Q802" s="122"/>
    </row>
    <row r="803" spans="2:17" ht="14.25" customHeight="1" x14ac:dyDescent="0.3">
      <c r="B803" s="23"/>
      <c r="D803" s="25"/>
      <c r="E803" s="25"/>
      <c r="M803" s="12"/>
      <c r="N803" s="122"/>
      <c r="O803" s="122"/>
      <c r="P803" s="122"/>
      <c r="Q803" s="122"/>
    </row>
    <row r="804" spans="2:17" ht="14.25" customHeight="1" x14ac:dyDescent="0.3">
      <c r="B804" s="23"/>
      <c r="D804" s="25"/>
      <c r="E804" s="25"/>
      <c r="M804" s="12"/>
      <c r="N804" s="122"/>
      <c r="O804" s="122"/>
      <c r="P804" s="122"/>
      <c r="Q804" s="122"/>
    </row>
    <row r="805" spans="2:17" ht="14.25" customHeight="1" x14ac:dyDescent="0.3">
      <c r="B805" s="23"/>
      <c r="D805" s="25"/>
      <c r="E805" s="25"/>
      <c r="M805" s="12"/>
      <c r="N805" s="122"/>
      <c r="O805" s="122"/>
      <c r="P805" s="122"/>
      <c r="Q805" s="122"/>
    </row>
    <row r="806" spans="2:17" ht="14.25" customHeight="1" x14ac:dyDescent="0.3">
      <c r="B806" s="23"/>
      <c r="D806" s="25"/>
      <c r="E806" s="25"/>
      <c r="M806" s="12"/>
      <c r="N806" s="122"/>
      <c r="O806" s="122"/>
      <c r="P806" s="122"/>
      <c r="Q806" s="122"/>
    </row>
    <row r="807" spans="2:17" ht="14.25" customHeight="1" x14ac:dyDescent="0.3">
      <c r="B807" s="23"/>
      <c r="D807" s="25"/>
      <c r="E807" s="25"/>
      <c r="M807" s="12"/>
      <c r="N807" s="122"/>
      <c r="O807" s="122"/>
      <c r="P807" s="122"/>
      <c r="Q807" s="122"/>
    </row>
    <row r="808" spans="2:17" ht="14.25" customHeight="1" x14ac:dyDescent="0.3">
      <c r="B808" s="23"/>
      <c r="D808" s="25"/>
      <c r="E808" s="25"/>
      <c r="M808" s="12"/>
      <c r="N808" s="122"/>
      <c r="O808" s="122"/>
      <c r="P808" s="122"/>
      <c r="Q808" s="122"/>
    </row>
    <row r="809" spans="2:17" ht="14.25" customHeight="1" x14ac:dyDescent="0.3">
      <c r="B809" s="23"/>
      <c r="D809" s="25"/>
      <c r="E809" s="25"/>
      <c r="M809" s="12"/>
      <c r="N809" s="122"/>
      <c r="O809" s="122"/>
      <c r="P809" s="122"/>
      <c r="Q809" s="122"/>
    </row>
    <row r="810" spans="2:17" ht="14.25" customHeight="1" x14ac:dyDescent="0.3">
      <c r="B810" s="23"/>
      <c r="D810" s="25"/>
      <c r="E810" s="25"/>
      <c r="M810" s="12"/>
      <c r="N810" s="122"/>
      <c r="O810" s="122"/>
      <c r="P810" s="122"/>
      <c r="Q810" s="122"/>
    </row>
    <row r="811" spans="2:17" ht="14.25" customHeight="1" x14ac:dyDescent="0.3">
      <c r="B811" s="23"/>
      <c r="D811" s="25"/>
      <c r="E811" s="25"/>
      <c r="M811" s="12"/>
      <c r="N811" s="122"/>
      <c r="O811" s="122"/>
      <c r="P811" s="122"/>
      <c r="Q811" s="122"/>
    </row>
    <row r="812" spans="2:17" ht="14.25" customHeight="1" x14ac:dyDescent="0.3">
      <c r="B812" s="23"/>
      <c r="D812" s="25"/>
      <c r="E812" s="25"/>
      <c r="M812" s="12"/>
      <c r="N812" s="122"/>
      <c r="O812" s="122"/>
      <c r="P812" s="122"/>
      <c r="Q812" s="122"/>
    </row>
    <row r="813" spans="2:17" ht="14.25" customHeight="1" x14ac:dyDescent="0.3">
      <c r="B813" s="23"/>
      <c r="D813" s="25"/>
      <c r="E813" s="25"/>
      <c r="M813" s="12"/>
      <c r="N813" s="122"/>
      <c r="O813" s="122"/>
      <c r="P813" s="122"/>
      <c r="Q813" s="122"/>
    </row>
    <row r="814" spans="2:17" ht="14.25" customHeight="1" x14ac:dyDescent="0.3">
      <c r="B814" s="23"/>
      <c r="D814" s="25"/>
      <c r="E814" s="25"/>
      <c r="M814" s="12"/>
      <c r="N814" s="122"/>
      <c r="O814" s="122"/>
      <c r="P814" s="122"/>
      <c r="Q814" s="122"/>
    </row>
    <row r="815" spans="2:17" ht="14.25" customHeight="1" x14ac:dyDescent="0.3">
      <c r="B815" s="23"/>
      <c r="D815" s="25"/>
      <c r="E815" s="25"/>
      <c r="M815" s="12"/>
      <c r="N815" s="122"/>
      <c r="O815" s="122"/>
      <c r="P815" s="122"/>
      <c r="Q815" s="122"/>
    </row>
    <row r="816" spans="2:17" ht="14.25" customHeight="1" x14ac:dyDescent="0.3">
      <c r="B816" s="23"/>
      <c r="D816" s="25"/>
      <c r="E816" s="25"/>
      <c r="M816" s="12"/>
      <c r="N816" s="122"/>
      <c r="O816" s="122"/>
      <c r="P816" s="122"/>
      <c r="Q816" s="122"/>
    </row>
    <row r="817" spans="2:17" ht="14.25" customHeight="1" x14ac:dyDescent="0.3">
      <c r="B817" s="23"/>
      <c r="D817" s="25"/>
      <c r="E817" s="25"/>
      <c r="M817" s="12"/>
      <c r="N817" s="122"/>
      <c r="O817" s="122"/>
      <c r="P817" s="122"/>
      <c r="Q817" s="122"/>
    </row>
    <row r="818" spans="2:17" ht="14.25" customHeight="1" x14ac:dyDescent="0.3">
      <c r="B818" s="23"/>
      <c r="D818" s="25"/>
      <c r="E818" s="25"/>
      <c r="M818" s="12"/>
      <c r="N818" s="122"/>
      <c r="O818" s="122"/>
      <c r="P818" s="122"/>
      <c r="Q818" s="122"/>
    </row>
    <row r="819" spans="2:17" ht="14.25" customHeight="1" x14ac:dyDescent="0.3">
      <c r="B819" s="23"/>
      <c r="D819" s="25"/>
      <c r="E819" s="25"/>
      <c r="M819" s="12"/>
      <c r="N819" s="122"/>
      <c r="O819" s="122"/>
      <c r="P819" s="122"/>
      <c r="Q819" s="122"/>
    </row>
    <row r="820" spans="2:17" ht="14.25" customHeight="1" x14ac:dyDescent="0.3">
      <c r="B820" s="23"/>
      <c r="D820" s="25"/>
      <c r="E820" s="25"/>
      <c r="M820" s="12"/>
      <c r="N820" s="122"/>
      <c r="O820" s="122"/>
      <c r="P820" s="122"/>
      <c r="Q820" s="122"/>
    </row>
    <row r="821" spans="2:17" ht="14.25" customHeight="1" x14ac:dyDescent="0.3">
      <c r="B821" s="23"/>
      <c r="D821" s="25"/>
      <c r="E821" s="25"/>
      <c r="M821" s="12"/>
      <c r="N821" s="122"/>
      <c r="O821" s="122"/>
      <c r="P821" s="122"/>
      <c r="Q821" s="122"/>
    </row>
    <row r="822" spans="2:17" ht="14.25" customHeight="1" x14ac:dyDescent="0.3">
      <c r="B822" s="23"/>
      <c r="D822" s="25"/>
      <c r="E822" s="25"/>
      <c r="M822" s="12"/>
      <c r="N822" s="122"/>
      <c r="O822" s="122"/>
      <c r="P822" s="122"/>
      <c r="Q822" s="122"/>
    </row>
    <row r="823" spans="2:17" ht="14.25" customHeight="1" x14ac:dyDescent="0.3">
      <c r="B823" s="23"/>
      <c r="D823" s="25"/>
      <c r="E823" s="25"/>
      <c r="M823" s="12"/>
      <c r="N823" s="122"/>
      <c r="O823" s="122"/>
      <c r="P823" s="122"/>
      <c r="Q823" s="122"/>
    </row>
    <row r="824" spans="2:17" ht="14.25" customHeight="1" x14ac:dyDescent="0.3">
      <c r="B824" s="23"/>
      <c r="D824" s="25"/>
      <c r="E824" s="25"/>
      <c r="M824" s="12"/>
      <c r="N824" s="122"/>
      <c r="O824" s="122"/>
      <c r="P824" s="122"/>
      <c r="Q824" s="122"/>
    </row>
    <row r="825" spans="2:17" ht="14.25" customHeight="1" x14ac:dyDescent="0.3">
      <c r="B825" s="23"/>
      <c r="D825" s="25"/>
      <c r="E825" s="25"/>
      <c r="M825" s="12"/>
      <c r="N825" s="122"/>
      <c r="O825" s="122"/>
      <c r="P825" s="122"/>
      <c r="Q825" s="122"/>
    </row>
    <row r="826" spans="2:17" ht="14.25" customHeight="1" x14ac:dyDescent="0.3">
      <c r="B826" s="23"/>
      <c r="D826" s="25"/>
      <c r="E826" s="25"/>
      <c r="M826" s="12"/>
      <c r="N826" s="122"/>
      <c r="O826" s="122"/>
      <c r="P826" s="122"/>
      <c r="Q826" s="122"/>
    </row>
    <row r="827" spans="2:17" ht="14.25" customHeight="1" x14ac:dyDescent="0.3">
      <c r="B827" s="23"/>
      <c r="D827" s="25"/>
      <c r="E827" s="25"/>
      <c r="M827" s="12"/>
      <c r="N827" s="122"/>
      <c r="O827" s="122"/>
      <c r="P827" s="122"/>
      <c r="Q827" s="122"/>
    </row>
    <row r="828" spans="2:17" ht="14.25" customHeight="1" x14ac:dyDescent="0.3">
      <c r="B828" s="23"/>
      <c r="D828" s="25"/>
      <c r="E828" s="25"/>
      <c r="M828" s="12"/>
      <c r="N828" s="122"/>
      <c r="O828" s="122"/>
      <c r="P828" s="122"/>
      <c r="Q828" s="122"/>
    </row>
    <row r="829" spans="2:17" ht="14.25" customHeight="1" x14ac:dyDescent="0.3">
      <c r="B829" s="23"/>
      <c r="D829" s="25"/>
      <c r="E829" s="25"/>
      <c r="M829" s="12"/>
      <c r="N829" s="122"/>
      <c r="O829" s="122"/>
      <c r="P829" s="122"/>
      <c r="Q829" s="122"/>
    </row>
    <row r="830" spans="2:17" ht="14.25" customHeight="1" x14ac:dyDescent="0.3">
      <c r="B830" s="23"/>
      <c r="D830" s="25"/>
      <c r="E830" s="25"/>
      <c r="M830" s="12"/>
      <c r="N830" s="122"/>
      <c r="O830" s="122"/>
      <c r="P830" s="122"/>
      <c r="Q830" s="122"/>
    </row>
    <row r="831" spans="2:17" ht="14.25" customHeight="1" x14ac:dyDescent="0.3">
      <c r="B831" s="23"/>
      <c r="D831" s="25"/>
      <c r="E831" s="25"/>
      <c r="M831" s="12"/>
      <c r="N831" s="122"/>
      <c r="O831" s="122"/>
      <c r="P831" s="122"/>
      <c r="Q831" s="122"/>
    </row>
    <row r="832" spans="2:17" ht="14.25" customHeight="1" x14ac:dyDescent="0.3">
      <c r="B832" s="23"/>
      <c r="D832" s="25"/>
      <c r="E832" s="25"/>
      <c r="M832" s="12"/>
      <c r="N832" s="122"/>
      <c r="O832" s="122"/>
      <c r="P832" s="122"/>
      <c r="Q832" s="122"/>
    </row>
    <row r="833" spans="2:17" ht="14.25" customHeight="1" x14ac:dyDescent="0.3">
      <c r="B833" s="23"/>
      <c r="D833" s="25"/>
      <c r="E833" s="25"/>
      <c r="M833" s="12"/>
      <c r="N833" s="122"/>
      <c r="O833" s="122"/>
      <c r="P833" s="122"/>
      <c r="Q833" s="122"/>
    </row>
    <row r="834" spans="2:17" ht="14.25" customHeight="1" x14ac:dyDescent="0.3">
      <c r="B834" s="23"/>
      <c r="D834" s="25"/>
      <c r="E834" s="25"/>
      <c r="M834" s="12"/>
      <c r="N834" s="122"/>
      <c r="O834" s="122"/>
      <c r="P834" s="122"/>
      <c r="Q834" s="122"/>
    </row>
    <row r="835" spans="2:17" ht="14.25" customHeight="1" x14ac:dyDescent="0.3">
      <c r="B835" s="23"/>
      <c r="D835" s="25"/>
      <c r="E835" s="25"/>
      <c r="M835" s="12"/>
      <c r="N835" s="122"/>
      <c r="O835" s="122"/>
      <c r="P835" s="122"/>
      <c r="Q835" s="122"/>
    </row>
    <row r="836" spans="2:17" ht="14.25" customHeight="1" x14ac:dyDescent="0.3">
      <c r="B836" s="23"/>
      <c r="D836" s="25"/>
      <c r="E836" s="25"/>
      <c r="M836" s="12"/>
      <c r="N836" s="122"/>
      <c r="O836" s="122"/>
      <c r="P836" s="122"/>
      <c r="Q836" s="122"/>
    </row>
    <row r="837" spans="2:17" ht="14.25" customHeight="1" x14ac:dyDescent="0.3">
      <c r="B837" s="23"/>
      <c r="D837" s="25"/>
      <c r="E837" s="25"/>
      <c r="M837" s="12"/>
      <c r="N837" s="122"/>
      <c r="O837" s="122"/>
      <c r="P837" s="122"/>
      <c r="Q837" s="122"/>
    </row>
    <row r="838" spans="2:17" ht="14.25" customHeight="1" x14ac:dyDescent="0.3">
      <c r="B838" s="23"/>
      <c r="D838" s="25"/>
      <c r="E838" s="25"/>
      <c r="M838" s="12"/>
      <c r="N838" s="122"/>
      <c r="O838" s="122"/>
      <c r="P838" s="122"/>
      <c r="Q838" s="122"/>
    </row>
    <row r="839" spans="2:17" ht="14.25" customHeight="1" x14ac:dyDescent="0.3">
      <c r="B839" s="23"/>
      <c r="D839" s="25"/>
      <c r="E839" s="25"/>
      <c r="M839" s="12"/>
      <c r="N839" s="122"/>
      <c r="O839" s="122"/>
      <c r="P839" s="122"/>
      <c r="Q839" s="122"/>
    </row>
    <row r="840" spans="2:17" ht="14.25" customHeight="1" x14ac:dyDescent="0.3">
      <c r="B840" s="23"/>
      <c r="D840" s="25"/>
      <c r="E840" s="25"/>
      <c r="M840" s="12"/>
      <c r="N840" s="122"/>
      <c r="O840" s="122"/>
      <c r="P840" s="122"/>
      <c r="Q840" s="122"/>
    </row>
    <row r="841" spans="2:17" ht="14.25" customHeight="1" x14ac:dyDescent="0.3">
      <c r="B841" s="23"/>
      <c r="D841" s="25"/>
      <c r="E841" s="25"/>
      <c r="M841" s="12"/>
      <c r="N841" s="122"/>
      <c r="O841" s="122"/>
      <c r="P841" s="122"/>
      <c r="Q841" s="122"/>
    </row>
    <row r="842" spans="2:17" ht="14.25" customHeight="1" x14ac:dyDescent="0.3">
      <c r="B842" s="23"/>
      <c r="D842" s="25"/>
      <c r="E842" s="25"/>
      <c r="M842" s="12"/>
      <c r="N842" s="122"/>
      <c r="O842" s="122"/>
      <c r="P842" s="122"/>
      <c r="Q842" s="122"/>
    </row>
    <row r="843" spans="2:17" ht="14.25" customHeight="1" x14ac:dyDescent="0.3">
      <c r="B843" s="23"/>
      <c r="D843" s="25"/>
      <c r="E843" s="25"/>
      <c r="M843" s="12"/>
      <c r="N843" s="122"/>
      <c r="O843" s="122"/>
      <c r="P843" s="122"/>
      <c r="Q843" s="122"/>
    </row>
    <row r="844" spans="2:17" ht="14.25" customHeight="1" x14ac:dyDescent="0.3">
      <c r="B844" s="23"/>
      <c r="D844" s="25"/>
      <c r="E844" s="25"/>
      <c r="M844" s="12"/>
      <c r="N844" s="122"/>
      <c r="O844" s="122"/>
      <c r="P844" s="122"/>
      <c r="Q844" s="122"/>
    </row>
    <row r="845" spans="2:17" ht="14.25" customHeight="1" x14ac:dyDescent="0.3">
      <c r="B845" s="23"/>
      <c r="D845" s="25"/>
      <c r="E845" s="25"/>
      <c r="M845" s="12"/>
      <c r="N845" s="122"/>
      <c r="O845" s="122"/>
      <c r="P845" s="122"/>
      <c r="Q845" s="122"/>
    </row>
    <row r="846" spans="2:17" ht="14.25" customHeight="1" x14ac:dyDescent="0.3">
      <c r="B846" s="23"/>
      <c r="D846" s="25"/>
      <c r="E846" s="25"/>
      <c r="M846" s="12"/>
      <c r="N846" s="122"/>
      <c r="O846" s="122"/>
      <c r="P846" s="122"/>
      <c r="Q846" s="122"/>
    </row>
    <row r="847" spans="2:17" ht="14.25" customHeight="1" x14ac:dyDescent="0.3">
      <c r="B847" s="23"/>
      <c r="D847" s="25"/>
      <c r="E847" s="25"/>
      <c r="M847" s="12"/>
      <c r="N847" s="122"/>
      <c r="O847" s="122"/>
      <c r="P847" s="122"/>
      <c r="Q847" s="122"/>
    </row>
    <row r="848" spans="2:17" ht="14.25" customHeight="1" x14ac:dyDescent="0.3">
      <c r="B848" s="23"/>
      <c r="D848" s="25"/>
      <c r="E848" s="25"/>
      <c r="M848" s="12"/>
      <c r="N848" s="122"/>
      <c r="O848" s="122"/>
      <c r="P848" s="122"/>
      <c r="Q848" s="122"/>
    </row>
    <row r="849" spans="2:17" ht="14.25" customHeight="1" x14ac:dyDescent="0.3">
      <c r="B849" s="23"/>
      <c r="D849" s="25"/>
      <c r="E849" s="25"/>
      <c r="M849" s="12"/>
      <c r="N849" s="122"/>
      <c r="O849" s="122"/>
      <c r="P849" s="122"/>
      <c r="Q849" s="122"/>
    </row>
    <row r="850" spans="2:17" ht="14.25" customHeight="1" x14ac:dyDescent="0.3">
      <c r="B850" s="23"/>
      <c r="D850" s="25"/>
      <c r="E850" s="25"/>
      <c r="M850" s="12"/>
      <c r="N850" s="122"/>
      <c r="O850" s="122"/>
      <c r="P850" s="122"/>
      <c r="Q850" s="122"/>
    </row>
    <row r="851" spans="2:17" ht="14.25" customHeight="1" x14ac:dyDescent="0.3">
      <c r="B851" s="23"/>
      <c r="D851" s="25"/>
      <c r="E851" s="25"/>
      <c r="M851" s="12"/>
      <c r="N851" s="122"/>
      <c r="O851" s="122"/>
      <c r="P851" s="122"/>
      <c r="Q851" s="122"/>
    </row>
    <row r="852" spans="2:17" ht="14.25" customHeight="1" x14ac:dyDescent="0.3">
      <c r="B852" s="23"/>
      <c r="D852" s="25"/>
      <c r="E852" s="25"/>
      <c r="M852" s="12"/>
      <c r="N852" s="122"/>
      <c r="O852" s="122"/>
      <c r="P852" s="122"/>
      <c r="Q852" s="122"/>
    </row>
    <row r="853" spans="2:17" ht="14.25" customHeight="1" x14ac:dyDescent="0.3">
      <c r="B853" s="23"/>
      <c r="D853" s="25"/>
      <c r="E853" s="25"/>
      <c r="M853" s="12"/>
      <c r="N853" s="122"/>
      <c r="O853" s="122"/>
      <c r="P853" s="122"/>
      <c r="Q853" s="122"/>
    </row>
    <row r="854" spans="2:17" ht="14.25" customHeight="1" x14ac:dyDescent="0.3">
      <c r="B854" s="23"/>
      <c r="D854" s="25"/>
      <c r="E854" s="25"/>
      <c r="M854" s="12"/>
      <c r="N854" s="122"/>
      <c r="O854" s="122"/>
      <c r="P854" s="122"/>
      <c r="Q854" s="122"/>
    </row>
    <row r="855" spans="2:17" ht="14.25" customHeight="1" x14ac:dyDescent="0.3">
      <c r="B855" s="23"/>
      <c r="D855" s="25"/>
      <c r="E855" s="25"/>
      <c r="M855" s="12"/>
      <c r="N855" s="122"/>
      <c r="O855" s="122"/>
      <c r="P855" s="122"/>
      <c r="Q855" s="122"/>
    </row>
    <row r="856" spans="2:17" ht="14.25" customHeight="1" x14ac:dyDescent="0.3">
      <c r="B856" s="23"/>
      <c r="D856" s="25"/>
      <c r="E856" s="25"/>
      <c r="M856" s="12"/>
      <c r="N856" s="122"/>
      <c r="O856" s="122"/>
      <c r="P856" s="122"/>
      <c r="Q856" s="122"/>
    </row>
    <row r="857" spans="2:17" ht="14.25" customHeight="1" x14ac:dyDescent="0.3">
      <c r="B857" s="23"/>
      <c r="D857" s="25"/>
      <c r="E857" s="25"/>
      <c r="M857" s="12"/>
      <c r="N857" s="122"/>
      <c r="O857" s="122"/>
      <c r="P857" s="122"/>
      <c r="Q857" s="122"/>
    </row>
    <row r="858" spans="2:17" ht="14.25" customHeight="1" x14ac:dyDescent="0.3">
      <c r="B858" s="23"/>
      <c r="D858" s="25"/>
      <c r="E858" s="25"/>
      <c r="M858" s="12"/>
      <c r="N858" s="122"/>
      <c r="O858" s="122"/>
      <c r="P858" s="122"/>
      <c r="Q858" s="122"/>
    </row>
    <row r="859" spans="2:17" ht="14.25" customHeight="1" x14ac:dyDescent="0.3">
      <c r="B859" s="23"/>
      <c r="D859" s="25"/>
      <c r="E859" s="25"/>
      <c r="M859" s="12"/>
      <c r="N859" s="122"/>
      <c r="O859" s="122"/>
      <c r="P859" s="122"/>
      <c r="Q859" s="122"/>
    </row>
    <row r="860" spans="2:17" ht="14.25" customHeight="1" x14ac:dyDescent="0.3">
      <c r="B860" s="23"/>
      <c r="D860" s="25"/>
      <c r="E860" s="25"/>
      <c r="M860" s="12"/>
      <c r="N860" s="122"/>
      <c r="O860" s="122"/>
      <c r="P860" s="122"/>
      <c r="Q860" s="122"/>
    </row>
    <row r="861" spans="2:17" ht="14.25" customHeight="1" x14ac:dyDescent="0.3">
      <c r="B861" s="23"/>
      <c r="D861" s="25"/>
      <c r="E861" s="25"/>
      <c r="M861" s="12"/>
      <c r="N861" s="122"/>
      <c r="O861" s="122"/>
      <c r="P861" s="122"/>
      <c r="Q861" s="122"/>
    </row>
    <row r="862" spans="2:17" ht="14.25" customHeight="1" x14ac:dyDescent="0.3">
      <c r="B862" s="23"/>
      <c r="D862" s="25"/>
      <c r="E862" s="25"/>
      <c r="M862" s="12"/>
      <c r="N862" s="122"/>
      <c r="O862" s="122"/>
      <c r="P862" s="122"/>
      <c r="Q862" s="122"/>
    </row>
    <row r="863" spans="2:17" ht="14.25" customHeight="1" x14ac:dyDescent="0.3">
      <c r="B863" s="23"/>
      <c r="D863" s="25"/>
      <c r="E863" s="25"/>
      <c r="M863" s="12"/>
      <c r="N863" s="122"/>
      <c r="O863" s="122"/>
      <c r="P863" s="122"/>
      <c r="Q863" s="122"/>
    </row>
    <row r="864" spans="2:17" ht="14.25" customHeight="1" x14ac:dyDescent="0.3">
      <c r="B864" s="23"/>
      <c r="D864" s="25"/>
      <c r="E864" s="25"/>
      <c r="M864" s="12"/>
      <c r="N864" s="122"/>
      <c r="O864" s="122"/>
      <c r="P864" s="122"/>
      <c r="Q864" s="122"/>
    </row>
    <row r="865" spans="2:17" ht="14.25" customHeight="1" x14ac:dyDescent="0.3">
      <c r="B865" s="23"/>
      <c r="D865" s="25"/>
      <c r="E865" s="25"/>
      <c r="M865" s="12"/>
      <c r="N865" s="122"/>
      <c r="O865" s="122"/>
      <c r="P865" s="122"/>
      <c r="Q865" s="122"/>
    </row>
    <row r="866" spans="2:17" ht="14.25" customHeight="1" x14ac:dyDescent="0.3">
      <c r="B866" s="23"/>
      <c r="D866" s="25"/>
      <c r="E866" s="25"/>
      <c r="M866" s="12"/>
      <c r="N866" s="122"/>
      <c r="O866" s="122"/>
      <c r="P866" s="122"/>
      <c r="Q866" s="122"/>
    </row>
    <row r="867" spans="2:17" ht="14.25" customHeight="1" x14ac:dyDescent="0.3">
      <c r="B867" s="23"/>
      <c r="D867" s="25"/>
      <c r="E867" s="25"/>
      <c r="M867" s="12"/>
      <c r="N867" s="122"/>
      <c r="O867" s="122"/>
      <c r="P867" s="122"/>
      <c r="Q867" s="122"/>
    </row>
    <row r="868" spans="2:17" ht="14.25" customHeight="1" x14ac:dyDescent="0.3">
      <c r="B868" s="23"/>
      <c r="D868" s="25"/>
      <c r="E868" s="25"/>
      <c r="M868" s="12"/>
      <c r="N868" s="122"/>
      <c r="O868" s="122"/>
      <c r="P868" s="122"/>
      <c r="Q868" s="122"/>
    </row>
    <row r="869" spans="2:17" ht="14.25" customHeight="1" x14ac:dyDescent="0.3">
      <c r="B869" s="23"/>
      <c r="D869" s="25"/>
      <c r="E869" s="25"/>
      <c r="M869" s="12"/>
      <c r="N869" s="122"/>
      <c r="O869" s="122"/>
      <c r="P869" s="122"/>
      <c r="Q869" s="122"/>
    </row>
    <row r="870" spans="2:17" ht="14.25" customHeight="1" x14ac:dyDescent="0.3">
      <c r="B870" s="23"/>
      <c r="D870" s="25"/>
      <c r="E870" s="25"/>
      <c r="M870" s="12"/>
      <c r="N870" s="122"/>
      <c r="O870" s="122"/>
      <c r="P870" s="122"/>
      <c r="Q870" s="122"/>
    </row>
    <row r="871" spans="2:17" ht="14.25" customHeight="1" x14ac:dyDescent="0.3">
      <c r="B871" s="23"/>
      <c r="D871" s="25"/>
      <c r="E871" s="25"/>
      <c r="M871" s="12"/>
      <c r="N871" s="122"/>
      <c r="O871" s="122"/>
      <c r="P871" s="122"/>
      <c r="Q871" s="122"/>
    </row>
    <row r="872" spans="2:17" ht="14.25" customHeight="1" x14ac:dyDescent="0.3">
      <c r="B872" s="23"/>
      <c r="D872" s="25"/>
      <c r="E872" s="25"/>
      <c r="M872" s="12"/>
      <c r="N872" s="122"/>
      <c r="O872" s="122"/>
      <c r="P872" s="122"/>
      <c r="Q872" s="122"/>
    </row>
    <row r="873" spans="2:17" ht="14.25" customHeight="1" x14ac:dyDescent="0.3">
      <c r="B873" s="23"/>
      <c r="D873" s="25"/>
      <c r="E873" s="25"/>
      <c r="M873" s="12"/>
      <c r="N873" s="122"/>
      <c r="O873" s="122"/>
      <c r="P873" s="122"/>
      <c r="Q873" s="122"/>
    </row>
    <row r="874" spans="2:17" ht="14.25" customHeight="1" x14ac:dyDescent="0.3">
      <c r="B874" s="23"/>
      <c r="D874" s="25"/>
      <c r="E874" s="25"/>
      <c r="M874" s="12"/>
      <c r="N874" s="122"/>
      <c r="O874" s="122"/>
      <c r="P874" s="122"/>
      <c r="Q874" s="122"/>
    </row>
    <row r="875" spans="2:17" ht="14.25" customHeight="1" x14ac:dyDescent="0.3">
      <c r="B875" s="23"/>
      <c r="D875" s="25"/>
      <c r="E875" s="25"/>
      <c r="M875" s="12"/>
      <c r="N875" s="122"/>
      <c r="O875" s="122"/>
      <c r="P875" s="122"/>
      <c r="Q875" s="122"/>
    </row>
    <row r="876" spans="2:17" ht="14.25" customHeight="1" x14ac:dyDescent="0.3">
      <c r="B876" s="23"/>
      <c r="D876" s="25"/>
      <c r="E876" s="25"/>
      <c r="M876" s="12"/>
      <c r="N876" s="122"/>
      <c r="O876" s="122"/>
      <c r="P876" s="122"/>
      <c r="Q876" s="122"/>
    </row>
    <row r="877" spans="2:17" ht="14.25" customHeight="1" x14ac:dyDescent="0.3">
      <c r="B877" s="23"/>
      <c r="D877" s="25"/>
      <c r="E877" s="25"/>
      <c r="M877" s="12"/>
      <c r="N877" s="122"/>
      <c r="O877" s="122"/>
      <c r="P877" s="122"/>
      <c r="Q877" s="122"/>
    </row>
    <row r="878" spans="2:17" ht="14.25" customHeight="1" x14ac:dyDescent="0.3">
      <c r="B878" s="23"/>
      <c r="D878" s="25"/>
      <c r="E878" s="25"/>
      <c r="M878" s="12"/>
      <c r="N878" s="122"/>
      <c r="O878" s="122"/>
      <c r="P878" s="122"/>
      <c r="Q878" s="122"/>
    </row>
    <row r="879" spans="2:17" ht="14.25" customHeight="1" x14ac:dyDescent="0.3">
      <c r="B879" s="23"/>
      <c r="D879" s="25"/>
      <c r="E879" s="25"/>
      <c r="M879" s="12"/>
      <c r="N879" s="122"/>
      <c r="O879" s="122"/>
      <c r="P879" s="122"/>
      <c r="Q879" s="122"/>
    </row>
    <row r="880" spans="2:17" ht="14.25" customHeight="1" x14ac:dyDescent="0.3">
      <c r="B880" s="23"/>
      <c r="D880" s="25"/>
      <c r="E880" s="25"/>
      <c r="M880" s="12"/>
      <c r="N880" s="122"/>
      <c r="O880" s="122"/>
      <c r="P880" s="122"/>
      <c r="Q880" s="122"/>
    </row>
    <row r="881" spans="2:17" ht="14.25" customHeight="1" x14ac:dyDescent="0.3">
      <c r="B881" s="23"/>
      <c r="D881" s="25"/>
      <c r="E881" s="25"/>
      <c r="M881" s="12"/>
      <c r="N881" s="122"/>
      <c r="O881" s="122"/>
      <c r="P881" s="122"/>
      <c r="Q881" s="122"/>
    </row>
    <row r="882" spans="2:17" ht="14.25" customHeight="1" x14ac:dyDescent="0.3">
      <c r="B882" s="23"/>
      <c r="D882" s="25"/>
      <c r="E882" s="25"/>
      <c r="M882" s="12"/>
      <c r="N882" s="122"/>
      <c r="O882" s="122"/>
      <c r="P882" s="122"/>
      <c r="Q882" s="122"/>
    </row>
    <row r="883" spans="2:17" ht="14.25" customHeight="1" x14ac:dyDescent="0.3">
      <c r="B883" s="23"/>
      <c r="D883" s="25"/>
      <c r="E883" s="25"/>
      <c r="M883" s="12"/>
      <c r="N883" s="122"/>
      <c r="O883" s="122"/>
      <c r="P883" s="122"/>
      <c r="Q883" s="122"/>
    </row>
    <row r="884" spans="2:17" ht="14.25" customHeight="1" x14ac:dyDescent="0.3">
      <c r="B884" s="23"/>
      <c r="D884" s="25"/>
      <c r="E884" s="25"/>
      <c r="M884" s="12"/>
      <c r="N884" s="122"/>
      <c r="O884" s="122"/>
      <c r="P884" s="122"/>
      <c r="Q884" s="122"/>
    </row>
    <row r="885" spans="2:17" ht="14.25" customHeight="1" x14ac:dyDescent="0.3">
      <c r="B885" s="23"/>
      <c r="D885" s="25"/>
      <c r="E885" s="25"/>
      <c r="M885" s="12"/>
      <c r="N885" s="122"/>
      <c r="O885" s="122"/>
      <c r="P885" s="122"/>
      <c r="Q885" s="122"/>
    </row>
    <row r="886" spans="2:17" ht="14.25" customHeight="1" x14ac:dyDescent="0.3">
      <c r="B886" s="23"/>
      <c r="D886" s="25"/>
      <c r="E886" s="25"/>
      <c r="M886" s="12"/>
      <c r="N886" s="122"/>
      <c r="O886" s="122"/>
      <c r="P886" s="122"/>
      <c r="Q886" s="122"/>
    </row>
    <row r="887" spans="2:17" ht="14.25" customHeight="1" x14ac:dyDescent="0.3">
      <c r="B887" s="23"/>
      <c r="D887" s="25"/>
      <c r="E887" s="25"/>
      <c r="M887" s="12"/>
      <c r="N887" s="122"/>
      <c r="O887" s="122"/>
      <c r="P887" s="122"/>
      <c r="Q887" s="122"/>
    </row>
    <row r="888" spans="2:17" ht="14.25" customHeight="1" x14ac:dyDescent="0.3">
      <c r="B888" s="23"/>
      <c r="D888" s="25"/>
      <c r="E888" s="25"/>
      <c r="M888" s="12"/>
      <c r="N888" s="122"/>
      <c r="O888" s="122"/>
      <c r="P888" s="122"/>
      <c r="Q888" s="122"/>
    </row>
    <row r="889" spans="2:17" ht="14.25" customHeight="1" x14ac:dyDescent="0.3">
      <c r="B889" s="23"/>
      <c r="D889" s="25"/>
      <c r="E889" s="25"/>
      <c r="M889" s="12"/>
      <c r="N889" s="122"/>
      <c r="O889" s="122"/>
      <c r="P889" s="122"/>
      <c r="Q889" s="122"/>
    </row>
    <row r="890" spans="2:17" ht="14.25" customHeight="1" x14ac:dyDescent="0.3">
      <c r="B890" s="23"/>
      <c r="D890" s="25"/>
      <c r="E890" s="25"/>
      <c r="M890" s="12"/>
      <c r="N890" s="122"/>
      <c r="O890" s="122"/>
      <c r="P890" s="122"/>
      <c r="Q890" s="122"/>
    </row>
    <row r="891" spans="2:17" ht="14.25" customHeight="1" x14ac:dyDescent="0.3">
      <c r="B891" s="23"/>
      <c r="D891" s="25"/>
      <c r="E891" s="25"/>
      <c r="M891" s="12"/>
      <c r="N891" s="122"/>
      <c r="O891" s="122"/>
      <c r="P891" s="122"/>
      <c r="Q891" s="122"/>
    </row>
    <row r="892" spans="2:17" ht="14.25" customHeight="1" x14ac:dyDescent="0.3">
      <c r="B892" s="23"/>
      <c r="D892" s="25"/>
      <c r="E892" s="25"/>
      <c r="M892" s="12"/>
      <c r="N892" s="122"/>
      <c r="O892" s="122"/>
      <c r="P892" s="122"/>
      <c r="Q892" s="122"/>
    </row>
    <row r="893" spans="2:17" ht="14.25" customHeight="1" x14ac:dyDescent="0.3">
      <c r="B893" s="23"/>
      <c r="D893" s="25"/>
      <c r="E893" s="25"/>
      <c r="M893" s="12"/>
      <c r="N893" s="122"/>
      <c r="O893" s="122"/>
      <c r="P893" s="122"/>
      <c r="Q893" s="122"/>
    </row>
    <row r="894" spans="2:17" ht="14.25" customHeight="1" x14ac:dyDescent="0.3">
      <c r="B894" s="23"/>
      <c r="D894" s="25"/>
      <c r="E894" s="25"/>
      <c r="M894" s="12"/>
      <c r="N894" s="122"/>
      <c r="O894" s="122"/>
      <c r="P894" s="122"/>
      <c r="Q894" s="122"/>
    </row>
    <row r="895" spans="2:17" ht="14.25" customHeight="1" x14ac:dyDescent="0.3">
      <c r="B895" s="23"/>
      <c r="D895" s="25"/>
      <c r="E895" s="25"/>
      <c r="M895" s="12"/>
      <c r="N895" s="122"/>
      <c r="O895" s="122"/>
      <c r="P895" s="122"/>
      <c r="Q895" s="122"/>
    </row>
    <row r="896" spans="2:17" ht="14.25" customHeight="1" x14ac:dyDescent="0.3">
      <c r="B896" s="23"/>
      <c r="D896" s="25"/>
      <c r="E896" s="25"/>
      <c r="M896" s="12"/>
      <c r="N896" s="122"/>
      <c r="O896" s="122"/>
      <c r="P896" s="122"/>
      <c r="Q896" s="122"/>
    </row>
    <row r="897" spans="2:17" ht="14.25" customHeight="1" x14ac:dyDescent="0.3">
      <c r="B897" s="23"/>
      <c r="D897" s="25"/>
      <c r="E897" s="25"/>
      <c r="M897" s="12"/>
      <c r="N897" s="122"/>
      <c r="O897" s="122"/>
      <c r="P897" s="122"/>
      <c r="Q897" s="122"/>
    </row>
    <row r="898" spans="2:17" ht="14.25" customHeight="1" x14ac:dyDescent="0.3">
      <c r="B898" s="23"/>
      <c r="D898" s="25"/>
      <c r="E898" s="25"/>
      <c r="M898" s="12"/>
      <c r="N898" s="122"/>
      <c r="O898" s="122"/>
      <c r="P898" s="122"/>
      <c r="Q898" s="122"/>
    </row>
    <row r="899" spans="2:17" ht="14.25" customHeight="1" x14ac:dyDescent="0.3">
      <c r="B899" s="23"/>
      <c r="D899" s="25"/>
      <c r="E899" s="25"/>
      <c r="M899" s="12"/>
      <c r="N899" s="122"/>
      <c r="O899" s="122"/>
      <c r="P899" s="122"/>
      <c r="Q899" s="122"/>
    </row>
    <row r="900" spans="2:17" ht="14.25" customHeight="1" x14ac:dyDescent="0.3">
      <c r="B900" s="23"/>
      <c r="D900" s="25"/>
      <c r="E900" s="25"/>
      <c r="M900" s="12"/>
      <c r="N900" s="122"/>
      <c r="O900" s="122"/>
      <c r="P900" s="122"/>
      <c r="Q900" s="122"/>
    </row>
    <row r="901" spans="2:17" ht="14.25" customHeight="1" x14ac:dyDescent="0.3">
      <c r="B901" s="23"/>
      <c r="D901" s="25"/>
      <c r="E901" s="25"/>
      <c r="M901" s="12"/>
      <c r="N901" s="122"/>
      <c r="O901" s="122"/>
      <c r="P901" s="122"/>
      <c r="Q901" s="122"/>
    </row>
    <row r="902" spans="2:17" ht="14.25" customHeight="1" x14ac:dyDescent="0.3">
      <c r="B902" s="23"/>
      <c r="D902" s="25"/>
      <c r="E902" s="25"/>
      <c r="M902" s="12"/>
      <c r="N902" s="122"/>
      <c r="O902" s="122"/>
      <c r="P902" s="122"/>
      <c r="Q902" s="122"/>
    </row>
    <row r="903" spans="2:17" ht="14.25" customHeight="1" x14ac:dyDescent="0.3">
      <c r="B903" s="23"/>
      <c r="D903" s="25"/>
      <c r="E903" s="25"/>
      <c r="M903" s="12"/>
      <c r="N903" s="122"/>
      <c r="O903" s="122"/>
      <c r="P903" s="122"/>
      <c r="Q903" s="122"/>
    </row>
    <row r="904" spans="2:17" ht="14.25" customHeight="1" x14ac:dyDescent="0.3">
      <c r="B904" s="23"/>
      <c r="D904" s="25"/>
      <c r="E904" s="25"/>
      <c r="M904" s="12"/>
      <c r="N904" s="122"/>
      <c r="O904" s="122"/>
      <c r="P904" s="122"/>
      <c r="Q904" s="122"/>
    </row>
    <row r="905" spans="2:17" ht="14.25" customHeight="1" x14ac:dyDescent="0.3">
      <c r="B905" s="23"/>
      <c r="D905" s="25"/>
      <c r="E905" s="25"/>
      <c r="M905" s="12"/>
      <c r="N905" s="122"/>
      <c r="O905" s="122"/>
      <c r="P905" s="122"/>
      <c r="Q905" s="122"/>
    </row>
    <row r="906" spans="2:17" ht="14.25" customHeight="1" x14ac:dyDescent="0.3">
      <c r="B906" s="23"/>
      <c r="D906" s="25"/>
      <c r="E906" s="25"/>
      <c r="M906" s="12"/>
      <c r="N906" s="122"/>
      <c r="O906" s="122"/>
      <c r="P906" s="122"/>
      <c r="Q906" s="122"/>
    </row>
    <row r="907" spans="2:17" ht="14.25" customHeight="1" x14ac:dyDescent="0.3">
      <c r="B907" s="23"/>
      <c r="D907" s="25"/>
      <c r="E907" s="25"/>
      <c r="M907" s="12"/>
      <c r="N907" s="122"/>
      <c r="O907" s="122"/>
      <c r="P907" s="122"/>
      <c r="Q907" s="122"/>
    </row>
    <row r="908" spans="2:17" ht="14.25" customHeight="1" x14ac:dyDescent="0.3">
      <c r="B908" s="23"/>
      <c r="D908" s="25"/>
      <c r="E908" s="25"/>
      <c r="M908" s="12"/>
      <c r="N908" s="122"/>
      <c r="O908" s="122"/>
      <c r="P908" s="122"/>
      <c r="Q908" s="122"/>
    </row>
    <row r="909" spans="2:17" ht="14.25" customHeight="1" x14ac:dyDescent="0.3">
      <c r="B909" s="23"/>
      <c r="D909" s="25"/>
      <c r="E909" s="25"/>
      <c r="M909" s="12"/>
      <c r="N909" s="122"/>
      <c r="O909" s="122"/>
      <c r="P909" s="122"/>
      <c r="Q909" s="122"/>
    </row>
    <row r="910" spans="2:17" ht="14.25" customHeight="1" x14ac:dyDescent="0.3">
      <c r="B910" s="23"/>
      <c r="D910" s="25"/>
      <c r="E910" s="25"/>
      <c r="M910" s="12"/>
      <c r="N910" s="122"/>
      <c r="O910" s="122"/>
      <c r="P910" s="122"/>
      <c r="Q910" s="122"/>
    </row>
    <row r="911" spans="2:17" ht="14.25" customHeight="1" x14ac:dyDescent="0.3">
      <c r="B911" s="23"/>
      <c r="D911" s="25"/>
      <c r="E911" s="25"/>
      <c r="M911" s="12"/>
      <c r="N911" s="122"/>
      <c r="O911" s="122"/>
      <c r="P911" s="122"/>
      <c r="Q911" s="122"/>
    </row>
    <row r="912" spans="2:17" ht="14.25" customHeight="1" x14ac:dyDescent="0.3">
      <c r="B912" s="23"/>
      <c r="D912" s="25"/>
      <c r="E912" s="25"/>
      <c r="M912" s="12"/>
      <c r="N912" s="122"/>
      <c r="O912" s="122"/>
      <c r="P912" s="122"/>
      <c r="Q912" s="122"/>
    </row>
    <row r="913" spans="2:17" ht="14.25" customHeight="1" x14ac:dyDescent="0.3">
      <c r="B913" s="23"/>
      <c r="D913" s="25"/>
      <c r="E913" s="25"/>
      <c r="M913" s="12"/>
      <c r="N913" s="122"/>
      <c r="O913" s="122"/>
      <c r="P913" s="122"/>
      <c r="Q913" s="122"/>
    </row>
    <row r="914" spans="2:17" ht="14.25" customHeight="1" x14ac:dyDescent="0.3">
      <c r="B914" s="23"/>
      <c r="D914" s="25"/>
      <c r="E914" s="25"/>
      <c r="M914" s="12"/>
      <c r="N914" s="122"/>
      <c r="O914" s="122"/>
      <c r="P914" s="122"/>
      <c r="Q914" s="122"/>
    </row>
    <row r="915" spans="2:17" ht="14.25" customHeight="1" x14ac:dyDescent="0.3">
      <c r="B915" s="23"/>
      <c r="D915" s="25"/>
      <c r="E915" s="25"/>
      <c r="M915" s="12"/>
      <c r="N915" s="122"/>
      <c r="O915" s="122"/>
      <c r="P915" s="122"/>
      <c r="Q915" s="122"/>
    </row>
    <row r="916" spans="2:17" ht="14.25" customHeight="1" x14ac:dyDescent="0.3">
      <c r="B916" s="23"/>
      <c r="D916" s="25"/>
      <c r="E916" s="25"/>
      <c r="M916" s="12"/>
      <c r="N916" s="122"/>
      <c r="O916" s="122"/>
      <c r="P916" s="122"/>
      <c r="Q916" s="122"/>
    </row>
    <row r="917" spans="2:17" ht="14.25" customHeight="1" x14ac:dyDescent="0.3">
      <c r="B917" s="23"/>
      <c r="D917" s="25"/>
      <c r="E917" s="25"/>
      <c r="M917" s="12"/>
      <c r="N917" s="122"/>
      <c r="O917" s="122"/>
      <c r="P917" s="122"/>
      <c r="Q917" s="122"/>
    </row>
    <row r="918" spans="2:17" ht="14.25" customHeight="1" x14ac:dyDescent="0.3">
      <c r="B918" s="23"/>
      <c r="D918" s="25"/>
      <c r="E918" s="25"/>
      <c r="M918" s="12"/>
      <c r="N918" s="122"/>
      <c r="O918" s="122"/>
      <c r="P918" s="122"/>
      <c r="Q918" s="122"/>
    </row>
    <row r="919" spans="2:17" ht="14.25" customHeight="1" x14ac:dyDescent="0.3">
      <c r="B919" s="23"/>
      <c r="D919" s="25"/>
      <c r="E919" s="25"/>
      <c r="M919" s="12"/>
      <c r="N919" s="122"/>
      <c r="O919" s="122"/>
      <c r="P919" s="122"/>
      <c r="Q919" s="122"/>
    </row>
    <row r="920" spans="2:17" ht="14.25" customHeight="1" x14ac:dyDescent="0.3">
      <c r="B920" s="23"/>
      <c r="D920" s="25"/>
      <c r="E920" s="25"/>
      <c r="M920" s="12"/>
      <c r="N920" s="122"/>
      <c r="O920" s="122"/>
      <c r="P920" s="122"/>
      <c r="Q920" s="122"/>
    </row>
    <row r="921" spans="2:17" ht="14.25" customHeight="1" x14ac:dyDescent="0.3">
      <c r="B921" s="23"/>
      <c r="D921" s="25"/>
      <c r="E921" s="25"/>
      <c r="M921" s="12"/>
      <c r="N921" s="122"/>
      <c r="O921" s="122"/>
      <c r="P921" s="122"/>
      <c r="Q921" s="122"/>
    </row>
    <row r="922" spans="2:17" ht="14.25" customHeight="1" x14ac:dyDescent="0.3">
      <c r="B922" s="23"/>
      <c r="D922" s="25"/>
      <c r="E922" s="25"/>
      <c r="M922" s="12"/>
      <c r="N922" s="122"/>
      <c r="O922" s="122"/>
      <c r="P922" s="122"/>
      <c r="Q922" s="122"/>
    </row>
    <row r="923" spans="2:17" ht="14.25" customHeight="1" x14ac:dyDescent="0.3">
      <c r="B923" s="23"/>
      <c r="D923" s="25"/>
      <c r="E923" s="25"/>
      <c r="M923" s="12"/>
      <c r="N923" s="122"/>
      <c r="O923" s="122"/>
      <c r="P923" s="122"/>
      <c r="Q923" s="122"/>
    </row>
    <row r="924" spans="2:17" ht="14.25" customHeight="1" x14ac:dyDescent="0.3">
      <c r="B924" s="23"/>
      <c r="D924" s="25"/>
      <c r="E924" s="25"/>
      <c r="M924" s="12"/>
      <c r="N924" s="122"/>
      <c r="O924" s="122"/>
      <c r="P924" s="122"/>
      <c r="Q924" s="122"/>
    </row>
    <row r="925" spans="2:17" ht="14.25" customHeight="1" x14ac:dyDescent="0.3">
      <c r="B925" s="23"/>
      <c r="D925" s="25"/>
      <c r="E925" s="25"/>
      <c r="M925" s="12"/>
      <c r="N925" s="122"/>
      <c r="O925" s="122"/>
      <c r="P925" s="122"/>
      <c r="Q925" s="122"/>
    </row>
    <row r="926" spans="2:17" ht="14.25" customHeight="1" x14ac:dyDescent="0.3">
      <c r="B926" s="23"/>
      <c r="D926" s="25"/>
      <c r="E926" s="25"/>
      <c r="M926" s="12"/>
      <c r="N926" s="122"/>
      <c r="O926" s="122"/>
      <c r="P926" s="122"/>
      <c r="Q926" s="122"/>
    </row>
    <row r="927" spans="2:17" ht="14.25" customHeight="1" x14ac:dyDescent="0.3">
      <c r="B927" s="23"/>
      <c r="D927" s="25"/>
      <c r="E927" s="25"/>
      <c r="M927" s="12"/>
      <c r="N927" s="122"/>
      <c r="O927" s="122"/>
      <c r="P927" s="122"/>
      <c r="Q927" s="122"/>
    </row>
    <row r="928" spans="2:17" ht="14.25" customHeight="1" x14ac:dyDescent="0.3">
      <c r="B928" s="23"/>
      <c r="D928" s="25"/>
      <c r="E928" s="25"/>
      <c r="M928" s="12"/>
      <c r="N928" s="122"/>
      <c r="O928" s="122"/>
      <c r="P928" s="122"/>
      <c r="Q928" s="122"/>
    </row>
    <row r="929" spans="2:17" ht="14.25" customHeight="1" x14ac:dyDescent="0.3">
      <c r="B929" s="23"/>
      <c r="D929" s="25"/>
      <c r="E929" s="25"/>
      <c r="M929" s="12"/>
      <c r="N929" s="122"/>
      <c r="O929" s="122"/>
      <c r="P929" s="122"/>
      <c r="Q929" s="122"/>
    </row>
    <row r="930" spans="2:17" ht="14.25" customHeight="1" x14ac:dyDescent="0.3">
      <c r="B930" s="23"/>
      <c r="D930" s="25"/>
      <c r="E930" s="25"/>
      <c r="M930" s="12"/>
      <c r="N930" s="122"/>
      <c r="O930" s="122"/>
      <c r="P930" s="122"/>
      <c r="Q930" s="122"/>
    </row>
    <row r="931" spans="2:17" ht="14.25" customHeight="1" x14ac:dyDescent="0.3">
      <c r="B931" s="23"/>
      <c r="D931" s="25"/>
      <c r="E931" s="25"/>
      <c r="M931" s="12"/>
      <c r="N931" s="122"/>
      <c r="O931" s="122"/>
      <c r="P931" s="122"/>
      <c r="Q931" s="122"/>
    </row>
    <row r="932" spans="2:17" ht="14.25" customHeight="1" x14ac:dyDescent="0.3">
      <c r="B932" s="23"/>
      <c r="D932" s="25"/>
      <c r="E932" s="25"/>
      <c r="M932" s="12"/>
      <c r="N932" s="122"/>
      <c r="O932" s="122"/>
      <c r="P932" s="122"/>
      <c r="Q932" s="122"/>
    </row>
    <row r="933" spans="2:17" ht="14.25" customHeight="1" x14ac:dyDescent="0.3">
      <c r="B933" s="23"/>
      <c r="D933" s="25"/>
      <c r="E933" s="25"/>
      <c r="M933" s="12"/>
      <c r="N933" s="122"/>
      <c r="O933" s="122"/>
      <c r="P933" s="122"/>
      <c r="Q933" s="122"/>
    </row>
    <row r="934" spans="2:17" ht="14.25" customHeight="1" x14ac:dyDescent="0.3">
      <c r="B934" s="23"/>
      <c r="D934" s="25"/>
      <c r="E934" s="25"/>
      <c r="M934" s="12"/>
      <c r="N934" s="122"/>
      <c r="O934" s="122"/>
      <c r="P934" s="122"/>
      <c r="Q934" s="122"/>
    </row>
    <row r="935" spans="2:17" ht="14.25" customHeight="1" x14ac:dyDescent="0.3">
      <c r="B935" s="23"/>
      <c r="D935" s="25"/>
      <c r="E935" s="25"/>
      <c r="M935" s="12"/>
      <c r="N935" s="122"/>
      <c r="O935" s="122"/>
      <c r="P935" s="122"/>
      <c r="Q935" s="122"/>
    </row>
    <row r="936" spans="2:17" ht="14.25" customHeight="1" x14ac:dyDescent="0.3">
      <c r="B936" s="23"/>
      <c r="D936" s="25"/>
      <c r="E936" s="25"/>
      <c r="M936" s="12"/>
      <c r="N936" s="122"/>
      <c r="O936" s="122"/>
      <c r="P936" s="122"/>
      <c r="Q936" s="122"/>
    </row>
    <row r="937" spans="2:17" ht="14.25" customHeight="1" x14ac:dyDescent="0.3">
      <c r="B937" s="23"/>
      <c r="D937" s="25"/>
      <c r="E937" s="25"/>
      <c r="M937" s="12"/>
      <c r="N937" s="122"/>
      <c r="O937" s="122"/>
      <c r="P937" s="122"/>
      <c r="Q937" s="122"/>
    </row>
    <row r="938" spans="2:17" ht="14.25" customHeight="1" x14ac:dyDescent="0.3">
      <c r="B938" s="23"/>
      <c r="D938" s="25"/>
      <c r="E938" s="25"/>
      <c r="M938" s="12"/>
      <c r="N938" s="122"/>
      <c r="O938" s="122"/>
      <c r="P938" s="122"/>
      <c r="Q938" s="122"/>
    </row>
    <row r="939" spans="2:17" ht="14.25" customHeight="1" x14ac:dyDescent="0.3">
      <c r="B939" s="23"/>
      <c r="D939" s="25"/>
      <c r="E939" s="25"/>
      <c r="M939" s="12"/>
      <c r="N939" s="122"/>
      <c r="O939" s="122"/>
      <c r="P939" s="122"/>
      <c r="Q939" s="122"/>
    </row>
    <row r="940" spans="2:17" ht="14.25" customHeight="1" x14ac:dyDescent="0.3">
      <c r="B940" s="23"/>
      <c r="D940" s="25"/>
      <c r="E940" s="25"/>
      <c r="M940" s="12"/>
      <c r="N940" s="122"/>
      <c r="O940" s="122"/>
      <c r="P940" s="122"/>
      <c r="Q940" s="122"/>
    </row>
    <row r="941" spans="2:17" ht="14.25" customHeight="1" x14ac:dyDescent="0.3">
      <c r="B941" s="23"/>
      <c r="D941" s="25"/>
      <c r="E941" s="25"/>
      <c r="M941" s="12"/>
      <c r="N941" s="122"/>
      <c r="O941" s="122"/>
      <c r="P941" s="122"/>
      <c r="Q941" s="122"/>
    </row>
    <row r="942" spans="2:17" ht="14.25" customHeight="1" x14ac:dyDescent="0.3">
      <c r="B942" s="23"/>
      <c r="D942" s="25"/>
      <c r="E942" s="25"/>
      <c r="M942" s="12"/>
      <c r="N942" s="122"/>
      <c r="O942" s="122"/>
      <c r="P942" s="122"/>
      <c r="Q942" s="122"/>
    </row>
    <row r="943" spans="2:17" ht="14.25" customHeight="1" x14ac:dyDescent="0.3">
      <c r="B943" s="23"/>
      <c r="D943" s="25"/>
      <c r="E943" s="25"/>
      <c r="M943" s="12"/>
      <c r="N943" s="122"/>
      <c r="O943" s="122"/>
      <c r="P943" s="122"/>
      <c r="Q943" s="122"/>
    </row>
    <row r="944" spans="2:17" ht="14.25" customHeight="1" x14ac:dyDescent="0.3">
      <c r="B944" s="23"/>
      <c r="D944" s="25"/>
      <c r="E944" s="25"/>
      <c r="M944" s="12"/>
      <c r="N944" s="122"/>
      <c r="O944" s="122"/>
      <c r="P944" s="122"/>
      <c r="Q944" s="122"/>
    </row>
    <row r="945" spans="2:17" ht="14.25" customHeight="1" x14ac:dyDescent="0.3">
      <c r="B945" s="23"/>
      <c r="D945" s="25"/>
      <c r="E945" s="25"/>
      <c r="M945" s="12"/>
      <c r="N945" s="122"/>
      <c r="O945" s="122"/>
      <c r="P945" s="122"/>
      <c r="Q945" s="122"/>
    </row>
    <row r="946" spans="2:17" ht="14.25" customHeight="1" x14ac:dyDescent="0.3">
      <c r="B946" s="23"/>
      <c r="D946" s="25"/>
      <c r="E946" s="25"/>
      <c r="M946" s="12"/>
      <c r="N946" s="122"/>
      <c r="O946" s="122"/>
      <c r="P946" s="122"/>
      <c r="Q946" s="122"/>
    </row>
    <row r="947" spans="2:17" ht="14.25" customHeight="1" x14ac:dyDescent="0.3">
      <c r="B947" s="23"/>
      <c r="D947" s="25"/>
      <c r="E947" s="25"/>
      <c r="M947" s="12"/>
      <c r="N947" s="122"/>
      <c r="O947" s="122"/>
      <c r="P947" s="122"/>
      <c r="Q947" s="122"/>
    </row>
    <row r="948" spans="2:17" ht="14.25" customHeight="1" x14ac:dyDescent="0.3">
      <c r="B948" s="23"/>
      <c r="D948" s="25"/>
      <c r="E948" s="25"/>
      <c r="M948" s="12"/>
      <c r="N948" s="122"/>
      <c r="O948" s="122"/>
      <c r="P948" s="122"/>
      <c r="Q948" s="122"/>
    </row>
    <row r="949" spans="2:17" ht="14.25" customHeight="1" x14ac:dyDescent="0.3">
      <c r="B949" s="23"/>
      <c r="D949" s="25"/>
      <c r="E949" s="25"/>
      <c r="M949" s="12"/>
      <c r="N949" s="122"/>
      <c r="O949" s="122"/>
      <c r="P949" s="122"/>
      <c r="Q949" s="122"/>
    </row>
    <row r="950" spans="2:17" ht="14.25" customHeight="1" x14ac:dyDescent="0.3">
      <c r="B950" s="23"/>
      <c r="D950" s="25"/>
      <c r="E950" s="25"/>
      <c r="M950" s="12"/>
      <c r="N950" s="122"/>
      <c r="O950" s="122"/>
      <c r="P950" s="122"/>
      <c r="Q950" s="122"/>
    </row>
    <row r="951" spans="2:17" ht="14.25" customHeight="1" x14ac:dyDescent="0.3">
      <c r="B951" s="23"/>
      <c r="D951" s="25"/>
      <c r="E951" s="25"/>
      <c r="M951" s="12"/>
      <c r="N951" s="122"/>
      <c r="O951" s="122"/>
      <c r="P951" s="122"/>
      <c r="Q951" s="122"/>
    </row>
    <row r="952" spans="2:17" ht="14.25" customHeight="1" x14ac:dyDescent="0.3">
      <c r="B952" s="23"/>
      <c r="D952" s="25"/>
      <c r="E952" s="25"/>
      <c r="M952" s="12"/>
      <c r="N952" s="122"/>
      <c r="O952" s="122"/>
      <c r="P952" s="122"/>
      <c r="Q952" s="122"/>
    </row>
    <row r="953" spans="2:17" ht="14.25" customHeight="1" x14ac:dyDescent="0.3">
      <c r="B953" s="23"/>
      <c r="D953" s="25"/>
      <c r="E953" s="25"/>
      <c r="M953" s="12"/>
      <c r="N953" s="122"/>
      <c r="O953" s="122"/>
      <c r="P953" s="122"/>
      <c r="Q953" s="122"/>
    </row>
    <row r="954" spans="2:17" ht="14.25" customHeight="1" x14ac:dyDescent="0.3">
      <c r="B954" s="23"/>
      <c r="D954" s="25"/>
      <c r="E954" s="25"/>
      <c r="M954" s="12"/>
      <c r="N954" s="122"/>
      <c r="O954" s="122"/>
      <c r="P954" s="122"/>
      <c r="Q954" s="122"/>
    </row>
    <row r="955" spans="2:17" ht="14.25" customHeight="1" x14ac:dyDescent="0.3">
      <c r="B955" s="23"/>
      <c r="D955" s="25"/>
      <c r="E955" s="25"/>
      <c r="M955" s="12"/>
      <c r="N955" s="122"/>
      <c r="O955" s="122"/>
      <c r="P955" s="122"/>
      <c r="Q955" s="122"/>
    </row>
    <row r="956" spans="2:17" ht="14.25" customHeight="1" x14ac:dyDescent="0.3">
      <c r="B956" s="23"/>
      <c r="D956" s="25"/>
      <c r="E956" s="25"/>
      <c r="M956" s="12"/>
      <c r="N956" s="122"/>
      <c r="O956" s="122"/>
      <c r="P956" s="122"/>
      <c r="Q956" s="122"/>
    </row>
    <row r="957" spans="2:17" ht="14.25" customHeight="1" x14ac:dyDescent="0.3">
      <c r="B957" s="23"/>
      <c r="D957" s="25"/>
      <c r="E957" s="25"/>
      <c r="M957" s="12"/>
      <c r="N957" s="122"/>
      <c r="O957" s="122"/>
      <c r="P957" s="122"/>
      <c r="Q957" s="122"/>
    </row>
    <row r="958" spans="2:17" ht="14.25" customHeight="1" x14ac:dyDescent="0.3">
      <c r="B958" s="23"/>
      <c r="D958" s="25"/>
      <c r="E958" s="25"/>
      <c r="M958" s="12"/>
      <c r="N958" s="122"/>
      <c r="O958" s="122"/>
      <c r="P958" s="122"/>
      <c r="Q958" s="122"/>
    </row>
    <row r="959" spans="2:17" ht="14.25" customHeight="1" x14ac:dyDescent="0.3">
      <c r="B959" s="23"/>
      <c r="D959" s="25"/>
      <c r="E959" s="25"/>
      <c r="M959" s="12"/>
      <c r="N959" s="122"/>
      <c r="O959" s="122"/>
      <c r="P959" s="122"/>
      <c r="Q959" s="122"/>
    </row>
    <row r="960" spans="2:17" ht="14.25" customHeight="1" x14ac:dyDescent="0.3">
      <c r="B960" s="23"/>
      <c r="D960" s="25"/>
      <c r="E960" s="25"/>
      <c r="M960" s="12"/>
      <c r="N960" s="122"/>
      <c r="O960" s="122"/>
      <c r="P960" s="122"/>
      <c r="Q960" s="122"/>
    </row>
    <row r="961" spans="2:17" ht="14.25" customHeight="1" x14ac:dyDescent="0.3">
      <c r="B961" s="23"/>
      <c r="D961" s="25"/>
      <c r="E961" s="25"/>
      <c r="M961" s="12"/>
      <c r="N961" s="122"/>
      <c r="O961" s="122"/>
      <c r="P961" s="122"/>
      <c r="Q961" s="122"/>
    </row>
    <row r="962" spans="2:17" ht="14.25" customHeight="1" x14ac:dyDescent="0.3">
      <c r="B962" s="23"/>
      <c r="D962" s="25"/>
      <c r="E962" s="25"/>
      <c r="M962" s="12"/>
      <c r="N962" s="122"/>
      <c r="O962" s="122"/>
      <c r="P962" s="122"/>
      <c r="Q962" s="122"/>
    </row>
    <row r="963" spans="2:17" ht="14.25" customHeight="1" x14ac:dyDescent="0.3">
      <c r="B963" s="23"/>
      <c r="D963" s="25"/>
      <c r="E963" s="25"/>
      <c r="M963" s="12"/>
      <c r="N963" s="122"/>
      <c r="O963" s="122"/>
      <c r="P963" s="122"/>
      <c r="Q963" s="122"/>
    </row>
    <row r="964" spans="2:17" ht="14.25" customHeight="1" x14ac:dyDescent="0.3">
      <c r="B964" s="23"/>
      <c r="D964" s="25"/>
      <c r="E964" s="25"/>
      <c r="M964" s="12"/>
      <c r="N964" s="122"/>
      <c r="O964" s="122"/>
      <c r="P964" s="122"/>
      <c r="Q964" s="122"/>
    </row>
    <row r="965" spans="2:17" ht="14.25" customHeight="1" x14ac:dyDescent="0.3">
      <c r="B965" s="23"/>
      <c r="D965" s="25"/>
      <c r="E965" s="25"/>
      <c r="M965" s="12"/>
      <c r="N965" s="122"/>
      <c r="O965" s="122"/>
      <c r="P965" s="122"/>
      <c r="Q965" s="122"/>
    </row>
    <row r="966" spans="2:17" ht="14.25" customHeight="1" x14ac:dyDescent="0.3">
      <c r="B966" s="23"/>
      <c r="D966" s="25"/>
      <c r="E966" s="25"/>
      <c r="M966" s="12"/>
      <c r="N966" s="122"/>
      <c r="O966" s="122"/>
      <c r="P966" s="122"/>
      <c r="Q966" s="122"/>
    </row>
    <row r="967" spans="2:17" ht="14.25" customHeight="1" x14ac:dyDescent="0.3">
      <c r="B967" s="23"/>
      <c r="D967" s="25"/>
      <c r="E967" s="25"/>
      <c r="M967" s="12"/>
      <c r="N967" s="122"/>
      <c r="O967" s="122"/>
      <c r="P967" s="122"/>
      <c r="Q967" s="122"/>
    </row>
    <row r="968" spans="2:17" ht="14.25" customHeight="1" x14ac:dyDescent="0.3">
      <c r="B968" s="23"/>
      <c r="D968" s="25"/>
      <c r="E968" s="25"/>
      <c r="M968" s="12"/>
      <c r="N968" s="122"/>
      <c r="O968" s="122"/>
      <c r="P968" s="122"/>
      <c r="Q968" s="122"/>
    </row>
    <row r="969" spans="2:17" ht="14.25" customHeight="1" x14ac:dyDescent="0.3">
      <c r="B969" s="23"/>
      <c r="D969" s="25"/>
      <c r="E969" s="25"/>
      <c r="M969" s="12"/>
      <c r="N969" s="122"/>
      <c r="O969" s="122"/>
      <c r="P969" s="122"/>
      <c r="Q969" s="122"/>
    </row>
    <row r="970" spans="2:17" ht="14.25" customHeight="1" x14ac:dyDescent="0.3">
      <c r="B970" s="23"/>
      <c r="D970" s="25"/>
      <c r="E970" s="25"/>
      <c r="M970" s="12"/>
      <c r="N970" s="122"/>
      <c r="O970" s="122"/>
      <c r="P970" s="122"/>
      <c r="Q970" s="122"/>
    </row>
    <row r="971" spans="2:17" ht="14.25" customHeight="1" x14ac:dyDescent="0.3">
      <c r="B971" s="23"/>
      <c r="D971" s="25"/>
      <c r="E971" s="25"/>
      <c r="M971" s="12"/>
      <c r="N971" s="122"/>
      <c r="O971" s="122"/>
      <c r="P971" s="122"/>
      <c r="Q971" s="122"/>
    </row>
    <row r="972" spans="2:17" ht="14.25" customHeight="1" x14ac:dyDescent="0.3">
      <c r="B972" s="23"/>
      <c r="D972" s="25"/>
      <c r="E972" s="25"/>
      <c r="M972" s="12"/>
      <c r="N972" s="122"/>
      <c r="O972" s="122"/>
      <c r="P972" s="122"/>
      <c r="Q972" s="122"/>
    </row>
    <row r="973" spans="2:17" ht="14.25" customHeight="1" x14ac:dyDescent="0.3">
      <c r="B973" s="23"/>
      <c r="D973" s="25"/>
      <c r="E973" s="25"/>
      <c r="M973" s="12"/>
      <c r="N973" s="122"/>
      <c r="O973" s="122"/>
      <c r="P973" s="122"/>
      <c r="Q973" s="122"/>
    </row>
    <row r="974" spans="2:17" ht="14.25" customHeight="1" x14ac:dyDescent="0.3">
      <c r="B974" s="23"/>
      <c r="D974" s="25"/>
      <c r="E974" s="25"/>
      <c r="M974" s="12"/>
      <c r="N974" s="122"/>
      <c r="O974" s="122"/>
      <c r="P974" s="122"/>
      <c r="Q974" s="122"/>
    </row>
    <row r="975" spans="2:17" ht="14.25" customHeight="1" x14ac:dyDescent="0.3">
      <c r="B975" s="23"/>
      <c r="D975" s="25"/>
      <c r="E975" s="25"/>
      <c r="M975" s="12"/>
      <c r="N975" s="122"/>
      <c r="O975" s="122"/>
      <c r="P975" s="122"/>
      <c r="Q975" s="122"/>
    </row>
    <row r="976" spans="2:17" ht="14.25" customHeight="1" x14ac:dyDescent="0.3">
      <c r="B976" s="23"/>
      <c r="D976" s="25"/>
      <c r="E976" s="25"/>
      <c r="M976" s="12"/>
      <c r="N976" s="122"/>
      <c r="O976" s="122"/>
      <c r="P976" s="122"/>
      <c r="Q976" s="122"/>
    </row>
    <row r="977" spans="2:17" ht="14.25" customHeight="1" x14ac:dyDescent="0.3">
      <c r="B977" s="23"/>
      <c r="D977" s="25"/>
      <c r="E977" s="25"/>
      <c r="M977" s="12"/>
      <c r="N977" s="122"/>
      <c r="O977" s="122"/>
      <c r="P977" s="122"/>
      <c r="Q977" s="122"/>
    </row>
    <row r="978" spans="2:17" ht="14.25" customHeight="1" x14ac:dyDescent="0.3">
      <c r="B978" s="23"/>
      <c r="D978" s="25"/>
      <c r="E978" s="25"/>
      <c r="M978" s="12"/>
      <c r="N978" s="122"/>
      <c r="O978" s="122"/>
      <c r="P978" s="122"/>
      <c r="Q978" s="122"/>
    </row>
    <row r="979" spans="2:17" ht="14.25" customHeight="1" x14ac:dyDescent="0.3">
      <c r="B979" s="23"/>
      <c r="D979" s="25"/>
      <c r="E979" s="25"/>
      <c r="M979" s="12"/>
      <c r="N979" s="122"/>
      <c r="O979" s="122"/>
      <c r="P979" s="122"/>
      <c r="Q979" s="122"/>
    </row>
    <row r="980" spans="2:17" ht="14.25" customHeight="1" x14ac:dyDescent="0.3">
      <c r="B980" s="23"/>
      <c r="D980" s="25"/>
      <c r="E980" s="25"/>
      <c r="M980" s="12"/>
      <c r="N980" s="122"/>
      <c r="O980" s="122"/>
      <c r="P980" s="122"/>
      <c r="Q980" s="122"/>
    </row>
    <row r="981" spans="2:17" ht="14.25" customHeight="1" x14ac:dyDescent="0.3">
      <c r="B981" s="23"/>
      <c r="D981" s="25"/>
      <c r="E981" s="25"/>
      <c r="M981" s="12"/>
      <c r="N981" s="122"/>
      <c r="O981" s="122"/>
      <c r="P981" s="122"/>
      <c r="Q981" s="122"/>
    </row>
    <row r="982" spans="2:17" ht="14.25" customHeight="1" x14ac:dyDescent="0.3">
      <c r="B982" s="23"/>
      <c r="D982" s="25"/>
      <c r="E982" s="25"/>
      <c r="M982" s="12"/>
      <c r="N982" s="122"/>
      <c r="O982" s="122"/>
      <c r="P982" s="122"/>
      <c r="Q982" s="122"/>
    </row>
    <row r="983" spans="2:17" ht="14.25" customHeight="1" x14ac:dyDescent="0.3">
      <c r="B983" s="23"/>
      <c r="D983" s="25"/>
      <c r="E983" s="25"/>
      <c r="M983" s="12"/>
      <c r="N983" s="122"/>
      <c r="O983" s="122"/>
      <c r="P983" s="122"/>
      <c r="Q983" s="122"/>
    </row>
    <row r="984" spans="2:17" ht="14.25" customHeight="1" x14ac:dyDescent="0.3">
      <c r="B984" s="23"/>
      <c r="D984" s="25"/>
      <c r="E984" s="25"/>
      <c r="M984" s="12"/>
      <c r="N984" s="122"/>
      <c r="O984" s="122"/>
      <c r="P984" s="122"/>
      <c r="Q984" s="122"/>
    </row>
    <row r="985" spans="2:17" ht="14.25" customHeight="1" x14ac:dyDescent="0.3">
      <c r="B985" s="23"/>
      <c r="D985" s="25"/>
      <c r="E985" s="25"/>
      <c r="M985" s="12"/>
      <c r="N985" s="122"/>
      <c r="O985" s="122"/>
      <c r="P985" s="122"/>
      <c r="Q985" s="122"/>
    </row>
    <row r="986" spans="2:17" ht="14.25" customHeight="1" x14ac:dyDescent="0.3">
      <c r="B986" s="23"/>
      <c r="D986" s="25"/>
      <c r="E986" s="25"/>
      <c r="M986" s="12"/>
      <c r="N986" s="122"/>
      <c r="O986" s="122"/>
      <c r="P986" s="122"/>
      <c r="Q986" s="122"/>
    </row>
    <row r="987" spans="2:17" ht="14.25" customHeight="1" x14ac:dyDescent="0.3">
      <c r="B987" s="23"/>
      <c r="D987" s="25"/>
      <c r="E987" s="25"/>
      <c r="M987" s="12"/>
      <c r="N987" s="122"/>
      <c r="O987" s="122"/>
      <c r="P987" s="122"/>
      <c r="Q987" s="122"/>
    </row>
    <row r="988" spans="2:17" ht="14.25" customHeight="1" x14ac:dyDescent="0.3">
      <c r="B988" s="23"/>
      <c r="D988" s="25"/>
      <c r="E988" s="25"/>
      <c r="M988" s="12"/>
      <c r="N988" s="122"/>
      <c r="O988" s="122"/>
      <c r="P988" s="122"/>
      <c r="Q988" s="122"/>
    </row>
    <row r="989" spans="2:17" ht="14.25" customHeight="1" x14ac:dyDescent="0.3">
      <c r="B989" s="23"/>
      <c r="D989" s="25"/>
      <c r="E989" s="25"/>
      <c r="M989" s="12"/>
      <c r="N989" s="122"/>
      <c r="O989" s="122"/>
      <c r="P989" s="122"/>
      <c r="Q989" s="122"/>
    </row>
    <row r="990" spans="2:17" ht="14.25" customHeight="1" x14ac:dyDescent="0.3">
      <c r="B990" s="23"/>
      <c r="D990" s="25"/>
      <c r="E990" s="25"/>
      <c r="M990" s="12"/>
      <c r="N990" s="122"/>
      <c r="O990" s="122"/>
      <c r="P990" s="122"/>
      <c r="Q990" s="122"/>
    </row>
    <row r="991" spans="2:17" ht="14.25" customHeight="1" x14ac:dyDescent="0.3">
      <c r="B991" s="23"/>
      <c r="D991" s="25"/>
      <c r="E991" s="25"/>
      <c r="M991" s="12"/>
      <c r="N991" s="122"/>
      <c r="O991" s="122"/>
      <c r="P991" s="122"/>
      <c r="Q991" s="122"/>
    </row>
    <row r="992" spans="2:17" ht="14.25" customHeight="1" x14ac:dyDescent="0.3">
      <c r="B992" s="23"/>
      <c r="D992" s="25"/>
      <c r="E992" s="25"/>
      <c r="M992" s="12"/>
      <c r="N992" s="122"/>
      <c r="O992" s="122"/>
      <c r="P992" s="122"/>
      <c r="Q992" s="122"/>
    </row>
    <row r="993" spans="2:17" ht="14.25" customHeight="1" x14ac:dyDescent="0.3">
      <c r="B993" s="23"/>
      <c r="D993" s="25"/>
      <c r="E993" s="25"/>
      <c r="M993" s="12"/>
      <c r="N993" s="122"/>
      <c r="O993" s="122"/>
      <c r="P993" s="122"/>
      <c r="Q993" s="122"/>
    </row>
    <row r="994" spans="2:17" ht="14.25" customHeight="1" x14ac:dyDescent="0.3">
      <c r="B994" s="23"/>
      <c r="D994" s="25"/>
      <c r="E994" s="25"/>
      <c r="M994" s="12"/>
      <c r="N994" s="122"/>
      <c r="O994" s="122"/>
      <c r="P994" s="122"/>
      <c r="Q994" s="122"/>
    </row>
    <row r="995" spans="2:17" ht="14.25" customHeight="1" x14ac:dyDescent="0.3">
      <c r="B995" s="23"/>
      <c r="D995" s="25"/>
      <c r="E995" s="25"/>
      <c r="M995" s="12"/>
      <c r="N995" s="122"/>
      <c r="O995" s="122"/>
      <c r="P995" s="122"/>
      <c r="Q995" s="122"/>
    </row>
    <row r="996" spans="2:17" ht="14.25" customHeight="1" x14ac:dyDescent="0.3">
      <c r="B996" s="23"/>
      <c r="D996" s="25"/>
      <c r="E996" s="25"/>
      <c r="M996" s="12"/>
      <c r="N996" s="122"/>
      <c r="O996" s="122"/>
      <c r="P996" s="122"/>
      <c r="Q996" s="122"/>
    </row>
    <row r="997" spans="2:17" ht="14.25" customHeight="1" x14ac:dyDescent="0.3">
      <c r="B997" s="23"/>
      <c r="D997" s="25"/>
      <c r="E997" s="25"/>
      <c r="M997" s="12"/>
      <c r="N997" s="122"/>
      <c r="O997" s="122"/>
      <c r="P997" s="122"/>
      <c r="Q997" s="122"/>
    </row>
    <row r="998" spans="2:17" ht="14.25" customHeight="1" x14ac:dyDescent="0.3">
      <c r="B998" s="23"/>
      <c r="D998" s="25"/>
      <c r="E998" s="25"/>
      <c r="M998" s="12"/>
      <c r="N998" s="122"/>
      <c r="O998" s="122"/>
      <c r="P998" s="122"/>
      <c r="Q998" s="122"/>
    </row>
    <row r="999" spans="2:17" ht="14.25" customHeight="1" x14ac:dyDescent="0.3">
      <c r="B999" s="23"/>
      <c r="D999" s="25"/>
      <c r="E999" s="25"/>
      <c r="M999" s="12"/>
      <c r="N999" s="122"/>
      <c r="O999" s="122"/>
      <c r="P999" s="122"/>
      <c r="Q999" s="122"/>
    </row>
    <row r="1000" spans="2:17" ht="14.25" customHeight="1" x14ac:dyDescent="0.3">
      <c r="B1000" s="23"/>
      <c r="D1000" s="25"/>
      <c r="E1000" s="25"/>
      <c r="M1000" s="12"/>
      <c r="N1000" s="122"/>
      <c r="O1000" s="122"/>
      <c r="P1000" s="122"/>
      <c r="Q1000" s="122"/>
    </row>
  </sheetData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S1171"/>
  <sheetViews>
    <sheetView zoomScale="80" zoomScaleNormal="80" workbookViewId="0">
      <pane ySplit="10" topLeftCell="A11" activePane="bottomLeft" state="frozen"/>
      <selection pane="bottomLeft" activeCell="B2" sqref="B2"/>
    </sheetView>
  </sheetViews>
  <sheetFormatPr defaultColWidth="14.44140625" defaultRowHeight="15" customHeight="1" x14ac:dyDescent="0.3"/>
  <cols>
    <col min="1" max="1" width="22.88671875" customWidth="1"/>
    <col min="2" max="2" width="16.33203125" customWidth="1"/>
    <col min="3" max="3" width="15.33203125" customWidth="1"/>
    <col min="4" max="4" width="12" customWidth="1"/>
    <col min="5" max="5" width="17.6640625" customWidth="1"/>
    <col min="6" max="6" width="13.88671875" customWidth="1"/>
    <col min="7" max="7" width="13.44140625" customWidth="1"/>
    <col min="8" max="8" width="14.88671875" customWidth="1"/>
    <col min="9" max="9" width="13.88671875" customWidth="1"/>
    <col min="10" max="10" width="21.6640625" customWidth="1"/>
    <col min="11" max="11" width="23.88671875" customWidth="1"/>
    <col min="12" max="12" width="9.88671875" customWidth="1"/>
    <col min="13" max="13" width="15.33203125" customWidth="1"/>
    <col min="14" max="14" width="21.5546875" customWidth="1"/>
    <col min="15" max="15" width="20.6640625" customWidth="1"/>
    <col min="16" max="16" width="23.44140625" customWidth="1"/>
    <col min="17" max="17" width="15.5546875" customWidth="1"/>
    <col min="18" max="18" width="16.5546875" customWidth="1"/>
    <col min="19" max="19" width="17.88671875" customWidth="1"/>
  </cols>
  <sheetData>
    <row r="1" spans="1:19" ht="14.4" x14ac:dyDescent="0.3">
      <c r="A1" s="360" t="s">
        <v>563</v>
      </c>
      <c r="B1" s="361">
        <f>SUM(D1:D3)</f>
        <v>284749.59999999998</v>
      </c>
      <c r="C1" s="362" t="s">
        <v>564</v>
      </c>
      <c r="D1" s="363">
        <v>162500</v>
      </c>
      <c r="E1" s="364" t="s">
        <v>565</v>
      </c>
      <c r="F1" s="365" t="s">
        <v>566</v>
      </c>
      <c r="G1" s="365" t="s">
        <v>567</v>
      </c>
      <c r="H1" s="365" t="s">
        <v>568</v>
      </c>
      <c r="I1" s="361" t="s">
        <v>569</v>
      </c>
      <c r="J1" s="364" t="s">
        <v>570</v>
      </c>
      <c r="K1" s="365" t="s">
        <v>571</v>
      </c>
      <c r="L1" s="361" t="s">
        <v>254</v>
      </c>
      <c r="M1" s="555" t="s">
        <v>572</v>
      </c>
      <c r="N1" s="542"/>
      <c r="Q1" s="25"/>
      <c r="R1" s="25"/>
      <c r="S1" s="25"/>
    </row>
    <row r="2" spans="1:19" ht="14.4" x14ac:dyDescent="0.3">
      <c r="A2" s="366" t="s">
        <v>573</v>
      </c>
      <c r="B2" s="367">
        <v>0.65</v>
      </c>
      <c r="C2" s="368" t="s">
        <v>574</v>
      </c>
      <c r="D2" s="369">
        <v>104249.60000000001</v>
      </c>
      <c r="E2" s="370" t="s">
        <v>575</v>
      </c>
      <c r="F2" s="371">
        <v>2420</v>
      </c>
      <c r="G2" s="371">
        <v>3519</v>
      </c>
      <c r="H2" s="371">
        <v>4397</v>
      </c>
      <c r="I2" s="369">
        <v>3120</v>
      </c>
      <c r="J2" s="372" t="s">
        <v>576</v>
      </c>
      <c r="K2" s="373">
        <f>'Combined Retirement'!B22</f>
        <v>34444.46742778919</v>
      </c>
      <c r="L2" s="374">
        <f>'Combined Retirement'!B24</f>
        <v>2870.372285649099</v>
      </c>
      <c r="M2" s="370" t="s">
        <v>577</v>
      </c>
      <c r="N2" s="375">
        <f>'Combined Retirement'!N1</f>
        <v>0.21977797398773583</v>
      </c>
      <c r="Q2" s="25"/>
      <c r="R2" s="25"/>
      <c r="S2" s="25"/>
    </row>
    <row r="3" spans="1:19" ht="14.4" x14ac:dyDescent="0.3">
      <c r="A3" s="376" t="s">
        <v>578</v>
      </c>
      <c r="B3" s="377">
        <f>B1*(1+B2)</f>
        <v>469836.83999999991</v>
      </c>
      <c r="C3" s="378" t="s">
        <v>579</v>
      </c>
      <c r="D3" s="379">
        <v>18000</v>
      </c>
      <c r="E3" s="380" t="s">
        <v>580</v>
      </c>
      <c r="F3" s="381">
        <v>2192</v>
      </c>
      <c r="G3" s="381">
        <v>3197</v>
      </c>
      <c r="H3" s="381">
        <v>4019</v>
      </c>
      <c r="I3" s="379">
        <v>2765</v>
      </c>
      <c r="J3" s="382" t="s">
        <v>581</v>
      </c>
      <c r="K3" s="383">
        <f>'Combined Retirement'!C22</f>
        <v>42305.438109374998</v>
      </c>
      <c r="L3" s="377">
        <f>'Combined Retirement'!C24</f>
        <v>3525.4531757812501</v>
      </c>
      <c r="M3" s="380" t="s">
        <v>582</v>
      </c>
      <c r="N3" s="384">
        <f>'Combined Retirement'!R1</f>
        <v>103259.78879999998</v>
      </c>
      <c r="Q3" s="25"/>
      <c r="R3" s="25"/>
      <c r="S3" s="25"/>
    </row>
    <row r="4" spans="1:19" ht="14.4" x14ac:dyDescent="0.3">
      <c r="A4" s="385"/>
      <c r="B4" s="25"/>
      <c r="C4" s="11"/>
      <c r="D4" s="86"/>
      <c r="E4" s="23"/>
      <c r="F4" s="23"/>
      <c r="G4" s="23"/>
      <c r="H4" s="23"/>
      <c r="I4" s="23"/>
      <c r="J4" s="23"/>
      <c r="K4" s="23"/>
      <c r="L4" s="23"/>
      <c r="M4" s="86"/>
      <c r="N4" s="25"/>
      <c r="O4" s="25"/>
      <c r="P4" s="25"/>
      <c r="Q4" s="25"/>
      <c r="R4" s="25"/>
      <c r="S4" s="25"/>
    </row>
    <row r="5" spans="1:19" ht="14.4" x14ac:dyDescent="0.3">
      <c r="A5" s="360"/>
      <c r="B5" s="386" t="s">
        <v>583</v>
      </c>
      <c r="C5" s="386" t="s">
        <v>584</v>
      </c>
      <c r="D5" s="386" t="s">
        <v>585</v>
      </c>
      <c r="E5" s="361" t="s">
        <v>586</v>
      </c>
      <c r="F5" s="387" t="s">
        <v>587</v>
      </c>
      <c r="G5" s="388" t="s">
        <v>588</v>
      </c>
      <c r="H5" s="23"/>
      <c r="I5" s="23"/>
      <c r="J5" s="23"/>
      <c r="K5" s="23"/>
      <c r="L5" s="23"/>
      <c r="M5" s="389" t="s">
        <v>589</v>
      </c>
      <c r="N5" s="365">
        <f>N11</f>
        <v>39153.069999999992</v>
      </c>
      <c r="O5" s="390">
        <f t="shared" ref="O5:O7" si="0">N5*12</f>
        <v>469836.83999999991</v>
      </c>
      <c r="P5" s="25"/>
      <c r="Q5" s="25"/>
      <c r="R5" s="25"/>
      <c r="S5" s="25"/>
    </row>
    <row r="6" spans="1:19" ht="14.4" x14ac:dyDescent="0.3">
      <c r="A6" s="366" t="s">
        <v>590</v>
      </c>
      <c r="B6" s="391">
        <v>58.5</v>
      </c>
      <c r="C6" s="392">
        <f t="array" ref="C6">INDEX(B11:B1171,MATCH(MIN(ABS(B11:B1171-B6)),ABS(B11:B1171-B6),0))</f>
        <v>58.540725530458587</v>
      </c>
      <c r="D6" s="393">
        <f t="array" ref="D6">INDEX(A11:A1171,MATCH(C6,B11:B1171,0),0)</f>
        <v>51288</v>
      </c>
      <c r="E6" s="394">
        <f ca="1">'Isaac 401k'!B4</f>
        <v>46.833333333333336</v>
      </c>
      <c r="F6" s="395">
        <f ca="1">'Isaac 401k'!D4</f>
        <v>68362</v>
      </c>
      <c r="G6" s="396">
        <f ca="1">(F6-B9)/365.25</f>
        <v>105.28678986995209</v>
      </c>
      <c r="H6" s="23"/>
      <c r="I6" s="23"/>
      <c r="J6" s="555" t="s">
        <v>591</v>
      </c>
      <c r="K6" s="542"/>
      <c r="L6" s="23"/>
      <c r="M6" s="397" t="s">
        <v>592</v>
      </c>
      <c r="N6" s="373">
        <f>N3/12</f>
        <v>8604.982399999999</v>
      </c>
      <c r="O6" s="398">
        <f t="shared" si="0"/>
        <v>103259.78879999998</v>
      </c>
      <c r="P6" s="25"/>
      <c r="Q6" s="25"/>
      <c r="R6" s="25"/>
      <c r="S6" s="25"/>
    </row>
    <row r="7" spans="1:19" ht="14.4" x14ac:dyDescent="0.3">
      <c r="A7" s="376" t="s">
        <v>593</v>
      </c>
      <c r="B7" s="399">
        <v>53.9</v>
      </c>
      <c r="C7" s="400">
        <f t="array" ref="C7">INDEX(C11:C1171,MATCH(MIN(ABS(C11:C1171-B7)),ABS(C11:C1171-B7),0))</f>
        <v>53.930184804928132</v>
      </c>
      <c r="D7" s="401">
        <f t="array" ref="D7">INDEX(A11:A1171,MATCH(C7,C11:C1171,0),0)</f>
        <v>51288</v>
      </c>
      <c r="E7" s="402">
        <f ca="1">'Lorri 401b'!B4</f>
        <v>47.083333333333336</v>
      </c>
      <c r="F7" s="403">
        <f ca="1">'Lorri 401b'!D4</f>
        <v>68454</v>
      </c>
      <c r="G7" s="404">
        <f ca="1">(F7-C9)/365.25</f>
        <v>100.92813141683779</v>
      </c>
      <c r="H7" s="23"/>
      <c r="I7" s="23"/>
      <c r="J7" s="405">
        <v>0.27938000000000002</v>
      </c>
      <c r="K7" s="406">
        <f>1-J7</f>
        <v>0.72062000000000004</v>
      </c>
      <c r="L7" s="23"/>
      <c r="M7" s="407" t="s">
        <v>594</v>
      </c>
      <c r="N7" s="383">
        <f>N5-N6</f>
        <v>30548.087599999992</v>
      </c>
      <c r="O7" s="408">
        <f t="shared" si="0"/>
        <v>366577.05119999987</v>
      </c>
      <c r="P7" s="25"/>
      <c r="Q7" s="25"/>
      <c r="R7" s="25"/>
      <c r="S7" s="25"/>
    </row>
    <row r="8" spans="1:19" ht="14.4" x14ac:dyDescent="0.3">
      <c r="A8" s="37"/>
      <c r="B8" s="11"/>
      <c r="C8" s="11"/>
      <c r="E8" s="23"/>
      <c r="F8" s="23"/>
      <c r="G8" s="23"/>
      <c r="H8" s="23"/>
      <c r="I8" s="23"/>
      <c r="J8" s="23"/>
      <c r="K8" s="23"/>
      <c r="L8" s="23"/>
      <c r="N8" s="25"/>
      <c r="O8" s="25"/>
      <c r="P8" s="25"/>
      <c r="Q8" s="25"/>
      <c r="R8" s="25"/>
      <c r="S8" s="25"/>
    </row>
    <row r="9" spans="1:19" ht="14.4" x14ac:dyDescent="0.3">
      <c r="A9" s="37"/>
      <c r="B9" s="37">
        <v>29906</v>
      </c>
      <c r="C9" s="37">
        <v>31590</v>
      </c>
      <c r="E9" s="23"/>
      <c r="F9" s="23"/>
      <c r="G9" s="23"/>
      <c r="H9" s="23"/>
      <c r="I9" s="23"/>
      <c r="J9" s="25">
        <f t="shared" ref="J9:K9" si="1">SUM(J11:J607)</f>
        <v>6261826.1342525426</v>
      </c>
      <c r="K9" s="25">
        <f t="shared" si="1"/>
        <v>10801790.855273625</v>
      </c>
      <c r="L9" s="23"/>
      <c r="N9" s="25"/>
      <c r="O9" s="25"/>
      <c r="P9" s="25"/>
      <c r="Q9" s="25"/>
      <c r="R9" s="25"/>
      <c r="S9" s="25"/>
    </row>
    <row r="10" spans="1:19" ht="14.4" x14ac:dyDescent="0.3">
      <c r="A10" s="37" t="s">
        <v>268</v>
      </c>
      <c r="B10" s="11" t="s">
        <v>595</v>
      </c>
      <c r="C10" s="11" t="s">
        <v>596</v>
      </c>
      <c r="E10" s="25" t="s">
        <v>564</v>
      </c>
      <c r="F10" s="25" t="s">
        <v>576</v>
      </c>
      <c r="G10" s="25" t="s">
        <v>581</v>
      </c>
      <c r="H10" s="25" t="s">
        <v>597</v>
      </c>
      <c r="I10" s="25" t="s">
        <v>598</v>
      </c>
      <c r="J10" s="25" t="s">
        <v>599</v>
      </c>
      <c r="K10" s="25" t="s">
        <v>600</v>
      </c>
      <c r="L10" s="25"/>
      <c r="N10" s="25" t="s">
        <v>601</v>
      </c>
      <c r="O10" s="25" t="s">
        <v>602</v>
      </c>
      <c r="P10" s="25" t="s">
        <v>603</v>
      </c>
      <c r="Q10" s="25" t="s">
        <v>604</v>
      </c>
      <c r="R10" s="25" t="s">
        <v>605</v>
      </c>
      <c r="S10" s="25" t="s">
        <v>606</v>
      </c>
    </row>
    <row r="11" spans="1:19" ht="14.4" x14ac:dyDescent="0.3">
      <c r="A11" s="37">
        <v>51288</v>
      </c>
      <c r="B11" s="409">
        <f t="shared" ref="B11:C11" si="2">($A11-B$9)/365.25</f>
        <v>58.540725530458587</v>
      </c>
      <c r="C11" s="409">
        <f t="shared" si="2"/>
        <v>53.930184804928132</v>
      </c>
      <c r="E11" s="25">
        <f>IF(C11&gt;$B$7,0,'Combined Retirement'!$D$13/12)</f>
        <v>0</v>
      </c>
      <c r="F11" s="25">
        <f>IF(H11=0,'Combined Retirement'!$D$32,0)+'Combined Retirement'!$B$24</f>
        <v>4439.3722856490986</v>
      </c>
      <c r="G11" s="25">
        <f>'Combined Retirement'!$C$24</f>
        <v>3525.4531757812501</v>
      </c>
      <c r="H11" s="25">
        <f>IF(B11&lt;62,0,'Combined Retirement'!$I$14)</f>
        <v>0</v>
      </c>
      <c r="I11" s="25">
        <f>IF(C11&lt;62,0,'Combined Retirement'!$I$13)</f>
        <v>0</v>
      </c>
      <c r="J11" s="25">
        <f t="shared" ref="J11:J265" si="3">IF(C11&lt;59.5,P11,P11*$J$7)</f>
        <v>31188.244538569645</v>
      </c>
      <c r="K11" s="25">
        <f t="shared" ref="K11:K265" si="4">IF(C11&lt;59.5,0,IF(C11&lt;$B$7,0,P11*$K$7))</f>
        <v>0</v>
      </c>
      <c r="L11" s="25"/>
      <c r="N11" s="25">
        <f>'Combined Retirement'!$C$18/12</f>
        <v>39153.069999999992</v>
      </c>
      <c r="O11" s="25">
        <f t="shared" ref="O11:O265" si="5">SUM(E11:I11)</f>
        <v>7964.8254614303487</v>
      </c>
      <c r="P11" s="25">
        <f t="shared" ref="P11:P265" si="6">N11-O11</f>
        <v>31188.244538569645</v>
      </c>
      <c r="Q11" s="25">
        <f t="array" aca="1" ref="Q11" ca="1">INDEX('Isaac 401k'!L:L,MATCH('Retirement Calculator'!A11,'Isaac 401k'!N:N,0),0)</f>
        <v>3062043.5544674494</v>
      </c>
      <c r="R11" s="25">
        <f t="array" aca="1" ref="R11" ca="1">INDEX('Lorri 401b'!L:L,MATCH('Retirement Calculator'!A11,'Lorri 401b'!N:N,0),0)</f>
        <v>3282337.2565779751</v>
      </c>
      <c r="S11" s="25">
        <f t="shared" ref="S11:S265" ca="1" si="7">SUM(Q11:R11)</f>
        <v>6344380.811045425</v>
      </c>
    </row>
    <row r="12" spans="1:19" ht="14.4" x14ac:dyDescent="0.3">
      <c r="A12" s="37">
        <v>51318</v>
      </c>
      <c r="B12" s="409">
        <f t="shared" ref="B12:C12" si="8">($A12-B$9)/365.25</f>
        <v>58.622861054072551</v>
      </c>
      <c r="C12" s="409">
        <f t="shared" si="8"/>
        <v>54.012320328542096</v>
      </c>
      <c r="E12" s="25">
        <f>IF(C12&gt;$B$7,0,'Combined Retirement'!$D$13/12)</f>
        <v>0</v>
      </c>
      <c r="F12" s="25">
        <f>IF(H12=0,'Combined Retirement'!$D$32,0)+'Combined Retirement'!$B$24</f>
        <v>4439.3722856490986</v>
      </c>
      <c r="G12" s="25">
        <f>'Combined Retirement'!$C$24</f>
        <v>3525.4531757812501</v>
      </c>
      <c r="H12" s="25">
        <f>IF(B12&lt;62,0,'Combined Retirement'!$I$14)</f>
        <v>0</v>
      </c>
      <c r="I12" s="25">
        <f>IF(C12&lt;62,0,'Combined Retirement'!$I$13)</f>
        <v>0</v>
      </c>
      <c r="J12" s="25">
        <f t="shared" si="3"/>
        <v>31188.244538569645</v>
      </c>
      <c r="K12" s="25">
        <f t="shared" si="4"/>
        <v>0</v>
      </c>
      <c r="L12" s="25"/>
      <c r="N12" s="25">
        <f>'Combined Retirement'!$C$18/12</f>
        <v>39153.069999999992</v>
      </c>
      <c r="O12" s="25">
        <f t="shared" si="5"/>
        <v>7964.8254614303487</v>
      </c>
      <c r="P12" s="25">
        <f t="shared" si="6"/>
        <v>31188.244538569645</v>
      </c>
      <c r="Q12" s="25">
        <f t="array" aca="1" ref="Q12" ca="1">INDEX('Isaac 401k'!L:L,MATCH('Retirement Calculator'!A12,'Isaac 401k'!N:N,0),0)</f>
        <v>3043483.8737202501</v>
      </c>
      <c r="R12" s="25">
        <f t="array" aca="1" ref="R12" ca="1">INDEX('Lorri 401b'!L:L,MATCH('Retirement Calculator'!A12,'Lorri 401b'!N:N,0),0)</f>
        <v>3296013.6618137169</v>
      </c>
      <c r="S12" s="25">
        <f t="shared" ca="1" si="7"/>
        <v>6339497.5355339665</v>
      </c>
    </row>
    <row r="13" spans="1:19" ht="14.4" x14ac:dyDescent="0.3">
      <c r="A13" s="37">
        <v>51349</v>
      </c>
      <c r="B13" s="409">
        <f t="shared" ref="B13:C13" si="9">($A13-B$9)/365.25</f>
        <v>58.70773442847365</v>
      </c>
      <c r="C13" s="409">
        <f t="shared" si="9"/>
        <v>54.097193702943187</v>
      </c>
      <c r="E13" s="25">
        <f>IF(C13&gt;$B$7,0,'Combined Retirement'!$D$13/12)</f>
        <v>0</v>
      </c>
      <c r="F13" s="25">
        <f>IF(H13=0,'Combined Retirement'!$D$32,0)+'Combined Retirement'!$B$24</f>
        <v>4439.3722856490986</v>
      </c>
      <c r="G13" s="25">
        <f>'Combined Retirement'!$C$24</f>
        <v>3525.4531757812501</v>
      </c>
      <c r="H13" s="25">
        <f>IF(B13&lt;62,0,'Combined Retirement'!$I$14)</f>
        <v>0</v>
      </c>
      <c r="I13" s="25">
        <f>IF(C13&lt;62,0,'Combined Retirement'!$I$13)</f>
        <v>0</v>
      </c>
      <c r="J13" s="25">
        <f t="shared" si="3"/>
        <v>31188.244538569645</v>
      </c>
      <c r="K13" s="25">
        <f t="shared" si="4"/>
        <v>0</v>
      </c>
      <c r="L13" s="25"/>
      <c r="N13" s="25">
        <f>'Combined Retirement'!$C$18/12</f>
        <v>39153.069999999992</v>
      </c>
      <c r="O13" s="25">
        <f t="shared" si="5"/>
        <v>7964.8254614303487</v>
      </c>
      <c r="P13" s="25">
        <f t="shared" si="6"/>
        <v>31188.244538569645</v>
      </c>
      <c r="Q13" s="25">
        <f t="array" aca="1" ref="Q13" ca="1">INDEX('Isaac 401k'!L:L,MATCH('Retirement Calculator'!A13,'Isaac 401k'!N:N,0),0)</f>
        <v>3024846.8609699374</v>
      </c>
      <c r="R13" s="25">
        <f t="array" aca="1" ref="R13" ca="1">INDEX('Lorri 401b'!L:L,MATCH('Retirement Calculator'!A13,'Lorri 401b'!N:N,0),0)</f>
        <v>3309747.0520712738</v>
      </c>
      <c r="S13" s="25">
        <f t="shared" ca="1" si="7"/>
        <v>6334593.9130412117</v>
      </c>
    </row>
    <row r="14" spans="1:19" ht="14.4" x14ac:dyDescent="0.3">
      <c r="A14" s="37">
        <v>51380</v>
      </c>
      <c r="B14" s="409">
        <f t="shared" ref="B14:C14" si="10">($A14-B$9)/365.25</f>
        <v>58.792607802874741</v>
      </c>
      <c r="C14" s="409">
        <f t="shared" si="10"/>
        <v>54.182067077344286</v>
      </c>
      <c r="E14" s="25">
        <f>IF(C14&gt;$B$7,0,'Combined Retirement'!$D$13/12)</f>
        <v>0</v>
      </c>
      <c r="F14" s="25">
        <f>IF(H14=0,'Combined Retirement'!$D$32,0)+'Combined Retirement'!$B$24</f>
        <v>4439.3722856490986</v>
      </c>
      <c r="G14" s="25">
        <f>'Combined Retirement'!$C$24</f>
        <v>3525.4531757812501</v>
      </c>
      <c r="H14" s="25">
        <f>IF(B14&lt;62,0,'Combined Retirement'!$I$14)</f>
        <v>0</v>
      </c>
      <c r="I14" s="25">
        <f>IF(C14&lt;62,0,'Combined Retirement'!$I$13)</f>
        <v>0</v>
      </c>
      <c r="J14" s="25">
        <f t="shared" si="3"/>
        <v>31188.244538569645</v>
      </c>
      <c r="K14" s="25">
        <f t="shared" si="4"/>
        <v>0</v>
      </c>
      <c r="L14" s="25"/>
      <c r="N14" s="25">
        <f>'Combined Retirement'!$C$18/12</f>
        <v>39153.069999999992</v>
      </c>
      <c r="O14" s="25">
        <f t="shared" si="5"/>
        <v>7964.8254614303487</v>
      </c>
      <c r="P14" s="25">
        <f t="shared" si="6"/>
        <v>31188.244538569645</v>
      </c>
      <c r="Q14" s="25">
        <f t="array" aca="1" ref="Q14" ca="1">INDEX('Isaac 401k'!L:L,MATCH('Retirement Calculator'!A14,'Isaac 401k'!N:N,0),0)</f>
        <v>3006132.1939998316</v>
      </c>
      <c r="R14" s="25">
        <f t="array" aca="1" ref="R14" ca="1">INDEX('Lorri 401b'!L:L,MATCH('Retirement Calculator'!A14,'Lorri 401b'!N:N,0),0)</f>
        <v>3323537.6647882373</v>
      </c>
      <c r="S14" s="25">
        <f t="shared" ca="1" si="7"/>
        <v>6329669.8587880693</v>
      </c>
    </row>
    <row r="15" spans="1:19" ht="14.4" x14ac:dyDescent="0.3">
      <c r="A15" s="37">
        <v>51410</v>
      </c>
      <c r="B15" s="409">
        <f t="shared" ref="B15:C15" si="11">($A15-B$9)/365.25</f>
        <v>58.874743326488705</v>
      </c>
      <c r="C15" s="409">
        <f t="shared" si="11"/>
        <v>54.264202600958249</v>
      </c>
      <c r="E15" s="25">
        <f>IF(C15&gt;$B$7,0,'Combined Retirement'!$D$13/12)</f>
        <v>0</v>
      </c>
      <c r="F15" s="25">
        <f>IF(H15=0,'Combined Retirement'!$D$32,0)+'Combined Retirement'!$B$24</f>
        <v>4439.3722856490986</v>
      </c>
      <c r="G15" s="25">
        <f>'Combined Retirement'!$C$24</f>
        <v>3525.4531757812501</v>
      </c>
      <c r="H15" s="25">
        <f>IF(B15&lt;62,0,'Combined Retirement'!$I$14)</f>
        <v>0</v>
      </c>
      <c r="I15" s="25">
        <f>IF(C15&lt;62,0,'Combined Retirement'!$I$13)</f>
        <v>0</v>
      </c>
      <c r="J15" s="25">
        <f t="shared" si="3"/>
        <v>31188.244538569645</v>
      </c>
      <c r="K15" s="25">
        <f t="shared" si="4"/>
        <v>0</v>
      </c>
      <c r="L15" s="25"/>
      <c r="N15" s="25">
        <f>'Combined Retirement'!$C$18/12</f>
        <v>39153.069999999992</v>
      </c>
      <c r="O15" s="25">
        <f t="shared" si="5"/>
        <v>7964.8254614303487</v>
      </c>
      <c r="P15" s="25">
        <f t="shared" si="6"/>
        <v>31188.244538569645</v>
      </c>
      <c r="Q15" s="25">
        <f t="array" aca="1" ref="Q15" ca="1">INDEX('Isaac 401k'!L:L,MATCH('Retirement Calculator'!A15,'Isaac 401k'!N:N,0),0)</f>
        <v>2987339.5492506837</v>
      </c>
      <c r="R15" s="25">
        <f t="array" aca="1" ref="R15" ca="1">INDEX('Lorri 401b'!L:L,MATCH('Retirement Calculator'!A15,'Lorri 401b'!N:N,0),0)</f>
        <v>3337385.7383915219</v>
      </c>
      <c r="S15" s="25">
        <f t="shared" ca="1" si="7"/>
        <v>6324725.2876422051</v>
      </c>
    </row>
    <row r="16" spans="1:19" ht="14.4" x14ac:dyDescent="0.3">
      <c r="A16" s="37">
        <v>51441</v>
      </c>
      <c r="B16" s="409">
        <f t="shared" ref="B16:C16" si="12">($A16-B$9)/365.25</f>
        <v>58.959616700889804</v>
      </c>
      <c r="C16" s="409">
        <f t="shared" si="12"/>
        <v>54.349075975359341</v>
      </c>
      <c r="E16" s="25">
        <f>IF(C16&gt;$B$7,0,'Combined Retirement'!$D$13/12)</f>
        <v>0</v>
      </c>
      <c r="F16" s="25">
        <f>IF(H16=0,'Combined Retirement'!$D$32,0)+'Combined Retirement'!$B$24</f>
        <v>4439.3722856490986</v>
      </c>
      <c r="G16" s="25">
        <f>'Combined Retirement'!$C$24</f>
        <v>3525.4531757812501</v>
      </c>
      <c r="H16" s="25">
        <f>IF(B16&lt;62,0,'Combined Retirement'!$I$14)</f>
        <v>0</v>
      </c>
      <c r="I16" s="25">
        <f>IF(C16&lt;62,0,'Combined Retirement'!$I$13)</f>
        <v>0</v>
      </c>
      <c r="J16" s="25">
        <f t="shared" si="3"/>
        <v>31188.244538569645</v>
      </c>
      <c r="K16" s="25">
        <f t="shared" si="4"/>
        <v>0</v>
      </c>
      <c r="L16" s="25"/>
      <c r="N16" s="25">
        <f>'Combined Retirement'!$C$18/12</f>
        <v>39153.069999999992</v>
      </c>
      <c r="O16" s="25">
        <f t="shared" si="5"/>
        <v>7964.8254614303487</v>
      </c>
      <c r="P16" s="25">
        <f t="shared" si="6"/>
        <v>31188.244538569645</v>
      </c>
      <c r="Q16" s="25">
        <f t="array" aca="1" ref="Q16" ca="1">INDEX('Isaac 401k'!L:L,MATCH('Retirement Calculator'!A16,'Isaac 401k'!N:N,0),0)</f>
        <v>2968468.6018150812</v>
      </c>
      <c r="R16" s="25">
        <f t="array" aca="1" ref="R16" ca="1">INDEX('Lorri 401b'!L:L,MATCH('Retirement Calculator'!A16,'Lorri 401b'!N:N,0),0)</f>
        <v>3351291.5123014865</v>
      </c>
      <c r="S16" s="25">
        <f t="shared" ca="1" si="7"/>
        <v>6319760.1141165681</v>
      </c>
    </row>
    <row r="17" spans="1:19" ht="14.4" x14ac:dyDescent="0.3">
      <c r="A17" s="37">
        <v>51471</v>
      </c>
      <c r="B17" s="409">
        <f t="shared" ref="B17:C17" si="13">($A17-B$9)/365.25</f>
        <v>59.041752224503767</v>
      </c>
      <c r="C17" s="409">
        <f t="shared" si="13"/>
        <v>54.431211498973305</v>
      </c>
      <c r="E17" s="25">
        <f>IF(C17&gt;$B$7,0,'Combined Retirement'!$D$13/12)</f>
        <v>0</v>
      </c>
      <c r="F17" s="25">
        <f>IF(H17=0,'Combined Retirement'!$D$32,0)+'Combined Retirement'!$B$24</f>
        <v>4439.3722856490986</v>
      </c>
      <c r="G17" s="25">
        <f>'Combined Retirement'!$C$24</f>
        <v>3525.4531757812501</v>
      </c>
      <c r="H17" s="25">
        <f>IF(B17&lt;62,0,'Combined Retirement'!$I$14)</f>
        <v>0</v>
      </c>
      <c r="I17" s="25">
        <f>IF(C17&lt;62,0,'Combined Retirement'!$I$13)</f>
        <v>0</v>
      </c>
      <c r="J17" s="25">
        <f t="shared" si="3"/>
        <v>31188.244538569645</v>
      </c>
      <c r="K17" s="25">
        <f t="shared" si="4"/>
        <v>0</v>
      </c>
      <c r="L17" s="25"/>
      <c r="N17" s="25">
        <f>'Combined Retirement'!$C$18/12</f>
        <v>39153.069999999992</v>
      </c>
      <c r="O17" s="25">
        <f t="shared" si="5"/>
        <v>7964.8254614303487</v>
      </c>
      <c r="P17" s="25">
        <f t="shared" si="6"/>
        <v>31188.244538569645</v>
      </c>
      <c r="Q17" s="25">
        <f t="array" aca="1" ref="Q17" ca="1">INDEX('Isaac 401k'!L:L,MATCH('Retirement Calculator'!A17,'Isaac 401k'!N:N,0),0)</f>
        <v>2949519.02543183</v>
      </c>
      <c r="R17" s="25">
        <f t="array" aca="1" ref="R17" ca="1">INDEX('Lorri 401b'!L:L,MATCH('Retirement Calculator'!A17,'Lorri 401b'!N:N,0),0)</f>
        <v>3365255.2269360758</v>
      </c>
      <c r="S17" s="25">
        <f t="shared" ca="1" si="7"/>
        <v>6314774.2523679063</v>
      </c>
    </row>
    <row r="18" spans="1:19" ht="14.4" x14ac:dyDescent="0.3">
      <c r="A18" s="37">
        <v>51502</v>
      </c>
      <c r="B18" s="409">
        <f t="shared" ref="B18:C18" si="14">($A18-B$9)/365.25</f>
        <v>59.126625598904859</v>
      </c>
      <c r="C18" s="409">
        <f t="shared" si="14"/>
        <v>54.516084873374403</v>
      </c>
      <c r="E18" s="25">
        <f>IF(C18&gt;$B$7,0,'Combined Retirement'!$D$13/12)</f>
        <v>0</v>
      </c>
      <c r="F18" s="25">
        <f>IF(H18=0,'Combined Retirement'!$D$32,0)+'Combined Retirement'!$B$24</f>
        <v>4439.3722856490986</v>
      </c>
      <c r="G18" s="25">
        <f>'Combined Retirement'!$C$24</f>
        <v>3525.4531757812501</v>
      </c>
      <c r="H18" s="25">
        <f>IF(B18&lt;62,0,'Combined Retirement'!$I$14)</f>
        <v>0</v>
      </c>
      <c r="I18" s="25">
        <f>IF(C18&lt;62,0,'Combined Retirement'!$I$13)</f>
        <v>0</v>
      </c>
      <c r="J18" s="25">
        <f t="shared" si="3"/>
        <v>31188.244538569645</v>
      </c>
      <c r="K18" s="25">
        <f t="shared" si="4"/>
        <v>0</v>
      </c>
      <c r="L18" s="25"/>
      <c r="N18" s="25">
        <f>'Combined Retirement'!$C$18/12</f>
        <v>39153.069999999992</v>
      </c>
      <c r="O18" s="25">
        <f t="shared" si="5"/>
        <v>7964.8254614303487</v>
      </c>
      <c r="P18" s="25">
        <f t="shared" si="6"/>
        <v>31188.244538569645</v>
      </c>
      <c r="Q18" s="25">
        <f t="array" aca="1" ref="Q18" ca="1">INDEX('Isaac 401k'!L:L,MATCH('Retirement Calculator'!A18,'Isaac 401k'!N:N,0),0)</f>
        <v>2930490.4924803153</v>
      </c>
      <c r="R18" s="25">
        <f t="array" aca="1" ref="R18" ca="1">INDEX('Lorri 401b'!L:L,MATCH('Retirement Calculator'!A18,'Lorri 401b'!N:N,0),0)</f>
        <v>3379277.123714976</v>
      </c>
      <c r="S18" s="25">
        <f t="shared" ca="1" si="7"/>
        <v>6309767.6161952913</v>
      </c>
    </row>
    <row r="19" spans="1:19" ht="14.4" x14ac:dyDescent="0.3">
      <c r="A19" s="37">
        <v>51533</v>
      </c>
      <c r="B19" s="409">
        <f t="shared" ref="B19:C19" si="15">($A19-B$9)/365.25</f>
        <v>59.211498973305957</v>
      </c>
      <c r="C19" s="409">
        <f t="shared" si="15"/>
        <v>54.600958247775495</v>
      </c>
      <c r="E19" s="25">
        <f>IF(C19&gt;$B$7,0,'Combined Retirement'!$D$13/12)</f>
        <v>0</v>
      </c>
      <c r="F19" s="25">
        <f>IF(H19=0,'Combined Retirement'!$D$32,0)+'Combined Retirement'!$B$24</f>
        <v>4439.3722856490986</v>
      </c>
      <c r="G19" s="25">
        <f>'Combined Retirement'!$C$24</f>
        <v>3525.4531757812501</v>
      </c>
      <c r="H19" s="25">
        <f>IF(B19&lt;62,0,'Combined Retirement'!$I$14)</f>
        <v>0</v>
      </c>
      <c r="I19" s="25">
        <f>IF(C19&lt;62,0,'Combined Retirement'!$I$13)</f>
        <v>0</v>
      </c>
      <c r="J19" s="25">
        <f t="shared" si="3"/>
        <v>31188.244538569645</v>
      </c>
      <c r="K19" s="25">
        <f t="shared" si="4"/>
        <v>0</v>
      </c>
      <c r="L19" s="25"/>
      <c r="N19" s="25">
        <f>'Combined Retirement'!$C$18/12</f>
        <v>39153.069999999992</v>
      </c>
      <c r="O19" s="25">
        <f t="shared" si="5"/>
        <v>7964.8254614303487</v>
      </c>
      <c r="P19" s="25">
        <f t="shared" si="6"/>
        <v>31188.244538569645</v>
      </c>
      <c r="Q19" s="25">
        <f t="array" aca="1" ref="Q19" ca="1">INDEX('Isaac 401k'!L:L,MATCH('Retirement Calculator'!A19,'Isaac 401k'!N:N,0),0)</f>
        <v>2911382.6739748362</v>
      </c>
      <c r="R19" s="25">
        <f t="array" aca="1" ref="R19" ca="1">INDEX('Lorri 401b'!L:L,MATCH('Retirement Calculator'!A19,'Lorri 401b'!N:N,0),0)</f>
        <v>3393357.4450637884</v>
      </c>
      <c r="S19" s="25">
        <f t="shared" ca="1" si="7"/>
        <v>6304740.1190386247</v>
      </c>
    </row>
    <row r="20" spans="1:19" ht="14.4" x14ac:dyDescent="0.3">
      <c r="A20" s="37">
        <v>51561</v>
      </c>
      <c r="B20" s="409">
        <f t="shared" ref="B20:C20" si="16">($A20-B$9)/365.25</f>
        <v>59.288158795345652</v>
      </c>
      <c r="C20" s="409">
        <f t="shared" si="16"/>
        <v>54.677618069815196</v>
      </c>
      <c r="E20" s="25">
        <f>IF(C20&gt;$B$7,0,'Combined Retirement'!$D$13/12)</f>
        <v>0</v>
      </c>
      <c r="F20" s="25">
        <f>IF(H20=0,'Combined Retirement'!$D$32,0)+'Combined Retirement'!$B$24</f>
        <v>4439.3722856490986</v>
      </c>
      <c r="G20" s="25">
        <f>'Combined Retirement'!$C$24</f>
        <v>3525.4531757812501</v>
      </c>
      <c r="H20" s="25">
        <f>IF(B20&lt;62,0,'Combined Retirement'!$I$14)</f>
        <v>0</v>
      </c>
      <c r="I20" s="25">
        <f>IF(C20&lt;62,0,'Combined Retirement'!$I$13)</f>
        <v>0</v>
      </c>
      <c r="J20" s="25">
        <f t="shared" si="3"/>
        <v>31188.244538569645</v>
      </c>
      <c r="K20" s="25">
        <f t="shared" si="4"/>
        <v>0</v>
      </c>
      <c r="L20" s="25"/>
      <c r="N20" s="25">
        <f>'Combined Retirement'!$C$18/12</f>
        <v>39153.069999999992</v>
      </c>
      <c r="O20" s="25">
        <f t="shared" si="5"/>
        <v>7964.8254614303487</v>
      </c>
      <c r="P20" s="25">
        <f t="shared" si="6"/>
        <v>31188.244538569645</v>
      </c>
      <c r="Q20" s="25">
        <f t="array" aca="1" ref="Q20" ca="1">INDEX('Isaac 401k'!L:L,MATCH('Retirement Calculator'!A20,'Isaac 401k'!N:N,0),0)</f>
        <v>2892195.2395589175</v>
      </c>
      <c r="R20" s="25">
        <f t="array" aca="1" ref="R20" ca="1">INDEX('Lorri 401b'!L:L,MATCH('Retirement Calculator'!A20,'Lorri 401b'!N:N,0),0)</f>
        <v>3407496.434418221</v>
      </c>
      <c r="S20" s="25">
        <f t="shared" ca="1" si="7"/>
        <v>6299691.6739771385</v>
      </c>
    </row>
    <row r="21" spans="1:19" ht="15.75" customHeight="1" x14ac:dyDescent="0.3">
      <c r="A21" s="37">
        <v>51592</v>
      </c>
      <c r="B21" s="409">
        <f t="shared" ref="B21:C21" si="17">($A21-B$9)/365.25</f>
        <v>59.37303216974675</v>
      </c>
      <c r="C21" s="409">
        <f t="shared" si="17"/>
        <v>54.762491444216288</v>
      </c>
      <c r="E21" s="25">
        <f>IF(C21&gt;$B$7,0,'Combined Retirement'!$D$13/12)</f>
        <v>0</v>
      </c>
      <c r="F21" s="25">
        <f>IF(H21=0,'Combined Retirement'!$D$32,0)+'Combined Retirement'!$B$24</f>
        <v>4439.3722856490986</v>
      </c>
      <c r="G21" s="25">
        <f>'Combined Retirement'!$C$24</f>
        <v>3525.4531757812501</v>
      </c>
      <c r="H21" s="25">
        <f>IF(B21&lt;62,0,'Combined Retirement'!$I$14)</f>
        <v>0</v>
      </c>
      <c r="I21" s="25">
        <f>IF(C21&lt;62,0,'Combined Retirement'!$I$13)</f>
        <v>0</v>
      </c>
      <c r="J21" s="25">
        <f t="shared" si="3"/>
        <v>31188.244538569645</v>
      </c>
      <c r="K21" s="25">
        <f t="shared" si="4"/>
        <v>0</v>
      </c>
      <c r="L21" s="25"/>
      <c r="N21" s="25">
        <f>'Combined Retirement'!$C$18/12</f>
        <v>39153.069999999992</v>
      </c>
      <c r="O21" s="25">
        <f t="shared" si="5"/>
        <v>7964.8254614303487</v>
      </c>
      <c r="P21" s="25">
        <f t="shared" si="6"/>
        <v>31188.244538569645</v>
      </c>
      <c r="Q21" s="25">
        <f t="array" aca="1" ref="Q21" ca="1">INDEX('Isaac 401k'!L:L,MATCH('Retirement Calculator'!A21,'Isaac 401k'!N:N,0),0)</f>
        <v>2872927.857499599</v>
      </c>
      <c r="R21" s="25">
        <f t="array" aca="1" ref="R21" ca="1">INDEX('Lorri 401b'!L:L,MATCH('Retirement Calculator'!A21,'Lorri 401b'!N:N,0),0)</f>
        <v>3421694.3362282971</v>
      </c>
      <c r="S21" s="25">
        <f t="shared" ca="1" si="7"/>
        <v>6294622.1937278956</v>
      </c>
    </row>
    <row r="22" spans="1:19" ht="15.75" customHeight="1" x14ac:dyDescent="0.3">
      <c r="A22" s="37">
        <v>51622</v>
      </c>
      <c r="B22" s="409">
        <f t="shared" ref="B22:C22" si="18">($A22-B$9)/365.25</f>
        <v>59.455167693360714</v>
      </c>
      <c r="C22" s="409">
        <f t="shared" si="18"/>
        <v>54.844626967830251</v>
      </c>
      <c r="E22" s="25">
        <f>IF(C22&gt;$B$7,0,'Combined Retirement'!$D$13/12)</f>
        <v>0</v>
      </c>
      <c r="F22" s="25">
        <f>IF(H22=0,'Combined Retirement'!$D$32,0)+'Combined Retirement'!$B$24</f>
        <v>4439.3722856490986</v>
      </c>
      <c r="G22" s="25">
        <f>'Combined Retirement'!$C$24</f>
        <v>3525.4531757812501</v>
      </c>
      <c r="H22" s="25">
        <f>IF(B22&lt;62,0,'Combined Retirement'!$I$14)</f>
        <v>0</v>
      </c>
      <c r="I22" s="25">
        <f>IF(C22&lt;62,0,'Combined Retirement'!$I$13)</f>
        <v>0</v>
      </c>
      <c r="J22" s="25">
        <f t="shared" si="3"/>
        <v>31188.244538569645</v>
      </c>
      <c r="K22" s="25">
        <f t="shared" si="4"/>
        <v>0</v>
      </c>
      <c r="L22" s="25"/>
      <c r="N22" s="25">
        <f>'Combined Retirement'!$C$18/12</f>
        <v>39153.069999999992</v>
      </c>
      <c r="O22" s="25">
        <f t="shared" si="5"/>
        <v>7964.8254614303487</v>
      </c>
      <c r="P22" s="25">
        <f t="shared" si="6"/>
        <v>31188.244538569645</v>
      </c>
      <c r="Q22" s="25">
        <f t="array" aca="1" ref="Q22" ca="1">INDEX('Isaac 401k'!L:L,MATCH('Retirement Calculator'!A22,'Isaac 401k'!N:N,0),0)</f>
        <v>2853580.1946817003</v>
      </c>
      <c r="R22" s="25">
        <f t="array" aca="1" ref="R22" ca="1">INDEX('Lorri 401b'!L:L,MATCH('Retirement Calculator'!A22,'Lorri 401b'!N:N,0),0)</f>
        <v>3435951.3959625815</v>
      </c>
      <c r="S22" s="25">
        <f t="shared" ca="1" si="7"/>
        <v>6289531.5906442814</v>
      </c>
    </row>
    <row r="23" spans="1:19" ht="15.75" customHeight="1" x14ac:dyDescent="0.3">
      <c r="A23" s="37">
        <v>51653</v>
      </c>
      <c r="B23" s="409">
        <f t="shared" ref="B23:C23" si="19">($A23-B$9)/365.25</f>
        <v>59.540041067761805</v>
      </c>
      <c r="C23" s="409">
        <f t="shared" si="19"/>
        <v>54.92950034223135</v>
      </c>
      <c r="E23" s="25">
        <f>IF(C23&gt;$B$7,0,'Combined Retirement'!$D$13/12)</f>
        <v>0</v>
      </c>
      <c r="F23" s="25">
        <f>IF(H23=0,'Combined Retirement'!$D$32,0)+'Combined Retirement'!$B$24</f>
        <v>4439.3722856490986</v>
      </c>
      <c r="G23" s="25">
        <f>'Combined Retirement'!$C$24</f>
        <v>3525.4531757812501</v>
      </c>
      <c r="H23" s="25">
        <f>IF(B23&lt;62,0,'Combined Retirement'!$I$14)</f>
        <v>0</v>
      </c>
      <c r="I23" s="25">
        <f>IF(C23&lt;62,0,'Combined Retirement'!$I$13)</f>
        <v>0</v>
      </c>
      <c r="J23" s="25">
        <f t="shared" si="3"/>
        <v>31188.244538569645</v>
      </c>
      <c r="K23" s="25">
        <f t="shared" si="4"/>
        <v>0</v>
      </c>
      <c r="L23" s="25"/>
      <c r="N23" s="25">
        <f>'Combined Retirement'!$C$18/12</f>
        <v>39153.069999999992</v>
      </c>
      <c r="O23" s="25">
        <f t="shared" si="5"/>
        <v>7964.8254614303487</v>
      </c>
      <c r="P23" s="25">
        <f t="shared" si="6"/>
        <v>31188.244538569645</v>
      </c>
      <c r="Q23" s="25">
        <f t="array" aca="1" ref="Q23" ca="1">INDEX('Isaac 401k'!L:L,MATCH('Retirement Calculator'!A23,'Isaac 401k'!N:N,0),0)</f>
        <v>2834151.9166020602</v>
      </c>
      <c r="R23" s="25">
        <f t="array" aca="1" ref="R23" ca="1">INDEX('Lorri 401b'!L:L,MATCH('Retirement Calculator'!A23,'Lorri 401b'!N:N,0),0)</f>
        <v>3450267.8601124254</v>
      </c>
      <c r="S23" s="25">
        <f t="shared" ca="1" si="7"/>
        <v>6284419.7767144851</v>
      </c>
    </row>
    <row r="24" spans="1:19" ht="15.75" customHeight="1" x14ac:dyDescent="0.3">
      <c r="A24" s="37">
        <v>51683</v>
      </c>
      <c r="B24" s="409">
        <f t="shared" ref="B24:C24" si="20">($A24-B$9)/365.25</f>
        <v>59.622176591375769</v>
      </c>
      <c r="C24" s="409">
        <f t="shared" si="20"/>
        <v>55.011635865845314</v>
      </c>
      <c r="E24" s="25">
        <f>IF(C24&gt;$B$7,0,'Combined Retirement'!$D$13/12)</f>
        <v>0</v>
      </c>
      <c r="F24" s="25">
        <f>IF(H24=0,'Combined Retirement'!$D$32,0)+'Combined Retirement'!$B$24</f>
        <v>4439.3722856490986</v>
      </c>
      <c r="G24" s="25">
        <f>'Combined Retirement'!$C$24</f>
        <v>3525.4531757812501</v>
      </c>
      <c r="H24" s="25">
        <f>IF(B24&lt;62,0,'Combined Retirement'!$I$14)</f>
        <v>0</v>
      </c>
      <c r="I24" s="25">
        <f>IF(C24&lt;62,0,'Combined Retirement'!$I$13)</f>
        <v>0</v>
      </c>
      <c r="J24" s="25">
        <f t="shared" si="3"/>
        <v>31188.244538569645</v>
      </c>
      <c r="K24" s="25">
        <f t="shared" si="4"/>
        <v>0</v>
      </c>
      <c r="L24" s="25"/>
      <c r="N24" s="25">
        <f>'Combined Retirement'!$C$18/12</f>
        <v>39153.069999999992</v>
      </c>
      <c r="O24" s="25">
        <f t="shared" si="5"/>
        <v>7964.8254614303487</v>
      </c>
      <c r="P24" s="25">
        <f t="shared" si="6"/>
        <v>31188.244538569645</v>
      </c>
      <c r="Q24" s="25">
        <f t="array" aca="1" ref="Q24" ca="1">INDEX('Isaac 401k'!L:L,MATCH('Retirement Calculator'!A24,'Isaac 401k'!N:N,0),0)</f>
        <v>2814642.687363755</v>
      </c>
      <c r="R24" s="25">
        <f t="array" aca="1" ref="R24" ca="1">INDEX('Lorri 401b'!L:L,MATCH('Retirement Calculator'!A24,'Lorri 401b'!N:N,0),0)</f>
        <v>3464643.9761962271</v>
      </c>
      <c r="S24" s="25">
        <f t="shared" ca="1" si="7"/>
        <v>6279286.6635599826</v>
      </c>
    </row>
    <row r="25" spans="1:19" ht="15.75" customHeight="1" x14ac:dyDescent="0.3">
      <c r="A25" s="37">
        <v>51714</v>
      </c>
      <c r="B25" s="409">
        <f t="shared" ref="B25:C25" si="21">($A25-B$9)/365.25</f>
        <v>59.707049965776868</v>
      </c>
      <c r="C25" s="409">
        <f t="shared" si="21"/>
        <v>55.096509240246405</v>
      </c>
      <c r="E25" s="25">
        <f>IF(C25&gt;$B$7,0,'Combined Retirement'!$D$13/12)</f>
        <v>0</v>
      </c>
      <c r="F25" s="25">
        <f>IF(H25=0,'Combined Retirement'!$D$32,0)+'Combined Retirement'!$B$24</f>
        <v>4439.3722856490986</v>
      </c>
      <c r="G25" s="25">
        <f>'Combined Retirement'!$C$24</f>
        <v>3525.4531757812501</v>
      </c>
      <c r="H25" s="25">
        <f>IF(B25&lt;62,0,'Combined Retirement'!$I$14)</f>
        <v>0</v>
      </c>
      <c r="I25" s="25">
        <f>IF(C25&lt;62,0,'Combined Retirement'!$I$13)</f>
        <v>0</v>
      </c>
      <c r="J25" s="25">
        <f t="shared" si="3"/>
        <v>31188.244538569645</v>
      </c>
      <c r="K25" s="25">
        <f t="shared" si="4"/>
        <v>0</v>
      </c>
      <c r="L25" s="25"/>
      <c r="N25" s="25">
        <f>'Combined Retirement'!$C$18/12</f>
        <v>39153.069999999992</v>
      </c>
      <c r="O25" s="25">
        <f t="shared" si="5"/>
        <v>7964.8254614303487</v>
      </c>
      <c r="P25" s="25">
        <f t="shared" si="6"/>
        <v>31188.244538569645</v>
      </c>
      <c r="Q25" s="25">
        <f t="array" aca="1" ref="Q25" ca="1">INDEX('Isaac 401k'!L:L,MATCH('Retirement Calculator'!A25,'Isaac 401k'!N:N,0),0)</f>
        <v>2795052.1696702898</v>
      </c>
      <c r="R25" s="25">
        <f t="array" aca="1" ref="R25" ca="1">INDEX('Lorri 401b'!L:L,MATCH('Retirement Calculator'!A25,'Lorri 401b'!N:N,0),0)</f>
        <v>3479079.9927637116</v>
      </c>
      <c r="S25" s="25">
        <f t="shared" ca="1" si="7"/>
        <v>6274132.1624340015</v>
      </c>
    </row>
    <row r="26" spans="1:19" ht="15.75" customHeight="1" x14ac:dyDescent="0.3">
      <c r="A26" s="37">
        <v>51745</v>
      </c>
      <c r="B26" s="409">
        <f t="shared" ref="B26:C26" si="22">($A26-B$9)/365.25</f>
        <v>59.791923340177959</v>
      </c>
      <c r="C26" s="409">
        <f t="shared" si="22"/>
        <v>55.181382614647504</v>
      </c>
      <c r="E26" s="25">
        <f>IF(C26&gt;$B$7,0,'Combined Retirement'!$D$13/12)</f>
        <v>0</v>
      </c>
      <c r="F26" s="25">
        <f>IF(H26=0,'Combined Retirement'!$D$32,0)+'Combined Retirement'!$B$24</f>
        <v>4439.3722856490986</v>
      </c>
      <c r="G26" s="25">
        <f>'Combined Retirement'!$C$24</f>
        <v>3525.4531757812501</v>
      </c>
      <c r="H26" s="25">
        <f>IF(B26&lt;62,0,'Combined Retirement'!$I$14)</f>
        <v>0</v>
      </c>
      <c r="I26" s="25">
        <f>IF(C26&lt;62,0,'Combined Retirement'!$I$13)</f>
        <v>0</v>
      </c>
      <c r="J26" s="25">
        <f t="shared" si="3"/>
        <v>31188.244538569645</v>
      </c>
      <c r="K26" s="25">
        <f t="shared" si="4"/>
        <v>0</v>
      </c>
      <c r="L26" s="25"/>
      <c r="N26" s="25">
        <f>'Combined Retirement'!$C$18/12</f>
        <v>39153.069999999992</v>
      </c>
      <c r="O26" s="25">
        <f t="shared" si="5"/>
        <v>7964.8254614303487</v>
      </c>
      <c r="P26" s="25">
        <f t="shared" si="6"/>
        <v>31188.244538569645</v>
      </c>
      <c r="Q26" s="25">
        <f t="array" aca="1" ref="Q26" ca="1">INDEX('Isaac 401k'!L:L,MATCH('Retirement Calculator'!A26,'Isaac 401k'!N:N,0),0)</f>
        <v>2775380.024819769</v>
      </c>
      <c r="R26" s="25">
        <f t="array" aca="1" ref="R26" ca="1">INDEX('Lorri 401b'!L:L,MATCH('Retirement Calculator'!A26,'Lorri 401b'!N:N,0),0)</f>
        <v>3493576.159400227</v>
      </c>
      <c r="S26" s="25">
        <f t="shared" ca="1" si="7"/>
        <v>6268956.1842199955</v>
      </c>
    </row>
    <row r="27" spans="1:19" ht="15.75" customHeight="1" x14ac:dyDescent="0.3">
      <c r="A27" s="37">
        <v>51775</v>
      </c>
      <c r="B27" s="409">
        <f t="shared" ref="B27:C27" si="23">($A27-B$9)/365.25</f>
        <v>59.874058863791923</v>
      </c>
      <c r="C27" s="409">
        <f t="shared" si="23"/>
        <v>55.263518138261468</v>
      </c>
      <c r="E27" s="25">
        <f>IF(C27&gt;$B$7,0,'Combined Retirement'!$D$13/12)</f>
        <v>0</v>
      </c>
      <c r="F27" s="25">
        <f>IF(H27=0,'Combined Retirement'!$D$32,0)+'Combined Retirement'!$B$24</f>
        <v>4439.3722856490986</v>
      </c>
      <c r="G27" s="25">
        <f>'Combined Retirement'!$C$24</f>
        <v>3525.4531757812501</v>
      </c>
      <c r="H27" s="25">
        <f>IF(B27&lt;62,0,'Combined Retirement'!$I$14)</f>
        <v>0</v>
      </c>
      <c r="I27" s="25">
        <f>IF(C27&lt;62,0,'Combined Retirement'!$I$13)</f>
        <v>0</v>
      </c>
      <c r="J27" s="25">
        <f t="shared" si="3"/>
        <v>31188.244538569645</v>
      </c>
      <c r="K27" s="25">
        <f t="shared" si="4"/>
        <v>0</v>
      </c>
      <c r="L27" s="25"/>
      <c r="N27" s="25">
        <f>'Combined Retirement'!$C$18/12</f>
        <v>39153.069999999992</v>
      </c>
      <c r="O27" s="25">
        <f t="shared" si="5"/>
        <v>7964.8254614303487</v>
      </c>
      <c r="P27" s="25">
        <f t="shared" si="6"/>
        <v>31188.244538569645</v>
      </c>
      <c r="Q27" s="25">
        <f t="array" aca="1" ref="Q27" ca="1">INDEX('Isaac 401k'!L:L,MATCH('Retirement Calculator'!A27,'Isaac 401k'!N:N,0),0)</f>
        <v>2755625.9126990377</v>
      </c>
      <c r="R27" s="25">
        <f t="array" aca="1" ref="R27" ca="1">INDEX('Lorri 401b'!L:L,MATCH('Retirement Calculator'!A27,'Lorri 401b'!N:N,0),0)</f>
        <v>3508132.7267310615</v>
      </c>
      <c r="S27" s="25">
        <f t="shared" ca="1" si="7"/>
        <v>6263758.6394300992</v>
      </c>
    </row>
    <row r="28" spans="1:19" ht="15.75" customHeight="1" x14ac:dyDescent="0.3">
      <c r="A28" s="37">
        <v>51806</v>
      </c>
      <c r="B28" s="409">
        <f t="shared" ref="B28:C28" si="24">($A28-B$9)/365.25</f>
        <v>59.958932238193022</v>
      </c>
      <c r="C28" s="409">
        <f t="shared" si="24"/>
        <v>55.348391512662559</v>
      </c>
      <c r="E28" s="25">
        <f>IF(C28&gt;$B$7,0,'Combined Retirement'!$D$13/12)</f>
        <v>0</v>
      </c>
      <c r="F28" s="25">
        <f>IF(H28=0,'Combined Retirement'!$D$32,0)+'Combined Retirement'!$B$24</f>
        <v>4439.3722856490986</v>
      </c>
      <c r="G28" s="25">
        <f>'Combined Retirement'!$C$24</f>
        <v>3525.4531757812501</v>
      </c>
      <c r="H28" s="25">
        <f>IF(B28&lt;62,0,'Combined Retirement'!$I$14)</f>
        <v>0</v>
      </c>
      <c r="I28" s="25">
        <f>IF(C28&lt;62,0,'Combined Retirement'!$I$13)</f>
        <v>0</v>
      </c>
      <c r="J28" s="25">
        <f t="shared" si="3"/>
        <v>31188.244538569645</v>
      </c>
      <c r="K28" s="25">
        <f t="shared" si="4"/>
        <v>0</v>
      </c>
      <c r="L28" s="25"/>
      <c r="N28" s="25">
        <f>'Combined Retirement'!$C$18/12</f>
        <v>39153.069999999992</v>
      </c>
      <c r="O28" s="25">
        <f t="shared" si="5"/>
        <v>7964.8254614303487</v>
      </c>
      <c r="P28" s="25">
        <f t="shared" si="6"/>
        <v>31188.244538569645</v>
      </c>
      <c r="Q28" s="25">
        <f t="array" aca="1" ref="Q28" ca="1">INDEX('Isaac 401k'!L:L,MATCH('Retirement Calculator'!A28,'Isaac 401k'!N:N,0),0)</f>
        <v>2735789.4917778033</v>
      </c>
      <c r="R28" s="25">
        <f t="array" aca="1" ref="R28" ca="1">INDEX('Lorri 401b'!L:L,MATCH('Retirement Calculator'!A28,'Lorri 401b'!N:N,0),0)</f>
        <v>3522749.9464257741</v>
      </c>
      <c r="S28" s="25">
        <f t="shared" ca="1" si="7"/>
        <v>6258539.438203577</v>
      </c>
    </row>
    <row r="29" spans="1:19" ht="15.75" customHeight="1" x14ac:dyDescent="0.3">
      <c r="A29" s="37">
        <v>51836</v>
      </c>
      <c r="B29" s="409">
        <f t="shared" ref="B29:C29" si="25">($A29-B$9)/365.25</f>
        <v>60.041067761806978</v>
      </c>
      <c r="C29" s="409">
        <f t="shared" si="25"/>
        <v>55.430527036276523</v>
      </c>
      <c r="E29" s="25">
        <f>IF(C29&gt;$B$7,0,'Combined Retirement'!$D$13/12)</f>
        <v>0</v>
      </c>
      <c r="F29" s="25">
        <f>IF(H29=0,'Combined Retirement'!$D$32,0)+'Combined Retirement'!$B$24</f>
        <v>4439.3722856490986</v>
      </c>
      <c r="G29" s="25">
        <f>'Combined Retirement'!$C$24</f>
        <v>3525.4531757812501</v>
      </c>
      <c r="H29" s="25">
        <f>IF(B29&lt;62,0,'Combined Retirement'!$I$14)</f>
        <v>0</v>
      </c>
      <c r="I29" s="25">
        <f>IF(C29&lt;62,0,'Combined Retirement'!$I$13)</f>
        <v>0</v>
      </c>
      <c r="J29" s="25">
        <f t="shared" si="3"/>
        <v>31188.244538569645</v>
      </c>
      <c r="K29" s="25">
        <f t="shared" si="4"/>
        <v>0</v>
      </c>
      <c r="L29" s="25"/>
      <c r="N29" s="25">
        <f>'Combined Retirement'!$C$18/12</f>
        <v>39153.069999999992</v>
      </c>
      <c r="O29" s="25">
        <f t="shared" si="5"/>
        <v>7964.8254614303487</v>
      </c>
      <c r="P29" s="25">
        <f t="shared" si="6"/>
        <v>31188.244538569645</v>
      </c>
      <c r="Q29" s="25">
        <f t="array" aca="1" ref="Q29" ca="1">INDEX('Isaac 401k'!L:L,MATCH('Retirement Calculator'!A29,'Isaac 401k'!N:N,0),0)</f>
        <v>2715870.4191027302</v>
      </c>
      <c r="R29" s="25">
        <f t="array" aca="1" ref="R29" ca="1">INDEX('Lorri 401b'!L:L,MATCH('Retirement Calculator'!A29,'Lorri 401b'!N:N,0),0)</f>
        <v>3537428.0712025482</v>
      </c>
      <c r="S29" s="25">
        <f t="shared" ca="1" si="7"/>
        <v>6253298.4903052785</v>
      </c>
    </row>
    <row r="30" spans="1:19" ht="15.75" customHeight="1" x14ac:dyDescent="0.3">
      <c r="A30" s="37">
        <v>51867</v>
      </c>
      <c r="B30" s="409">
        <f t="shared" ref="B30:C30" si="26">($A30-B$9)/365.25</f>
        <v>60.125941136208077</v>
      </c>
      <c r="C30" s="409">
        <f t="shared" si="26"/>
        <v>55.515400410677621</v>
      </c>
      <c r="E30" s="25">
        <f>IF(C30&gt;$B$7,0,'Combined Retirement'!$D$13/12)</f>
        <v>0</v>
      </c>
      <c r="F30" s="25">
        <f>IF(H30=0,'Combined Retirement'!$D$32,0)+'Combined Retirement'!$B$24</f>
        <v>4439.3722856490986</v>
      </c>
      <c r="G30" s="25">
        <f>'Combined Retirement'!$C$24</f>
        <v>3525.4531757812501</v>
      </c>
      <c r="H30" s="25">
        <f>IF(B30&lt;62,0,'Combined Retirement'!$I$14)</f>
        <v>0</v>
      </c>
      <c r="I30" s="25">
        <f>IF(C30&lt;62,0,'Combined Retirement'!$I$13)</f>
        <v>0</v>
      </c>
      <c r="J30" s="25">
        <f t="shared" si="3"/>
        <v>31188.244538569645</v>
      </c>
      <c r="K30" s="25">
        <f t="shared" si="4"/>
        <v>0</v>
      </c>
      <c r="L30" s="25"/>
      <c r="N30" s="25">
        <f>'Combined Retirement'!$C$18/12</f>
        <v>39153.069999999992</v>
      </c>
      <c r="O30" s="25">
        <f t="shared" si="5"/>
        <v>7964.8254614303487</v>
      </c>
      <c r="P30" s="25">
        <f t="shared" si="6"/>
        <v>31188.244538569645</v>
      </c>
      <c r="Q30" s="25">
        <f t="array" aca="1" ref="Q30" ca="1">INDEX('Isaac 401k'!L:L,MATCH('Retirement Calculator'!A30,'Isaac 401k'!N:N,0),0)</f>
        <v>2695868.350291511</v>
      </c>
      <c r="R30" s="25">
        <f t="array" aca="1" ref="R30" ca="1">INDEX('Lorri 401b'!L:L,MATCH('Retirement Calculator'!A30,'Lorri 401b'!N:N,0),0)</f>
        <v>3552167.3548325589</v>
      </c>
      <c r="S30" s="25">
        <f t="shared" ca="1" si="7"/>
        <v>6248035.7051240699</v>
      </c>
    </row>
    <row r="31" spans="1:19" ht="15.75" customHeight="1" x14ac:dyDescent="0.3">
      <c r="A31" s="37">
        <v>51898</v>
      </c>
      <c r="B31" s="409">
        <f t="shared" ref="B31:C31" si="27">($A31-B$9)/365.25</f>
        <v>60.210814510609168</v>
      </c>
      <c r="C31" s="409">
        <f t="shared" si="27"/>
        <v>55.600273785078713</v>
      </c>
      <c r="E31" s="25">
        <f>IF(C31&gt;$B$7,0,'Combined Retirement'!$D$13/12)</f>
        <v>0</v>
      </c>
      <c r="F31" s="25">
        <f>IF(H31=0,'Combined Retirement'!$D$32,0)+'Combined Retirement'!$B$24</f>
        <v>4439.3722856490986</v>
      </c>
      <c r="G31" s="25">
        <f>'Combined Retirement'!$C$24</f>
        <v>3525.4531757812501</v>
      </c>
      <c r="H31" s="25">
        <f>IF(B31&lt;62,0,'Combined Retirement'!$I$14)</f>
        <v>0</v>
      </c>
      <c r="I31" s="25">
        <f>IF(C31&lt;62,0,'Combined Retirement'!$I$13)</f>
        <v>0</v>
      </c>
      <c r="J31" s="25">
        <f t="shared" si="3"/>
        <v>31188.244538569645</v>
      </c>
      <c r="K31" s="25">
        <f t="shared" si="4"/>
        <v>0</v>
      </c>
      <c r="L31" s="25"/>
      <c r="N31" s="25">
        <f>'Combined Retirement'!$C$18/12</f>
        <v>39153.069999999992</v>
      </c>
      <c r="O31" s="25">
        <f t="shared" si="5"/>
        <v>7964.8254614303487</v>
      </c>
      <c r="P31" s="25">
        <f t="shared" si="6"/>
        <v>31188.244538569645</v>
      </c>
      <c r="Q31" s="25">
        <f t="array" aca="1" ref="Q31" ca="1">INDEX('Isaac 401k'!L:L,MATCH('Retirement Calculator'!A31,'Isaac 401k'!N:N,0),0)</f>
        <v>2675782.9395269118</v>
      </c>
      <c r="R31" s="25">
        <f t="array" aca="1" ref="R31" ca="1">INDEX('Lorri 401b'!L:L,MATCH('Retirement Calculator'!A31,'Lorri 401b'!N:N,0),0)</f>
        <v>3566968.0521443612</v>
      </c>
      <c r="S31" s="25">
        <f t="shared" ca="1" si="7"/>
        <v>6242750.9916712735</v>
      </c>
    </row>
    <row r="32" spans="1:19" ht="15.75" customHeight="1" x14ac:dyDescent="0.3">
      <c r="A32" s="37">
        <v>51926</v>
      </c>
      <c r="B32" s="409">
        <f t="shared" ref="B32:C32" si="28">($A32-B$9)/365.25</f>
        <v>60.28747433264887</v>
      </c>
      <c r="C32" s="409">
        <f t="shared" si="28"/>
        <v>55.676933607118414</v>
      </c>
      <c r="E32" s="25">
        <f>IF(C32&gt;$B$7,0,'Combined Retirement'!$D$13/12)</f>
        <v>0</v>
      </c>
      <c r="F32" s="25">
        <f>IF(H32=0,'Combined Retirement'!$D$32,0)+'Combined Retirement'!$B$24</f>
        <v>4439.3722856490986</v>
      </c>
      <c r="G32" s="25">
        <f>'Combined Retirement'!$C$24</f>
        <v>3525.4531757812501</v>
      </c>
      <c r="H32" s="25">
        <f>IF(B32&lt;62,0,'Combined Retirement'!$I$14)</f>
        <v>0</v>
      </c>
      <c r="I32" s="25">
        <f>IF(C32&lt;62,0,'Combined Retirement'!$I$13)</f>
        <v>0</v>
      </c>
      <c r="J32" s="25">
        <f t="shared" si="3"/>
        <v>31188.244538569645</v>
      </c>
      <c r="K32" s="25">
        <f t="shared" si="4"/>
        <v>0</v>
      </c>
      <c r="L32" s="25"/>
      <c r="N32" s="25">
        <f>'Combined Retirement'!$C$18/12</f>
        <v>39153.069999999992</v>
      </c>
      <c r="O32" s="25">
        <f t="shared" si="5"/>
        <v>7964.8254614303487</v>
      </c>
      <c r="P32" s="25">
        <f t="shared" si="6"/>
        <v>31188.244538569645</v>
      </c>
      <c r="Q32" s="25">
        <f t="array" aca="1" ref="Q32" ca="1">INDEX('Isaac 401k'!L:L,MATCH('Retirement Calculator'!A32,'Isaac 401k'!N:N,0),0)</f>
        <v>2655613.8395507936</v>
      </c>
      <c r="R32" s="25">
        <f t="array" aca="1" ref="R32" ca="1">INDEX('Lorri 401b'!L:L,MATCH('Retirement Calculator'!A32,'Lorri 401b'!N:N,0),0)</f>
        <v>3581830.4190282961</v>
      </c>
      <c r="S32" s="25">
        <f t="shared" ca="1" si="7"/>
        <v>6237444.2585790902</v>
      </c>
    </row>
    <row r="33" spans="1:19" ht="15.75" customHeight="1" x14ac:dyDescent="0.3">
      <c r="A33" s="37">
        <v>51957</v>
      </c>
      <c r="B33" s="409">
        <f t="shared" ref="B33:C33" si="29">($A33-B$9)/365.25</f>
        <v>60.372347707049968</v>
      </c>
      <c r="C33" s="409">
        <f t="shared" si="29"/>
        <v>55.761806981519506</v>
      </c>
      <c r="E33" s="25">
        <f>IF(C33&gt;$B$7,0,'Combined Retirement'!$D$13/12)</f>
        <v>0</v>
      </c>
      <c r="F33" s="25">
        <f>IF(H33=0,'Combined Retirement'!$D$32,0)+'Combined Retirement'!$B$24</f>
        <v>4439.3722856490986</v>
      </c>
      <c r="G33" s="25">
        <f>'Combined Retirement'!$C$24</f>
        <v>3525.4531757812501</v>
      </c>
      <c r="H33" s="25">
        <f>IF(B33&lt;62,0,'Combined Retirement'!$I$14)</f>
        <v>0</v>
      </c>
      <c r="I33" s="25">
        <f>IF(C33&lt;62,0,'Combined Retirement'!$I$13)</f>
        <v>0</v>
      </c>
      <c r="J33" s="25">
        <f t="shared" si="3"/>
        <v>31188.244538569645</v>
      </c>
      <c r="K33" s="25">
        <f t="shared" si="4"/>
        <v>0</v>
      </c>
      <c r="L33" s="25"/>
      <c r="N33" s="25">
        <f>'Combined Retirement'!$C$18/12</f>
        <v>39153.069999999992</v>
      </c>
      <c r="O33" s="25">
        <f t="shared" si="5"/>
        <v>7964.8254614303487</v>
      </c>
      <c r="P33" s="25">
        <f t="shared" si="6"/>
        <v>31188.244538569645</v>
      </c>
      <c r="Q33" s="25">
        <f t="array" aca="1" ref="Q33" ca="1">INDEX('Isaac 401k'!L:L,MATCH('Retirement Calculator'!A33,'Isaac 401k'!N:N,0),0)</f>
        <v>2635360.7016581083</v>
      </c>
      <c r="R33" s="25">
        <f t="array" aca="1" ref="R33" ca="1">INDEX('Lorri 401b'!L:L,MATCH('Retirement Calculator'!A33,'Lorri 401b'!N:N,0),0)</f>
        <v>3596754.712440914</v>
      </c>
      <c r="S33" s="25">
        <f t="shared" ca="1" si="7"/>
        <v>6232115.4140990227</v>
      </c>
    </row>
    <row r="34" spans="1:19" ht="15.75" customHeight="1" x14ac:dyDescent="0.3">
      <c r="A34" s="37">
        <v>51987</v>
      </c>
      <c r="B34" s="409">
        <f t="shared" ref="B34:C34" si="30">($A34-B$9)/365.25</f>
        <v>60.454483230663932</v>
      </c>
      <c r="C34" s="409">
        <f t="shared" si="30"/>
        <v>55.843942505133469</v>
      </c>
      <c r="E34" s="25">
        <f>IF(C34&gt;$B$7,0,'Combined Retirement'!$D$13/12)</f>
        <v>0</v>
      </c>
      <c r="F34" s="25">
        <f>IF(H34=0,'Combined Retirement'!$D$32,0)+'Combined Retirement'!$B$24</f>
        <v>4439.3722856490986</v>
      </c>
      <c r="G34" s="25">
        <f>'Combined Retirement'!$C$24</f>
        <v>3525.4531757812501</v>
      </c>
      <c r="H34" s="25">
        <f>IF(B34&lt;62,0,'Combined Retirement'!$I$14)</f>
        <v>0</v>
      </c>
      <c r="I34" s="25">
        <f>IF(C34&lt;62,0,'Combined Retirement'!$I$13)</f>
        <v>0</v>
      </c>
      <c r="J34" s="25">
        <f t="shared" si="3"/>
        <v>31188.244538569645</v>
      </c>
      <c r="K34" s="25">
        <f t="shared" si="4"/>
        <v>0</v>
      </c>
      <c r="L34" s="25"/>
      <c r="N34" s="25">
        <f>'Combined Retirement'!$C$18/12</f>
        <v>39153.069999999992</v>
      </c>
      <c r="O34" s="25">
        <f t="shared" si="5"/>
        <v>7964.8254614303487</v>
      </c>
      <c r="P34" s="25">
        <f t="shared" si="6"/>
        <v>31188.244538569645</v>
      </c>
      <c r="Q34" s="25">
        <f t="array" aca="1" ref="Q34" ca="1">INDEX('Isaac 401k'!L:L,MATCH('Retirement Calculator'!A34,'Isaac 401k'!N:N,0),0)</f>
        <v>2615023.1756908698</v>
      </c>
      <c r="R34" s="25">
        <f t="array" aca="1" ref="R34" ca="1">INDEX('Lorri 401b'!L:L,MATCH('Retirement Calculator'!A34,'Lorri 401b'!N:N,0),0)</f>
        <v>3611741.1904094177</v>
      </c>
      <c r="S34" s="25">
        <f t="shared" ca="1" si="7"/>
        <v>6226764.3661002871</v>
      </c>
    </row>
    <row r="35" spans="1:19" ht="15.75" customHeight="1" x14ac:dyDescent="0.3">
      <c r="A35" s="37">
        <v>52018</v>
      </c>
      <c r="B35" s="409">
        <f t="shared" ref="B35:C35" si="31">($A35-B$9)/365.25</f>
        <v>60.539356605065024</v>
      </c>
      <c r="C35" s="409">
        <f t="shared" si="31"/>
        <v>55.928815879534568</v>
      </c>
      <c r="E35" s="25">
        <f>IF(C35&gt;$B$7,0,'Combined Retirement'!$D$13/12)</f>
        <v>0</v>
      </c>
      <c r="F35" s="25">
        <f>IF(H35=0,'Combined Retirement'!$D$32,0)+'Combined Retirement'!$B$24</f>
        <v>4439.3722856490986</v>
      </c>
      <c r="G35" s="25">
        <f>'Combined Retirement'!$C$24</f>
        <v>3525.4531757812501</v>
      </c>
      <c r="H35" s="25">
        <f>IF(B35&lt;62,0,'Combined Retirement'!$I$14)</f>
        <v>0</v>
      </c>
      <c r="I35" s="25">
        <f>IF(C35&lt;62,0,'Combined Retirement'!$I$13)</f>
        <v>0</v>
      </c>
      <c r="J35" s="25">
        <f t="shared" si="3"/>
        <v>31188.244538569645</v>
      </c>
      <c r="K35" s="25">
        <f t="shared" si="4"/>
        <v>0</v>
      </c>
      <c r="L35" s="25"/>
      <c r="N35" s="25">
        <f>'Combined Retirement'!$C$18/12</f>
        <v>39153.069999999992</v>
      </c>
      <c r="O35" s="25">
        <f t="shared" si="5"/>
        <v>7964.8254614303487</v>
      </c>
      <c r="P35" s="25">
        <f t="shared" si="6"/>
        <v>31188.244538569645</v>
      </c>
      <c r="Q35" s="25">
        <f t="array" aca="1" ref="Q35" ca="1">INDEX('Isaac 401k'!L:L,MATCH('Retirement Calculator'!A35,'Isaac 401k'!N:N,0),0)</f>
        <v>2594600.9100321014</v>
      </c>
      <c r="R35" s="25">
        <f t="array" aca="1" ref="R35" ca="1">INDEX('Lorri 401b'!L:L,MATCH('Retirement Calculator'!A35,'Lorri 401b'!N:N,0),0)</f>
        <v>3626790.1120361234</v>
      </c>
      <c r="S35" s="25">
        <f t="shared" ca="1" si="7"/>
        <v>6221391.0220682248</v>
      </c>
    </row>
    <row r="36" spans="1:19" ht="15.75" customHeight="1" x14ac:dyDescent="0.3">
      <c r="A36" s="37">
        <v>52048</v>
      </c>
      <c r="B36" s="409">
        <f t="shared" ref="B36:C36" si="32">($A36-B$9)/365.25</f>
        <v>60.621492128678987</v>
      </c>
      <c r="C36" s="409">
        <f t="shared" si="32"/>
        <v>56.010951403148532</v>
      </c>
      <c r="E36" s="25">
        <f>IF(C36&gt;$B$7,0,'Combined Retirement'!$D$13/12)</f>
        <v>0</v>
      </c>
      <c r="F36" s="25">
        <f>IF(H36=0,'Combined Retirement'!$D$32,0)+'Combined Retirement'!$B$24</f>
        <v>4439.3722856490986</v>
      </c>
      <c r="G36" s="25">
        <f>'Combined Retirement'!$C$24</f>
        <v>3525.4531757812501</v>
      </c>
      <c r="H36" s="25">
        <f>IF(B36&lt;62,0,'Combined Retirement'!$I$14)</f>
        <v>0</v>
      </c>
      <c r="I36" s="25">
        <f>IF(C36&lt;62,0,'Combined Retirement'!$I$13)</f>
        <v>0</v>
      </c>
      <c r="J36" s="25">
        <f t="shared" si="3"/>
        <v>31188.244538569645</v>
      </c>
      <c r="K36" s="25">
        <f t="shared" si="4"/>
        <v>0</v>
      </c>
      <c r="L36" s="25"/>
      <c r="N36" s="25">
        <f>'Combined Retirement'!$C$18/12</f>
        <v>39153.069999999992</v>
      </c>
      <c r="O36" s="25">
        <f t="shared" si="5"/>
        <v>7964.8254614303487</v>
      </c>
      <c r="P36" s="25">
        <f t="shared" si="6"/>
        <v>31188.244538569645</v>
      </c>
      <c r="Q36" s="25">
        <f t="array" aca="1" ref="Q36" ca="1">INDEX('Isaac 401k'!L:L,MATCH('Retirement Calculator'!A36,'Isaac 401k'!N:N,0),0)</f>
        <v>2574093.5515997545</v>
      </c>
      <c r="R36" s="25">
        <f t="array" aca="1" ref="R36" ca="1">INDEX('Lorri 401b'!L:L,MATCH('Retirement Calculator'!A36,'Lorri 401b'!N:N,0),0)</f>
        <v>3641901.7375029405</v>
      </c>
      <c r="S36" s="25">
        <f t="shared" ca="1" si="7"/>
        <v>6215995.289102695</v>
      </c>
    </row>
    <row r="37" spans="1:19" ht="15.75" customHeight="1" x14ac:dyDescent="0.3">
      <c r="A37" s="37">
        <v>52079</v>
      </c>
      <c r="B37" s="409">
        <f t="shared" ref="B37:C37" si="33">($A37-B$9)/365.25</f>
        <v>60.706365503080079</v>
      </c>
      <c r="C37" s="409">
        <f t="shared" si="33"/>
        <v>56.095824777549623</v>
      </c>
      <c r="E37" s="25">
        <f>IF(C37&gt;$B$7,0,'Combined Retirement'!$D$13/12)</f>
        <v>0</v>
      </c>
      <c r="F37" s="25">
        <f>IF(H37=0,'Combined Retirement'!$D$32,0)+'Combined Retirement'!$B$24</f>
        <v>4439.3722856490986</v>
      </c>
      <c r="G37" s="25">
        <f>'Combined Retirement'!$C$24</f>
        <v>3525.4531757812501</v>
      </c>
      <c r="H37" s="25">
        <f>IF(B37&lt;62,0,'Combined Retirement'!$I$14)</f>
        <v>0</v>
      </c>
      <c r="I37" s="25">
        <f>IF(C37&lt;62,0,'Combined Retirement'!$I$13)</f>
        <v>0</v>
      </c>
      <c r="J37" s="25">
        <f t="shared" si="3"/>
        <v>31188.244538569645</v>
      </c>
      <c r="K37" s="25">
        <f t="shared" si="4"/>
        <v>0</v>
      </c>
      <c r="L37" s="25"/>
      <c r="N37" s="25">
        <f>'Combined Retirement'!$C$18/12</f>
        <v>39153.069999999992</v>
      </c>
      <c r="O37" s="25">
        <f t="shared" si="5"/>
        <v>7964.8254614303487</v>
      </c>
      <c r="P37" s="25">
        <f t="shared" si="6"/>
        <v>31188.244538569645</v>
      </c>
      <c r="Q37" s="25">
        <f t="array" aca="1" ref="Q37" ca="1">INDEX('Isaac 401k'!L:L,MATCH('Retirement Calculator'!A37,'Isaac 401k'!N:N,0),0)</f>
        <v>2553500.7458406063</v>
      </c>
      <c r="R37" s="25">
        <f t="array" aca="1" ref="R37" ca="1">INDEX('Lorri 401b'!L:L,MATCH('Retirement Calculator'!A37,'Lorri 401b'!N:N,0),0)</f>
        <v>3657076.3280758695</v>
      </c>
      <c r="S37" s="25">
        <f t="shared" ca="1" si="7"/>
        <v>6210577.0739164762</v>
      </c>
    </row>
    <row r="38" spans="1:19" ht="15.75" customHeight="1" x14ac:dyDescent="0.3">
      <c r="A38" s="37">
        <v>52110</v>
      </c>
      <c r="B38" s="409">
        <f t="shared" ref="B38:C38" si="34">($A38-B$9)/365.25</f>
        <v>60.791238877481177</v>
      </c>
      <c r="C38" s="409">
        <f t="shared" si="34"/>
        <v>56.180698151950722</v>
      </c>
      <c r="E38" s="25">
        <f>IF(C38&gt;$B$7,0,'Combined Retirement'!$D$13/12)</f>
        <v>0</v>
      </c>
      <c r="F38" s="25">
        <f>IF(H38=0,'Combined Retirement'!$D$32,0)+'Combined Retirement'!$B$24</f>
        <v>4439.3722856490986</v>
      </c>
      <c r="G38" s="25">
        <f>'Combined Retirement'!$C$24</f>
        <v>3525.4531757812501</v>
      </c>
      <c r="H38" s="25">
        <f>IF(B38&lt;62,0,'Combined Retirement'!$I$14)</f>
        <v>0</v>
      </c>
      <c r="I38" s="25">
        <f>IF(C38&lt;62,0,'Combined Retirement'!$I$13)</f>
        <v>0</v>
      </c>
      <c r="J38" s="25">
        <f t="shared" si="3"/>
        <v>31188.244538569645</v>
      </c>
      <c r="K38" s="25">
        <f t="shared" si="4"/>
        <v>0</v>
      </c>
      <c r="L38" s="25"/>
      <c r="N38" s="25">
        <f>'Combined Retirement'!$C$18/12</f>
        <v>39153.069999999992</v>
      </c>
      <c r="O38" s="25">
        <f t="shared" si="5"/>
        <v>7964.8254614303487</v>
      </c>
      <c r="P38" s="25">
        <f t="shared" si="6"/>
        <v>31188.244538569645</v>
      </c>
      <c r="Q38" s="25">
        <f t="array" aca="1" ref="Q38" ca="1">INDEX('Isaac 401k'!L:L,MATCH('Retirement Calculator'!A38,'Isaac 401k'!N:N,0),0)</f>
        <v>2532822.1367241284</v>
      </c>
      <c r="R38" s="25">
        <f t="array" aca="1" ref="R38" ca="1">INDEX('Lorri 401b'!L:L,MATCH('Retirement Calculator'!A38,'Lorri 401b'!N:N,0),0)</f>
        <v>3672314.1461095191</v>
      </c>
      <c r="S38" s="25">
        <f t="shared" ca="1" si="7"/>
        <v>6205136.282833647</v>
      </c>
    </row>
    <row r="39" spans="1:19" ht="15.75" customHeight="1" x14ac:dyDescent="0.3">
      <c r="A39" s="37">
        <v>52140</v>
      </c>
      <c r="B39" s="409">
        <f t="shared" ref="B39:C39" si="35">($A39-B$9)/365.25</f>
        <v>60.873374401095141</v>
      </c>
      <c r="C39" s="409">
        <f t="shared" si="35"/>
        <v>56.262833675564679</v>
      </c>
      <c r="E39" s="25">
        <f>IF(C39&gt;$B$7,0,'Combined Retirement'!$D$13/12)</f>
        <v>0</v>
      </c>
      <c r="F39" s="25">
        <f>IF(H39=0,'Combined Retirement'!$D$32,0)+'Combined Retirement'!$B$24</f>
        <v>4439.3722856490986</v>
      </c>
      <c r="G39" s="25">
        <f>'Combined Retirement'!$C$24</f>
        <v>3525.4531757812501</v>
      </c>
      <c r="H39" s="25">
        <f>IF(B39&lt;62,0,'Combined Retirement'!$I$14)</f>
        <v>0</v>
      </c>
      <c r="I39" s="25">
        <f>IF(C39&lt;62,0,'Combined Retirement'!$I$13)</f>
        <v>0</v>
      </c>
      <c r="J39" s="25">
        <f t="shared" si="3"/>
        <v>31188.244538569645</v>
      </c>
      <c r="K39" s="25">
        <f t="shared" si="4"/>
        <v>0</v>
      </c>
      <c r="L39" s="25"/>
      <c r="N39" s="25">
        <f>'Combined Retirement'!$C$18/12</f>
        <v>39153.069999999992</v>
      </c>
      <c r="O39" s="25">
        <f t="shared" si="5"/>
        <v>7964.8254614303487</v>
      </c>
      <c r="P39" s="25">
        <f t="shared" si="6"/>
        <v>31188.244538569645</v>
      </c>
      <c r="Q39" s="25">
        <f t="array" aca="1" ref="Q39" ca="1">INDEX('Isaac 401k'!L:L,MATCH('Retirement Calculator'!A39,'Isaac 401k'!N:N,0),0)</f>
        <v>2512057.366736332</v>
      </c>
      <c r="R39" s="25">
        <f t="array" aca="1" ref="R39" ca="1">INDEX('Lorri 401b'!L:L,MATCH('Retirement Calculator'!A39,'Lorri 401b'!N:N,0),0)</f>
        <v>3687615.4550516419</v>
      </c>
      <c r="S39" s="25">
        <f t="shared" ca="1" si="7"/>
        <v>6199672.8217879739</v>
      </c>
    </row>
    <row r="40" spans="1:19" ht="15.75" customHeight="1" x14ac:dyDescent="0.3">
      <c r="A40" s="37">
        <v>52171</v>
      </c>
      <c r="B40" s="409">
        <f t="shared" ref="B40:C40" si="36">($A40-B$9)/365.25</f>
        <v>60.958247775496233</v>
      </c>
      <c r="C40" s="409">
        <f t="shared" si="36"/>
        <v>56.347707049965777</v>
      </c>
      <c r="E40" s="25">
        <f>IF(C40&gt;$B$7,0,'Combined Retirement'!$D$13/12)</f>
        <v>0</v>
      </c>
      <c r="F40" s="25">
        <f>IF(H40=0,'Combined Retirement'!$D$32,0)+'Combined Retirement'!$B$24</f>
        <v>4439.3722856490986</v>
      </c>
      <c r="G40" s="25">
        <f>'Combined Retirement'!$C$24</f>
        <v>3525.4531757812501</v>
      </c>
      <c r="H40" s="25">
        <f>IF(B40&lt;62,0,'Combined Retirement'!$I$14)</f>
        <v>0</v>
      </c>
      <c r="I40" s="25">
        <f>IF(C40&lt;62,0,'Combined Retirement'!$I$13)</f>
        <v>0</v>
      </c>
      <c r="J40" s="25">
        <f t="shared" si="3"/>
        <v>31188.244538569645</v>
      </c>
      <c r="K40" s="25">
        <f t="shared" si="4"/>
        <v>0</v>
      </c>
      <c r="L40" s="25"/>
      <c r="N40" s="25">
        <f>'Combined Retirement'!$C$18/12</f>
        <v>39153.069999999992</v>
      </c>
      <c r="O40" s="25">
        <f t="shared" si="5"/>
        <v>7964.8254614303487</v>
      </c>
      <c r="P40" s="25">
        <f t="shared" si="6"/>
        <v>31188.244538569645</v>
      </c>
      <c r="Q40" s="25">
        <f t="array" aca="1" ref="Q40" ca="1">INDEX('Isaac 401k'!L:L,MATCH('Retirement Calculator'!A40,'Isaac 401k'!N:N,0),0)</f>
        <v>2491206.076873586</v>
      </c>
      <c r="R40" s="25">
        <f t="array" aca="1" ref="R40" ca="1">INDEX('Lorri 401b'!L:L,MATCH('Retirement Calculator'!A40,'Lorri 401b'!N:N,0),0)</f>
        <v>3702980.5194476903</v>
      </c>
      <c r="S40" s="25">
        <f t="shared" ca="1" si="7"/>
        <v>6194186.5963212764</v>
      </c>
    </row>
    <row r="41" spans="1:19" ht="15.75" customHeight="1" x14ac:dyDescent="0.3">
      <c r="A41" s="37">
        <v>52201</v>
      </c>
      <c r="B41" s="409">
        <f t="shared" ref="B41:C41" si="37">($A41-B$9)/365.25</f>
        <v>61.040383299110196</v>
      </c>
      <c r="C41" s="409">
        <f t="shared" si="37"/>
        <v>56.429842573579741</v>
      </c>
      <c r="E41" s="25">
        <f>IF(C41&gt;$B$7,0,'Combined Retirement'!$D$13/12)</f>
        <v>0</v>
      </c>
      <c r="F41" s="25">
        <f>IF(H41=0,'Combined Retirement'!$D$32,0)+'Combined Retirement'!$B$24</f>
        <v>4439.3722856490986</v>
      </c>
      <c r="G41" s="25">
        <f>'Combined Retirement'!$C$24</f>
        <v>3525.4531757812501</v>
      </c>
      <c r="H41" s="25">
        <f>IF(B41&lt;62,0,'Combined Retirement'!$I$14)</f>
        <v>0</v>
      </c>
      <c r="I41" s="25">
        <f>IF(C41&lt;62,0,'Combined Retirement'!$I$13)</f>
        <v>0</v>
      </c>
      <c r="J41" s="25">
        <f t="shared" si="3"/>
        <v>31188.244538569645</v>
      </c>
      <c r="K41" s="25">
        <f t="shared" si="4"/>
        <v>0</v>
      </c>
      <c r="L41" s="25"/>
      <c r="N41" s="25">
        <f>'Combined Retirement'!$C$18/12</f>
        <v>39153.069999999992</v>
      </c>
      <c r="O41" s="25">
        <f t="shared" si="5"/>
        <v>7964.8254614303487</v>
      </c>
      <c r="P41" s="25">
        <f t="shared" si="6"/>
        <v>31188.244538569645</v>
      </c>
      <c r="Q41" s="25">
        <f t="array" aca="1" ref="Q41" ca="1">INDEX('Isaac 401k'!L:L,MATCH('Retirement Calculator'!A41,'Isaac 401k'!N:N,0),0)</f>
        <v>2470267.9066364123</v>
      </c>
      <c r="R41" s="25">
        <f t="array" aca="1" ref="R41" ca="1">INDEX('Lorri 401b'!L:L,MATCH('Retirement Calculator'!A41,'Lorri 401b'!N:N,0),0)</f>
        <v>3718409.6049453891</v>
      </c>
      <c r="S41" s="25">
        <f t="shared" ca="1" si="7"/>
        <v>6188677.5115818009</v>
      </c>
    </row>
    <row r="42" spans="1:19" ht="15.75" customHeight="1" x14ac:dyDescent="0.3">
      <c r="A42" s="37">
        <v>52232</v>
      </c>
      <c r="B42" s="409">
        <f t="shared" ref="B42:C42" si="38">($A42-B$9)/365.25</f>
        <v>61.125256673511295</v>
      </c>
      <c r="C42" s="409">
        <f t="shared" si="38"/>
        <v>56.514715947980832</v>
      </c>
      <c r="E42" s="25">
        <f>IF(C42&gt;$B$7,0,'Combined Retirement'!$D$13/12)</f>
        <v>0</v>
      </c>
      <c r="F42" s="25">
        <f>IF(H42=0,'Combined Retirement'!$D$32,0)+'Combined Retirement'!$B$24</f>
        <v>4439.3722856490986</v>
      </c>
      <c r="G42" s="25">
        <f>'Combined Retirement'!$C$24</f>
        <v>3525.4531757812501</v>
      </c>
      <c r="H42" s="25">
        <f>IF(B42&lt;62,0,'Combined Retirement'!$I$14)</f>
        <v>0</v>
      </c>
      <c r="I42" s="25">
        <f>IF(C42&lt;62,0,'Combined Retirement'!$I$13)</f>
        <v>0</v>
      </c>
      <c r="J42" s="25">
        <f t="shared" si="3"/>
        <v>31188.244538569645</v>
      </c>
      <c r="K42" s="25">
        <f t="shared" si="4"/>
        <v>0</v>
      </c>
      <c r="L42" s="25"/>
      <c r="N42" s="25">
        <f>'Combined Retirement'!$C$18/12</f>
        <v>39153.069999999992</v>
      </c>
      <c r="O42" s="25">
        <f t="shared" si="5"/>
        <v>7964.8254614303487</v>
      </c>
      <c r="P42" s="25">
        <f t="shared" si="6"/>
        <v>31188.244538569645</v>
      </c>
      <c r="Q42" s="25">
        <f t="array" aca="1" ref="Q42" ca="1">INDEX('Isaac 401k'!L:L,MATCH('Retirement Calculator'!A42,'Isaac 401k'!N:N,0),0)</f>
        <v>2449242.49402325</v>
      </c>
      <c r="R42" s="25">
        <f t="array" aca="1" ref="R42" ca="1">INDEX('Lorri 401b'!L:L,MATCH('Retirement Calculator'!A42,'Lorri 401b'!N:N,0),0)</f>
        <v>3733902.9782993281</v>
      </c>
      <c r="S42" s="25">
        <f t="shared" ca="1" si="7"/>
        <v>6183145.4723225776</v>
      </c>
    </row>
    <row r="43" spans="1:19" ht="15.75" customHeight="1" x14ac:dyDescent="0.3">
      <c r="A43" s="37">
        <v>52263</v>
      </c>
      <c r="B43" s="409">
        <f t="shared" ref="B43:C43" si="39">($A43-B$9)/365.25</f>
        <v>61.210130047912386</v>
      </c>
      <c r="C43" s="409">
        <f t="shared" si="39"/>
        <v>56.599589322381931</v>
      </c>
      <c r="E43" s="25">
        <f>IF(C43&gt;$B$7,0,'Combined Retirement'!$D$13/12)</f>
        <v>0</v>
      </c>
      <c r="F43" s="25">
        <f>IF(H43=0,'Combined Retirement'!$D$32,0)+'Combined Retirement'!$B$24</f>
        <v>4439.3722856490986</v>
      </c>
      <c r="G43" s="25">
        <f>'Combined Retirement'!$C$24</f>
        <v>3525.4531757812501</v>
      </c>
      <c r="H43" s="25">
        <f>IF(B43&lt;62,0,'Combined Retirement'!$I$14)</f>
        <v>0</v>
      </c>
      <c r="I43" s="25">
        <f>IF(C43&lt;62,0,'Combined Retirement'!$I$13)</f>
        <v>0</v>
      </c>
      <c r="J43" s="25">
        <f t="shared" si="3"/>
        <v>31188.244538569645</v>
      </c>
      <c r="K43" s="25">
        <f t="shared" si="4"/>
        <v>0</v>
      </c>
      <c r="L43" s="25"/>
      <c r="N43" s="25">
        <f>'Combined Retirement'!$C$18/12</f>
        <v>39153.069999999992</v>
      </c>
      <c r="O43" s="25">
        <f t="shared" si="5"/>
        <v>7964.8254614303487</v>
      </c>
      <c r="P43" s="25">
        <f t="shared" si="6"/>
        <v>31188.244538569645</v>
      </c>
      <c r="Q43" s="25">
        <f t="array" aca="1" ref="Q43" ca="1">INDEX('Isaac 401k'!L:L,MATCH('Retirement Calculator'!A43,'Isaac 401k'!N:N,0),0)</f>
        <v>2428129.4755241997</v>
      </c>
      <c r="R43" s="25">
        <f t="array" aca="1" ref="R43" ca="1">INDEX('Lorri 401b'!L:L,MATCH('Retirement Calculator'!A43,'Lorri 401b'!N:N,0),0)</f>
        <v>3749460.9073755755</v>
      </c>
      <c r="S43" s="25">
        <f t="shared" ca="1" si="7"/>
        <v>6177590.3828997752</v>
      </c>
    </row>
    <row r="44" spans="1:19" ht="15.75" customHeight="1" x14ac:dyDescent="0.3">
      <c r="A44" s="37">
        <v>52291</v>
      </c>
      <c r="B44" s="409">
        <f t="shared" ref="B44:C44" si="40">($A44-B$9)/365.25</f>
        <v>61.286789869952088</v>
      </c>
      <c r="C44" s="409">
        <f t="shared" si="40"/>
        <v>56.676249144421632</v>
      </c>
      <c r="E44" s="25">
        <f>IF(C44&gt;$B$7,0,'Combined Retirement'!$D$13/12)</f>
        <v>0</v>
      </c>
      <c r="F44" s="25">
        <f>IF(H44=0,'Combined Retirement'!$D$32,0)+'Combined Retirement'!$B$24</f>
        <v>4439.3722856490986</v>
      </c>
      <c r="G44" s="25">
        <f>'Combined Retirement'!$C$24</f>
        <v>3525.4531757812501</v>
      </c>
      <c r="H44" s="25">
        <f>IF(B44&lt;62,0,'Combined Retirement'!$I$14)</f>
        <v>0</v>
      </c>
      <c r="I44" s="25">
        <f>IF(C44&lt;62,0,'Combined Retirement'!$I$13)</f>
        <v>0</v>
      </c>
      <c r="J44" s="25">
        <f t="shared" si="3"/>
        <v>31188.244538569645</v>
      </c>
      <c r="K44" s="25">
        <f t="shared" si="4"/>
        <v>0</v>
      </c>
      <c r="L44" s="25"/>
      <c r="N44" s="25">
        <f>'Combined Retirement'!$C$18/12</f>
        <v>39153.069999999992</v>
      </c>
      <c r="O44" s="25">
        <f t="shared" si="5"/>
        <v>7964.8254614303487</v>
      </c>
      <c r="P44" s="25">
        <f t="shared" si="6"/>
        <v>31188.244538569645</v>
      </c>
      <c r="Q44" s="25">
        <f t="array" aca="1" ref="Q44" ca="1">INDEX('Isaac 401k'!L:L,MATCH('Retirement Calculator'!A44,'Isaac 401k'!N:N,0),0)</f>
        <v>2406928.4861147366</v>
      </c>
      <c r="R44" s="25">
        <f t="array" aca="1" ref="R44" ca="1">INDEX('Lorri 401b'!L:L,MATCH('Retirement Calculator'!A44,'Lorri 401b'!N:N,0),0)</f>
        <v>3765083.661156307</v>
      </c>
      <c r="S44" s="25">
        <f t="shared" ca="1" si="7"/>
        <v>6172012.1472710436</v>
      </c>
    </row>
    <row r="45" spans="1:19" ht="15.75" customHeight="1" x14ac:dyDescent="0.3">
      <c r="A45" s="37">
        <v>52322</v>
      </c>
      <c r="B45" s="409">
        <f t="shared" ref="B45:C45" si="41">($A45-B$9)/365.25</f>
        <v>61.371663244353179</v>
      </c>
      <c r="C45" s="409">
        <f t="shared" si="41"/>
        <v>56.761122518822724</v>
      </c>
      <c r="E45" s="25">
        <f>IF(C45&gt;$B$7,0,'Combined Retirement'!$D$13/12)</f>
        <v>0</v>
      </c>
      <c r="F45" s="25">
        <f>IF(H45=0,'Combined Retirement'!$D$32,0)+'Combined Retirement'!$B$24</f>
        <v>4439.3722856490986</v>
      </c>
      <c r="G45" s="25">
        <f>'Combined Retirement'!$C$24</f>
        <v>3525.4531757812501</v>
      </c>
      <c r="H45" s="25">
        <f>IF(B45&lt;62,0,'Combined Retirement'!$I$14)</f>
        <v>0</v>
      </c>
      <c r="I45" s="25">
        <f>IF(C45&lt;62,0,'Combined Retirement'!$I$13)</f>
        <v>0</v>
      </c>
      <c r="J45" s="25">
        <f t="shared" si="3"/>
        <v>31188.244538569645</v>
      </c>
      <c r="K45" s="25">
        <f t="shared" si="4"/>
        <v>0</v>
      </c>
      <c r="L45" s="25"/>
      <c r="N45" s="25">
        <f>'Combined Retirement'!$C$18/12</f>
        <v>39153.069999999992</v>
      </c>
      <c r="O45" s="25">
        <f t="shared" si="5"/>
        <v>7964.8254614303487</v>
      </c>
      <c r="P45" s="25">
        <f t="shared" si="6"/>
        <v>31188.244538569645</v>
      </c>
      <c r="Q45" s="25">
        <f t="array" aca="1" ref="Q45" ca="1">INDEX('Isaac 401k'!L:L,MATCH('Retirement Calculator'!A45,'Isaac 401k'!N:N,0),0)</f>
        <v>2385639.1592494007</v>
      </c>
      <c r="R45" s="25">
        <f t="array" aca="1" ref="R45" ca="1">INDEX('Lorri 401b'!L:L,MATCH('Retirement Calculator'!A45,'Lorri 401b'!N:N,0),0)</f>
        <v>3780771.5097444584</v>
      </c>
      <c r="S45" s="25">
        <f t="shared" ca="1" si="7"/>
        <v>6166410.6689938586</v>
      </c>
    </row>
    <row r="46" spans="1:19" ht="15.75" customHeight="1" x14ac:dyDescent="0.3">
      <c r="A46" s="37">
        <v>52352</v>
      </c>
      <c r="B46" s="409">
        <f t="shared" ref="B46:C46" si="42">($A46-B$9)/365.25</f>
        <v>61.453798767967143</v>
      </c>
      <c r="C46" s="409">
        <f t="shared" si="42"/>
        <v>56.843258042436688</v>
      </c>
      <c r="E46" s="25">
        <f>IF(C46&gt;$B$7,0,'Combined Retirement'!$D$13/12)</f>
        <v>0</v>
      </c>
      <c r="F46" s="25">
        <f>IF(H46=0,'Combined Retirement'!$D$32,0)+'Combined Retirement'!$B$24</f>
        <v>4439.3722856490986</v>
      </c>
      <c r="G46" s="25">
        <f>'Combined Retirement'!$C$24</f>
        <v>3525.4531757812501</v>
      </c>
      <c r="H46" s="25">
        <f>IF(B46&lt;62,0,'Combined Retirement'!$I$14)</f>
        <v>0</v>
      </c>
      <c r="I46" s="25">
        <f>IF(C46&lt;62,0,'Combined Retirement'!$I$13)</f>
        <v>0</v>
      </c>
      <c r="J46" s="25">
        <f t="shared" si="3"/>
        <v>31188.244538569645</v>
      </c>
      <c r="K46" s="25">
        <f t="shared" si="4"/>
        <v>0</v>
      </c>
      <c r="L46" s="25"/>
      <c r="N46" s="25">
        <f>'Combined Retirement'!$C$18/12</f>
        <v>39153.069999999992</v>
      </c>
      <c r="O46" s="25">
        <f t="shared" si="5"/>
        <v>7964.8254614303487</v>
      </c>
      <c r="P46" s="25">
        <f t="shared" si="6"/>
        <v>31188.244538569645</v>
      </c>
      <c r="Q46" s="25">
        <f t="array" aca="1" ref="Q46" ca="1">INDEX('Isaac 401k'!L:L,MATCH('Retirement Calculator'!A46,'Isaac 401k'!N:N,0),0)</f>
        <v>2364261.1268554595</v>
      </c>
      <c r="R46" s="25">
        <f t="array" aca="1" ref="R46" ca="1">INDEX('Lorri 401b'!L:L,MATCH('Retirement Calculator'!A46,'Lorri 401b'!N:N,0),0)</f>
        <v>3796524.7243683934</v>
      </c>
      <c r="S46" s="25">
        <f t="shared" ca="1" si="7"/>
        <v>6160785.8512238525</v>
      </c>
    </row>
    <row r="47" spans="1:19" ht="15.75" customHeight="1" x14ac:dyDescent="0.3">
      <c r="A47" s="37">
        <v>52383</v>
      </c>
      <c r="B47" s="409">
        <f t="shared" ref="B47:C47" si="43">($A47-B$9)/365.25</f>
        <v>61.538672142368242</v>
      </c>
      <c r="C47" s="409">
        <f t="shared" si="43"/>
        <v>56.928131416837779</v>
      </c>
      <c r="E47" s="25">
        <f>IF(C47&gt;$B$7,0,'Combined Retirement'!$D$13/12)</f>
        <v>0</v>
      </c>
      <c r="F47" s="25">
        <f>IF(H47=0,'Combined Retirement'!$D$32,0)+'Combined Retirement'!$B$24</f>
        <v>4439.3722856490986</v>
      </c>
      <c r="G47" s="25">
        <f>'Combined Retirement'!$C$24</f>
        <v>3525.4531757812501</v>
      </c>
      <c r="H47" s="25">
        <f>IF(B47&lt;62,0,'Combined Retirement'!$I$14)</f>
        <v>0</v>
      </c>
      <c r="I47" s="25">
        <f>IF(C47&lt;62,0,'Combined Retirement'!$I$13)</f>
        <v>0</v>
      </c>
      <c r="J47" s="25">
        <f t="shared" si="3"/>
        <v>31188.244538569645</v>
      </c>
      <c r="K47" s="25">
        <f t="shared" si="4"/>
        <v>0</v>
      </c>
      <c r="L47" s="25"/>
      <c r="N47" s="25">
        <f>'Combined Retirement'!$C$18/12</f>
        <v>39153.069999999992</v>
      </c>
      <c r="O47" s="25">
        <f t="shared" si="5"/>
        <v>7964.8254614303487</v>
      </c>
      <c r="P47" s="25">
        <f t="shared" si="6"/>
        <v>31188.244538569645</v>
      </c>
      <c r="Q47" s="25">
        <f t="array" aca="1" ref="Q47" ca="1">INDEX('Isaac 401k'!L:L,MATCH('Retirement Calculator'!A47,'Isaac 401k'!N:N,0),0)</f>
        <v>2342794.0193265434</v>
      </c>
      <c r="R47" s="25">
        <f t="array" aca="1" ref="R47" ca="1">INDEX('Lorri 401b'!L:L,MATCH('Retirement Calculator'!A47,'Lorri 401b'!N:N,0),0)</f>
        <v>3812343.5773865948</v>
      </c>
      <c r="S47" s="25">
        <f t="shared" ca="1" si="7"/>
        <v>6155137.5967131387</v>
      </c>
    </row>
    <row r="48" spans="1:19" ht="15.75" customHeight="1" x14ac:dyDescent="0.3">
      <c r="A48" s="37">
        <v>52413</v>
      </c>
      <c r="B48" s="409">
        <f t="shared" ref="B48:C48" si="44">($A48-B$9)/365.25</f>
        <v>61.620807665982205</v>
      </c>
      <c r="C48" s="409">
        <f t="shared" si="44"/>
        <v>57.010266940451743</v>
      </c>
      <c r="E48" s="25">
        <f>IF(C48&gt;$B$7,0,'Combined Retirement'!$D$13/12)</f>
        <v>0</v>
      </c>
      <c r="F48" s="25">
        <f>IF(H48=0,'Combined Retirement'!$D$32,0)+'Combined Retirement'!$B$24</f>
        <v>4439.3722856490986</v>
      </c>
      <c r="G48" s="25">
        <f>'Combined Retirement'!$C$24</f>
        <v>3525.4531757812501</v>
      </c>
      <c r="H48" s="25">
        <f>IF(B48&lt;62,0,'Combined Retirement'!$I$14)</f>
        <v>0</v>
      </c>
      <c r="I48" s="25">
        <f>IF(C48&lt;62,0,'Combined Retirement'!$I$13)</f>
        <v>0</v>
      </c>
      <c r="J48" s="25">
        <f t="shared" si="3"/>
        <v>31188.244538569645</v>
      </c>
      <c r="K48" s="25">
        <f t="shared" si="4"/>
        <v>0</v>
      </c>
      <c r="L48" s="25"/>
      <c r="N48" s="25">
        <f>'Combined Retirement'!$C$18/12</f>
        <v>39153.069999999992</v>
      </c>
      <c r="O48" s="25">
        <f t="shared" si="5"/>
        <v>7964.8254614303487</v>
      </c>
      <c r="P48" s="25">
        <f t="shared" si="6"/>
        <v>31188.244538569645</v>
      </c>
      <c r="Q48" s="25">
        <f t="array" aca="1" ref="Q48" ca="1">INDEX('Isaac 401k'!L:L,MATCH('Retirement Calculator'!A48,'Isaac 401k'!N:N,0),0)</f>
        <v>2321237.4655162566</v>
      </c>
      <c r="R48" s="25">
        <f t="array" aca="1" ref="R48" ca="1">INDEX('Lorri 401b'!L:L,MATCH('Retirement Calculator'!A48,'Lorri 401b'!N:N,0),0)</f>
        <v>3828228.3422923721</v>
      </c>
      <c r="S48" s="25">
        <f t="shared" ca="1" si="7"/>
        <v>6149465.8078086283</v>
      </c>
    </row>
    <row r="49" spans="1:19" ht="15.75" customHeight="1" x14ac:dyDescent="0.3">
      <c r="A49" s="37">
        <v>52444</v>
      </c>
      <c r="B49" s="409">
        <f t="shared" ref="B49:C49" si="45">($A49-B$9)/365.25</f>
        <v>61.705681040383297</v>
      </c>
      <c r="C49" s="409">
        <f t="shared" si="45"/>
        <v>57.095140314852841</v>
      </c>
      <c r="E49" s="25">
        <f>IF(C49&gt;$B$7,0,'Combined Retirement'!$D$13/12)</f>
        <v>0</v>
      </c>
      <c r="F49" s="25">
        <f>IF(H49=0,'Combined Retirement'!$D$32,0)+'Combined Retirement'!$B$24</f>
        <v>4439.3722856490986</v>
      </c>
      <c r="G49" s="25">
        <f>'Combined Retirement'!$C$24</f>
        <v>3525.4531757812501</v>
      </c>
      <c r="H49" s="25">
        <f>IF(B49&lt;62,0,'Combined Retirement'!$I$14)</f>
        <v>0</v>
      </c>
      <c r="I49" s="25">
        <f>IF(C49&lt;62,0,'Combined Retirement'!$I$13)</f>
        <v>0</v>
      </c>
      <c r="J49" s="25">
        <f t="shared" si="3"/>
        <v>31188.244538569645</v>
      </c>
      <c r="K49" s="25">
        <f t="shared" si="4"/>
        <v>0</v>
      </c>
      <c r="L49" s="25"/>
      <c r="N49" s="25">
        <f>'Combined Retirement'!$C$18/12</f>
        <v>39153.069999999992</v>
      </c>
      <c r="O49" s="25">
        <f t="shared" si="5"/>
        <v>7964.8254614303487</v>
      </c>
      <c r="P49" s="25">
        <f t="shared" si="6"/>
        <v>31188.244538569645</v>
      </c>
      <c r="Q49" s="25">
        <f t="array" aca="1" ref="Q49" ca="1">INDEX('Isaac 401k'!L:L,MATCH('Retirement Calculator'!A49,'Isaac 401k'!N:N,0),0)</f>
        <v>2299591.0927317603</v>
      </c>
      <c r="R49" s="25">
        <f t="array" aca="1" ref="R49" ca="1">INDEX('Lorri 401b'!L:L,MATCH('Retirement Calculator'!A49,'Lorri 401b'!N:N,0),0)</f>
        <v>3844179.2937185904</v>
      </c>
      <c r="S49" s="25">
        <f t="shared" ca="1" si="7"/>
        <v>6143770.3864503503</v>
      </c>
    </row>
    <row r="50" spans="1:19" ht="15.75" customHeight="1" x14ac:dyDescent="0.3">
      <c r="A50" s="37">
        <v>52475</v>
      </c>
      <c r="B50" s="409">
        <f t="shared" ref="B50:C50" si="46">($A50-B$9)/365.25</f>
        <v>61.790554414784395</v>
      </c>
      <c r="C50" s="409">
        <f t="shared" si="46"/>
        <v>57.180013689253933</v>
      </c>
      <c r="E50" s="25">
        <f>IF(C50&gt;$B$7,0,'Combined Retirement'!$D$13/12)</f>
        <v>0</v>
      </c>
      <c r="F50" s="25">
        <f>IF(H50=0,'Combined Retirement'!$D$32,0)+'Combined Retirement'!$B$24</f>
        <v>4439.3722856490986</v>
      </c>
      <c r="G50" s="25">
        <f>'Combined Retirement'!$C$24</f>
        <v>3525.4531757812501</v>
      </c>
      <c r="H50" s="25">
        <f>IF(B50&lt;62,0,'Combined Retirement'!$I$14)</f>
        <v>0</v>
      </c>
      <c r="I50" s="25">
        <f>IF(C50&lt;62,0,'Combined Retirement'!$I$13)</f>
        <v>0</v>
      </c>
      <c r="J50" s="25">
        <f t="shared" si="3"/>
        <v>31188.244538569645</v>
      </c>
      <c r="K50" s="25">
        <f t="shared" si="4"/>
        <v>0</v>
      </c>
      <c r="L50" s="25"/>
      <c r="N50" s="25">
        <f>'Combined Retirement'!$C$18/12</f>
        <v>39153.069999999992</v>
      </c>
      <c r="O50" s="25">
        <f t="shared" si="5"/>
        <v>7964.8254614303487</v>
      </c>
      <c r="P50" s="25">
        <f t="shared" si="6"/>
        <v>31188.244538569645</v>
      </c>
      <c r="Q50" s="25">
        <f t="array" aca="1" ref="Q50" ca="1">INDEX('Isaac 401k'!L:L,MATCH('Retirement Calculator'!A50,'Isaac 401k'!N:N,0),0)</f>
        <v>2277854.526727329</v>
      </c>
      <c r="R50" s="25">
        <f t="array" aca="1" ref="R50" ca="1">INDEX('Lorri 401b'!L:L,MATCH('Retirement Calculator'!A50,'Lorri 401b'!N:N,0),0)</f>
        <v>3860196.7074424177</v>
      </c>
      <c r="S50" s="25">
        <f t="shared" ca="1" si="7"/>
        <v>6138051.2341697467</v>
      </c>
    </row>
    <row r="51" spans="1:19" ht="15.75" customHeight="1" x14ac:dyDescent="0.3">
      <c r="A51" s="37">
        <v>52505</v>
      </c>
      <c r="B51" s="409">
        <f t="shared" ref="B51:C51" si="47">($A51-B$9)/365.25</f>
        <v>61.872689938398359</v>
      </c>
      <c r="C51" s="409">
        <f t="shared" si="47"/>
        <v>57.262149212867897</v>
      </c>
      <c r="E51" s="25">
        <f>IF(C51&gt;$B$7,0,'Combined Retirement'!$D$13/12)</f>
        <v>0</v>
      </c>
      <c r="F51" s="25">
        <f>IF(H51=0,'Combined Retirement'!$D$32,0)+'Combined Retirement'!$B$24</f>
        <v>4439.3722856490986</v>
      </c>
      <c r="G51" s="25">
        <f>'Combined Retirement'!$C$24</f>
        <v>3525.4531757812501</v>
      </c>
      <c r="H51" s="25">
        <f>IF(B51&lt;62,0,'Combined Retirement'!$I$14)</f>
        <v>0</v>
      </c>
      <c r="I51" s="25">
        <f>IF(C51&lt;62,0,'Combined Retirement'!$I$13)</f>
        <v>0</v>
      </c>
      <c r="J51" s="25">
        <f t="shared" si="3"/>
        <v>31188.244538569645</v>
      </c>
      <c r="K51" s="25">
        <f t="shared" si="4"/>
        <v>0</v>
      </c>
      <c r="L51" s="25"/>
      <c r="N51" s="25">
        <f>'Combined Retirement'!$C$18/12</f>
        <v>39153.069999999992</v>
      </c>
      <c r="O51" s="25">
        <f t="shared" si="5"/>
        <v>7964.8254614303487</v>
      </c>
      <c r="P51" s="25">
        <f t="shared" si="6"/>
        <v>31188.244538569645</v>
      </c>
      <c r="Q51" s="25">
        <f t="array" aca="1" ref="Q51" ca="1">INDEX('Isaac 401k'!L:L,MATCH('Retirement Calculator'!A51,'Isaac 401k'!N:N,0),0)</f>
        <v>2256027.3916978789</v>
      </c>
      <c r="R51" s="25">
        <f t="array" aca="1" ref="R51" ca="1">INDEX('Lorri 401b'!L:L,MATCH('Retirement Calculator'!A51,'Lorri 401b'!N:N,0),0)</f>
        <v>3876280.8603900946</v>
      </c>
      <c r="S51" s="25">
        <f t="shared" ca="1" si="7"/>
        <v>6132308.2520879731</v>
      </c>
    </row>
    <row r="52" spans="1:19" ht="15.75" customHeight="1" x14ac:dyDescent="0.3">
      <c r="A52" s="37">
        <v>52536</v>
      </c>
      <c r="B52" s="409">
        <f t="shared" ref="B52:C52" si="48">($A52-B$9)/365.25</f>
        <v>61.957563312799451</v>
      </c>
      <c r="C52" s="409">
        <f t="shared" si="48"/>
        <v>57.347022587268995</v>
      </c>
      <c r="E52" s="25">
        <f>IF(C52&gt;$B$7,0,'Combined Retirement'!$D$13/12)</f>
        <v>0</v>
      </c>
      <c r="F52" s="25">
        <f>IF(H52=0,'Combined Retirement'!$D$32,0)+'Combined Retirement'!$B$24</f>
        <v>4439.3722856490986</v>
      </c>
      <c r="G52" s="25">
        <f>'Combined Retirement'!$C$24</f>
        <v>3525.4531757812501</v>
      </c>
      <c r="H52" s="25">
        <f>IF(B52&lt;62,0,'Combined Retirement'!$I$14)</f>
        <v>0</v>
      </c>
      <c r="I52" s="25">
        <f>IF(C52&lt;62,0,'Combined Retirement'!$I$13)</f>
        <v>0</v>
      </c>
      <c r="J52" s="25">
        <f t="shared" si="3"/>
        <v>31188.244538569645</v>
      </c>
      <c r="K52" s="25">
        <f t="shared" si="4"/>
        <v>0</v>
      </c>
      <c r="L52" s="25"/>
      <c r="N52" s="25">
        <f>'Combined Retirement'!$C$18/12</f>
        <v>39153.069999999992</v>
      </c>
      <c r="O52" s="25">
        <f t="shared" si="5"/>
        <v>7964.8254614303487</v>
      </c>
      <c r="P52" s="25">
        <f t="shared" si="6"/>
        <v>31188.244538569645</v>
      </c>
      <c r="Q52" s="25">
        <f t="array" aca="1" ref="Q52" ca="1">INDEX('Isaac 401k'!L:L,MATCH('Retirement Calculator'!A52,'Isaac 401k'!N:N,0),0)</f>
        <v>2234109.3102724729</v>
      </c>
      <c r="R52" s="25">
        <f t="array" aca="1" ref="R52" ca="1">INDEX('Lorri 401b'!L:L,MATCH('Retirement Calculator'!A52,'Lorri 401b'!N:N,0),0)</f>
        <v>3892432.0306417202</v>
      </c>
      <c r="S52" s="25">
        <f t="shared" ca="1" si="7"/>
        <v>6126541.3409141935</v>
      </c>
    </row>
    <row r="53" spans="1:19" ht="15.75" customHeight="1" x14ac:dyDescent="0.3">
      <c r="A53" s="37">
        <v>52566</v>
      </c>
      <c r="B53" s="409">
        <f t="shared" ref="B53:C53" si="49">($A53-B$9)/365.25</f>
        <v>62.039698836413415</v>
      </c>
      <c r="C53" s="409">
        <f t="shared" si="49"/>
        <v>57.429158110882959</v>
      </c>
      <c r="E53" s="25">
        <f>IF(C53&gt;$B$7,0,'Combined Retirement'!$D$13/12)</f>
        <v>0</v>
      </c>
      <c r="F53" s="25">
        <f>IF(H53=0,'Combined Retirement'!$D$32,0)+'Combined Retirement'!$B$24</f>
        <v>2870.372285649099</v>
      </c>
      <c r="G53" s="25">
        <f>'Combined Retirement'!$C$24</f>
        <v>3525.4531757812501</v>
      </c>
      <c r="H53" s="25">
        <f>IF(B53&lt;62,0,'Combined Retirement'!$I$14)</f>
        <v>2192</v>
      </c>
      <c r="I53" s="25">
        <f>IF(C53&lt;62,0,'Combined Retirement'!$I$13)</f>
        <v>0</v>
      </c>
      <c r="J53" s="25">
        <f t="shared" si="3"/>
        <v>30565.244538569641</v>
      </c>
      <c r="K53" s="25">
        <f t="shared" si="4"/>
        <v>0</v>
      </c>
      <c r="L53" s="25"/>
      <c r="N53" s="25">
        <f>'Combined Retirement'!$C$18/12</f>
        <v>39153.069999999992</v>
      </c>
      <c r="O53" s="25">
        <f t="shared" si="5"/>
        <v>8587.8254614303496</v>
      </c>
      <c r="P53" s="25">
        <f t="shared" si="6"/>
        <v>30565.244538569641</v>
      </c>
      <c r="Q53" s="25">
        <f t="array" aca="1" ref="Q53" ca="1">INDEX('Isaac 401k'!L:L,MATCH('Retirement Calculator'!A53,'Isaac 401k'!N:N,0),0)</f>
        <v>2212725.4993411275</v>
      </c>
      <c r="R53" s="25">
        <f t="array" aca="1" ref="R53" ca="1">INDEX('Lorri 401b'!L:L,MATCH('Retirement Calculator'!A53,'Lorri 401b'!N:N,0),0)</f>
        <v>3908650.4974360606</v>
      </c>
      <c r="S53" s="25">
        <f t="shared" ca="1" si="7"/>
        <v>6121375.996777188</v>
      </c>
    </row>
    <row r="54" spans="1:19" ht="15.75" customHeight="1" x14ac:dyDescent="0.3">
      <c r="A54" s="37">
        <v>52597</v>
      </c>
      <c r="B54" s="409">
        <f t="shared" ref="B54:C54" si="50">($A54-B$9)/365.25</f>
        <v>62.124572210814513</v>
      </c>
      <c r="C54" s="409">
        <f t="shared" si="50"/>
        <v>57.51403148528405</v>
      </c>
      <c r="E54" s="25">
        <f>IF(C54&gt;$B$7,0,'Combined Retirement'!$D$13/12)</f>
        <v>0</v>
      </c>
      <c r="F54" s="25">
        <f>IF(H54=0,'Combined Retirement'!$D$32,0)+'Combined Retirement'!$B$24</f>
        <v>2870.372285649099</v>
      </c>
      <c r="G54" s="25">
        <f>'Combined Retirement'!$C$24</f>
        <v>3525.4531757812501</v>
      </c>
      <c r="H54" s="25">
        <f>IF(B54&lt;62,0,'Combined Retirement'!$I$14)</f>
        <v>2192</v>
      </c>
      <c r="I54" s="25">
        <f>IF(C54&lt;62,0,'Combined Retirement'!$I$13)</f>
        <v>0</v>
      </c>
      <c r="J54" s="25">
        <f t="shared" si="3"/>
        <v>30565.244538569641</v>
      </c>
      <c r="K54" s="25">
        <f t="shared" si="4"/>
        <v>0</v>
      </c>
      <c r="L54" s="25"/>
      <c r="N54" s="25">
        <f>'Combined Retirement'!$C$18/12</f>
        <v>39153.069999999992</v>
      </c>
      <c r="O54" s="25">
        <f t="shared" si="5"/>
        <v>8587.8254614303496</v>
      </c>
      <c r="P54" s="25">
        <f t="shared" si="6"/>
        <v>30565.244538569641</v>
      </c>
      <c r="Q54" s="25">
        <f t="array" aca="1" ref="Q54" ca="1">INDEX('Isaac 401k'!L:L,MATCH('Retirement Calculator'!A54,'Isaac 401k'!N:N,0),0)</f>
        <v>2191252.5891975681</v>
      </c>
      <c r="R54" s="25">
        <f t="array" aca="1" ref="R54" ca="1">INDEX('Lorri 401b'!L:L,MATCH('Retirement Calculator'!A54,'Lorri 401b'!N:N,0),0)</f>
        <v>3924936.5411753776</v>
      </c>
      <c r="S54" s="25">
        <f t="shared" ca="1" si="7"/>
        <v>6116189.1303729452</v>
      </c>
    </row>
    <row r="55" spans="1:19" ht="15.75" customHeight="1" x14ac:dyDescent="0.3">
      <c r="A55" s="37">
        <v>52628</v>
      </c>
      <c r="B55" s="409">
        <f t="shared" ref="B55:C55" si="51">($A55-B$9)/365.25</f>
        <v>62.209445585215605</v>
      </c>
      <c r="C55" s="409">
        <f t="shared" si="51"/>
        <v>57.598904859685149</v>
      </c>
      <c r="E55" s="25">
        <f>IF(C55&gt;$B$7,0,'Combined Retirement'!$D$13/12)</f>
        <v>0</v>
      </c>
      <c r="F55" s="25">
        <f>IF(H55=0,'Combined Retirement'!$D$32,0)+'Combined Retirement'!$B$24</f>
        <v>2870.372285649099</v>
      </c>
      <c r="G55" s="25">
        <f>'Combined Retirement'!$C$24</f>
        <v>3525.4531757812501</v>
      </c>
      <c r="H55" s="25">
        <f>IF(B55&lt;62,0,'Combined Retirement'!$I$14)</f>
        <v>2192</v>
      </c>
      <c r="I55" s="25">
        <f>IF(C55&lt;62,0,'Combined Retirement'!$I$13)</f>
        <v>0</v>
      </c>
      <c r="J55" s="25">
        <f t="shared" si="3"/>
        <v>30565.244538569641</v>
      </c>
      <c r="K55" s="25">
        <f t="shared" si="4"/>
        <v>0</v>
      </c>
      <c r="L55" s="25"/>
      <c r="N55" s="25">
        <f>'Combined Retirement'!$C$18/12</f>
        <v>39153.069999999992</v>
      </c>
      <c r="O55" s="25">
        <f t="shared" si="5"/>
        <v>8587.8254614303496</v>
      </c>
      <c r="P55" s="25">
        <f t="shared" si="6"/>
        <v>30565.244538569641</v>
      </c>
      <c r="Q55" s="25">
        <f t="array" aca="1" ref="Q55" ca="1">INDEX('Isaac 401k'!L:L,MATCH('Retirement Calculator'!A55,'Isaac 401k'!N:N,0),0)</f>
        <v>2169690.2085950775</v>
      </c>
      <c r="R55" s="25">
        <f t="array" aca="1" ref="R55" ca="1">INDEX('Lorri 401b'!L:L,MATCH('Retirement Calculator'!A55,'Lorri 401b'!N:N,0),0)</f>
        <v>3941290.4434302752</v>
      </c>
      <c r="S55" s="25">
        <f t="shared" ca="1" si="7"/>
        <v>6110980.6520253532</v>
      </c>
    </row>
    <row r="56" spans="1:19" ht="15.75" customHeight="1" x14ac:dyDescent="0.3">
      <c r="A56" s="37">
        <v>52657</v>
      </c>
      <c r="B56" s="409">
        <f t="shared" ref="B56:C56" si="52">($A56-B$9)/365.25</f>
        <v>62.288843258042434</v>
      </c>
      <c r="C56" s="409">
        <f t="shared" si="52"/>
        <v>57.678302532511978</v>
      </c>
      <c r="E56" s="25">
        <f>IF(C56&gt;$B$7,0,'Combined Retirement'!$D$13/12)</f>
        <v>0</v>
      </c>
      <c r="F56" s="25">
        <f>IF(H56=0,'Combined Retirement'!$D$32,0)+'Combined Retirement'!$B$24</f>
        <v>2870.372285649099</v>
      </c>
      <c r="G56" s="25">
        <f>'Combined Retirement'!$C$24</f>
        <v>3525.4531757812501</v>
      </c>
      <c r="H56" s="25">
        <f>IF(B56&lt;62,0,'Combined Retirement'!$I$14)</f>
        <v>2192</v>
      </c>
      <c r="I56" s="25">
        <f>IF(C56&lt;62,0,'Combined Retirement'!$I$13)</f>
        <v>0</v>
      </c>
      <c r="J56" s="25">
        <f t="shared" si="3"/>
        <v>30565.244538569641</v>
      </c>
      <c r="K56" s="25">
        <f t="shared" si="4"/>
        <v>0</v>
      </c>
      <c r="L56" s="25"/>
      <c r="N56" s="25">
        <f>'Combined Retirement'!$C$18/12</f>
        <v>39153.069999999992</v>
      </c>
      <c r="O56" s="25">
        <f t="shared" si="5"/>
        <v>8587.8254614303496</v>
      </c>
      <c r="P56" s="25">
        <f t="shared" si="6"/>
        <v>30565.244538569641</v>
      </c>
      <c r="Q56" s="25">
        <f t="array" aca="1" ref="Q56" ca="1">INDEX('Isaac 401k'!L:L,MATCH('Retirement Calculator'!A56,'Isaac 401k'!N:N,0),0)</f>
        <v>2148037.9847400766</v>
      </c>
      <c r="R56" s="25">
        <f t="array" aca="1" ref="R56" ca="1">INDEX('Lorri 401b'!L:L,MATCH('Retirement Calculator'!A56,'Lorri 401b'!N:N,0),0)</f>
        <v>3957712.4869445679</v>
      </c>
      <c r="S56" s="25">
        <f t="shared" ca="1" si="7"/>
        <v>6105750.471684644</v>
      </c>
    </row>
    <row r="57" spans="1:19" ht="15.75" customHeight="1" x14ac:dyDescent="0.3">
      <c r="A57" s="37">
        <v>52688</v>
      </c>
      <c r="B57" s="409">
        <f t="shared" ref="B57:C57" si="53">($A57-B$9)/365.25</f>
        <v>62.373716632443532</v>
      </c>
      <c r="C57" s="409">
        <f t="shared" si="53"/>
        <v>57.763175906913077</v>
      </c>
      <c r="E57" s="25">
        <f>IF(C57&gt;$B$7,0,'Combined Retirement'!$D$13/12)</f>
        <v>0</v>
      </c>
      <c r="F57" s="25">
        <f>IF(H57=0,'Combined Retirement'!$D$32,0)+'Combined Retirement'!$B$24</f>
        <v>2870.372285649099</v>
      </c>
      <c r="G57" s="25">
        <f>'Combined Retirement'!$C$24</f>
        <v>3525.4531757812501</v>
      </c>
      <c r="H57" s="25">
        <f>IF(B57&lt;62,0,'Combined Retirement'!$I$14)</f>
        <v>2192</v>
      </c>
      <c r="I57" s="25">
        <f>IF(C57&lt;62,0,'Combined Retirement'!$I$13)</f>
        <v>0</v>
      </c>
      <c r="J57" s="25">
        <f t="shared" si="3"/>
        <v>30565.244538569641</v>
      </c>
      <c r="K57" s="25">
        <f t="shared" si="4"/>
        <v>0</v>
      </c>
      <c r="L57" s="25"/>
      <c r="N57" s="25">
        <f>'Combined Retirement'!$C$18/12</f>
        <v>39153.069999999992</v>
      </c>
      <c r="O57" s="25">
        <f t="shared" si="5"/>
        <v>8587.8254614303496</v>
      </c>
      <c r="P57" s="25">
        <f t="shared" si="6"/>
        <v>30565.244538569641</v>
      </c>
      <c r="Q57" s="25">
        <f t="array" aca="1" ref="Q57" ca="1">INDEX('Isaac 401k'!L:L,MATCH('Retirement Calculator'!A57,'Isaac 401k'!N:N,0),0)</f>
        <v>2126295.5432856795</v>
      </c>
      <c r="R57" s="25">
        <f t="array" aca="1" ref="R57" ca="1">INDEX('Lorri 401b'!L:L,MATCH('Retirement Calculator'!A57,'Lorri 401b'!N:N,0),0)</f>
        <v>3974202.9556401703</v>
      </c>
      <c r="S57" s="25">
        <f t="shared" ca="1" si="7"/>
        <v>6100498.4989258498</v>
      </c>
    </row>
    <row r="58" spans="1:19" ht="15.75" customHeight="1" x14ac:dyDescent="0.3">
      <c r="A58" s="37">
        <v>52718</v>
      </c>
      <c r="B58" s="409">
        <f t="shared" ref="B58:C58" si="54">($A58-B$9)/365.25</f>
        <v>62.455852156057496</v>
      </c>
      <c r="C58" s="409">
        <f t="shared" si="54"/>
        <v>57.845311430527033</v>
      </c>
      <c r="E58" s="25">
        <f>IF(C58&gt;$B$7,0,'Combined Retirement'!$D$13/12)</f>
        <v>0</v>
      </c>
      <c r="F58" s="25">
        <f>IF(H58=0,'Combined Retirement'!$D$32,0)+'Combined Retirement'!$B$24</f>
        <v>2870.372285649099</v>
      </c>
      <c r="G58" s="25">
        <f>'Combined Retirement'!$C$24</f>
        <v>3525.4531757812501</v>
      </c>
      <c r="H58" s="25">
        <f>IF(B58&lt;62,0,'Combined Retirement'!$I$14)</f>
        <v>2192</v>
      </c>
      <c r="I58" s="25">
        <f>IF(C58&lt;62,0,'Combined Retirement'!$I$13)</f>
        <v>0</v>
      </c>
      <c r="J58" s="25">
        <f t="shared" si="3"/>
        <v>30565.244538569641</v>
      </c>
      <c r="K58" s="25">
        <f t="shared" si="4"/>
        <v>0</v>
      </c>
      <c r="L58" s="25"/>
      <c r="N58" s="25">
        <f>'Combined Retirement'!$C$18/12</f>
        <v>39153.069999999992</v>
      </c>
      <c r="O58" s="25">
        <f t="shared" si="5"/>
        <v>8587.8254614303496</v>
      </c>
      <c r="P58" s="25">
        <f t="shared" si="6"/>
        <v>30565.244538569641</v>
      </c>
      <c r="Q58" s="25">
        <f t="array" aca="1" ref="Q58" ca="1">INDEX('Isaac 401k'!L:L,MATCH('Retirement Calculator'!A58,'Isaac 401k'!N:N,0),0)</f>
        <v>2104462.5083252229</v>
      </c>
      <c r="R58" s="25">
        <f t="array" aca="1" ref="R58" ca="1">INDEX('Lorri 401b'!L:L,MATCH('Retirement Calculator'!A58,'Lorri 401b'!N:N,0),0)</f>
        <v>3990762.1346220043</v>
      </c>
      <c r="S58" s="25">
        <f t="shared" ca="1" si="7"/>
        <v>6095224.6429472268</v>
      </c>
    </row>
    <row r="59" spans="1:19" ht="15.75" customHeight="1" x14ac:dyDescent="0.3">
      <c r="A59" s="37">
        <v>52749</v>
      </c>
      <c r="B59" s="409">
        <f t="shared" ref="B59:C59" si="55">($A59-B$9)/365.25</f>
        <v>62.540725530458587</v>
      </c>
      <c r="C59" s="409">
        <f t="shared" si="55"/>
        <v>57.930184804928132</v>
      </c>
      <c r="E59" s="25">
        <f>IF(C59&gt;$B$7,0,'Combined Retirement'!$D$13/12)</f>
        <v>0</v>
      </c>
      <c r="F59" s="25">
        <f>IF(H59=0,'Combined Retirement'!$D$32,0)+'Combined Retirement'!$B$24</f>
        <v>2870.372285649099</v>
      </c>
      <c r="G59" s="25">
        <f>'Combined Retirement'!$C$24</f>
        <v>3525.4531757812501</v>
      </c>
      <c r="H59" s="25">
        <f>IF(B59&lt;62,0,'Combined Retirement'!$I$14)</f>
        <v>2192</v>
      </c>
      <c r="I59" s="25">
        <f>IF(C59&lt;62,0,'Combined Retirement'!$I$13)</f>
        <v>0</v>
      </c>
      <c r="J59" s="25">
        <f t="shared" si="3"/>
        <v>30565.244538569641</v>
      </c>
      <c r="K59" s="25">
        <f t="shared" si="4"/>
        <v>0</v>
      </c>
      <c r="L59" s="25"/>
      <c r="N59" s="25">
        <f>'Combined Retirement'!$C$18/12</f>
        <v>39153.069999999992</v>
      </c>
      <c r="O59" s="25">
        <f t="shared" si="5"/>
        <v>8587.8254614303496</v>
      </c>
      <c r="P59" s="25">
        <f t="shared" si="6"/>
        <v>30565.244538569641</v>
      </c>
      <c r="Q59" s="25">
        <f t="array" aca="1" ref="Q59" ca="1">INDEX('Isaac 401k'!L:L,MATCH('Retirement Calculator'!A59,'Isaac 401k'!N:N,0),0)</f>
        <v>2082538.5023857644</v>
      </c>
      <c r="R59" s="25">
        <f t="array" aca="1" ref="R59" ca="1">INDEX('Lorri 401b'!L:L,MATCH('Retirement Calculator'!A59,'Lorri 401b'!N:N,0),0)</f>
        <v>4007390.3101829295</v>
      </c>
      <c r="S59" s="25">
        <f t="shared" ca="1" si="7"/>
        <v>6089928.8125686944</v>
      </c>
    </row>
    <row r="60" spans="1:19" ht="15.75" customHeight="1" x14ac:dyDescent="0.3">
      <c r="A60" s="37">
        <v>52779</v>
      </c>
      <c r="B60" s="409">
        <f t="shared" ref="B60:C60" si="56">($A60-B$9)/365.25</f>
        <v>62.622861054072551</v>
      </c>
      <c r="C60" s="409">
        <f t="shared" si="56"/>
        <v>58.012320328542096</v>
      </c>
      <c r="E60" s="25">
        <f>IF(C60&gt;$B$7,0,'Combined Retirement'!$D$13/12)</f>
        <v>0</v>
      </c>
      <c r="F60" s="25">
        <f>IF(H60=0,'Combined Retirement'!$D$32,0)+'Combined Retirement'!$B$24</f>
        <v>2870.372285649099</v>
      </c>
      <c r="G60" s="25">
        <f>'Combined Retirement'!$C$24</f>
        <v>3525.4531757812501</v>
      </c>
      <c r="H60" s="25">
        <f>IF(B60&lt;62,0,'Combined Retirement'!$I$14)</f>
        <v>2192</v>
      </c>
      <c r="I60" s="25">
        <f>IF(C60&lt;62,0,'Combined Retirement'!$I$13)</f>
        <v>0</v>
      </c>
      <c r="J60" s="25">
        <f t="shared" si="3"/>
        <v>30565.244538569641</v>
      </c>
      <c r="K60" s="25">
        <f t="shared" si="4"/>
        <v>0</v>
      </c>
      <c r="L60" s="25"/>
      <c r="N60" s="25">
        <f>'Combined Retirement'!$C$18/12</f>
        <v>39153.069999999992</v>
      </c>
      <c r="O60" s="25">
        <f t="shared" si="5"/>
        <v>8587.8254614303496</v>
      </c>
      <c r="P60" s="25">
        <f t="shared" si="6"/>
        <v>30565.244538569641</v>
      </c>
      <c r="Q60" s="25">
        <f t="array" aca="1" ref="Q60" ca="1">INDEX('Isaac 401k'!L:L,MATCH('Retirement Calculator'!A60,'Isaac 401k'!N:N,0),0)</f>
        <v>2060523.146421558</v>
      </c>
      <c r="R60" s="25">
        <f t="array" aca="1" ref="R60" ca="1">INDEX('Lorri 401b'!L:L,MATCH('Retirement Calculator'!A60,'Lorri 401b'!N:N,0),0)</f>
        <v>4024087.7698086919</v>
      </c>
      <c r="S60" s="25">
        <f t="shared" ca="1" si="7"/>
        <v>6084610.9162302501</v>
      </c>
    </row>
    <row r="61" spans="1:19" ht="15.75" customHeight="1" x14ac:dyDescent="0.3">
      <c r="A61" s="37">
        <v>52810</v>
      </c>
      <c r="B61" s="409">
        <f t="shared" ref="B61:C61" si="57">($A61-B$9)/365.25</f>
        <v>62.70773442847365</v>
      </c>
      <c r="C61" s="409">
        <f t="shared" si="57"/>
        <v>58.097193702943187</v>
      </c>
      <c r="E61" s="25">
        <f>IF(C61&gt;$B$7,0,'Combined Retirement'!$D$13/12)</f>
        <v>0</v>
      </c>
      <c r="F61" s="25">
        <f>IF(H61=0,'Combined Retirement'!$D$32,0)+'Combined Retirement'!$B$24</f>
        <v>2870.372285649099</v>
      </c>
      <c r="G61" s="25">
        <f>'Combined Retirement'!$C$24</f>
        <v>3525.4531757812501</v>
      </c>
      <c r="H61" s="25">
        <f>IF(B61&lt;62,0,'Combined Retirement'!$I$14)</f>
        <v>2192</v>
      </c>
      <c r="I61" s="25">
        <f>IF(C61&lt;62,0,'Combined Retirement'!$I$13)</f>
        <v>0</v>
      </c>
      <c r="J61" s="25">
        <f t="shared" si="3"/>
        <v>30565.244538569641</v>
      </c>
      <c r="K61" s="25">
        <f t="shared" si="4"/>
        <v>0</v>
      </c>
      <c r="L61" s="25"/>
      <c r="N61" s="25">
        <f>'Combined Retirement'!$C$18/12</f>
        <v>39153.069999999992</v>
      </c>
      <c r="O61" s="25">
        <f t="shared" si="5"/>
        <v>8587.8254614303496</v>
      </c>
      <c r="P61" s="25">
        <f t="shared" si="6"/>
        <v>30565.244538569641</v>
      </c>
      <c r="Q61" s="25">
        <f t="array" aca="1" ref="Q61" ca="1">INDEX('Isaac 401k'!L:L,MATCH('Retirement Calculator'!A61,'Isaac 401k'!N:N,0),0)</f>
        <v>2038416.0598075008</v>
      </c>
      <c r="R61" s="25">
        <f t="array" aca="1" ref="R61" ca="1">INDEX('Lorri 401b'!L:L,MATCH('Retirement Calculator'!A61,'Lorri 401b'!N:N,0),0)</f>
        <v>4040854.8021828947</v>
      </c>
      <c r="S61" s="25">
        <f t="shared" ca="1" si="7"/>
        <v>6079270.8619903959</v>
      </c>
    </row>
    <row r="62" spans="1:19" ht="15.75" customHeight="1" x14ac:dyDescent="0.3">
      <c r="A62" s="37">
        <v>52841</v>
      </c>
      <c r="B62" s="409">
        <f t="shared" ref="B62:C62" si="58">($A62-B$9)/365.25</f>
        <v>62.792607802874741</v>
      </c>
      <c r="C62" s="409">
        <f t="shared" si="58"/>
        <v>58.182067077344286</v>
      </c>
      <c r="E62" s="25">
        <f>IF(C62&gt;$B$7,0,'Combined Retirement'!$D$13/12)</f>
        <v>0</v>
      </c>
      <c r="F62" s="25">
        <f>IF(H62=0,'Combined Retirement'!$D$32,0)+'Combined Retirement'!$B$24</f>
        <v>2870.372285649099</v>
      </c>
      <c r="G62" s="25">
        <f>'Combined Retirement'!$C$24</f>
        <v>3525.4531757812501</v>
      </c>
      <c r="H62" s="25">
        <f>IF(B62&lt;62,0,'Combined Retirement'!$I$14)</f>
        <v>2192</v>
      </c>
      <c r="I62" s="25">
        <f>IF(C62&lt;62,0,'Combined Retirement'!$I$13)</f>
        <v>0</v>
      </c>
      <c r="J62" s="25">
        <f t="shared" si="3"/>
        <v>30565.244538569641</v>
      </c>
      <c r="K62" s="25">
        <f t="shared" si="4"/>
        <v>0</v>
      </c>
      <c r="L62" s="25"/>
      <c r="N62" s="25">
        <f>'Combined Retirement'!$C$18/12</f>
        <v>39153.069999999992</v>
      </c>
      <c r="O62" s="25">
        <f t="shared" si="5"/>
        <v>8587.8254614303496</v>
      </c>
      <c r="P62" s="25">
        <f t="shared" si="6"/>
        <v>30565.244538569641</v>
      </c>
      <c r="Q62" s="25">
        <f t="array" aca="1" ref="Q62" ca="1">INDEX('Isaac 401k'!L:L,MATCH('Retirement Calculator'!A62,'Isaac 401k'!N:N,0),0)</f>
        <v>2016216.8603325516</v>
      </c>
      <c r="R62" s="25">
        <f t="array" aca="1" ref="R62" ca="1">INDEX('Lorri 401b'!L:L,MATCH('Retirement Calculator'!A62,'Lorri 401b'!N:N,0),0)</f>
        <v>4057691.69719199</v>
      </c>
      <c r="S62" s="25">
        <f t="shared" ca="1" si="7"/>
        <v>6073908.5575245414</v>
      </c>
    </row>
    <row r="63" spans="1:19" ht="15.75" customHeight="1" x14ac:dyDescent="0.3">
      <c r="A63" s="37">
        <v>52871</v>
      </c>
      <c r="B63" s="409">
        <f t="shared" ref="B63:C63" si="59">($A63-B$9)/365.25</f>
        <v>62.874743326488705</v>
      </c>
      <c r="C63" s="409">
        <f t="shared" si="59"/>
        <v>58.264202600958249</v>
      </c>
      <c r="E63" s="25">
        <f>IF(C63&gt;$B$7,0,'Combined Retirement'!$D$13/12)</f>
        <v>0</v>
      </c>
      <c r="F63" s="25">
        <f>IF(H63=0,'Combined Retirement'!$D$32,0)+'Combined Retirement'!$B$24</f>
        <v>2870.372285649099</v>
      </c>
      <c r="G63" s="25">
        <f>'Combined Retirement'!$C$24</f>
        <v>3525.4531757812501</v>
      </c>
      <c r="H63" s="25">
        <f>IF(B63&lt;62,0,'Combined Retirement'!$I$14)</f>
        <v>2192</v>
      </c>
      <c r="I63" s="25">
        <f>IF(C63&lt;62,0,'Combined Retirement'!$I$13)</f>
        <v>0</v>
      </c>
      <c r="J63" s="25">
        <f t="shared" si="3"/>
        <v>30565.244538569641</v>
      </c>
      <c r="K63" s="25">
        <f t="shared" si="4"/>
        <v>0</v>
      </c>
      <c r="L63" s="25"/>
      <c r="N63" s="25">
        <f>'Combined Retirement'!$C$18/12</f>
        <v>39153.069999999992</v>
      </c>
      <c r="O63" s="25">
        <f t="shared" si="5"/>
        <v>8587.8254614303496</v>
      </c>
      <c r="P63" s="25">
        <f t="shared" si="6"/>
        <v>30565.244538569641</v>
      </c>
      <c r="Q63" s="25">
        <f t="array" aca="1" ref="Q63" ca="1">INDEX('Isaac 401k'!L:L,MATCH('Retirement Calculator'!A63,'Isaac 401k'!N:N,0),0)</f>
        <v>1993925.1641931236</v>
      </c>
      <c r="R63" s="25">
        <f t="array" aca="1" ref="R63" ca="1">INDEX('Lorri 401b'!L:L,MATCH('Retirement Calculator'!A63,'Lorri 401b'!N:N,0),0)</f>
        <v>4074598.7459302898</v>
      </c>
      <c r="S63" s="25">
        <f t="shared" ca="1" si="7"/>
        <v>6068523.9101234134</v>
      </c>
    </row>
    <row r="64" spans="1:19" ht="15.75" customHeight="1" x14ac:dyDescent="0.3">
      <c r="A64" s="37">
        <v>52902</v>
      </c>
      <c r="B64" s="409">
        <f t="shared" ref="B64:C64" si="60">($A64-B$9)/365.25</f>
        <v>62.959616700889804</v>
      </c>
      <c r="C64" s="409">
        <f t="shared" si="60"/>
        <v>58.349075975359341</v>
      </c>
      <c r="E64" s="25">
        <f>IF(C64&gt;$B$7,0,'Combined Retirement'!$D$13/12)</f>
        <v>0</v>
      </c>
      <c r="F64" s="25">
        <f>IF(H64=0,'Combined Retirement'!$D$32,0)+'Combined Retirement'!$B$24</f>
        <v>2870.372285649099</v>
      </c>
      <c r="G64" s="25">
        <f>'Combined Retirement'!$C$24</f>
        <v>3525.4531757812501</v>
      </c>
      <c r="H64" s="25">
        <f>IF(B64&lt;62,0,'Combined Retirement'!$I$14)</f>
        <v>2192</v>
      </c>
      <c r="I64" s="25">
        <f>IF(C64&lt;62,0,'Combined Retirement'!$I$13)</f>
        <v>0</v>
      </c>
      <c r="J64" s="25">
        <f t="shared" si="3"/>
        <v>30565.244538569641</v>
      </c>
      <c r="K64" s="25">
        <f t="shared" si="4"/>
        <v>0</v>
      </c>
      <c r="L64" s="25"/>
      <c r="N64" s="25">
        <f>'Combined Retirement'!$C$18/12</f>
        <v>39153.069999999992</v>
      </c>
      <c r="O64" s="25">
        <f t="shared" si="5"/>
        <v>8587.8254614303496</v>
      </c>
      <c r="P64" s="25">
        <f t="shared" si="6"/>
        <v>30565.244538569641</v>
      </c>
      <c r="Q64" s="25">
        <f t="array" aca="1" ref="Q64" ca="1">INDEX('Isaac 401k'!L:L,MATCH('Retirement Calculator'!A64,'Isaac 401k'!N:N,0),0)</f>
        <v>1971540.585986448</v>
      </c>
      <c r="R64" s="25">
        <f t="array" aca="1" ref="R64" ca="1">INDEX('Lorri 401b'!L:L,MATCH('Retirement Calculator'!A64,'Lorri 401b'!N:N,0),0)</f>
        <v>4091576.2407049993</v>
      </c>
      <c r="S64" s="25">
        <f t="shared" ca="1" si="7"/>
        <v>6063116.8266914468</v>
      </c>
    </row>
    <row r="65" spans="1:19" ht="15.75" customHeight="1" x14ac:dyDescent="0.3">
      <c r="A65" s="37">
        <v>52932</v>
      </c>
      <c r="B65" s="409">
        <f t="shared" ref="B65:C65" si="61">($A65-B$9)/365.25</f>
        <v>63.041752224503767</v>
      </c>
      <c r="C65" s="409">
        <f t="shared" si="61"/>
        <v>58.431211498973305</v>
      </c>
      <c r="E65" s="25">
        <f>IF(C65&gt;$B$7,0,'Combined Retirement'!$D$13/12)</f>
        <v>0</v>
      </c>
      <c r="F65" s="25">
        <f>IF(H65=0,'Combined Retirement'!$D$32,0)+'Combined Retirement'!$B$24</f>
        <v>2870.372285649099</v>
      </c>
      <c r="G65" s="25">
        <f>'Combined Retirement'!$C$24</f>
        <v>3525.4531757812501</v>
      </c>
      <c r="H65" s="25">
        <f>IF(B65&lt;62,0,'Combined Retirement'!$I$14)</f>
        <v>2192</v>
      </c>
      <c r="I65" s="25">
        <f>IF(C65&lt;62,0,'Combined Retirement'!$I$13)</f>
        <v>0</v>
      </c>
      <c r="J65" s="25">
        <f t="shared" si="3"/>
        <v>30565.244538569641</v>
      </c>
      <c r="K65" s="25">
        <f t="shared" si="4"/>
        <v>0</v>
      </c>
      <c r="L65" s="25"/>
      <c r="N65" s="25">
        <f>'Combined Retirement'!$C$18/12</f>
        <v>39153.069999999992</v>
      </c>
      <c r="O65" s="25">
        <f t="shared" si="5"/>
        <v>8587.8254614303496</v>
      </c>
      <c r="P65" s="25">
        <f t="shared" si="6"/>
        <v>30565.244538569641</v>
      </c>
      <c r="Q65" s="25">
        <f t="array" aca="1" ref="Q65" ca="1">INDEX('Isaac 401k'!L:L,MATCH('Retirement Calculator'!A65,'Isaac 401k'!N:N,0),0)</f>
        <v>1949062.7387039112</v>
      </c>
      <c r="R65" s="25">
        <f t="array" aca="1" ref="R65" ca="1">INDEX('Lorri 401b'!L:L,MATCH('Retirement Calculator'!A65,'Lorri 401b'!N:N,0),0)</f>
        <v>4108624.4750412703</v>
      </c>
      <c r="S65" s="25">
        <f t="shared" ca="1" si="7"/>
        <v>6057687.2137451814</v>
      </c>
    </row>
    <row r="66" spans="1:19" ht="15.75" customHeight="1" x14ac:dyDescent="0.3">
      <c r="A66" s="37">
        <v>52963</v>
      </c>
      <c r="B66" s="409">
        <f t="shared" ref="B66:C66" si="62">($A66-B$9)/365.25</f>
        <v>63.126625598904859</v>
      </c>
      <c r="C66" s="409">
        <f t="shared" si="62"/>
        <v>58.516084873374403</v>
      </c>
      <c r="E66" s="25">
        <f>IF(C66&gt;$B$7,0,'Combined Retirement'!$D$13/12)</f>
        <v>0</v>
      </c>
      <c r="F66" s="25">
        <f>IF(H66=0,'Combined Retirement'!$D$32,0)+'Combined Retirement'!$B$24</f>
        <v>2870.372285649099</v>
      </c>
      <c r="G66" s="25">
        <f>'Combined Retirement'!$C$24</f>
        <v>3525.4531757812501</v>
      </c>
      <c r="H66" s="25">
        <f>IF(B66&lt;62,0,'Combined Retirement'!$I$14)</f>
        <v>2192</v>
      </c>
      <c r="I66" s="25">
        <f>IF(C66&lt;62,0,'Combined Retirement'!$I$13)</f>
        <v>0</v>
      </c>
      <c r="J66" s="25">
        <f t="shared" si="3"/>
        <v>30565.244538569641</v>
      </c>
      <c r="K66" s="25">
        <f t="shared" si="4"/>
        <v>0</v>
      </c>
      <c r="L66" s="25"/>
      <c r="N66" s="25">
        <f>'Combined Retirement'!$C$18/12</f>
        <v>39153.069999999992</v>
      </c>
      <c r="O66" s="25">
        <f t="shared" si="5"/>
        <v>8587.8254614303496</v>
      </c>
      <c r="P66" s="25">
        <f t="shared" si="6"/>
        <v>30565.244538569641</v>
      </c>
      <c r="Q66" s="25">
        <f t="array" aca="1" ref="Q66" ca="1">INDEX('Isaac 401k'!L:L,MATCH('Retirement Calculator'!A66,'Isaac 401k'!N:N,0),0)</f>
        <v>1926491.2337243638</v>
      </c>
      <c r="R66" s="25">
        <f t="array" aca="1" ref="R66" ca="1">INDEX('Lorri 401b'!L:L,MATCH('Retirement Calculator'!A66,'Lorri 401b'!N:N,0),0)</f>
        <v>4125743.7436872753</v>
      </c>
      <c r="S66" s="25">
        <f t="shared" ca="1" si="7"/>
        <v>6052234.9774116389</v>
      </c>
    </row>
    <row r="67" spans="1:19" ht="15.75" customHeight="1" x14ac:dyDescent="0.3">
      <c r="A67" s="37">
        <v>52994</v>
      </c>
      <c r="B67" s="409">
        <f t="shared" ref="B67:C67" si="63">($A67-B$9)/365.25</f>
        <v>63.211498973305957</v>
      </c>
      <c r="C67" s="409">
        <f t="shared" si="63"/>
        <v>58.600958247775495</v>
      </c>
      <c r="E67" s="25">
        <f>IF(C67&gt;$B$7,0,'Combined Retirement'!$D$13/12)</f>
        <v>0</v>
      </c>
      <c r="F67" s="25">
        <f>IF(H67=0,'Combined Retirement'!$D$32,0)+'Combined Retirement'!$B$24</f>
        <v>2870.372285649099</v>
      </c>
      <c r="G67" s="25">
        <f>'Combined Retirement'!$C$24</f>
        <v>3525.4531757812501</v>
      </c>
      <c r="H67" s="25">
        <f>IF(B67&lt;62,0,'Combined Retirement'!$I$14)</f>
        <v>2192</v>
      </c>
      <c r="I67" s="25">
        <f>IF(C67&lt;62,0,'Combined Retirement'!$I$13)</f>
        <v>0</v>
      </c>
      <c r="J67" s="25">
        <f t="shared" si="3"/>
        <v>30565.244538569641</v>
      </c>
      <c r="K67" s="25">
        <f t="shared" si="4"/>
        <v>0</v>
      </c>
      <c r="L67" s="25"/>
      <c r="N67" s="25">
        <f>'Combined Retirement'!$C$18/12</f>
        <v>39153.069999999992</v>
      </c>
      <c r="O67" s="25">
        <f t="shared" si="5"/>
        <v>8587.8254614303496</v>
      </c>
      <c r="P67" s="25">
        <f t="shared" si="6"/>
        <v>30565.244538569641</v>
      </c>
      <c r="Q67" s="25">
        <f t="array" aca="1" ref="Q67" ca="1">INDEX('Isaac 401k'!L:L,MATCH('Retirement Calculator'!A67,'Isaac 401k'!N:N,0),0)</f>
        <v>1903825.6808074017</v>
      </c>
      <c r="R67" s="25">
        <f t="array" aca="1" ref="R67" ca="1">INDEX('Lorri 401b'!L:L,MATCH('Retirement Calculator'!A67,'Lorri 401b'!N:N,0),0)</f>
        <v>4142934.3426193055</v>
      </c>
      <c r="S67" s="25">
        <f t="shared" ca="1" si="7"/>
        <v>6046760.0234267069</v>
      </c>
    </row>
    <row r="68" spans="1:19" ht="15.75" customHeight="1" x14ac:dyDescent="0.3">
      <c r="A68" s="37">
        <v>53022</v>
      </c>
      <c r="B68" s="409">
        <f t="shared" ref="B68:C68" si="64">($A68-B$9)/365.25</f>
        <v>63.288158795345652</v>
      </c>
      <c r="C68" s="409">
        <f t="shared" si="64"/>
        <v>58.677618069815196</v>
      </c>
      <c r="E68" s="25">
        <f>IF(C68&gt;$B$7,0,'Combined Retirement'!$D$13/12)</f>
        <v>0</v>
      </c>
      <c r="F68" s="25">
        <f>IF(H68=0,'Combined Retirement'!$D$32,0)+'Combined Retirement'!$B$24</f>
        <v>2870.372285649099</v>
      </c>
      <c r="G68" s="25">
        <f>'Combined Retirement'!$C$24</f>
        <v>3525.4531757812501</v>
      </c>
      <c r="H68" s="25">
        <f>IF(B68&lt;62,0,'Combined Retirement'!$I$14)</f>
        <v>2192</v>
      </c>
      <c r="I68" s="25">
        <f>IF(C68&lt;62,0,'Combined Retirement'!$I$13)</f>
        <v>0</v>
      </c>
      <c r="J68" s="25">
        <f t="shared" si="3"/>
        <v>30565.244538569641</v>
      </c>
      <c r="K68" s="25">
        <f t="shared" si="4"/>
        <v>0</v>
      </c>
      <c r="L68" s="25"/>
      <c r="N68" s="25">
        <f>'Combined Retirement'!$C$18/12</f>
        <v>39153.069999999992</v>
      </c>
      <c r="O68" s="25">
        <f t="shared" si="5"/>
        <v>8587.8254614303496</v>
      </c>
      <c r="P68" s="25">
        <f t="shared" si="6"/>
        <v>30565.244538569641</v>
      </c>
      <c r="Q68" s="25">
        <f t="array" aca="1" ref="Q68" ca="1">INDEX('Isaac 401k'!L:L,MATCH('Retirement Calculator'!A68,'Isaac 401k'!N:N,0),0)</f>
        <v>1881065.6880866189</v>
      </c>
      <c r="R68" s="25">
        <f t="array" aca="1" ref="R68" ca="1">INDEX('Lorri 401b'!L:L,MATCH('Retirement Calculator'!A68,'Lorri 401b'!N:N,0),0)</f>
        <v>4160196.5690468857</v>
      </c>
      <c r="S68" s="25">
        <f t="shared" ca="1" si="7"/>
        <v>6041262.2571335044</v>
      </c>
    </row>
    <row r="69" spans="1:19" ht="15.75" customHeight="1" x14ac:dyDescent="0.3">
      <c r="A69" s="37">
        <v>53053</v>
      </c>
      <c r="B69" s="409">
        <f t="shared" ref="B69:C69" si="65">($A69-B$9)/365.25</f>
        <v>63.37303216974675</v>
      </c>
      <c r="C69" s="409">
        <f t="shared" si="65"/>
        <v>58.762491444216288</v>
      </c>
      <c r="E69" s="25">
        <f>IF(C69&gt;$B$7,0,'Combined Retirement'!$D$13/12)</f>
        <v>0</v>
      </c>
      <c r="F69" s="25">
        <f>IF(H69=0,'Combined Retirement'!$D$32,0)+'Combined Retirement'!$B$24</f>
        <v>2870.372285649099</v>
      </c>
      <c r="G69" s="25">
        <f>'Combined Retirement'!$C$24</f>
        <v>3525.4531757812501</v>
      </c>
      <c r="H69" s="25">
        <f>IF(B69&lt;62,0,'Combined Retirement'!$I$14)</f>
        <v>2192</v>
      </c>
      <c r="I69" s="25">
        <f>IF(C69&lt;62,0,'Combined Retirement'!$I$13)</f>
        <v>0</v>
      </c>
      <c r="J69" s="25">
        <f t="shared" si="3"/>
        <v>30565.244538569641</v>
      </c>
      <c r="K69" s="25">
        <f t="shared" si="4"/>
        <v>0</v>
      </c>
      <c r="L69" s="25"/>
      <c r="N69" s="25">
        <f>'Combined Retirement'!$C$18/12</f>
        <v>39153.069999999992</v>
      </c>
      <c r="O69" s="25">
        <f t="shared" si="5"/>
        <v>8587.8254614303496</v>
      </c>
      <c r="P69" s="25">
        <f t="shared" si="6"/>
        <v>30565.244538569641</v>
      </c>
      <c r="Q69" s="25">
        <f t="array" aca="1" ref="Q69" ca="1">INDEX('Isaac 401k'!L:L,MATCH('Retirement Calculator'!A69,'Isaac 401k'!N:N,0),0)</f>
        <v>1858210.8620628328</v>
      </c>
      <c r="R69" s="25">
        <f t="array" aca="1" ref="R69" ca="1">INDEX('Lorri 401b'!L:L,MATCH('Retirement Calculator'!A69,'Lorri 401b'!N:N,0),0)</f>
        <v>4177530.7214179146</v>
      </c>
      <c r="S69" s="25">
        <f t="shared" ca="1" si="7"/>
        <v>6035741.5834807474</v>
      </c>
    </row>
    <row r="70" spans="1:19" ht="15.75" customHeight="1" x14ac:dyDescent="0.3">
      <c r="A70" s="37">
        <v>53083</v>
      </c>
      <c r="B70" s="409">
        <f t="shared" ref="B70:C70" si="66">($A70-B$9)/365.25</f>
        <v>63.455167693360714</v>
      </c>
      <c r="C70" s="409">
        <f t="shared" si="66"/>
        <v>58.844626967830251</v>
      </c>
      <c r="E70" s="25">
        <f>IF(C70&gt;$B$7,0,'Combined Retirement'!$D$13/12)</f>
        <v>0</v>
      </c>
      <c r="F70" s="25">
        <f>IF(H70=0,'Combined Retirement'!$D$32,0)+'Combined Retirement'!$B$24</f>
        <v>2870.372285649099</v>
      </c>
      <c r="G70" s="25">
        <f>'Combined Retirement'!$C$24</f>
        <v>3525.4531757812501</v>
      </c>
      <c r="H70" s="25">
        <f>IF(B70&lt;62,0,'Combined Retirement'!$I$14)</f>
        <v>2192</v>
      </c>
      <c r="I70" s="25">
        <f>IF(C70&lt;62,0,'Combined Retirement'!$I$13)</f>
        <v>0</v>
      </c>
      <c r="J70" s="25">
        <f t="shared" si="3"/>
        <v>30565.244538569641</v>
      </c>
      <c r="K70" s="25">
        <f t="shared" si="4"/>
        <v>0</v>
      </c>
      <c r="L70" s="25"/>
      <c r="N70" s="25">
        <f>'Combined Retirement'!$C$18/12</f>
        <v>39153.069999999992</v>
      </c>
      <c r="O70" s="25">
        <f t="shared" si="5"/>
        <v>8587.8254614303496</v>
      </c>
      <c r="P70" s="25">
        <f t="shared" si="6"/>
        <v>30565.244538569641</v>
      </c>
      <c r="Q70" s="25">
        <f t="array" aca="1" ref="Q70" ca="1">INDEX('Isaac 401k'!L:L,MATCH('Retirement Calculator'!A70,'Isaac 401k'!N:N,0),0)</f>
        <v>1835260.8075972809</v>
      </c>
      <c r="R70" s="25">
        <f t="array" aca="1" ref="R70" ca="1">INDEX('Lorri 401b'!L:L,MATCH('Retirement Calculator'!A70,'Lorri 401b'!N:N,0),0)</f>
        <v>4194937.0994238229</v>
      </c>
      <c r="S70" s="25">
        <f t="shared" ca="1" si="7"/>
        <v>6030197.9070211034</v>
      </c>
    </row>
    <row r="71" spans="1:19" ht="15.75" customHeight="1" x14ac:dyDescent="0.3">
      <c r="A71" s="37">
        <v>53114</v>
      </c>
      <c r="B71" s="409">
        <f t="shared" ref="B71:C71" si="67">($A71-B$9)/365.25</f>
        <v>63.540041067761805</v>
      </c>
      <c r="C71" s="409">
        <f t="shared" si="67"/>
        <v>58.92950034223135</v>
      </c>
      <c r="E71" s="25">
        <f>IF(C71&gt;$B$7,0,'Combined Retirement'!$D$13/12)</f>
        <v>0</v>
      </c>
      <c r="F71" s="25">
        <f>IF(H71=0,'Combined Retirement'!$D$32,0)+'Combined Retirement'!$B$24</f>
        <v>2870.372285649099</v>
      </c>
      <c r="G71" s="25">
        <f>'Combined Retirement'!$C$24</f>
        <v>3525.4531757812501</v>
      </c>
      <c r="H71" s="25">
        <f>IF(B71&lt;62,0,'Combined Retirement'!$I$14)</f>
        <v>2192</v>
      </c>
      <c r="I71" s="25">
        <f>IF(C71&lt;62,0,'Combined Retirement'!$I$13)</f>
        <v>0</v>
      </c>
      <c r="J71" s="25">
        <f t="shared" si="3"/>
        <v>30565.244538569641</v>
      </c>
      <c r="K71" s="25">
        <f t="shared" si="4"/>
        <v>0</v>
      </c>
      <c r="L71" s="25"/>
      <c r="N71" s="25">
        <f>'Combined Retirement'!$C$18/12</f>
        <v>39153.069999999992</v>
      </c>
      <c r="O71" s="25">
        <f t="shared" si="5"/>
        <v>8587.8254614303496</v>
      </c>
      <c r="P71" s="25">
        <f t="shared" si="6"/>
        <v>30565.244538569641</v>
      </c>
      <c r="Q71" s="25">
        <f t="array" aca="1" ref="Q71" ca="1">INDEX('Isaac 401k'!L:L,MATCH('Retirement Calculator'!A71,'Isaac 401k'!N:N,0),0)</f>
        <v>1812215.1279047893</v>
      </c>
      <c r="R71" s="25">
        <f t="array" aca="1" ref="R71" ca="1">INDEX('Lorri 401b'!L:L,MATCH('Retirement Calculator'!A71,'Lorri 401b'!N:N,0),0)</f>
        <v>4212416.004004756</v>
      </c>
      <c r="S71" s="25">
        <f t="shared" ca="1" si="7"/>
        <v>6024631.1319095455</v>
      </c>
    </row>
    <row r="72" spans="1:19" ht="15.75" customHeight="1" x14ac:dyDescent="0.3">
      <c r="A72" s="37">
        <v>53144</v>
      </c>
      <c r="B72" s="409">
        <f t="shared" ref="B72:C72" si="68">($A72-B$9)/365.25</f>
        <v>63.622176591375769</v>
      </c>
      <c r="C72" s="409">
        <f t="shared" si="68"/>
        <v>59.011635865845314</v>
      </c>
      <c r="E72" s="25">
        <f>IF(C72&gt;$B$7,0,'Combined Retirement'!$D$13/12)</f>
        <v>0</v>
      </c>
      <c r="F72" s="25">
        <f>IF(H72=0,'Combined Retirement'!$D$32,0)+'Combined Retirement'!$B$24</f>
        <v>2870.372285649099</v>
      </c>
      <c r="G72" s="25">
        <f>'Combined Retirement'!$C$24</f>
        <v>3525.4531757812501</v>
      </c>
      <c r="H72" s="25">
        <f>IF(B72&lt;62,0,'Combined Retirement'!$I$14)</f>
        <v>2192</v>
      </c>
      <c r="I72" s="25">
        <f>IF(C72&lt;62,0,'Combined Retirement'!$I$13)</f>
        <v>0</v>
      </c>
      <c r="J72" s="25">
        <f t="shared" si="3"/>
        <v>30565.244538569641</v>
      </c>
      <c r="K72" s="25">
        <f t="shared" si="4"/>
        <v>0</v>
      </c>
      <c r="L72" s="25"/>
      <c r="N72" s="25">
        <f>'Combined Retirement'!$C$18/12</f>
        <v>39153.069999999992</v>
      </c>
      <c r="O72" s="25">
        <f t="shared" si="5"/>
        <v>8587.8254614303496</v>
      </c>
      <c r="P72" s="25">
        <f t="shared" si="6"/>
        <v>30565.244538569641</v>
      </c>
      <c r="Q72" s="25">
        <f t="array" aca="1" ref="Q72" ca="1">INDEX('Isaac 401k'!L:L,MATCH('Retirement Calculator'!A72,'Isaac 401k'!N:N,0),0)</f>
        <v>1789073.4245469123</v>
      </c>
      <c r="R72" s="25">
        <f t="array" aca="1" ref="R72" ca="1">INDEX('Lorri 401b'!L:L,MATCH('Retirement Calculator'!A72,'Lorri 401b'!N:N,0),0)</f>
        <v>4229967.7373547759</v>
      </c>
      <c r="S72" s="25">
        <f t="shared" ca="1" si="7"/>
        <v>6019041.1619016882</v>
      </c>
    </row>
    <row r="73" spans="1:19" ht="15.75" customHeight="1" x14ac:dyDescent="0.3">
      <c r="A73" s="37">
        <v>53175</v>
      </c>
      <c r="B73" s="409">
        <f t="shared" ref="B73:C73" si="69">($A73-B$9)/365.25</f>
        <v>63.707049965776868</v>
      </c>
      <c r="C73" s="409">
        <f t="shared" si="69"/>
        <v>59.096509240246405</v>
      </c>
      <c r="E73" s="25">
        <f>IF(C73&gt;$B$7,0,'Combined Retirement'!$D$13/12)</f>
        <v>0</v>
      </c>
      <c r="F73" s="25">
        <f>IF(H73=0,'Combined Retirement'!$D$32,0)+'Combined Retirement'!$B$24</f>
        <v>2870.372285649099</v>
      </c>
      <c r="G73" s="25">
        <f>'Combined Retirement'!$C$24</f>
        <v>3525.4531757812501</v>
      </c>
      <c r="H73" s="25">
        <f>IF(B73&lt;62,0,'Combined Retirement'!$I$14)</f>
        <v>2192</v>
      </c>
      <c r="I73" s="25">
        <f>IF(C73&lt;62,0,'Combined Retirement'!$I$13)</f>
        <v>0</v>
      </c>
      <c r="J73" s="25">
        <f t="shared" si="3"/>
        <v>30565.244538569641</v>
      </c>
      <c r="K73" s="25">
        <f t="shared" si="4"/>
        <v>0</v>
      </c>
      <c r="L73" s="25"/>
      <c r="N73" s="25">
        <f>'Combined Retirement'!$C$18/12</f>
        <v>39153.069999999992</v>
      </c>
      <c r="O73" s="25">
        <f t="shared" si="5"/>
        <v>8587.8254614303496</v>
      </c>
      <c r="P73" s="25">
        <f t="shared" si="6"/>
        <v>30565.244538569641</v>
      </c>
      <c r="Q73" s="25">
        <f t="array" aca="1" ref="Q73" ca="1">INDEX('Isaac 401k'!L:L,MATCH('Retirement Calculator'!A73,'Isaac 401k'!N:N,0),0)</f>
        <v>1765835.2974250442</v>
      </c>
      <c r="R73" s="25">
        <f t="array" aca="1" ref="R73" ca="1">INDEX('Lorri 401b'!L:L,MATCH('Retirement Calculator'!A73,'Lorri 401b'!N:N,0),0)</f>
        <v>4247592.6029270878</v>
      </c>
      <c r="S73" s="25">
        <f t="shared" ca="1" si="7"/>
        <v>6013427.9003521316</v>
      </c>
    </row>
    <row r="74" spans="1:19" ht="15.75" customHeight="1" x14ac:dyDescent="0.3">
      <c r="A74" s="37">
        <v>53206</v>
      </c>
      <c r="B74" s="409">
        <f t="shared" ref="B74:C74" si="70">($A74-B$9)/365.25</f>
        <v>63.791923340177959</v>
      </c>
      <c r="C74" s="409">
        <f t="shared" si="70"/>
        <v>59.181382614647504</v>
      </c>
      <c r="E74" s="25">
        <f>IF(C74&gt;$B$7,0,'Combined Retirement'!$D$13/12)</f>
        <v>0</v>
      </c>
      <c r="F74" s="25">
        <f>IF(H74=0,'Combined Retirement'!$D$32,0)+'Combined Retirement'!$B$24</f>
        <v>2870.372285649099</v>
      </c>
      <c r="G74" s="25">
        <f>'Combined Retirement'!$C$24</f>
        <v>3525.4531757812501</v>
      </c>
      <c r="H74" s="25">
        <f>IF(B74&lt;62,0,'Combined Retirement'!$I$14)</f>
        <v>2192</v>
      </c>
      <c r="I74" s="25">
        <f>IF(C74&lt;62,0,'Combined Retirement'!$I$13)</f>
        <v>0</v>
      </c>
      <c r="J74" s="25">
        <f t="shared" si="3"/>
        <v>30565.244538569641</v>
      </c>
      <c r="K74" s="25">
        <f t="shared" si="4"/>
        <v>0</v>
      </c>
      <c r="L74" s="25"/>
      <c r="N74" s="25">
        <f>'Combined Retirement'!$C$18/12</f>
        <v>39153.069999999992</v>
      </c>
      <c r="O74" s="25">
        <f t="shared" si="5"/>
        <v>8587.8254614303496</v>
      </c>
      <c r="P74" s="25">
        <f t="shared" si="6"/>
        <v>30565.244538569641</v>
      </c>
      <c r="Q74" s="25">
        <f t="array" aca="1" ref="Q74" ca="1">INDEX('Isaac 401k'!L:L,MATCH('Retirement Calculator'!A74,'Isaac 401k'!N:N,0),0)</f>
        <v>1742500.3447735016</v>
      </c>
      <c r="R74" s="25">
        <f t="array" aca="1" ref="R74" ca="1">INDEX('Lorri 401b'!L:L,MATCH('Retirement Calculator'!A74,'Lorri 401b'!N:N,0),0)</f>
        <v>4265290.9054392837</v>
      </c>
      <c r="S74" s="25">
        <f t="shared" ca="1" si="7"/>
        <v>6007791.2502127849</v>
      </c>
    </row>
    <row r="75" spans="1:19" ht="15.75" customHeight="1" x14ac:dyDescent="0.3">
      <c r="A75" s="37">
        <v>53236</v>
      </c>
      <c r="B75" s="409">
        <f t="shared" ref="B75:C75" si="71">($A75-B$9)/365.25</f>
        <v>63.874058863791923</v>
      </c>
      <c r="C75" s="409">
        <f t="shared" si="71"/>
        <v>59.263518138261468</v>
      </c>
      <c r="E75" s="25">
        <f>IF(C75&gt;$B$7,0,'Combined Retirement'!$D$13/12)</f>
        <v>0</v>
      </c>
      <c r="F75" s="25">
        <f>IF(H75=0,'Combined Retirement'!$D$32,0)+'Combined Retirement'!$B$24</f>
        <v>2870.372285649099</v>
      </c>
      <c r="G75" s="25">
        <f>'Combined Retirement'!$C$24</f>
        <v>3525.4531757812501</v>
      </c>
      <c r="H75" s="25">
        <f>IF(B75&lt;62,0,'Combined Retirement'!$I$14)</f>
        <v>2192</v>
      </c>
      <c r="I75" s="25">
        <f>IF(C75&lt;62,0,'Combined Retirement'!$I$13)</f>
        <v>0</v>
      </c>
      <c r="J75" s="25">
        <f t="shared" si="3"/>
        <v>30565.244538569641</v>
      </c>
      <c r="K75" s="25">
        <f t="shared" si="4"/>
        <v>0</v>
      </c>
      <c r="L75" s="25"/>
      <c r="N75" s="25">
        <f>'Combined Retirement'!$C$18/12</f>
        <v>39153.069999999992</v>
      </c>
      <c r="O75" s="25">
        <f t="shared" si="5"/>
        <v>8587.8254614303496</v>
      </c>
      <c r="P75" s="25">
        <f t="shared" si="6"/>
        <v>30565.244538569641</v>
      </c>
      <c r="Q75" s="25">
        <f t="array" aca="1" ref="Q75" ca="1">INDEX('Isaac 401k'!L:L,MATCH('Retirement Calculator'!A75,'Isaac 401k'!N:N,0),0)</f>
        <v>1719068.1631525776</v>
      </c>
      <c r="R75" s="25">
        <f t="array" aca="1" ref="R75" ca="1">INDEX('Lorri 401b'!L:L,MATCH('Retirement Calculator'!A75,'Lorri 401b'!N:N,0),0)</f>
        <v>4283062.9508786136</v>
      </c>
      <c r="S75" s="25">
        <f t="shared" ca="1" si="7"/>
        <v>6002131.114031191</v>
      </c>
    </row>
    <row r="76" spans="1:19" ht="15.75" customHeight="1" x14ac:dyDescent="0.3">
      <c r="A76" s="37">
        <v>53267</v>
      </c>
      <c r="B76" s="409">
        <f t="shared" ref="B76:C76" si="72">($A76-B$9)/365.25</f>
        <v>63.958932238193022</v>
      </c>
      <c r="C76" s="409">
        <f t="shared" si="72"/>
        <v>59.348391512662559</v>
      </c>
      <c r="E76" s="25">
        <f>IF(C76&gt;$B$7,0,'Combined Retirement'!$D$13/12)</f>
        <v>0</v>
      </c>
      <c r="F76" s="25">
        <f>IF(H76=0,'Combined Retirement'!$D$32,0)+'Combined Retirement'!$B$24</f>
        <v>2870.372285649099</v>
      </c>
      <c r="G76" s="25">
        <f>'Combined Retirement'!$C$24</f>
        <v>3525.4531757812501</v>
      </c>
      <c r="H76" s="25">
        <f>IF(B76&lt;62,0,'Combined Retirement'!$I$14)</f>
        <v>2192</v>
      </c>
      <c r="I76" s="25">
        <f>IF(C76&lt;62,0,'Combined Retirement'!$I$13)</f>
        <v>0</v>
      </c>
      <c r="J76" s="25">
        <f t="shared" si="3"/>
        <v>30565.244538569641</v>
      </c>
      <c r="K76" s="25">
        <f t="shared" si="4"/>
        <v>0</v>
      </c>
      <c r="L76" s="25"/>
      <c r="N76" s="25">
        <f>'Combined Retirement'!$C$18/12</f>
        <v>39153.069999999992</v>
      </c>
      <c r="O76" s="25">
        <f t="shared" si="5"/>
        <v>8587.8254614303496</v>
      </c>
      <c r="P76" s="25">
        <f t="shared" si="6"/>
        <v>30565.244538569641</v>
      </c>
      <c r="Q76" s="25">
        <f t="array" aca="1" ref="Q76" ca="1">INDEX('Isaac 401k'!L:L,MATCH('Retirement Calculator'!A76,'Isaac 401k'!N:N,0),0)</f>
        <v>1695538.3474415664</v>
      </c>
      <c r="R76" s="25">
        <f t="array" aca="1" ref="R76" ca="1">INDEX('Lorri 401b'!L:L,MATCH('Retirement Calculator'!A76,'Lorri 401b'!N:N,0),0)</f>
        <v>4300909.0465072747</v>
      </c>
      <c r="S76" s="25">
        <f t="shared" ca="1" si="7"/>
        <v>5996447.3939488409</v>
      </c>
    </row>
    <row r="77" spans="1:19" ht="15.75" customHeight="1" x14ac:dyDescent="0.3">
      <c r="A77" s="37">
        <v>53297</v>
      </c>
      <c r="B77" s="409">
        <f t="shared" ref="B77:C77" si="73">($A77-B$9)/365.25</f>
        <v>64.041067761806985</v>
      </c>
      <c r="C77" s="409">
        <f t="shared" si="73"/>
        <v>59.430527036276523</v>
      </c>
      <c r="E77" s="25">
        <f>IF(C77&gt;$B$7,0,'Combined Retirement'!$D$13/12)</f>
        <v>0</v>
      </c>
      <c r="F77" s="25">
        <f>IF(H77=0,'Combined Retirement'!$D$32,0)+'Combined Retirement'!$B$24</f>
        <v>2870.372285649099</v>
      </c>
      <c r="G77" s="25">
        <f>'Combined Retirement'!$C$24</f>
        <v>3525.4531757812501</v>
      </c>
      <c r="H77" s="25">
        <f>IF(B77&lt;62,0,'Combined Retirement'!$I$14)</f>
        <v>2192</v>
      </c>
      <c r="I77" s="25">
        <f>IF(C77&lt;62,0,'Combined Retirement'!$I$13)</f>
        <v>0</v>
      </c>
      <c r="J77" s="25">
        <f t="shared" si="3"/>
        <v>30565.244538569641</v>
      </c>
      <c r="K77" s="25">
        <f t="shared" si="4"/>
        <v>0</v>
      </c>
      <c r="L77" s="25"/>
      <c r="N77" s="25">
        <f>'Combined Retirement'!$C$18/12</f>
        <v>39153.069999999992</v>
      </c>
      <c r="O77" s="25">
        <f t="shared" si="5"/>
        <v>8587.8254614303496</v>
      </c>
      <c r="P77" s="25">
        <f t="shared" si="6"/>
        <v>30565.244538569641</v>
      </c>
      <c r="Q77" s="25">
        <f t="array" aca="1" ref="Q77" ca="1">INDEX('Isaac 401k'!L:L,MATCH('Retirement Calculator'!A77,'Isaac 401k'!N:N,0),0)</f>
        <v>1671910.4908317593</v>
      </c>
      <c r="R77" s="25">
        <f t="array" aca="1" ref="R77" ca="1">INDEX('Lorri 401b'!L:L,MATCH('Retirement Calculator'!A77,'Lorri 401b'!N:N,0),0)</f>
        <v>4318829.5008677216</v>
      </c>
      <c r="S77" s="25">
        <f t="shared" ca="1" si="7"/>
        <v>5990739.9916994814</v>
      </c>
    </row>
    <row r="78" spans="1:19" ht="15.75" customHeight="1" x14ac:dyDescent="0.3">
      <c r="A78" s="37">
        <v>53328</v>
      </c>
      <c r="B78" s="409">
        <f t="shared" ref="B78:C78" si="74">($A78-B$9)/365.25</f>
        <v>64.12594113620807</v>
      </c>
      <c r="C78" s="409">
        <f t="shared" si="74"/>
        <v>59.515400410677621</v>
      </c>
      <c r="E78" s="25">
        <f>IF(C78&gt;$B$7,0,'Combined Retirement'!$D$13/12)</f>
        <v>0</v>
      </c>
      <c r="F78" s="25">
        <f>IF(H78=0,'Combined Retirement'!$D$32,0)+'Combined Retirement'!$B$24</f>
        <v>2870.372285649099</v>
      </c>
      <c r="G78" s="25">
        <f>'Combined Retirement'!$C$24</f>
        <v>3525.4531757812501</v>
      </c>
      <c r="H78" s="25">
        <f>IF(B78&lt;62,0,'Combined Retirement'!$I$14)</f>
        <v>2192</v>
      </c>
      <c r="I78" s="25">
        <f>IF(C78&lt;62,0,'Combined Retirement'!$I$13)</f>
        <v>0</v>
      </c>
      <c r="J78" s="25">
        <f t="shared" si="3"/>
        <v>8539.3180191855863</v>
      </c>
      <c r="K78" s="25">
        <f t="shared" si="4"/>
        <v>22025.926519384055</v>
      </c>
      <c r="L78" s="25"/>
      <c r="N78" s="25">
        <f>'Combined Retirement'!$C$18/12</f>
        <v>39153.069999999992</v>
      </c>
      <c r="O78" s="25">
        <f t="shared" si="5"/>
        <v>8587.8254614303496</v>
      </c>
      <c r="P78" s="25">
        <f t="shared" si="6"/>
        <v>30565.244538569641</v>
      </c>
      <c r="Q78" s="25">
        <f t="array" aca="1" ref="Q78" ca="1">INDEX('Isaac 401k'!L:L,MATCH('Retirement Calculator'!A78,'Isaac 401k'!N:N,0),0)</f>
        <v>1670301.886032626</v>
      </c>
      <c r="R78" s="25">
        <f t="array" aca="1" ref="R78" ca="1">INDEX('Lorri 401b'!L:L,MATCH('Retirement Calculator'!A78,'Lorri 401b'!N:N,0),0)</f>
        <v>4314706.9225747893</v>
      </c>
      <c r="S78" s="25">
        <f t="shared" ca="1" si="7"/>
        <v>5985008.8086074153</v>
      </c>
    </row>
    <row r="79" spans="1:19" ht="15.75" customHeight="1" x14ac:dyDescent="0.3">
      <c r="A79" s="37">
        <v>53359</v>
      </c>
      <c r="B79" s="409">
        <f t="shared" ref="B79:C79" si="75">($A79-B$9)/365.25</f>
        <v>64.210814510609168</v>
      </c>
      <c r="C79" s="409">
        <f t="shared" si="75"/>
        <v>59.600273785078713</v>
      </c>
      <c r="E79" s="25">
        <f>IF(C79&gt;$B$7,0,'Combined Retirement'!$D$13/12)</f>
        <v>0</v>
      </c>
      <c r="F79" s="25">
        <f>IF(H79=0,'Combined Retirement'!$D$32,0)+'Combined Retirement'!$B$24</f>
        <v>2870.372285649099</v>
      </c>
      <c r="G79" s="25">
        <f>'Combined Retirement'!$C$24</f>
        <v>3525.4531757812501</v>
      </c>
      <c r="H79" s="25">
        <f>IF(B79&lt;62,0,'Combined Retirement'!$I$14)</f>
        <v>2192</v>
      </c>
      <c r="I79" s="25">
        <f>IF(C79&lt;62,0,'Combined Retirement'!$I$13)</f>
        <v>0</v>
      </c>
      <c r="J79" s="25">
        <f t="shared" si="3"/>
        <v>8539.3180191855863</v>
      </c>
      <c r="K79" s="25">
        <f t="shared" si="4"/>
        <v>22025.926519384055</v>
      </c>
      <c r="L79" s="25"/>
      <c r="N79" s="25">
        <f>'Combined Retirement'!$C$18/12</f>
        <v>39153.069999999992</v>
      </c>
      <c r="O79" s="25">
        <f t="shared" si="5"/>
        <v>8587.8254614303496</v>
      </c>
      <c r="P79" s="25">
        <f t="shared" si="6"/>
        <v>30565.244538569641</v>
      </c>
      <c r="Q79" s="25">
        <f t="array" aca="1" ref="Q79" ca="1">INDEX('Isaac 401k'!L:L,MATCH('Retirement Calculator'!A79,'Isaac 401k'!N:N,0),0)</f>
        <v>1668686.5787134964</v>
      </c>
      <c r="R79" s="25">
        <f t="array" aca="1" ref="R79" ca="1">INDEX('Lorri 401b'!L:L,MATCH('Retirement Calculator'!A79,'Lorri 401b'!N:N,0),0)</f>
        <v>4310567.166872303</v>
      </c>
      <c r="S79" s="25">
        <f t="shared" ca="1" si="7"/>
        <v>5979253.7455857992</v>
      </c>
    </row>
    <row r="80" spans="1:19" ht="15.75" customHeight="1" x14ac:dyDescent="0.3">
      <c r="A80" s="37">
        <v>53387</v>
      </c>
      <c r="B80" s="409">
        <f t="shared" ref="B80:C80" si="76">($A80-B$9)/365.25</f>
        <v>64.28747433264887</v>
      </c>
      <c r="C80" s="409">
        <f t="shared" si="76"/>
        <v>59.676933607118414</v>
      </c>
      <c r="E80" s="25">
        <f>IF(C80&gt;$B$7,0,'Combined Retirement'!$D$13/12)</f>
        <v>0</v>
      </c>
      <c r="F80" s="25">
        <f>IF(H80=0,'Combined Retirement'!$D$32,0)+'Combined Retirement'!$B$24</f>
        <v>2870.372285649099</v>
      </c>
      <c r="G80" s="25">
        <f>'Combined Retirement'!$C$24</f>
        <v>3525.4531757812501</v>
      </c>
      <c r="H80" s="25">
        <f>IF(B80&lt;62,0,'Combined Retirement'!$I$14)</f>
        <v>2192</v>
      </c>
      <c r="I80" s="25">
        <f>IF(C80&lt;62,0,'Combined Retirement'!$I$13)</f>
        <v>0</v>
      </c>
      <c r="J80" s="25">
        <f t="shared" si="3"/>
        <v>8539.3180191855863</v>
      </c>
      <c r="K80" s="25">
        <f t="shared" si="4"/>
        <v>22025.926519384055</v>
      </c>
      <c r="L80" s="25"/>
      <c r="N80" s="25">
        <f>'Combined Retirement'!$C$18/12</f>
        <v>39153.069999999992</v>
      </c>
      <c r="O80" s="25">
        <f t="shared" si="5"/>
        <v>8587.8254614303496</v>
      </c>
      <c r="P80" s="25">
        <f t="shared" si="6"/>
        <v>30565.244538569641</v>
      </c>
      <c r="Q80" s="25">
        <f t="array" aca="1" ref="Q80" ca="1">INDEX('Isaac 401k'!L:L,MATCH('Retirement Calculator'!A80,'Isaac 401k'!N:N,0),0)</f>
        <v>1667064.5409472038</v>
      </c>
      <c r="R80" s="25">
        <f t="array" aca="1" ref="R80" ca="1">INDEX('Lorri 401b'!L:L,MATCH('Retirement Calculator'!A80,'Lorri 401b'!N:N,0),0)</f>
        <v>4306410.1621877234</v>
      </c>
      <c r="S80" s="25">
        <f t="shared" ca="1" si="7"/>
        <v>5973474.703134927</v>
      </c>
    </row>
    <row r="81" spans="1:19" ht="15.75" customHeight="1" x14ac:dyDescent="0.3">
      <c r="A81" s="37">
        <v>53418</v>
      </c>
      <c r="B81" s="409">
        <f t="shared" ref="B81:C81" si="77">($A81-B$9)/365.25</f>
        <v>64.372347707049968</v>
      </c>
      <c r="C81" s="409">
        <f t="shared" si="77"/>
        <v>59.761806981519506</v>
      </c>
      <c r="E81" s="25">
        <f>IF(C81&gt;$B$7,0,'Combined Retirement'!$D$13/12)</f>
        <v>0</v>
      </c>
      <c r="F81" s="25">
        <f>IF(H81=0,'Combined Retirement'!$D$32,0)+'Combined Retirement'!$B$24</f>
        <v>2870.372285649099</v>
      </c>
      <c r="G81" s="25">
        <f>'Combined Retirement'!$C$24</f>
        <v>3525.4531757812501</v>
      </c>
      <c r="H81" s="25">
        <f>IF(B81&lt;62,0,'Combined Retirement'!$I$14)</f>
        <v>2192</v>
      </c>
      <c r="I81" s="25">
        <f>IF(C81&lt;62,0,'Combined Retirement'!$I$13)</f>
        <v>0</v>
      </c>
      <c r="J81" s="25">
        <f t="shared" si="3"/>
        <v>8539.3180191855863</v>
      </c>
      <c r="K81" s="25">
        <f t="shared" si="4"/>
        <v>22025.926519384055</v>
      </c>
      <c r="L81" s="25"/>
      <c r="N81" s="25">
        <f>'Combined Retirement'!$C$18/12</f>
        <v>39153.069999999992</v>
      </c>
      <c r="O81" s="25">
        <f t="shared" si="5"/>
        <v>8587.8254614303496</v>
      </c>
      <c r="P81" s="25">
        <f t="shared" si="6"/>
        <v>30565.244538569641</v>
      </c>
      <c r="Q81" s="25">
        <f t="array" aca="1" ref="Q81" ca="1">INDEX('Isaac 401k'!L:L,MATCH('Retirement Calculator'!A81,'Isaac 401k'!N:N,0),0)</f>
        <v>1665435.7446902182</v>
      </c>
      <c r="R81" s="25">
        <f t="array" aca="1" ref="R81" ca="1">INDEX('Lorri 401b'!L:L,MATCH('Retirement Calculator'!A81,'Lorri 401b'!N:N,0),0)</f>
        <v>4302235.8366502915</v>
      </c>
      <c r="S81" s="25">
        <f t="shared" ca="1" si="7"/>
        <v>5967671.5813405095</v>
      </c>
    </row>
    <row r="82" spans="1:19" ht="15.75" customHeight="1" x14ac:dyDescent="0.3">
      <c r="A82" s="37">
        <v>53448</v>
      </c>
      <c r="B82" s="409">
        <f t="shared" ref="B82:C82" si="78">($A82-B$9)/365.25</f>
        <v>64.454483230663925</v>
      </c>
      <c r="C82" s="409">
        <f t="shared" si="78"/>
        <v>59.843942505133469</v>
      </c>
      <c r="E82" s="25">
        <f>IF(C82&gt;$B$7,0,'Combined Retirement'!$D$13/12)</f>
        <v>0</v>
      </c>
      <c r="F82" s="25">
        <f>IF(H82=0,'Combined Retirement'!$D$32,0)+'Combined Retirement'!$B$24</f>
        <v>2870.372285649099</v>
      </c>
      <c r="G82" s="25">
        <f>'Combined Retirement'!$C$24</f>
        <v>3525.4531757812501</v>
      </c>
      <c r="H82" s="25">
        <f>IF(B82&lt;62,0,'Combined Retirement'!$I$14)</f>
        <v>2192</v>
      </c>
      <c r="I82" s="25">
        <f>IF(C82&lt;62,0,'Combined Retirement'!$I$13)</f>
        <v>0</v>
      </c>
      <c r="J82" s="25">
        <f t="shared" si="3"/>
        <v>8539.3180191855863</v>
      </c>
      <c r="K82" s="25">
        <f t="shared" si="4"/>
        <v>22025.926519384055</v>
      </c>
      <c r="L82" s="25"/>
      <c r="N82" s="25">
        <f>'Combined Retirement'!$C$18/12</f>
        <v>39153.069999999992</v>
      </c>
      <c r="O82" s="25">
        <f t="shared" si="5"/>
        <v>8587.8254614303496</v>
      </c>
      <c r="P82" s="25">
        <f t="shared" si="6"/>
        <v>30565.244538569641</v>
      </c>
      <c r="Q82" s="25">
        <f t="array" aca="1" ref="Q82" ca="1">INDEX('Isaac 401k'!L:L,MATCH('Retirement Calculator'!A82,'Isaac 401k'!N:N,0),0)</f>
        <v>1663800.1617821618</v>
      </c>
      <c r="R82" s="25">
        <f t="array" aca="1" ref="R82" ca="1">INDEX('Lorri 401b'!L:L,MATCH('Retirement Calculator'!A82,'Lorri 401b'!N:N,0),0)</f>
        <v>4298044.1180897867</v>
      </c>
      <c r="S82" s="25">
        <f t="shared" ca="1" si="7"/>
        <v>5961844.2798719481</v>
      </c>
    </row>
    <row r="83" spans="1:19" ht="15.75" customHeight="1" x14ac:dyDescent="0.3">
      <c r="A83" s="37">
        <v>53479</v>
      </c>
      <c r="B83" s="409">
        <f t="shared" ref="B83:C83" si="79">($A83-B$9)/365.25</f>
        <v>64.539356605065024</v>
      </c>
      <c r="C83" s="409">
        <f t="shared" si="79"/>
        <v>59.928815879534568</v>
      </c>
      <c r="E83" s="25">
        <f>IF(C83&gt;$B$7,0,'Combined Retirement'!$D$13/12)</f>
        <v>0</v>
      </c>
      <c r="F83" s="25">
        <f>IF(H83=0,'Combined Retirement'!$D$32,0)+'Combined Retirement'!$B$24</f>
        <v>2870.372285649099</v>
      </c>
      <c r="G83" s="25">
        <f>'Combined Retirement'!$C$24</f>
        <v>3525.4531757812501</v>
      </c>
      <c r="H83" s="25">
        <f>IF(B83&lt;62,0,'Combined Retirement'!$I$14)</f>
        <v>2192</v>
      </c>
      <c r="I83" s="25">
        <f>IF(C83&lt;62,0,'Combined Retirement'!$I$13)</f>
        <v>0</v>
      </c>
      <c r="J83" s="25">
        <f t="shared" si="3"/>
        <v>8539.3180191855863</v>
      </c>
      <c r="K83" s="25">
        <f t="shared" si="4"/>
        <v>22025.926519384055</v>
      </c>
      <c r="L83" s="25"/>
      <c r="N83" s="25">
        <f>'Combined Retirement'!$C$18/12</f>
        <v>39153.069999999992</v>
      </c>
      <c r="O83" s="25">
        <f t="shared" si="5"/>
        <v>8587.8254614303496</v>
      </c>
      <c r="P83" s="25">
        <f t="shared" si="6"/>
        <v>30565.244538569641</v>
      </c>
      <c r="Q83" s="25">
        <f t="array" aca="1" ref="Q83" ca="1">INDEX('Isaac 401k'!L:L,MATCH('Retirement Calculator'!A83,'Isaac 401k'!N:N,0),0)</f>
        <v>1662157.7639453218</v>
      </c>
      <c r="R83" s="25">
        <f t="array" aca="1" ref="R83" ca="1">INDEX('Lorri 401b'!L:L,MATCH('Retirement Calculator'!A83,'Lorri 401b'!N:N,0),0)</f>
        <v>4293834.9340352798</v>
      </c>
      <c r="S83" s="25">
        <f t="shared" ca="1" si="7"/>
        <v>5955992.6979806013</v>
      </c>
    </row>
    <row r="84" spans="1:19" ht="15.75" customHeight="1" x14ac:dyDescent="0.3">
      <c r="A84" s="37">
        <v>53509</v>
      </c>
      <c r="B84" s="409">
        <f t="shared" ref="B84:C84" si="80">($A84-B$9)/365.25</f>
        <v>64.62149212867898</v>
      </c>
      <c r="C84" s="409">
        <f t="shared" si="80"/>
        <v>60.010951403148532</v>
      </c>
      <c r="E84" s="25">
        <f>IF(C84&gt;$B$7,0,'Combined Retirement'!$D$13/12)</f>
        <v>0</v>
      </c>
      <c r="F84" s="25">
        <f>IF(H84=0,'Combined Retirement'!$D$32,0)+'Combined Retirement'!$B$24</f>
        <v>2870.372285649099</v>
      </c>
      <c r="G84" s="25">
        <f>'Combined Retirement'!$C$24</f>
        <v>3525.4531757812501</v>
      </c>
      <c r="H84" s="25">
        <f>IF(B84&lt;62,0,'Combined Retirement'!$I$14)</f>
        <v>2192</v>
      </c>
      <c r="I84" s="25">
        <f>IF(C84&lt;62,0,'Combined Retirement'!$I$13)</f>
        <v>0</v>
      </c>
      <c r="J84" s="25">
        <f t="shared" si="3"/>
        <v>8539.3180191855863</v>
      </c>
      <c r="K84" s="25">
        <f t="shared" si="4"/>
        <v>22025.926519384055</v>
      </c>
      <c r="L84" s="25"/>
      <c r="N84" s="25">
        <f>'Combined Retirement'!$C$18/12</f>
        <v>39153.069999999992</v>
      </c>
      <c r="O84" s="25">
        <f t="shared" si="5"/>
        <v>8587.8254614303496</v>
      </c>
      <c r="P84" s="25">
        <f t="shared" si="6"/>
        <v>30565.244538569641</v>
      </c>
      <c r="Q84" s="25">
        <f t="array" aca="1" ref="Q84" ca="1">INDEX('Isaac 401k'!L:L,MATCH('Retirement Calculator'!A84,'Isaac 401k'!N:N,0),0)</f>
        <v>1660508.5227841616</v>
      </c>
      <c r="R84" s="25">
        <f t="array" aca="1" ref="R84" ca="1">INDEX('Lorri 401b'!L:L,MATCH('Retirement Calculator'!A84,'Lorri 401b'!N:N,0),0)</f>
        <v>4289608.2117138794</v>
      </c>
      <c r="S84" s="25">
        <f t="shared" ca="1" si="7"/>
        <v>5950116.7344980408</v>
      </c>
    </row>
    <row r="85" spans="1:19" ht="15.75" customHeight="1" x14ac:dyDescent="0.3">
      <c r="A85" s="37">
        <v>53540</v>
      </c>
      <c r="B85" s="409">
        <f t="shared" ref="B85:C85" si="81">($A85-B$9)/365.25</f>
        <v>64.706365503080079</v>
      </c>
      <c r="C85" s="409">
        <f t="shared" si="81"/>
        <v>60.095824777549623</v>
      </c>
      <c r="E85" s="25">
        <f>IF(C85&gt;$B$7,0,'Combined Retirement'!$D$13/12)</f>
        <v>0</v>
      </c>
      <c r="F85" s="25">
        <f>IF(H85=0,'Combined Retirement'!$D$32,0)+'Combined Retirement'!$B$24</f>
        <v>2870.372285649099</v>
      </c>
      <c r="G85" s="25">
        <f>'Combined Retirement'!$C$24</f>
        <v>3525.4531757812501</v>
      </c>
      <c r="H85" s="25">
        <f>IF(B85&lt;62,0,'Combined Retirement'!$I$14)</f>
        <v>2192</v>
      </c>
      <c r="I85" s="25">
        <f>IF(C85&lt;62,0,'Combined Retirement'!$I$13)</f>
        <v>0</v>
      </c>
      <c r="J85" s="25">
        <f t="shared" si="3"/>
        <v>8539.3180191855863</v>
      </c>
      <c r="K85" s="25">
        <f t="shared" si="4"/>
        <v>22025.926519384055</v>
      </c>
      <c r="L85" s="25"/>
      <c r="N85" s="25">
        <f>'Combined Retirement'!$C$18/12</f>
        <v>39153.069999999992</v>
      </c>
      <c r="O85" s="25">
        <f t="shared" si="5"/>
        <v>8587.8254614303496</v>
      </c>
      <c r="P85" s="25">
        <f t="shared" si="6"/>
        <v>30565.244538569641</v>
      </c>
      <c r="Q85" s="25">
        <f t="array" aca="1" ref="Q85" ca="1">INDEX('Isaac 401k'!L:L,MATCH('Retirement Calculator'!A85,'Isaac 401k'!N:N,0),0)</f>
        <v>1658852.4097848299</v>
      </c>
      <c r="R85" s="25">
        <f t="array" aca="1" ref="R85" ca="1">INDEX('Lorri 401b'!L:L,MATCH('Retirement Calculator'!A85,'Lorri 401b'!N:N,0),0)</f>
        <v>4285363.8780494723</v>
      </c>
      <c r="S85" s="25">
        <f t="shared" ca="1" si="7"/>
        <v>5944216.2878343025</v>
      </c>
    </row>
    <row r="86" spans="1:19" ht="15.75" customHeight="1" x14ac:dyDescent="0.3">
      <c r="A86" s="37">
        <v>53571</v>
      </c>
      <c r="B86" s="409">
        <f t="shared" ref="B86:C86" si="82">($A86-B$9)/365.25</f>
        <v>64.791238877481177</v>
      </c>
      <c r="C86" s="409">
        <f t="shared" si="82"/>
        <v>60.180698151950722</v>
      </c>
      <c r="E86" s="25">
        <f>IF(C86&gt;$B$7,0,'Combined Retirement'!$D$13/12)</f>
        <v>0</v>
      </c>
      <c r="F86" s="25">
        <f>IF(H86=0,'Combined Retirement'!$D$32,0)+'Combined Retirement'!$B$24</f>
        <v>2870.372285649099</v>
      </c>
      <c r="G86" s="25">
        <f>'Combined Retirement'!$C$24</f>
        <v>3525.4531757812501</v>
      </c>
      <c r="H86" s="25">
        <f>IF(B86&lt;62,0,'Combined Retirement'!$I$14)</f>
        <v>2192</v>
      </c>
      <c r="I86" s="25">
        <f>IF(C86&lt;62,0,'Combined Retirement'!$I$13)</f>
        <v>0</v>
      </c>
      <c r="J86" s="25">
        <f t="shared" si="3"/>
        <v>8539.3180191855863</v>
      </c>
      <c r="K86" s="25">
        <f t="shared" si="4"/>
        <v>22025.926519384055</v>
      </c>
      <c r="L86" s="25"/>
      <c r="N86" s="25">
        <f>'Combined Retirement'!$C$18/12</f>
        <v>39153.069999999992</v>
      </c>
      <c r="O86" s="25">
        <f t="shared" si="5"/>
        <v>8587.8254614303496</v>
      </c>
      <c r="P86" s="25">
        <f t="shared" si="6"/>
        <v>30565.244538569641</v>
      </c>
      <c r="Q86" s="25">
        <f t="array" aca="1" ref="Q86" ca="1">INDEX('Isaac 401k'!L:L,MATCH('Retirement Calculator'!A86,'Isaac 401k'!N:N,0),0)</f>
        <v>1657189.3963146678</v>
      </c>
      <c r="R86" s="25">
        <f t="array" aca="1" ref="R86" ca="1">INDEX('Lorri 401b'!L:L,MATCH('Retirement Calculator'!A86,'Lorri 401b'!N:N,0),0)</f>
        <v>4281101.8596614636</v>
      </c>
      <c r="S86" s="25">
        <f t="shared" ca="1" si="7"/>
        <v>5938291.2559761312</v>
      </c>
    </row>
    <row r="87" spans="1:19" ht="15.75" customHeight="1" x14ac:dyDescent="0.3">
      <c r="A87" s="37">
        <v>53601</v>
      </c>
      <c r="B87" s="409">
        <f t="shared" ref="B87:C87" si="83">($A87-B$9)/365.25</f>
        <v>64.873374401095134</v>
      </c>
      <c r="C87" s="409">
        <f t="shared" si="83"/>
        <v>60.262833675564679</v>
      </c>
      <c r="E87" s="25">
        <f>IF(C87&gt;$B$7,0,'Combined Retirement'!$D$13/12)</f>
        <v>0</v>
      </c>
      <c r="F87" s="25">
        <f>IF(H87=0,'Combined Retirement'!$D$32,0)+'Combined Retirement'!$B$24</f>
        <v>2870.372285649099</v>
      </c>
      <c r="G87" s="25">
        <f>'Combined Retirement'!$C$24</f>
        <v>3525.4531757812501</v>
      </c>
      <c r="H87" s="25">
        <f>IF(B87&lt;62,0,'Combined Retirement'!$I$14)</f>
        <v>2192</v>
      </c>
      <c r="I87" s="25">
        <f>IF(C87&lt;62,0,'Combined Retirement'!$I$13)</f>
        <v>0</v>
      </c>
      <c r="J87" s="25">
        <f t="shared" si="3"/>
        <v>8539.3180191855863</v>
      </c>
      <c r="K87" s="25">
        <f t="shared" si="4"/>
        <v>22025.926519384055</v>
      </c>
      <c r="L87" s="25"/>
      <c r="N87" s="25">
        <f>'Combined Retirement'!$C$18/12</f>
        <v>39153.069999999992</v>
      </c>
      <c r="O87" s="25">
        <f t="shared" si="5"/>
        <v>8587.8254614303496</v>
      </c>
      <c r="P87" s="25">
        <f t="shared" si="6"/>
        <v>30565.244538569641</v>
      </c>
      <c r="Q87" s="25">
        <f t="array" aca="1" ref="Q87" ca="1">INDEX('Isaac 401k'!L:L,MATCH('Retirement Calculator'!A87,'Isaac 401k'!N:N,0),0)</f>
        <v>1655519.4536217132</v>
      </c>
      <c r="R87" s="25">
        <f t="array" aca="1" ref="R87" ca="1">INDEX('Lorri 401b'!L:L,MATCH('Retirement Calculator'!A87,'Lorri 401b'!N:N,0),0)</f>
        <v>4276822.082863505</v>
      </c>
      <c r="S87" s="25">
        <f t="shared" ca="1" si="7"/>
        <v>5932341.5364852184</v>
      </c>
    </row>
    <row r="88" spans="1:19" ht="15.75" customHeight="1" x14ac:dyDescent="0.3">
      <c r="A88" s="37">
        <v>53632</v>
      </c>
      <c r="B88" s="409">
        <f t="shared" ref="B88:C88" si="84">($A88-B$9)/365.25</f>
        <v>64.958247775496233</v>
      </c>
      <c r="C88" s="409">
        <f t="shared" si="84"/>
        <v>60.347707049965777</v>
      </c>
      <c r="E88" s="25">
        <f>IF(C88&gt;$B$7,0,'Combined Retirement'!$D$13/12)</f>
        <v>0</v>
      </c>
      <c r="F88" s="25">
        <f>IF(H88=0,'Combined Retirement'!$D$32,0)+'Combined Retirement'!$B$24</f>
        <v>2870.372285649099</v>
      </c>
      <c r="G88" s="25">
        <f>'Combined Retirement'!$C$24</f>
        <v>3525.4531757812501</v>
      </c>
      <c r="H88" s="25">
        <f>IF(B88&lt;62,0,'Combined Retirement'!$I$14)</f>
        <v>2192</v>
      </c>
      <c r="I88" s="25">
        <f>IF(C88&lt;62,0,'Combined Retirement'!$I$13)</f>
        <v>0</v>
      </c>
      <c r="J88" s="25">
        <f t="shared" si="3"/>
        <v>8539.3180191855863</v>
      </c>
      <c r="K88" s="25">
        <f t="shared" si="4"/>
        <v>22025.926519384055</v>
      </c>
      <c r="L88" s="25"/>
      <c r="N88" s="25">
        <f>'Combined Retirement'!$C$18/12</f>
        <v>39153.069999999992</v>
      </c>
      <c r="O88" s="25">
        <f t="shared" si="5"/>
        <v>8587.8254614303496</v>
      </c>
      <c r="P88" s="25">
        <f t="shared" si="6"/>
        <v>30565.244538569641</v>
      </c>
      <c r="Q88" s="25">
        <f t="array" aca="1" ref="Q88" ca="1">INDEX('Isaac 401k'!L:L,MATCH('Retirement Calculator'!A88,'Isaac 401k'!N:N,0),0)</f>
        <v>1653842.5528342046</v>
      </c>
      <c r="R88" s="25">
        <f t="array" aca="1" ref="R88" ca="1">INDEX('Lorri 401b'!L:L,MATCH('Retirement Calculator'!A88,'Lorri 401b'!N:N,0),0)</f>
        <v>4272524.4736622218</v>
      </c>
      <c r="S88" s="25">
        <f t="shared" ca="1" si="7"/>
        <v>5926367.0264964262</v>
      </c>
    </row>
    <row r="89" spans="1:19" ht="15.75" customHeight="1" x14ac:dyDescent="0.3">
      <c r="A89" s="37">
        <v>53662</v>
      </c>
      <c r="B89" s="409">
        <f t="shared" ref="B89:C89" si="85">($A89-B$9)/365.25</f>
        <v>65.040383299110204</v>
      </c>
      <c r="C89" s="409">
        <f t="shared" si="85"/>
        <v>60.429842573579741</v>
      </c>
      <c r="E89" s="25">
        <f>IF(C89&gt;$B$7,0,'Combined Retirement'!$D$13/12)</f>
        <v>0</v>
      </c>
      <c r="F89" s="25">
        <f>IF(H89=0,'Combined Retirement'!$D$32,0)+'Combined Retirement'!$B$24</f>
        <v>2870.372285649099</v>
      </c>
      <c r="G89" s="25">
        <f>'Combined Retirement'!$C$24</f>
        <v>3525.4531757812501</v>
      </c>
      <c r="H89" s="25">
        <f>IF(B89&lt;62,0,'Combined Retirement'!$I$14)</f>
        <v>2192</v>
      </c>
      <c r="I89" s="25">
        <f>IF(C89&lt;62,0,'Combined Retirement'!$I$13)</f>
        <v>0</v>
      </c>
      <c r="J89" s="25">
        <f t="shared" si="3"/>
        <v>8539.3180191855863</v>
      </c>
      <c r="K89" s="25">
        <f t="shared" si="4"/>
        <v>22025.926519384055</v>
      </c>
      <c r="L89" s="25"/>
      <c r="N89" s="25">
        <f>'Combined Retirement'!$C$18/12</f>
        <v>39153.069999999992</v>
      </c>
      <c r="O89" s="25">
        <f t="shared" si="5"/>
        <v>8587.8254614303496</v>
      </c>
      <c r="P89" s="25">
        <f t="shared" si="6"/>
        <v>30565.244538569641</v>
      </c>
      <c r="Q89" s="25">
        <f t="array" aca="1" ref="Q89" ca="1">INDEX('Isaac 401k'!L:L,MATCH('Retirement Calculator'!A89,'Isaac 401k'!N:N,0),0)</f>
        <v>1652158.6649600815</v>
      </c>
      <c r="R89" s="25">
        <f t="array" aca="1" ref="R89" ca="1">INDEX('Lorri 401b'!L:L,MATCH('Retirement Calculator'!A89,'Lorri 401b'!N:N,0),0)</f>
        <v>4268208.9577559335</v>
      </c>
      <c r="S89" s="25">
        <f t="shared" ca="1" si="7"/>
        <v>5920367.6227160152</v>
      </c>
    </row>
    <row r="90" spans="1:19" ht="15.75" customHeight="1" x14ac:dyDescent="0.3">
      <c r="A90" s="37">
        <v>53693</v>
      </c>
      <c r="B90" s="409">
        <f t="shared" ref="B90:C90" si="86">($A90-B$9)/365.25</f>
        <v>65.125256673511288</v>
      </c>
      <c r="C90" s="409">
        <f t="shared" si="86"/>
        <v>60.514715947980832</v>
      </c>
      <c r="E90" s="25">
        <f>IF(C90&gt;$B$7,0,'Combined Retirement'!$D$13/12)</f>
        <v>0</v>
      </c>
      <c r="F90" s="25">
        <f>IF(H90=0,'Combined Retirement'!$D$32,0)+'Combined Retirement'!$B$24</f>
        <v>2870.372285649099</v>
      </c>
      <c r="G90" s="25">
        <f>'Combined Retirement'!$C$24</f>
        <v>3525.4531757812501</v>
      </c>
      <c r="H90" s="25">
        <f>IF(B90&lt;62,0,'Combined Retirement'!$I$14)</f>
        <v>2192</v>
      </c>
      <c r="I90" s="25">
        <f>IF(C90&lt;62,0,'Combined Retirement'!$I$13)</f>
        <v>0</v>
      </c>
      <c r="J90" s="25">
        <f t="shared" si="3"/>
        <v>8539.3180191855863</v>
      </c>
      <c r="K90" s="25">
        <f t="shared" si="4"/>
        <v>22025.926519384055</v>
      </c>
      <c r="L90" s="25"/>
      <c r="N90" s="25">
        <f>'Combined Retirement'!$C$18/12</f>
        <v>39153.069999999992</v>
      </c>
      <c r="O90" s="25">
        <f t="shared" si="5"/>
        <v>8587.8254614303496</v>
      </c>
      <c r="P90" s="25">
        <f t="shared" si="6"/>
        <v>30565.244538569641</v>
      </c>
      <c r="Q90" s="25">
        <f t="array" aca="1" ref="Q90" ca="1">INDEX('Isaac 401k'!L:L,MATCH('Retirement Calculator'!A90,'Isaac 401k'!N:N,0),0)</f>
        <v>1650467.7608864829</v>
      </c>
      <c r="R90" s="25">
        <f t="array" aca="1" ref="R90" ca="1">INDEX('Lorri 401b'!L:L,MATCH('Retirement Calculator'!A90,'Lorri 401b'!N:N,0),0)</f>
        <v>4263875.4605333684</v>
      </c>
      <c r="S90" s="25">
        <f t="shared" ca="1" si="7"/>
        <v>5914343.2214198513</v>
      </c>
    </row>
    <row r="91" spans="1:19" ht="15.75" customHeight="1" x14ac:dyDescent="0.3">
      <c r="A91" s="37">
        <v>53724</v>
      </c>
      <c r="B91" s="409">
        <f t="shared" ref="B91:C91" si="87">($A91-B$9)/365.25</f>
        <v>65.210130047912386</v>
      </c>
      <c r="C91" s="409">
        <f t="shared" si="87"/>
        <v>60.599589322381931</v>
      </c>
      <c r="E91" s="25">
        <f>IF(C91&gt;$B$7,0,'Combined Retirement'!$D$13/12)</f>
        <v>0</v>
      </c>
      <c r="F91" s="25">
        <f>IF(H91=0,'Combined Retirement'!$D$32,0)+'Combined Retirement'!$B$24</f>
        <v>2870.372285649099</v>
      </c>
      <c r="G91" s="25">
        <f>'Combined Retirement'!$C$24</f>
        <v>3525.4531757812501</v>
      </c>
      <c r="H91" s="25">
        <f>IF(B91&lt;62,0,'Combined Retirement'!$I$14)</f>
        <v>2192</v>
      </c>
      <c r="I91" s="25">
        <f>IF(C91&lt;62,0,'Combined Retirement'!$I$13)</f>
        <v>0</v>
      </c>
      <c r="J91" s="25">
        <f t="shared" si="3"/>
        <v>8539.3180191855863</v>
      </c>
      <c r="K91" s="25">
        <f t="shared" si="4"/>
        <v>22025.926519384055</v>
      </c>
      <c r="L91" s="25"/>
      <c r="N91" s="25">
        <f>'Combined Retirement'!$C$18/12</f>
        <v>39153.069999999992</v>
      </c>
      <c r="O91" s="25">
        <f t="shared" si="5"/>
        <v>8587.8254614303496</v>
      </c>
      <c r="P91" s="25">
        <f t="shared" si="6"/>
        <v>30565.244538569641</v>
      </c>
      <c r="Q91" s="25">
        <f t="array" aca="1" ref="Q91" ca="1">INDEX('Isaac 401k'!L:L,MATCH('Retirement Calculator'!A91,'Isaac 401k'!N:N,0),0)</f>
        <v>1648769.8113792443</v>
      </c>
      <c r="R91" s="25">
        <f t="array" aca="1" ref="R91" ca="1">INDEX('Lorri 401b'!L:L,MATCH('Retirement Calculator'!A91,'Lorri 401b'!N:N,0),0)</f>
        <v>4259523.9070723765</v>
      </c>
      <c r="S91" s="25">
        <f t="shared" ca="1" si="7"/>
        <v>5908293.718451621</v>
      </c>
    </row>
    <row r="92" spans="1:19" ht="15.75" customHeight="1" x14ac:dyDescent="0.3">
      <c r="A92" s="37">
        <v>53752</v>
      </c>
      <c r="B92" s="409">
        <f t="shared" ref="B92:C92" si="88">($A92-B$9)/365.25</f>
        <v>65.286789869952088</v>
      </c>
      <c r="C92" s="409">
        <f t="shared" si="88"/>
        <v>60.676249144421632</v>
      </c>
      <c r="E92" s="25">
        <f>IF(C92&gt;$B$7,0,'Combined Retirement'!$D$13/12)</f>
        <v>0</v>
      </c>
      <c r="F92" s="25">
        <f>IF(H92=0,'Combined Retirement'!$D$32,0)+'Combined Retirement'!$B$24</f>
        <v>2870.372285649099</v>
      </c>
      <c r="G92" s="25">
        <f>'Combined Retirement'!$C$24</f>
        <v>3525.4531757812501</v>
      </c>
      <c r="H92" s="25">
        <f>IF(B92&lt;62,0,'Combined Retirement'!$I$14)</f>
        <v>2192</v>
      </c>
      <c r="I92" s="25">
        <f>IF(C92&lt;62,0,'Combined Retirement'!$I$13)</f>
        <v>0</v>
      </c>
      <c r="J92" s="25">
        <f t="shared" si="3"/>
        <v>8539.3180191855863</v>
      </c>
      <c r="K92" s="25">
        <f t="shared" si="4"/>
        <v>22025.926519384055</v>
      </c>
      <c r="L92" s="25"/>
      <c r="N92" s="25">
        <f>'Combined Retirement'!$C$18/12</f>
        <v>39153.069999999992</v>
      </c>
      <c r="O92" s="25">
        <f t="shared" si="5"/>
        <v>8587.8254614303496</v>
      </c>
      <c r="P92" s="25">
        <f t="shared" si="6"/>
        <v>30565.244538569641</v>
      </c>
      <c r="Q92" s="25">
        <f t="array" aca="1" ref="Q92" ca="1">INDEX('Isaac 401k'!L:L,MATCH('Retirement Calculator'!A92,'Isaac 401k'!N:N,0),0)</f>
        <v>1647064.7870823923</v>
      </c>
      <c r="R92" s="25">
        <f t="array" aca="1" ref="R92" ca="1">INDEX('Lorri 401b'!L:L,MATCH('Retirement Calculator'!A92,'Lorri 401b'!N:N,0),0)</f>
        <v>4255154.2221386302</v>
      </c>
      <c r="S92" s="25">
        <f t="shared" ca="1" si="7"/>
        <v>5902219.0092210229</v>
      </c>
    </row>
    <row r="93" spans="1:19" ht="15.75" customHeight="1" x14ac:dyDescent="0.3">
      <c r="A93" s="37">
        <v>53783</v>
      </c>
      <c r="B93" s="409">
        <f t="shared" ref="B93:C93" si="89">($A93-B$9)/365.25</f>
        <v>65.371663244353186</v>
      </c>
      <c r="C93" s="409">
        <f t="shared" si="89"/>
        <v>60.761122518822724</v>
      </c>
      <c r="E93" s="25">
        <f>IF(C93&gt;$B$7,0,'Combined Retirement'!$D$13/12)</f>
        <v>0</v>
      </c>
      <c r="F93" s="25">
        <f>IF(H93=0,'Combined Retirement'!$D$32,0)+'Combined Retirement'!$B$24</f>
        <v>2870.372285649099</v>
      </c>
      <c r="G93" s="25">
        <f>'Combined Retirement'!$C$24</f>
        <v>3525.4531757812501</v>
      </c>
      <c r="H93" s="25">
        <f>IF(B93&lt;62,0,'Combined Retirement'!$I$14)</f>
        <v>2192</v>
      </c>
      <c r="I93" s="25">
        <f>IF(C93&lt;62,0,'Combined Retirement'!$I$13)</f>
        <v>0</v>
      </c>
      <c r="J93" s="25">
        <f t="shared" si="3"/>
        <v>8539.3180191855863</v>
      </c>
      <c r="K93" s="25">
        <f t="shared" si="4"/>
        <v>22025.926519384055</v>
      </c>
      <c r="L93" s="25"/>
      <c r="N93" s="25">
        <f>'Combined Retirement'!$C$18/12</f>
        <v>39153.069999999992</v>
      </c>
      <c r="O93" s="25">
        <f t="shared" si="5"/>
        <v>8587.8254614303496</v>
      </c>
      <c r="P93" s="25">
        <f t="shared" si="6"/>
        <v>30565.244538569641</v>
      </c>
      <c r="Q93" s="25">
        <f t="array" aca="1" ref="Q93" ca="1">INDEX('Isaac 401k'!L:L,MATCH('Retirement Calculator'!A93,'Isaac 401k'!N:N,0),0)</f>
        <v>1645352.6585176366</v>
      </c>
      <c r="R93" s="25">
        <f t="array" aca="1" ref="R93" ca="1">INDEX('Lorri 401b'!L:L,MATCH('Retirement Calculator'!A93,'Lorri 401b'!N:N,0),0)</f>
        <v>4250766.3301843265</v>
      </c>
      <c r="S93" s="25">
        <f t="shared" ca="1" si="7"/>
        <v>5896118.9887019629</v>
      </c>
    </row>
    <row r="94" spans="1:19" ht="15.75" customHeight="1" x14ac:dyDescent="0.3">
      <c r="A94" s="37">
        <v>53813</v>
      </c>
      <c r="B94" s="409">
        <f t="shared" ref="B94:C94" si="90">($A94-B$9)/365.25</f>
        <v>65.453798767967143</v>
      </c>
      <c r="C94" s="409">
        <f t="shared" si="90"/>
        <v>60.843258042436688</v>
      </c>
      <c r="E94" s="25">
        <f>IF(C94&gt;$B$7,0,'Combined Retirement'!$D$13/12)</f>
        <v>0</v>
      </c>
      <c r="F94" s="25">
        <f>IF(H94=0,'Combined Retirement'!$D$32,0)+'Combined Retirement'!$B$24</f>
        <v>2870.372285649099</v>
      </c>
      <c r="G94" s="25">
        <f>'Combined Retirement'!$C$24</f>
        <v>3525.4531757812501</v>
      </c>
      <c r="H94" s="25">
        <f>IF(B94&lt;62,0,'Combined Retirement'!$I$14)</f>
        <v>2192</v>
      </c>
      <c r="I94" s="25">
        <f>IF(C94&lt;62,0,'Combined Retirement'!$I$13)</f>
        <v>0</v>
      </c>
      <c r="J94" s="25">
        <f t="shared" si="3"/>
        <v>8539.3180191855863</v>
      </c>
      <c r="K94" s="25">
        <f t="shared" si="4"/>
        <v>22025.926519384055</v>
      </c>
      <c r="L94" s="25"/>
      <c r="N94" s="25">
        <f>'Combined Retirement'!$C$18/12</f>
        <v>39153.069999999992</v>
      </c>
      <c r="O94" s="25">
        <f t="shared" si="5"/>
        <v>8587.8254614303496</v>
      </c>
      <c r="P94" s="25">
        <f t="shared" si="6"/>
        <v>30565.244538569641</v>
      </c>
      <c r="Q94" s="25">
        <f t="array" aca="1" ref="Q94" ca="1">INDEX('Isaac 401k'!L:L,MATCH('Retirement Calculator'!A94,'Isaac 401k'!N:N,0),0)</f>
        <v>1643633.3960838611</v>
      </c>
      <c r="R94" s="25">
        <f t="array" aca="1" ref="R94" ca="1">INDEX('Lorri 401b'!L:L,MATCH('Retirement Calculator'!A94,'Lorri 401b'!N:N,0),0)</f>
        <v>4246360.1553468797</v>
      </c>
      <c r="S94" s="25">
        <f t="shared" ca="1" si="7"/>
        <v>5889993.5514307413</v>
      </c>
    </row>
    <row r="95" spans="1:19" ht="15.75" customHeight="1" x14ac:dyDescent="0.3">
      <c r="A95" s="37">
        <v>53844</v>
      </c>
      <c r="B95" s="409">
        <f t="shared" ref="B95:C95" si="91">($A95-B$9)/365.25</f>
        <v>65.538672142368242</v>
      </c>
      <c r="C95" s="409">
        <f t="shared" si="91"/>
        <v>60.928131416837779</v>
      </c>
      <c r="E95" s="25">
        <f>IF(C95&gt;$B$7,0,'Combined Retirement'!$D$13/12)</f>
        <v>0</v>
      </c>
      <c r="F95" s="25">
        <f>IF(H95=0,'Combined Retirement'!$D$32,0)+'Combined Retirement'!$B$24</f>
        <v>2870.372285649099</v>
      </c>
      <c r="G95" s="25">
        <f>'Combined Retirement'!$C$24</f>
        <v>3525.4531757812501</v>
      </c>
      <c r="H95" s="25">
        <f>IF(B95&lt;62,0,'Combined Retirement'!$I$14)</f>
        <v>2192</v>
      </c>
      <c r="I95" s="25">
        <f>IF(C95&lt;62,0,'Combined Retirement'!$I$13)</f>
        <v>0</v>
      </c>
      <c r="J95" s="25">
        <f t="shared" si="3"/>
        <v>8539.3180191855863</v>
      </c>
      <c r="K95" s="25">
        <f t="shared" si="4"/>
        <v>22025.926519384055</v>
      </c>
      <c r="L95" s="25"/>
      <c r="N95" s="25">
        <f>'Combined Retirement'!$C$18/12</f>
        <v>39153.069999999992</v>
      </c>
      <c r="O95" s="25">
        <f t="shared" si="5"/>
        <v>8587.8254614303496</v>
      </c>
      <c r="P95" s="25">
        <f t="shared" si="6"/>
        <v>30565.244538569641</v>
      </c>
      <c r="Q95" s="25">
        <f t="array" aca="1" ref="Q95" ca="1">INDEX('Isaac 401k'!L:L,MATCH('Retirement Calculator'!A95,'Isaac 401k'!N:N,0),0)</f>
        <v>1641906.9700566116</v>
      </c>
      <c r="R95" s="25">
        <f t="array" aca="1" ref="R95" ca="1">INDEX('Lorri 401b'!L:L,MATCH('Retirement Calculator'!A95,'Lorri 401b'!N:N,0),0)</f>
        <v>4241935.6214476107</v>
      </c>
      <c r="S95" s="25">
        <f t="shared" ca="1" si="7"/>
        <v>5883842.5915042218</v>
      </c>
    </row>
    <row r="96" spans="1:19" ht="15.75" customHeight="1" x14ac:dyDescent="0.3">
      <c r="A96" s="37">
        <v>53874</v>
      </c>
      <c r="B96" s="409">
        <f t="shared" ref="B96:C96" si="92">($A96-B$9)/365.25</f>
        <v>65.620807665982198</v>
      </c>
      <c r="C96" s="409">
        <f t="shared" si="92"/>
        <v>61.010266940451743</v>
      </c>
      <c r="E96" s="25">
        <f>IF(C96&gt;$B$7,0,'Combined Retirement'!$D$13/12)</f>
        <v>0</v>
      </c>
      <c r="F96" s="25">
        <f>IF(H96=0,'Combined Retirement'!$D$32,0)+'Combined Retirement'!$B$24</f>
        <v>2870.372285649099</v>
      </c>
      <c r="G96" s="25">
        <f>'Combined Retirement'!$C$24</f>
        <v>3525.4531757812501</v>
      </c>
      <c r="H96" s="25">
        <f>IF(B96&lt;62,0,'Combined Retirement'!$I$14)</f>
        <v>2192</v>
      </c>
      <c r="I96" s="25">
        <f>IF(C96&lt;62,0,'Combined Retirement'!$I$13)</f>
        <v>0</v>
      </c>
      <c r="J96" s="25">
        <f t="shared" si="3"/>
        <v>8539.3180191855863</v>
      </c>
      <c r="K96" s="25">
        <f t="shared" si="4"/>
        <v>22025.926519384055</v>
      </c>
      <c r="L96" s="25"/>
      <c r="N96" s="25">
        <f>'Combined Retirement'!$C$18/12</f>
        <v>39153.069999999992</v>
      </c>
      <c r="O96" s="25">
        <f t="shared" si="5"/>
        <v>8587.8254614303496</v>
      </c>
      <c r="P96" s="25">
        <f t="shared" si="6"/>
        <v>30565.244538569641</v>
      </c>
      <c r="Q96" s="25">
        <f t="array" aca="1" ref="Q96" ca="1">INDEX('Isaac 401k'!L:L,MATCH('Retirement Calculator'!A96,'Isaac 401k'!N:N,0),0)</f>
        <v>1640173.3505875818</v>
      </c>
      <c r="R96" s="25">
        <f t="array" aca="1" ref="R96" ca="1">INDEX('Lorri 401b'!L:L,MATCH('Retirement Calculator'!A96,'Lorri 401b'!N:N,0),0)</f>
        <v>4237492.6519904276</v>
      </c>
      <c r="S96" s="25">
        <f t="shared" ca="1" si="7"/>
        <v>5877666.0025780089</v>
      </c>
    </row>
    <row r="97" spans="1:19" ht="15.75" customHeight="1" x14ac:dyDescent="0.3">
      <c r="A97" s="37">
        <v>53905</v>
      </c>
      <c r="B97" s="409">
        <f t="shared" ref="B97:C97" si="93">($A97-B$9)/365.25</f>
        <v>65.705681040383297</v>
      </c>
      <c r="C97" s="409">
        <f t="shared" si="93"/>
        <v>61.095140314852841</v>
      </c>
      <c r="E97" s="25">
        <f>IF(C97&gt;$B$7,0,'Combined Retirement'!$D$13/12)</f>
        <v>0</v>
      </c>
      <c r="F97" s="25">
        <f>IF(H97=0,'Combined Retirement'!$D$32,0)+'Combined Retirement'!$B$24</f>
        <v>2870.372285649099</v>
      </c>
      <c r="G97" s="25">
        <f>'Combined Retirement'!$C$24</f>
        <v>3525.4531757812501</v>
      </c>
      <c r="H97" s="25">
        <f>IF(B97&lt;62,0,'Combined Retirement'!$I$14)</f>
        <v>2192</v>
      </c>
      <c r="I97" s="25">
        <f>IF(C97&lt;62,0,'Combined Retirement'!$I$13)</f>
        <v>0</v>
      </c>
      <c r="J97" s="25">
        <f t="shared" si="3"/>
        <v>8539.3180191855863</v>
      </c>
      <c r="K97" s="25">
        <f t="shared" si="4"/>
        <v>22025.926519384055</v>
      </c>
      <c r="L97" s="25"/>
      <c r="N97" s="25">
        <f>'Combined Retirement'!$C$18/12</f>
        <v>39153.069999999992</v>
      </c>
      <c r="O97" s="25">
        <f t="shared" si="5"/>
        <v>8587.8254614303496</v>
      </c>
      <c r="P97" s="25">
        <f t="shared" si="6"/>
        <v>30565.244538569641</v>
      </c>
      <c r="Q97" s="25">
        <f t="array" aca="1" ref="Q97" ca="1">INDEX('Isaac 401k'!L:L,MATCH('Retirement Calculator'!A97,'Isaac 401k'!N:N,0),0)</f>
        <v>1638432.5077040978</v>
      </c>
      <c r="R97" s="25">
        <f t="array" aca="1" ref="R97" ca="1">INDEX('Lorri 401b'!L:L,MATCH('Retirement Calculator'!A97,'Lorri 401b'!N:N,0),0)</f>
        <v>4233031.1701605069</v>
      </c>
      <c r="S97" s="25">
        <f t="shared" ca="1" si="7"/>
        <v>5871463.6778646046</v>
      </c>
    </row>
    <row r="98" spans="1:19" ht="15.75" customHeight="1" x14ac:dyDescent="0.3">
      <c r="A98" s="37">
        <v>53936</v>
      </c>
      <c r="B98" s="409">
        <f t="shared" ref="B98:C98" si="94">($A98-B$9)/365.25</f>
        <v>65.790554414784395</v>
      </c>
      <c r="C98" s="409">
        <f t="shared" si="94"/>
        <v>61.180013689253933</v>
      </c>
      <c r="E98" s="25">
        <f>IF(C98&gt;$B$7,0,'Combined Retirement'!$D$13/12)</f>
        <v>0</v>
      </c>
      <c r="F98" s="25">
        <f>IF(H98=0,'Combined Retirement'!$D$32,0)+'Combined Retirement'!$B$24</f>
        <v>2870.372285649099</v>
      </c>
      <c r="G98" s="25">
        <f>'Combined Retirement'!$C$24</f>
        <v>3525.4531757812501</v>
      </c>
      <c r="H98" s="25">
        <f>IF(B98&lt;62,0,'Combined Retirement'!$I$14)</f>
        <v>2192</v>
      </c>
      <c r="I98" s="25">
        <f>IF(C98&lt;62,0,'Combined Retirement'!$I$13)</f>
        <v>0</v>
      </c>
      <c r="J98" s="25">
        <f t="shared" si="3"/>
        <v>8539.3180191855863</v>
      </c>
      <c r="K98" s="25">
        <f t="shared" si="4"/>
        <v>22025.926519384055</v>
      </c>
      <c r="L98" s="25"/>
      <c r="N98" s="25">
        <f>'Combined Retirement'!$C$18/12</f>
        <v>39153.069999999992</v>
      </c>
      <c r="O98" s="25">
        <f t="shared" si="5"/>
        <v>8587.8254614303496</v>
      </c>
      <c r="P98" s="25">
        <f t="shared" si="6"/>
        <v>30565.244538569641</v>
      </c>
      <c r="Q98" s="25">
        <f t="array" aca="1" ref="Q98" ca="1">INDEX('Isaac 401k'!L:L,MATCH('Retirement Calculator'!A98,'Isaac 401k'!N:N,0),0)</f>
        <v>1636684.4113085992</v>
      </c>
      <c r="R98" s="25">
        <f t="array" aca="1" ref="R98" ca="1">INDEX('Lorri 401b'!L:L,MATCH('Retirement Calculator'!A98,'Lorri 401b'!N:N,0),0)</f>
        <v>4228551.0988229616</v>
      </c>
      <c r="S98" s="25">
        <f t="shared" ca="1" si="7"/>
        <v>5865235.5101315603</v>
      </c>
    </row>
    <row r="99" spans="1:19" ht="15.75" customHeight="1" x14ac:dyDescent="0.3">
      <c r="A99" s="37">
        <v>53966</v>
      </c>
      <c r="B99" s="409">
        <f t="shared" ref="B99:C99" si="95">($A99-B$9)/365.25</f>
        <v>65.872689938398352</v>
      </c>
      <c r="C99" s="409">
        <f t="shared" si="95"/>
        <v>61.262149212867897</v>
      </c>
      <c r="E99" s="25">
        <f>IF(C99&gt;$B$7,0,'Combined Retirement'!$D$13/12)</f>
        <v>0</v>
      </c>
      <c r="F99" s="25">
        <f>IF(H99=0,'Combined Retirement'!$D$32,0)+'Combined Retirement'!$B$24</f>
        <v>2870.372285649099</v>
      </c>
      <c r="G99" s="25">
        <f>'Combined Retirement'!$C$24</f>
        <v>3525.4531757812501</v>
      </c>
      <c r="H99" s="25">
        <f>IF(B99&lt;62,0,'Combined Retirement'!$I$14)</f>
        <v>2192</v>
      </c>
      <c r="I99" s="25">
        <f>IF(C99&lt;62,0,'Combined Retirement'!$I$13)</f>
        <v>0</v>
      </c>
      <c r="J99" s="25">
        <f t="shared" si="3"/>
        <v>8539.3180191855863</v>
      </c>
      <c r="K99" s="25">
        <f t="shared" si="4"/>
        <v>22025.926519384055</v>
      </c>
      <c r="L99" s="25"/>
      <c r="N99" s="25">
        <f>'Combined Retirement'!$C$18/12</f>
        <v>39153.069999999992</v>
      </c>
      <c r="O99" s="25">
        <f t="shared" si="5"/>
        <v>8587.8254614303496</v>
      </c>
      <c r="P99" s="25">
        <f t="shared" si="6"/>
        <v>30565.244538569641</v>
      </c>
      <c r="Q99" s="25">
        <f t="array" aca="1" ref="Q99" ca="1">INDEX('Isaac 401k'!L:L,MATCH('Retirement Calculator'!A99,'Isaac 401k'!N:N,0),0)</f>
        <v>1634929.0311781194</v>
      </c>
      <c r="R99" s="25">
        <f t="array" aca="1" ref="R99" ca="1">INDEX('Lorri 401b'!L:L,MATCH('Retirement Calculator'!A99,'Lorri 401b'!N:N,0),0)</f>
        <v>4224052.3605215093</v>
      </c>
      <c r="S99" s="25">
        <f t="shared" ca="1" si="7"/>
        <v>5858981.3916996289</v>
      </c>
    </row>
    <row r="100" spans="1:19" ht="15.75" customHeight="1" x14ac:dyDescent="0.3">
      <c r="A100" s="37">
        <v>53997</v>
      </c>
      <c r="B100" s="409">
        <f t="shared" ref="B100:C100" si="96">($A100-B$9)/365.25</f>
        <v>65.957563312799451</v>
      </c>
      <c r="C100" s="409">
        <f t="shared" si="96"/>
        <v>61.347022587268995</v>
      </c>
      <c r="E100" s="25">
        <f>IF(C100&gt;$B$7,0,'Combined Retirement'!$D$13/12)</f>
        <v>0</v>
      </c>
      <c r="F100" s="25">
        <f>IF(H100=0,'Combined Retirement'!$D$32,0)+'Combined Retirement'!$B$24</f>
        <v>2870.372285649099</v>
      </c>
      <c r="G100" s="25">
        <f>'Combined Retirement'!$C$24</f>
        <v>3525.4531757812501</v>
      </c>
      <c r="H100" s="25">
        <f>IF(B100&lt;62,0,'Combined Retirement'!$I$14)</f>
        <v>2192</v>
      </c>
      <c r="I100" s="25">
        <f>IF(C100&lt;62,0,'Combined Retirement'!$I$13)</f>
        <v>0</v>
      </c>
      <c r="J100" s="25">
        <f t="shared" si="3"/>
        <v>8539.3180191855863</v>
      </c>
      <c r="K100" s="25">
        <f t="shared" si="4"/>
        <v>22025.926519384055</v>
      </c>
      <c r="L100" s="25"/>
      <c r="N100" s="25">
        <f>'Combined Retirement'!$C$18/12</f>
        <v>39153.069999999992</v>
      </c>
      <c r="O100" s="25">
        <f t="shared" si="5"/>
        <v>8587.8254614303496</v>
      </c>
      <c r="P100" s="25">
        <f t="shared" si="6"/>
        <v>30565.244538569641</v>
      </c>
      <c r="Q100" s="25">
        <f t="array" aca="1" ref="Q100" ca="1">INDEX('Isaac 401k'!L:L,MATCH('Retirement Calculator'!A100,'Isaac 401k'!N:N,0),0)</f>
        <v>1633166.3369637625</v>
      </c>
      <c r="R100" s="25">
        <f t="array" aca="1" ref="R100" ca="1">INDEX('Lorri 401b'!L:L,MATCH('Retirement Calculator'!A100,'Lorri 401b'!N:N,0),0)</f>
        <v>4219534.8774771346</v>
      </c>
      <c r="S100" s="25">
        <f t="shared" ca="1" si="7"/>
        <v>5852701.2144408971</v>
      </c>
    </row>
    <row r="101" spans="1:19" ht="15.75" customHeight="1" x14ac:dyDescent="0.3">
      <c r="A101" s="37">
        <v>54027</v>
      </c>
      <c r="B101" s="409">
        <f t="shared" ref="B101:C101" si="97">($A101-B$9)/365.25</f>
        <v>66.039698836413422</v>
      </c>
      <c r="C101" s="409">
        <f t="shared" si="97"/>
        <v>61.429158110882959</v>
      </c>
      <c r="E101" s="25">
        <f>IF(C101&gt;$B$7,0,'Combined Retirement'!$D$13/12)</f>
        <v>0</v>
      </c>
      <c r="F101" s="25">
        <f>IF(H101=0,'Combined Retirement'!$D$32,0)+'Combined Retirement'!$B$24</f>
        <v>2870.372285649099</v>
      </c>
      <c r="G101" s="25">
        <f>'Combined Retirement'!$C$24</f>
        <v>3525.4531757812501</v>
      </c>
      <c r="H101" s="25">
        <f>IF(B101&lt;62,0,'Combined Retirement'!$I$14)</f>
        <v>2192</v>
      </c>
      <c r="I101" s="25">
        <f>IF(C101&lt;62,0,'Combined Retirement'!$I$13)</f>
        <v>0</v>
      </c>
      <c r="J101" s="25">
        <f t="shared" si="3"/>
        <v>8539.3180191855863</v>
      </c>
      <c r="K101" s="25">
        <f t="shared" si="4"/>
        <v>22025.926519384055</v>
      </c>
      <c r="L101" s="25"/>
      <c r="N101" s="25">
        <f>'Combined Retirement'!$C$18/12</f>
        <v>39153.069999999992</v>
      </c>
      <c r="O101" s="25">
        <f t="shared" si="5"/>
        <v>8587.8254614303496</v>
      </c>
      <c r="P101" s="25">
        <f t="shared" si="6"/>
        <v>30565.244538569641</v>
      </c>
      <c r="Q101" s="25">
        <f t="array" aca="1" ref="Q101" ca="1">INDEX('Isaac 401k'!L:L,MATCH('Retirement Calculator'!A101,'Isaac 401k'!N:N,0),0)</f>
        <v>1631396.2981901793</v>
      </c>
      <c r="R101" s="25">
        <f t="array" aca="1" ref="R101" ca="1">INDEX('Lorri 401b'!L:L,MATCH('Retirement Calculator'!A101,'Lorri 401b'!N:N,0),0)</f>
        <v>4214998.5715867411</v>
      </c>
      <c r="S101" s="25">
        <f t="shared" ca="1" si="7"/>
        <v>5846394.8697769204</v>
      </c>
    </row>
    <row r="102" spans="1:19" ht="15.75" customHeight="1" x14ac:dyDescent="0.3">
      <c r="A102" s="37">
        <v>54058</v>
      </c>
      <c r="B102" s="409">
        <f t="shared" ref="B102:C102" si="98">($A102-B$9)/365.25</f>
        <v>66.124572210814506</v>
      </c>
      <c r="C102" s="409">
        <f t="shared" si="98"/>
        <v>61.51403148528405</v>
      </c>
      <c r="E102" s="25">
        <f>IF(C102&gt;$B$7,0,'Combined Retirement'!$D$13/12)</f>
        <v>0</v>
      </c>
      <c r="F102" s="25">
        <f>IF(H102=0,'Combined Retirement'!$D$32,0)+'Combined Retirement'!$B$24</f>
        <v>2870.372285649099</v>
      </c>
      <c r="G102" s="25">
        <f>'Combined Retirement'!$C$24</f>
        <v>3525.4531757812501</v>
      </c>
      <c r="H102" s="25">
        <f>IF(B102&lt;62,0,'Combined Retirement'!$I$14)</f>
        <v>2192</v>
      </c>
      <c r="I102" s="25">
        <f>IF(C102&lt;62,0,'Combined Retirement'!$I$13)</f>
        <v>0</v>
      </c>
      <c r="J102" s="25">
        <f t="shared" si="3"/>
        <v>8539.3180191855863</v>
      </c>
      <c r="K102" s="25">
        <f t="shared" si="4"/>
        <v>22025.926519384055</v>
      </c>
      <c r="L102" s="25"/>
      <c r="N102" s="25">
        <f>'Combined Retirement'!$C$18/12</f>
        <v>39153.069999999992</v>
      </c>
      <c r="O102" s="25">
        <f t="shared" si="5"/>
        <v>8587.8254614303496</v>
      </c>
      <c r="P102" s="25">
        <f t="shared" si="6"/>
        <v>30565.244538569641</v>
      </c>
      <c r="Q102" s="25">
        <f t="array" aca="1" ref="Q102" ca="1">INDEX('Isaac 401k'!L:L,MATCH('Retirement Calculator'!A102,'Isaac 401k'!N:N,0),0)</f>
        <v>1629618.8842550395</v>
      </c>
      <c r="R102" s="25">
        <f t="array" aca="1" ref="R102" ca="1">INDEX('Lorri 401b'!L:L,MATCH('Retirement Calculator'!A102,'Lorri 401b'!N:N,0),0)</f>
        <v>4210443.3644218044</v>
      </c>
      <c r="S102" s="25">
        <f t="shared" ca="1" si="7"/>
        <v>5840062.2486768439</v>
      </c>
    </row>
    <row r="103" spans="1:19" ht="15.75" customHeight="1" x14ac:dyDescent="0.3">
      <c r="A103" s="37">
        <v>54089</v>
      </c>
      <c r="B103" s="409">
        <f t="shared" ref="B103:C103" si="99">($A103-B$9)/365.25</f>
        <v>66.209445585215605</v>
      </c>
      <c r="C103" s="409">
        <f t="shared" si="99"/>
        <v>61.598904859685149</v>
      </c>
      <c r="E103" s="25">
        <f>IF(C103&gt;$B$7,0,'Combined Retirement'!$D$13/12)</f>
        <v>0</v>
      </c>
      <c r="F103" s="25">
        <f>IF(H103=0,'Combined Retirement'!$D$32,0)+'Combined Retirement'!$B$24</f>
        <v>2870.372285649099</v>
      </c>
      <c r="G103" s="25">
        <f>'Combined Retirement'!$C$24</f>
        <v>3525.4531757812501</v>
      </c>
      <c r="H103" s="25">
        <f>IF(B103&lt;62,0,'Combined Retirement'!$I$14)</f>
        <v>2192</v>
      </c>
      <c r="I103" s="25">
        <f>IF(C103&lt;62,0,'Combined Retirement'!$I$13)</f>
        <v>0</v>
      </c>
      <c r="J103" s="25">
        <f t="shared" si="3"/>
        <v>8539.3180191855863</v>
      </c>
      <c r="K103" s="25">
        <f t="shared" si="4"/>
        <v>22025.926519384055</v>
      </c>
      <c r="L103" s="25"/>
      <c r="N103" s="25">
        <f>'Combined Retirement'!$C$18/12</f>
        <v>39153.069999999992</v>
      </c>
      <c r="O103" s="25">
        <f t="shared" si="5"/>
        <v>8587.8254614303496</v>
      </c>
      <c r="P103" s="25">
        <f t="shared" si="6"/>
        <v>30565.244538569641</v>
      </c>
      <c r="Q103" s="25">
        <f t="array" aca="1" ref="Q103" ca="1">INDEX('Isaac 401k'!L:L,MATCH('Retirement Calculator'!A103,'Isaac 401k'!N:N,0),0)</f>
        <v>1627834.0644285032</v>
      </c>
      <c r="R103" s="25">
        <f t="array" aca="1" ref="R103" ca="1">INDEX('Lorri 401b'!L:L,MATCH('Retirement Calculator'!A103,'Lorri 401b'!N:N,0),0)</f>
        <v>4205869.1772270137</v>
      </c>
      <c r="S103" s="25">
        <f t="shared" ca="1" si="7"/>
        <v>5833703.2416555174</v>
      </c>
    </row>
    <row r="104" spans="1:19" ht="15.75" customHeight="1" x14ac:dyDescent="0.3">
      <c r="A104" s="37">
        <v>54118</v>
      </c>
      <c r="B104" s="409">
        <f t="shared" ref="B104:C104" si="100">($A104-B$9)/365.25</f>
        <v>66.288843258042434</v>
      </c>
      <c r="C104" s="409">
        <f t="shared" si="100"/>
        <v>61.678302532511978</v>
      </c>
      <c r="E104" s="25">
        <f>IF(C104&gt;$B$7,0,'Combined Retirement'!$D$13/12)</f>
        <v>0</v>
      </c>
      <c r="F104" s="25">
        <f>IF(H104=0,'Combined Retirement'!$D$32,0)+'Combined Retirement'!$B$24</f>
        <v>2870.372285649099</v>
      </c>
      <c r="G104" s="25">
        <f>'Combined Retirement'!$C$24</f>
        <v>3525.4531757812501</v>
      </c>
      <c r="H104" s="25">
        <f>IF(B104&lt;62,0,'Combined Retirement'!$I$14)</f>
        <v>2192</v>
      </c>
      <c r="I104" s="25">
        <f>IF(C104&lt;62,0,'Combined Retirement'!$I$13)</f>
        <v>0</v>
      </c>
      <c r="J104" s="25">
        <f t="shared" si="3"/>
        <v>8539.3180191855863</v>
      </c>
      <c r="K104" s="25">
        <f t="shared" si="4"/>
        <v>22025.926519384055</v>
      </c>
      <c r="L104" s="25"/>
      <c r="N104" s="25">
        <f>'Combined Retirement'!$C$18/12</f>
        <v>39153.069999999992</v>
      </c>
      <c r="O104" s="25">
        <f t="shared" si="5"/>
        <v>8587.8254614303496</v>
      </c>
      <c r="P104" s="25">
        <f t="shared" si="6"/>
        <v>30565.244538569641</v>
      </c>
      <c r="Q104" s="25">
        <f t="array" aca="1" ref="Q104" ca="1">INDEX('Isaac 401k'!L:L,MATCH('Retirement Calculator'!A104,'Isaac 401k'!N:N,0),0)</f>
        <v>1626041.8078526896</v>
      </c>
      <c r="R104" s="25">
        <f t="array" aca="1" ref="R104" ca="1">INDEX('Lorri 401b'!L:L,MATCH('Retirement Calculator'!A104,'Lorri 401b'!N:N,0),0)</f>
        <v>4201275.9309189115</v>
      </c>
      <c r="S104" s="25">
        <f t="shared" ca="1" si="7"/>
        <v>5827317.7387716006</v>
      </c>
    </row>
    <row r="105" spans="1:19" ht="15.75" customHeight="1" x14ac:dyDescent="0.3">
      <c r="A105" s="37">
        <v>54149</v>
      </c>
      <c r="B105" s="409">
        <f t="shared" ref="B105:C105" si="101">($A105-B$9)/365.25</f>
        <v>66.373716632443532</v>
      </c>
      <c r="C105" s="409">
        <f t="shared" si="101"/>
        <v>61.763175906913077</v>
      </c>
      <c r="E105" s="25">
        <f>IF(C105&gt;$B$7,0,'Combined Retirement'!$D$13/12)</f>
        <v>0</v>
      </c>
      <c r="F105" s="25">
        <f>IF(H105=0,'Combined Retirement'!$D$32,0)+'Combined Retirement'!$B$24</f>
        <v>2870.372285649099</v>
      </c>
      <c r="G105" s="25">
        <f>'Combined Retirement'!$C$24</f>
        <v>3525.4531757812501</v>
      </c>
      <c r="H105" s="25">
        <f>IF(B105&lt;62,0,'Combined Retirement'!$I$14)</f>
        <v>2192</v>
      </c>
      <c r="I105" s="25">
        <f>IF(C105&lt;62,0,'Combined Retirement'!$I$13)</f>
        <v>0</v>
      </c>
      <c r="J105" s="25">
        <f t="shared" si="3"/>
        <v>8539.3180191855863</v>
      </c>
      <c r="K105" s="25">
        <f t="shared" si="4"/>
        <v>22025.926519384055</v>
      </c>
      <c r="L105" s="25"/>
      <c r="N105" s="25">
        <f>'Combined Retirement'!$C$18/12</f>
        <v>39153.069999999992</v>
      </c>
      <c r="O105" s="25">
        <f t="shared" si="5"/>
        <v>8587.8254614303496</v>
      </c>
      <c r="P105" s="25">
        <f t="shared" si="6"/>
        <v>30565.244538569641</v>
      </c>
      <c r="Q105" s="25">
        <f t="array" aca="1" ref="Q105" ca="1">INDEX('Isaac 401k'!L:L,MATCH('Retirement Calculator'!A105,'Isaac 401k'!N:N,0),0)</f>
        <v>1624242.0835411435</v>
      </c>
      <c r="R105" s="25">
        <f t="array" aca="1" ref="R105" ca="1">INDEX('Lorri 401b'!L:L,MATCH('Retirement Calculator'!A105,'Lorri 401b'!N:N,0),0)</f>
        <v>4196663.5460845251</v>
      </c>
      <c r="S105" s="25">
        <f t="shared" ca="1" si="7"/>
        <v>5820905.6296256687</v>
      </c>
    </row>
    <row r="106" spans="1:19" ht="15.75" customHeight="1" x14ac:dyDescent="0.3">
      <c r="A106" s="37">
        <v>54179</v>
      </c>
      <c r="B106" s="409">
        <f t="shared" ref="B106:C106" si="102">($A106-B$9)/365.25</f>
        <v>66.455852156057489</v>
      </c>
      <c r="C106" s="409">
        <f t="shared" si="102"/>
        <v>61.845311430527033</v>
      </c>
      <c r="E106" s="25">
        <f>IF(C106&gt;$B$7,0,'Combined Retirement'!$D$13/12)</f>
        <v>0</v>
      </c>
      <c r="F106" s="25">
        <f>IF(H106=0,'Combined Retirement'!$D$32,0)+'Combined Retirement'!$B$24</f>
        <v>2870.372285649099</v>
      </c>
      <c r="G106" s="25">
        <f>'Combined Retirement'!$C$24</f>
        <v>3525.4531757812501</v>
      </c>
      <c r="H106" s="25">
        <f>IF(B106&lt;62,0,'Combined Retirement'!$I$14)</f>
        <v>2192</v>
      </c>
      <c r="I106" s="25">
        <f>IF(C106&lt;62,0,'Combined Retirement'!$I$13)</f>
        <v>0</v>
      </c>
      <c r="J106" s="25">
        <f t="shared" si="3"/>
        <v>8539.3180191855863</v>
      </c>
      <c r="K106" s="25">
        <f t="shared" si="4"/>
        <v>22025.926519384055</v>
      </c>
      <c r="L106" s="25"/>
      <c r="N106" s="25">
        <f>'Combined Retirement'!$C$18/12</f>
        <v>39153.069999999992</v>
      </c>
      <c r="O106" s="25">
        <f t="shared" si="5"/>
        <v>8587.8254614303496</v>
      </c>
      <c r="P106" s="25">
        <f t="shared" si="6"/>
        <v>30565.244538569641</v>
      </c>
      <c r="Q106" s="25">
        <f t="array" aca="1" ref="Q106" ca="1">INDEX('Isaac 401k'!L:L,MATCH('Retirement Calculator'!A106,'Isaac 401k'!N:N,0),0)</f>
        <v>1622434.8603782994</v>
      </c>
      <c r="R106" s="25">
        <f t="array" aca="1" ref="R106" ca="1">INDEX('Lorri 401b'!L:L,MATCH('Retirement Calculator'!A106,'Lorri 401b'!N:N,0),0)</f>
        <v>4192031.9429799956</v>
      </c>
      <c r="S106" s="25">
        <f t="shared" ca="1" si="7"/>
        <v>5814466.803358295</v>
      </c>
    </row>
    <row r="107" spans="1:19" ht="15.75" customHeight="1" x14ac:dyDescent="0.3">
      <c r="A107" s="37">
        <v>54210</v>
      </c>
      <c r="B107" s="409">
        <f t="shared" ref="B107:C107" si="103">($A107-B$9)/365.25</f>
        <v>66.540725530458587</v>
      </c>
      <c r="C107" s="409">
        <f t="shared" si="103"/>
        <v>61.930184804928132</v>
      </c>
      <c r="E107" s="25">
        <f>IF(C107&gt;$B$7,0,'Combined Retirement'!$D$13/12)</f>
        <v>0</v>
      </c>
      <c r="F107" s="25">
        <f>IF(H107=0,'Combined Retirement'!$D$32,0)+'Combined Retirement'!$B$24</f>
        <v>2870.372285649099</v>
      </c>
      <c r="G107" s="25">
        <f>'Combined Retirement'!$C$24</f>
        <v>3525.4531757812501</v>
      </c>
      <c r="H107" s="25">
        <f>IF(B107&lt;62,0,'Combined Retirement'!$I$14)</f>
        <v>2192</v>
      </c>
      <c r="I107" s="25">
        <f>IF(C107&lt;62,0,'Combined Retirement'!$I$13)</f>
        <v>0</v>
      </c>
      <c r="J107" s="25">
        <f t="shared" si="3"/>
        <v>8539.3180191855863</v>
      </c>
      <c r="K107" s="25">
        <f t="shared" si="4"/>
        <v>22025.926519384055</v>
      </c>
      <c r="L107" s="25"/>
      <c r="N107" s="25">
        <f>'Combined Retirement'!$C$18/12</f>
        <v>39153.069999999992</v>
      </c>
      <c r="O107" s="25">
        <f t="shared" si="5"/>
        <v>8587.8254614303496</v>
      </c>
      <c r="P107" s="25">
        <f t="shared" si="6"/>
        <v>30565.244538569641</v>
      </c>
      <c r="Q107" s="25">
        <f t="array" aca="1" ref="Q107" ca="1">INDEX('Isaac 401k'!L:L,MATCH('Retirement Calculator'!A107,'Isaac 401k'!N:N,0),0)</f>
        <v>1620620.1071189432</v>
      </c>
      <c r="R107" s="25">
        <f t="array" aca="1" ref="R107" ca="1">INDEX('Lorri 401b'!L:L,MATCH('Retirement Calculator'!A107,'Lorri 401b'!N:N,0),0)</f>
        <v>4187381.0415291972</v>
      </c>
      <c r="S107" s="25">
        <f t="shared" ca="1" si="7"/>
        <v>5808001.148648141</v>
      </c>
    </row>
    <row r="108" spans="1:19" ht="15.75" customHeight="1" x14ac:dyDescent="0.3">
      <c r="A108" s="37">
        <v>54240</v>
      </c>
      <c r="B108" s="409">
        <f t="shared" ref="B108:C108" si="104">($A108-B$9)/365.25</f>
        <v>66.622861054072558</v>
      </c>
      <c r="C108" s="409">
        <f t="shared" si="104"/>
        <v>62.012320328542096</v>
      </c>
      <c r="E108" s="25">
        <f>IF(C108&gt;$B$7,0,'Combined Retirement'!$D$13/12)</f>
        <v>0</v>
      </c>
      <c r="F108" s="25">
        <f>IF(H108=0,'Combined Retirement'!$D$32,0)+'Combined Retirement'!$B$24</f>
        <v>2870.372285649099</v>
      </c>
      <c r="G108" s="25">
        <f>'Combined Retirement'!$C$24</f>
        <v>3525.4531757812501</v>
      </c>
      <c r="H108" s="25">
        <f>IF(B108&lt;62,0,'Combined Retirement'!$I$14)</f>
        <v>2192</v>
      </c>
      <c r="I108" s="25">
        <f>IF(C108&lt;62,0,'Combined Retirement'!$I$13)</f>
        <v>2420</v>
      </c>
      <c r="J108" s="25">
        <f t="shared" si="3"/>
        <v>7863.2184191855868</v>
      </c>
      <c r="K108" s="25">
        <f t="shared" si="4"/>
        <v>20282.026119384056</v>
      </c>
      <c r="L108" s="25"/>
      <c r="N108" s="25">
        <f>'Combined Retirement'!$C$18/12</f>
        <v>39153.069999999992</v>
      </c>
      <c r="O108" s="25">
        <f t="shared" si="5"/>
        <v>11007.82546143035</v>
      </c>
      <c r="P108" s="25">
        <f t="shared" si="6"/>
        <v>28145.244538569641</v>
      </c>
      <c r="Q108" s="25">
        <f t="array" aca="1" ref="Q108" ca="1">INDEX('Isaac 401k'!L:L,MATCH('Retirement Calculator'!A108,'Isaac 401k'!N:N,0),0)</f>
        <v>1619476.70906934</v>
      </c>
      <c r="R108" s="25">
        <f t="array" aca="1" ref="R108" ca="1">INDEX('Lorri 401b'!L:L,MATCH('Retirement Calculator'!A108,'Lorri 401b'!N:N,0),0)</f>
        <v>4184461.9279740206</v>
      </c>
      <c r="S108" s="25">
        <f t="shared" ca="1" si="7"/>
        <v>5803938.6370433606</v>
      </c>
    </row>
    <row r="109" spans="1:19" ht="15.75" customHeight="1" x14ac:dyDescent="0.3">
      <c r="A109" s="37">
        <v>54271</v>
      </c>
      <c r="B109" s="409">
        <f t="shared" ref="B109:C109" si="105">($A109-B$9)/365.25</f>
        <v>66.707734428473643</v>
      </c>
      <c r="C109" s="409">
        <f t="shared" si="105"/>
        <v>62.097193702943187</v>
      </c>
      <c r="E109" s="25">
        <f>IF(C109&gt;$B$7,0,'Combined Retirement'!$D$13/12)</f>
        <v>0</v>
      </c>
      <c r="F109" s="25">
        <f>IF(H109=0,'Combined Retirement'!$D$32,0)+'Combined Retirement'!$B$24</f>
        <v>2870.372285649099</v>
      </c>
      <c r="G109" s="25">
        <f>'Combined Retirement'!$C$24</f>
        <v>3525.4531757812501</v>
      </c>
      <c r="H109" s="25">
        <f>IF(B109&lt;62,0,'Combined Retirement'!$I$14)</f>
        <v>2192</v>
      </c>
      <c r="I109" s="25">
        <f>IF(C109&lt;62,0,'Combined Retirement'!$I$13)</f>
        <v>2420</v>
      </c>
      <c r="J109" s="25">
        <f t="shared" si="3"/>
        <v>7863.2184191855868</v>
      </c>
      <c r="K109" s="25">
        <f t="shared" si="4"/>
        <v>20282.026119384056</v>
      </c>
      <c r="L109" s="25"/>
      <c r="N109" s="25">
        <f>'Combined Retirement'!$C$18/12</f>
        <v>39153.069999999992</v>
      </c>
      <c r="O109" s="25">
        <f t="shared" si="5"/>
        <v>11007.82546143035</v>
      </c>
      <c r="P109" s="25">
        <f t="shared" si="6"/>
        <v>28145.244538569641</v>
      </c>
      <c r="Q109" s="25">
        <f t="array" aca="1" ref="Q109" ca="1">INDEX('Isaac 401k'!L:L,MATCH('Retirement Calculator'!A109,'Isaac 401k'!N:N,0),0)</f>
        <v>1618328.5468611966</v>
      </c>
      <c r="R109" s="25">
        <f t="array" aca="1" ref="R109" ca="1">INDEX('Lorri 401b'!L:L,MATCH('Retirement Calculator'!A109,'Lorri 401b'!N:N,0),0)</f>
        <v>4181530.6514456975</v>
      </c>
      <c r="S109" s="25">
        <f t="shared" ca="1" si="7"/>
        <v>5799859.1983068939</v>
      </c>
    </row>
    <row r="110" spans="1:19" ht="15.75" customHeight="1" x14ac:dyDescent="0.3">
      <c r="A110" s="37">
        <v>54302</v>
      </c>
      <c r="B110" s="409">
        <f t="shared" ref="B110:C110" si="106">($A110-B$9)/365.25</f>
        <v>66.792607802874741</v>
      </c>
      <c r="C110" s="409">
        <f t="shared" si="106"/>
        <v>62.182067077344286</v>
      </c>
      <c r="E110" s="25">
        <f>IF(C110&gt;$B$7,0,'Combined Retirement'!$D$13/12)</f>
        <v>0</v>
      </c>
      <c r="F110" s="25">
        <f>IF(H110=0,'Combined Retirement'!$D$32,0)+'Combined Retirement'!$B$24</f>
        <v>2870.372285649099</v>
      </c>
      <c r="G110" s="25">
        <f>'Combined Retirement'!$C$24</f>
        <v>3525.4531757812501</v>
      </c>
      <c r="H110" s="25">
        <f>IF(B110&lt;62,0,'Combined Retirement'!$I$14)</f>
        <v>2192</v>
      </c>
      <c r="I110" s="25">
        <f>IF(C110&lt;62,0,'Combined Retirement'!$I$13)</f>
        <v>2420</v>
      </c>
      <c r="J110" s="25">
        <f t="shared" si="3"/>
        <v>7863.2184191855868</v>
      </c>
      <c r="K110" s="25">
        <f t="shared" si="4"/>
        <v>20282.026119384056</v>
      </c>
      <c r="L110" s="25"/>
      <c r="N110" s="25">
        <f>'Combined Retirement'!$C$18/12</f>
        <v>39153.069999999992</v>
      </c>
      <c r="O110" s="25">
        <f t="shared" si="5"/>
        <v>11007.82546143035</v>
      </c>
      <c r="P110" s="25">
        <f t="shared" si="6"/>
        <v>28145.244538569641</v>
      </c>
      <c r="Q110" s="25">
        <f t="array" aca="1" ref="Q110" ca="1">INDEX('Isaac 401k'!L:L,MATCH('Retirement Calculator'!A110,'Isaac 401k'!N:N,0),0)</f>
        <v>1617175.6006438527</v>
      </c>
      <c r="R110" s="25">
        <f t="array" aca="1" ref="R110" ca="1">INDEX('Lorri 401b'!L:L,MATCH('Retirement Calculator'!A110,'Lorri 401b'!N:N,0),0)</f>
        <v>4178587.161265173</v>
      </c>
      <c r="S110" s="25">
        <f t="shared" ca="1" si="7"/>
        <v>5795762.7619090257</v>
      </c>
    </row>
    <row r="111" spans="1:19" ht="15.75" customHeight="1" x14ac:dyDescent="0.3">
      <c r="A111" s="37">
        <v>54332</v>
      </c>
      <c r="B111" s="409">
        <f t="shared" ref="B111:C111" si="107">($A111-B$9)/365.25</f>
        <v>66.874743326488712</v>
      </c>
      <c r="C111" s="409">
        <f t="shared" si="107"/>
        <v>62.264202600958249</v>
      </c>
      <c r="E111" s="25">
        <f>IF(C111&gt;$B$7,0,'Combined Retirement'!$D$13/12)</f>
        <v>0</v>
      </c>
      <c r="F111" s="25">
        <f>IF(H111=0,'Combined Retirement'!$D$32,0)+'Combined Retirement'!$B$24</f>
        <v>2870.372285649099</v>
      </c>
      <c r="G111" s="25">
        <f>'Combined Retirement'!$C$24</f>
        <v>3525.4531757812501</v>
      </c>
      <c r="H111" s="25">
        <f>IF(B111&lt;62,0,'Combined Retirement'!$I$14)</f>
        <v>2192</v>
      </c>
      <c r="I111" s="25">
        <f>IF(C111&lt;62,0,'Combined Retirement'!$I$13)</f>
        <v>2420</v>
      </c>
      <c r="J111" s="25">
        <f t="shared" si="3"/>
        <v>7863.2184191855868</v>
      </c>
      <c r="K111" s="25">
        <f t="shared" si="4"/>
        <v>20282.026119384056</v>
      </c>
      <c r="L111" s="25"/>
      <c r="N111" s="25">
        <f>'Combined Retirement'!$C$18/12</f>
        <v>39153.069999999992</v>
      </c>
      <c r="O111" s="25">
        <f t="shared" si="5"/>
        <v>11007.82546143035</v>
      </c>
      <c r="P111" s="25">
        <f t="shared" si="6"/>
        <v>28145.244538569641</v>
      </c>
      <c r="Q111" s="25">
        <f t="array" aca="1" ref="Q111" ca="1">INDEX('Isaac 401k'!L:L,MATCH('Retirement Calculator'!A111,'Isaac 401k'!N:N,0),0)</f>
        <v>1616017.8504839365</v>
      </c>
      <c r="R111" s="25">
        <f t="array" aca="1" ref="R111" ca="1">INDEX('Lorri 401b'!L:L,MATCH('Retirement Calculator'!A111,'Lorri 401b'!N:N,0),0)</f>
        <v>4175631.4065422299</v>
      </c>
      <c r="S111" s="25">
        <f t="shared" ca="1" si="7"/>
        <v>5791649.2570261667</v>
      </c>
    </row>
    <row r="112" spans="1:19" ht="15.75" customHeight="1" x14ac:dyDescent="0.3">
      <c r="A112" s="37">
        <v>54363</v>
      </c>
      <c r="B112" s="409">
        <f t="shared" ref="B112:C112" si="108">($A112-B$9)/365.25</f>
        <v>66.959616700889796</v>
      </c>
      <c r="C112" s="409">
        <f t="shared" si="108"/>
        <v>62.349075975359341</v>
      </c>
      <c r="E112" s="25">
        <f>IF(C112&gt;$B$7,0,'Combined Retirement'!$D$13/12)</f>
        <v>0</v>
      </c>
      <c r="F112" s="25">
        <f>IF(H112=0,'Combined Retirement'!$D$32,0)+'Combined Retirement'!$B$24</f>
        <v>2870.372285649099</v>
      </c>
      <c r="G112" s="25">
        <f>'Combined Retirement'!$C$24</f>
        <v>3525.4531757812501</v>
      </c>
      <c r="H112" s="25">
        <f>IF(B112&lt;62,0,'Combined Retirement'!$I$14)</f>
        <v>2192</v>
      </c>
      <c r="I112" s="25">
        <f>IF(C112&lt;62,0,'Combined Retirement'!$I$13)</f>
        <v>2420</v>
      </c>
      <c r="J112" s="25">
        <f t="shared" si="3"/>
        <v>7863.2184191855868</v>
      </c>
      <c r="K112" s="25">
        <f t="shared" si="4"/>
        <v>20282.026119384056</v>
      </c>
      <c r="L112" s="25"/>
      <c r="N112" s="25">
        <f>'Combined Retirement'!$C$18/12</f>
        <v>39153.069999999992</v>
      </c>
      <c r="O112" s="25">
        <f t="shared" si="5"/>
        <v>11007.82546143035</v>
      </c>
      <c r="P112" s="25">
        <f t="shared" si="6"/>
        <v>28145.244538569641</v>
      </c>
      <c r="Q112" s="25">
        <f t="array" aca="1" ref="Q112" ca="1">INDEX('Isaac 401k'!L:L,MATCH('Retirement Calculator'!A112,'Isaac 401k'!N:N,0),0)</f>
        <v>1614855.2763650208</v>
      </c>
      <c r="R112" s="25">
        <f t="array" aca="1" ref="R112" ca="1">INDEX('Lorri 401b'!L:L,MATCH('Retirement Calculator'!A112,'Lorri 401b'!N:N,0),0)</f>
        <v>4172663.3361746077</v>
      </c>
      <c r="S112" s="25">
        <f t="shared" ca="1" si="7"/>
        <v>5787518.6125396285</v>
      </c>
    </row>
    <row r="113" spans="1:19" ht="15.75" customHeight="1" x14ac:dyDescent="0.3">
      <c r="A113" s="37">
        <v>54393</v>
      </c>
      <c r="B113" s="409">
        <f t="shared" ref="B113:C113" si="109">($A113-B$9)/365.25</f>
        <v>67.041752224503767</v>
      </c>
      <c r="C113" s="409">
        <f t="shared" si="109"/>
        <v>62.431211498973305</v>
      </c>
      <c r="E113" s="25">
        <f>IF(C113&gt;$B$7,0,'Combined Retirement'!$D$13/12)</f>
        <v>0</v>
      </c>
      <c r="F113" s="25">
        <f>IF(H113=0,'Combined Retirement'!$D$32,0)+'Combined Retirement'!$B$24</f>
        <v>2870.372285649099</v>
      </c>
      <c r="G113" s="25">
        <f>'Combined Retirement'!$C$24</f>
        <v>3525.4531757812501</v>
      </c>
      <c r="H113" s="25">
        <f>IF(B113&lt;62,0,'Combined Retirement'!$I$14)</f>
        <v>2192</v>
      </c>
      <c r="I113" s="25">
        <f>IF(C113&lt;62,0,'Combined Retirement'!$I$13)</f>
        <v>2420</v>
      </c>
      <c r="J113" s="25">
        <f t="shared" si="3"/>
        <v>7863.2184191855868</v>
      </c>
      <c r="K113" s="25">
        <f t="shared" si="4"/>
        <v>20282.026119384056</v>
      </c>
      <c r="L113" s="25"/>
      <c r="N113" s="25">
        <f>'Combined Retirement'!$C$18/12</f>
        <v>39153.069999999992</v>
      </c>
      <c r="O113" s="25">
        <f t="shared" si="5"/>
        <v>11007.82546143035</v>
      </c>
      <c r="P113" s="25">
        <f t="shared" si="6"/>
        <v>28145.244538569641</v>
      </c>
      <c r="Q113" s="25">
        <f t="array" aca="1" ref="Q113" ca="1">INDEX('Isaac 401k'!L:L,MATCH('Retirement Calculator'!A113,'Isaac 401k'!N:N,0),0)</f>
        <v>1613687.8581872762</v>
      </c>
      <c r="R113" s="25">
        <f t="array" aca="1" ref="R113" ca="1">INDEX('Lorri 401b'!L:L,MATCH('Retirement Calculator'!A113,'Lorri 401b'!N:N,0),0)</f>
        <v>4169682.8988471203</v>
      </c>
      <c r="S113" s="25">
        <f t="shared" ca="1" si="7"/>
        <v>5783370.7570343968</v>
      </c>
    </row>
    <row r="114" spans="1:19" ht="15.75" customHeight="1" x14ac:dyDescent="0.3">
      <c r="A114" s="37">
        <v>54424</v>
      </c>
      <c r="B114" s="409">
        <f t="shared" ref="B114:C114" si="110">($A114-B$9)/365.25</f>
        <v>67.126625598904866</v>
      </c>
      <c r="C114" s="409">
        <f t="shared" si="110"/>
        <v>62.516084873374403</v>
      </c>
      <c r="E114" s="25">
        <f>IF(C114&gt;$B$7,0,'Combined Retirement'!$D$13/12)</f>
        <v>0</v>
      </c>
      <c r="F114" s="25">
        <f>IF(H114=0,'Combined Retirement'!$D$32,0)+'Combined Retirement'!$B$24</f>
        <v>2870.372285649099</v>
      </c>
      <c r="G114" s="25">
        <f>'Combined Retirement'!$C$24</f>
        <v>3525.4531757812501</v>
      </c>
      <c r="H114" s="25">
        <f>IF(B114&lt;62,0,'Combined Retirement'!$I$14)</f>
        <v>2192</v>
      </c>
      <c r="I114" s="25">
        <f>IF(C114&lt;62,0,'Combined Retirement'!$I$13)</f>
        <v>2420</v>
      </c>
      <c r="J114" s="25">
        <f t="shared" si="3"/>
        <v>7863.2184191855868</v>
      </c>
      <c r="K114" s="25">
        <f t="shared" si="4"/>
        <v>20282.026119384056</v>
      </c>
      <c r="L114" s="25"/>
      <c r="N114" s="25">
        <f>'Combined Retirement'!$C$18/12</f>
        <v>39153.069999999992</v>
      </c>
      <c r="O114" s="25">
        <f t="shared" si="5"/>
        <v>11007.82546143035</v>
      </c>
      <c r="P114" s="25">
        <f t="shared" si="6"/>
        <v>28145.244538569641</v>
      </c>
      <c r="Q114" s="25">
        <f t="array" aca="1" ref="Q114" ca="1">INDEX('Isaac 401k'!L:L,MATCH('Retirement Calculator'!A114,'Isaac 401k'!N:N,0),0)</f>
        <v>1612515.5757671243</v>
      </c>
      <c r="R114" s="25">
        <f t="array" aca="1" ref="R114" ca="1">INDEX('Lorri 401b'!L:L,MATCH('Retirement Calculator'!A114,'Lorri 401b'!N:N,0),0)</f>
        <v>4166690.0430307686</v>
      </c>
      <c r="S114" s="25">
        <f t="shared" ca="1" si="7"/>
        <v>5779205.6187978927</v>
      </c>
    </row>
    <row r="115" spans="1:19" ht="15.75" customHeight="1" x14ac:dyDescent="0.3">
      <c r="A115" s="37">
        <v>54455</v>
      </c>
      <c r="B115" s="409">
        <f t="shared" ref="B115:C115" si="111">($A115-B$9)/365.25</f>
        <v>67.21149897330595</v>
      </c>
      <c r="C115" s="409">
        <f t="shared" si="111"/>
        <v>62.600958247775495</v>
      </c>
      <c r="E115" s="25">
        <f>IF(C115&gt;$B$7,0,'Combined Retirement'!$D$13/12)</f>
        <v>0</v>
      </c>
      <c r="F115" s="25">
        <f>IF(H115=0,'Combined Retirement'!$D$32,0)+'Combined Retirement'!$B$24</f>
        <v>2870.372285649099</v>
      </c>
      <c r="G115" s="25">
        <f>'Combined Retirement'!$C$24</f>
        <v>3525.4531757812501</v>
      </c>
      <c r="H115" s="25">
        <f>IF(B115&lt;62,0,'Combined Retirement'!$I$14)</f>
        <v>2192</v>
      </c>
      <c r="I115" s="25">
        <f>IF(C115&lt;62,0,'Combined Retirement'!$I$13)</f>
        <v>2420</v>
      </c>
      <c r="J115" s="25">
        <f t="shared" si="3"/>
        <v>7863.2184191855868</v>
      </c>
      <c r="K115" s="25">
        <f t="shared" si="4"/>
        <v>20282.026119384056</v>
      </c>
      <c r="L115" s="25"/>
      <c r="N115" s="25">
        <f>'Combined Retirement'!$C$18/12</f>
        <v>39153.069999999992</v>
      </c>
      <c r="O115" s="25">
        <f t="shared" si="5"/>
        <v>11007.82546143035</v>
      </c>
      <c r="P115" s="25">
        <f t="shared" si="6"/>
        <v>28145.244538569641</v>
      </c>
      <c r="Q115" s="25">
        <f t="array" aca="1" ref="Q115" ca="1">INDEX('Isaac 401k'!L:L,MATCH('Retirement Calculator'!A115,'Isaac 401k'!N:N,0),0)</f>
        <v>1611338.4088368884</v>
      </c>
      <c r="R115" s="25">
        <f t="array" aca="1" ref="R115" ca="1">INDEX('Lorri 401b'!L:L,MATCH('Retirement Calculator'!A115,'Lorri 401b'!N:N,0),0)</f>
        <v>4163684.7169818487</v>
      </c>
      <c r="S115" s="25">
        <f t="shared" ca="1" si="7"/>
        <v>5775023.1258187369</v>
      </c>
    </row>
    <row r="116" spans="1:19" ht="15.75" customHeight="1" x14ac:dyDescent="0.3">
      <c r="A116" s="37">
        <v>54483</v>
      </c>
      <c r="B116" s="409">
        <f t="shared" ref="B116:C116" si="112">($A116-B$9)/365.25</f>
        <v>67.288158795345652</v>
      </c>
      <c r="C116" s="409">
        <f t="shared" si="112"/>
        <v>62.677618069815196</v>
      </c>
      <c r="E116" s="25">
        <f>IF(C116&gt;$B$7,0,'Combined Retirement'!$D$13/12)</f>
        <v>0</v>
      </c>
      <c r="F116" s="25">
        <f>IF(H116=0,'Combined Retirement'!$D$32,0)+'Combined Retirement'!$B$24</f>
        <v>2870.372285649099</v>
      </c>
      <c r="G116" s="25">
        <f>'Combined Retirement'!$C$24</f>
        <v>3525.4531757812501</v>
      </c>
      <c r="H116" s="25">
        <f>IF(B116&lt;62,0,'Combined Retirement'!$I$14)</f>
        <v>2192</v>
      </c>
      <c r="I116" s="25">
        <f>IF(C116&lt;62,0,'Combined Retirement'!$I$13)</f>
        <v>2420</v>
      </c>
      <c r="J116" s="25">
        <f t="shared" si="3"/>
        <v>7863.2184191855868</v>
      </c>
      <c r="K116" s="25">
        <f t="shared" si="4"/>
        <v>20282.026119384056</v>
      </c>
      <c r="L116" s="25"/>
      <c r="N116" s="25">
        <f>'Combined Retirement'!$C$18/12</f>
        <v>39153.069999999992</v>
      </c>
      <c r="O116" s="25">
        <f t="shared" si="5"/>
        <v>11007.82546143035</v>
      </c>
      <c r="P116" s="25">
        <f t="shared" si="6"/>
        <v>28145.244538569641</v>
      </c>
      <c r="Q116" s="25">
        <f t="array" aca="1" ref="Q116" ca="1">INDEX('Isaac 401k'!L:L,MATCH('Retirement Calculator'!A116,'Isaac 401k'!N:N,0),0)</f>
        <v>1610156.3370444432</v>
      </c>
      <c r="R116" s="25">
        <f t="array" aca="1" ref="R116" ca="1">INDEX('Lorri 401b'!L:L,MATCH('Retirement Calculator'!A116,'Lorri 401b'!N:N,0),0)</f>
        <v>4160666.8687410583</v>
      </c>
      <c r="S116" s="25">
        <f t="shared" ca="1" si="7"/>
        <v>5770823.2057855017</v>
      </c>
    </row>
    <row r="117" spans="1:19" ht="15.75" customHeight="1" x14ac:dyDescent="0.3">
      <c r="A117" s="37">
        <v>54514</v>
      </c>
      <c r="B117" s="409">
        <f t="shared" ref="B117:C117" si="113">($A117-B$9)/365.25</f>
        <v>67.37303216974675</v>
      </c>
      <c r="C117" s="409">
        <f t="shared" si="113"/>
        <v>62.762491444216288</v>
      </c>
      <c r="E117" s="25">
        <f>IF(C117&gt;$B$7,0,'Combined Retirement'!$D$13/12)</f>
        <v>0</v>
      </c>
      <c r="F117" s="25">
        <f>IF(H117=0,'Combined Retirement'!$D$32,0)+'Combined Retirement'!$B$24</f>
        <v>2870.372285649099</v>
      </c>
      <c r="G117" s="25">
        <f>'Combined Retirement'!$C$24</f>
        <v>3525.4531757812501</v>
      </c>
      <c r="H117" s="25">
        <f>IF(B117&lt;62,0,'Combined Retirement'!$I$14)</f>
        <v>2192</v>
      </c>
      <c r="I117" s="25">
        <f>IF(C117&lt;62,0,'Combined Retirement'!$I$13)</f>
        <v>2420</v>
      </c>
      <c r="J117" s="25">
        <f t="shared" si="3"/>
        <v>7863.2184191855868</v>
      </c>
      <c r="K117" s="25">
        <f t="shared" si="4"/>
        <v>20282.026119384056</v>
      </c>
      <c r="L117" s="25"/>
      <c r="N117" s="25">
        <f>'Combined Retirement'!$C$18/12</f>
        <v>39153.069999999992</v>
      </c>
      <c r="O117" s="25">
        <f t="shared" si="5"/>
        <v>11007.82546143035</v>
      </c>
      <c r="P117" s="25">
        <f t="shared" si="6"/>
        <v>28145.244538569641</v>
      </c>
      <c r="Q117" s="25">
        <f t="array" aca="1" ref="Q117" ca="1">INDEX('Isaac 401k'!L:L,MATCH('Retirement Calculator'!A117,'Isaac 401k'!N:N,0),0)</f>
        <v>1608969.3399528628</v>
      </c>
      <c r="R117" s="25">
        <f t="array" aca="1" ref="R117" ca="1">INDEX('Lorri 401b'!L:L,MATCH('Retirement Calculator'!A117,'Lorri 401b'!N:N,0),0)</f>
        <v>4157636.446132598</v>
      </c>
      <c r="S117" s="25">
        <f t="shared" ca="1" si="7"/>
        <v>5766605.7860854603</v>
      </c>
    </row>
    <row r="118" spans="1:19" ht="15.75" customHeight="1" x14ac:dyDescent="0.3">
      <c r="A118" s="37">
        <v>54544</v>
      </c>
      <c r="B118" s="409">
        <f t="shared" ref="B118:C118" si="114">($A118-B$9)/365.25</f>
        <v>67.455167693360707</v>
      </c>
      <c r="C118" s="409">
        <f t="shared" si="114"/>
        <v>62.844626967830251</v>
      </c>
      <c r="E118" s="25">
        <f>IF(C118&gt;$B$7,0,'Combined Retirement'!$D$13/12)</f>
        <v>0</v>
      </c>
      <c r="F118" s="25">
        <f>IF(H118=0,'Combined Retirement'!$D$32,0)+'Combined Retirement'!$B$24</f>
        <v>2870.372285649099</v>
      </c>
      <c r="G118" s="25">
        <f>'Combined Retirement'!$C$24</f>
        <v>3525.4531757812501</v>
      </c>
      <c r="H118" s="25">
        <f>IF(B118&lt;62,0,'Combined Retirement'!$I$14)</f>
        <v>2192</v>
      </c>
      <c r="I118" s="25">
        <f>IF(C118&lt;62,0,'Combined Retirement'!$I$13)</f>
        <v>2420</v>
      </c>
      <c r="J118" s="25">
        <f t="shared" si="3"/>
        <v>7863.2184191855868</v>
      </c>
      <c r="K118" s="25">
        <f t="shared" si="4"/>
        <v>20282.026119384056</v>
      </c>
      <c r="L118" s="25"/>
      <c r="N118" s="25">
        <f>'Combined Retirement'!$C$18/12</f>
        <v>39153.069999999992</v>
      </c>
      <c r="O118" s="25">
        <f t="shared" si="5"/>
        <v>11007.82546143035</v>
      </c>
      <c r="P118" s="25">
        <f t="shared" si="6"/>
        <v>28145.244538569641</v>
      </c>
      <c r="Q118" s="25">
        <f t="array" aca="1" ref="Q118" ca="1">INDEX('Isaac 401k'!L:L,MATCH('Retirement Calculator'!A118,'Isaac 401k'!N:N,0),0)</f>
        <v>1607777.3970400675</v>
      </c>
      <c r="R118" s="25">
        <f t="array" aca="1" ref="R118" ca="1">INDEX('Lorri 401b'!L:L,MATCH('Retirement Calculator'!A118,'Lorri 401b'!N:N,0),0)</f>
        <v>4154593.3967632689</v>
      </c>
      <c r="S118" s="25">
        <f t="shared" ca="1" si="7"/>
        <v>5762370.7938033361</v>
      </c>
    </row>
    <row r="119" spans="1:19" ht="15.75" customHeight="1" x14ac:dyDescent="0.3">
      <c r="A119" s="37">
        <v>54575</v>
      </c>
      <c r="B119" s="409">
        <f t="shared" ref="B119:C119" si="115">($A119-B$9)/365.25</f>
        <v>67.540041067761805</v>
      </c>
      <c r="C119" s="409">
        <f t="shared" si="115"/>
        <v>62.92950034223135</v>
      </c>
      <c r="E119" s="25">
        <f>IF(C119&gt;$B$7,0,'Combined Retirement'!$D$13/12)</f>
        <v>0</v>
      </c>
      <c r="F119" s="25">
        <f>IF(H119=0,'Combined Retirement'!$D$32,0)+'Combined Retirement'!$B$24</f>
        <v>2870.372285649099</v>
      </c>
      <c r="G119" s="25">
        <f>'Combined Retirement'!$C$24</f>
        <v>3525.4531757812501</v>
      </c>
      <c r="H119" s="25">
        <f>IF(B119&lt;62,0,'Combined Retirement'!$I$14)</f>
        <v>2192</v>
      </c>
      <c r="I119" s="25">
        <f>IF(C119&lt;62,0,'Combined Retirement'!$I$13)</f>
        <v>2420</v>
      </c>
      <c r="J119" s="25">
        <f t="shared" si="3"/>
        <v>7863.2184191855868</v>
      </c>
      <c r="K119" s="25">
        <f t="shared" si="4"/>
        <v>20282.026119384056</v>
      </c>
      <c r="L119" s="25"/>
      <c r="N119" s="25">
        <f>'Combined Retirement'!$C$18/12</f>
        <v>39153.069999999992</v>
      </c>
      <c r="O119" s="25">
        <f t="shared" si="5"/>
        <v>11007.82546143035</v>
      </c>
      <c r="P119" s="25">
        <f t="shared" si="6"/>
        <v>28145.244538569641</v>
      </c>
      <c r="Q119" s="25">
        <f t="array" aca="1" ref="Q119" ca="1">INDEX('Isaac 401k'!L:L,MATCH('Retirement Calculator'!A119,'Isaac 401k'!N:N,0),0)</f>
        <v>1606580.4876984688</v>
      </c>
      <c r="R119" s="25">
        <f t="array" aca="1" ref="R119" ca="1">INDEX('Lorri 401b'!L:L,MATCH('Retirement Calculator'!A119,'Lorri 401b'!N:N,0),0)</f>
        <v>4151537.6680215676</v>
      </c>
      <c r="S119" s="25">
        <f t="shared" ca="1" si="7"/>
        <v>5758118.1557200365</v>
      </c>
    </row>
    <row r="120" spans="1:19" ht="15.75" customHeight="1" x14ac:dyDescent="0.3">
      <c r="A120" s="37">
        <v>54605</v>
      </c>
      <c r="B120" s="409">
        <f t="shared" ref="B120:C120" si="116">($A120-B$9)/365.25</f>
        <v>67.622176591375776</v>
      </c>
      <c r="C120" s="409">
        <f t="shared" si="116"/>
        <v>63.011635865845314</v>
      </c>
      <c r="E120" s="25">
        <f>IF(C120&gt;$B$7,0,'Combined Retirement'!$D$13/12)</f>
        <v>0</v>
      </c>
      <c r="F120" s="25">
        <f>IF(H120=0,'Combined Retirement'!$D$32,0)+'Combined Retirement'!$B$24</f>
        <v>2870.372285649099</v>
      </c>
      <c r="G120" s="25">
        <f>'Combined Retirement'!$C$24</f>
        <v>3525.4531757812501</v>
      </c>
      <c r="H120" s="25">
        <f>IF(B120&lt;62,0,'Combined Retirement'!$I$14)</f>
        <v>2192</v>
      </c>
      <c r="I120" s="25">
        <f>IF(C120&lt;62,0,'Combined Retirement'!$I$13)</f>
        <v>2420</v>
      </c>
      <c r="J120" s="25">
        <f t="shared" si="3"/>
        <v>7863.2184191855868</v>
      </c>
      <c r="K120" s="25">
        <f t="shared" si="4"/>
        <v>20282.026119384056</v>
      </c>
      <c r="L120" s="25"/>
      <c r="N120" s="25">
        <f>'Combined Retirement'!$C$18/12</f>
        <v>39153.069999999992</v>
      </c>
      <c r="O120" s="25">
        <f t="shared" si="5"/>
        <v>11007.82546143035</v>
      </c>
      <c r="P120" s="25">
        <f t="shared" si="6"/>
        <v>28145.244538569641</v>
      </c>
      <c r="Q120" s="25">
        <f t="array" aca="1" ref="Q120" ca="1">INDEX('Isaac 401k'!L:L,MATCH('Retirement Calculator'!A120,'Isaac 401k'!N:N,0),0)</f>
        <v>1605378.5912346137</v>
      </c>
      <c r="R120" s="25">
        <f t="array" aca="1" ref="R120" ca="1">INDEX('Lorri 401b'!L:L,MATCH('Retirement Calculator'!A120,'Lorri 401b'!N:N,0),0)</f>
        <v>4148469.2070767763</v>
      </c>
      <c r="S120" s="25">
        <f t="shared" ca="1" si="7"/>
        <v>5753847.79831139</v>
      </c>
    </row>
    <row r="121" spans="1:19" ht="15.75" customHeight="1" x14ac:dyDescent="0.3">
      <c r="A121" s="37">
        <v>54636</v>
      </c>
      <c r="B121" s="409">
        <f t="shared" ref="B121:C121" si="117">($A121-B$9)/365.25</f>
        <v>67.707049965776861</v>
      </c>
      <c r="C121" s="409">
        <f t="shared" si="117"/>
        <v>63.096509240246405</v>
      </c>
      <c r="E121" s="25">
        <f>IF(C121&gt;$B$7,0,'Combined Retirement'!$D$13/12)</f>
        <v>0</v>
      </c>
      <c r="F121" s="25">
        <f>IF(H121=0,'Combined Retirement'!$D$32,0)+'Combined Retirement'!$B$24</f>
        <v>2870.372285649099</v>
      </c>
      <c r="G121" s="25">
        <f>'Combined Retirement'!$C$24</f>
        <v>3525.4531757812501</v>
      </c>
      <c r="H121" s="25">
        <f>IF(B121&lt;62,0,'Combined Retirement'!$I$14)</f>
        <v>2192</v>
      </c>
      <c r="I121" s="25">
        <f>IF(C121&lt;62,0,'Combined Retirement'!$I$13)</f>
        <v>2420</v>
      </c>
      <c r="J121" s="25">
        <f t="shared" si="3"/>
        <v>7863.2184191855868</v>
      </c>
      <c r="K121" s="25">
        <f t="shared" si="4"/>
        <v>20282.026119384056</v>
      </c>
      <c r="L121" s="25"/>
      <c r="N121" s="25">
        <f>'Combined Retirement'!$C$18/12</f>
        <v>39153.069999999992</v>
      </c>
      <c r="O121" s="25">
        <f t="shared" si="5"/>
        <v>11007.82546143035</v>
      </c>
      <c r="P121" s="25">
        <f t="shared" si="6"/>
        <v>28145.244538569641</v>
      </c>
      <c r="Q121" s="25">
        <f t="array" aca="1" ref="Q121" ca="1">INDEX('Isaac 401k'!L:L,MATCH('Retirement Calculator'!A121,'Isaac 401k'!N:N,0),0)</f>
        <v>1604171.6868688257</v>
      </c>
      <c r="R121" s="25">
        <f t="array" aca="1" ref="R121" ca="1">INDEX('Lorri 401b'!L:L,MATCH('Retirement Calculator'!A121,'Lorri 401b'!N:N,0),0)</f>
        <v>4145387.9608780481</v>
      </c>
      <c r="S121" s="25">
        <f t="shared" ca="1" si="7"/>
        <v>5749559.647746874</v>
      </c>
    </row>
    <row r="122" spans="1:19" ht="15.75" customHeight="1" x14ac:dyDescent="0.3">
      <c r="A122" s="37">
        <v>54667</v>
      </c>
      <c r="B122" s="409">
        <f t="shared" ref="B122:C122" si="118">($A122-B$9)/365.25</f>
        <v>67.791923340177959</v>
      </c>
      <c r="C122" s="409">
        <f t="shared" si="118"/>
        <v>63.181382614647504</v>
      </c>
      <c r="E122" s="25">
        <f>IF(C122&gt;$B$7,0,'Combined Retirement'!$D$13/12)</f>
        <v>0</v>
      </c>
      <c r="F122" s="25">
        <f>IF(H122=0,'Combined Retirement'!$D$32,0)+'Combined Retirement'!$B$24</f>
        <v>2870.372285649099</v>
      </c>
      <c r="G122" s="25">
        <f>'Combined Retirement'!$C$24</f>
        <v>3525.4531757812501</v>
      </c>
      <c r="H122" s="25">
        <f>IF(B122&lt;62,0,'Combined Retirement'!$I$14)</f>
        <v>2192</v>
      </c>
      <c r="I122" s="25">
        <f>IF(C122&lt;62,0,'Combined Retirement'!$I$13)</f>
        <v>2420</v>
      </c>
      <c r="J122" s="25">
        <f t="shared" si="3"/>
        <v>7863.2184191855868</v>
      </c>
      <c r="K122" s="25">
        <f t="shared" si="4"/>
        <v>20282.026119384056</v>
      </c>
      <c r="L122" s="25"/>
      <c r="N122" s="25">
        <f>'Combined Retirement'!$C$18/12</f>
        <v>39153.069999999992</v>
      </c>
      <c r="O122" s="25">
        <f t="shared" si="5"/>
        <v>11007.82546143035</v>
      </c>
      <c r="P122" s="25">
        <f t="shared" si="6"/>
        <v>28145.244538569641</v>
      </c>
      <c r="Q122" s="25">
        <f t="array" aca="1" ref="Q122" ca="1">INDEX('Isaac 401k'!L:L,MATCH('Retirement Calculator'!A122,'Isaac 401k'!N:N,0),0)</f>
        <v>1602959.7537348468</v>
      </c>
      <c r="R122" s="25">
        <f t="array" aca="1" ref="R122" ca="1">INDEX('Lorri 401b'!L:L,MATCH('Retirement Calculator'!A122,'Lorri 401b'!N:N,0),0)</f>
        <v>4142293.8761534919</v>
      </c>
      <c r="S122" s="25">
        <f t="shared" ca="1" si="7"/>
        <v>5745253.629888339</v>
      </c>
    </row>
    <row r="123" spans="1:19" ht="15.75" customHeight="1" x14ac:dyDescent="0.3">
      <c r="A123" s="37">
        <v>54697</v>
      </c>
      <c r="B123" s="409">
        <f t="shared" ref="B123:C123" si="119">($A123-B$9)/365.25</f>
        <v>67.87405886379193</v>
      </c>
      <c r="C123" s="409">
        <f t="shared" si="119"/>
        <v>63.263518138261468</v>
      </c>
      <c r="E123" s="25">
        <f>IF(C123&gt;$B$7,0,'Combined Retirement'!$D$13/12)</f>
        <v>0</v>
      </c>
      <c r="F123" s="25">
        <f>IF(H123=0,'Combined Retirement'!$D$32,0)+'Combined Retirement'!$B$24</f>
        <v>2870.372285649099</v>
      </c>
      <c r="G123" s="25">
        <f>'Combined Retirement'!$C$24</f>
        <v>3525.4531757812501</v>
      </c>
      <c r="H123" s="25">
        <f>IF(B123&lt;62,0,'Combined Retirement'!$I$14)</f>
        <v>2192</v>
      </c>
      <c r="I123" s="25">
        <f>IF(C123&lt;62,0,'Combined Retirement'!$I$13)</f>
        <v>2420</v>
      </c>
      <c r="J123" s="25">
        <f t="shared" si="3"/>
        <v>7863.2184191855868</v>
      </c>
      <c r="K123" s="25">
        <f t="shared" si="4"/>
        <v>20282.026119384056</v>
      </c>
      <c r="L123" s="25"/>
      <c r="N123" s="25">
        <f>'Combined Retirement'!$C$18/12</f>
        <v>39153.069999999992</v>
      </c>
      <c r="O123" s="25">
        <f t="shared" si="5"/>
        <v>11007.82546143035</v>
      </c>
      <c r="P123" s="25">
        <f t="shared" si="6"/>
        <v>28145.244538569641</v>
      </c>
      <c r="Q123" s="25">
        <f t="array" aca="1" ref="Q123" ca="1">INDEX('Isaac 401k'!L:L,MATCH('Retirement Calculator'!A123,'Isaac 401k'!N:N,0),0)</f>
        <v>1601742.7708794766</v>
      </c>
      <c r="R123" s="25">
        <f t="array" aca="1" ref="R123" ca="1">INDEX('Lorri 401b'!L:L,MATCH('Retirement Calculator'!A123,'Lorri 401b'!N:N,0),0)</f>
        <v>4139186.8994092499</v>
      </c>
      <c r="S123" s="25">
        <f t="shared" ca="1" si="7"/>
        <v>5740929.6702887267</v>
      </c>
    </row>
    <row r="124" spans="1:19" ht="15.75" customHeight="1" x14ac:dyDescent="0.3">
      <c r="A124" s="37">
        <v>54728</v>
      </c>
      <c r="B124" s="409">
        <f t="shared" ref="B124:C124" si="120">($A124-B$9)/365.25</f>
        <v>67.958932238193015</v>
      </c>
      <c r="C124" s="409">
        <f t="shared" si="120"/>
        <v>63.348391512662559</v>
      </c>
      <c r="E124" s="25">
        <f>IF(C124&gt;$B$7,0,'Combined Retirement'!$D$13/12)</f>
        <v>0</v>
      </c>
      <c r="F124" s="25">
        <f>IF(H124=0,'Combined Retirement'!$D$32,0)+'Combined Retirement'!$B$24</f>
        <v>2870.372285649099</v>
      </c>
      <c r="G124" s="25">
        <f>'Combined Retirement'!$C$24</f>
        <v>3525.4531757812501</v>
      </c>
      <c r="H124" s="25">
        <f>IF(B124&lt;62,0,'Combined Retirement'!$I$14)</f>
        <v>2192</v>
      </c>
      <c r="I124" s="25">
        <f>IF(C124&lt;62,0,'Combined Retirement'!$I$13)</f>
        <v>2420</v>
      </c>
      <c r="J124" s="25">
        <f t="shared" si="3"/>
        <v>7863.2184191855868</v>
      </c>
      <c r="K124" s="25">
        <f t="shared" si="4"/>
        <v>20282.026119384056</v>
      </c>
      <c r="L124" s="25"/>
      <c r="N124" s="25">
        <f>'Combined Retirement'!$C$18/12</f>
        <v>39153.069999999992</v>
      </c>
      <c r="O124" s="25">
        <f t="shared" si="5"/>
        <v>11007.82546143035</v>
      </c>
      <c r="P124" s="25">
        <f t="shared" si="6"/>
        <v>28145.244538569641</v>
      </c>
      <c r="Q124" s="25">
        <f t="array" aca="1" ref="Q124" ca="1">INDEX('Isaac 401k'!L:L,MATCH('Retirement Calculator'!A124,'Isaac 401k'!N:N,0),0)</f>
        <v>1600520.7172622089</v>
      </c>
      <c r="R124" s="25">
        <f t="array" aca="1" ref="R124" ca="1">INDEX('Lorri 401b'!L:L,MATCH('Retirement Calculator'!A124,'Lorri 401b'!N:N,0),0)</f>
        <v>4136066.9769285736</v>
      </c>
      <c r="S124" s="25">
        <f t="shared" ca="1" si="7"/>
        <v>5736587.6941907825</v>
      </c>
    </row>
    <row r="125" spans="1:19" ht="15.75" customHeight="1" x14ac:dyDescent="0.3">
      <c r="A125" s="37">
        <v>54758</v>
      </c>
      <c r="B125" s="409">
        <f t="shared" ref="B125:C125" si="121">($A125-B$9)/365.25</f>
        <v>68.041067761806985</v>
      </c>
      <c r="C125" s="409">
        <f t="shared" si="121"/>
        <v>63.430527036276523</v>
      </c>
      <c r="E125" s="25">
        <f>IF(C125&gt;$B$7,0,'Combined Retirement'!$D$13/12)</f>
        <v>0</v>
      </c>
      <c r="F125" s="25">
        <f>IF(H125=0,'Combined Retirement'!$D$32,0)+'Combined Retirement'!$B$24</f>
        <v>2870.372285649099</v>
      </c>
      <c r="G125" s="25">
        <f>'Combined Retirement'!$C$24</f>
        <v>3525.4531757812501</v>
      </c>
      <c r="H125" s="25">
        <f>IF(B125&lt;62,0,'Combined Retirement'!$I$14)</f>
        <v>2192</v>
      </c>
      <c r="I125" s="25">
        <f>IF(C125&lt;62,0,'Combined Retirement'!$I$13)</f>
        <v>2420</v>
      </c>
      <c r="J125" s="25">
        <f t="shared" si="3"/>
        <v>7863.2184191855868</v>
      </c>
      <c r="K125" s="25">
        <f t="shared" si="4"/>
        <v>20282.026119384056</v>
      </c>
      <c r="L125" s="25"/>
      <c r="N125" s="25">
        <f>'Combined Retirement'!$C$18/12</f>
        <v>39153.069999999992</v>
      </c>
      <c r="O125" s="25">
        <f t="shared" si="5"/>
        <v>11007.82546143035</v>
      </c>
      <c r="P125" s="25">
        <f t="shared" si="6"/>
        <v>28145.244538569641</v>
      </c>
      <c r="Q125" s="25">
        <f t="array" aca="1" ref="Q125" ca="1">INDEX('Isaac 401k'!L:L,MATCH('Retirement Calculator'!A125,'Isaac 401k'!N:N,0),0)</f>
        <v>1599293.5717548693</v>
      </c>
      <c r="R125" s="25">
        <f t="array" aca="1" ref="R125" ca="1">INDEX('Lorri 401b'!L:L,MATCH('Retirement Calculator'!A125,'Lorri 401b'!N:N,0),0)</f>
        <v>4132934.0547708943</v>
      </c>
      <c r="S125" s="25">
        <f t="shared" ca="1" si="7"/>
        <v>5732227.6265257634</v>
      </c>
    </row>
    <row r="126" spans="1:19" ht="15.75" customHeight="1" x14ac:dyDescent="0.3">
      <c r="A126" s="37">
        <v>54789</v>
      </c>
      <c r="B126" s="409">
        <f t="shared" ref="B126:C126" si="122">($A126-B$9)/365.25</f>
        <v>68.12594113620807</v>
      </c>
      <c r="C126" s="409">
        <f t="shared" si="122"/>
        <v>63.515400410677621</v>
      </c>
      <c r="E126" s="25">
        <f>IF(C126&gt;$B$7,0,'Combined Retirement'!$D$13/12)</f>
        <v>0</v>
      </c>
      <c r="F126" s="25">
        <f>IF(H126=0,'Combined Retirement'!$D$32,0)+'Combined Retirement'!$B$24</f>
        <v>2870.372285649099</v>
      </c>
      <c r="G126" s="25">
        <f>'Combined Retirement'!$C$24</f>
        <v>3525.4531757812501</v>
      </c>
      <c r="H126" s="25">
        <f>IF(B126&lt;62,0,'Combined Retirement'!$I$14)</f>
        <v>2192</v>
      </c>
      <c r="I126" s="25">
        <f>IF(C126&lt;62,0,'Combined Retirement'!$I$13)</f>
        <v>2420</v>
      </c>
      <c r="J126" s="25">
        <f t="shared" si="3"/>
        <v>7863.2184191855868</v>
      </c>
      <c r="K126" s="25">
        <f t="shared" si="4"/>
        <v>20282.026119384056</v>
      </c>
      <c r="L126" s="25"/>
      <c r="N126" s="25">
        <f>'Combined Retirement'!$C$18/12</f>
        <v>39153.069999999992</v>
      </c>
      <c r="O126" s="25">
        <f t="shared" si="5"/>
        <v>11007.82546143035</v>
      </c>
      <c r="P126" s="25">
        <f t="shared" si="6"/>
        <v>28145.244538569641</v>
      </c>
      <c r="Q126" s="25">
        <f t="array" aca="1" ref="Q126" ca="1">INDEX('Isaac 401k'!L:L,MATCH('Retirement Calculator'!A126,'Isaac 401k'!N:N,0),0)</f>
        <v>1598061.3131412491</v>
      </c>
      <c r="R126" s="25">
        <f t="array" aca="1" ref="R126" ca="1">INDEX('Lorri 401b'!L:L,MATCH('Retirement Calculator'!A126,'Lorri 401b'!N:N,0),0)</f>
        <v>4129788.0787708918</v>
      </c>
      <c r="S126" s="25">
        <f t="shared" ca="1" si="7"/>
        <v>5727849.3919121409</v>
      </c>
    </row>
    <row r="127" spans="1:19" ht="15.75" customHeight="1" x14ac:dyDescent="0.3">
      <c r="A127" s="37">
        <v>54820</v>
      </c>
      <c r="B127" s="409">
        <f t="shared" ref="B127:C127" si="123">($A127-B$9)/365.25</f>
        <v>68.210814510609168</v>
      </c>
      <c r="C127" s="409">
        <f t="shared" si="123"/>
        <v>63.600273785078713</v>
      </c>
      <c r="E127" s="25">
        <f>IF(C127&gt;$B$7,0,'Combined Retirement'!$D$13/12)</f>
        <v>0</v>
      </c>
      <c r="F127" s="25">
        <f>IF(H127=0,'Combined Retirement'!$D$32,0)+'Combined Retirement'!$B$24</f>
        <v>2870.372285649099</v>
      </c>
      <c r="G127" s="25">
        <f>'Combined Retirement'!$C$24</f>
        <v>3525.4531757812501</v>
      </c>
      <c r="H127" s="25">
        <f>IF(B127&lt;62,0,'Combined Retirement'!$I$14)</f>
        <v>2192</v>
      </c>
      <c r="I127" s="25">
        <f>IF(C127&lt;62,0,'Combined Retirement'!$I$13)</f>
        <v>2420</v>
      </c>
      <c r="J127" s="25">
        <f t="shared" si="3"/>
        <v>7863.2184191855868</v>
      </c>
      <c r="K127" s="25">
        <f t="shared" si="4"/>
        <v>20282.026119384056</v>
      </c>
      <c r="L127" s="25"/>
      <c r="N127" s="25">
        <f>'Combined Retirement'!$C$18/12</f>
        <v>39153.069999999992</v>
      </c>
      <c r="O127" s="25">
        <f t="shared" si="5"/>
        <v>11007.82546143035</v>
      </c>
      <c r="P127" s="25">
        <f t="shared" si="6"/>
        <v>28145.244538569641</v>
      </c>
      <c r="Q127" s="25">
        <f t="array" aca="1" ref="Q127" ca="1">INDEX('Isaac 401k'!L:L,MATCH('Retirement Calculator'!A127,'Isaac 401k'!N:N,0),0)</f>
        <v>1596823.9201167389</v>
      </c>
      <c r="R127" s="25">
        <f t="array" aca="1" ref="R127" ca="1">INDEX('Lorri 401b'!L:L,MATCH('Retirement Calculator'!A127,'Lorri 401b'!N:N,0),0)</f>
        <v>4126628.9945375556</v>
      </c>
      <c r="S127" s="25">
        <f t="shared" ca="1" si="7"/>
        <v>5723452.914654294</v>
      </c>
    </row>
    <row r="128" spans="1:19" ht="15.75" customHeight="1" x14ac:dyDescent="0.3">
      <c r="A128" s="37">
        <v>54848</v>
      </c>
      <c r="B128" s="409">
        <f t="shared" ref="B128:C128" si="124">($A128-B$9)/365.25</f>
        <v>68.28747433264887</v>
      </c>
      <c r="C128" s="409">
        <f t="shared" si="124"/>
        <v>63.676933607118414</v>
      </c>
      <c r="E128" s="25">
        <f>IF(C128&gt;$B$7,0,'Combined Retirement'!$D$13/12)</f>
        <v>0</v>
      </c>
      <c r="F128" s="25">
        <f>IF(H128=0,'Combined Retirement'!$D$32,0)+'Combined Retirement'!$B$24</f>
        <v>2870.372285649099</v>
      </c>
      <c r="G128" s="25">
        <f>'Combined Retirement'!$C$24</f>
        <v>3525.4531757812501</v>
      </c>
      <c r="H128" s="25">
        <f>IF(B128&lt;62,0,'Combined Retirement'!$I$14)</f>
        <v>2192</v>
      </c>
      <c r="I128" s="25">
        <f>IF(C128&lt;62,0,'Combined Retirement'!$I$13)</f>
        <v>2420</v>
      </c>
      <c r="J128" s="25">
        <f t="shared" si="3"/>
        <v>7863.2184191855868</v>
      </c>
      <c r="K128" s="25">
        <f t="shared" si="4"/>
        <v>20282.026119384056</v>
      </c>
      <c r="L128" s="25"/>
      <c r="N128" s="25">
        <f>'Combined Retirement'!$C$18/12</f>
        <v>39153.069999999992</v>
      </c>
      <c r="O128" s="25">
        <f t="shared" si="5"/>
        <v>11007.82546143035</v>
      </c>
      <c r="P128" s="25">
        <f t="shared" si="6"/>
        <v>28145.244538569641</v>
      </c>
      <c r="Q128" s="25">
        <f t="array" aca="1" ref="Q128" ca="1">INDEX('Isaac 401k'!L:L,MATCH('Retirement Calculator'!A128,'Isaac 401k'!N:N,0),0)</f>
        <v>1595581.3712879599</v>
      </c>
      <c r="R128" s="25">
        <f t="array" aca="1" ref="R128" ca="1">INDEX('Lorri 401b'!L:L,MATCH('Retirement Calculator'!A128,'Lorri 401b'!N:N,0),0)</f>
        <v>4123456.7474532472</v>
      </c>
      <c r="S128" s="25">
        <f t="shared" ca="1" si="7"/>
        <v>5719038.1187412068</v>
      </c>
    </row>
    <row r="129" spans="1:19" ht="15.75" customHeight="1" x14ac:dyDescent="0.3">
      <c r="A129" s="37">
        <v>54879</v>
      </c>
      <c r="B129" s="409">
        <f t="shared" ref="B129:C129" si="125">($A129-B$9)/365.25</f>
        <v>68.372347707049968</v>
      </c>
      <c r="C129" s="409">
        <f t="shared" si="125"/>
        <v>63.761806981519506</v>
      </c>
      <c r="E129" s="25">
        <f>IF(C129&gt;$B$7,0,'Combined Retirement'!$D$13/12)</f>
        <v>0</v>
      </c>
      <c r="F129" s="25">
        <f>IF(H129=0,'Combined Retirement'!$D$32,0)+'Combined Retirement'!$B$24</f>
        <v>2870.372285649099</v>
      </c>
      <c r="G129" s="25">
        <f>'Combined Retirement'!$C$24</f>
        <v>3525.4531757812501</v>
      </c>
      <c r="H129" s="25">
        <f>IF(B129&lt;62,0,'Combined Retirement'!$I$14)</f>
        <v>2192</v>
      </c>
      <c r="I129" s="25">
        <f>IF(C129&lt;62,0,'Combined Retirement'!$I$13)</f>
        <v>2420</v>
      </c>
      <c r="J129" s="25">
        <f t="shared" si="3"/>
        <v>7863.2184191855868</v>
      </c>
      <c r="K129" s="25">
        <f t="shared" si="4"/>
        <v>20282.026119384056</v>
      </c>
      <c r="L129" s="25"/>
      <c r="N129" s="25">
        <f>'Combined Retirement'!$C$18/12</f>
        <v>39153.069999999992</v>
      </c>
      <c r="O129" s="25">
        <f t="shared" si="5"/>
        <v>11007.82546143035</v>
      </c>
      <c r="P129" s="25">
        <f t="shared" si="6"/>
        <v>28145.244538569641</v>
      </c>
      <c r="Q129" s="25">
        <f t="array" aca="1" ref="Q129" ca="1">INDEX('Isaac 401k'!L:L,MATCH('Retirement Calculator'!A129,'Isaac 401k'!N:N,0),0)</f>
        <v>1594333.6451723941</v>
      </c>
      <c r="R129" s="25">
        <f t="array" aca="1" ref="R129" ca="1">INDEX('Lorri 401b'!L:L,MATCH('Retirement Calculator'!A129,'Lorri 401b'!N:N,0),0)</f>
        <v>4120271.2826727545</v>
      </c>
      <c r="S129" s="25">
        <f t="shared" ca="1" si="7"/>
        <v>5714604.9278451484</v>
      </c>
    </row>
    <row r="130" spans="1:19" ht="15.75" customHeight="1" x14ac:dyDescent="0.3">
      <c r="A130" s="37">
        <v>54909</v>
      </c>
      <c r="B130" s="409">
        <f t="shared" ref="B130:C130" si="126">($A130-B$9)/365.25</f>
        <v>68.454483230663925</v>
      </c>
      <c r="C130" s="409">
        <f t="shared" si="126"/>
        <v>63.843942505133469</v>
      </c>
      <c r="E130" s="25">
        <f>IF(C130&gt;$B$7,0,'Combined Retirement'!$D$13/12)</f>
        <v>0</v>
      </c>
      <c r="F130" s="25">
        <f>IF(H130=0,'Combined Retirement'!$D$32,0)+'Combined Retirement'!$B$24</f>
        <v>2870.372285649099</v>
      </c>
      <c r="G130" s="25">
        <f>'Combined Retirement'!$C$24</f>
        <v>3525.4531757812501</v>
      </c>
      <c r="H130" s="25">
        <f>IF(B130&lt;62,0,'Combined Retirement'!$I$14)</f>
        <v>2192</v>
      </c>
      <c r="I130" s="25">
        <f>IF(C130&lt;62,0,'Combined Retirement'!$I$13)</f>
        <v>2420</v>
      </c>
      <c r="J130" s="25">
        <f t="shared" si="3"/>
        <v>7863.2184191855868</v>
      </c>
      <c r="K130" s="25">
        <f t="shared" si="4"/>
        <v>20282.026119384056</v>
      </c>
      <c r="L130" s="25"/>
      <c r="N130" s="25">
        <f>'Combined Retirement'!$C$18/12</f>
        <v>39153.069999999992</v>
      </c>
      <c r="O130" s="25">
        <f t="shared" si="5"/>
        <v>11007.82546143035</v>
      </c>
      <c r="P130" s="25">
        <f t="shared" si="6"/>
        <v>28145.244538569641</v>
      </c>
      <c r="Q130" s="25">
        <f t="array" aca="1" ref="Q130" ca="1">INDEX('Isaac 401k'!L:L,MATCH('Retirement Calculator'!A130,'Isaac 401k'!N:N,0),0)</f>
        <v>1593080.7201980136</v>
      </c>
      <c r="R130" s="25">
        <f t="array" aca="1" ref="R130" ca="1">INDEX('Lorri 401b'!L:L,MATCH('Retirement Calculator'!A130,'Lorri 401b'!N:N,0),0)</f>
        <v>4117072.5451223431</v>
      </c>
      <c r="S130" s="25">
        <f t="shared" ca="1" si="7"/>
        <v>5710153.2653203569</v>
      </c>
    </row>
    <row r="131" spans="1:19" ht="15.75" customHeight="1" x14ac:dyDescent="0.3">
      <c r="A131" s="37">
        <v>54940</v>
      </c>
      <c r="B131" s="409">
        <f t="shared" ref="B131:C131" si="127">($A131-B$9)/365.25</f>
        <v>68.539356605065024</v>
      </c>
      <c r="C131" s="409">
        <f t="shared" si="127"/>
        <v>63.928815879534568</v>
      </c>
      <c r="E131" s="25">
        <f>IF(C131&gt;$B$7,0,'Combined Retirement'!$D$13/12)</f>
        <v>0</v>
      </c>
      <c r="F131" s="25">
        <f>IF(H131=0,'Combined Retirement'!$D$32,0)+'Combined Retirement'!$B$24</f>
        <v>2870.372285649099</v>
      </c>
      <c r="G131" s="25">
        <f>'Combined Retirement'!$C$24</f>
        <v>3525.4531757812501</v>
      </c>
      <c r="H131" s="25">
        <f>IF(B131&lt;62,0,'Combined Retirement'!$I$14)</f>
        <v>2192</v>
      </c>
      <c r="I131" s="25">
        <f>IF(C131&lt;62,0,'Combined Retirement'!$I$13)</f>
        <v>2420</v>
      </c>
      <c r="J131" s="25">
        <f t="shared" si="3"/>
        <v>7863.2184191855868</v>
      </c>
      <c r="K131" s="25">
        <f t="shared" si="4"/>
        <v>20282.026119384056</v>
      </c>
      <c r="L131" s="25"/>
      <c r="N131" s="25">
        <f>'Combined Retirement'!$C$18/12</f>
        <v>39153.069999999992</v>
      </c>
      <c r="O131" s="25">
        <f t="shared" si="5"/>
        <v>11007.82546143035</v>
      </c>
      <c r="P131" s="25">
        <f t="shared" si="6"/>
        <v>28145.244538569641</v>
      </c>
      <c r="Q131" s="25">
        <f t="array" aca="1" ref="Q131" ca="1">INDEX('Isaac 401k'!L:L,MATCH('Retirement Calculator'!A131,'Isaac 401k'!N:N,0),0)</f>
        <v>1591822.5747029064</v>
      </c>
      <c r="R131" s="25">
        <f t="array" aca="1" ref="R131" ca="1">INDEX('Lorri 401b'!L:L,MATCH('Retirement Calculator'!A131,'Lorri 401b'!N:N,0),0)</f>
        <v>4113860.479498805</v>
      </c>
      <c r="S131" s="25">
        <f t="shared" ca="1" si="7"/>
        <v>5705683.054201711</v>
      </c>
    </row>
    <row r="132" spans="1:19" ht="15.75" customHeight="1" x14ac:dyDescent="0.3">
      <c r="A132" s="37">
        <v>54970</v>
      </c>
      <c r="B132" s="409">
        <f t="shared" ref="B132:C132" si="128">($A132-B$9)/365.25</f>
        <v>68.62149212867898</v>
      </c>
      <c r="C132" s="409">
        <f t="shared" si="128"/>
        <v>64.010951403148525</v>
      </c>
      <c r="E132" s="25">
        <f>IF(C132&gt;$B$7,0,'Combined Retirement'!$D$13/12)</f>
        <v>0</v>
      </c>
      <c r="F132" s="25">
        <f>IF(H132=0,'Combined Retirement'!$D$32,0)+'Combined Retirement'!$B$24</f>
        <v>2870.372285649099</v>
      </c>
      <c r="G132" s="25">
        <f>'Combined Retirement'!$C$24</f>
        <v>3525.4531757812501</v>
      </c>
      <c r="H132" s="25">
        <f>IF(B132&lt;62,0,'Combined Retirement'!$I$14)</f>
        <v>2192</v>
      </c>
      <c r="I132" s="25">
        <f>IF(C132&lt;62,0,'Combined Retirement'!$I$13)</f>
        <v>2420</v>
      </c>
      <c r="J132" s="25">
        <f t="shared" si="3"/>
        <v>7863.2184191855868</v>
      </c>
      <c r="K132" s="25">
        <f t="shared" si="4"/>
        <v>20282.026119384056</v>
      </c>
      <c r="L132" s="25"/>
      <c r="N132" s="25">
        <f>'Combined Retirement'!$C$18/12</f>
        <v>39153.069999999992</v>
      </c>
      <c r="O132" s="25">
        <f t="shared" si="5"/>
        <v>11007.82546143035</v>
      </c>
      <c r="P132" s="25">
        <f t="shared" si="6"/>
        <v>28145.244538569641</v>
      </c>
      <c r="Q132" s="25">
        <f t="array" aca="1" ref="Q132" ca="1">INDEX('Isaac 401k'!L:L,MATCH('Retirement Calculator'!A132,'Isaac 401k'!N:N,0),0)</f>
        <v>1590559.186934903</v>
      </c>
      <c r="R132" s="25">
        <f t="array" aca="1" ref="R132" ca="1">INDEX('Lorri 401b'!L:L,MATCH('Retirement Calculator'!A132,'Lorri 401b'!N:N,0),0)</f>
        <v>4110635.030268502</v>
      </c>
      <c r="S132" s="25">
        <f t="shared" ca="1" si="7"/>
        <v>5701194.2172034048</v>
      </c>
    </row>
    <row r="133" spans="1:19" ht="15.75" customHeight="1" x14ac:dyDescent="0.3">
      <c r="A133" s="37">
        <v>55001</v>
      </c>
      <c r="B133" s="409">
        <f t="shared" ref="B133:C133" si="129">($A133-B$9)/365.25</f>
        <v>68.706365503080079</v>
      </c>
      <c r="C133" s="409">
        <f t="shared" si="129"/>
        <v>64.095824777549623</v>
      </c>
      <c r="E133" s="25">
        <f>IF(C133&gt;$B$7,0,'Combined Retirement'!$D$13/12)</f>
        <v>0</v>
      </c>
      <c r="F133" s="25">
        <f>IF(H133=0,'Combined Retirement'!$D$32,0)+'Combined Retirement'!$B$24</f>
        <v>2870.372285649099</v>
      </c>
      <c r="G133" s="25">
        <f>'Combined Retirement'!$C$24</f>
        <v>3525.4531757812501</v>
      </c>
      <c r="H133" s="25">
        <f>IF(B133&lt;62,0,'Combined Retirement'!$I$14)</f>
        <v>2192</v>
      </c>
      <c r="I133" s="25">
        <f>IF(C133&lt;62,0,'Combined Retirement'!$I$13)</f>
        <v>2420</v>
      </c>
      <c r="J133" s="25">
        <f t="shared" si="3"/>
        <v>7863.2184191855868</v>
      </c>
      <c r="K133" s="25">
        <f t="shared" si="4"/>
        <v>20282.026119384056</v>
      </c>
      <c r="L133" s="25"/>
      <c r="N133" s="25">
        <f>'Combined Retirement'!$C$18/12</f>
        <v>39153.069999999992</v>
      </c>
      <c r="O133" s="25">
        <f t="shared" si="5"/>
        <v>11007.82546143035</v>
      </c>
      <c r="P133" s="25">
        <f t="shared" si="6"/>
        <v>28145.244538569641</v>
      </c>
      <c r="Q133" s="25">
        <f t="array" aca="1" ref="Q133" ca="1">INDEX('Isaac 401k'!L:L,MATCH('Retirement Calculator'!A133,'Isaac 401k'!N:N,0),0)</f>
        <v>1589290.5350511996</v>
      </c>
      <c r="R133" s="25">
        <f t="array" aca="1" ref="R133" ca="1">INDEX('Lorri 401b'!L:L,MATCH('Retirement Calculator'!A133,'Lorri 401b'!N:N,0),0)</f>
        <v>4107396.1416664058</v>
      </c>
      <c r="S133" s="25">
        <f t="shared" ca="1" si="7"/>
        <v>5696686.6767176054</v>
      </c>
    </row>
    <row r="134" spans="1:19" ht="15.75" customHeight="1" x14ac:dyDescent="0.3">
      <c r="A134" s="37">
        <v>55032</v>
      </c>
      <c r="B134" s="409">
        <f t="shared" ref="B134:C134" si="130">($A134-B$9)/365.25</f>
        <v>68.791238877481177</v>
      </c>
      <c r="C134" s="409">
        <f t="shared" si="130"/>
        <v>64.180698151950722</v>
      </c>
      <c r="E134" s="25">
        <f>IF(C134&gt;$B$7,0,'Combined Retirement'!$D$13/12)</f>
        <v>0</v>
      </c>
      <c r="F134" s="25">
        <f>IF(H134=0,'Combined Retirement'!$D$32,0)+'Combined Retirement'!$B$24</f>
        <v>2870.372285649099</v>
      </c>
      <c r="G134" s="25">
        <f>'Combined Retirement'!$C$24</f>
        <v>3525.4531757812501</v>
      </c>
      <c r="H134" s="25">
        <f>IF(B134&lt;62,0,'Combined Retirement'!$I$14)</f>
        <v>2192</v>
      </c>
      <c r="I134" s="25">
        <f>IF(C134&lt;62,0,'Combined Retirement'!$I$13)</f>
        <v>2420</v>
      </c>
      <c r="J134" s="25">
        <f t="shared" si="3"/>
        <v>7863.2184191855868</v>
      </c>
      <c r="K134" s="25">
        <f t="shared" si="4"/>
        <v>20282.026119384056</v>
      </c>
      <c r="L134" s="25"/>
      <c r="N134" s="25">
        <f>'Combined Retirement'!$C$18/12</f>
        <v>39153.069999999992</v>
      </c>
      <c r="O134" s="25">
        <f t="shared" si="5"/>
        <v>11007.82546143035</v>
      </c>
      <c r="P134" s="25">
        <f t="shared" si="6"/>
        <v>28145.244538569641</v>
      </c>
      <c r="Q134" s="25">
        <f t="array" aca="1" ref="Q134" ca="1">INDEX('Isaac 401k'!L:L,MATCH('Retirement Calculator'!A134,'Isaac 401k'!N:N,0),0)</f>
        <v>1588016.5971179807</v>
      </c>
      <c r="R134" s="25">
        <f t="array" aca="1" ref="R134" ca="1">INDEX('Lorri 401b'!L:L,MATCH('Retirement Calculator'!A134,'Lorri 401b'!N:N,0),0)</f>
        <v>4104143.7576951343</v>
      </c>
      <c r="S134" s="25">
        <f t="shared" ca="1" si="7"/>
        <v>5692160.3548131147</v>
      </c>
    </row>
    <row r="135" spans="1:19" ht="15.75" customHeight="1" x14ac:dyDescent="0.3">
      <c r="A135" s="37">
        <v>55062</v>
      </c>
      <c r="B135" s="409">
        <f t="shared" ref="B135:C135" si="131">($A135-B$9)/365.25</f>
        <v>68.873374401095134</v>
      </c>
      <c r="C135" s="409">
        <f t="shared" si="131"/>
        <v>64.262833675564679</v>
      </c>
      <c r="E135" s="25">
        <f>IF(C135&gt;$B$7,0,'Combined Retirement'!$D$13/12)</f>
        <v>0</v>
      </c>
      <c r="F135" s="25">
        <f>IF(H135=0,'Combined Retirement'!$D$32,0)+'Combined Retirement'!$B$24</f>
        <v>2870.372285649099</v>
      </c>
      <c r="G135" s="25">
        <f>'Combined Retirement'!$C$24</f>
        <v>3525.4531757812501</v>
      </c>
      <c r="H135" s="25">
        <f>IF(B135&lt;62,0,'Combined Retirement'!$I$14)</f>
        <v>2192</v>
      </c>
      <c r="I135" s="25">
        <f>IF(C135&lt;62,0,'Combined Retirement'!$I$13)</f>
        <v>2420</v>
      </c>
      <c r="J135" s="25">
        <f t="shared" si="3"/>
        <v>7863.2184191855868</v>
      </c>
      <c r="K135" s="25">
        <f t="shared" si="4"/>
        <v>20282.026119384056</v>
      </c>
      <c r="L135" s="25"/>
      <c r="N135" s="25">
        <f>'Combined Retirement'!$C$18/12</f>
        <v>39153.069999999992</v>
      </c>
      <c r="O135" s="25">
        <f t="shared" si="5"/>
        <v>11007.82546143035</v>
      </c>
      <c r="P135" s="25">
        <f t="shared" si="6"/>
        <v>28145.244538569641</v>
      </c>
      <c r="Q135" s="25">
        <f t="array" aca="1" ref="Q135" ca="1">INDEX('Isaac 401k'!L:L,MATCH('Retirement Calculator'!A135,'Isaac 401k'!N:N,0),0)</f>
        <v>1586737.35111004</v>
      </c>
      <c r="R135" s="25">
        <f t="array" aca="1" ref="R135" ca="1">INDEX('Lorri 401b'!L:L,MATCH('Retirement Calculator'!A135,'Lorri 401b'!N:N,0),0)</f>
        <v>4100877.8221239825</v>
      </c>
      <c r="S135" s="25">
        <f t="shared" ca="1" si="7"/>
        <v>5687615.1732340222</v>
      </c>
    </row>
    <row r="136" spans="1:19" ht="15.75" customHeight="1" x14ac:dyDescent="0.3">
      <c r="A136" s="37">
        <v>55093</v>
      </c>
      <c r="B136" s="409">
        <f t="shared" ref="B136:C136" si="132">($A136-B$9)/365.25</f>
        <v>68.958247775496233</v>
      </c>
      <c r="C136" s="409">
        <f t="shared" si="132"/>
        <v>64.347707049965777</v>
      </c>
      <c r="E136" s="25">
        <f>IF(C136&gt;$B$7,0,'Combined Retirement'!$D$13/12)</f>
        <v>0</v>
      </c>
      <c r="F136" s="25">
        <f>IF(H136=0,'Combined Retirement'!$D$32,0)+'Combined Retirement'!$B$24</f>
        <v>2870.372285649099</v>
      </c>
      <c r="G136" s="25">
        <f>'Combined Retirement'!$C$24</f>
        <v>3525.4531757812501</v>
      </c>
      <c r="H136" s="25">
        <f>IF(B136&lt;62,0,'Combined Retirement'!$I$14)</f>
        <v>2192</v>
      </c>
      <c r="I136" s="25">
        <f>IF(C136&lt;62,0,'Combined Retirement'!$I$13)</f>
        <v>2420</v>
      </c>
      <c r="J136" s="25">
        <f t="shared" si="3"/>
        <v>7863.2184191855868</v>
      </c>
      <c r="K136" s="25">
        <f t="shared" si="4"/>
        <v>20282.026119384056</v>
      </c>
      <c r="L136" s="25"/>
      <c r="N136" s="25">
        <f>'Combined Retirement'!$C$18/12</f>
        <v>39153.069999999992</v>
      </c>
      <c r="O136" s="25">
        <f t="shared" si="5"/>
        <v>11007.82546143035</v>
      </c>
      <c r="P136" s="25">
        <f t="shared" si="6"/>
        <v>28145.244538569641</v>
      </c>
      <c r="Q136" s="25">
        <f t="array" aca="1" ref="Q136" ca="1">INDEX('Isaac 401k'!L:L,MATCH('Retirement Calculator'!A136,'Isaac 401k'!N:N,0),0)</f>
        <v>1585452.7749103997</v>
      </c>
      <c r="R136" s="25">
        <f t="array" aca="1" ref="R136" ca="1">INDEX('Lorri 401b'!L:L,MATCH('Retirement Calculator'!A136,'Lorri 401b'!N:N,0),0)</f>
        <v>4097598.278487951</v>
      </c>
      <c r="S136" s="25">
        <f t="shared" ca="1" si="7"/>
        <v>5683051.0533983503</v>
      </c>
    </row>
    <row r="137" spans="1:19" ht="15.75" customHeight="1" x14ac:dyDescent="0.3">
      <c r="A137" s="37">
        <v>55123</v>
      </c>
      <c r="B137" s="409">
        <f t="shared" ref="B137:C137" si="133">($A137-B$9)/365.25</f>
        <v>69.040383299110204</v>
      </c>
      <c r="C137" s="409">
        <f t="shared" si="133"/>
        <v>64.429842573579734</v>
      </c>
      <c r="E137" s="25">
        <f>IF(C137&gt;$B$7,0,'Combined Retirement'!$D$13/12)</f>
        <v>0</v>
      </c>
      <c r="F137" s="25">
        <f>IF(H137=0,'Combined Retirement'!$D$32,0)+'Combined Retirement'!$B$24</f>
        <v>2870.372285649099</v>
      </c>
      <c r="G137" s="25">
        <f>'Combined Retirement'!$C$24</f>
        <v>3525.4531757812501</v>
      </c>
      <c r="H137" s="25">
        <f>IF(B137&lt;62,0,'Combined Retirement'!$I$14)</f>
        <v>2192</v>
      </c>
      <c r="I137" s="25">
        <f>IF(C137&lt;62,0,'Combined Retirement'!$I$13)</f>
        <v>2420</v>
      </c>
      <c r="J137" s="25">
        <f t="shared" si="3"/>
        <v>7863.2184191855868</v>
      </c>
      <c r="K137" s="25">
        <f t="shared" si="4"/>
        <v>20282.026119384056</v>
      </c>
      <c r="L137" s="25"/>
      <c r="N137" s="25">
        <f>'Combined Retirement'!$C$18/12</f>
        <v>39153.069999999992</v>
      </c>
      <c r="O137" s="25">
        <f t="shared" si="5"/>
        <v>11007.82546143035</v>
      </c>
      <c r="P137" s="25">
        <f t="shared" si="6"/>
        <v>28145.244538569641</v>
      </c>
      <c r="Q137" s="25">
        <f t="array" aca="1" ref="Q137" ca="1">INDEX('Isaac 401k'!L:L,MATCH('Retirement Calculator'!A137,'Isaac 401k'!N:N,0),0)</f>
        <v>1584162.8463099275</v>
      </c>
      <c r="R137" s="25">
        <f t="array" aca="1" ref="R137" ca="1">INDEX('Lorri 401b'!L:L,MATCH('Retirement Calculator'!A137,'Lorri 401b'!N:N,0),0)</f>
        <v>4094305.0700867693</v>
      </c>
      <c r="S137" s="25">
        <f t="shared" ca="1" si="7"/>
        <v>5678467.9163966971</v>
      </c>
    </row>
    <row r="138" spans="1:19" ht="15.75" customHeight="1" x14ac:dyDescent="0.3">
      <c r="A138" s="37">
        <v>55154</v>
      </c>
      <c r="B138" s="409">
        <f t="shared" ref="B138:C138" si="134">($A138-B$9)/365.25</f>
        <v>69.125256673511288</v>
      </c>
      <c r="C138" s="409">
        <f t="shared" si="134"/>
        <v>64.514715947980832</v>
      </c>
      <c r="E138" s="25">
        <f>IF(C138&gt;$B$7,0,'Combined Retirement'!$D$13/12)</f>
        <v>0</v>
      </c>
      <c r="F138" s="25">
        <f>IF(H138=0,'Combined Retirement'!$D$32,0)+'Combined Retirement'!$B$24</f>
        <v>2870.372285649099</v>
      </c>
      <c r="G138" s="25">
        <f>'Combined Retirement'!$C$24</f>
        <v>3525.4531757812501</v>
      </c>
      <c r="H138" s="25">
        <f>IF(B138&lt;62,0,'Combined Retirement'!$I$14)</f>
        <v>2192</v>
      </c>
      <c r="I138" s="25">
        <f>IF(C138&lt;62,0,'Combined Retirement'!$I$13)</f>
        <v>2420</v>
      </c>
      <c r="J138" s="25">
        <f t="shared" si="3"/>
        <v>7863.2184191855868</v>
      </c>
      <c r="K138" s="25">
        <f t="shared" si="4"/>
        <v>20282.026119384056</v>
      </c>
      <c r="L138" s="25"/>
      <c r="N138" s="25">
        <f>'Combined Retirement'!$C$18/12</f>
        <v>39153.069999999992</v>
      </c>
      <c r="O138" s="25">
        <f t="shared" si="5"/>
        <v>11007.82546143035</v>
      </c>
      <c r="P138" s="25">
        <f t="shared" si="6"/>
        <v>28145.244538569641</v>
      </c>
      <c r="Q138" s="25">
        <f t="array" aca="1" ref="Q138" ca="1">INDEX('Isaac 401k'!L:L,MATCH('Retirement Calculator'!A138,'Isaac 401k'!N:N,0),0)</f>
        <v>1582867.5430069533</v>
      </c>
      <c r="R138" s="25">
        <f t="array" aca="1" ref="R138" ca="1">INDEX('Lorri 401b'!L:L,MATCH('Retirement Calculator'!A138,'Lorri 401b'!N:N,0),0)</f>
        <v>4090998.1399839162</v>
      </c>
      <c r="S138" s="25">
        <f t="shared" ca="1" si="7"/>
        <v>5673865.6829908695</v>
      </c>
    </row>
    <row r="139" spans="1:19" ht="15.75" customHeight="1" x14ac:dyDescent="0.3">
      <c r="A139" s="37">
        <v>55185</v>
      </c>
      <c r="B139" s="409">
        <f t="shared" ref="B139:C139" si="135">($A139-B$9)/365.25</f>
        <v>69.210130047912386</v>
      </c>
      <c r="C139" s="409">
        <f t="shared" si="135"/>
        <v>64.599589322381931</v>
      </c>
      <c r="E139" s="25">
        <f>IF(C139&gt;$B$7,0,'Combined Retirement'!$D$13/12)</f>
        <v>0</v>
      </c>
      <c r="F139" s="25">
        <f>IF(H139=0,'Combined Retirement'!$D$32,0)+'Combined Retirement'!$B$24</f>
        <v>2870.372285649099</v>
      </c>
      <c r="G139" s="25">
        <f>'Combined Retirement'!$C$24</f>
        <v>3525.4531757812501</v>
      </c>
      <c r="H139" s="25">
        <f>IF(B139&lt;62,0,'Combined Retirement'!$I$14)</f>
        <v>2192</v>
      </c>
      <c r="I139" s="25">
        <f>IF(C139&lt;62,0,'Combined Retirement'!$I$13)</f>
        <v>2420</v>
      </c>
      <c r="J139" s="25">
        <f t="shared" si="3"/>
        <v>7863.2184191855868</v>
      </c>
      <c r="K139" s="25">
        <f t="shared" si="4"/>
        <v>20282.026119384056</v>
      </c>
      <c r="L139" s="25"/>
      <c r="N139" s="25">
        <f>'Combined Retirement'!$C$18/12</f>
        <v>39153.069999999992</v>
      </c>
      <c r="O139" s="25">
        <f t="shared" si="5"/>
        <v>11007.82546143035</v>
      </c>
      <c r="P139" s="25">
        <f t="shared" si="6"/>
        <v>28145.244538569641</v>
      </c>
      <c r="Q139" s="25">
        <f t="array" aca="1" ref="Q139" ca="1">INDEX('Isaac 401k'!L:L,MATCH('Retirement Calculator'!A139,'Isaac 401k'!N:N,0),0)</f>
        <v>1581566.8426068835</v>
      </c>
      <c r="R139" s="25">
        <f t="array" aca="1" ref="R139" ca="1">INDEX('Lorri 401b'!L:L,MATCH('Retirement Calculator'!A139,'Lorri 401b'!N:N,0),0)</f>
        <v>4087677.4310056344</v>
      </c>
      <c r="S139" s="25">
        <f t="shared" ca="1" si="7"/>
        <v>5669244.2736125179</v>
      </c>
    </row>
    <row r="140" spans="1:19" ht="15.75" customHeight="1" x14ac:dyDescent="0.3">
      <c r="A140" s="37">
        <v>55213</v>
      </c>
      <c r="B140" s="409">
        <f t="shared" ref="B140:C140" si="136">($A140-B$9)/365.25</f>
        <v>69.286789869952088</v>
      </c>
      <c r="C140" s="409">
        <f t="shared" si="136"/>
        <v>64.676249144421632</v>
      </c>
      <c r="E140" s="25">
        <f>IF(C140&gt;$B$7,0,'Combined Retirement'!$D$13/12)</f>
        <v>0</v>
      </c>
      <c r="F140" s="25">
        <f>IF(H140=0,'Combined Retirement'!$D$32,0)+'Combined Retirement'!$B$24</f>
        <v>2870.372285649099</v>
      </c>
      <c r="G140" s="25">
        <f>'Combined Retirement'!$C$24</f>
        <v>3525.4531757812501</v>
      </c>
      <c r="H140" s="25">
        <f>IF(B140&lt;62,0,'Combined Retirement'!$I$14)</f>
        <v>2192</v>
      </c>
      <c r="I140" s="25">
        <f>IF(C140&lt;62,0,'Combined Retirement'!$I$13)</f>
        <v>2420</v>
      </c>
      <c r="J140" s="25">
        <f t="shared" si="3"/>
        <v>7863.2184191855868</v>
      </c>
      <c r="K140" s="25">
        <f t="shared" si="4"/>
        <v>20282.026119384056</v>
      </c>
      <c r="L140" s="25"/>
      <c r="N140" s="25">
        <f>'Combined Retirement'!$C$18/12</f>
        <v>39153.069999999992</v>
      </c>
      <c r="O140" s="25">
        <f t="shared" si="5"/>
        <v>11007.82546143035</v>
      </c>
      <c r="P140" s="25">
        <f t="shared" si="6"/>
        <v>28145.244538569641</v>
      </c>
      <c r="Q140" s="25">
        <f t="array" aca="1" ref="Q140" ca="1">INDEX('Isaac 401k'!L:L,MATCH('Retirement Calculator'!A140,'Isaac 401k'!N:N,0),0)</f>
        <v>1580260.7226218132</v>
      </c>
      <c r="R140" s="25">
        <f t="array" aca="1" ref="R140" ca="1">INDEX('Lorri 401b'!L:L,MATCH('Retirement Calculator'!A140,'Lorri 401b'!N:N,0),0)</f>
        <v>4084342.885739943</v>
      </c>
      <c r="S140" s="25">
        <f t="shared" ca="1" si="7"/>
        <v>5664603.6083617564</v>
      </c>
    </row>
    <row r="141" spans="1:19" ht="15.75" customHeight="1" x14ac:dyDescent="0.3">
      <c r="A141" s="37">
        <v>55244</v>
      </c>
      <c r="B141" s="409">
        <f t="shared" ref="B141:C141" si="137">($A141-B$9)/365.25</f>
        <v>69.371663244353186</v>
      </c>
      <c r="C141" s="409">
        <f t="shared" si="137"/>
        <v>64.761122518822731</v>
      </c>
      <c r="E141" s="25">
        <f>IF(C141&gt;$B$7,0,'Combined Retirement'!$D$13/12)</f>
        <v>0</v>
      </c>
      <c r="F141" s="25">
        <f>IF(H141=0,'Combined Retirement'!$D$32,0)+'Combined Retirement'!$B$24</f>
        <v>2870.372285649099</v>
      </c>
      <c r="G141" s="25">
        <f>'Combined Retirement'!$C$24</f>
        <v>3525.4531757812501</v>
      </c>
      <c r="H141" s="25">
        <f>IF(B141&lt;62,0,'Combined Retirement'!$I$14)</f>
        <v>2192</v>
      </c>
      <c r="I141" s="25">
        <f>IF(C141&lt;62,0,'Combined Retirement'!$I$13)</f>
        <v>2420</v>
      </c>
      <c r="J141" s="25">
        <f t="shared" si="3"/>
        <v>7863.2184191855868</v>
      </c>
      <c r="K141" s="25">
        <f t="shared" si="4"/>
        <v>20282.026119384056</v>
      </c>
      <c r="L141" s="25"/>
      <c r="N141" s="25">
        <f>'Combined Retirement'!$C$18/12</f>
        <v>39153.069999999992</v>
      </c>
      <c r="O141" s="25">
        <f t="shared" si="5"/>
        <v>11007.82546143035</v>
      </c>
      <c r="P141" s="25">
        <f t="shared" si="6"/>
        <v>28145.244538569641</v>
      </c>
      <c r="Q141" s="25">
        <f t="array" aca="1" ref="Q141" ca="1">INDEX('Isaac 401k'!L:L,MATCH('Retirement Calculator'!A141,'Isaac 401k'!N:N,0),0)</f>
        <v>1578949.1604701385</v>
      </c>
      <c r="R141" s="25">
        <f t="array" aca="1" ref="R141" ca="1">INDEX('Lorri 401b'!L:L,MATCH('Retirement Calculator'!A141,'Lorri 401b'!N:N,0),0)</f>
        <v>4080994.4465356446</v>
      </c>
      <c r="S141" s="25">
        <f t="shared" ca="1" si="7"/>
        <v>5659943.6070057834</v>
      </c>
    </row>
    <row r="142" spans="1:19" ht="15.75" customHeight="1" x14ac:dyDescent="0.3">
      <c r="A142" s="37">
        <v>55274</v>
      </c>
      <c r="B142" s="409">
        <f t="shared" ref="B142:C142" si="138">($A142-B$9)/365.25</f>
        <v>69.453798767967143</v>
      </c>
      <c r="C142" s="409">
        <f t="shared" si="138"/>
        <v>64.843258042436688</v>
      </c>
      <c r="E142" s="25">
        <f>IF(C142&gt;$B$7,0,'Combined Retirement'!$D$13/12)</f>
        <v>0</v>
      </c>
      <c r="F142" s="25">
        <f>IF(H142=0,'Combined Retirement'!$D$32,0)+'Combined Retirement'!$B$24</f>
        <v>2870.372285649099</v>
      </c>
      <c r="G142" s="25">
        <f>'Combined Retirement'!$C$24</f>
        <v>3525.4531757812501</v>
      </c>
      <c r="H142" s="25">
        <f>IF(B142&lt;62,0,'Combined Retirement'!$I$14)</f>
        <v>2192</v>
      </c>
      <c r="I142" s="25">
        <f>IF(C142&lt;62,0,'Combined Retirement'!$I$13)</f>
        <v>2420</v>
      </c>
      <c r="J142" s="25">
        <f t="shared" si="3"/>
        <v>7863.2184191855868</v>
      </c>
      <c r="K142" s="25">
        <f t="shared" si="4"/>
        <v>20282.026119384056</v>
      </c>
      <c r="L142" s="25"/>
      <c r="N142" s="25">
        <f>'Combined Retirement'!$C$18/12</f>
        <v>39153.069999999992</v>
      </c>
      <c r="O142" s="25">
        <f t="shared" si="5"/>
        <v>11007.82546143035</v>
      </c>
      <c r="P142" s="25">
        <f t="shared" si="6"/>
        <v>28145.244538569641</v>
      </c>
      <c r="Q142" s="25">
        <f t="array" aca="1" ref="Q142" ca="1">INDEX('Isaac 401k'!L:L,MATCH('Retirement Calculator'!A142,'Isaac 401k'!N:N,0),0)</f>
        <v>1577632.1334761651</v>
      </c>
      <c r="R142" s="25">
        <f t="array" aca="1" ref="R142" ca="1">INDEX('Lorri 401b'!L:L,MATCH('Retirement Calculator'!A142,'Lorri 401b'!N:N,0),0)</f>
        <v>4077632.0555013283</v>
      </c>
      <c r="S142" s="25">
        <f t="shared" ca="1" si="7"/>
        <v>5655264.188977493</v>
      </c>
    </row>
    <row r="143" spans="1:19" ht="15.75" customHeight="1" x14ac:dyDescent="0.3">
      <c r="A143" s="37">
        <v>55305</v>
      </c>
      <c r="B143" s="409">
        <f t="shared" ref="B143:C143" si="139">($A143-B$9)/365.25</f>
        <v>69.538672142368242</v>
      </c>
      <c r="C143" s="409">
        <f t="shared" si="139"/>
        <v>64.928131416837786</v>
      </c>
      <c r="E143" s="25">
        <f>IF(C143&gt;$B$7,0,'Combined Retirement'!$D$13/12)</f>
        <v>0</v>
      </c>
      <c r="F143" s="25">
        <f>IF(H143=0,'Combined Retirement'!$D$32,0)+'Combined Retirement'!$B$24</f>
        <v>2870.372285649099</v>
      </c>
      <c r="G143" s="25">
        <f>'Combined Retirement'!$C$24</f>
        <v>3525.4531757812501</v>
      </c>
      <c r="H143" s="25">
        <f>IF(B143&lt;62,0,'Combined Retirement'!$I$14)</f>
        <v>2192</v>
      </c>
      <c r="I143" s="25">
        <f>IF(C143&lt;62,0,'Combined Retirement'!$I$13)</f>
        <v>2420</v>
      </c>
      <c r="J143" s="25">
        <f t="shared" si="3"/>
        <v>7863.2184191855868</v>
      </c>
      <c r="K143" s="25">
        <f t="shared" si="4"/>
        <v>20282.026119384056</v>
      </c>
      <c r="L143" s="25"/>
      <c r="N143" s="25">
        <f>'Combined Retirement'!$C$18/12</f>
        <v>39153.069999999992</v>
      </c>
      <c r="O143" s="25">
        <f t="shared" si="5"/>
        <v>11007.82546143035</v>
      </c>
      <c r="P143" s="25">
        <f t="shared" si="6"/>
        <v>28145.244538569641</v>
      </c>
      <c r="Q143" s="25">
        <f t="array" aca="1" ref="Q143" ca="1">INDEX('Isaac 401k'!L:L,MATCH('Retirement Calculator'!A143,'Isaac 401k'!N:N,0),0)</f>
        <v>1576309.618869717</v>
      </c>
      <c r="R143" s="25">
        <f t="array" aca="1" ref="R143" ca="1">INDEX('Lorri 401b'!L:L,MATCH('Retirement Calculator'!A143,'Lorri 401b'!N:N,0),0)</f>
        <v>4074255.654504369</v>
      </c>
      <c r="S143" s="25">
        <f t="shared" ca="1" si="7"/>
        <v>5650565.2733740862</v>
      </c>
    </row>
    <row r="144" spans="1:19" ht="15.75" customHeight="1" x14ac:dyDescent="0.3">
      <c r="A144" s="37">
        <v>55335</v>
      </c>
      <c r="B144" s="409">
        <f t="shared" ref="B144:C144" si="140">($A144-B$9)/365.25</f>
        <v>69.620807665982198</v>
      </c>
      <c r="C144" s="409">
        <f t="shared" si="140"/>
        <v>65.010266940451743</v>
      </c>
      <c r="E144" s="25">
        <f>IF(C144&gt;$B$7,0,'Combined Retirement'!$D$13/12)</f>
        <v>0</v>
      </c>
      <c r="F144" s="25">
        <f>IF(H144=0,'Combined Retirement'!$D$32,0)+'Combined Retirement'!$B$24</f>
        <v>2870.372285649099</v>
      </c>
      <c r="G144" s="25">
        <f>'Combined Retirement'!$C$24</f>
        <v>3525.4531757812501</v>
      </c>
      <c r="H144" s="25">
        <f>IF(B144&lt;62,0,'Combined Retirement'!$I$14)</f>
        <v>2192</v>
      </c>
      <c r="I144" s="25">
        <f>IF(C144&lt;62,0,'Combined Retirement'!$I$13)</f>
        <v>2420</v>
      </c>
      <c r="J144" s="25">
        <f t="shared" si="3"/>
        <v>7863.2184191855868</v>
      </c>
      <c r="K144" s="25">
        <f t="shared" si="4"/>
        <v>20282.026119384056</v>
      </c>
      <c r="L144" s="25"/>
      <c r="N144" s="25">
        <f>'Combined Retirement'!$C$18/12</f>
        <v>39153.069999999992</v>
      </c>
      <c r="O144" s="25">
        <f t="shared" si="5"/>
        <v>11007.82546143035</v>
      </c>
      <c r="P144" s="25">
        <f t="shared" si="6"/>
        <v>28145.244538569641</v>
      </c>
      <c r="Q144" s="25">
        <f t="array" aca="1" ref="Q144" ca="1">INDEX('Isaac 401k'!L:L,MATCH('Retirement Calculator'!A144,'Isaac 401k'!N:N,0),0)</f>
        <v>1574981.5937857418</v>
      </c>
      <c r="R144" s="25">
        <f t="array" aca="1" ref="R144" ca="1">INDEX('Lorri 401b'!L:L,MATCH('Retirement Calculator'!A144,'Lorri 401b'!N:N,0),0)</f>
        <v>4070865.1851699227</v>
      </c>
      <c r="S144" s="25">
        <f t="shared" ca="1" si="7"/>
        <v>5645846.7789556645</v>
      </c>
    </row>
    <row r="145" spans="1:19" ht="15.75" customHeight="1" x14ac:dyDescent="0.3">
      <c r="A145" s="37">
        <v>55366</v>
      </c>
      <c r="B145" s="409">
        <f t="shared" ref="B145:C145" si="141">($A145-B$9)/365.25</f>
        <v>69.705681040383297</v>
      </c>
      <c r="C145" s="409">
        <f t="shared" si="141"/>
        <v>65.095140314852841</v>
      </c>
      <c r="E145" s="25">
        <f>IF(C145&gt;$B$7,0,'Combined Retirement'!$D$13/12)</f>
        <v>0</v>
      </c>
      <c r="F145" s="25">
        <f>IF(H145=0,'Combined Retirement'!$D$32,0)+'Combined Retirement'!$B$24</f>
        <v>2870.372285649099</v>
      </c>
      <c r="G145" s="25">
        <f>'Combined Retirement'!$C$24</f>
        <v>3525.4531757812501</v>
      </c>
      <c r="H145" s="25">
        <f>IF(B145&lt;62,0,'Combined Retirement'!$I$14)</f>
        <v>2192</v>
      </c>
      <c r="I145" s="25">
        <f>IF(C145&lt;62,0,'Combined Retirement'!$I$13)</f>
        <v>2420</v>
      </c>
      <c r="J145" s="25">
        <f t="shared" si="3"/>
        <v>7863.2184191855868</v>
      </c>
      <c r="K145" s="25">
        <f t="shared" si="4"/>
        <v>20282.026119384056</v>
      </c>
      <c r="L145" s="25"/>
      <c r="N145" s="25">
        <f>'Combined Retirement'!$C$18/12</f>
        <v>39153.069999999992</v>
      </c>
      <c r="O145" s="25">
        <f t="shared" si="5"/>
        <v>11007.82546143035</v>
      </c>
      <c r="P145" s="25">
        <f t="shared" si="6"/>
        <v>28145.244538569641</v>
      </c>
      <c r="Q145" s="25">
        <f t="array" aca="1" ref="Q145" ca="1">INDEX('Isaac 401k'!L:L,MATCH('Retirement Calculator'!A145,'Isaac 401k'!N:N,0),0)</f>
        <v>1573648.0352639169</v>
      </c>
      <c r="R145" s="25">
        <f t="array" aca="1" ref="R145" ca="1">INDEX('Lorri 401b'!L:L,MATCH('Retirement Calculator'!A145,'Lorri 401b'!N:N,0),0)</f>
        <v>4067460.5888799159</v>
      </c>
      <c r="S145" s="25">
        <f t="shared" ca="1" si="7"/>
        <v>5641108.6241438333</v>
      </c>
    </row>
    <row r="146" spans="1:19" ht="15.75" customHeight="1" x14ac:dyDescent="0.3">
      <c r="A146" s="37">
        <v>55397</v>
      </c>
      <c r="B146" s="409">
        <f t="shared" ref="B146:C146" si="142">($A146-B$9)/365.25</f>
        <v>69.790554414784395</v>
      </c>
      <c r="C146" s="409">
        <f t="shared" si="142"/>
        <v>65.18001368925394</v>
      </c>
      <c r="E146" s="25">
        <f>IF(C146&gt;$B$7,0,'Combined Retirement'!$D$13/12)</f>
        <v>0</v>
      </c>
      <c r="F146" s="25">
        <f>IF(H146=0,'Combined Retirement'!$D$32,0)+'Combined Retirement'!$B$24</f>
        <v>2870.372285649099</v>
      </c>
      <c r="G146" s="25">
        <f>'Combined Retirement'!$C$24</f>
        <v>3525.4531757812501</v>
      </c>
      <c r="H146" s="25">
        <f>IF(B146&lt;62,0,'Combined Retirement'!$I$14)</f>
        <v>2192</v>
      </c>
      <c r="I146" s="25">
        <f>IF(C146&lt;62,0,'Combined Retirement'!$I$13)</f>
        <v>2420</v>
      </c>
      <c r="J146" s="25">
        <f t="shared" si="3"/>
        <v>7863.2184191855868</v>
      </c>
      <c r="K146" s="25">
        <f t="shared" si="4"/>
        <v>20282.026119384056</v>
      </c>
      <c r="L146" s="25"/>
      <c r="N146" s="25">
        <f>'Combined Retirement'!$C$18/12</f>
        <v>39153.069999999992</v>
      </c>
      <c r="O146" s="25">
        <f t="shared" si="5"/>
        <v>11007.82546143035</v>
      </c>
      <c r="P146" s="25">
        <f t="shared" si="6"/>
        <v>28145.244538569641</v>
      </c>
      <c r="Q146" s="25">
        <f t="array" aca="1" ref="Q146" ca="1">INDEX('Isaac 401k'!L:L,MATCH('Retirement Calculator'!A146,'Isaac 401k'!N:N,0),0)</f>
        <v>1572308.9202482509</v>
      </c>
      <c r="R146" s="25">
        <f t="array" aca="1" ref="R146" ca="1">INDEX('Lorri 401b'!L:L,MATCH('Retirement Calculator'!A146,'Lorri 401b'!N:N,0),0)</f>
        <v>4064041.8067720341</v>
      </c>
      <c r="S146" s="25">
        <f t="shared" ca="1" si="7"/>
        <v>5636350.7270202851</v>
      </c>
    </row>
    <row r="147" spans="1:19" ht="15.75" customHeight="1" x14ac:dyDescent="0.3">
      <c r="A147" s="37">
        <v>55427</v>
      </c>
      <c r="B147" s="409">
        <f t="shared" ref="B147:C147" si="143">($A147-B$9)/365.25</f>
        <v>69.872689938398352</v>
      </c>
      <c r="C147" s="409">
        <f t="shared" si="143"/>
        <v>65.262149212867897</v>
      </c>
      <c r="E147" s="25">
        <f>IF(C147&gt;$B$7,0,'Combined Retirement'!$D$13/12)</f>
        <v>0</v>
      </c>
      <c r="F147" s="25">
        <f>IF(H147=0,'Combined Retirement'!$D$32,0)+'Combined Retirement'!$B$24</f>
        <v>2870.372285649099</v>
      </c>
      <c r="G147" s="25">
        <f>'Combined Retirement'!$C$24</f>
        <v>3525.4531757812501</v>
      </c>
      <c r="H147" s="25">
        <f>IF(B147&lt;62,0,'Combined Retirement'!$I$14)</f>
        <v>2192</v>
      </c>
      <c r="I147" s="25">
        <f>IF(C147&lt;62,0,'Combined Retirement'!$I$13)</f>
        <v>2420</v>
      </c>
      <c r="J147" s="25">
        <f t="shared" si="3"/>
        <v>7863.2184191855868</v>
      </c>
      <c r="K147" s="25">
        <f t="shared" si="4"/>
        <v>20282.026119384056</v>
      </c>
      <c r="L147" s="25"/>
      <c r="N147" s="25">
        <f>'Combined Retirement'!$C$18/12</f>
        <v>39153.069999999992</v>
      </c>
      <c r="O147" s="25">
        <f t="shared" si="5"/>
        <v>11007.82546143035</v>
      </c>
      <c r="P147" s="25">
        <f t="shared" si="6"/>
        <v>28145.244538569641</v>
      </c>
      <c r="Q147" s="25">
        <f t="array" aca="1" ref="Q147" ca="1">INDEX('Isaac 401k'!L:L,MATCH('Retirement Calculator'!A147,'Isaac 401k'!N:N,0),0)</f>
        <v>1570964.2255866865</v>
      </c>
      <c r="R147" s="25">
        <f t="array" aca="1" ref="R147" ca="1">INDEX('Lorri 401b'!L:L,MATCH('Retirement Calculator'!A147,'Lorri 401b'!N:N,0),0)</f>
        <v>4060608.7797387028</v>
      </c>
      <c r="S147" s="25">
        <f t="shared" ca="1" si="7"/>
        <v>5631573.0053253891</v>
      </c>
    </row>
    <row r="148" spans="1:19" ht="15.75" customHeight="1" x14ac:dyDescent="0.3">
      <c r="A148" s="37">
        <v>55458</v>
      </c>
      <c r="B148" s="409">
        <f t="shared" ref="B148:C148" si="144">($A148-B$9)/365.25</f>
        <v>69.957563312799451</v>
      </c>
      <c r="C148" s="409">
        <f t="shared" si="144"/>
        <v>65.347022587268995</v>
      </c>
      <c r="E148" s="25">
        <f>IF(C148&gt;$B$7,0,'Combined Retirement'!$D$13/12)</f>
        <v>0</v>
      </c>
      <c r="F148" s="25">
        <f>IF(H148=0,'Combined Retirement'!$D$32,0)+'Combined Retirement'!$B$24</f>
        <v>2870.372285649099</v>
      </c>
      <c r="G148" s="25">
        <f>'Combined Retirement'!$C$24</f>
        <v>3525.4531757812501</v>
      </c>
      <c r="H148" s="25">
        <f>IF(B148&lt;62,0,'Combined Retirement'!$I$14)</f>
        <v>2192</v>
      </c>
      <c r="I148" s="25">
        <f>IF(C148&lt;62,0,'Combined Retirement'!$I$13)</f>
        <v>2420</v>
      </c>
      <c r="J148" s="25">
        <f t="shared" si="3"/>
        <v>7863.2184191855868</v>
      </c>
      <c r="K148" s="25">
        <f t="shared" si="4"/>
        <v>20282.026119384056</v>
      </c>
      <c r="L148" s="25"/>
      <c r="N148" s="25">
        <f>'Combined Retirement'!$C$18/12</f>
        <v>39153.069999999992</v>
      </c>
      <c r="O148" s="25">
        <f t="shared" si="5"/>
        <v>11007.82546143035</v>
      </c>
      <c r="P148" s="25">
        <f t="shared" si="6"/>
        <v>28145.244538569641</v>
      </c>
      <c r="Q148" s="25">
        <f t="array" aca="1" ref="Q148" ca="1">INDEX('Isaac 401k'!L:L,MATCH('Retirement Calculator'!A148,'Isaac 401k'!N:N,0),0)</f>
        <v>1569613.9280306988</v>
      </c>
      <c r="R148" s="25">
        <f t="array" aca="1" ref="R148" ca="1">INDEX('Lorri 401b'!L:L,MATCH('Retirement Calculator'!A148,'Lorri 401b'!N:N,0),0)</f>
        <v>4057161.448426066</v>
      </c>
      <c r="S148" s="25">
        <f t="shared" ca="1" si="7"/>
        <v>5626775.3764567645</v>
      </c>
    </row>
    <row r="149" spans="1:19" ht="15.75" customHeight="1" x14ac:dyDescent="0.3">
      <c r="A149" s="37">
        <v>55488</v>
      </c>
      <c r="B149" s="409">
        <f t="shared" ref="B149:C149" si="145">($A149-B$9)/365.25</f>
        <v>70.039698836413422</v>
      </c>
      <c r="C149" s="409">
        <f t="shared" si="145"/>
        <v>65.429158110882952</v>
      </c>
      <c r="E149" s="25">
        <f>IF(C149&gt;$B$7,0,'Combined Retirement'!$D$13/12)</f>
        <v>0</v>
      </c>
      <c r="F149" s="25">
        <f>IF(H149=0,'Combined Retirement'!$D$32,0)+'Combined Retirement'!$B$24</f>
        <v>2870.372285649099</v>
      </c>
      <c r="G149" s="25">
        <f>'Combined Retirement'!$C$24</f>
        <v>3525.4531757812501</v>
      </c>
      <c r="H149" s="25">
        <f>IF(B149&lt;62,0,'Combined Retirement'!$I$14)</f>
        <v>2192</v>
      </c>
      <c r="I149" s="25">
        <f>IF(C149&lt;62,0,'Combined Retirement'!$I$13)</f>
        <v>2420</v>
      </c>
      <c r="J149" s="25">
        <f t="shared" si="3"/>
        <v>7863.2184191855868</v>
      </c>
      <c r="K149" s="25">
        <f t="shared" si="4"/>
        <v>20282.026119384056</v>
      </c>
      <c r="L149" s="25"/>
      <c r="N149" s="25">
        <f>'Combined Retirement'!$C$18/12</f>
        <v>39153.069999999992</v>
      </c>
      <c r="O149" s="25">
        <f t="shared" si="5"/>
        <v>11007.82546143035</v>
      </c>
      <c r="P149" s="25">
        <f t="shared" si="6"/>
        <v>28145.244538569641</v>
      </c>
      <c r="Q149" s="25">
        <f t="array" aca="1" ref="Q149" ca="1">INDEX('Isaac 401k'!L:L,MATCH('Retirement Calculator'!A149,'Isaac 401k'!N:N,0),0)</f>
        <v>1568258.0042348944</v>
      </c>
      <c r="R149" s="25">
        <f t="array" aca="1" ref="R149" ca="1">INDEX('Lorri 401b'!L:L,MATCH('Retirement Calculator'!A149,'Lorri 401b'!N:N,0),0)</f>
        <v>4053699.7532329597</v>
      </c>
      <c r="S149" s="25">
        <f t="shared" ca="1" si="7"/>
        <v>5621957.7574678538</v>
      </c>
    </row>
    <row r="150" spans="1:19" ht="15.75" customHeight="1" x14ac:dyDescent="0.3">
      <c r="A150" s="37">
        <v>55519</v>
      </c>
      <c r="B150" s="409">
        <f t="shared" ref="B150:C150" si="146">($A150-B$9)/365.25</f>
        <v>70.124572210814506</v>
      </c>
      <c r="C150" s="409">
        <f t="shared" si="146"/>
        <v>65.51403148528405</v>
      </c>
      <c r="E150" s="25">
        <f>IF(C150&gt;$B$7,0,'Combined Retirement'!$D$13/12)</f>
        <v>0</v>
      </c>
      <c r="F150" s="25">
        <f>IF(H150=0,'Combined Retirement'!$D$32,0)+'Combined Retirement'!$B$24</f>
        <v>2870.372285649099</v>
      </c>
      <c r="G150" s="25">
        <f>'Combined Retirement'!$C$24</f>
        <v>3525.4531757812501</v>
      </c>
      <c r="H150" s="25">
        <f>IF(B150&lt;62,0,'Combined Retirement'!$I$14)</f>
        <v>2192</v>
      </c>
      <c r="I150" s="25">
        <f>IF(C150&lt;62,0,'Combined Retirement'!$I$13)</f>
        <v>2420</v>
      </c>
      <c r="J150" s="25">
        <f t="shared" si="3"/>
        <v>7863.2184191855868</v>
      </c>
      <c r="K150" s="25">
        <f t="shared" si="4"/>
        <v>20282.026119384056</v>
      </c>
      <c r="L150" s="25"/>
      <c r="N150" s="25">
        <f>'Combined Retirement'!$C$18/12</f>
        <v>39153.069999999992</v>
      </c>
      <c r="O150" s="25">
        <f t="shared" si="5"/>
        <v>11007.82546143035</v>
      </c>
      <c r="P150" s="25">
        <f t="shared" si="6"/>
        <v>28145.244538569641</v>
      </c>
      <c r="Q150" s="25">
        <f t="array" aca="1" ref="Q150" ca="1">INDEX('Isaac 401k'!L:L,MATCH('Retirement Calculator'!A150,'Isaac 401k'!N:N,0),0)</f>
        <v>1566896.4307566076</v>
      </c>
      <c r="R150" s="25">
        <f t="array" aca="1" ref="R150" ca="1">INDEX('Lorri 401b'!L:L,MATCH('Retirement Calculator'!A150,'Lorri 401b'!N:N,0),0)</f>
        <v>4050223.6343098823</v>
      </c>
      <c r="S150" s="25">
        <f t="shared" ca="1" si="7"/>
        <v>5617120.0650664903</v>
      </c>
    </row>
    <row r="151" spans="1:19" ht="15.75" customHeight="1" x14ac:dyDescent="0.3">
      <c r="A151" s="37">
        <v>55550</v>
      </c>
      <c r="B151" s="409">
        <f t="shared" ref="B151:C151" si="147">($A151-B$9)/365.25</f>
        <v>70.209445585215605</v>
      </c>
      <c r="C151" s="409">
        <f t="shared" si="147"/>
        <v>65.598904859685149</v>
      </c>
      <c r="E151" s="25">
        <f>IF(C151&gt;$B$7,0,'Combined Retirement'!$D$13/12)</f>
        <v>0</v>
      </c>
      <c r="F151" s="25">
        <f>IF(H151=0,'Combined Retirement'!$D$32,0)+'Combined Retirement'!$B$24</f>
        <v>2870.372285649099</v>
      </c>
      <c r="G151" s="25">
        <f>'Combined Retirement'!$C$24</f>
        <v>3525.4531757812501</v>
      </c>
      <c r="H151" s="25">
        <f>IF(B151&lt;62,0,'Combined Retirement'!$I$14)</f>
        <v>2192</v>
      </c>
      <c r="I151" s="25">
        <f>IF(C151&lt;62,0,'Combined Retirement'!$I$13)</f>
        <v>2420</v>
      </c>
      <c r="J151" s="25">
        <f t="shared" si="3"/>
        <v>7863.2184191855868</v>
      </c>
      <c r="K151" s="25">
        <f t="shared" si="4"/>
        <v>20282.026119384056</v>
      </c>
      <c r="L151" s="25"/>
      <c r="N151" s="25">
        <f>'Combined Retirement'!$C$18/12</f>
        <v>39153.069999999992</v>
      </c>
      <c r="O151" s="25">
        <f t="shared" si="5"/>
        <v>11007.82546143035</v>
      </c>
      <c r="P151" s="25">
        <f t="shared" si="6"/>
        <v>28145.244538569641</v>
      </c>
      <c r="Q151" s="25">
        <f t="array" aca="1" ref="Q151" ca="1">INDEX('Isaac 401k'!L:L,MATCH('Retirement Calculator'!A151,'Isaac 401k'!N:N,0),0)</f>
        <v>1565529.1840554946</v>
      </c>
      <c r="R151" s="25">
        <f t="array" aca="1" ref="R151" ca="1">INDEX('Lorri 401b'!L:L,MATCH('Retirement Calculator'!A151,'Lorri 401b'!N:N,0),0)</f>
        <v>4046733.0315579586</v>
      </c>
      <c r="S151" s="25">
        <f t="shared" ca="1" si="7"/>
        <v>5612262.2156134527</v>
      </c>
    </row>
    <row r="152" spans="1:19" ht="15.75" customHeight="1" x14ac:dyDescent="0.3">
      <c r="A152" s="37">
        <v>55579</v>
      </c>
      <c r="B152" s="409">
        <f t="shared" ref="B152:C152" si="148">($A152-B$9)/365.25</f>
        <v>70.288843258042434</v>
      </c>
      <c r="C152" s="409">
        <f t="shared" si="148"/>
        <v>65.678302532511978</v>
      </c>
      <c r="E152" s="25">
        <f>IF(C152&gt;$B$7,0,'Combined Retirement'!$D$13/12)</f>
        <v>0</v>
      </c>
      <c r="F152" s="25">
        <f>IF(H152=0,'Combined Retirement'!$D$32,0)+'Combined Retirement'!$B$24</f>
        <v>2870.372285649099</v>
      </c>
      <c r="G152" s="25">
        <f>'Combined Retirement'!$C$24</f>
        <v>3525.4531757812501</v>
      </c>
      <c r="H152" s="25">
        <f>IF(B152&lt;62,0,'Combined Retirement'!$I$14)</f>
        <v>2192</v>
      </c>
      <c r="I152" s="25">
        <f>IF(C152&lt;62,0,'Combined Retirement'!$I$13)</f>
        <v>2420</v>
      </c>
      <c r="J152" s="25">
        <f t="shared" si="3"/>
        <v>7863.2184191855868</v>
      </c>
      <c r="K152" s="25">
        <f t="shared" si="4"/>
        <v>20282.026119384056</v>
      </c>
      <c r="L152" s="25"/>
      <c r="N152" s="25">
        <f>'Combined Retirement'!$C$18/12</f>
        <v>39153.069999999992</v>
      </c>
      <c r="O152" s="25">
        <f t="shared" si="5"/>
        <v>11007.82546143035</v>
      </c>
      <c r="P152" s="25">
        <f t="shared" si="6"/>
        <v>28145.244538569641</v>
      </c>
      <c r="Q152" s="25">
        <f t="array" aca="1" ref="Q152" ca="1">INDEX('Isaac 401k'!L:L,MATCH('Retirement Calculator'!A152,'Isaac 401k'!N:N,0),0)</f>
        <v>1564156.2404931269</v>
      </c>
      <c r="R152" s="25">
        <f t="array" aca="1" ref="R152" ca="1">INDEX('Lorri 401b'!L:L,MATCH('Retirement Calculator'!A152,'Lorri 401b'!N:N,0),0)</f>
        <v>4043227.8846279019</v>
      </c>
      <c r="S152" s="25">
        <f t="shared" ca="1" si="7"/>
        <v>5607384.1251210291</v>
      </c>
    </row>
    <row r="153" spans="1:19" ht="15.75" customHeight="1" x14ac:dyDescent="0.3">
      <c r="A153" s="37">
        <v>55610</v>
      </c>
      <c r="B153" s="409">
        <f t="shared" ref="B153:C153" si="149">($A153-B$9)/365.25</f>
        <v>70.373716632443532</v>
      </c>
      <c r="C153" s="409">
        <f t="shared" si="149"/>
        <v>65.763175906913077</v>
      </c>
      <c r="E153" s="25">
        <f>IF(C153&gt;$B$7,0,'Combined Retirement'!$D$13/12)</f>
        <v>0</v>
      </c>
      <c r="F153" s="25">
        <f>IF(H153=0,'Combined Retirement'!$D$32,0)+'Combined Retirement'!$B$24</f>
        <v>2870.372285649099</v>
      </c>
      <c r="G153" s="25">
        <f>'Combined Retirement'!$C$24</f>
        <v>3525.4531757812501</v>
      </c>
      <c r="H153" s="25">
        <f>IF(B153&lt;62,0,'Combined Retirement'!$I$14)</f>
        <v>2192</v>
      </c>
      <c r="I153" s="25">
        <f>IF(C153&lt;62,0,'Combined Retirement'!$I$13)</f>
        <v>2420</v>
      </c>
      <c r="J153" s="25">
        <f t="shared" si="3"/>
        <v>7863.2184191855868</v>
      </c>
      <c r="K153" s="25">
        <f t="shared" si="4"/>
        <v>20282.026119384056</v>
      </c>
      <c r="L153" s="25"/>
      <c r="N153" s="25">
        <f>'Combined Retirement'!$C$18/12</f>
        <v>39153.069999999992</v>
      </c>
      <c r="O153" s="25">
        <f t="shared" si="5"/>
        <v>11007.82546143035</v>
      </c>
      <c r="P153" s="25">
        <f t="shared" si="6"/>
        <v>28145.244538569641</v>
      </c>
      <c r="Q153" s="25">
        <f t="array" aca="1" ref="Q153" ca="1">INDEX('Isaac 401k'!L:L,MATCH('Retirement Calculator'!A153,'Isaac 401k'!N:N,0),0)</f>
        <v>1562777.5763325826</v>
      </c>
      <c r="R153" s="25">
        <f t="array" aca="1" ref="R153" ca="1">INDEX('Lorri 401b'!L:L,MATCH('Retirement Calculator'!A153,'Lorri 401b'!N:N,0),0)</f>
        <v>4039708.1329189702</v>
      </c>
      <c r="S153" s="25">
        <f t="shared" ca="1" si="7"/>
        <v>5602485.7092515528</v>
      </c>
    </row>
    <row r="154" spans="1:19" ht="15.75" customHeight="1" x14ac:dyDescent="0.3">
      <c r="A154" s="37">
        <v>55640</v>
      </c>
      <c r="B154" s="409">
        <f t="shared" ref="B154:C154" si="150">($A154-B$9)/365.25</f>
        <v>70.455852156057489</v>
      </c>
      <c r="C154" s="409">
        <f t="shared" si="150"/>
        <v>65.845311430527033</v>
      </c>
      <c r="E154" s="25">
        <f>IF(C154&gt;$B$7,0,'Combined Retirement'!$D$13/12)</f>
        <v>0</v>
      </c>
      <c r="F154" s="25">
        <f>IF(H154=0,'Combined Retirement'!$D$32,0)+'Combined Retirement'!$B$24</f>
        <v>2870.372285649099</v>
      </c>
      <c r="G154" s="25">
        <f>'Combined Retirement'!$C$24</f>
        <v>3525.4531757812501</v>
      </c>
      <c r="H154" s="25">
        <f>IF(B154&lt;62,0,'Combined Retirement'!$I$14)</f>
        <v>2192</v>
      </c>
      <c r="I154" s="25">
        <f>IF(C154&lt;62,0,'Combined Retirement'!$I$13)</f>
        <v>2420</v>
      </c>
      <c r="J154" s="25">
        <f t="shared" si="3"/>
        <v>7863.2184191855868</v>
      </c>
      <c r="K154" s="25">
        <f t="shared" si="4"/>
        <v>20282.026119384056</v>
      </c>
      <c r="L154" s="25"/>
      <c r="N154" s="25">
        <f>'Combined Retirement'!$C$18/12</f>
        <v>39153.069999999992</v>
      </c>
      <c r="O154" s="25">
        <f t="shared" si="5"/>
        <v>11007.82546143035</v>
      </c>
      <c r="P154" s="25">
        <f t="shared" si="6"/>
        <v>28145.244538569641</v>
      </c>
      <c r="Q154" s="25">
        <f t="array" aca="1" ref="Q154" ca="1">INDEX('Isaac 401k'!L:L,MATCH('Retirement Calculator'!A154,'Isaac 401k'!N:N,0),0)</f>
        <v>1561393.1677380363</v>
      </c>
      <c r="R154" s="25">
        <f t="array" aca="1" ref="R154" ca="1">INDEX('Lorri 401b'!L:L,MATCH('Retirement Calculator'!A154,'Lorri 401b'!N:N,0),0)</f>
        <v>4036173.7155779176</v>
      </c>
      <c r="S154" s="25">
        <f t="shared" ca="1" si="7"/>
        <v>5597566.8833159544</v>
      </c>
    </row>
    <row r="155" spans="1:19" ht="15.75" customHeight="1" x14ac:dyDescent="0.3">
      <c r="A155" s="37">
        <v>55671</v>
      </c>
      <c r="B155" s="409">
        <f t="shared" ref="B155:C155" si="151">($A155-B$9)/365.25</f>
        <v>70.540725530458587</v>
      </c>
      <c r="C155" s="409">
        <f t="shared" si="151"/>
        <v>65.930184804928132</v>
      </c>
      <c r="E155" s="25">
        <f>IF(C155&gt;$B$7,0,'Combined Retirement'!$D$13/12)</f>
        <v>0</v>
      </c>
      <c r="F155" s="25">
        <f>IF(H155=0,'Combined Retirement'!$D$32,0)+'Combined Retirement'!$B$24</f>
        <v>2870.372285649099</v>
      </c>
      <c r="G155" s="25">
        <f>'Combined Retirement'!$C$24</f>
        <v>3525.4531757812501</v>
      </c>
      <c r="H155" s="25">
        <f>IF(B155&lt;62,0,'Combined Retirement'!$I$14)</f>
        <v>2192</v>
      </c>
      <c r="I155" s="25">
        <f>IF(C155&lt;62,0,'Combined Retirement'!$I$13)</f>
        <v>2420</v>
      </c>
      <c r="J155" s="25">
        <f t="shared" si="3"/>
        <v>7863.2184191855868</v>
      </c>
      <c r="K155" s="25">
        <f t="shared" si="4"/>
        <v>20282.026119384056</v>
      </c>
      <c r="L155" s="25"/>
      <c r="N155" s="25">
        <f>'Combined Retirement'!$C$18/12</f>
        <v>39153.069999999992</v>
      </c>
      <c r="O155" s="25">
        <f t="shared" si="5"/>
        <v>11007.82546143035</v>
      </c>
      <c r="P155" s="25">
        <f t="shared" si="6"/>
        <v>28145.244538569641</v>
      </c>
      <c r="Q155" s="25">
        <f t="array" aca="1" ref="Q155" ca="1">INDEX('Isaac 401k'!L:L,MATCH('Retirement Calculator'!A155,'Isaac 401k'!N:N,0),0)</f>
        <v>1560002.9907743458</v>
      </c>
      <c r="R155" s="25">
        <f t="array" aca="1" ref="R155" ca="1">INDEX('Lorri 401b'!L:L,MATCH('Retirement Calculator'!A155,'Lorri 401b'!N:N,0),0)</f>
        <v>4032624.5714979442</v>
      </c>
      <c r="S155" s="25">
        <f t="shared" ca="1" si="7"/>
        <v>5592627.5622722898</v>
      </c>
    </row>
    <row r="156" spans="1:19" ht="15.75" customHeight="1" x14ac:dyDescent="0.3">
      <c r="A156" s="37">
        <v>55701</v>
      </c>
      <c r="B156" s="409">
        <f t="shared" ref="B156:C156" si="152">($A156-B$9)/365.25</f>
        <v>70.622861054072558</v>
      </c>
      <c r="C156" s="409">
        <f t="shared" si="152"/>
        <v>66.012320328542089</v>
      </c>
      <c r="E156" s="25">
        <f>IF(C156&gt;$B$7,0,'Combined Retirement'!$D$13/12)</f>
        <v>0</v>
      </c>
      <c r="F156" s="25">
        <f>IF(H156=0,'Combined Retirement'!$D$32,0)+'Combined Retirement'!$B$24</f>
        <v>2870.372285649099</v>
      </c>
      <c r="G156" s="25">
        <f>'Combined Retirement'!$C$24</f>
        <v>3525.4531757812501</v>
      </c>
      <c r="H156" s="25">
        <f>IF(B156&lt;62,0,'Combined Retirement'!$I$14)</f>
        <v>2192</v>
      </c>
      <c r="I156" s="25">
        <f>IF(C156&lt;62,0,'Combined Retirement'!$I$13)</f>
        <v>2420</v>
      </c>
      <c r="J156" s="25">
        <f t="shared" si="3"/>
        <v>7863.2184191855868</v>
      </c>
      <c r="K156" s="25">
        <f t="shared" si="4"/>
        <v>20282.026119384056</v>
      </c>
      <c r="L156" s="25"/>
      <c r="N156" s="25">
        <f>'Combined Retirement'!$C$18/12</f>
        <v>39153.069999999992</v>
      </c>
      <c r="O156" s="25">
        <f t="shared" si="5"/>
        <v>11007.82546143035</v>
      </c>
      <c r="P156" s="25">
        <f t="shared" si="6"/>
        <v>28145.244538569641</v>
      </c>
      <c r="Q156" s="25">
        <f t="array" aca="1" ref="Q156" ca="1">INDEX('Isaac 401k'!L:L,MATCH('Retirement Calculator'!A156,'Isaac 401k'!N:N,0),0)</f>
        <v>1558607.0214066401</v>
      </c>
      <c r="R156" s="25">
        <f t="array" aca="1" ref="R156" ca="1">INDEX('Lorri 401b'!L:L,MATCH('Retirement Calculator'!A156,'Lorri 401b'!N:N,0),0)</f>
        <v>4029060.6393176373</v>
      </c>
      <c r="S156" s="25">
        <f t="shared" ca="1" si="7"/>
        <v>5587667.6607242776</v>
      </c>
    </row>
    <row r="157" spans="1:19" ht="15.75" customHeight="1" x14ac:dyDescent="0.3">
      <c r="A157" s="37">
        <v>55732</v>
      </c>
      <c r="B157" s="409">
        <f t="shared" ref="B157:C157" si="153">($A157-B$9)/365.25</f>
        <v>70.707734428473643</v>
      </c>
      <c r="C157" s="409">
        <f t="shared" si="153"/>
        <v>66.097193702943187</v>
      </c>
      <c r="E157" s="25">
        <f>IF(C157&gt;$B$7,0,'Combined Retirement'!$D$13/12)</f>
        <v>0</v>
      </c>
      <c r="F157" s="25">
        <f>IF(H157=0,'Combined Retirement'!$D$32,0)+'Combined Retirement'!$B$24</f>
        <v>2870.372285649099</v>
      </c>
      <c r="G157" s="25">
        <f>'Combined Retirement'!$C$24</f>
        <v>3525.4531757812501</v>
      </c>
      <c r="H157" s="25">
        <f>IF(B157&lt;62,0,'Combined Retirement'!$I$14)</f>
        <v>2192</v>
      </c>
      <c r="I157" s="25">
        <f>IF(C157&lt;62,0,'Combined Retirement'!$I$13)</f>
        <v>2420</v>
      </c>
      <c r="J157" s="25">
        <f t="shared" si="3"/>
        <v>7863.2184191855868</v>
      </c>
      <c r="K157" s="25">
        <f t="shared" si="4"/>
        <v>20282.026119384056</v>
      </c>
      <c r="L157" s="25"/>
      <c r="N157" s="25">
        <f>'Combined Retirement'!$C$18/12</f>
        <v>39153.069999999992</v>
      </c>
      <c r="O157" s="25">
        <f t="shared" si="5"/>
        <v>11007.82546143035</v>
      </c>
      <c r="P157" s="25">
        <f t="shared" si="6"/>
        <v>28145.244538569641</v>
      </c>
      <c r="Q157" s="25">
        <f t="array" aca="1" ref="Q157" ca="1">INDEX('Isaac 401k'!L:L,MATCH('Retirement Calculator'!A157,'Isaac 401k'!N:N,0),0)</f>
        <v>1557205.2354999022</v>
      </c>
      <c r="R157" s="25">
        <f t="array" aca="1" ref="R157" ca="1">INDEX('Lorri 401b'!L:L,MATCH('Retirement Calculator'!A157,'Lorri 401b'!N:N,0),0)</f>
        <v>4025481.8574199127</v>
      </c>
      <c r="S157" s="25">
        <f t="shared" ca="1" si="7"/>
        <v>5582687.0929198153</v>
      </c>
    </row>
    <row r="158" spans="1:19" ht="15.75" customHeight="1" x14ac:dyDescent="0.3">
      <c r="A158" s="37">
        <v>55763</v>
      </c>
      <c r="B158" s="409">
        <f t="shared" ref="B158:C158" si="154">($A158-B$9)/365.25</f>
        <v>70.792607802874741</v>
      </c>
      <c r="C158" s="409">
        <f t="shared" si="154"/>
        <v>66.182067077344286</v>
      </c>
      <c r="E158" s="25">
        <f>IF(C158&gt;$B$7,0,'Combined Retirement'!$D$13/12)</f>
        <v>0</v>
      </c>
      <c r="F158" s="25">
        <f>IF(H158=0,'Combined Retirement'!$D$32,0)+'Combined Retirement'!$B$24</f>
        <v>2870.372285649099</v>
      </c>
      <c r="G158" s="25">
        <f>'Combined Retirement'!$C$24</f>
        <v>3525.4531757812501</v>
      </c>
      <c r="H158" s="25">
        <f>IF(B158&lt;62,0,'Combined Retirement'!$I$14)</f>
        <v>2192</v>
      </c>
      <c r="I158" s="25">
        <f>IF(C158&lt;62,0,'Combined Retirement'!$I$13)</f>
        <v>2420</v>
      </c>
      <c r="J158" s="25">
        <f t="shared" si="3"/>
        <v>7863.2184191855868</v>
      </c>
      <c r="K158" s="25">
        <f t="shared" si="4"/>
        <v>20282.026119384056</v>
      </c>
      <c r="L158" s="25"/>
      <c r="N158" s="25">
        <f>'Combined Retirement'!$C$18/12</f>
        <v>39153.069999999992</v>
      </c>
      <c r="O158" s="25">
        <f t="shared" si="5"/>
        <v>11007.82546143035</v>
      </c>
      <c r="P158" s="25">
        <f t="shared" si="6"/>
        <v>28145.244538569641</v>
      </c>
      <c r="Q158" s="25">
        <f t="array" aca="1" ref="Q158" ca="1">INDEX('Isaac 401k'!L:L,MATCH('Retirement Calculator'!A158,'Isaac 401k'!N:N,0),0)</f>
        <v>1555797.6088185529</v>
      </c>
      <c r="R158" s="25">
        <f t="array" aca="1" ref="R158" ca="1">INDEX('Lorri 401b'!L:L,MATCH('Retirement Calculator'!A158,'Lorri 401b'!N:N,0),0)</f>
        <v>4021888.1639309474</v>
      </c>
      <c r="S158" s="25">
        <f t="shared" ca="1" si="7"/>
        <v>5577685.7727495003</v>
      </c>
    </row>
    <row r="159" spans="1:19" ht="15.75" customHeight="1" x14ac:dyDescent="0.3">
      <c r="A159" s="37">
        <v>55793</v>
      </c>
      <c r="B159" s="409">
        <f t="shared" ref="B159:C159" si="155">($A159-B$9)/365.25</f>
        <v>70.874743326488712</v>
      </c>
      <c r="C159" s="409">
        <f t="shared" si="155"/>
        <v>66.264202600958242</v>
      </c>
      <c r="E159" s="25">
        <f>IF(C159&gt;$B$7,0,'Combined Retirement'!$D$13/12)</f>
        <v>0</v>
      </c>
      <c r="F159" s="25">
        <f>IF(H159=0,'Combined Retirement'!$D$32,0)+'Combined Retirement'!$B$24</f>
        <v>2870.372285649099</v>
      </c>
      <c r="G159" s="25">
        <f>'Combined Retirement'!$C$24</f>
        <v>3525.4531757812501</v>
      </c>
      <c r="H159" s="25">
        <f>IF(B159&lt;62,0,'Combined Retirement'!$I$14)</f>
        <v>2192</v>
      </c>
      <c r="I159" s="25">
        <f>IF(C159&lt;62,0,'Combined Retirement'!$I$13)</f>
        <v>2420</v>
      </c>
      <c r="J159" s="25">
        <f t="shared" si="3"/>
        <v>7863.2184191855868</v>
      </c>
      <c r="K159" s="25">
        <f t="shared" si="4"/>
        <v>20282.026119384056</v>
      </c>
      <c r="L159" s="25"/>
      <c r="N159" s="25">
        <f>'Combined Retirement'!$C$18/12</f>
        <v>39153.069999999992</v>
      </c>
      <c r="O159" s="25">
        <f t="shared" si="5"/>
        <v>11007.82546143035</v>
      </c>
      <c r="P159" s="25">
        <f t="shared" si="6"/>
        <v>28145.244538569641</v>
      </c>
      <c r="Q159" s="25">
        <f t="array" aca="1" ref="Q159" ca="1">INDEX('Isaac 401k'!L:L,MATCH('Retirement Calculator'!A159,'Isaac 401k'!N:N,0),0)</f>
        <v>1554384.1170260313</v>
      </c>
      <c r="R159" s="25">
        <f t="array" aca="1" ref="R159" ca="1">INDEX('Lorri 401b'!L:L,MATCH('Retirement Calculator'!A159,'Lorri 401b'!N:N,0),0)</f>
        <v>4018279.4967191117</v>
      </c>
      <c r="S159" s="25">
        <f t="shared" ca="1" si="7"/>
        <v>5572663.6137451427</v>
      </c>
    </row>
    <row r="160" spans="1:19" ht="15.75" customHeight="1" x14ac:dyDescent="0.3">
      <c r="A160" s="37">
        <v>55824</v>
      </c>
      <c r="B160" s="409">
        <f t="shared" ref="B160:C160" si="156">($A160-B$9)/365.25</f>
        <v>70.959616700889796</v>
      </c>
      <c r="C160" s="409">
        <f t="shared" si="156"/>
        <v>66.349075975359341</v>
      </c>
      <c r="E160" s="25">
        <f>IF(C160&gt;$B$7,0,'Combined Retirement'!$D$13/12)</f>
        <v>0</v>
      </c>
      <c r="F160" s="25">
        <f>IF(H160=0,'Combined Retirement'!$D$32,0)+'Combined Retirement'!$B$24</f>
        <v>2870.372285649099</v>
      </c>
      <c r="G160" s="25">
        <f>'Combined Retirement'!$C$24</f>
        <v>3525.4531757812501</v>
      </c>
      <c r="H160" s="25">
        <f>IF(B160&lt;62,0,'Combined Retirement'!$I$14)</f>
        <v>2192</v>
      </c>
      <c r="I160" s="25">
        <f>IF(C160&lt;62,0,'Combined Retirement'!$I$13)</f>
        <v>2420</v>
      </c>
      <c r="J160" s="25">
        <f t="shared" si="3"/>
        <v>7863.2184191855868</v>
      </c>
      <c r="K160" s="25">
        <f t="shared" si="4"/>
        <v>20282.026119384056</v>
      </c>
      <c r="L160" s="25"/>
      <c r="N160" s="25">
        <f>'Combined Retirement'!$C$18/12</f>
        <v>39153.069999999992</v>
      </c>
      <c r="O160" s="25">
        <f t="shared" si="5"/>
        <v>11007.82546143035</v>
      </c>
      <c r="P160" s="25">
        <f t="shared" si="6"/>
        <v>28145.244538569641</v>
      </c>
      <c r="Q160" s="25">
        <f t="array" aca="1" ref="Q160" ca="1">INDEX('Isaac 401k'!L:L,MATCH('Retirement Calculator'!A160,'Isaac 401k'!N:N,0),0)</f>
        <v>1552964.7356843741</v>
      </c>
      <c r="R160" s="25">
        <f t="array" aca="1" ref="R160" ca="1">INDEX('Lorri 401b'!L:L,MATCH('Retirement Calculator'!A160,'Lorri 401b'!N:N,0),0)</f>
        <v>4014655.7933938932</v>
      </c>
      <c r="S160" s="25">
        <f t="shared" ca="1" si="7"/>
        <v>5567620.5290782675</v>
      </c>
    </row>
    <row r="161" spans="1:19" ht="15.75" customHeight="1" x14ac:dyDescent="0.3">
      <c r="A161" s="37">
        <v>55854</v>
      </c>
      <c r="B161" s="409">
        <f t="shared" ref="B161:C161" si="157">($A161-B$9)/365.25</f>
        <v>71.041752224503767</v>
      </c>
      <c r="C161" s="409">
        <f t="shared" si="157"/>
        <v>66.431211498973312</v>
      </c>
      <c r="E161" s="25">
        <f>IF(C161&gt;$B$7,0,'Combined Retirement'!$D$13/12)</f>
        <v>0</v>
      </c>
      <c r="F161" s="25">
        <f>IF(H161=0,'Combined Retirement'!$D$32,0)+'Combined Retirement'!$B$24</f>
        <v>2870.372285649099</v>
      </c>
      <c r="G161" s="25">
        <f>'Combined Retirement'!$C$24</f>
        <v>3525.4531757812501</v>
      </c>
      <c r="H161" s="25">
        <f>IF(B161&lt;62,0,'Combined Retirement'!$I$14)</f>
        <v>2192</v>
      </c>
      <c r="I161" s="25">
        <f>IF(C161&lt;62,0,'Combined Retirement'!$I$13)</f>
        <v>2420</v>
      </c>
      <c r="J161" s="25">
        <f t="shared" si="3"/>
        <v>7863.2184191855868</v>
      </c>
      <c r="K161" s="25">
        <f t="shared" si="4"/>
        <v>20282.026119384056</v>
      </c>
      <c r="L161" s="25"/>
      <c r="N161" s="25">
        <f>'Combined Retirement'!$C$18/12</f>
        <v>39153.069999999992</v>
      </c>
      <c r="O161" s="25">
        <f t="shared" si="5"/>
        <v>11007.82546143035</v>
      </c>
      <c r="P161" s="25">
        <f t="shared" si="6"/>
        <v>28145.244538569641</v>
      </c>
      <c r="Q161" s="25">
        <f t="array" aca="1" ref="Q161" ca="1">INDEX('Isaac 401k'!L:L,MATCH('Retirement Calculator'!A161,'Isaac 401k'!N:N,0),0)</f>
        <v>1551539.4402537935</v>
      </c>
      <c r="R161" s="25">
        <f t="array" aca="1" ref="R161" ca="1">INDEX('Lorri 401b'!L:L,MATCH('Retirement Calculator'!A161,'Lorri 401b'!N:N,0),0)</f>
        <v>4011016.9913048195</v>
      </c>
      <c r="S161" s="25">
        <f t="shared" ca="1" si="7"/>
        <v>5562556.4315586127</v>
      </c>
    </row>
    <row r="162" spans="1:19" ht="15.75" customHeight="1" x14ac:dyDescent="0.3">
      <c r="A162" s="37">
        <v>55885</v>
      </c>
      <c r="B162" s="409">
        <f t="shared" ref="B162:C162" si="158">($A162-B$9)/365.25</f>
        <v>71.126625598904866</v>
      </c>
      <c r="C162" s="409">
        <f t="shared" si="158"/>
        <v>66.516084873374396</v>
      </c>
      <c r="E162" s="25">
        <f>IF(C162&gt;$B$7,0,'Combined Retirement'!$D$13/12)</f>
        <v>0</v>
      </c>
      <c r="F162" s="25">
        <f>IF(H162=0,'Combined Retirement'!$D$32,0)+'Combined Retirement'!$B$24</f>
        <v>2870.372285649099</v>
      </c>
      <c r="G162" s="25">
        <f>'Combined Retirement'!$C$24</f>
        <v>3525.4531757812501</v>
      </c>
      <c r="H162" s="25">
        <f>IF(B162&lt;62,0,'Combined Retirement'!$I$14)</f>
        <v>2192</v>
      </c>
      <c r="I162" s="25">
        <f>IF(C162&lt;62,0,'Combined Retirement'!$I$13)</f>
        <v>2420</v>
      </c>
      <c r="J162" s="25">
        <f t="shared" si="3"/>
        <v>7863.2184191855868</v>
      </c>
      <c r="K162" s="25">
        <f t="shared" si="4"/>
        <v>20282.026119384056</v>
      </c>
      <c r="L162" s="25"/>
      <c r="N162" s="25">
        <f>'Combined Retirement'!$C$18/12</f>
        <v>39153.069999999992</v>
      </c>
      <c r="O162" s="25">
        <f t="shared" si="5"/>
        <v>11007.82546143035</v>
      </c>
      <c r="P162" s="25">
        <f t="shared" si="6"/>
        <v>28145.244538569641</v>
      </c>
      <c r="Q162" s="25">
        <f t="array" aca="1" ref="Q162" ca="1">INDEX('Isaac 401k'!L:L,MATCH('Retirement Calculator'!A162,'Isaac 401k'!N:N,0),0)</f>
        <v>1550108.2060922522</v>
      </c>
      <c r="R162" s="25">
        <f t="array" aca="1" ref="R162" ca="1">INDEX('Lorri 401b'!L:L,MATCH('Retirement Calculator'!A162,'Lorri 401b'!N:N,0),0)</f>
        <v>4007363.027540375</v>
      </c>
      <c r="S162" s="25">
        <f t="shared" ca="1" si="7"/>
        <v>5557471.2336326269</v>
      </c>
    </row>
    <row r="163" spans="1:19" ht="15.75" customHeight="1" x14ac:dyDescent="0.3">
      <c r="A163" s="37">
        <v>55916</v>
      </c>
      <c r="B163" s="409">
        <f t="shared" ref="B163:C163" si="159">($A163-B$9)/365.25</f>
        <v>71.21149897330595</v>
      </c>
      <c r="C163" s="409">
        <f t="shared" si="159"/>
        <v>66.600958247775495</v>
      </c>
      <c r="E163" s="25">
        <f>IF(C163&gt;$B$7,0,'Combined Retirement'!$D$13/12)</f>
        <v>0</v>
      </c>
      <c r="F163" s="25">
        <f>IF(H163=0,'Combined Retirement'!$D$32,0)+'Combined Retirement'!$B$24</f>
        <v>2870.372285649099</v>
      </c>
      <c r="G163" s="25">
        <f>'Combined Retirement'!$C$24</f>
        <v>3525.4531757812501</v>
      </c>
      <c r="H163" s="25">
        <f>IF(B163&lt;62,0,'Combined Retirement'!$I$14)</f>
        <v>2192</v>
      </c>
      <c r="I163" s="25">
        <f>IF(C163&lt;62,0,'Combined Retirement'!$I$13)</f>
        <v>2420</v>
      </c>
      <c r="J163" s="25">
        <f t="shared" si="3"/>
        <v>7863.2184191855868</v>
      </c>
      <c r="K163" s="25">
        <f t="shared" si="4"/>
        <v>20282.026119384056</v>
      </c>
      <c r="L163" s="25"/>
      <c r="N163" s="25">
        <f>'Combined Retirement'!$C$18/12</f>
        <v>39153.069999999992</v>
      </c>
      <c r="O163" s="25">
        <f t="shared" si="5"/>
        <v>11007.82546143035</v>
      </c>
      <c r="P163" s="25">
        <f t="shared" si="6"/>
        <v>28145.244538569641</v>
      </c>
      <c r="Q163" s="25">
        <f t="array" aca="1" ref="Q163" ca="1">INDEX('Isaac 401k'!L:L,MATCH('Retirement Calculator'!A163,'Isaac 401k'!N:N,0),0)</f>
        <v>1548671.0084550376</v>
      </c>
      <c r="R163" s="25">
        <f t="array" aca="1" ref="R163" ca="1">INDEX('Lorri 401b'!L:L,MATCH('Retirement Calculator'!A163,'Lorri 401b'!N:N,0),0)</f>
        <v>4003693.8389269118</v>
      </c>
      <c r="S163" s="25">
        <f t="shared" ca="1" si="7"/>
        <v>5552364.8473819494</v>
      </c>
    </row>
    <row r="164" spans="1:19" ht="15.75" customHeight="1" x14ac:dyDescent="0.3">
      <c r="A164" s="37">
        <v>55944</v>
      </c>
      <c r="B164" s="409">
        <f t="shared" ref="B164:C164" si="160">($A164-B$9)/365.25</f>
        <v>71.288158795345652</v>
      </c>
      <c r="C164" s="409">
        <f t="shared" si="160"/>
        <v>66.677618069815196</v>
      </c>
      <c r="E164" s="25">
        <f>IF(C164&gt;$B$7,0,'Combined Retirement'!$D$13/12)</f>
        <v>0</v>
      </c>
      <c r="F164" s="25">
        <f>IF(H164=0,'Combined Retirement'!$D$32,0)+'Combined Retirement'!$B$24</f>
        <v>2870.372285649099</v>
      </c>
      <c r="G164" s="25">
        <f>'Combined Retirement'!$C$24</f>
        <v>3525.4531757812501</v>
      </c>
      <c r="H164" s="25">
        <f>IF(B164&lt;62,0,'Combined Retirement'!$I$14)</f>
        <v>2192</v>
      </c>
      <c r="I164" s="25">
        <f>IF(C164&lt;62,0,'Combined Retirement'!$I$13)</f>
        <v>2420</v>
      </c>
      <c r="J164" s="25">
        <f t="shared" si="3"/>
        <v>7863.2184191855868</v>
      </c>
      <c r="K164" s="25">
        <f t="shared" si="4"/>
        <v>20282.026119384056</v>
      </c>
      <c r="L164" s="25"/>
      <c r="N164" s="25">
        <f>'Combined Retirement'!$C$18/12</f>
        <v>39153.069999999992</v>
      </c>
      <c r="O164" s="25">
        <f t="shared" si="5"/>
        <v>11007.82546143035</v>
      </c>
      <c r="P164" s="25">
        <f t="shared" si="6"/>
        <v>28145.244538569641</v>
      </c>
      <c r="Q164" s="25">
        <f t="array" aca="1" ref="Q164" ca="1">INDEX('Isaac 401k'!L:L,MATCH('Retirement Calculator'!A164,'Isaac 401k'!N:N,0),0)</f>
        <v>1547227.8224943348</v>
      </c>
      <c r="R164" s="25">
        <f t="array" aca="1" ref="R164" ca="1">INDEX('Lorri 401b'!L:L,MATCH('Retirement Calculator'!A164,'Lorri 401b'!N:N,0),0)</f>
        <v>4000009.3620275594</v>
      </c>
      <c r="S164" s="25">
        <f t="shared" ca="1" si="7"/>
        <v>5547237.184521894</v>
      </c>
    </row>
    <row r="165" spans="1:19" ht="15.75" customHeight="1" x14ac:dyDescent="0.3">
      <c r="A165" s="37">
        <v>55975</v>
      </c>
      <c r="B165" s="409">
        <f t="shared" ref="B165:C165" si="161">($A165-B$9)/365.25</f>
        <v>71.37303216974675</v>
      </c>
      <c r="C165" s="409">
        <f t="shared" si="161"/>
        <v>66.762491444216295</v>
      </c>
      <c r="E165" s="25">
        <f>IF(C165&gt;$B$7,0,'Combined Retirement'!$D$13/12)</f>
        <v>0</v>
      </c>
      <c r="F165" s="25">
        <f>IF(H165=0,'Combined Retirement'!$D$32,0)+'Combined Retirement'!$B$24</f>
        <v>2870.372285649099</v>
      </c>
      <c r="G165" s="25">
        <f>'Combined Retirement'!$C$24</f>
        <v>3525.4531757812501</v>
      </c>
      <c r="H165" s="25">
        <f>IF(B165&lt;62,0,'Combined Retirement'!$I$14)</f>
        <v>2192</v>
      </c>
      <c r="I165" s="25">
        <f>IF(C165&lt;62,0,'Combined Retirement'!$I$13)</f>
        <v>2420</v>
      </c>
      <c r="J165" s="25">
        <f t="shared" si="3"/>
        <v>7863.2184191855868</v>
      </c>
      <c r="K165" s="25">
        <f t="shared" si="4"/>
        <v>20282.026119384056</v>
      </c>
      <c r="L165" s="25"/>
      <c r="N165" s="25">
        <f>'Combined Retirement'!$C$18/12</f>
        <v>39153.069999999992</v>
      </c>
      <c r="O165" s="25">
        <f t="shared" si="5"/>
        <v>11007.82546143035</v>
      </c>
      <c r="P165" s="25">
        <f t="shared" si="6"/>
        <v>28145.244538569641</v>
      </c>
      <c r="Q165" s="25">
        <f t="array" aca="1" ref="Q165" ca="1">INDEX('Isaac 401k'!L:L,MATCH('Retirement Calculator'!A165,'Isaac 401k'!N:N,0),0)</f>
        <v>1545778.6232587956</v>
      </c>
      <c r="R165" s="25">
        <f t="array" aca="1" ref="R165" ca="1">INDEX('Lorri 401b'!L:L,MATCH('Retirement Calculator'!A165,'Lorri 401b'!N:N,0),0)</f>
        <v>3996309.5331411264</v>
      </c>
      <c r="S165" s="25">
        <f t="shared" ca="1" si="7"/>
        <v>5542088.1563999224</v>
      </c>
    </row>
    <row r="166" spans="1:19" ht="15.75" customHeight="1" x14ac:dyDescent="0.3">
      <c r="A166" s="37">
        <v>56005</v>
      </c>
      <c r="B166" s="409">
        <f t="shared" ref="B166:C166" si="162">($A166-B$9)/365.25</f>
        <v>71.455167693360707</v>
      </c>
      <c r="C166" s="409">
        <f t="shared" si="162"/>
        <v>66.844626967830251</v>
      </c>
      <c r="E166" s="25">
        <f>IF(C166&gt;$B$7,0,'Combined Retirement'!$D$13/12)</f>
        <v>0</v>
      </c>
      <c r="F166" s="25">
        <f>IF(H166=0,'Combined Retirement'!$D$32,0)+'Combined Retirement'!$B$24</f>
        <v>2870.372285649099</v>
      </c>
      <c r="G166" s="25">
        <f>'Combined Retirement'!$C$24</f>
        <v>3525.4531757812501</v>
      </c>
      <c r="H166" s="25">
        <f>IF(B166&lt;62,0,'Combined Retirement'!$I$14)</f>
        <v>2192</v>
      </c>
      <c r="I166" s="25">
        <f>IF(C166&lt;62,0,'Combined Retirement'!$I$13)</f>
        <v>2420</v>
      </c>
      <c r="J166" s="25">
        <f t="shared" si="3"/>
        <v>7863.2184191855868</v>
      </c>
      <c r="K166" s="25">
        <f t="shared" si="4"/>
        <v>20282.026119384056</v>
      </c>
      <c r="L166" s="25"/>
      <c r="N166" s="25">
        <f>'Combined Retirement'!$C$18/12</f>
        <v>39153.069999999992</v>
      </c>
      <c r="O166" s="25">
        <f t="shared" si="5"/>
        <v>11007.82546143035</v>
      </c>
      <c r="P166" s="25">
        <f t="shared" si="6"/>
        <v>28145.244538569641</v>
      </c>
      <c r="Q166" s="25">
        <f t="array" aca="1" ref="Q166" ca="1">INDEX('Isaac 401k'!L:L,MATCH('Retirement Calculator'!A166,'Isaac 401k'!N:N,0),0)</f>
        <v>1544323.3856931084</v>
      </c>
      <c r="R166" s="25">
        <f t="array" aca="1" ref="R166" ca="1">INDEX('Lorri 401b'!L:L,MATCH('Retirement Calculator'!A166,'Lorri 401b'!N:N,0),0)</f>
        <v>3992594.2883009994</v>
      </c>
      <c r="S166" s="25">
        <f t="shared" ca="1" si="7"/>
        <v>5536917.6739941081</v>
      </c>
    </row>
    <row r="167" spans="1:19" ht="15.75" customHeight="1" x14ac:dyDescent="0.3">
      <c r="A167" s="37">
        <v>56036</v>
      </c>
      <c r="B167" s="409">
        <f t="shared" ref="B167:C167" si="163">($A167-B$9)/365.25</f>
        <v>71.540041067761805</v>
      </c>
      <c r="C167" s="409">
        <f t="shared" si="163"/>
        <v>66.92950034223135</v>
      </c>
      <c r="E167" s="25">
        <f>IF(C167&gt;$B$7,0,'Combined Retirement'!$D$13/12)</f>
        <v>0</v>
      </c>
      <c r="F167" s="25">
        <f>IF(H167=0,'Combined Retirement'!$D$32,0)+'Combined Retirement'!$B$24</f>
        <v>2870.372285649099</v>
      </c>
      <c r="G167" s="25">
        <f>'Combined Retirement'!$C$24</f>
        <v>3525.4531757812501</v>
      </c>
      <c r="H167" s="25">
        <f>IF(B167&lt;62,0,'Combined Retirement'!$I$14)</f>
        <v>2192</v>
      </c>
      <c r="I167" s="25">
        <f>IF(C167&lt;62,0,'Combined Retirement'!$I$13)</f>
        <v>2420</v>
      </c>
      <c r="J167" s="25">
        <f t="shared" si="3"/>
        <v>7863.2184191855868</v>
      </c>
      <c r="K167" s="25">
        <f t="shared" si="4"/>
        <v>20282.026119384056</v>
      </c>
      <c r="L167" s="25"/>
      <c r="N167" s="25">
        <f>'Combined Retirement'!$C$18/12</f>
        <v>39153.069999999992</v>
      </c>
      <c r="O167" s="25">
        <f t="shared" si="5"/>
        <v>11007.82546143035</v>
      </c>
      <c r="P167" s="25">
        <f t="shared" si="6"/>
        <v>28145.244538569641</v>
      </c>
      <c r="Q167" s="25">
        <f t="array" aca="1" ref="Q167" ca="1">INDEX('Isaac 401k'!L:L,MATCH('Retirement Calculator'!A167,'Isaac 401k'!N:N,0),0)</f>
        <v>1542862.0846375641</v>
      </c>
      <c r="R167" s="25">
        <f t="array" aca="1" ref="R167" ca="1">INDEX('Lorri 401b'!L:L,MATCH('Retirement Calculator'!A167,'Lorri 401b'!N:N,0),0)</f>
        <v>3988863.563274039</v>
      </c>
      <c r="S167" s="25">
        <f t="shared" ca="1" si="7"/>
        <v>5531725.6479116026</v>
      </c>
    </row>
    <row r="168" spans="1:19" ht="15.75" customHeight="1" x14ac:dyDescent="0.3">
      <c r="A168" s="37">
        <v>56066</v>
      </c>
      <c r="B168" s="409">
        <f t="shared" ref="B168:C168" si="164">($A168-B$9)/365.25</f>
        <v>71.622176591375776</v>
      </c>
      <c r="C168" s="409">
        <f t="shared" si="164"/>
        <v>67.011635865845307</v>
      </c>
      <c r="E168" s="25">
        <f>IF(C168&gt;$B$7,0,'Combined Retirement'!$D$13/12)</f>
        <v>0</v>
      </c>
      <c r="F168" s="25">
        <f>IF(H168=0,'Combined Retirement'!$D$32,0)+'Combined Retirement'!$B$24</f>
        <v>2870.372285649099</v>
      </c>
      <c r="G168" s="25">
        <f>'Combined Retirement'!$C$24</f>
        <v>3525.4531757812501</v>
      </c>
      <c r="H168" s="25">
        <f>IF(B168&lt;62,0,'Combined Retirement'!$I$14)</f>
        <v>2192</v>
      </c>
      <c r="I168" s="25">
        <f>IF(C168&lt;62,0,'Combined Retirement'!$I$13)</f>
        <v>2420</v>
      </c>
      <c r="J168" s="25">
        <f t="shared" si="3"/>
        <v>7863.2184191855868</v>
      </c>
      <c r="K168" s="25">
        <f t="shared" si="4"/>
        <v>20282.026119384056</v>
      </c>
      <c r="L168" s="25"/>
      <c r="N168" s="25">
        <f>'Combined Retirement'!$C$18/12</f>
        <v>39153.069999999992</v>
      </c>
      <c r="O168" s="25">
        <f t="shared" si="5"/>
        <v>11007.82546143035</v>
      </c>
      <c r="P168" s="25">
        <f t="shared" si="6"/>
        <v>28145.244538569641</v>
      </c>
      <c r="Q168" s="25">
        <f t="array" aca="1" ref="Q168" ca="1">INDEX('Isaac 401k'!L:L,MATCH('Retirement Calculator'!A168,'Isaac 401k'!N:N,0),0)</f>
        <v>1541394.6948276218</v>
      </c>
      <c r="R168" s="25">
        <f t="array" aca="1" ref="R168" ca="1">INDEX('Lorri 401b'!L:L,MATCH('Retirement Calculator'!A168,'Lorri 401b'!N:N,0),0)</f>
        <v>3985117.293559466</v>
      </c>
      <c r="S168" s="25">
        <f t="shared" ca="1" si="7"/>
        <v>5526511.9883870874</v>
      </c>
    </row>
    <row r="169" spans="1:19" ht="15.75" customHeight="1" x14ac:dyDescent="0.3">
      <c r="A169" s="37">
        <v>56097</v>
      </c>
      <c r="B169" s="409">
        <f t="shared" ref="B169:C169" si="165">($A169-B$9)/365.25</f>
        <v>71.707049965776861</v>
      </c>
      <c r="C169" s="409">
        <f t="shared" si="165"/>
        <v>67.096509240246405</v>
      </c>
      <c r="E169" s="25">
        <f>IF(C169&gt;$B$7,0,'Combined Retirement'!$D$13/12)</f>
        <v>0</v>
      </c>
      <c r="F169" s="25">
        <f>IF(H169=0,'Combined Retirement'!$D$32,0)+'Combined Retirement'!$B$24</f>
        <v>2870.372285649099</v>
      </c>
      <c r="G169" s="25">
        <f>'Combined Retirement'!$C$24</f>
        <v>3525.4531757812501</v>
      </c>
      <c r="H169" s="25">
        <f>IF(B169&lt;62,0,'Combined Retirement'!$I$14)</f>
        <v>2192</v>
      </c>
      <c r="I169" s="25">
        <f>IF(C169&lt;62,0,'Combined Retirement'!$I$13)</f>
        <v>2420</v>
      </c>
      <c r="J169" s="25">
        <f t="shared" si="3"/>
        <v>7863.2184191855868</v>
      </c>
      <c r="K169" s="25">
        <f t="shared" si="4"/>
        <v>20282.026119384056</v>
      </c>
      <c r="L169" s="25"/>
      <c r="N169" s="25">
        <f>'Combined Retirement'!$C$18/12</f>
        <v>39153.069999999992</v>
      </c>
      <c r="O169" s="25">
        <f t="shared" si="5"/>
        <v>11007.82546143035</v>
      </c>
      <c r="P169" s="25">
        <f t="shared" si="6"/>
        <v>28145.244538569641</v>
      </c>
      <c r="Q169" s="25">
        <f t="array" aca="1" ref="Q169" ca="1">INDEX('Isaac 401k'!L:L,MATCH('Retirement Calculator'!A169,'Isaac 401k'!N:N,0),0)</f>
        <v>1539921.1908934712</v>
      </c>
      <c r="R169" s="25">
        <f t="array" aca="1" ref="R169" ca="1">INDEX('Lorri 401b'!L:L,MATCH('Retirement Calculator'!A169,'Lorri 401b'!N:N,0),0)</f>
        <v>3981355.414387749</v>
      </c>
      <c r="S169" s="25">
        <f t="shared" ca="1" si="7"/>
        <v>5521276.6052812207</v>
      </c>
    </row>
    <row r="170" spans="1:19" ht="15.75" customHeight="1" x14ac:dyDescent="0.3">
      <c r="A170" s="37">
        <v>56128</v>
      </c>
      <c r="B170" s="409">
        <f t="shared" ref="B170:C170" si="166">($A170-B$9)/365.25</f>
        <v>71.791923340177959</v>
      </c>
      <c r="C170" s="409">
        <f t="shared" si="166"/>
        <v>67.181382614647504</v>
      </c>
      <c r="E170" s="25">
        <f>IF(C170&gt;$B$7,0,'Combined Retirement'!$D$13/12)</f>
        <v>0</v>
      </c>
      <c r="F170" s="25">
        <f>IF(H170=0,'Combined Retirement'!$D$32,0)+'Combined Retirement'!$B$24</f>
        <v>2870.372285649099</v>
      </c>
      <c r="G170" s="25">
        <f>'Combined Retirement'!$C$24</f>
        <v>3525.4531757812501</v>
      </c>
      <c r="H170" s="25">
        <f>IF(B170&lt;62,0,'Combined Retirement'!$I$14)</f>
        <v>2192</v>
      </c>
      <c r="I170" s="25">
        <f>IF(C170&lt;62,0,'Combined Retirement'!$I$13)</f>
        <v>2420</v>
      </c>
      <c r="J170" s="25">
        <f t="shared" si="3"/>
        <v>7863.2184191855868</v>
      </c>
      <c r="K170" s="25">
        <f t="shared" si="4"/>
        <v>20282.026119384056</v>
      </c>
      <c r="L170" s="25"/>
      <c r="N170" s="25">
        <f>'Combined Retirement'!$C$18/12</f>
        <v>39153.069999999992</v>
      </c>
      <c r="O170" s="25">
        <f t="shared" si="5"/>
        <v>11007.82546143035</v>
      </c>
      <c r="P170" s="25">
        <f t="shared" si="6"/>
        <v>28145.244538569641</v>
      </c>
      <c r="Q170" s="25">
        <f t="array" aca="1" ref="Q170" ca="1">INDEX('Isaac 401k'!L:L,MATCH('Retirement Calculator'!A170,'Isaac 401k'!N:N,0),0)</f>
        <v>1538441.5473595951</v>
      </c>
      <c r="R170" s="25">
        <f t="array" aca="1" ref="R170" ca="1">INDEX('Lorri 401b'!L:L,MATCH('Retirement Calculator'!A170,'Lorri 401b'!N:N,0),0)</f>
        <v>3977577.8607194833</v>
      </c>
      <c r="S170" s="25">
        <f t="shared" ca="1" si="7"/>
        <v>5516019.4080790784</v>
      </c>
    </row>
    <row r="171" spans="1:19" ht="15.75" customHeight="1" x14ac:dyDescent="0.3">
      <c r="A171" s="37">
        <v>56158</v>
      </c>
      <c r="B171" s="409">
        <f t="shared" ref="B171:C171" si="167">($A171-B$9)/365.25</f>
        <v>71.87405886379193</v>
      </c>
      <c r="C171" s="409">
        <f t="shared" si="167"/>
        <v>67.26351813826146</v>
      </c>
      <c r="E171" s="25">
        <f>IF(C171&gt;$B$7,0,'Combined Retirement'!$D$13/12)</f>
        <v>0</v>
      </c>
      <c r="F171" s="25">
        <f>IF(H171=0,'Combined Retirement'!$D$32,0)+'Combined Retirement'!$B$24</f>
        <v>2870.372285649099</v>
      </c>
      <c r="G171" s="25">
        <f>'Combined Retirement'!$C$24</f>
        <v>3525.4531757812501</v>
      </c>
      <c r="H171" s="25">
        <f>IF(B171&lt;62,0,'Combined Retirement'!$I$14)</f>
        <v>2192</v>
      </c>
      <c r="I171" s="25">
        <f>IF(C171&lt;62,0,'Combined Retirement'!$I$13)</f>
        <v>2420</v>
      </c>
      <c r="J171" s="25">
        <f t="shared" si="3"/>
        <v>7863.2184191855868</v>
      </c>
      <c r="K171" s="25">
        <f t="shared" si="4"/>
        <v>20282.026119384056</v>
      </c>
      <c r="L171" s="25"/>
      <c r="N171" s="25">
        <f>'Combined Retirement'!$C$18/12</f>
        <v>39153.069999999992</v>
      </c>
      <c r="O171" s="25">
        <f t="shared" si="5"/>
        <v>11007.82546143035</v>
      </c>
      <c r="P171" s="25">
        <f t="shared" si="6"/>
        <v>28145.244538569641</v>
      </c>
      <c r="Q171" s="25">
        <f t="array" aca="1" ref="Q171" ca="1">INDEX('Isaac 401k'!L:L,MATCH('Retirement Calculator'!A171,'Isaac 401k'!N:N,0),0)</f>
        <v>1536955.7386443277</v>
      </c>
      <c r="R171" s="25">
        <f t="array" aca="1" ref="R171" ca="1">INDEX('Lorri 401b'!L:L,MATCH('Retirement Calculator'!A171,'Lorri 401b'!N:N,0),0)</f>
        <v>3973784.5672442666</v>
      </c>
      <c r="S171" s="25">
        <f t="shared" ca="1" si="7"/>
        <v>5510740.3058885941</v>
      </c>
    </row>
    <row r="172" spans="1:19" ht="15.75" customHeight="1" x14ac:dyDescent="0.3">
      <c r="A172" s="37">
        <v>56189</v>
      </c>
      <c r="B172" s="409">
        <f t="shared" ref="B172:C172" si="168">($A172-B$9)/365.25</f>
        <v>71.958932238193015</v>
      </c>
      <c r="C172" s="409">
        <f t="shared" si="168"/>
        <v>67.348391512662559</v>
      </c>
      <c r="E172" s="25">
        <f>IF(C172&gt;$B$7,0,'Combined Retirement'!$D$13/12)</f>
        <v>0</v>
      </c>
      <c r="F172" s="25">
        <f>IF(H172=0,'Combined Retirement'!$D$32,0)+'Combined Retirement'!$B$24</f>
        <v>2870.372285649099</v>
      </c>
      <c r="G172" s="25">
        <f>'Combined Retirement'!$C$24</f>
        <v>3525.4531757812501</v>
      </c>
      <c r="H172" s="25">
        <f>IF(B172&lt;62,0,'Combined Retirement'!$I$14)</f>
        <v>2192</v>
      </c>
      <c r="I172" s="25">
        <f>IF(C172&lt;62,0,'Combined Retirement'!$I$13)</f>
        <v>2420</v>
      </c>
      <c r="J172" s="25">
        <f t="shared" si="3"/>
        <v>7863.2184191855868</v>
      </c>
      <c r="K172" s="25">
        <f t="shared" si="4"/>
        <v>20282.026119384056</v>
      </c>
      <c r="L172" s="25"/>
      <c r="N172" s="25">
        <f>'Combined Retirement'!$C$18/12</f>
        <v>39153.069999999992</v>
      </c>
      <c r="O172" s="25">
        <f t="shared" si="5"/>
        <v>11007.82546143035</v>
      </c>
      <c r="P172" s="25">
        <f t="shared" si="6"/>
        <v>28145.244538569641</v>
      </c>
      <c r="Q172" s="25">
        <f t="array" aca="1" ref="Q172" ca="1">INDEX('Isaac 401k'!L:L,MATCH('Retirement Calculator'!A172,'Isaac 401k'!N:N,0),0)</f>
        <v>1535463.7390594136</v>
      </c>
      <c r="R172" s="25">
        <f t="array" aca="1" ref="R172" ca="1">INDEX('Lorri 401b'!L:L,MATCH('Retirement Calculator'!A172,'Lorri 401b'!N:N,0),0)</f>
        <v>3969975.4683795697</v>
      </c>
      <c r="S172" s="25">
        <f t="shared" ca="1" si="7"/>
        <v>5505439.207438983</v>
      </c>
    </row>
    <row r="173" spans="1:19" ht="15.75" customHeight="1" x14ac:dyDescent="0.3">
      <c r="A173" s="37">
        <v>56219</v>
      </c>
      <c r="B173" s="409">
        <f t="shared" ref="B173:C173" si="169">($A173-B$9)/365.25</f>
        <v>72.041067761806985</v>
      </c>
      <c r="C173" s="409">
        <f t="shared" si="169"/>
        <v>67.43052703627653</v>
      </c>
      <c r="E173" s="25">
        <f>IF(C173&gt;$B$7,0,'Combined Retirement'!$D$13/12)</f>
        <v>0</v>
      </c>
      <c r="F173" s="25">
        <f>IF(H173=0,'Combined Retirement'!$D$32,0)+'Combined Retirement'!$B$24</f>
        <v>2870.372285649099</v>
      </c>
      <c r="G173" s="25">
        <f>'Combined Retirement'!$C$24</f>
        <v>3525.4531757812501</v>
      </c>
      <c r="H173" s="25">
        <f>IF(B173&lt;62,0,'Combined Retirement'!$I$14)</f>
        <v>2192</v>
      </c>
      <c r="I173" s="25">
        <f>IF(C173&lt;62,0,'Combined Retirement'!$I$13)</f>
        <v>2420</v>
      </c>
      <c r="J173" s="25">
        <f t="shared" si="3"/>
        <v>7863.2184191855868</v>
      </c>
      <c r="K173" s="25">
        <f t="shared" si="4"/>
        <v>20282.026119384056</v>
      </c>
      <c r="L173" s="25"/>
      <c r="N173" s="25">
        <f>'Combined Retirement'!$C$18/12</f>
        <v>39153.069999999992</v>
      </c>
      <c r="O173" s="25">
        <f t="shared" si="5"/>
        <v>11007.82546143035</v>
      </c>
      <c r="P173" s="25">
        <f t="shared" si="6"/>
        <v>28145.244538569641</v>
      </c>
      <c r="Q173" s="25">
        <f t="array" aca="1" ref="Q173" ca="1">INDEX('Isaac 401k'!L:L,MATCH('Retirement Calculator'!A173,'Isaac 401k'!N:N,0),0)</f>
        <v>1533965.5228095623</v>
      </c>
      <c r="R173" s="25">
        <f t="array" aca="1" ref="R173" ca="1">INDEX('Lorri 401b'!L:L,MATCH('Retirement Calculator'!A173,'Lorri 401b'!N:N,0),0)</f>
        <v>3966150.4982696031</v>
      </c>
      <c r="S173" s="25">
        <f t="shared" ca="1" si="7"/>
        <v>5500116.0210791659</v>
      </c>
    </row>
    <row r="174" spans="1:19" ht="15.75" customHeight="1" x14ac:dyDescent="0.3">
      <c r="A174" s="37">
        <v>56250</v>
      </c>
      <c r="B174" s="409">
        <f t="shared" ref="B174:C174" si="170">($A174-B$9)/365.25</f>
        <v>72.12594113620807</v>
      </c>
      <c r="C174" s="409">
        <f t="shared" si="170"/>
        <v>67.515400410677614</v>
      </c>
      <c r="E174" s="25">
        <f>IF(C174&gt;$B$7,0,'Combined Retirement'!$D$13/12)</f>
        <v>0</v>
      </c>
      <c r="F174" s="25">
        <f>IF(H174=0,'Combined Retirement'!$D$32,0)+'Combined Retirement'!$B$24</f>
        <v>2870.372285649099</v>
      </c>
      <c r="G174" s="25">
        <f>'Combined Retirement'!$C$24</f>
        <v>3525.4531757812501</v>
      </c>
      <c r="H174" s="25">
        <f>IF(B174&lt;62,0,'Combined Retirement'!$I$14)</f>
        <v>2192</v>
      </c>
      <c r="I174" s="25">
        <f>IF(C174&lt;62,0,'Combined Retirement'!$I$13)</f>
        <v>2420</v>
      </c>
      <c r="J174" s="25">
        <f t="shared" si="3"/>
        <v>7863.2184191855868</v>
      </c>
      <c r="K174" s="25">
        <f t="shared" si="4"/>
        <v>20282.026119384056</v>
      </c>
      <c r="L174" s="25"/>
      <c r="N174" s="25">
        <f>'Combined Retirement'!$C$18/12</f>
        <v>39153.069999999992</v>
      </c>
      <c r="O174" s="25">
        <f t="shared" si="5"/>
        <v>11007.82546143035</v>
      </c>
      <c r="P174" s="25">
        <f t="shared" si="6"/>
        <v>28145.244538569641</v>
      </c>
      <c r="Q174" s="25">
        <f t="array" aca="1" ref="Q174" ca="1">INDEX('Isaac 401k'!L:L,MATCH('Retirement Calculator'!A174,'Isaac 401k'!N:N,0),0)</f>
        <v>1532461.0639920032</v>
      </c>
      <c r="R174" s="25">
        <f t="array" aca="1" ref="R174" ca="1">INDEX('Lorri 401b'!L:L,MATCH('Retirement Calculator'!A174,'Lorri 401b'!N:N,0),0)</f>
        <v>3962309.5907841786</v>
      </c>
      <c r="S174" s="25">
        <f t="shared" ca="1" si="7"/>
        <v>5494770.654776182</v>
      </c>
    </row>
    <row r="175" spans="1:19" ht="15.75" customHeight="1" x14ac:dyDescent="0.3">
      <c r="A175" s="37">
        <v>56281</v>
      </c>
      <c r="B175" s="409">
        <f t="shared" ref="B175:C175" si="171">($A175-B$9)/365.25</f>
        <v>72.210814510609168</v>
      </c>
      <c r="C175" s="409">
        <f t="shared" si="171"/>
        <v>67.600273785078713</v>
      </c>
      <c r="E175" s="25">
        <f>IF(C175&gt;$B$7,0,'Combined Retirement'!$D$13/12)</f>
        <v>0</v>
      </c>
      <c r="F175" s="25">
        <f>IF(H175=0,'Combined Retirement'!$D$32,0)+'Combined Retirement'!$B$24</f>
        <v>2870.372285649099</v>
      </c>
      <c r="G175" s="25">
        <f>'Combined Retirement'!$C$24</f>
        <v>3525.4531757812501</v>
      </c>
      <c r="H175" s="25">
        <f>IF(B175&lt;62,0,'Combined Retirement'!$I$14)</f>
        <v>2192</v>
      </c>
      <c r="I175" s="25">
        <f>IF(C175&lt;62,0,'Combined Retirement'!$I$13)</f>
        <v>2420</v>
      </c>
      <c r="J175" s="25">
        <f t="shared" si="3"/>
        <v>7863.2184191855868</v>
      </c>
      <c r="K175" s="25">
        <f t="shared" si="4"/>
        <v>20282.026119384056</v>
      </c>
      <c r="L175" s="25"/>
      <c r="N175" s="25">
        <f>'Combined Retirement'!$C$18/12</f>
        <v>39153.069999999992</v>
      </c>
      <c r="O175" s="25">
        <f t="shared" si="5"/>
        <v>11007.82546143035</v>
      </c>
      <c r="P175" s="25">
        <f t="shared" si="6"/>
        <v>28145.244538569641</v>
      </c>
      <c r="Q175" s="25">
        <f t="array" aca="1" ref="Q175" ca="1">INDEX('Isaac 401k'!L:L,MATCH('Retirement Calculator'!A175,'Isaac 401k'!N:N,0),0)</f>
        <v>1530950.3365960377</v>
      </c>
      <c r="R175" s="25">
        <f t="array" aca="1" ref="R175" ca="1">INDEX('Lorri 401b'!L:L,MATCH('Retirement Calculator'!A175,'Lorri 401b'!N:N,0),0)</f>
        <v>3958452.6795175644</v>
      </c>
      <c r="S175" s="25">
        <f t="shared" ca="1" si="7"/>
        <v>5489403.0161136016</v>
      </c>
    </row>
    <row r="176" spans="1:19" ht="15.75" customHeight="1" x14ac:dyDescent="0.3">
      <c r="A176" s="37">
        <v>56309</v>
      </c>
      <c r="B176" s="409">
        <f t="shared" ref="B176:C176" si="172">($A176-B$9)/365.25</f>
        <v>72.28747433264887</v>
      </c>
      <c r="C176" s="409">
        <f t="shared" si="172"/>
        <v>67.676933607118414</v>
      </c>
      <c r="E176" s="25">
        <f>IF(C176&gt;$B$7,0,'Combined Retirement'!$D$13/12)</f>
        <v>0</v>
      </c>
      <c r="F176" s="25">
        <f>IF(H176=0,'Combined Retirement'!$D$32,0)+'Combined Retirement'!$B$24</f>
        <v>2870.372285649099</v>
      </c>
      <c r="G176" s="25">
        <f>'Combined Retirement'!$C$24</f>
        <v>3525.4531757812501</v>
      </c>
      <c r="H176" s="25">
        <f>IF(B176&lt;62,0,'Combined Retirement'!$I$14)</f>
        <v>2192</v>
      </c>
      <c r="I176" s="25">
        <f>IF(C176&lt;62,0,'Combined Retirement'!$I$13)</f>
        <v>2420</v>
      </c>
      <c r="J176" s="25">
        <f t="shared" si="3"/>
        <v>7863.2184191855868</v>
      </c>
      <c r="K176" s="25">
        <f t="shared" si="4"/>
        <v>20282.026119384056</v>
      </c>
      <c r="L176" s="25"/>
      <c r="N176" s="25">
        <f>'Combined Retirement'!$C$18/12</f>
        <v>39153.069999999992</v>
      </c>
      <c r="O176" s="25">
        <f t="shared" si="5"/>
        <v>11007.82546143035</v>
      </c>
      <c r="P176" s="25">
        <f t="shared" si="6"/>
        <v>28145.244538569641</v>
      </c>
      <c r="Q176" s="25">
        <f t="array" aca="1" ref="Q176" ca="1">INDEX('Isaac 401k'!L:L,MATCH('Retirement Calculator'!A176,'Isaac 401k'!N:N,0),0)</f>
        <v>1529433.3145025889</v>
      </c>
      <c r="R176" s="25">
        <f t="array" aca="1" ref="R176" ca="1">INDEX('Lorri 401b'!L:L,MATCH('Retirement Calculator'!A176,'Lorri 401b'!N:N,0),0)</f>
        <v>3954579.6977873393</v>
      </c>
      <c r="S176" s="25">
        <f t="shared" ca="1" si="7"/>
        <v>5484013.0122899283</v>
      </c>
    </row>
    <row r="177" spans="1:19" ht="15.75" customHeight="1" x14ac:dyDescent="0.3">
      <c r="A177" s="37">
        <v>56340</v>
      </c>
      <c r="B177" s="409">
        <f t="shared" ref="B177:C177" si="173">($A177-B$9)/365.25</f>
        <v>72.372347707049968</v>
      </c>
      <c r="C177" s="409">
        <f t="shared" si="173"/>
        <v>67.761806981519513</v>
      </c>
      <c r="E177" s="25">
        <f>IF(C177&gt;$B$7,0,'Combined Retirement'!$D$13/12)</f>
        <v>0</v>
      </c>
      <c r="F177" s="25">
        <f>IF(H177=0,'Combined Retirement'!$D$32,0)+'Combined Retirement'!$B$24</f>
        <v>2870.372285649099</v>
      </c>
      <c r="G177" s="25">
        <f>'Combined Retirement'!$C$24</f>
        <v>3525.4531757812501</v>
      </c>
      <c r="H177" s="25">
        <f>IF(B177&lt;62,0,'Combined Retirement'!$I$14)</f>
        <v>2192</v>
      </c>
      <c r="I177" s="25">
        <f>IF(C177&lt;62,0,'Combined Retirement'!$I$13)</f>
        <v>2420</v>
      </c>
      <c r="J177" s="25">
        <f t="shared" si="3"/>
        <v>7863.2184191855868</v>
      </c>
      <c r="K177" s="25">
        <f t="shared" si="4"/>
        <v>20282.026119384056</v>
      </c>
      <c r="L177" s="25"/>
      <c r="N177" s="25">
        <f>'Combined Retirement'!$C$18/12</f>
        <v>39153.069999999992</v>
      </c>
      <c r="O177" s="25">
        <f t="shared" si="5"/>
        <v>11007.82546143035</v>
      </c>
      <c r="P177" s="25">
        <f t="shared" si="6"/>
        <v>28145.244538569641</v>
      </c>
      <c r="Q177" s="25">
        <f t="array" aca="1" ref="Q177" ca="1">INDEX('Isaac 401k'!L:L,MATCH('Retirement Calculator'!A177,'Isaac 401k'!N:N,0),0)</f>
        <v>1527909.9714837507</v>
      </c>
      <c r="R177" s="25">
        <f t="array" aca="1" ref="R177" ca="1">INDEX('Lorri 401b'!L:L,MATCH('Retirement Calculator'!A177,'Lorri 401b'!N:N,0),0)</f>
        <v>3950690.5786332386</v>
      </c>
      <c r="S177" s="25">
        <f t="shared" ca="1" si="7"/>
        <v>5478600.5501169898</v>
      </c>
    </row>
    <row r="178" spans="1:19" ht="15.75" customHeight="1" x14ac:dyDescent="0.3">
      <c r="A178" s="37">
        <v>56370</v>
      </c>
      <c r="B178" s="409">
        <f t="shared" ref="B178:C178" si="174">($A178-B$9)/365.25</f>
        <v>72.454483230663925</v>
      </c>
      <c r="C178" s="409">
        <f t="shared" si="174"/>
        <v>67.843942505133469</v>
      </c>
      <c r="E178" s="25">
        <f>IF(C178&gt;$B$7,0,'Combined Retirement'!$D$13/12)</f>
        <v>0</v>
      </c>
      <c r="F178" s="25">
        <f>IF(H178=0,'Combined Retirement'!$D$32,0)+'Combined Retirement'!$B$24</f>
        <v>2870.372285649099</v>
      </c>
      <c r="G178" s="25">
        <f>'Combined Retirement'!$C$24</f>
        <v>3525.4531757812501</v>
      </c>
      <c r="H178" s="25">
        <f>IF(B178&lt;62,0,'Combined Retirement'!$I$14)</f>
        <v>2192</v>
      </c>
      <c r="I178" s="25">
        <f>IF(C178&lt;62,0,'Combined Retirement'!$I$13)</f>
        <v>2420</v>
      </c>
      <c r="J178" s="25">
        <f t="shared" si="3"/>
        <v>7863.2184191855868</v>
      </c>
      <c r="K178" s="25">
        <f t="shared" si="4"/>
        <v>20282.026119384056</v>
      </c>
      <c r="L178" s="25"/>
      <c r="N178" s="25">
        <f>'Combined Retirement'!$C$18/12</f>
        <v>39153.069999999992</v>
      </c>
      <c r="O178" s="25">
        <f t="shared" si="5"/>
        <v>11007.82546143035</v>
      </c>
      <c r="P178" s="25">
        <f t="shared" si="6"/>
        <v>28145.244538569641</v>
      </c>
      <c r="Q178" s="25">
        <f t="array" aca="1" ref="Q178" ca="1">INDEX('Isaac 401k'!L:L,MATCH('Retirement Calculator'!A178,'Isaac 401k'!N:N,0),0)</f>
        <v>1526380.2812023342</v>
      </c>
      <c r="R178" s="25">
        <f t="array" aca="1" ref="R178" ca="1">INDEX('Lorri 401b'!L:L,MATCH('Retirement Calculator'!A178,'Lorri 401b'!N:N,0),0)</f>
        <v>3946785.2548159957</v>
      </c>
      <c r="S178" s="25">
        <f t="shared" ca="1" si="7"/>
        <v>5473165.5360183297</v>
      </c>
    </row>
    <row r="179" spans="1:19" ht="15.75" customHeight="1" x14ac:dyDescent="0.3">
      <c r="A179" s="37">
        <v>56401</v>
      </c>
      <c r="B179" s="409">
        <f t="shared" ref="B179:C179" si="175">($A179-B$9)/365.25</f>
        <v>72.539356605065024</v>
      </c>
      <c r="C179" s="409">
        <f t="shared" si="175"/>
        <v>67.928815879534568</v>
      </c>
      <c r="E179" s="25">
        <f>IF(C179&gt;$B$7,0,'Combined Retirement'!$D$13/12)</f>
        <v>0</v>
      </c>
      <c r="F179" s="25">
        <f>IF(H179=0,'Combined Retirement'!$D$32,0)+'Combined Retirement'!$B$24</f>
        <v>2870.372285649099</v>
      </c>
      <c r="G179" s="25">
        <f>'Combined Retirement'!$C$24</f>
        <v>3525.4531757812501</v>
      </c>
      <c r="H179" s="25">
        <f>IF(B179&lt;62,0,'Combined Retirement'!$I$14)</f>
        <v>2192</v>
      </c>
      <c r="I179" s="25">
        <f>IF(C179&lt;62,0,'Combined Retirement'!$I$13)</f>
        <v>2420</v>
      </c>
      <c r="J179" s="25">
        <f t="shared" si="3"/>
        <v>7863.2184191855868</v>
      </c>
      <c r="K179" s="25">
        <f t="shared" si="4"/>
        <v>20282.026119384056</v>
      </c>
      <c r="L179" s="25"/>
      <c r="N179" s="25">
        <f>'Combined Retirement'!$C$18/12</f>
        <v>39153.069999999992</v>
      </c>
      <c r="O179" s="25">
        <f t="shared" si="5"/>
        <v>11007.82546143035</v>
      </c>
      <c r="P179" s="25">
        <f t="shared" si="6"/>
        <v>28145.244538569641</v>
      </c>
      <c r="Q179" s="25">
        <f t="array" aca="1" ref="Q179" ca="1">INDEX('Isaac 401k'!L:L,MATCH('Retirement Calculator'!A179,'Isaac 401k'!N:N,0),0)</f>
        <v>1524844.2172114118</v>
      </c>
      <c r="R179" s="25">
        <f t="array" aca="1" ref="R179" ca="1">INDEX('Lorri 401b'!L:L,MATCH('Retirement Calculator'!A179,'Lorri 401b'!N:N,0),0)</f>
        <v>3942863.6588161811</v>
      </c>
      <c r="S179" s="25">
        <f t="shared" ca="1" si="7"/>
        <v>5467707.8760275934</v>
      </c>
    </row>
    <row r="180" spans="1:19" ht="15.75" customHeight="1" x14ac:dyDescent="0.3">
      <c r="A180" s="37">
        <v>56431</v>
      </c>
      <c r="B180" s="409">
        <f t="shared" ref="B180:C180" si="176">($A180-B$9)/365.25</f>
        <v>72.62149212867898</v>
      </c>
      <c r="C180" s="409">
        <f t="shared" si="176"/>
        <v>68.010951403148525</v>
      </c>
      <c r="E180" s="25">
        <f>IF(C180&gt;$B$7,0,'Combined Retirement'!$D$13/12)</f>
        <v>0</v>
      </c>
      <c r="F180" s="25">
        <f>IF(H180=0,'Combined Retirement'!$D$32,0)+'Combined Retirement'!$B$24</f>
        <v>2870.372285649099</v>
      </c>
      <c r="G180" s="25">
        <f>'Combined Retirement'!$C$24</f>
        <v>3525.4531757812501</v>
      </c>
      <c r="H180" s="25">
        <f>IF(B180&lt;62,0,'Combined Retirement'!$I$14)</f>
        <v>2192</v>
      </c>
      <c r="I180" s="25">
        <f>IF(C180&lt;62,0,'Combined Retirement'!$I$13)</f>
        <v>2420</v>
      </c>
      <c r="J180" s="25">
        <f t="shared" si="3"/>
        <v>7863.2184191855868</v>
      </c>
      <c r="K180" s="25">
        <f t="shared" si="4"/>
        <v>20282.026119384056</v>
      </c>
      <c r="L180" s="25"/>
      <c r="N180" s="25">
        <f>'Combined Retirement'!$C$18/12</f>
        <v>39153.069999999992</v>
      </c>
      <c r="O180" s="25">
        <f t="shared" si="5"/>
        <v>11007.82546143035</v>
      </c>
      <c r="P180" s="25">
        <f t="shared" si="6"/>
        <v>28145.244538569641</v>
      </c>
      <c r="Q180" s="25">
        <f t="array" aca="1" ref="Q180" ca="1">INDEX('Isaac 401k'!L:L,MATCH('Retirement Calculator'!A180,'Isaac 401k'!N:N,0),0)</f>
        <v>1523301.7529538604</v>
      </c>
      <c r="R180" s="25">
        <f t="array" aca="1" ref="R180" ca="1">INDEX('Lorri 401b'!L:L,MATCH('Retirement Calculator'!A180,'Lorri 401b'!N:N,0),0)</f>
        <v>3938925.7228330337</v>
      </c>
      <c r="S180" s="25">
        <f t="shared" ca="1" si="7"/>
        <v>5462227.4757868946</v>
      </c>
    </row>
    <row r="181" spans="1:19" ht="15.75" customHeight="1" x14ac:dyDescent="0.3">
      <c r="A181" s="37">
        <v>56462</v>
      </c>
      <c r="B181" s="409">
        <f t="shared" ref="B181:C181" si="177">($A181-B$9)/365.25</f>
        <v>72.706365503080079</v>
      </c>
      <c r="C181" s="409">
        <f t="shared" si="177"/>
        <v>68.095824777549623</v>
      </c>
      <c r="E181" s="25">
        <f>IF(C181&gt;$B$7,0,'Combined Retirement'!$D$13/12)</f>
        <v>0</v>
      </c>
      <c r="F181" s="25">
        <f>IF(H181=0,'Combined Retirement'!$D$32,0)+'Combined Retirement'!$B$24</f>
        <v>2870.372285649099</v>
      </c>
      <c r="G181" s="25">
        <f>'Combined Retirement'!$C$24</f>
        <v>3525.4531757812501</v>
      </c>
      <c r="H181" s="25">
        <f>IF(B181&lt;62,0,'Combined Retirement'!$I$14)</f>
        <v>2192</v>
      </c>
      <c r="I181" s="25">
        <f>IF(C181&lt;62,0,'Combined Retirement'!$I$13)</f>
        <v>2420</v>
      </c>
      <c r="J181" s="25">
        <f t="shared" si="3"/>
        <v>7863.2184191855868</v>
      </c>
      <c r="K181" s="25">
        <f t="shared" si="4"/>
        <v>20282.026119384056</v>
      </c>
      <c r="L181" s="25"/>
      <c r="N181" s="25">
        <f>'Combined Retirement'!$C$18/12</f>
        <v>39153.069999999992</v>
      </c>
      <c r="O181" s="25">
        <f t="shared" si="5"/>
        <v>11007.82546143035</v>
      </c>
      <c r="P181" s="25">
        <f t="shared" si="6"/>
        <v>28145.244538569641</v>
      </c>
      <c r="Q181" s="25">
        <f t="array" aca="1" ref="Q181" ca="1">INDEX('Isaac 401k'!L:L,MATCH('Retirement Calculator'!A181,'Isaac 401k'!N:N,0),0)</f>
        <v>1521752.8617619027</v>
      </c>
      <c r="R181" s="25">
        <f t="array" aca="1" ref="R181" ca="1">INDEX('Lorri 401b'!L:L,MATCH('Retirement Calculator'!A181,'Lorri 401b'!N:N,0),0)</f>
        <v>3934971.3787832898</v>
      </c>
      <c r="S181" s="25">
        <f t="shared" ca="1" si="7"/>
        <v>5456724.2405451927</v>
      </c>
    </row>
    <row r="182" spans="1:19" ht="15.75" customHeight="1" x14ac:dyDescent="0.3">
      <c r="A182" s="37">
        <v>56493</v>
      </c>
      <c r="B182" s="409">
        <f t="shared" ref="B182:C182" si="178">($A182-B$9)/365.25</f>
        <v>72.791238877481177</v>
      </c>
      <c r="C182" s="409">
        <f t="shared" si="178"/>
        <v>68.180698151950722</v>
      </c>
      <c r="E182" s="25">
        <f>IF(C182&gt;$B$7,0,'Combined Retirement'!$D$13/12)</f>
        <v>0</v>
      </c>
      <c r="F182" s="25">
        <f>IF(H182=0,'Combined Retirement'!$D$32,0)+'Combined Retirement'!$B$24</f>
        <v>2870.372285649099</v>
      </c>
      <c r="G182" s="25">
        <f>'Combined Retirement'!$C$24</f>
        <v>3525.4531757812501</v>
      </c>
      <c r="H182" s="25">
        <f>IF(B182&lt;62,0,'Combined Retirement'!$I$14)</f>
        <v>2192</v>
      </c>
      <c r="I182" s="25">
        <f>IF(C182&lt;62,0,'Combined Retirement'!$I$13)</f>
        <v>2420</v>
      </c>
      <c r="J182" s="25">
        <f t="shared" si="3"/>
        <v>7863.2184191855868</v>
      </c>
      <c r="K182" s="25">
        <f t="shared" si="4"/>
        <v>20282.026119384056</v>
      </c>
      <c r="L182" s="25"/>
      <c r="N182" s="25">
        <f>'Combined Retirement'!$C$18/12</f>
        <v>39153.069999999992</v>
      </c>
      <c r="O182" s="25">
        <f t="shared" si="5"/>
        <v>11007.82546143035</v>
      </c>
      <c r="P182" s="25">
        <f t="shared" si="6"/>
        <v>28145.244538569641</v>
      </c>
      <c r="Q182" s="25">
        <f t="array" aca="1" ref="Q182" ca="1">INDEX('Isaac 401k'!L:L,MATCH('Retirement Calculator'!A182,'Isaac 401k'!N:N,0),0)</f>
        <v>1520197.516856645</v>
      </c>
      <c r="R182" s="25">
        <f t="array" aca="1" ref="R182" ca="1">INDEX('Lorri 401b'!L:L,MATCH('Retirement Calculator'!A182,'Lorri 401b'!N:N,0),0)</f>
        <v>3931000.5583000053</v>
      </c>
      <c r="S182" s="25">
        <f t="shared" ca="1" si="7"/>
        <v>5451198.0751566505</v>
      </c>
    </row>
    <row r="183" spans="1:19" ht="15.75" customHeight="1" x14ac:dyDescent="0.3">
      <c r="A183" s="37">
        <v>56523</v>
      </c>
      <c r="B183" s="409">
        <f t="shared" ref="B183:C183" si="179">($A183-B$9)/365.25</f>
        <v>72.873374401095134</v>
      </c>
      <c r="C183" s="409">
        <f t="shared" si="179"/>
        <v>68.262833675564679</v>
      </c>
      <c r="E183" s="25">
        <f>IF(C183&gt;$B$7,0,'Combined Retirement'!$D$13/12)</f>
        <v>0</v>
      </c>
      <c r="F183" s="25">
        <f>IF(H183=0,'Combined Retirement'!$D$32,0)+'Combined Retirement'!$B$24</f>
        <v>2870.372285649099</v>
      </c>
      <c r="G183" s="25">
        <f>'Combined Retirement'!$C$24</f>
        <v>3525.4531757812501</v>
      </c>
      <c r="H183" s="25">
        <f>IF(B183&lt;62,0,'Combined Retirement'!$I$14)</f>
        <v>2192</v>
      </c>
      <c r="I183" s="25">
        <f>IF(C183&lt;62,0,'Combined Retirement'!$I$13)</f>
        <v>2420</v>
      </c>
      <c r="J183" s="25">
        <f t="shared" si="3"/>
        <v>7863.2184191855868</v>
      </c>
      <c r="K183" s="25">
        <f t="shared" si="4"/>
        <v>20282.026119384056</v>
      </c>
      <c r="L183" s="25"/>
      <c r="N183" s="25">
        <f>'Combined Retirement'!$C$18/12</f>
        <v>39153.069999999992</v>
      </c>
      <c r="O183" s="25">
        <f t="shared" si="5"/>
        <v>11007.82546143035</v>
      </c>
      <c r="P183" s="25">
        <f t="shared" si="6"/>
        <v>28145.244538569641</v>
      </c>
      <c r="Q183" s="25">
        <f t="array" aca="1" ref="Q183" ca="1">INDEX('Isaac 401k'!L:L,MATCH('Retirement Calculator'!A183,'Isaac 401k'!N:N,0),0)</f>
        <v>1518635.6913476156</v>
      </c>
      <c r="R183" s="25">
        <f t="array" aca="1" ref="R183" ca="1">INDEX('Lorri 401b'!L:L,MATCH('Retirement Calculator'!A183,'Lorri 401b'!N:N,0),0)</f>
        <v>3927013.1927313739</v>
      </c>
      <c r="S183" s="25">
        <f t="shared" ca="1" si="7"/>
        <v>5445648.8840789897</v>
      </c>
    </row>
    <row r="184" spans="1:19" ht="15.75" customHeight="1" x14ac:dyDescent="0.3">
      <c r="A184" s="37">
        <v>56554</v>
      </c>
      <c r="B184" s="409">
        <f t="shared" ref="B184:C184" si="180">($A184-B$9)/365.25</f>
        <v>72.958247775496233</v>
      </c>
      <c r="C184" s="409">
        <f t="shared" si="180"/>
        <v>68.347707049965777</v>
      </c>
      <c r="E184" s="25">
        <f>IF(C184&gt;$B$7,0,'Combined Retirement'!$D$13/12)</f>
        <v>0</v>
      </c>
      <c r="F184" s="25">
        <f>IF(H184=0,'Combined Retirement'!$D$32,0)+'Combined Retirement'!$B$24</f>
        <v>2870.372285649099</v>
      </c>
      <c r="G184" s="25">
        <f>'Combined Retirement'!$C$24</f>
        <v>3525.4531757812501</v>
      </c>
      <c r="H184" s="25">
        <f>IF(B184&lt;62,0,'Combined Retirement'!$I$14)</f>
        <v>2192</v>
      </c>
      <c r="I184" s="25">
        <f>IF(C184&lt;62,0,'Combined Retirement'!$I$13)</f>
        <v>2420</v>
      </c>
      <c r="J184" s="25">
        <f t="shared" si="3"/>
        <v>7863.2184191855868</v>
      </c>
      <c r="K184" s="25">
        <f t="shared" si="4"/>
        <v>20282.026119384056</v>
      </c>
      <c r="L184" s="25"/>
      <c r="N184" s="25">
        <f>'Combined Retirement'!$C$18/12</f>
        <v>39153.069999999992</v>
      </c>
      <c r="O184" s="25">
        <f t="shared" si="5"/>
        <v>11007.82546143035</v>
      </c>
      <c r="P184" s="25">
        <f t="shared" si="6"/>
        <v>28145.244538569641</v>
      </c>
      <c r="Q184" s="25">
        <f t="array" aca="1" ref="Q184" ca="1">INDEX('Isaac 401k'!L:L,MATCH('Retirement Calculator'!A184,'Isaac 401k'!N:N,0),0)</f>
        <v>1517067.3582322984</v>
      </c>
      <c r="R184" s="25">
        <f t="array" aca="1" ref="R184" ca="1">INDEX('Lorri 401b'!L:L,MATCH('Retirement Calculator'!A184,'Lorri 401b'!N:N,0),0)</f>
        <v>3923009.2131395401</v>
      </c>
      <c r="S184" s="25">
        <f t="shared" ca="1" si="7"/>
        <v>5440076.5713718385</v>
      </c>
    </row>
    <row r="185" spans="1:19" ht="15.75" customHeight="1" x14ac:dyDescent="0.3">
      <c r="A185" s="37">
        <v>56584</v>
      </c>
      <c r="B185" s="409">
        <f t="shared" ref="B185:C185" si="181">($A185-B$9)/365.25</f>
        <v>73.040383299110204</v>
      </c>
      <c r="C185" s="409">
        <f t="shared" si="181"/>
        <v>68.429842573579734</v>
      </c>
      <c r="E185" s="25">
        <f>IF(C185&gt;$B$7,0,'Combined Retirement'!$D$13/12)</f>
        <v>0</v>
      </c>
      <c r="F185" s="25">
        <f>IF(H185=0,'Combined Retirement'!$D$32,0)+'Combined Retirement'!$B$24</f>
        <v>2870.372285649099</v>
      </c>
      <c r="G185" s="25">
        <f>'Combined Retirement'!$C$24</f>
        <v>3525.4531757812501</v>
      </c>
      <c r="H185" s="25">
        <f>IF(B185&lt;62,0,'Combined Retirement'!$I$14)</f>
        <v>2192</v>
      </c>
      <c r="I185" s="25">
        <f>IF(C185&lt;62,0,'Combined Retirement'!$I$13)</f>
        <v>2420</v>
      </c>
      <c r="J185" s="25">
        <f t="shared" si="3"/>
        <v>7863.2184191855868</v>
      </c>
      <c r="K185" s="25">
        <f t="shared" si="4"/>
        <v>20282.026119384056</v>
      </c>
      <c r="L185" s="25"/>
      <c r="N185" s="25">
        <f>'Combined Retirement'!$C$18/12</f>
        <v>39153.069999999992</v>
      </c>
      <c r="O185" s="25">
        <f t="shared" si="5"/>
        <v>11007.82546143035</v>
      </c>
      <c r="P185" s="25">
        <f t="shared" si="6"/>
        <v>28145.244538569641</v>
      </c>
      <c r="Q185" s="25">
        <f t="array" aca="1" ref="Q185" ca="1">INDEX('Isaac 401k'!L:L,MATCH('Retirement Calculator'!A185,'Isaac 401k'!N:N,0),0)</f>
        <v>1515492.4903956675</v>
      </c>
      <c r="R185" s="25">
        <f t="array" aca="1" ref="R185" ca="1">INDEX('Lorri 401b'!L:L,MATCH('Retirement Calculator'!A185,'Lorri 401b'!N:N,0),0)</f>
        <v>3918988.5502994065</v>
      </c>
      <c r="S185" s="25">
        <f t="shared" ca="1" si="7"/>
        <v>5434481.040695074</v>
      </c>
    </row>
    <row r="186" spans="1:19" ht="15.75" customHeight="1" x14ac:dyDescent="0.3">
      <c r="A186" s="37">
        <v>56615</v>
      </c>
      <c r="B186" s="409">
        <f t="shared" ref="B186:C186" si="182">($A186-B$9)/365.25</f>
        <v>73.125256673511288</v>
      </c>
      <c r="C186" s="409">
        <f t="shared" si="182"/>
        <v>68.514715947980832</v>
      </c>
      <c r="E186" s="25">
        <f>IF(C186&gt;$B$7,0,'Combined Retirement'!$D$13/12)</f>
        <v>0</v>
      </c>
      <c r="F186" s="25">
        <f>IF(H186=0,'Combined Retirement'!$D$32,0)+'Combined Retirement'!$B$24</f>
        <v>2870.372285649099</v>
      </c>
      <c r="G186" s="25">
        <f>'Combined Retirement'!$C$24</f>
        <v>3525.4531757812501</v>
      </c>
      <c r="H186" s="25">
        <f>IF(B186&lt;62,0,'Combined Retirement'!$I$14)</f>
        <v>2192</v>
      </c>
      <c r="I186" s="25">
        <f>IF(C186&lt;62,0,'Combined Retirement'!$I$13)</f>
        <v>2420</v>
      </c>
      <c r="J186" s="25">
        <f t="shared" si="3"/>
        <v>7863.2184191855868</v>
      </c>
      <c r="K186" s="25">
        <f t="shared" si="4"/>
        <v>20282.026119384056</v>
      </c>
      <c r="L186" s="25"/>
      <c r="N186" s="25">
        <f>'Combined Retirement'!$C$18/12</f>
        <v>39153.069999999992</v>
      </c>
      <c r="O186" s="25">
        <f t="shared" si="5"/>
        <v>11007.82546143035</v>
      </c>
      <c r="P186" s="25">
        <f t="shared" si="6"/>
        <v>28145.244538569641</v>
      </c>
      <c r="Q186" s="25">
        <f t="array" aca="1" ref="Q186" ca="1">INDEX('Isaac 401k'!L:L,MATCH('Retirement Calculator'!A186,'Isaac 401k'!N:N,0),0)</f>
        <v>1513911.0606097172</v>
      </c>
      <c r="R186" s="25">
        <f t="array" aca="1" ref="R186" ca="1">INDEX('Lorri 401b'!L:L,MATCH('Retirement Calculator'!A186,'Lorri 401b'!N:N,0),0)</f>
        <v>3914951.1346974391</v>
      </c>
      <c r="S186" s="25">
        <f t="shared" ca="1" si="7"/>
        <v>5428862.1953071561</v>
      </c>
    </row>
    <row r="187" spans="1:19" ht="15.75" customHeight="1" x14ac:dyDescent="0.3">
      <c r="A187" s="37">
        <v>56646</v>
      </c>
      <c r="B187" s="409">
        <f t="shared" ref="B187:C187" si="183">($A187-B$9)/365.25</f>
        <v>73.210130047912386</v>
      </c>
      <c r="C187" s="409">
        <f t="shared" si="183"/>
        <v>68.599589322381931</v>
      </c>
      <c r="E187" s="25">
        <f>IF(C187&gt;$B$7,0,'Combined Retirement'!$D$13/12)</f>
        <v>0</v>
      </c>
      <c r="F187" s="25">
        <f>IF(H187=0,'Combined Retirement'!$D$32,0)+'Combined Retirement'!$B$24</f>
        <v>2870.372285649099</v>
      </c>
      <c r="G187" s="25">
        <f>'Combined Retirement'!$C$24</f>
        <v>3525.4531757812501</v>
      </c>
      <c r="H187" s="25">
        <f>IF(B187&lt;62,0,'Combined Retirement'!$I$14)</f>
        <v>2192</v>
      </c>
      <c r="I187" s="25">
        <f>IF(C187&lt;62,0,'Combined Retirement'!$I$13)</f>
        <v>2420</v>
      </c>
      <c r="J187" s="25">
        <f t="shared" si="3"/>
        <v>7863.2184191855868</v>
      </c>
      <c r="K187" s="25">
        <f t="shared" si="4"/>
        <v>20282.026119384056</v>
      </c>
      <c r="L187" s="25"/>
      <c r="N187" s="25">
        <f>'Combined Retirement'!$C$18/12</f>
        <v>39153.069999999992</v>
      </c>
      <c r="O187" s="25">
        <f t="shared" si="5"/>
        <v>11007.82546143035</v>
      </c>
      <c r="P187" s="25">
        <f t="shared" si="6"/>
        <v>28145.244538569641</v>
      </c>
      <c r="Q187" s="25">
        <f t="array" aca="1" ref="Q187" ca="1">INDEX('Isaac 401k'!L:L,MATCH('Retirement Calculator'!A187,'Isaac 401k'!N:N,0),0)</f>
        <v>1512323.0415329922</v>
      </c>
      <c r="R187" s="25">
        <f t="array" aca="1" ref="R187" ca="1">INDEX('Lorri 401b'!L:L,MATCH('Retirement Calculator'!A187,'Lorri 401b'!N:N,0),0)</f>
        <v>3910896.8965304638</v>
      </c>
      <c r="S187" s="25">
        <f t="shared" ca="1" si="7"/>
        <v>5423219.9380634557</v>
      </c>
    </row>
    <row r="188" spans="1:19" ht="15.75" customHeight="1" x14ac:dyDescent="0.3">
      <c r="A188" s="37">
        <v>56674</v>
      </c>
      <c r="B188" s="409">
        <f t="shared" ref="B188:C188" si="184">($A188-B$9)/365.25</f>
        <v>73.286789869952088</v>
      </c>
      <c r="C188" s="409">
        <f t="shared" si="184"/>
        <v>68.676249144421632</v>
      </c>
      <c r="E188" s="25">
        <f>IF(C188&gt;$B$7,0,'Combined Retirement'!$D$13/12)</f>
        <v>0</v>
      </c>
      <c r="F188" s="25">
        <f>IF(H188=0,'Combined Retirement'!$D$32,0)+'Combined Retirement'!$B$24</f>
        <v>2870.372285649099</v>
      </c>
      <c r="G188" s="25">
        <f>'Combined Retirement'!$C$24</f>
        <v>3525.4531757812501</v>
      </c>
      <c r="H188" s="25">
        <f>IF(B188&lt;62,0,'Combined Retirement'!$I$14)</f>
        <v>2192</v>
      </c>
      <c r="I188" s="25">
        <f>IF(C188&lt;62,0,'Combined Retirement'!$I$13)</f>
        <v>2420</v>
      </c>
      <c r="J188" s="25">
        <f t="shared" si="3"/>
        <v>7863.2184191855868</v>
      </c>
      <c r="K188" s="25">
        <f t="shared" si="4"/>
        <v>20282.026119384056</v>
      </c>
      <c r="L188" s="25"/>
      <c r="N188" s="25">
        <f>'Combined Retirement'!$C$18/12</f>
        <v>39153.069999999992</v>
      </c>
      <c r="O188" s="25">
        <f t="shared" si="5"/>
        <v>11007.82546143035</v>
      </c>
      <c r="P188" s="25">
        <f t="shared" si="6"/>
        <v>28145.244538569641</v>
      </c>
      <c r="Q188" s="25">
        <f t="array" aca="1" ref="Q188" ca="1">INDEX('Isaac 401k'!L:L,MATCH('Retirement Calculator'!A188,'Isaac 401k'!N:N,0),0)</f>
        <v>1510728.4057101142</v>
      </c>
      <c r="R188" s="25">
        <f t="array" aca="1" ref="R188" ca="1">INDEX('Lorri 401b'!L:L,MATCH('Retirement Calculator'!A188,'Lorri 401b'!N:N,0),0)</f>
        <v>3906825.7657044595</v>
      </c>
      <c r="S188" s="25">
        <f t="shared" ca="1" si="7"/>
        <v>5417554.1714145737</v>
      </c>
    </row>
    <row r="189" spans="1:19" ht="15.75" customHeight="1" x14ac:dyDescent="0.3">
      <c r="A189" s="37">
        <v>56705</v>
      </c>
      <c r="B189" s="409">
        <f t="shared" ref="B189:C189" si="185">($A189-B$9)/365.25</f>
        <v>73.371663244353186</v>
      </c>
      <c r="C189" s="409">
        <f t="shared" si="185"/>
        <v>68.761122518822731</v>
      </c>
      <c r="E189" s="25">
        <f>IF(C189&gt;$B$7,0,'Combined Retirement'!$D$13/12)</f>
        <v>0</v>
      </c>
      <c r="F189" s="25">
        <f>IF(H189=0,'Combined Retirement'!$D$32,0)+'Combined Retirement'!$B$24</f>
        <v>2870.372285649099</v>
      </c>
      <c r="G189" s="25">
        <f>'Combined Retirement'!$C$24</f>
        <v>3525.4531757812501</v>
      </c>
      <c r="H189" s="25">
        <f>IF(B189&lt;62,0,'Combined Retirement'!$I$14)</f>
        <v>2192</v>
      </c>
      <c r="I189" s="25">
        <f>IF(C189&lt;62,0,'Combined Retirement'!$I$13)</f>
        <v>2420</v>
      </c>
      <c r="J189" s="25">
        <f t="shared" si="3"/>
        <v>7863.2184191855868</v>
      </c>
      <c r="K189" s="25">
        <f t="shared" si="4"/>
        <v>20282.026119384056</v>
      </c>
      <c r="L189" s="25"/>
      <c r="N189" s="25">
        <f>'Combined Retirement'!$C$18/12</f>
        <v>39153.069999999992</v>
      </c>
      <c r="O189" s="25">
        <f t="shared" si="5"/>
        <v>11007.82546143035</v>
      </c>
      <c r="P189" s="25">
        <f t="shared" si="6"/>
        <v>28145.244538569641</v>
      </c>
      <c r="Q189" s="25">
        <f t="array" aca="1" ref="Q189" ca="1">INDEX('Isaac 401k'!L:L,MATCH('Retirement Calculator'!A189,'Isaac 401k'!N:N,0),0)</f>
        <v>1509127.1255713075</v>
      </c>
      <c r="R189" s="25">
        <f t="array" aca="1" ref="R189" ca="1">INDEX('Lorri 401b'!L:L,MATCH('Retirement Calculator'!A189,'Lorri 401b'!N:N,0),0)</f>
        <v>3902737.6718333466</v>
      </c>
      <c r="S189" s="25">
        <f t="shared" ca="1" si="7"/>
        <v>5411864.7974046543</v>
      </c>
    </row>
    <row r="190" spans="1:19" ht="15.75" customHeight="1" x14ac:dyDescent="0.3">
      <c r="A190" s="37">
        <v>56735</v>
      </c>
      <c r="B190" s="409">
        <f t="shared" ref="B190:C190" si="186">($A190-B$9)/365.25</f>
        <v>73.453798767967143</v>
      </c>
      <c r="C190" s="409">
        <f t="shared" si="186"/>
        <v>68.843258042436688</v>
      </c>
      <c r="E190" s="25">
        <f>IF(C190&gt;$B$7,0,'Combined Retirement'!$D$13/12)</f>
        <v>0</v>
      </c>
      <c r="F190" s="25">
        <f>IF(H190=0,'Combined Retirement'!$D$32,0)+'Combined Retirement'!$B$24</f>
        <v>2870.372285649099</v>
      </c>
      <c r="G190" s="25">
        <f>'Combined Retirement'!$C$24</f>
        <v>3525.4531757812501</v>
      </c>
      <c r="H190" s="25">
        <f>IF(B190&lt;62,0,'Combined Retirement'!$I$14)</f>
        <v>2192</v>
      </c>
      <c r="I190" s="25">
        <f>IF(C190&lt;62,0,'Combined Retirement'!$I$13)</f>
        <v>2420</v>
      </c>
      <c r="J190" s="25">
        <f t="shared" si="3"/>
        <v>7863.2184191855868</v>
      </c>
      <c r="K190" s="25">
        <f t="shared" si="4"/>
        <v>20282.026119384056</v>
      </c>
      <c r="L190" s="25"/>
      <c r="N190" s="25">
        <f>'Combined Retirement'!$C$18/12</f>
        <v>39153.069999999992</v>
      </c>
      <c r="O190" s="25">
        <f t="shared" si="5"/>
        <v>11007.82546143035</v>
      </c>
      <c r="P190" s="25">
        <f t="shared" si="6"/>
        <v>28145.244538569641</v>
      </c>
      <c r="Q190" s="25">
        <f t="array" aca="1" ref="Q190" ca="1">INDEX('Isaac 401k'!L:L,MATCH('Retirement Calculator'!A190,'Isaac 401k'!N:N,0),0)</f>
        <v>1507519.1734319224</v>
      </c>
      <c r="R190" s="25">
        <f t="array" aca="1" ref="R190" ca="1">INDEX('Lorri 401b'!L:L,MATCH('Retirement Calculator'!A190,'Lorri 401b'!N:N,0),0)</f>
        <v>3898632.5442377706</v>
      </c>
      <c r="S190" s="25">
        <f t="shared" ca="1" si="7"/>
        <v>5406151.7176696928</v>
      </c>
    </row>
    <row r="191" spans="1:19" ht="15.75" customHeight="1" x14ac:dyDescent="0.3">
      <c r="A191" s="37">
        <v>56766</v>
      </c>
      <c r="B191" s="409">
        <f t="shared" ref="B191:C191" si="187">($A191-B$9)/365.25</f>
        <v>73.538672142368242</v>
      </c>
      <c r="C191" s="409">
        <f t="shared" si="187"/>
        <v>68.928131416837786</v>
      </c>
      <c r="E191" s="25">
        <f>IF(C191&gt;$B$7,0,'Combined Retirement'!$D$13/12)</f>
        <v>0</v>
      </c>
      <c r="F191" s="25">
        <f>IF(H191=0,'Combined Retirement'!$D$32,0)+'Combined Retirement'!$B$24</f>
        <v>2870.372285649099</v>
      </c>
      <c r="G191" s="25">
        <f>'Combined Retirement'!$C$24</f>
        <v>3525.4531757812501</v>
      </c>
      <c r="H191" s="25">
        <f>IF(B191&lt;62,0,'Combined Retirement'!$I$14)</f>
        <v>2192</v>
      </c>
      <c r="I191" s="25">
        <f>IF(C191&lt;62,0,'Combined Retirement'!$I$13)</f>
        <v>2420</v>
      </c>
      <c r="J191" s="25">
        <f t="shared" si="3"/>
        <v>7863.2184191855868</v>
      </c>
      <c r="K191" s="25">
        <f t="shared" si="4"/>
        <v>20282.026119384056</v>
      </c>
      <c r="L191" s="25"/>
      <c r="N191" s="25">
        <f>'Combined Retirement'!$C$18/12</f>
        <v>39153.069999999992</v>
      </c>
      <c r="O191" s="25">
        <f t="shared" si="5"/>
        <v>11007.82546143035</v>
      </c>
      <c r="P191" s="25">
        <f t="shared" si="6"/>
        <v>28145.244538569641</v>
      </c>
      <c r="Q191" s="25">
        <f t="array" aca="1" ref="Q191" ca="1">INDEX('Isaac 401k'!L:L,MATCH('Retirement Calculator'!A191,'Isaac 401k'!N:N,0),0)</f>
        <v>1505904.5214919567</v>
      </c>
      <c r="R191" s="25">
        <f t="array" aca="1" ref="R191" ca="1">INDEX('Lorri 401b'!L:L,MATCH('Retirement Calculator'!A191,'Lorri 401b'!N:N,0),0)</f>
        <v>3894510.3119438798</v>
      </c>
      <c r="S191" s="25">
        <f t="shared" ca="1" si="7"/>
        <v>5400414.8334358362</v>
      </c>
    </row>
    <row r="192" spans="1:19" ht="15.75" customHeight="1" x14ac:dyDescent="0.3">
      <c r="A192" s="37">
        <v>56796</v>
      </c>
      <c r="B192" s="409">
        <f t="shared" ref="B192:C192" si="188">($A192-B$9)/365.25</f>
        <v>73.620807665982198</v>
      </c>
      <c r="C192" s="409">
        <f t="shared" si="188"/>
        <v>69.010266940451743</v>
      </c>
      <c r="E192" s="25">
        <f>IF(C192&gt;$B$7,0,'Combined Retirement'!$D$13/12)</f>
        <v>0</v>
      </c>
      <c r="F192" s="25">
        <f>IF(H192=0,'Combined Retirement'!$D$32,0)+'Combined Retirement'!$B$24</f>
        <v>2870.372285649099</v>
      </c>
      <c r="G192" s="25">
        <f>'Combined Retirement'!$C$24</f>
        <v>3525.4531757812501</v>
      </c>
      <c r="H192" s="25">
        <f>IF(B192&lt;62,0,'Combined Retirement'!$I$14)</f>
        <v>2192</v>
      </c>
      <c r="I192" s="25">
        <f>IF(C192&lt;62,0,'Combined Retirement'!$I$13)</f>
        <v>2420</v>
      </c>
      <c r="J192" s="25">
        <f t="shared" si="3"/>
        <v>7863.2184191855868</v>
      </c>
      <c r="K192" s="25">
        <f t="shared" si="4"/>
        <v>20282.026119384056</v>
      </c>
      <c r="L192" s="25"/>
      <c r="N192" s="25">
        <f>'Combined Retirement'!$C$18/12</f>
        <v>39153.069999999992</v>
      </c>
      <c r="O192" s="25">
        <f t="shared" si="5"/>
        <v>11007.82546143035</v>
      </c>
      <c r="P192" s="25">
        <f t="shared" si="6"/>
        <v>28145.244538569641</v>
      </c>
      <c r="Q192" s="25">
        <f t="array" aca="1" ref="Q192" ca="1">INDEX('Isaac 401k'!L:L,MATCH('Retirement Calculator'!A192,'Isaac 401k'!N:N,0),0)</f>
        <v>1504283.1418355743</v>
      </c>
      <c r="R192" s="25">
        <f t="array" aca="1" ref="R192" ca="1">INDEX('Lorri 401b'!L:L,MATCH('Retirement Calculator'!A192,'Lorri 401b'!N:N,0),0)</f>
        <v>3890370.9036820978</v>
      </c>
      <c r="S192" s="25">
        <f t="shared" ca="1" si="7"/>
        <v>5394654.0455176719</v>
      </c>
    </row>
    <row r="193" spans="1:19" ht="15.75" customHeight="1" x14ac:dyDescent="0.3">
      <c r="A193" s="37">
        <v>56827</v>
      </c>
      <c r="B193" s="409">
        <f t="shared" ref="B193:C193" si="189">($A193-B$9)/365.25</f>
        <v>73.705681040383297</v>
      </c>
      <c r="C193" s="409">
        <f t="shared" si="189"/>
        <v>69.095140314852841</v>
      </c>
      <c r="E193" s="25">
        <f>IF(C193&gt;$B$7,0,'Combined Retirement'!$D$13/12)</f>
        <v>0</v>
      </c>
      <c r="F193" s="25">
        <f>IF(H193=0,'Combined Retirement'!$D$32,0)+'Combined Retirement'!$B$24</f>
        <v>2870.372285649099</v>
      </c>
      <c r="G193" s="25">
        <f>'Combined Retirement'!$C$24</f>
        <v>3525.4531757812501</v>
      </c>
      <c r="H193" s="25">
        <f>IF(B193&lt;62,0,'Combined Retirement'!$I$14)</f>
        <v>2192</v>
      </c>
      <c r="I193" s="25">
        <f>IF(C193&lt;62,0,'Combined Retirement'!$I$13)</f>
        <v>2420</v>
      </c>
      <c r="J193" s="25">
        <f t="shared" si="3"/>
        <v>7863.2184191855868</v>
      </c>
      <c r="K193" s="25">
        <f t="shared" si="4"/>
        <v>20282.026119384056</v>
      </c>
      <c r="L193" s="25"/>
      <c r="N193" s="25">
        <f>'Combined Retirement'!$C$18/12</f>
        <v>39153.069999999992</v>
      </c>
      <c r="O193" s="25">
        <f t="shared" si="5"/>
        <v>11007.82546143035</v>
      </c>
      <c r="P193" s="25">
        <f t="shared" si="6"/>
        <v>28145.244538569641</v>
      </c>
      <c r="Q193" s="25">
        <f t="array" aca="1" ref="Q193" ca="1">INDEX('Isaac 401k'!L:L,MATCH('Retirement Calculator'!A193,'Isaac 401k'!N:N,0),0)</f>
        <v>1502655.0064306236</v>
      </c>
      <c r="R193" s="25">
        <f t="array" aca="1" ref="R193" ca="1">INDEX('Lorri 401b'!L:L,MATCH('Retirement Calculator'!A193,'Lorri 401b'!N:N,0),0)</f>
        <v>3886214.2478858917</v>
      </c>
      <c r="S193" s="25">
        <f t="shared" ca="1" si="7"/>
        <v>5388869.2543165153</v>
      </c>
    </row>
    <row r="194" spans="1:19" ht="15.75" customHeight="1" x14ac:dyDescent="0.3">
      <c r="A194" s="37">
        <v>56858</v>
      </c>
      <c r="B194" s="409">
        <f t="shared" ref="B194:C194" si="190">($A194-B$9)/365.25</f>
        <v>73.790554414784395</v>
      </c>
      <c r="C194" s="409">
        <f t="shared" si="190"/>
        <v>69.18001368925394</v>
      </c>
      <c r="E194" s="25">
        <f>IF(C194&gt;$B$7,0,'Combined Retirement'!$D$13/12)</f>
        <v>0</v>
      </c>
      <c r="F194" s="25">
        <f>IF(H194=0,'Combined Retirement'!$D$32,0)+'Combined Retirement'!$B$24</f>
        <v>2870.372285649099</v>
      </c>
      <c r="G194" s="25">
        <f>'Combined Retirement'!$C$24</f>
        <v>3525.4531757812501</v>
      </c>
      <c r="H194" s="25">
        <f>IF(B194&lt;62,0,'Combined Retirement'!$I$14)</f>
        <v>2192</v>
      </c>
      <c r="I194" s="25">
        <f>IF(C194&lt;62,0,'Combined Retirement'!$I$13)</f>
        <v>2420</v>
      </c>
      <c r="J194" s="25">
        <f t="shared" si="3"/>
        <v>7863.2184191855868</v>
      </c>
      <c r="K194" s="25">
        <f t="shared" si="4"/>
        <v>20282.026119384056</v>
      </c>
      <c r="L194" s="25"/>
      <c r="N194" s="25">
        <f>'Combined Retirement'!$C$18/12</f>
        <v>39153.069999999992</v>
      </c>
      <c r="O194" s="25">
        <f t="shared" si="5"/>
        <v>11007.82546143035</v>
      </c>
      <c r="P194" s="25">
        <f t="shared" si="6"/>
        <v>28145.244538569641</v>
      </c>
      <c r="Q194" s="25">
        <f t="array" aca="1" ref="Q194" ca="1">INDEX('Isaac 401k'!L:L,MATCH('Retirement Calculator'!A194,'Isaac 401k'!N:N,0),0)</f>
        <v>1501020.0871281524</v>
      </c>
      <c r="R194" s="25">
        <f t="array" aca="1" ref="R194" ca="1">INDEX('Lorri 401b'!L:L,MATCH('Retirement Calculator'!A194,'Lorri 401b'!N:N,0),0)</f>
        <v>3882040.2726905351</v>
      </c>
      <c r="S194" s="25">
        <f t="shared" ca="1" si="7"/>
        <v>5383060.3598186877</v>
      </c>
    </row>
    <row r="195" spans="1:19" ht="15.75" customHeight="1" x14ac:dyDescent="0.3">
      <c r="A195" s="37">
        <v>56888</v>
      </c>
      <c r="B195" s="409">
        <f t="shared" ref="B195:C195" si="191">($A195-B$9)/365.25</f>
        <v>73.872689938398352</v>
      </c>
      <c r="C195" s="409">
        <f t="shared" si="191"/>
        <v>69.262149212867897</v>
      </c>
      <c r="E195" s="25">
        <f>IF(C195&gt;$B$7,0,'Combined Retirement'!$D$13/12)</f>
        <v>0</v>
      </c>
      <c r="F195" s="25">
        <f>IF(H195=0,'Combined Retirement'!$D$32,0)+'Combined Retirement'!$B$24</f>
        <v>2870.372285649099</v>
      </c>
      <c r="G195" s="25">
        <f>'Combined Retirement'!$C$24</f>
        <v>3525.4531757812501</v>
      </c>
      <c r="H195" s="25">
        <f>IF(B195&lt;62,0,'Combined Retirement'!$I$14)</f>
        <v>2192</v>
      </c>
      <c r="I195" s="25">
        <f>IF(C195&lt;62,0,'Combined Retirement'!$I$13)</f>
        <v>2420</v>
      </c>
      <c r="J195" s="25">
        <f t="shared" si="3"/>
        <v>7863.2184191855868</v>
      </c>
      <c r="K195" s="25">
        <f t="shared" si="4"/>
        <v>20282.026119384056</v>
      </c>
      <c r="L195" s="25"/>
      <c r="N195" s="25">
        <f>'Combined Retirement'!$C$18/12</f>
        <v>39153.069999999992</v>
      </c>
      <c r="O195" s="25">
        <f t="shared" si="5"/>
        <v>11007.82546143035</v>
      </c>
      <c r="P195" s="25">
        <f t="shared" si="6"/>
        <v>28145.244538569641</v>
      </c>
      <c r="Q195" s="25">
        <f t="array" aca="1" ref="Q195" ca="1">INDEX('Isaac 401k'!L:L,MATCH('Retirement Calculator'!A195,'Isaac 401k'!N:N,0),0)</f>
        <v>1499378.3556619207</v>
      </c>
      <c r="R195" s="25">
        <f t="array" aca="1" ref="R195" ca="1">INDEX('Lorri 401b'!L:L,MATCH('Retirement Calculator'!A195,'Lorri 401b'!N:N,0),0)</f>
        <v>3877848.9059318644</v>
      </c>
      <c r="S195" s="25">
        <f t="shared" ca="1" si="7"/>
        <v>5377227.2615937851</v>
      </c>
    </row>
    <row r="196" spans="1:19" ht="15.75" customHeight="1" x14ac:dyDescent="0.3">
      <c r="A196" s="37">
        <v>56919</v>
      </c>
      <c r="B196" s="409">
        <f t="shared" ref="B196:C196" si="192">($A196-B$9)/365.25</f>
        <v>73.957563312799451</v>
      </c>
      <c r="C196" s="409">
        <f t="shared" si="192"/>
        <v>69.347022587268995</v>
      </c>
      <c r="E196" s="25">
        <f>IF(C196&gt;$B$7,0,'Combined Retirement'!$D$13/12)</f>
        <v>0</v>
      </c>
      <c r="F196" s="25">
        <f>IF(H196=0,'Combined Retirement'!$D$32,0)+'Combined Retirement'!$B$24</f>
        <v>2870.372285649099</v>
      </c>
      <c r="G196" s="25">
        <f>'Combined Retirement'!$C$24</f>
        <v>3525.4531757812501</v>
      </c>
      <c r="H196" s="25">
        <f>IF(B196&lt;62,0,'Combined Retirement'!$I$14)</f>
        <v>2192</v>
      </c>
      <c r="I196" s="25">
        <f>IF(C196&lt;62,0,'Combined Retirement'!$I$13)</f>
        <v>2420</v>
      </c>
      <c r="J196" s="25">
        <f t="shared" si="3"/>
        <v>7863.2184191855868</v>
      </c>
      <c r="K196" s="25">
        <f t="shared" si="4"/>
        <v>20282.026119384056</v>
      </c>
      <c r="L196" s="25"/>
      <c r="N196" s="25">
        <f>'Combined Retirement'!$C$18/12</f>
        <v>39153.069999999992</v>
      </c>
      <c r="O196" s="25">
        <f t="shared" si="5"/>
        <v>11007.82546143035</v>
      </c>
      <c r="P196" s="25">
        <f t="shared" si="6"/>
        <v>28145.244538569641</v>
      </c>
      <c r="Q196" s="25">
        <f t="array" aca="1" ref="Q196" ca="1">INDEX('Isaac 401k'!L:L,MATCH('Retirement Calculator'!A196,'Isaac 401k'!N:N,0),0)</f>
        <v>1497729.7836479133</v>
      </c>
      <c r="R196" s="25">
        <f t="array" aca="1" ref="R196" ca="1">INDEX('Lorri 401b'!L:L,MATCH('Retirement Calculator'!A196,'Lorri 401b'!N:N,0),0)</f>
        <v>3873640.0751450323</v>
      </c>
      <c r="S196" s="25">
        <f t="shared" ca="1" si="7"/>
        <v>5371369.8587929457</v>
      </c>
    </row>
    <row r="197" spans="1:19" ht="15.75" customHeight="1" x14ac:dyDescent="0.3">
      <c r="A197" s="37">
        <v>56949</v>
      </c>
      <c r="B197" s="409">
        <f t="shared" ref="B197:C197" si="193">($A197-B$9)/365.25</f>
        <v>74.039698836413422</v>
      </c>
      <c r="C197" s="409">
        <f t="shared" si="193"/>
        <v>69.429158110882952</v>
      </c>
      <c r="E197" s="25">
        <f>IF(C197&gt;$B$7,0,'Combined Retirement'!$D$13/12)</f>
        <v>0</v>
      </c>
      <c r="F197" s="25">
        <f>IF(H197=0,'Combined Retirement'!$D$32,0)+'Combined Retirement'!$B$24</f>
        <v>2870.372285649099</v>
      </c>
      <c r="G197" s="25">
        <f>'Combined Retirement'!$C$24</f>
        <v>3525.4531757812501</v>
      </c>
      <c r="H197" s="25">
        <f>IF(B197&lt;62,0,'Combined Retirement'!$I$14)</f>
        <v>2192</v>
      </c>
      <c r="I197" s="25">
        <f>IF(C197&lt;62,0,'Combined Retirement'!$I$13)</f>
        <v>2420</v>
      </c>
      <c r="J197" s="25">
        <f t="shared" si="3"/>
        <v>7863.2184191855868</v>
      </c>
      <c r="K197" s="25">
        <f t="shared" si="4"/>
        <v>20282.026119384056</v>
      </c>
      <c r="L197" s="25"/>
      <c r="N197" s="25">
        <f>'Combined Retirement'!$C$18/12</f>
        <v>39153.069999999992</v>
      </c>
      <c r="O197" s="25">
        <f t="shared" si="5"/>
        <v>11007.82546143035</v>
      </c>
      <c r="P197" s="25">
        <f t="shared" si="6"/>
        <v>28145.244538569641</v>
      </c>
      <c r="Q197" s="25">
        <f t="array" aca="1" ref="Q197" ca="1">INDEX('Isaac 401k'!L:L,MATCH('Retirement Calculator'!A197,'Isaac 401k'!N:N,0),0)</f>
        <v>1496074.3425838472</v>
      </c>
      <c r="R197" s="25">
        <f t="array" aca="1" ref="R197" ca="1">INDEX('Lorri 401b'!L:L,MATCH('Retirement Calculator'!A197,'Lorri 401b'!N:N,0),0)</f>
        <v>3869413.707563255</v>
      </c>
      <c r="S197" s="25">
        <f t="shared" ca="1" si="7"/>
        <v>5365488.0501471022</v>
      </c>
    </row>
    <row r="198" spans="1:19" ht="15.75" customHeight="1" x14ac:dyDescent="0.3">
      <c r="A198" s="37">
        <v>56980</v>
      </c>
      <c r="B198" s="409">
        <f t="shared" ref="B198:C198" si="194">($A198-B$9)/365.25</f>
        <v>74.124572210814506</v>
      </c>
      <c r="C198" s="409">
        <f t="shared" si="194"/>
        <v>69.51403148528405</v>
      </c>
      <c r="E198" s="25">
        <f>IF(C198&gt;$B$7,0,'Combined Retirement'!$D$13/12)</f>
        <v>0</v>
      </c>
      <c r="F198" s="25">
        <f>IF(H198=0,'Combined Retirement'!$D$32,0)+'Combined Retirement'!$B$24</f>
        <v>2870.372285649099</v>
      </c>
      <c r="G198" s="25">
        <f>'Combined Retirement'!$C$24</f>
        <v>3525.4531757812501</v>
      </c>
      <c r="H198" s="25">
        <f>IF(B198&lt;62,0,'Combined Retirement'!$I$14)</f>
        <v>2192</v>
      </c>
      <c r="I198" s="25">
        <f>IF(C198&lt;62,0,'Combined Retirement'!$I$13)</f>
        <v>2420</v>
      </c>
      <c r="J198" s="25">
        <f t="shared" si="3"/>
        <v>7863.2184191855868</v>
      </c>
      <c r="K198" s="25">
        <f t="shared" si="4"/>
        <v>20282.026119384056</v>
      </c>
      <c r="L198" s="25"/>
      <c r="N198" s="25">
        <f>'Combined Retirement'!$C$18/12</f>
        <v>39153.069999999992</v>
      </c>
      <c r="O198" s="25">
        <f t="shared" si="5"/>
        <v>11007.82546143035</v>
      </c>
      <c r="P198" s="25">
        <f t="shared" si="6"/>
        <v>28145.244538569641</v>
      </c>
      <c r="Q198" s="25">
        <f t="array" aca="1" ref="Q198" ca="1">INDEX('Isaac 401k'!L:L,MATCH('Retirement Calculator'!A198,'Isaac 401k'!N:N,0),0)</f>
        <v>1494412.003848681</v>
      </c>
      <c r="R198" s="25">
        <f t="array" aca="1" ref="R198" ca="1">INDEX('Lorri 401b'!L:L,MATCH('Retirement Calculator'!A198,'Lorri 401b'!N:N,0),0)</f>
        <v>3865169.7301165536</v>
      </c>
      <c r="S198" s="25">
        <f t="shared" ca="1" si="7"/>
        <v>5359581.7339652348</v>
      </c>
    </row>
    <row r="199" spans="1:19" ht="15.75" customHeight="1" x14ac:dyDescent="0.3">
      <c r="A199" s="37">
        <v>57011</v>
      </c>
      <c r="B199" s="409">
        <f t="shared" ref="B199:C199" si="195">($A199-B$9)/365.25</f>
        <v>74.209445585215605</v>
      </c>
      <c r="C199" s="409">
        <f t="shared" si="195"/>
        <v>69.598904859685149</v>
      </c>
      <c r="E199" s="25">
        <f>IF(C199&gt;$B$7,0,'Combined Retirement'!$D$13/12)</f>
        <v>0</v>
      </c>
      <c r="F199" s="25">
        <f>IF(H199=0,'Combined Retirement'!$D$32,0)+'Combined Retirement'!$B$24</f>
        <v>2870.372285649099</v>
      </c>
      <c r="G199" s="25">
        <f>'Combined Retirement'!$C$24</f>
        <v>3525.4531757812501</v>
      </c>
      <c r="H199" s="25">
        <f>IF(B199&lt;62,0,'Combined Retirement'!$I$14)</f>
        <v>2192</v>
      </c>
      <c r="I199" s="25">
        <f>IF(C199&lt;62,0,'Combined Retirement'!$I$13)</f>
        <v>2420</v>
      </c>
      <c r="J199" s="25">
        <f t="shared" si="3"/>
        <v>7863.2184191855868</v>
      </c>
      <c r="K199" s="25">
        <f t="shared" si="4"/>
        <v>20282.026119384056</v>
      </c>
      <c r="L199" s="25"/>
      <c r="N199" s="25">
        <f>'Combined Retirement'!$C$18/12</f>
        <v>39153.069999999992</v>
      </c>
      <c r="O199" s="25">
        <f t="shared" si="5"/>
        <v>11007.82546143035</v>
      </c>
      <c r="P199" s="25">
        <f t="shared" si="6"/>
        <v>28145.244538569641</v>
      </c>
      <c r="Q199" s="25">
        <f t="array" aca="1" ref="Q199" ca="1">INDEX('Isaac 401k'!L:L,MATCH('Retirement Calculator'!A199,'Isaac 401k'!N:N,0),0)</f>
        <v>1492742.7387021184</v>
      </c>
      <c r="R199" s="25">
        <f t="array" aca="1" ref="R199" ca="1">INDEX('Lorri 401b'!L:L,MATCH('Retirement Calculator'!A199,'Lorri 401b'!N:N,0),0)</f>
        <v>3860908.069430491</v>
      </c>
      <c r="S199" s="25">
        <f t="shared" ca="1" si="7"/>
        <v>5353650.8081326094</v>
      </c>
    </row>
    <row r="200" spans="1:19" ht="15.75" customHeight="1" x14ac:dyDescent="0.3">
      <c r="A200" s="37">
        <v>57040</v>
      </c>
      <c r="B200" s="409">
        <f t="shared" ref="B200:C200" si="196">($A200-B$9)/365.25</f>
        <v>74.288843258042434</v>
      </c>
      <c r="C200" s="409">
        <f t="shared" si="196"/>
        <v>69.678302532511978</v>
      </c>
      <c r="E200" s="25">
        <f>IF(C200&gt;$B$7,0,'Combined Retirement'!$D$13/12)</f>
        <v>0</v>
      </c>
      <c r="F200" s="25">
        <f>IF(H200=0,'Combined Retirement'!$D$32,0)+'Combined Retirement'!$B$24</f>
        <v>2870.372285649099</v>
      </c>
      <c r="G200" s="25">
        <f>'Combined Retirement'!$C$24</f>
        <v>3525.4531757812501</v>
      </c>
      <c r="H200" s="25">
        <f>IF(B200&lt;62,0,'Combined Retirement'!$I$14)</f>
        <v>2192</v>
      </c>
      <c r="I200" s="25">
        <f>IF(C200&lt;62,0,'Combined Retirement'!$I$13)</f>
        <v>2420</v>
      </c>
      <c r="J200" s="25">
        <f t="shared" si="3"/>
        <v>7863.2184191855868</v>
      </c>
      <c r="K200" s="25">
        <f t="shared" si="4"/>
        <v>20282.026119384056</v>
      </c>
      <c r="L200" s="25"/>
      <c r="N200" s="25">
        <f>'Combined Retirement'!$C$18/12</f>
        <v>39153.069999999992</v>
      </c>
      <c r="O200" s="25">
        <f t="shared" si="5"/>
        <v>11007.82546143035</v>
      </c>
      <c r="P200" s="25">
        <f t="shared" si="6"/>
        <v>28145.244538569641</v>
      </c>
      <c r="Q200" s="25">
        <f t="array" aca="1" ref="Q200" ca="1">INDEX('Isaac 401k'!L:L,MATCH('Retirement Calculator'!A200,'Isaac 401k'!N:N,0),0)</f>
        <v>1491066.5182841117</v>
      </c>
      <c r="R200" s="25">
        <f t="array" aca="1" ref="R200" ca="1">INDEX('Lorri 401b'!L:L,MATCH('Retirement Calculator'!A200,'Lorri 401b'!N:N,0),0)</f>
        <v>3856628.6518249032</v>
      </c>
      <c r="S200" s="25">
        <f t="shared" ca="1" si="7"/>
        <v>5347695.170109015</v>
      </c>
    </row>
    <row r="201" spans="1:19" ht="15.75" customHeight="1" x14ac:dyDescent="0.3">
      <c r="A201" s="37">
        <v>57071</v>
      </c>
      <c r="B201" s="409">
        <f t="shared" ref="B201:C201" si="197">($A201-B$9)/365.25</f>
        <v>74.373716632443532</v>
      </c>
      <c r="C201" s="409">
        <f t="shared" si="197"/>
        <v>69.763175906913077</v>
      </c>
      <c r="E201" s="25">
        <f>IF(C201&gt;$B$7,0,'Combined Retirement'!$D$13/12)</f>
        <v>0</v>
      </c>
      <c r="F201" s="25">
        <f>IF(H201=0,'Combined Retirement'!$D$32,0)+'Combined Retirement'!$B$24</f>
        <v>2870.372285649099</v>
      </c>
      <c r="G201" s="25">
        <f>'Combined Retirement'!$C$24</f>
        <v>3525.4531757812501</v>
      </c>
      <c r="H201" s="25">
        <f>IF(B201&lt;62,0,'Combined Retirement'!$I$14)</f>
        <v>2192</v>
      </c>
      <c r="I201" s="25">
        <f>IF(C201&lt;62,0,'Combined Retirement'!$I$13)</f>
        <v>2420</v>
      </c>
      <c r="J201" s="25">
        <f t="shared" si="3"/>
        <v>7863.2184191855868</v>
      </c>
      <c r="K201" s="25">
        <f t="shared" si="4"/>
        <v>20282.026119384056</v>
      </c>
      <c r="L201" s="25"/>
      <c r="N201" s="25">
        <f>'Combined Retirement'!$C$18/12</f>
        <v>39153.069999999992</v>
      </c>
      <c r="O201" s="25">
        <f t="shared" si="5"/>
        <v>11007.82546143035</v>
      </c>
      <c r="P201" s="25">
        <f t="shared" si="6"/>
        <v>28145.244538569641</v>
      </c>
      <c r="Q201" s="25">
        <f t="array" aca="1" ref="Q201" ca="1">INDEX('Isaac 401k'!L:L,MATCH('Retirement Calculator'!A201,'Isaac 401k'!N:N,0),0)</f>
        <v>1489383.3136143633</v>
      </c>
      <c r="R201" s="25">
        <f t="array" aca="1" ref="R201" ca="1">INDEX('Lorri 401b'!L:L,MATCH('Retirement Calculator'!A201,'Lorri 401b'!N:N,0),0)</f>
        <v>3852331.4033126254</v>
      </c>
      <c r="S201" s="25">
        <f t="shared" ca="1" si="7"/>
        <v>5341714.7169269882</v>
      </c>
    </row>
    <row r="202" spans="1:19" ht="15.75" customHeight="1" x14ac:dyDescent="0.3">
      <c r="A202" s="37">
        <v>57101</v>
      </c>
      <c r="B202" s="409">
        <f t="shared" ref="B202:C202" si="198">($A202-B$9)/365.25</f>
        <v>74.455852156057489</v>
      </c>
      <c r="C202" s="409">
        <f t="shared" si="198"/>
        <v>69.845311430527033</v>
      </c>
      <c r="E202" s="25">
        <f>IF(C202&gt;$B$7,0,'Combined Retirement'!$D$13/12)</f>
        <v>0</v>
      </c>
      <c r="F202" s="25">
        <f>IF(H202=0,'Combined Retirement'!$D$32,0)+'Combined Retirement'!$B$24</f>
        <v>2870.372285649099</v>
      </c>
      <c r="G202" s="25">
        <f>'Combined Retirement'!$C$24</f>
        <v>3525.4531757812501</v>
      </c>
      <c r="H202" s="25">
        <f>IF(B202&lt;62,0,'Combined Retirement'!$I$14)</f>
        <v>2192</v>
      </c>
      <c r="I202" s="25">
        <f>IF(C202&lt;62,0,'Combined Retirement'!$I$13)</f>
        <v>2420</v>
      </c>
      <c r="J202" s="25">
        <f t="shared" si="3"/>
        <v>7863.2184191855868</v>
      </c>
      <c r="K202" s="25">
        <f t="shared" si="4"/>
        <v>20282.026119384056</v>
      </c>
      <c r="L202" s="25"/>
      <c r="N202" s="25">
        <f>'Combined Retirement'!$C$18/12</f>
        <v>39153.069999999992</v>
      </c>
      <c r="O202" s="25">
        <f t="shared" si="5"/>
        <v>11007.82546143035</v>
      </c>
      <c r="P202" s="25">
        <f t="shared" si="6"/>
        <v>28145.244538569641</v>
      </c>
      <c r="Q202" s="25">
        <f t="array" aca="1" ref="Q202" ca="1">INDEX('Isaac 401k'!L:L,MATCH('Retirement Calculator'!A202,'Isaac 401k'!N:N,0),0)</f>
        <v>1487693.0955918243</v>
      </c>
      <c r="R202" s="25">
        <f t="array" aca="1" ref="R202" ca="1">INDEX('Lorri 401b'!L:L,MATCH('Retirement Calculator'!A202,'Lorri 401b'!N:N,0),0)</f>
        <v>3848016.249598213</v>
      </c>
      <c r="S202" s="25">
        <f t="shared" ca="1" si="7"/>
        <v>5335709.345190037</v>
      </c>
    </row>
    <row r="203" spans="1:19" ht="15.75" customHeight="1" x14ac:dyDescent="0.3">
      <c r="A203" s="37">
        <v>57132</v>
      </c>
      <c r="B203" s="409">
        <f t="shared" ref="B203:C203" si="199">($A203-B$9)/365.25</f>
        <v>74.540725530458587</v>
      </c>
      <c r="C203" s="409">
        <f t="shared" si="199"/>
        <v>69.930184804928132</v>
      </c>
      <c r="E203" s="25">
        <f>IF(C203&gt;$B$7,0,'Combined Retirement'!$D$13/12)</f>
        <v>0</v>
      </c>
      <c r="F203" s="25">
        <f>IF(H203=0,'Combined Retirement'!$D$32,0)+'Combined Retirement'!$B$24</f>
        <v>2870.372285649099</v>
      </c>
      <c r="G203" s="25">
        <f>'Combined Retirement'!$C$24</f>
        <v>3525.4531757812501</v>
      </c>
      <c r="H203" s="25">
        <f>IF(B203&lt;62,0,'Combined Retirement'!$I$14)</f>
        <v>2192</v>
      </c>
      <c r="I203" s="25">
        <f>IF(C203&lt;62,0,'Combined Retirement'!$I$13)</f>
        <v>2420</v>
      </c>
      <c r="J203" s="25">
        <f t="shared" si="3"/>
        <v>7863.2184191855868</v>
      </c>
      <c r="K203" s="25">
        <f t="shared" si="4"/>
        <v>20282.026119384056</v>
      </c>
      <c r="L203" s="25"/>
      <c r="N203" s="25">
        <f>'Combined Retirement'!$C$18/12</f>
        <v>39153.069999999992</v>
      </c>
      <c r="O203" s="25">
        <f t="shared" si="5"/>
        <v>11007.82546143035</v>
      </c>
      <c r="P203" s="25">
        <f t="shared" si="6"/>
        <v>28145.244538569641</v>
      </c>
      <c r="Q203" s="25">
        <f t="array" aca="1" ref="Q203" ca="1">INDEX('Isaac 401k'!L:L,MATCH('Retirement Calculator'!A203,'Isaac 401k'!N:N,0),0)</f>
        <v>1485995.8349941913</v>
      </c>
      <c r="R203" s="25">
        <f t="array" aca="1" ref="R203" ca="1">INDEX('Lorri 401b'!L:L,MATCH('Retirement Calculator'!A203,'Lorri 401b'!N:N,0),0)</f>
        <v>3843683.1160766575</v>
      </c>
      <c r="S203" s="25">
        <f t="shared" ca="1" si="7"/>
        <v>5329678.9510708489</v>
      </c>
    </row>
    <row r="204" spans="1:19" ht="15.75" customHeight="1" x14ac:dyDescent="0.3">
      <c r="A204" s="37">
        <v>57162</v>
      </c>
      <c r="B204" s="409">
        <f t="shared" ref="B204:C204" si="200">($A204-B$9)/365.25</f>
        <v>74.622861054072558</v>
      </c>
      <c r="C204" s="409">
        <f t="shared" si="200"/>
        <v>70.012320328542089</v>
      </c>
      <c r="E204" s="25">
        <f>IF(C204&gt;$B$7,0,'Combined Retirement'!$D$13/12)</f>
        <v>0</v>
      </c>
      <c r="F204" s="25">
        <f>IF(H204=0,'Combined Retirement'!$D$32,0)+'Combined Retirement'!$B$24</f>
        <v>2870.372285649099</v>
      </c>
      <c r="G204" s="25">
        <f>'Combined Retirement'!$C$24</f>
        <v>3525.4531757812501</v>
      </c>
      <c r="H204" s="25">
        <f>IF(B204&lt;62,0,'Combined Retirement'!$I$14)</f>
        <v>2192</v>
      </c>
      <c r="I204" s="25">
        <f>IF(C204&lt;62,0,'Combined Retirement'!$I$13)</f>
        <v>2420</v>
      </c>
      <c r="J204" s="25">
        <f t="shared" si="3"/>
        <v>7863.2184191855868</v>
      </c>
      <c r="K204" s="25">
        <f t="shared" si="4"/>
        <v>20282.026119384056</v>
      </c>
      <c r="L204" s="25"/>
      <c r="N204" s="25">
        <f>'Combined Retirement'!$C$18/12</f>
        <v>39153.069999999992</v>
      </c>
      <c r="O204" s="25">
        <f t="shared" si="5"/>
        <v>11007.82546143035</v>
      </c>
      <c r="P204" s="25">
        <f t="shared" si="6"/>
        <v>28145.244538569641</v>
      </c>
      <c r="Q204" s="25">
        <f t="array" aca="1" ref="Q204" ca="1">INDEX('Isaac 401k'!L:L,MATCH('Retirement Calculator'!A204,'Isaac 401k'!N:N,0),0)</f>
        <v>1484291.5024774016</v>
      </c>
      <c r="R204" s="25">
        <f t="array" aca="1" ref="R204" ca="1">INDEX('Lorri 401b'!L:L,MATCH('Retirement Calculator'!A204,'Lorri 401b'!N:N,0),0)</f>
        <v>3839331.9278320954</v>
      </c>
      <c r="S204" s="25">
        <f t="shared" ca="1" si="7"/>
        <v>5323623.4303094968</v>
      </c>
    </row>
    <row r="205" spans="1:19" ht="15.75" customHeight="1" x14ac:dyDescent="0.3">
      <c r="A205" s="37">
        <v>57193</v>
      </c>
      <c r="B205" s="409">
        <f t="shared" ref="B205:C205" si="201">($A205-B$9)/365.25</f>
        <v>74.707734428473643</v>
      </c>
      <c r="C205" s="409">
        <f t="shared" si="201"/>
        <v>70.097193702943187</v>
      </c>
      <c r="E205" s="25">
        <f>IF(C205&gt;$B$7,0,'Combined Retirement'!$D$13/12)</f>
        <v>0</v>
      </c>
      <c r="F205" s="25">
        <f>IF(H205=0,'Combined Retirement'!$D$32,0)+'Combined Retirement'!$B$24</f>
        <v>2870.372285649099</v>
      </c>
      <c r="G205" s="25">
        <f>'Combined Retirement'!$C$24</f>
        <v>3525.4531757812501</v>
      </c>
      <c r="H205" s="25">
        <f>IF(B205&lt;62,0,'Combined Retirement'!$I$14)</f>
        <v>2192</v>
      </c>
      <c r="I205" s="25">
        <f>IF(C205&lt;62,0,'Combined Retirement'!$I$13)</f>
        <v>2420</v>
      </c>
      <c r="J205" s="25">
        <f t="shared" si="3"/>
        <v>7863.2184191855868</v>
      </c>
      <c r="K205" s="25">
        <f t="shared" si="4"/>
        <v>20282.026119384056</v>
      </c>
      <c r="L205" s="25"/>
      <c r="N205" s="25">
        <f>'Combined Retirement'!$C$18/12</f>
        <v>39153.069999999992</v>
      </c>
      <c r="O205" s="25">
        <f t="shared" si="5"/>
        <v>11007.82546143035</v>
      </c>
      <c r="P205" s="25">
        <f t="shared" si="6"/>
        <v>28145.244538569641</v>
      </c>
      <c r="Q205" s="25">
        <f t="array" aca="1" ref="Q205" ca="1">INDEX('Isaac 401k'!L:L,MATCH('Retirement Calculator'!A205,'Isaac 401k'!N:N,0),0)</f>
        <v>1482580.0685751252</v>
      </c>
      <c r="R205" s="25">
        <f t="array" aca="1" ref="R205" ca="1">INDEX('Lorri 401b'!L:L,MATCH('Retirement Calculator'!A205,'Lorri 401b'!N:N,0),0)</f>
        <v>3834962.6096365144</v>
      </c>
      <c r="S205" s="25">
        <f t="shared" ca="1" si="7"/>
        <v>5317542.6782116396</v>
      </c>
    </row>
    <row r="206" spans="1:19" ht="15.75" customHeight="1" x14ac:dyDescent="0.3">
      <c r="A206" s="37">
        <v>57224</v>
      </c>
      <c r="B206" s="409">
        <f t="shared" ref="B206:C206" si="202">($A206-B$9)/365.25</f>
        <v>74.792607802874741</v>
      </c>
      <c r="C206" s="409">
        <f t="shared" si="202"/>
        <v>70.182067077344286</v>
      </c>
      <c r="E206" s="25">
        <f>IF(C206&gt;$B$7,0,'Combined Retirement'!$D$13/12)</f>
        <v>0</v>
      </c>
      <c r="F206" s="25">
        <f>IF(H206=0,'Combined Retirement'!$D$32,0)+'Combined Retirement'!$B$24</f>
        <v>2870.372285649099</v>
      </c>
      <c r="G206" s="25">
        <f>'Combined Retirement'!$C$24</f>
        <v>3525.4531757812501</v>
      </c>
      <c r="H206" s="25">
        <f>IF(B206&lt;62,0,'Combined Retirement'!$I$14)</f>
        <v>2192</v>
      </c>
      <c r="I206" s="25">
        <f>IF(C206&lt;62,0,'Combined Retirement'!$I$13)</f>
        <v>2420</v>
      </c>
      <c r="J206" s="25">
        <f t="shared" si="3"/>
        <v>7863.2184191855868</v>
      </c>
      <c r="K206" s="25">
        <f t="shared" si="4"/>
        <v>20282.026119384056</v>
      </c>
      <c r="L206" s="25"/>
      <c r="N206" s="25">
        <f>'Combined Retirement'!$C$18/12</f>
        <v>39153.069999999992</v>
      </c>
      <c r="O206" s="25">
        <f t="shared" si="5"/>
        <v>11007.82546143035</v>
      </c>
      <c r="P206" s="25">
        <f t="shared" si="6"/>
        <v>28145.244538569641</v>
      </c>
      <c r="Q206" s="25">
        <f t="array" aca="1" ref="Q206" ca="1">INDEX('Isaac 401k'!L:L,MATCH('Retirement Calculator'!A206,'Isaac 401k'!N:N,0),0)</f>
        <v>1480861.5036982561</v>
      </c>
      <c r="R206" s="25">
        <f t="array" aca="1" ref="R206" ca="1">INDEX('Lorri 401b'!L:L,MATCH('Retirement Calculator'!A206,'Lorri 401b'!N:N,0),0)</f>
        <v>3830575.0859484519</v>
      </c>
      <c r="S206" s="25">
        <f t="shared" ca="1" si="7"/>
        <v>5311436.5896467082</v>
      </c>
    </row>
    <row r="207" spans="1:19" ht="15.75" customHeight="1" x14ac:dyDescent="0.3">
      <c r="A207" s="37">
        <v>57254</v>
      </c>
      <c r="B207" s="409">
        <f t="shared" ref="B207:C207" si="203">($A207-B$9)/365.25</f>
        <v>74.874743326488712</v>
      </c>
      <c r="C207" s="409">
        <f t="shared" si="203"/>
        <v>70.264202600958242</v>
      </c>
      <c r="E207" s="25">
        <f>IF(C207&gt;$B$7,0,'Combined Retirement'!$D$13/12)</f>
        <v>0</v>
      </c>
      <c r="F207" s="25">
        <f>IF(H207=0,'Combined Retirement'!$D$32,0)+'Combined Retirement'!$B$24</f>
        <v>2870.372285649099</v>
      </c>
      <c r="G207" s="25">
        <f>'Combined Retirement'!$C$24</f>
        <v>3525.4531757812501</v>
      </c>
      <c r="H207" s="25">
        <f>IF(B207&lt;62,0,'Combined Retirement'!$I$14)</f>
        <v>2192</v>
      </c>
      <c r="I207" s="25">
        <f>IF(C207&lt;62,0,'Combined Retirement'!$I$13)</f>
        <v>2420</v>
      </c>
      <c r="J207" s="25">
        <f t="shared" si="3"/>
        <v>7863.2184191855868</v>
      </c>
      <c r="K207" s="25">
        <f t="shared" si="4"/>
        <v>20282.026119384056</v>
      </c>
      <c r="L207" s="25"/>
      <c r="N207" s="25">
        <f>'Combined Retirement'!$C$18/12</f>
        <v>39153.069999999992</v>
      </c>
      <c r="O207" s="25">
        <f t="shared" si="5"/>
        <v>11007.82546143035</v>
      </c>
      <c r="P207" s="25">
        <f t="shared" si="6"/>
        <v>28145.244538569641</v>
      </c>
      <c r="Q207" s="25">
        <f t="array" aca="1" ref="Q207" ca="1">INDEX('Isaac 401k'!L:L,MATCH('Retirement Calculator'!A207,'Isaac 401k'!N:N,0),0)</f>
        <v>1479135.7781344</v>
      </c>
      <c r="R207" s="25">
        <f t="array" aca="1" ref="R207" ca="1">INDEX('Lorri 401b'!L:L,MATCH('Retirement Calculator'!A207,'Lorri 401b'!N:N,0),0)</f>
        <v>3826169.2809116892</v>
      </c>
      <c r="S207" s="25">
        <f t="shared" ca="1" si="7"/>
        <v>5305305.0590460896</v>
      </c>
    </row>
    <row r="208" spans="1:19" ht="15.75" customHeight="1" x14ac:dyDescent="0.3">
      <c r="A208" s="37">
        <v>57285</v>
      </c>
      <c r="B208" s="409">
        <f t="shared" ref="B208:C208" si="204">($A208-B$9)/365.25</f>
        <v>74.959616700889796</v>
      </c>
      <c r="C208" s="409">
        <f t="shared" si="204"/>
        <v>70.349075975359341</v>
      </c>
      <c r="E208" s="25">
        <f>IF(C208&gt;$B$7,0,'Combined Retirement'!$D$13/12)</f>
        <v>0</v>
      </c>
      <c r="F208" s="25">
        <f>IF(H208=0,'Combined Retirement'!$D$32,0)+'Combined Retirement'!$B$24</f>
        <v>2870.372285649099</v>
      </c>
      <c r="G208" s="25">
        <f>'Combined Retirement'!$C$24</f>
        <v>3525.4531757812501</v>
      </c>
      <c r="H208" s="25">
        <f>IF(B208&lt;62,0,'Combined Retirement'!$I$14)</f>
        <v>2192</v>
      </c>
      <c r="I208" s="25">
        <f>IF(C208&lt;62,0,'Combined Retirement'!$I$13)</f>
        <v>2420</v>
      </c>
      <c r="J208" s="25">
        <f t="shared" si="3"/>
        <v>7863.2184191855868</v>
      </c>
      <c r="K208" s="25">
        <f t="shared" si="4"/>
        <v>20282.026119384056</v>
      </c>
      <c r="L208" s="25"/>
      <c r="N208" s="25">
        <f>'Combined Retirement'!$C$18/12</f>
        <v>39153.069999999992</v>
      </c>
      <c r="O208" s="25">
        <f t="shared" si="5"/>
        <v>11007.82546143035</v>
      </c>
      <c r="P208" s="25">
        <f t="shared" si="6"/>
        <v>28145.244538569641</v>
      </c>
      <c r="Q208" s="25">
        <f t="array" aca="1" ref="Q208" ca="1">INDEX('Isaac 401k'!L:L,MATCH('Retirement Calculator'!A208,'Isaac 401k'!N:N,0),0)</f>
        <v>1477402.8620473612</v>
      </c>
      <c r="R208" s="25">
        <f t="array" aca="1" ref="R208" ca="1">INDEX('Lorri 401b'!L:L,MATCH('Retirement Calculator'!A208,'Lorri 401b'!N:N,0),0)</f>
        <v>3821745.1183539396</v>
      </c>
      <c r="S208" s="25">
        <f t="shared" ca="1" si="7"/>
        <v>5299147.9804013008</v>
      </c>
    </row>
    <row r="209" spans="1:19" ht="15.75" customHeight="1" x14ac:dyDescent="0.3">
      <c r="A209" s="37">
        <v>57315</v>
      </c>
      <c r="B209" s="409">
        <f t="shared" ref="B209:C209" si="205">($A209-B$9)/365.25</f>
        <v>75.041752224503767</v>
      </c>
      <c r="C209" s="409">
        <f t="shared" si="205"/>
        <v>70.431211498973312</v>
      </c>
      <c r="E209" s="25">
        <f>IF(C209&gt;$B$7,0,'Combined Retirement'!$D$13/12)</f>
        <v>0</v>
      </c>
      <c r="F209" s="25">
        <f>IF(H209=0,'Combined Retirement'!$D$32,0)+'Combined Retirement'!$B$24</f>
        <v>2870.372285649099</v>
      </c>
      <c r="G209" s="25">
        <f>'Combined Retirement'!$C$24</f>
        <v>3525.4531757812501</v>
      </c>
      <c r="H209" s="25">
        <f>IF(B209&lt;62,0,'Combined Retirement'!$I$14)</f>
        <v>2192</v>
      </c>
      <c r="I209" s="25">
        <f>IF(C209&lt;62,0,'Combined Retirement'!$I$13)</f>
        <v>2420</v>
      </c>
      <c r="J209" s="25">
        <f t="shared" si="3"/>
        <v>7863.2184191855868</v>
      </c>
      <c r="K209" s="25">
        <f t="shared" si="4"/>
        <v>20282.026119384056</v>
      </c>
      <c r="L209" s="25"/>
      <c r="N209" s="25">
        <f>'Combined Retirement'!$C$18/12</f>
        <v>39153.069999999992</v>
      </c>
      <c r="O209" s="25">
        <f t="shared" si="5"/>
        <v>11007.82546143035</v>
      </c>
      <c r="P209" s="25">
        <f t="shared" si="6"/>
        <v>28145.244538569641</v>
      </c>
      <c r="Q209" s="25">
        <f t="array" aca="1" ref="Q209" ca="1">INDEX('Isaac 401k'!L:L,MATCH('Retirement Calculator'!A209,'Isaac 401k'!N:N,0),0)</f>
        <v>1475662.7254766263</v>
      </c>
      <c r="R209" s="25">
        <f t="array" aca="1" ref="R209" ca="1">INDEX('Lorri 401b'!L:L,MATCH('Retirement Calculator'!A209,'Lorri 401b'!N:N,0),0)</f>
        <v>3817302.5217855331</v>
      </c>
      <c r="S209" s="25">
        <f t="shared" ca="1" si="7"/>
        <v>5292965.2472621594</v>
      </c>
    </row>
    <row r="210" spans="1:19" ht="15.75" customHeight="1" x14ac:dyDescent="0.3">
      <c r="A210" s="37">
        <v>57346</v>
      </c>
      <c r="B210" s="409">
        <f t="shared" ref="B210:C210" si="206">($A210-B$9)/365.25</f>
        <v>75.126625598904866</v>
      </c>
      <c r="C210" s="409">
        <f t="shared" si="206"/>
        <v>70.516084873374396</v>
      </c>
      <c r="E210" s="25">
        <f>IF(C210&gt;$B$7,0,'Combined Retirement'!$D$13/12)</f>
        <v>0</v>
      </c>
      <c r="F210" s="25">
        <f>IF(H210=0,'Combined Retirement'!$D$32,0)+'Combined Retirement'!$B$24</f>
        <v>2870.372285649099</v>
      </c>
      <c r="G210" s="25">
        <f>'Combined Retirement'!$C$24</f>
        <v>3525.4531757812501</v>
      </c>
      <c r="H210" s="25">
        <f>IF(B210&lt;62,0,'Combined Retirement'!$I$14)</f>
        <v>2192</v>
      </c>
      <c r="I210" s="25">
        <f>IF(C210&lt;62,0,'Combined Retirement'!$I$13)</f>
        <v>2420</v>
      </c>
      <c r="J210" s="25">
        <f t="shared" si="3"/>
        <v>7863.2184191855868</v>
      </c>
      <c r="K210" s="25">
        <f t="shared" si="4"/>
        <v>20282.026119384056</v>
      </c>
      <c r="L210" s="25"/>
      <c r="N210" s="25">
        <f>'Combined Retirement'!$C$18/12</f>
        <v>39153.069999999992</v>
      </c>
      <c r="O210" s="25">
        <f t="shared" si="5"/>
        <v>11007.82546143035</v>
      </c>
      <c r="P210" s="25">
        <f t="shared" si="6"/>
        <v>28145.244538569641</v>
      </c>
      <c r="Q210" s="25">
        <f t="array" aca="1" ref="Q210" ca="1">INDEX('Isaac 401k'!L:L,MATCH('Retirement Calculator'!A210,'Isaac 401k'!N:N,0),0)</f>
        <v>1473915.3383368468</v>
      </c>
      <c r="R210" s="25">
        <f t="array" aca="1" ref="R210" ca="1">INDEX('Lorri 401b'!L:L,MATCH('Retirement Calculator'!A210,'Lorri 401b'!N:N,0),0)</f>
        <v>3812841.4143980914</v>
      </c>
      <c r="S210" s="25">
        <f t="shared" ca="1" si="7"/>
        <v>5286756.7527349386</v>
      </c>
    </row>
    <row r="211" spans="1:19" ht="15.75" customHeight="1" x14ac:dyDescent="0.3">
      <c r="A211" s="37">
        <v>57377</v>
      </c>
      <c r="B211" s="409">
        <f t="shared" ref="B211:C211" si="207">($A211-B$9)/365.25</f>
        <v>75.21149897330595</v>
      </c>
      <c r="C211" s="409">
        <f t="shared" si="207"/>
        <v>70.600958247775495</v>
      </c>
      <c r="E211" s="25">
        <f>IF(C211&gt;$B$7,0,'Combined Retirement'!$D$13/12)</f>
        <v>0</v>
      </c>
      <c r="F211" s="25">
        <f>IF(H211=0,'Combined Retirement'!$D$32,0)+'Combined Retirement'!$B$24</f>
        <v>2870.372285649099</v>
      </c>
      <c r="G211" s="25">
        <f>'Combined Retirement'!$C$24</f>
        <v>3525.4531757812501</v>
      </c>
      <c r="H211" s="25">
        <f>IF(B211&lt;62,0,'Combined Retirement'!$I$14)</f>
        <v>2192</v>
      </c>
      <c r="I211" s="25">
        <f>IF(C211&lt;62,0,'Combined Retirement'!$I$13)</f>
        <v>2420</v>
      </c>
      <c r="J211" s="25">
        <f t="shared" si="3"/>
        <v>7863.2184191855868</v>
      </c>
      <c r="K211" s="25">
        <f t="shared" si="4"/>
        <v>20282.026119384056</v>
      </c>
      <c r="L211" s="25"/>
      <c r="N211" s="25">
        <f>'Combined Retirement'!$C$18/12</f>
        <v>39153.069999999992</v>
      </c>
      <c r="O211" s="25">
        <f t="shared" si="5"/>
        <v>11007.82546143035</v>
      </c>
      <c r="P211" s="25">
        <f t="shared" si="6"/>
        <v>28145.244538569641</v>
      </c>
      <c r="Q211" s="25">
        <f t="array" aca="1" ref="Q211" ca="1">INDEX('Isaac 401k'!L:L,MATCH('Retirement Calculator'!A211,'Isaac 401k'!N:N,0),0)</f>
        <v>1472160.6704173181</v>
      </c>
      <c r="R211" s="25">
        <f t="array" aca="1" ref="R211" ca="1">INDEX('Lorri 401b'!L:L,MATCH('Retirement Calculator'!A211,'Lorri 401b'!N:N,0),0)</f>
        <v>3808361.7190632019</v>
      </c>
      <c r="S211" s="25">
        <f t="shared" ca="1" si="7"/>
        <v>5280522.38948052</v>
      </c>
    </row>
    <row r="212" spans="1:19" ht="15.75" customHeight="1" x14ac:dyDescent="0.3">
      <c r="A212" s="37">
        <v>57405</v>
      </c>
      <c r="B212" s="409">
        <f t="shared" ref="B212:C212" si="208">($A212-B$9)/365.25</f>
        <v>75.288158795345652</v>
      </c>
      <c r="C212" s="409">
        <f t="shared" si="208"/>
        <v>70.677618069815196</v>
      </c>
      <c r="E212" s="25">
        <f>IF(C212&gt;$B$7,0,'Combined Retirement'!$D$13/12)</f>
        <v>0</v>
      </c>
      <c r="F212" s="25">
        <f>IF(H212=0,'Combined Retirement'!$D$32,0)+'Combined Retirement'!$B$24</f>
        <v>2870.372285649099</v>
      </c>
      <c r="G212" s="25">
        <f>'Combined Retirement'!$C$24</f>
        <v>3525.4531757812501</v>
      </c>
      <c r="H212" s="25">
        <f>IF(B212&lt;62,0,'Combined Retirement'!$I$14)</f>
        <v>2192</v>
      </c>
      <c r="I212" s="25">
        <f>IF(C212&lt;62,0,'Combined Retirement'!$I$13)</f>
        <v>2420</v>
      </c>
      <c r="J212" s="25">
        <f t="shared" si="3"/>
        <v>7863.2184191855868</v>
      </c>
      <c r="K212" s="25">
        <f t="shared" si="4"/>
        <v>20282.026119384056</v>
      </c>
      <c r="L212" s="25"/>
      <c r="N212" s="25">
        <f>'Combined Retirement'!$C$18/12</f>
        <v>39153.069999999992</v>
      </c>
      <c r="O212" s="25">
        <f t="shared" si="5"/>
        <v>11007.82546143035</v>
      </c>
      <c r="P212" s="25">
        <f t="shared" si="6"/>
        <v>28145.244538569641</v>
      </c>
      <c r="Q212" s="25">
        <f t="array" aca="1" ref="Q212" ca="1">INDEX('Isaac 401k'!L:L,MATCH('Retirement Calculator'!A212,'Isaac 401k'!N:N,0),0)</f>
        <v>1470398.691381458</v>
      </c>
      <c r="R212" s="25">
        <f t="array" aca="1" ref="R212" ca="1">INDEX('Lorri 401b'!L:L,MATCH('Retirement Calculator'!A212,'Lorri 401b'!N:N,0),0)</f>
        <v>3803863.3583310838</v>
      </c>
      <c r="S212" s="25">
        <f t="shared" ca="1" si="7"/>
        <v>5274262.0497125415</v>
      </c>
    </row>
    <row r="213" spans="1:19" ht="15.75" customHeight="1" x14ac:dyDescent="0.3">
      <c r="A213" s="37">
        <v>57436</v>
      </c>
      <c r="B213" s="409">
        <f t="shared" ref="B213:C213" si="209">($A213-B$9)/365.25</f>
        <v>75.37303216974675</v>
      </c>
      <c r="C213" s="409">
        <f t="shared" si="209"/>
        <v>70.762491444216295</v>
      </c>
      <c r="E213" s="25">
        <f>IF(C213&gt;$B$7,0,'Combined Retirement'!$D$13/12)</f>
        <v>0</v>
      </c>
      <c r="F213" s="25">
        <f>IF(H213=0,'Combined Retirement'!$D$32,0)+'Combined Retirement'!$B$24</f>
        <v>2870.372285649099</v>
      </c>
      <c r="G213" s="25">
        <f>'Combined Retirement'!$C$24</f>
        <v>3525.4531757812501</v>
      </c>
      <c r="H213" s="25">
        <f>IF(B213&lt;62,0,'Combined Retirement'!$I$14)</f>
        <v>2192</v>
      </c>
      <c r="I213" s="25">
        <f>IF(C213&lt;62,0,'Combined Retirement'!$I$13)</f>
        <v>2420</v>
      </c>
      <c r="J213" s="25">
        <f t="shared" si="3"/>
        <v>7863.2184191855868</v>
      </c>
      <c r="K213" s="25">
        <f t="shared" si="4"/>
        <v>20282.026119384056</v>
      </c>
      <c r="L213" s="25"/>
      <c r="N213" s="25">
        <f>'Combined Retirement'!$C$18/12</f>
        <v>39153.069999999992</v>
      </c>
      <c r="O213" s="25">
        <f t="shared" si="5"/>
        <v>11007.82546143035</v>
      </c>
      <c r="P213" s="25">
        <f t="shared" si="6"/>
        <v>28145.244538569641</v>
      </c>
      <c r="Q213" s="25">
        <f t="array" aca="1" ref="Q213" ca="1">INDEX('Isaac 401k'!L:L,MATCH('Retirement Calculator'!A213,'Isaac 401k'!N:N,0),0)</f>
        <v>1468629.3707662818</v>
      </c>
      <c r="R213" s="25">
        <f t="array" aca="1" ref="R213" ca="1">INDEX('Lorri 401b'!L:L,MATCH('Retirement Calculator'!A213,'Lorri 401b'!N:N,0),0)</f>
        <v>3799346.2544292486</v>
      </c>
      <c r="S213" s="25">
        <f t="shared" ca="1" si="7"/>
        <v>5267975.6251955302</v>
      </c>
    </row>
    <row r="214" spans="1:19" ht="15.75" customHeight="1" x14ac:dyDescent="0.3">
      <c r="A214" s="37">
        <v>57466</v>
      </c>
      <c r="B214" s="409">
        <f t="shared" ref="B214:C214" si="210">($A214-B$9)/365.25</f>
        <v>75.455167693360707</v>
      </c>
      <c r="C214" s="409">
        <f t="shared" si="210"/>
        <v>70.844626967830251</v>
      </c>
      <c r="E214" s="25">
        <f>IF(C214&gt;$B$7,0,'Combined Retirement'!$D$13/12)</f>
        <v>0</v>
      </c>
      <c r="F214" s="25">
        <f>IF(H214=0,'Combined Retirement'!$D$32,0)+'Combined Retirement'!$B$24</f>
        <v>2870.372285649099</v>
      </c>
      <c r="G214" s="25">
        <f>'Combined Retirement'!$C$24</f>
        <v>3525.4531757812501</v>
      </c>
      <c r="H214" s="25">
        <f>IF(B214&lt;62,0,'Combined Retirement'!$I$14)</f>
        <v>2192</v>
      </c>
      <c r="I214" s="25">
        <f>IF(C214&lt;62,0,'Combined Retirement'!$I$13)</f>
        <v>2420</v>
      </c>
      <c r="J214" s="25">
        <f t="shared" si="3"/>
        <v>7863.2184191855868</v>
      </c>
      <c r="K214" s="25">
        <f t="shared" si="4"/>
        <v>20282.026119384056</v>
      </c>
      <c r="L214" s="25"/>
      <c r="N214" s="25">
        <f>'Combined Retirement'!$C$18/12</f>
        <v>39153.069999999992</v>
      </c>
      <c r="O214" s="25">
        <f t="shared" si="5"/>
        <v>11007.82546143035</v>
      </c>
      <c r="P214" s="25">
        <f t="shared" si="6"/>
        <v>28145.244538569641</v>
      </c>
      <c r="Q214" s="25">
        <f t="array" aca="1" ref="Q214" ca="1">INDEX('Isaac 401k'!L:L,MATCH('Retirement Calculator'!A214,'Isaac 401k'!N:N,0),0)</f>
        <v>1466852.6779818758</v>
      </c>
      <c r="R214" s="25">
        <f t="array" aca="1" ref="R214" ca="1">INDEX('Lorri 401b'!L:L,MATCH('Retirement Calculator'!A214,'Lorri 401b'!N:N,0),0)</f>
        <v>3794810.3292611558</v>
      </c>
      <c r="S214" s="25">
        <f t="shared" ca="1" si="7"/>
        <v>5261663.0072430316</v>
      </c>
    </row>
    <row r="215" spans="1:19" ht="15.75" customHeight="1" x14ac:dyDescent="0.3">
      <c r="A215" s="37">
        <v>57497</v>
      </c>
      <c r="B215" s="409">
        <f t="shared" ref="B215:C215" si="211">($A215-B$9)/365.25</f>
        <v>75.540041067761805</v>
      </c>
      <c r="C215" s="409">
        <f t="shared" si="211"/>
        <v>70.92950034223135</v>
      </c>
      <c r="E215" s="25">
        <f>IF(C215&gt;$B$7,0,'Combined Retirement'!$D$13/12)</f>
        <v>0</v>
      </c>
      <c r="F215" s="25">
        <f>IF(H215=0,'Combined Retirement'!$D$32,0)+'Combined Retirement'!$B$24</f>
        <v>2870.372285649099</v>
      </c>
      <c r="G215" s="25">
        <f>'Combined Retirement'!$C$24</f>
        <v>3525.4531757812501</v>
      </c>
      <c r="H215" s="25">
        <f>IF(B215&lt;62,0,'Combined Retirement'!$I$14)</f>
        <v>2192</v>
      </c>
      <c r="I215" s="25">
        <f>IF(C215&lt;62,0,'Combined Retirement'!$I$13)</f>
        <v>2420</v>
      </c>
      <c r="J215" s="25">
        <f t="shared" si="3"/>
        <v>7863.2184191855868</v>
      </c>
      <c r="K215" s="25">
        <f t="shared" si="4"/>
        <v>20282.026119384056</v>
      </c>
      <c r="L215" s="25"/>
      <c r="N215" s="25">
        <f>'Combined Retirement'!$C$18/12</f>
        <v>39153.069999999992</v>
      </c>
      <c r="O215" s="25">
        <f t="shared" si="5"/>
        <v>11007.82546143035</v>
      </c>
      <c r="P215" s="25">
        <f t="shared" si="6"/>
        <v>28145.244538569641</v>
      </c>
      <c r="Q215" s="25">
        <f t="array" aca="1" ref="Q215" ca="1">INDEX('Isaac 401k'!L:L,MATCH('Retirement Calculator'!A215,'Isaac 401k'!N:N,0),0)</f>
        <v>1465068.5823108682</v>
      </c>
      <c r="R215" s="25">
        <f t="array" aca="1" ref="R215" ca="1">INDEX('Lorri 401b'!L:L,MATCH('Retirement Calculator'!A215,'Lorri 401b'!N:N,0),0)</f>
        <v>3790255.5044048624</v>
      </c>
      <c r="S215" s="25">
        <f t="shared" ca="1" si="7"/>
        <v>5255324.0867157308</v>
      </c>
    </row>
    <row r="216" spans="1:19" ht="15.75" customHeight="1" x14ac:dyDescent="0.3">
      <c r="A216" s="37">
        <v>57527</v>
      </c>
      <c r="B216" s="409">
        <f t="shared" ref="B216:C216" si="212">($A216-B$9)/365.25</f>
        <v>75.622176591375776</v>
      </c>
      <c r="C216" s="409">
        <f t="shared" si="212"/>
        <v>71.011635865845307</v>
      </c>
      <c r="E216" s="25">
        <f>IF(C216&gt;$B$7,0,'Combined Retirement'!$D$13/12)</f>
        <v>0</v>
      </c>
      <c r="F216" s="25">
        <f>IF(H216=0,'Combined Retirement'!$D$32,0)+'Combined Retirement'!$B$24</f>
        <v>2870.372285649099</v>
      </c>
      <c r="G216" s="25">
        <f>'Combined Retirement'!$C$24</f>
        <v>3525.4531757812501</v>
      </c>
      <c r="H216" s="25">
        <f>IF(B216&lt;62,0,'Combined Retirement'!$I$14)</f>
        <v>2192</v>
      </c>
      <c r="I216" s="25">
        <f>IF(C216&lt;62,0,'Combined Retirement'!$I$13)</f>
        <v>2420</v>
      </c>
      <c r="J216" s="25">
        <f t="shared" si="3"/>
        <v>7863.2184191855868</v>
      </c>
      <c r="K216" s="25">
        <f t="shared" si="4"/>
        <v>20282.026119384056</v>
      </c>
      <c r="L216" s="25"/>
      <c r="N216" s="25">
        <f>'Combined Retirement'!$C$18/12</f>
        <v>39153.069999999992</v>
      </c>
      <c r="O216" s="25">
        <f t="shared" si="5"/>
        <v>11007.82546143035</v>
      </c>
      <c r="P216" s="25">
        <f t="shared" si="6"/>
        <v>28145.244538569641</v>
      </c>
      <c r="Q216" s="25">
        <f t="array" aca="1" ref="Q216" ca="1">INDEX('Isaac 401k'!L:L,MATCH('Retirement Calculator'!A216,'Isaac 401k'!N:N,0),0)</f>
        <v>1463277.0529078979</v>
      </c>
      <c r="R216" s="25">
        <f t="array" aca="1" ref="R216" ca="1">INDEX('Lorri 401b'!L:L,MATCH('Retirement Calculator'!A216,'Lorri 401b'!N:N,0),0)</f>
        <v>3785681.7011116678</v>
      </c>
      <c r="S216" s="25">
        <f t="shared" ca="1" si="7"/>
        <v>5248958.7540195659</v>
      </c>
    </row>
    <row r="217" spans="1:19" ht="15.75" customHeight="1" x14ac:dyDescent="0.3">
      <c r="A217" s="37">
        <v>57558</v>
      </c>
      <c r="B217" s="409">
        <f t="shared" ref="B217:C217" si="213">($A217-B$9)/365.25</f>
        <v>75.707049965776861</v>
      </c>
      <c r="C217" s="409">
        <f t="shared" si="213"/>
        <v>71.096509240246405</v>
      </c>
      <c r="E217" s="25">
        <f>IF(C217&gt;$B$7,0,'Combined Retirement'!$D$13/12)</f>
        <v>0</v>
      </c>
      <c r="F217" s="25">
        <f>IF(H217=0,'Combined Retirement'!$D$32,0)+'Combined Retirement'!$B$24</f>
        <v>2870.372285649099</v>
      </c>
      <c r="G217" s="25">
        <f>'Combined Retirement'!$C$24</f>
        <v>3525.4531757812501</v>
      </c>
      <c r="H217" s="25">
        <f>IF(B217&lt;62,0,'Combined Retirement'!$I$14)</f>
        <v>2192</v>
      </c>
      <c r="I217" s="25">
        <f>IF(C217&lt;62,0,'Combined Retirement'!$I$13)</f>
        <v>2420</v>
      </c>
      <c r="J217" s="25">
        <f t="shared" si="3"/>
        <v>7863.2184191855868</v>
      </c>
      <c r="K217" s="25">
        <f t="shared" si="4"/>
        <v>20282.026119384056</v>
      </c>
      <c r="L217" s="25"/>
      <c r="N217" s="25">
        <f>'Combined Retirement'!$C$18/12</f>
        <v>39153.069999999992</v>
      </c>
      <c r="O217" s="25">
        <f t="shared" si="5"/>
        <v>11007.82546143035</v>
      </c>
      <c r="P217" s="25">
        <f t="shared" si="6"/>
        <v>28145.244538569641</v>
      </c>
      <c r="Q217" s="25">
        <f t="array" aca="1" ref="Q217" ca="1">INDEX('Isaac 401k'!L:L,MATCH('Retirement Calculator'!A217,'Isaac 401k'!N:N,0),0)</f>
        <v>1461478.0587990819</v>
      </c>
      <c r="R217" s="25">
        <f t="array" aca="1" ref="R217" ca="1">INDEX('Lorri 401b'!L:L,MATCH('Retirement Calculator'!A217,'Lorri 401b'!N:N,0),0)</f>
        <v>3781088.8403047519</v>
      </c>
      <c r="S217" s="25">
        <f t="shared" ca="1" si="7"/>
        <v>5242566.8991038334</v>
      </c>
    </row>
    <row r="218" spans="1:19" ht="15.75" customHeight="1" x14ac:dyDescent="0.3">
      <c r="A218" s="37">
        <v>57589</v>
      </c>
      <c r="B218" s="409">
        <f t="shared" ref="B218:C218" si="214">($A218-B$9)/365.25</f>
        <v>75.791923340177959</v>
      </c>
      <c r="C218" s="409">
        <f t="shared" si="214"/>
        <v>71.181382614647504</v>
      </c>
      <c r="E218" s="25">
        <f>IF(C218&gt;$B$7,0,'Combined Retirement'!$D$13/12)</f>
        <v>0</v>
      </c>
      <c r="F218" s="25">
        <f>IF(H218=0,'Combined Retirement'!$D$32,0)+'Combined Retirement'!$B$24</f>
        <v>2870.372285649099</v>
      </c>
      <c r="G218" s="25">
        <f>'Combined Retirement'!$C$24</f>
        <v>3525.4531757812501</v>
      </c>
      <c r="H218" s="25">
        <f>IF(B218&lt;62,0,'Combined Retirement'!$I$14)</f>
        <v>2192</v>
      </c>
      <c r="I218" s="25">
        <f>IF(C218&lt;62,0,'Combined Retirement'!$I$13)</f>
        <v>2420</v>
      </c>
      <c r="J218" s="25">
        <f t="shared" si="3"/>
        <v>7863.2184191855868</v>
      </c>
      <c r="K218" s="25">
        <f t="shared" si="4"/>
        <v>20282.026119384056</v>
      </c>
      <c r="L218" s="25"/>
      <c r="N218" s="25">
        <f>'Combined Retirement'!$C$18/12</f>
        <v>39153.069999999992</v>
      </c>
      <c r="O218" s="25">
        <f t="shared" si="5"/>
        <v>11007.82546143035</v>
      </c>
      <c r="P218" s="25">
        <f t="shared" si="6"/>
        <v>28145.244538569641</v>
      </c>
      <c r="Q218" s="25">
        <f t="array" aca="1" ref="Q218" ca="1">INDEX('Isaac 401k'!L:L,MATCH('Retirement Calculator'!A218,'Isaac 401k'!N:N,0),0)</f>
        <v>1459671.5688814793</v>
      </c>
      <c r="R218" s="25">
        <f t="array" aca="1" ref="R218" ca="1">INDEX('Lorri 401b'!L:L,MATCH('Retirement Calculator'!A218,'Lorri 401b'!N:N,0),0)</f>
        <v>3776476.8425778071</v>
      </c>
      <c r="S218" s="25">
        <f t="shared" ca="1" si="7"/>
        <v>5236148.4114592867</v>
      </c>
    </row>
    <row r="219" spans="1:19" ht="15.75" customHeight="1" x14ac:dyDescent="0.3">
      <c r="A219" s="37">
        <v>57619</v>
      </c>
      <c r="B219" s="409">
        <f t="shared" ref="B219:C219" si="215">($A219-B$9)/365.25</f>
        <v>75.87405886379193</v>
      </c>
      <c r="C219" s="409">
        <f t="shared" si="215"/>
        <v>71.26351813826146</v>
      </c>
      <c r="E219" s="25">
        <f>IF(C219&gt;$B$7,0,'Combined Retirement'!$D$13/12)</f>
        <v>0</v>
      </c>
      <c r="F219" s="25">
        <f>IF(H219=0,'Combined Retirement'!$D$32,0)+'Combined Retirement'!$B$24</f>
        <v>2870.372285649099</v>
      </c>
      <c r="G219" s="25">
        <f>'Combined Retirement'!$C$24</f>
        <v>3525.4531757812501</v>
      </c>
      <c r="H219" s="25">
        <f>IF(B219&lt;62,0,'Combined Retirement'!$I$14)</f>
        <v>2192</v>
      </c>
      <c r="I219" s="25">
        <f>IF(C219&lt;62,0,'Combined Retirement'!$I$13)</f>
        <v>2420</v>
      </c>
      <c r="J219" s="25">
        <f t="shared" si="3"/>
        <v>7863.2184191855868</v>
      </c>
      <c r="K219" s="25">
        <f t="shared" si="4"/>
        <v>20282.026119384056</v>
      </c>
      <c r="L219" s="25"/>
      <c r="N219" s="25">
        <f>'Combined Retirement'!$C$18/12</f>
        <v>39153.069999999992</v>
      </c>
      <c r="O219" s="25">
        <f t="shared" si="5"/>
        <v>11007.82546143035</v>
      </c>
      <c r="P219" s="25">
        <f t="shared" si="6"/>
        <v>28145.244538569641</v>
      </c>
      <c r="Q219" s="25">
        <f t="array" aca="1" ref="Q219" ca="1">INDEX('Isaac 401k'!L:L,MATCH('Retirement Calculator'!A219,'Isaac 401k'!N:N,0),0)</f>
        <v>1457857.5519225532</v>
      </c>
      <c r="R219" s="25">
        <f t="array" aca="1" ref="R219" ca="1">INDEX('Lorri 401b'!L:L,MATCH('Retirement Calculator'!A219,'Lorri 401b'!N:N,0),0)</f>
        <v>3771845.6281936667</v>
      </c>
      <c r="S219" s="25">
        <f t="shared" ca="1" si="7"/>
        <v>5229703.1801162194</v>
      </c>
    </row>
    <row r="220" spans="1:19" ht="15.75" customHeight="1" x14ac:dyDescent="0.3">
      <c r="A220" s="37">
        <v>57650</v>
      </c>
      <c r="B220" s="409">
        <f t="shared" ref="B220:C220" si="216">($A220-B$9)/365.25</f>
        <v>75.958932238193015</v>
      </c>
      <c r="C220" s="409">
        <f t="shared" si="216"/>
        <v>71.348391512662559</v>
      </c>
      <c r="E220" s="25">
        <f>IF(C220&gt;$B$7,0,'Combined Retirement'!$D$13/12)</f>
        <v>0</v>
      </c>
      <c r="F220" s="25">
        <f>IF(H220=0,'Combined Retirement'!$D$32,0)+'Combined Retirement'!$B$24</f>
        <v>2870.372285649099</v>
      </c>
      <c r="G220" s="25">
        <f>'Combined Retirement'!$C$24</f>
        <v>3525.4531757812501</v>
      </c>
      <c r="H220" s="25">
        <f>IF(B220&lt;62,0,'Combined Retirement'!$I$14)</f>
        <v>2192</v>
      </c>
      <c r="I220" s="25">
        <f>IF(C220&lt;62,0,'Combined Retirement'!$I$13)</f>
        <v>2420</v>
      </c>
      <c r="J220" s="25">
        <f t="shared" si="3"/>
        <v>7863.2184191855868</v>
      </c>
      <c r="K220" s="25">
        <f t="shared" si="4"/>
        <v>20282.026119384056</v>
      </c>
      <c r="L220" s="25"/>
      <c r="N220" s="25">
        <f>'Combined Retirement'!$C$18/12</f>
        <v>39153.069999999992</v>
      </c>
      <c r="O220" s="25">
        <f t="shared" si="5"/>
        <v>11007.82546143035</v>
      </c>
      <c r="P220" s="25">
        <f t="shared" si="6"/>
        <v>28145.244538569641</v>
      </c>
      <c r="Q220" s="25">
        <f t="array" aca="1" ref="Q220" ca="1">INDEX('Isaac 401k'!L:L,MATCH('Retirement Calculator'!A220,'Isaac 401k'!N:N,0),0)</f>
        <v>1456035.9765596318</v>
      </c>
      <c r="R220" s="25">
        <f t="array" aca="1" ref="R220" ca="1">INDEX('Lorri 401b'!L:L,MATCH('Retirement Calculator'!A220,'Lorri 401b'!N:N,0),0)</f>
        <v>3767195.1170829255</v>
      </c>
      <c r="S220" s="25">
        <f t="shared" ca="1" si="7"/>
        <v>5223231.093642557</v>
      </c>
    </row>
    <row r="221" spans="1:19" ht="15.75" customHeight="1" x14ac:dyDescent="0.3">
      <c r="A221" s="37">
        <v>57680</v>
      </c>
      <c r="B221" s="409">
        <f t="shared" ref="B221:C221" si="217">($A221-B$9)/365.25</f>
        <v>76.041067761806985</v>
      </c>
      <c r="C221" s="409">
        <f t="shared" si="217"/>
        <v>71.43052703627653</v>
      </c>
      <c r="E221" s="25">
        <f>IF(C221&gt;$B$7,0,'Combined Retirement'!$D$13/12)</f>
        <v>0</v>
      </c>
      <c r="F221" s="25">
        <f>IF(H221=0,'Combined Retirement'!$D$32,0)+'Combined Retirement'!$B$24</f>
        <v>2870.372285649099</v>
      </c>
      <c r="G221" s="25">
        <f>'Combined Retirement'!$C$24</f>
        <v>3525.4531757812501</v>
      </c>
      <c r="H221" s="25">
        <f>IF(B221&lt;62,0,'Combined Retirement'!$I$14)</f>
        <v>2192</v>
      </c>
      <c r="I221" s="25">
        <f>IF(C221&lt;62,0,'Combined Retirement'!$I$13)</f>
        <v>2420</v>
      </c>
      <c r="J221" s="25">
        <f t="shared" si="3"/>
        <v>7863.2184191855868</v>
      </c>
      <c r="K221" s="25">
        <f t="shared" si="4"/>
        <v>20282.026119384056</v>
      </c>
      <c r="L221" s="25"/>
      <c r="N221" s="25">
        <f>'Combined Retirement'!$C$18/12</f>
        <v>39153.069999999992</v>
      </c>
      <c r="O221" s="25">
        <f t="shared" si="5"/>
        <v>11007.82546143035</v>
      </c>
      <c r="P221" s="25">
        <f t="shared" si="6"/>
        <v>28145.244538569641</v>
      </c>
      <c r="Q221" s="25">
        <f t="array" aca="1" ref="Q221" ca="1">INDEX('Isaac 401k'!L:L,MATCH('Retirement Calculator'!A221,'Isaac 401k'!N:N,0),0)</f>
        <v>1454206.8112993648</v>
      </c>
      <c r="R221" s="25">
        <f t="array" aca="1" ref="R221" ca="1">INDEX('Lorri 401b'!L:L,MATCH('Retirement Calculator'!A221,'Lorri 401b'!N:N,0),0)</f>
        <v>3762525.2288425565</v>
      </c>
      <c r="S221" s="25">
        <f t="shared" ca="1" si="7"/>
        <v>5216732.0401419215</v>
      </c>
    </row>
    <row r="222" spans="1:19" ht="15.75" customHeight="1" x14ac:dyDescent="0.3">
      <c r="A222" s="37">
        <v>57711</v>
      </c>
      <c r="B222" s="409">
        <f t="shared" ref="B222:C222" si="218">($A222-B$9)/365.25</f>
        <v>76.12594113620807</v>
      </c>
      <c r="C222" s="409">
        <f t="shared" si="218"/>
        <v>71.515400410677614</v>
      </c>
      <c r="E222" s="25">
        <f>IF(C222&gt;$B$7,0,'Combined Retirement'!$D$13/12)</f>
        <v>0</v>
      </c>
      <c r="F222" s="25">
        <f>IF(H222=0,'Combined Retirement'!$D$32,0)+'Combined Retirement'!$B$24</f>
        <v>2870.372285649099</v>
      </c>
      <c r="G222" s="25">
        <f>'Combined Retirement'!$C$24</f>
        <v>3525.4531757812501</v>
      </c>
      <c r="H222" s="25">
        <f>IF(B222&lt;62,0,'Combined Retirement'!$I$14)</f>
        <v>2192</v>
      </c>
      <c r="I222" s="25">
        <f>IF(C222&lt;62,0,'Combined Retirement'!$I$13)</f>
        <v>2420</v>
      </c>
      <c r="J222" s="25">
        <f t="shared" si="3"/>
        <v>7863.2184191855868</v>
      </c>
      <c r="K222" s="25">
        <f t="shared" si="4"/>
        <v>20282.026119384056</v>
      </c>
      <c r="L222" s="25"/>
      <c r="N222" s="25">
        <f>'Combined Retirement'!$C$18/12</f>
        <v>39153.069999999992</v>
      </c>
      <c r="O222" s="25">
        <f t="shared" si="5"/>
        <v>11007.82546143035</v>
      </c>
      <c r="P222" s="25">
        <f t="shared" si="6"/>
        <v>28145.244538569641</v>
      </c>
      <c r="Q222" s="25">
        <f t="array" aca="1" ref="Q222" ca="1">INDEX('Isaac 401k'!L:L,MATCH('Retirement Calculator'!A222,'Isaac 401k'!N:N,0),0)</f>
        <v>1452370.0245171799</v>
      </c>
      <c r="R222" s="25">
        <f t="array" aca="1" ref="R222" ca="1">INDEX('Lorri 401b'!L:L,MATCH('Retirement Calculator'!A222,'Lorri 401b'!N:N,0),0)</f>
        <v>3757835.882734519</v>
      </c>
      <c r="S222" s="25">
        <f t="shared" ca="1" si="7"/>
        <v>5210205.9072516989</v>
      </c>
    </row>
    <row r="223" spans="1:19" ht="15.75" customHeight="1" x14ac:dyDescent="0.3">
      <c r="A223" s="37">
        <v>57742</v>
      </c>
      <c r="B223" s="409">
        <f t="shared" ref="B223:C223" si="219">($A223-B$9)/365.25</f>
        <v>76.210814510609168</v>
      </c>
      <c r="C223" s="409">
        <f t="shared" si="219"/>
        <v>71.600273785078713</v>
      </c>
      <c r="E223" s="25">
        <f>IF(C223&gt;$B$7,0,'Combined Retirement'!$D$13/12)</f>
        <v>0</v>
      </c>
      <c r="F223" s="25">
        <f>IF(H223=0,'Combined Retirement'!$D$32,0)+'Combined Retirement'!$B$24</f>
        <v>2870.372285649099</v>
      </c>
      <c r="G223" s="25">
        <f>'Combined Retirement'!$C$24</f>
        <v>3525.4531757812501</v>
      </c>
      <c r="H223" s="25">
        <f>IF(B223&lt;62,0,'Combined Retirement'!$I$14)</f>
        <v>2192</v>
      </c>
      <c r="I223" s="25">
        <f>IF(C223&lt;62,0,'Combined Retirement'!$I$13)</f>
        <v>2420</v>
      </c>
      <c r="J223" s="25">
        <f t="shared" si="3"/>
        <v>7863.2184191855868</v>
      </c>
      <c r="K223" s="25">
        <f t="shared" si="4"/>
        <v>20282.026119384056</v>
      </c>
      <c r="L223" s="25"/>
      <c r="N223" s="25">
        <f>'Combined Retirement'!$C$18/12</f>
        <v>39153.069999999992</v>
      </c>
      <c r="O223" s="25">
        <f t="shared" si="5"/>
        <v>11007.82546143035</v>
      </c>
      <c r="P223" s="25">
        <f t="shared" si="6"/>
        <v>28145.244538569641</v>
      </c>
      <c r="Q223" s="25">
        <f t="array" aca="1" ref="Q223" ca="1">INDEX('Isaac 401k'!L:L,MATCH('Retirement Calculator'!A223,'Isaac 401k'!N:N,0),0)</f>
        <v>1450525.584456736</v>
      </c>
      <c r="R223" s="25">
        <f t="array" aca="1" ref="R223" ca="1">INDEX('Lorri 401b'!L:L,MATCH('Retirement Calculator'!A223,'Lorri 401b'!N:N,0),0)</f>
        <v>3753126.9976843647</v>
      </c>
      <c r="S223" s="25">
        <f t="shared" ca="1" si="7"/>
        <v>5203652.5821411004</v>
      </c>
    </row>
    <row r="224" spans="1:19" ht="15.75" customHeight="1" x14ac:dyDescent="0.3">
      <c r="A224" s="37">
        <v>57770</v>
      </c>
      <c r="B224" s="409">
        <f t="shared" ref="B224:C224" si="220">($A224-B$9)/365.25</f>
        <v>76.28747433264887</v>
      </c>
      <c r="C224" s="409">
        <f t="shared" si="220"/>
        <v>71.676933607118414</v>
      </c>
      <c r="E224" s="25">
        <f>IF(C224&gt;$B$7,0,'Combined Retirement'!$D$13/12)</f>
        <v>0</v>
      </c>
      <c r="F224" s="25">
        <f>IF(H224=0,'Combined Retirement'!$D$32,0)+'Combined Retirement'!$B$24</f>
        <v>2870.372285649099</v>
      </c>
      <c r="G224" s="25">
        <f>'Combined Retirement'!$C$24</f>
        <v>3525.4531757812501</v>
      </c>
      <c r="H224" s="25">
        <f>IF(B224&lt;62,0,'Combined Retirement'!$I$14)</f>
        <v>2192</v>
      </c>
      <c r="I224" s="25">
        <f>IF(C224&lt;62,0,'Combined Retirement'!$I$13)</f>
        <v>2420</v>
      </c>
      <c r="J224" s="25">
        <f t="shared" si="3"/>
        <v>7863.2184191855868</v>
      </c>
      <c r="K224" s="25">
        <f t="shared" si="4"/>
        <v>20282.026119384056</v>
      </c>
      <c r="L224" s="25"/>
      <c r="N224" s="25">
        <f>'Combined Retirement'!$C$18/12</f>
        <v>39153.069999999992</v>
      </c>
      <c r="O224" s="25">
        <f t="shared" si="5"/>
        <v>11007.82546143035</v>
      </c>
      <c r="P224" s="25">
        <f t="shared" si="6"/>
        <v>28145.244538569641</v>
      </c>
      <c r="Q224" s="25">
        <f t="array" aca="1" ref="Q224" ca="1">INDEX('Isaac 401k'!L:L,MATCH('Retirement Calculator'!A224,'Isaac 401k'!N:N,0),0)</f>
        <v>1448673.4592293736</v>
      </c>
      <c r="R224" s="25">
        <f t="array" aca="1" ref="R224" ca="1">INDEX('Lorri 401b'!L:L,MATCH('Retirement Calculator'!A224,'Lorri 401b'!N:N,0),0)</f>
        <v>3748398.4922798346</v>
      </c>
      <c r="S224" s="25">
        <f t="shared" ca="1" si="7"/>
        <v>5197071.9515092084</v>
      </c>
    </row>
    <row r="225" spans="1:19" ht="15.75" customHeight="1" x14ac:dyDescent="0.3">
      <c r="A225" s="37">
        <v>57801</v>
      </c>
      <c r="B225" s="409">
        <f t="shared" ref="B225:C225" si="221">($A225-B$9)/365.25</f>
        <v>76.372347707049968</v>
      </c>
      <c r="C225" s="409">
        <f t="shared" si="221"/>
        <v>71.761806981519513</v>
      </c>
      <c r="E225" s="25">
        <f>IF(C225&gt;$B$7,0,'Combined Retirement'!$D$13/12)</f>
        <v>0</v>
      </c>
      <c r="F225" s="25">
        <f>IF(H225=0,'Combined Retirement'!$D$32,0)+'Combined Retirement'!$B$24</f>
        <v>2870.372285649099</v>
      </c>
      <c r="G225" s="25">
        <f>'Combined Retirement'!$C$24</f>
        <v>3525.4531757812501</v>
      </c>
      <c r="H225" s="25">
        <f>IF(B225&lt;62,0,'Combined Retirement'!$I$14)</f>
        <v>2192</v>
      </c>
      <c r="I225" s="25">
        <f>IF(C225&lt;62,0,'Combined Retirement'!$I$13)</f>
        <v>2420</v>
      </c>
      <c r="J225" s="25">
        <f t="shared" si="3"/>
        <v>7863.2184191855868</v>
      </c>
      <c r="K225" s="25">
        <f t="shared" si="4"/>
        <v>20282.026119384056</v>
      </c>
      <c r="L225" s="25"/>
      <c r="N225" s="25">
        <f>'Combined Retirement'!$C$18/12</f>
        <v>39153.069999999992</v>
      </c>
      <c r="O225" s="25">
        <f t="shared" si="5"/>
        <v>11007.82546143035</v>
      </c>
      <c r="P225" s="25">
        <f t="shared" si="6"/>
        <v>28145.244538569641</v>
      </c>
      <c r="Q225" s="25">
        <f t="array" aca="1" ref="Q225" ca="1">INDEX('Isaac 401k'!L:L,MATCH('Retirement Calculator'!A225,'Isaac 401k'!N:N,0),0)</f>
        <v>1446813.6168135637</v>
      </c>
      <c r="R225" s="25">
        <f t="array" aca="1" ref="R225" ca="1">INDEX('Lorri 401b'!L:L,MATCH('Retirement Calculator'!A225,'Lorri 401b'!N:N,0),0)</f>
        <v>3743650.2847694526</v>
      </c>
      <c r="S225" s="25">
        <f t="shared" ca="1" si="7"/>
        <v>5190463.9015830159</v>
      </c>
    </row>
    <row r="226" spans="1:19" ht="15.75" customHeight="1" x14ac:dyDescent="0.3">
      <c r="A226" s="37">
        <v>57831</v>
      </c>
      <c r="B226" s="409">
        <f t="shared" ref="B226:C226" si="222">($A226-B$9)/365.25</f>
        <v>76.454483230663925</v>
      </c>
      <c r="C226" s="409">
        <f t="shared" si="222"/>
        <v>71.843942505133469</v>
      </c>
      <c r="E226" s="25">
        <f>IF(C226&gt;$B$7,0,'Combined Retirement'!$D$13/12)</f>
        <v>0</v>
      </c>
      <c r="F226" s="25">
        <f>IF(H226=0,'Combined Retirement'!$D$32,0)+'Combined Retirement'!$B$24</f>
        <v>2870.372285649099</v>
      </c>
      <c r="G226" s="25">
        <f>'Combined Retirement'!$C$24</f>
        <v>3525.4531757812501</v>
      </c>
      <c r="H226" s="25">
        <f>IF(B226&lt;62,0,'Combined Retirement'!$I$14)</f>
        <v>2192</v>
      </c>
      <c r="I226" s="25">
        <f>IF(C226&lt;62,0,'Combined Retirement'!$I$13)</f>
        <v>2420</v>
      </c>
      <c r="J226" s="25">
        <f t="shared" si="3"/>
        <v>7863.2184191855868</v>
      </c>
      <c r="K226" s="25">
        <f t="shared" si="4"/>
        <v>20282.026119384056</v>
      </c>
      <c r="L226" s="25"/>
      <c r="N226" s="25">
        <f>'Combined Retirement'!$C$18/12</f>
        <v>39153.069999999992</v>
      </c>
      <c r="O226" s="25">
        <f t="shared" si="5"/>
        <v>11007.82546143035</v>
      </c>
      <c r="P226" s="25">
        <f t="shared" si="6"/>
        <v>28145.244538569641</v>
      </c>
      <c r="Q226" s="25">
        <f t="array" aca="1" ref="Q226" ca="1">INDEX('Isaac 401k'!L:L,MATCH('Retirement Calculator'!A226,'Isaac 401k'!N:N,0),0)</f>
        <v>1444946.0250543547</v>
      </c>
      <c r="R226" s="25">
        <f t="array" aca="1" ref="R226" ca="1">INDEX('Lorri 401b'!L:L,MATCH('Retirement Calculator'!A226,'Lorri 401b'!N:N,0),0)</f>
        <v>3738882.2930611107</v>
      </c>
      <c r="S226" s="25">
        <f t="shared" ca="1" si="7"/>
        <v>5183828.3181154653</v>
      </c>
    </row>
    <row r="227" spans="1:19" ht="15.75" customHeight="1" x14ac:dyDescent="0.3">
      <c r="A227" s="37">
        <v>57862</v>
      </c>
      <c r="B227" s="409">
        <f t="shared" ref="B227:C227" si="223">($A227-B$9)/365.25</f>
        <v>76.539356605065024</v>
      </c>
      <c r="C227" s="409">
        <f t="shared" si="223"/>
        <v>71.928815879534568</v>
      </c>
      <c r="E227" s="25">
        <f>IF(C227&gt;$B$7,0,'Combined Retirement'!$D$13/12)</f>
        <v>0</v>
      </c>
      <c r="F227" s="25">
        <f>IF(H227=0,'Combined Retirement'!$D$32,0)+'Combined Retirement'!$B$24</f>
        <v>2870.372285649099</v>
      </c>
      <c r="G227" s="25">
        <f>'Combined Retirement'!$C$24</f>
        <v>3525.4531757812501</v>
      </c>
      <c r="H227" s="25">
        <f>IF(B227&lt;62,0,'Combined Retirement'!$I$14)</f>
        <v>2192</v>
      </c>
      <c r="I227" s="25">
        <f>IF(C227&lt;62,0,'Combined Retirement'!$I$13)</f>
        <v>2420</v>
      </c>
      <c r="J227" s="25">
        <f t="shared" si="3"/>
        <v>7863.2184191855868</v>
      </c>
      <c r="K227" s="25">
        <f t="shared" si="4"/>
        <v>20282.026119384056</v>
      </c>
      <c r="L227" s="25"/>
      <c r="N227" s="25">
        <f>'Combined Retirement'!$C$18/12</f>
        <v>39153.069999999992</v>
      </c>
      <c r="O227" s="25">
        <f t="shared" si="5"/>
        <v>11007.82546143035</v>
      </c>
      <c r="P227" s="25">
        <f t="shared" si="6"/>
        <v>28145.244538569641</v>
      </c>
      <c r="Q227" s="25">
        <f t="array" aca="1" ref="Q227" ca="1">INDEX('Isaac 401k'!L:L,MATCH('Retirement Calculator'!A227,'Isaac 401k'!N:N,0),0)</f>
        <v>1443070.6516628156</v>
      </c>
      <c r="R227" s="25">
        <f t="array" aca="1" ref="R227" ca="1">INDEX('Lorri 401b'!L:L,MATCH('Retirement Calculator'!A227,'Lorri 401b'!N:N,0),0)</f>
        <v>3734094.4347206503</v>
      </c>
      <c r="S227" s="25">
        <f t="shared" ca="1" si="7"/>
        <v>5177165.0863834657</v>
      </c>
    </row>
    <row r="228" spans="1:19" ht="15.75" customHeight="1" x14ac:dyDescent="0.3">
      <c r="A228" s="37">
        <v>57892</v>
      </c>
      <c r="B228" s="409">
        <f t="shared" ref="B228:C228" si="224">($A228-B$9)/365.25</f>
        <v>76.62149212867898</v>
      </c>
      <c r="C228" s="409">
        <f t="shared" si="224"/>
        <v>72.010951403148525</v>
      </c>
      <c r="E228" s="25">
        <f>IF(C228&gt;$B$7,0,'Combined Retirement'!$D$13/12)</f>
        <v>0</v>
      </c>
      <c r="F228" s="25">
        <f>IF(H228=0,'Combined Retirement'!$D$32,0)+'Combined Retirement'!$B$24</f>
        <v>2870.372285649099</v>
      </c>
      <c r="G228" s="25">
        <f>'Combined Retirement'!$C$24</f>
        <v>3525.4531757812501</v>
      </c>
      <c r="H228" s="25">
        <f>IF(B228&lt;62,0,'Combined Retirement'!$I$14)</f>
        <v>2192</v>
      </c>
      <c r="I228" s="25">
        <f>IF(C228&lt;62,0,'Combined Retirement'!$I$13)</f>
        <v>2420</v>
      </c>
      <c r="J228" s="25">
        <f t="shared" si="3"/>
        <v>7863.2184191855868</v>
      </c>
      <c r="K228" s="25">
        <f t="shared" si="4"/>
        <v>20282.026119384056</v>
      </c>
      <c r="L228" s="25"/>
      <c r="N228" s="25">
        <f>'Combined Retirement'!$C$18/12</f>
        <v>39153.069999999992</v>
      </c>
      <c r="O228" s="25">
        <f t="shared" si="5"/>
        <v>11007.82546143035</v>
      </c>
      <c r="P228" s="25">
        <f t="shared" si="6"/>
        <v>28145.244538569641</v>
      </c>
      <c r="Q228" s="25">
        <f t="array" aca="1" ref="Q228" ca="1">INDEX('Isaac 401k'!L:L,MATCH('Retirement Calculator'!A228,'Isaac 401k'!N:N,0),0)</f>
        <v>1441187.4642154784</v>
      </c>
      <c r="R228" s="25">
        <f t="array" aca="1" ref="R228" ca="1">INDEX('Lorri 401b'!L:L,MATCH('Retirement Calculator'!A228,'Lorri 401b'!N:N,0),0)</f>
        <v>3729286.6269704383</v>
      </c>
      <c r="S228" s="25">
        <f t="shared" ca="1" si="7"/>
        <v>5170474.0911859162</v>
      </c>
    </row>
    <row r="229" spans="1:19" ht="15.75" customHeight="1" x14ac:dyDescent="0.3">
      <c r="A229" s="37">
        <v>57923</v>
      </c>
      <c r="B229" s="409">
        <f t="shared" ref="B229:C229" si="225">($A229-B$9)/365.25</f>
        <v>76.706365503080079</v>
      </c>
      <c r="C229" s="409">
        <f t="shared" si="225"/>
        <v>72.095824777549623</v>
      </c>
      <c r="E229" s="25">
        <f>IF(C229&gt;$B$7,0,'Combined Retirement'!$D$13/12)</f>
        <v>0</v>
      </c>
      <c r="F229" s="25">
        <f>IF(H229=0,'Combined Retirement'!$D$32,0)+'Combined Retirement'!$B$24</f>
        <v>2870.372285649099</v>
      </c>
      <c r="G229" s="25">
        <f>'Combined Retirement'!$C$24</f>
        <v>3525.4531757812501</v>
      </c>
      <c r="H229" s="25">
        <f>IF(B229&lt;62,0,'Combined Retirement'!$I$14)</f>
        <v>2192</v>
      </c>
      <c r="I229" s="25">
        <f>IF(C229&lt;62,0,'Combined Retirement'!$I$13)</f>
        <v>2420</v>
      </c>
      <c r="J229" s="25">
        <f t="shared" si="3"/>
        <v>7863.2184191855868</v>
      </c>
      <c r="K229" s="25">
        <f t="shared" si="4"/>
        <v>20282.026119384056</v>
      </c>
      <c r="L229" s="25"/>
      <c r="N229" s="25">
        <f>'Combined Retirement'!$C$18/12</f>
        <v>39153.069999999992</v>
      </c>
      <c r="O229" s="25">
        <f t="shared" si="5"/>
        <v>11007.82546143035</v>
      </c>
      <c r="P229" s="25">
        <f t="shared" si="6"/>
        <v>28145.244538569641</v>
      </c>
      <c r="Q229" s="25">
        <f t="array" aca="1" ref="Q229" ca="1">INDEX('Isaac 401k'!L:L,MATCH('Retirement Calculator'!A229,'Isaac 401k'!N:N,0),0)</f>
        <v>1439296.4301537774</v>
      </c>
      <c r="R229" s="25">
        <f t="array" aca="1" ref="R229" ca="1">INDEX('Lorri 401b'!L:L,MATCH('Retirement Calculator'!A229,'Lorri 401b'!N:N,0),0)</f>
        <v>3724458.7866879338</v>
      </c>
      <c r="S229" s="25">
        <f t="shared" ca="1" si="7"/>
        <v>5163755.2168417107</v>
      </c>
    </row>
    <row r="230" spans="1:19" ht="15.75" customHeight="1" x14ac:dyDescent="0.3">
      <c r="A230" s="37">
        <v>57954</v>
      </c>
      <c r="B230" s="409">
        <f t="shared" ref="B230:C230" si="226">($A230-B$9)/365.25</f>
        <v>76.791238877481177</v>
      </c>
      <c r="C230" s="409">
        <f t="shared" si="226"/>
        <v>72.180698151950722</v>
      </c>
      <c r="E230" s="25">
        <f>IF(C230&gt;$B$7,0,'Combined Retirement'!$D$13/12)</f>
        <v>0</v>
      </c>
      <c r="F230" s="25">
        <f>IF(H230=0,'Combined Retirement'!$D$32,0)+'Combined Retirement'!$B$24</f>
        <v>2870.372285649099</v>
      </c>
      <c r="G230" s="25">
        <f>'Combined Retirement'!$C$24</f>
        <v>3525.4531757812501</v>
      </c>
      <c r="H230" s="25">
        <f>IF(B230&lt;62,0,'Combined Retirement'!$I$14)</f>
        <v>2192</v>
      </c>
      <c r="I230" s="25">
        <f>IF(C230&lt;62,0,'Combined Retirement'!$I$13)</f>
        <v>2420</v>
      </c>
      <c r="J230" s="25">
        <f t="shared" si="3"/>
        <v>7863.2184191855868</v>
      </c>
      <c r="K230" s="25">
        <f t="shared" si="4"/>
        <v>20282.026119384056</v>
      </c>
      <c r="L230" s="25"/>
      <c r="N230" s="25">
        <f>'Combined Retirement'!$C$18/12</f>
        <v>39153.069999999992</v>
      </c>
      <c r="O230" s="25">
        <f t="shared" si="5"/>
        <v>11007.82546143035</v>
      </c>
      <c r="P230" s="25">
        <f t="shared" si="6"/>
        <v>28145.244538569641</v>
      </c>
      <c r="Q230" s="25">
        <f t="array" aca="1" ref="Q230" ca="1">INDEX('Isaac 401k'!L:L,MATCH('Retirement Calculator'!A230,'Isaac 401k'!N:N,0),0)</f>
        <v>1437397.5167834859</v>
      </c>
      <c r="R230" s="25">
        <f t="array" aca="1" ref="R230" ca="1">INDEX('Lorri 401b'!L:L,MATCH('Retirement Calculator'!A230,'Lorri 401b'!N:N,0),0)</f>
        <v>3719610.8304042523</v>
      </c>
      <c r="S230" s="25">
        <f t="shared" ca="1" si="7"/>
        <v>5157008.3471877379</v>
      </c>
    </row>
    <row r="231" spans="1:19" ht="15.75" customHeight="1" x14ac:dyDescent="0.3">
      <c r="A231" s="37">
        <v>57984</v>
      </c>
      <c r="B231" s="409">
        <f t="shared" ref="B231:C231" si="227">($A231-B$9)/365.25</f>
        <v>76.873374401095134</v>
      </c>
      <c r="C231" s="409">
        <f t="shared" si="227"/>
        <v>72.262833675564679</v>
      </c>
      <c r="E231" s="25">
        <f>IF(C231&gt;$B$7,0,'Combined Retirement'!$D$13/12)</f>
        <v>0</v>
      </c>
      <c r="F231" s="25">
        <f>IF(H231=0,'Combined Retirement'!$D$32,0)+'Combined Retirement'!$B$24</f>
        <v>2870.372285649099</v>
      </c>
      <c r="G231" s="25">
        <f>'Combined Retirement'!$C$24</f>
        <v>3525.4531757812501</v>
      </c>
      <c r="H231" s="25">
        <f>IF(B231&lt;62,0,'Combined Retirement'!$I$14)</f>
        <v>2192</v>
      </c>
      <c r="I231" s="25">
        <f>IF(C231&lt;62,0,'Combined Retirement'!$I$13)</f>
        <v>2420</v>
      </c>
      <c r="J231" s="25">
        <f t="shared" si="3"/>
        <v>7863.2184191855868</v>
      </c>
      <c r="K231" s="25">
        <f t="shared" si="4"/>
        <v>20282.026119384056</v>
      </c>
      <c r="L231" s="25"/>
      <c r="N231" s="25">
        <f>'Combined Retirement'!$C$18/12</f>
        <v>39153.069999999992</v>
      </c>
      <c r="O231" s="25">
        <f t="shared" si="5"/>
        <v>11007.82546143035</v>
      </c>
      <c r="P231" s="25">
        <f t="shared" si="6"/>
        <v>28145.244538569641</v>
      </c>
      <c r="Q231" s="25">
        <f t="array" aca="1" ref="Q231" ca="1">INDEX('Isaac 401k'!L:L,MATCH('Retirement Calculator'!A231,'Isaac 401k'!N:N,0),0)</f>
        <v>1435490.6912741514</v>
      </c>
      <c r="R231" s="25">
        <f t="array" aca="1" ref="R231" ca="1">INDEX('Lorri 401b'!L:L,MATCH('Retirement Calculator'!A231,'Lorri 401b'!N:N,0),0)</f>
        <v>3714742.6743027219</v>
      </c>
      <c r="S231" s="25">
        <f t="shared" ca="1" si="7"/>
        <v>5150233.3655768735</v>
      </c>
    </row>
    <row r="232" spans="1:19" ht="15.75" customHeight="1" x14ac:dyDescent="0.3">
      <c r="A232" s="37">
        <v>58015</v>
      </c>
      <c r="B232" s="409">
        <f t="shared" ref="B232:C232" si="228">($A232-B$9)/365.25</f>
        <v>76.958247775496233</v>
      </c>
      <c r="C232" s="409">
        <f t="shared" si="228"/>
        <v>72.347707049965777</v>
      </c>
      <c r="E232" s="25">
        <f>IF(C232&gt;$B$7,0,'Combined Retirement'!$D$13/12)</f>
        <v>0</v>
      </c>
      <c r="F232" s="25">
        <f>IF(H232=0,'Combined Retirement'!$D$32,0)+'Combined Retirement'!$B$24</f>
        <v>2870.372285649099</v>
      </c>
      <c r="G232" s="25">
        <f>'Combined Retirement'!$C$24</f>
        <v>3525.4531757812501</v>
      </c>
      <c r="H232" s="25">
        <f>IF(B232&lt;62,0,'Combined Retirement'!$I$14)</f>
        <v>2192</v>
      </c>
      <c r="I232" s="25">
        <f>IF(C232&lt;62,0,'Combined Retirement'!$I$13)</f>
        <v>2420</v>
      </c>
      <c r="J232" s="25">
        <f t="shared" si="3"/>
        <v>7863.2184191855868</v>
      </c>
      <c r="K232" s="25">
        <f t="shared" si="4"/>
        <v>20282.026119384056</v>
      </c>
      <c r="L232" s="25"/>
      <c r="N232" s="25">
        <f>'Combined Retirement'!$C$18/12</f>
        <v>39153.069999999992</v>
      </c>
      <c r="O232" s="25">
        <f t="shared" si="5"/>
        <v>11007.82546143035</v>
      </c>
      <c r="P232" s="25">
        <f t="shared" si="6"/>
        <v>28145.244538569641</v>
      </c>
      <c r="Q232" s="25">
        <f t="array" aca="1" ref="Q232" ca="1">INDEX('Isaac 401k'!L:L,MATCH('Retirement Calculator'!A232,'Isaac 401k'!N:N,0),0)</f>
        <v>1433575.9206585281</v>
      </c>
      <c r="R232" s="25">
        <f t="array" aca="1" ref="R232" ca="1">INDEX('Lorri 401b'!L:L,MATCH('Retirement Calculator'!A232,'Lorri 401b'!N:N,0),0)</f>
        <v>3709854.2342174351</v>
      </c>
      <c r="S232" s="25">
        <f t="shared" ca="1" si="7"/>
        <v>5143430.154875963</v>
      </c>
    </row>
    <row r="233" spans="1:19" ht="15.75" customHeight="1" x14ac:dyDescent="0.3">
      <c r="A233" s="37">
        <v>58045</v>
      </c>
      <c r="B233" s="409">
        <f t="shared" ref="B233:C233" si="229">($A233-B$9)/365.25</f>
        <v>77.040383299110204</v>
      </c>
      <c r="C233" s="409">
        <f t="shared" si="229"/>
        <v>72.429842573579734</v>
      </c>
      <c r="E233" s="25">
        <f>IF(C233&gt;$B$7,0,'Combined Retirement'!$D$13/12)</f>
        <v>0</v>
      </c>
      <c r="F233" s="25">
        <f>IF(H233=0,'Combined Retirement'!$D$32,0)+'Combined Retirement'!$B$24</f>
        <v>2870.372285649099</v>
      </c>
      <c r="G233" s="25">
        <f>'Combined Retirement'!$C$24</f>
        <v>3525.4531757812501</v>
      </c>
      <c r="H233" s="25">
        <f>IF(B233&lt;62,0,'Combined Retirement'!$I$14)</f>
        <v>2192</v>
      </c>
      <c r="I233" s="25">
        <f>IF(C233&lt;62,0,'Combined Retirement'!$I$13)</f>
        <v>2420</v>
      </c>
      <c r="J233" s="25">
        <f t="shared" si="3"/>
        <v>7863.2184191855868</v>
      </c>
      <c r="K233" s="25">
        <f t="shared" si="4"/>
        <v>20282.026119384056</v>
      </c>
      <c r="L233" s="25"/>
      <c r="N233" s="25">
        <f>'Combined Retirement'!$C$18/12</f>
        <v>39153.069999999992</v>
      </c>
      <c r="O233" s="25">
        <f t="shared" si="5"/>
        <v>11007.82546143035</v>
      </c>
      <c r="P233" s="25">
        <f t="shared" si="6"/>
        <v>28145.244538569641</v>
      </c>
      <c r="Q233" s="25">
        <f t="array" aca="1" ref="Q233" ca="1">INDEX('Isaac 401k'!L:L,MATCH('Retirement Calculator'!A233,'Isaac 401k'!N:N,0),0)</f>
        <v>1431653.1718320064</v>
      </c>
      <c r="R233" s="25">
        <f t="array" aca="1" ref="R233" ca="1">INDEX('Lorri 401b'!L:L,MATCH('Retirement Calculator'!A233,'Lorri 401b'!N:N,0),0)</f>
        <v>3704945.4256317932</v>
      </c>
      <c r="S233" s="25">
        <f t="shared" ca="1" si="7"/>
        <v>5136598.5974637996</v>
      </c>
    </row>
    <row r="234" spans="1:19" ht="15.75" customHeight="1" x14ac:dyDescent="0.3">
      <c r="A234" s="37">
        <v>58076</v>
      </c>
      <c r="B234" s="409">
        <f t="shared" ref="B234:C234" si="230">($A234-B$9)/365.25</f>
        <v>77.125256673511288</v>
      </c>
      <c r="C234" s="409">
        <f t="shared" si="230"/>
        <v>72.514715947980832</v>
      </c>
      <c r="E234" s="25">
        <f>IF(C234&gt;$B$7,0,'Combined Retirement'!$D$13/12)</f>
        <v>0</v>
      </c>
      <c r="F234" s="25">
        <f>IF(H234=0,'Combined Retirement'!$D$32,0)+'Combined Retirement'!$B$24</f>
        <v>2870.372285649099</v>
      </c>
      <c r="G234" s="25">
        <f>'Combined Retirement'!$C$24</f>
        <v>3525.4531757812501</v>
      </c>
      <c r="H234" s="25">
        <f>IF(B234&lt;62,0,'Combined Retirement'!$I$14)</f>
        <v>2192</v>
      </c>
      <c r="I234" s="25">
        <f>IF(C234&lt;62,0,'Combined Retirement'!$I$13)</f>
        <v>2420</v>
      </c>
      <c r="J234" s="25">
        <f t="shared" si="3"/>
        <v>7863.2184191855868</v>
      </c>
      <c r="K234" s="25">
        <f t="shared" si="4"/>
        <v>20282.026119384056</v>
      </c>
      <c r="L234" s="25"/>
      <c r="N234" s="25">
        <f>'Combined Retirement'!$C$18/12</f>
        <v>39153.069999999992</v>
      </c>
      <c r="O234" s="25">
        <f t="shared" si="5"/>
        <v>11007.82546143035</v>
      </c>
      <c r="P234" s="25">
        <f t="shared" si="6"/>
        <v>28145.244538569641</v>
      </c>
      <c r="Q234" s="25">
        <f t="array" aca="1" ref="Q234" ca="1">INDEX('Isaac 401k'!L:L,MATCH('Retirement Calculator'!A234,'Isaac 401k'!N:N,0),0)</f>
        <v>1429722.4115520408</v>
      </c>
      <c r="R234" s="25">
        <f t="array" aca="1" ref="R234" ca="1">INDEX('Lorri 401b'!L:L,MATCH('Retirement Calculator'!A234,'Lorri 401b'!N:N,0),0)</f>
        <v>3700016.1636770442</v>
      </c>
      <c r="S234" s="25">
        <f t="shared" ca="1" si="7"/>
        <v>5129738.5752290851</v>
      </c>
    </row>
    <row r="235" spans="1:19" ht="15.75" customHeight="1" x14ac:dyDescent="0.3">
      <c r="A235" s="37">
        <v>58107</v>
      </c>
      <c r="B235" s="409">
        <f t="shared" ref="B235:C235" si="231">($A235-B$9)/365.25</f>
        <v>77.210130047912386</v>
      </c>
      <c r="C235" s="409">
        <f t="shared" si="231"/>
        <v>72.599589322381931</v>
      </c>
      <c r="E235" s="25">
        <f>IF(C235&gt;$B$7,0,'Combined Retirement'!$D$13/12)</f>
        <v>0</v>
      </c>
      <c r="F235" s="25">
        <f>IF(H235=0,'Combined Retirement'!$D$32,0)+'Combined Retirement'!$B$24</f>
        <v>2870.372285649099</v>
      </c>
      <c r="G235" s="25">
        <f>'Combined Retirement'!$C$24</f>
        <v>3525.4531757812501</v>
      </c>
      <c r="H235" s="25">
        <f>IF(B235&lt;62,0,'Combined Retirement'!$I$14)</f>
        <v>2192</v>
      </c>
      <c r="I235" s="25">
        <f>IF(C235&lt;62,0,'Combined Retirement'!$I$13)</f>
        <v>2420</v>
      </c>
      <c r="J235" s="25">
        <f t="shared" si="3"/>
        <v>7863.2184191855868</v>
      </c>
      <c r="K235" s="25">
        <f t="shared" si="4"/>
        <v>20282.026119384056</v>
      </c>
      <c r="L235" s="25"/>
      <c r="N235" s="25">
        <f>'Combined Retirement'!$C$18/12</f>
        <v>39153.069999999992</v>
      </c>
      <c r="O235" s="25">
        <f t="shared" si="5"/>
        <v>11007.82546143035</v>
      </c>
      <c r="P235" s="25">
        <f t="shared" si="6"/>
        <v>28145.244538569641</v>
      </c>
      <c r="Q235" s="25">
        <f t="array" aca="1" ref="Q235" ca="1">INDEX('Isaac 401k'!L:L,MATCH('Retirement Calculator'!A235,'Isaac 401k'!N:N,0),0)</f>
        <v>1427783.6064375755</v>
      </c>
      <c r="R235" s="25">
        <f t="array" aca="1" ref="R235" ca="1">INDEX('Lorri 401b'!L:L,MATCH('Retirement Calculator'!A235,'Lorri 401b'!N:N,0),0)</f>
        <v>3695066.3631308172</v>
      </c>
      <c r="S235" s="25">
        <f t="shared" ca="1" si="7"/>
        <v>5122849.9695683923</v>
      </c>
    </row>
    <row r="236" spans="1:19" ht="15.75" customHeight="1" x14ac:dyDescent="0.3">
      <c r="A236" s="37">
        <v>58135</v>
      </c>
      <c r="B236" s="409">
        <f t="shared" ref="B236:C236" si="232">($A236-B$9)/365.25</f>
        <v>77.286789869952088</v>
      </c>
      <c r="C236" s="409">
        <f t="shared" si="232"/>
        <v>72.676249144421632</v>
      </c>
      <c r="E236" s="25">
        <f>IF(C236&gt;$B$7,0,'Combined Retirement'!$D$13/12)</f>
        <v>0</v>
      </c>
      <c r="F236" s="25">
        <f>IF(H236=0,'Combined Retirement'!$D$32,0)+'Combined Retirement'!$B$24</f>
        <v>2870.372285649099</v>
      </c>
      <c r="G236" s="25">
        <f>'Combined Retirement'!$C$24</f>
        <v>3525.4531757812501</v>
      </c>
      <c r="H236" s="25">
        <f>IF(B236&lt;62,0,'Combined Retirement'!$I$14)</f>
        <v>2192</v>
      </c>
      <c r="I236" s="25">
        <f>IF(C236&lt;62,0,'Combined Retirement'!$I$13)</f>
        <v>2420</v>
      </c>
      <c r="J236" s="25">
        <f t="shared" si="3"/>
        <v>7863.2184191855868</v>
      </c>
      <c r="K236" s="25">
        <f t="shared" si="4"/>
        <v>20282.026119384056</v>
      </c>
      <c r="L236" s="25"/>
      <c r="N236" s="25">
        <f>'Combined Retirement'!$C$18/12</f>
        <v>39153.069999999992</v>
      </c>
      <c r="O236" s="25">
        <f t="shared" si="5"/>
        <v>11007.82546143035</v>
      </c>
      <c r="P236" s="25">
        <f t="shared" si="6"/>
        <v>28145.244538569641</v>
      </c>
      <c r="Q236" s="25">
        <f t="array" aca="1" ref="Q236" ca="1">INDEX('Isaac 401k'!L:L,MATCH('Retirement Calculator'!A236,'Isaac 401k'!N:N,0),0)</f>
        <v>1425836.7229684666</v>
      </c>
      <c r="R236" s="25">
        <f t="array" aca="1" ref="R236" ca="1">INDEX('Lorri 401b'!L:L,MATCH('Retirement Calculator'!A236,'Lorri 401b'!N:N,0),0)</f>
        <v>3690095.9384156475</v>
      </c>
      <c r="S236" s="25">
        <f t="shared" ca="1" si="7"/>
        <v>5115932.6613841141</v>
      </c>
    </row>
    <row r="237" spans="1:19" ht="15.75" customHeight="1" x14ac:dyDescent="0.3">
      <c r="A237" s="37">
        <v>58166</v>
      </c>
      <c r="B237" s="409">
        <f t="shared" ref="B237:C237" si="233">($A237-B$9)/365.25</f>
        <v>77.371663244353186</v>
      </c>
      <c r="C237" s="409">
        <f t="shared" si="233"/>
        <v>72.761122518822731</v>
      </c>
      <c r="E237" s="25">
        <f>IF(C237&gt;$B$7,0,'Combined Retirement'!$D$13/12)</f>
        <v>0</v>
      </c>
      <c r="F237" s="25">
        <f>IF(H237=0,'Combined Retirement'!$D$32,0)+'Combined Retirement'!$B$24</f>
        <v>2870.372285649099</v>
      </c>
      <c r="G237" s="25">
        <f>'Combined Retirement'!$C$24</f>
        <v>3525.4531757812501</v>
      </c>
      <c r="H237" s="25">
        <f>IF(B237&lt;62,0,'Combined Retirement'!$I$14)</f>
        <v>2192</v>
      </c>
      <c r="I237" s="25">
        <f>IF(C237&lt;62,0,'Combined Retirement'!$I$13)</f>
        <v>2420</v>
      </c>
      <c r="J237" s="25">
        <f t="shared" si="3"/>
        <v>7863.2184191855868</v>
      </c>
      <c r="K237" s="25">
        <f t="shared" si="4"/>
        <v>20282.026119384056</v>
      </c>
      <c r="L237" s="25"/>
      <c r="N237" s="25">
        <f>'Combined Retirement'!$C$18/12</f>
        <v>39153.069999999992</v>
      </c>
      <c r="O237" s="25">
        <f t="shared" si="5"/>
        <v>11007.82546143035</v>
      </c>
      <c r="P237" s="25">
        <f t="shared" si="6"/>
        <v>28145.244538569641</v>
      </c>
      <c r="Q237" s="25">
        <f t="array" aca="1" ref="Q237" ca="1">INDEX('Isaac 401k'!L:L,MATCH('Retirement Calculator'!A237,'Isaac 401k'!N:N,0),0)</f>
        <v>1423881.7274849031</v>
      </c>
      <c r="R237" s="25">
        <f t="array" aca="1" ref="R237" ca="1">INDEX('Lorri 401b'!L:L,MATCH('Retirement Calculator'!A237,'Lorri 401b'!N:N,0),0)</f>
        <v>3685104.8035974978</v>
      </c>
      <c r="S237" s="25">
        <f t="shared" ca="1" si="7"/>
        <v>5108986.5310824011</v>
      </c>
    </row>
    <row r="238" spans="1:19" ht="15.75" customHeight="1" x14ac:dyDescent="0.3">
      <c r="A238" s="37">
        <v>58196</v>
      </c>
      <c r="B238" s="409">
        <f t="shared" ref="B238:C238" si="234">($A238-B$9)/365.25</f>
        <v>77.453798767967143</v>
      </c>
      <c r="C238" s="409">
        <f t="shared" si="234"/>
        <v>72.843258042436688</v>
      </c>
      <c r="E238" s="25">
        <f>IF(C238&gt;$B$7,0,'Combined Retirement'!$D$13/12)</f>
        <v>0</v>
      </c>
      <c r="F238" s="25">
        <f>IF(H238=0,'Combined Retirement'!$D$32,0)+'Combined Retirement'!$B$24</f>
        <v>2870.372285649099</v>
      </c>
      <c r="G238" s="25">
        <f>'Combined Retirement'!$C$24</f>
        <v>3525.4531757812501</v>
      </c>
      <c r="H238" s="25">
        <f>IF(B238&lt;62,0,'Combined Retirement'!$I$14)</f>
        <v>2192</v>
      </c>
      <c r="I238" s="25">
        <f>IF(C238&lt;62,0,'Combined Retirement'!$I$13)</f>
        <v>2420</v>
      </c>
      <c r="J238" s="25">
        <f t="shared" si="3"/>
        <v>7863.2184191855868</v>
      </c>
      <c r="K238" s="25">
        <f t="shared" si="4"/>
        <v>20282.026119384056</v>
      </c>
      <c r="L238" s="25"/>
      <c r="N238" s="25">
        <f>'Combined Retirement'!$C$18/12</f>
        <v>39153.069999999992</v>
      </c>
      <c r="O238" s="25">
        <f t="shared" si="5"/>
        <v>11007.82546143035</v>
      </c>
      <c r="P238" s="25">
        <f t="shared" si="6"/>
        <v>28145.244538569641</v>
      </c>
      <c r="Q238" s="25">
        <f t="array" aca="1" ref="Q238" ca="1">INDEX('Isaac 401k'!L:L,MATCH('Retirement Calculator'!A238,'Isaac 401k'!N:N,0),0)</f>
        <v>1421918.5861868246</v>
      </c>
      <c r="R238" s="25">
        <f t="array" aca="1" ref="R238" ca="1">INDEX('Lorri 401b'!L:L,MATCH('Retirement Calculator'!A238,'Lorri 401b'!N:N,0),0)</f>
        <v>3680092.8723842725</v>
      </c>
      <c r="S238" s="25">
        <f t="shared" ca="1" si="7"/>
        <v>5102011.4585710969</v>
      </c>
    </row>
    <row r="239" spans="1:19" ht="15.75" customHeight="1" x14ac:dyDescent="0.3">
      <c r="A239" s="37">
        <v>58227</v>
      </c>
      <c r="B239" s="409">
        <f t="shared" ref="B239:C239" si="235">($A239-B$9)/365.25</f>
        <v>77.538672142368242</v>
      </c>
      <c r="C239" s="409">
        <f t="shared" si="235"/>
        <v>72.928131416837786</v>
      </c>
      <c r="E239" s="25">
        <f>IF(C239&gt;$B$7,0,'Combined Retirement'!$D$13/12)</f>
        <v>0</v>
      </c>
      <c r="F239" s="25">
        <f>IF(H239=0,'Combined Retirement'!$D$32,0)+'Combined Retirement'!$B$24</f>
        <v>2870.372285649099</v>
      </c>
      <c r="G239" s="25">
        <f>'Combined Retirement'!$C$24</f>
        <v>3525.4531757812501</v>
      </c>
      <c r="H239" s="25">
        <f>IF(B239&lt;62,0,'Combined Retirement'!$I$14)</f>
        <v>2192</v>
      </c>
      <c r="I239" s="25">
        <f>IF(C239&lt;62,0,'Combined Retirement'!$I$13)</f>
        <v>2420</v>
      </c>
      <c r="J239" s="25">
        <f t="shared" si="3"/>
        <v>7863.2184191855868</v>
      </c>
      <c r="K239" s="25">
        <f t="shared" si="4"/>
        <v>20282.026119384056</v>
      </c>
      <c r="L239" s="25"/>
      <c r="N239" s="25">
        <f>'Combined Retirement'!$C$18/12</f>
        <v>39153.069999999992</v>
      </c>
      <c r="O239" s="25">
        <f t="shared" si="5"/>
        <v>11007.82546143035</v>
      </c>
      <c r="P239" s="25">
        <f t="shared" si="6"/>
        <v>28145.244538569641</v>
      </c>
      <c r="Q239" s="25">
        <f t="array" aca="1" ref="Q239" ca="1">INDEX('Isaac 401k'!L:L,MATCH('Retirement Calculator'!A239,'Isaac 401k'!N:N,0),0)</f>
        <v>1419947.2651333376</v>
      </c>
      <c r="R239" s="25">
        <f t="array" aca="1" ref="R239" ca="1">INDEX('Lorri 401b'!L:L,MATCH('Retirement Calculator'!A239,'Lorri 401b'!N:N,0),0)</f>
        <v>3675060.0581243257</v>
      </c>
      <c r="S239" s="25">
        <f t="shared" ca="1" si="7"/>
        <v>5095007.3232576633</v>
      </c>
    </row>
    <row r="240" spans="1:19" ht="15.75" customHeight="1" x14ac:dyDescent="0.3">
      <c r="A240" s="37">
        <v>58257</v>
      </c>
      <c r="B240" s="409">
        <f t="shared" ref="B240:C240" si="236">($A240-B$9)/365.25</f>
        <v>77.620807665982198</v>
      </c>
      <c r="C240" s="409">
        <f t="shared" si="236"/>
        <v>73.010266940451743</v>
      </c>
      <c r="E240" s="25">
        <f>IF(C240&gt;$B$7,0,'Combined Retirement'!$D$13/12)</f>
        <v>0</v>
      </c>
      <c r="F240" s="25">
        <f>IF(H240=0,'Combined Retirement'!$D$32,0)+'Combined Retirement'!$B$24</f>
        <v>2870.372285649099</v>
      </c>
      <c r="G240" s="25">
        <f>'Combined Retirement'!$C$24</f>
        <v>3525.4531757812501</v>
      </c>
      <c r="H240" s="25">
        <f>IF(B240&lt;62,0,'Combined Retirement'!$I$14)</f>
        <v>2192</v>
      </c>
      <c r="I240" s="25">
        <f>IF(C240&lt;62,0,'Combined Retirement'!$I$13)</f>
        <v>2420</v>
      </c>
      <c r="J240" s="25">
        <f t="shared" si="3"/>
        <v>7863.2184191855868</v>
      </c>
      <c r="K240" s="25">
        <f t="shared" si="4"/>
        <v>20282.026119384056</v>
      </c>
      <c r="L240" s="25"/>
      <c r="N240" s="25">
        <f>'Combined Retirement'!$C$18/12</f>
        <v>39153.069999999992</v>
      </c>
      <c r="O240" s="25">
        <f t="shared" si="5"/>
        <v>11007.82546143035</v>
      </c>
      <c r="P240" s="25">
        <f t="shared" si="6"/>
        <v>28145.244538569641</v>
      </c>
      <c r="Q240" s="25">
        <f t="array" aca="1" ref="Q240" ca="1">INDEX('Isaac 401k'!L:L,MATCH('Retirement Calculator'!A240,'Isaac 401k'!N:N,0),0)</f>
        <v>1417967.7302421276</v>
      </c>
      <c r="R240" s="25">
        <f t="array" aca="1" ref="R240" ca="1">INDEX('Lorri 401b'!L:L,MATCH('Retirement Calculator'!A240,'Lorri 401b'!N:N,0),0)</f>
        <v>3670006.2738049622</v>
      </c>
      <c r="S240" s="25">
        <f t="shared" ca="1" si="7"/>
        <v>5087974.0040470902</v>
      </c>
    </row>
    <row r="241" spans="1:19" ht="15.75" customHeight="1" x14ac:dyDescent="0.3">
      <c r="A241" s="37">
        <v>58288</v>
      </c>
      <c r="B241" s="409">
        <f t="shared" ref="B241:C241" si="237">($A241-B$9)/365.25</f>
        <v>77.705681040383297</v>
      </c>
      <c r="C241" s="409">
        <f t="shared" si="237"/>
        <v>73.095140314852841</v>
      </c>
      <c r="E241" s="25">
        <f>IF(C241&gt;$B$7,0,'Combined Retirement'!$D$13/12)</f>
        <v>0</v>
      </c>
      <c r="F241" s="25">
        <f>IF(H241=0,'Combined Retirement'!$D$32,0)+'Combined Retirement'!$B$24</f>
        <v>2870.372285649099</v>
      </c>
      <c r="G241" s="25">
        <f>'Combined Retirement'!$C$24</f>
        <v>3525.4531757812501</v>
      </c>
      <c r="H241" s="25">
        <f>IF(B241&lt;62,0,'Combined Retirement'!$I$14)</f>
        <v>2192</v>
      </c>
      <c r="I241" s="25">
        <f>IF(C241&lt;62,0,'Combined Retirement'!$I$13)</f>
        <v>2420</v>
      </c>
      <c r="J241" s="25">
        <f t="shared" si="3"/>
        <v>7863.2184191855868</v>
      </c>
      <c r="K241" s="25">
        <f t="shared" si="4"/>
        <v>20282.026119384056</v>
      </c>
      <c r="L241" s="25"/>
      <c r="N241" s="25">
        <f>'Combined Retirement'!$C$18/12</f>
        <v>39153.069999999992</v>
      </c>
      <c r="O241" s="25">
        <f t="shared" si="5"/>
        <v>11007.82546143035</v>
      </c>
      <c r="P241" s="25">
        <f t="shared" si="6"/>
        <v>28145.244538569641</v>
      </c>
      <c r="Q241" s="25">
        <f t="array" aca="1" ref="Q241" ca="1">INDEX('Isaac 401k'!L:L,MATCH('Retirement Calculator'!A241,'Isaac 401k'!N:N,0),0)</f>
        <v>1415979.9472888708</v>
      </c>
      <c r="R241" s="25">
        <f t="array" aca="1" ref="R241" ca="1">INDEX('Lorri 401b'!L:L,MATCH('Retirement Calculator'!A241,'Lorri 401b'!N:N,0),0)</f>
        <v>3664931.432050935</v>
      </c>
      <c r="S241" s="25">
        <f t="shared" ca="1" si="7"/>
        <v>5080911.3793398058</v>
      </c>
    </row>
    <row r="242" spans="1:19" ht="15.75" customHeight="1" x14ac:dyDescent="0.3">
      <c r="A242" s="37">
        <v>58319</v>
      </c>
      <c r="B242" s="409">
        <f t="shared" ref="B242:C242" si="238">($A242-B$9)/365.25</f>
        <v>77.790554414784395</v>
      </c>
      <c r="C242" s="409">
        <f t="shared" si="238"/>
        <v>73.18001368925394</v>
      </c>
      <c r="E242" s="25">
        <f>IF(C242&gt;$B$7,0,'Combined Retirement'!$D$13/12)</f>
        <v>0</v>
      </c>
      <c r="F242" s="25">
        <f>IF(H242=0,'Combined Retirement'!$D$32,0)+'Combined Retirement'!$B$24</f>
        <v>2870.372285649099</v>
      </c>
      <c r="G242" s="25">
        <f>'Combined Retirement'!$C$24</f>
        <v>3525.4531757812501</v>
      </c>
      <c r="H242" s="25">
        <f>IF(B242&lt;62,0,'Combined Retirement'!$I$14)</f>
        <v>2192</v>
      </c>
      <c r="I242" s="25">
        <f>IF(C242&lt;62,0,'Combined Retirement'!$I$13)</f>
        <v>2420</v>
      </c>
      <c r="J242" s="25">
        <f t="shared" si="3"/>
        <v>7863.2184191855868</v>
      </c>
      <c r="K242" s="25">
        <f t="shared" si="4"/>
        <v>20282.026119384056</v>
      </c>
      <c r="L242" s="25"/>
      <c r="N242" s="25">
        <f>'Combined Retirement'!$C$18/12</f>
        <v>39153.069999999992</v>
      </c>
      <c r="O242" s="25">
        <f t="shared" si="5"/>
        <v>11007.82546143035</v>
      </c>
      <c r="P242" s="25">
        <f t="shared" si="6"/>
        <v>28145.244538569641</v>
      </c>
      <c r="Q242" s="25">
        <f t="array" aca="1" ref="Q242" ca="1">INDEX('Isaac 401k'!L:L,MATCH('Retirement Calculator'!A242,'Isaac 401k'!N:N,0),0)</f>
        <v>1413983.8819066421</v>
      </c>
      <c r="R242" s="25">
        <f t="array" aca="1" ref="R242" ca="1">INDEX('Lorri 401b'!L:L,MATCH('Retirement Calculator'!A242,'Lorri 401b'!N:N,0),0)</f>
        <v>3659835.4451229325</v>
      </c>
      <c r="S242" s="25">
        <f t="shared" ca="1" si="7"/>
        <v>5073819.3270295747</v>
      </c>
    </row>
    <row r="243" spans="1:19" ht="15.75" customHeight="1" x14ac:dyDescent="0.3">
      <c r="A243" s="37">
        <v>58349</v>
      </c>
      <c r="B243" s="409">
        <f t="shared" ref="B243:C243" si="239">($A243-B$9)/365.25</f>
        <v>77.872689938398352</v>
      </c>
      <c r="C243" s="409">
        <f t="shared" si="239"/>
        <v>73.262149212867897</v>
      </c>
      <c r="E243" s="25">
        <f>IF(C243&gt;$B$7,0,'Combined Retirement'!$D$13/12)</f>
        <v>0</v>
      </c>
      <c r="F243" s="25">
        <f>IF(H243=0,'Combined Retirement'!$D$32,0)+'Combined Retirement'!$B$24</f>
        <v>2870.372285649099</v>
      </c>
      <c r="G243" s="25">
        <f>'Combined Retirement'!$C$24</f>
        <v>3525.4531757812501</v>
      </c>
      <c r="H243" s="25">
        <f>IF(B243&lt;62,0,'Combined Retirement'!$I$14)</f>
        <v>2192</v>
      </c>
      <c r="I243" s="25">
        <f>IF(C243&lt;62,0,'Combined Retirement'!$I$13)</f>
        <v>2420</v>
      </c>
      <c r="J243" s="25">
        <f t="shared" si="3"/>
        <v>7863.2184191855868</v>
      </c>
      <c r="K243" s="25">
        <f t="shared" si="4"/>
        <v>20282.026119384056</v>
      </c>
      <c r="L243" s="25"/>
      <c r="N243" s="25">
        <f>'Combined Retirement'!$C$18/12</f>
        <v>39153.069999999992</v>
      </c>
      <c r="O243" s="25">
        <f t="shared" si="5"/>
        <v>11007.82546143035</v>
      </c>
      <c r="P243" s="25">
        <f t="shared" si="6"/>
        <v>28145.244538569641</v>
      </c>
      <c r="Q243" s="25">
        <f t="array" aca="1" ref="Q243" ca="1">INDEX('Isaac 401k'!L:L,MATCH('Retirement Calculator'!A243,'Isaac 401k'!N:N,0),0)</f>
        <v>1411979.4995853209</v>
      </c>
      <c r="R243" s="25">
        <f t="array" aca="1" ref="R243" ca="1">INDEX('Lorri 401b'!L:L,MATCH('Retirement Calculator'!A243,'Lorri 401b'!N:N,0),0)</f>
        <v>3654718.2249160632</v>
      </c>
      <c r="S243" s="25">
        <f t="shared" ca="1" si="7"/>
        <v>5066697.7245013844</v>
      </c>
    </row>
    <row r="244" spans="1:19" ht="15.75" customHeight="1" x14ac:dyDescent="0.3">
      <c r="A244" s="37">
        <v>58380</v>
      </c>
      <c r="B244" s="409">
        <f t="shared" ref="B244:C244" si="240">($A244-B$9)/365.25</f>
        <v>77.957563312799451</v>
      </c>
      <c r="C244" s="409">
        <f t="shared" si="240"/>
        <v>73.347022587268995</v>
      </c>
      <c r="E244" s="25">
        <f>IF(C244&gt;$B$7,0,'Combined Retirement'!$D$13/12)</f>
        <v>0</v>
      </c>
      <c r="F244" s="25">
        <f>IF(H244=0,'Combined Retirement'!$D$32,0)+'Combined Retirement'!$B$24</f>
        <v>2870.372285649099</v>
      </c>
      <c r="G244" s="25">
        <f>'Combined Retirement'!$C$24</f>
        <v>3525.4531757812501</v>
      </c>
      <c r="H244" s="25">
        <f>IF(B244&lt;62,0,'Combined Retirement'!$I$14)</f>
        <v>2192</v>
      </c>
      <c r="I244" s="25">
        <f>IF(C244&lt;62,0,'Combined Retirement'!$I$13)</f>
        <v>2420</v>
      </c>
      <c r="J244" s="25">
        <f t="shared" si="3"/>
        <v>7863.2184191855868</v>
      </c>
      <c r="K244" s="25">
        <f t="shared" si="4"/>
        <v>20282.026119384056</v>
      </c>
      <c r="L244" s="25"/>
      <c r="N244" s="25">
        <f>'Combined Retirement'!$C$18/12</f>
        <v>39153.069999999992</v>
      </c>
      <c r="O244" s="25">
        <f t="shared" si="5"/>
        <v>11007.82546143035</v>
      </c>
      <c r="P244" s="25">
        <f t="shared" si="6"/>
        <v>28145.244538569641</v>
      </c>
      <c r="Q244" s="25">
        <f t="array" aca="1" ref="Q244" ca="1">INDEX('Isaac 401k'!L:L,MATCH('Retirement Calculator'!A244,'Isaac 401k'!N:N,0),0)</f>
        <v>1409966.7656709943</v>
      </c>
      <c r="R244" s="25">
        <f t="array" aca="1" ref="R244" ca="1">INDEX('Lorri 401b'!L:L,MATCH('Retirement Calculator'!A244,'Lorri 401b'!N:N,0),0)</f>
        <v>3649579.6829583319</v>
      </c>
      <c r="S244" s="25">
        <f t="shared" ca="1" si="7"/>
        <v>5059546.4486293262</v>
      </c>
    </row>
    <row r="245" spans="1:19" ht="15.75" customHeight="1" x14ac:dyDescent="0.3">
      <c r="A245" s="37">
        <v>58410</v>
      </c>
      <c r="B245" s="409">
        <f t="shared" ref="B245:C245" si="241">($A245-B$9)/365.25</f>
        <v>78.039698836413422</v>
      </c>
      <c r="C245" s="409">
        <f t="shared" si="241"/>
        <v>73.429158110882952</v>
      </c>
      <c r="E245" s="25">
        <f>IF(C245&gt;$B$7,0,'Combined Retirement'!$D$13/12)</f>
        <v>0</v>
      </c>
      <c r="F245" s="25">
        <f>IF(H245=0,'Combined Retirement'!$D$32,0)+'Combined Retirement'!$B$24</f>
        <v>2870.372285649099</v>
      </c>
      <c r="G245" s="25">
        <f>'Combined Retirement'!$C$24</f>
        <v>3525.4531757812501</v>
      </c>
      <c r="H245" s="25">
        <f>IF(B245&lt;62,0,'Combined Retirement'!$I$14)</f>
        <v>2192</v>
      </c>
      <c r="I245" s="25">
        <f>IF(C245&lt;62,0,'Combined Retirement'!$I$13)</f>
        <v>2420</v>
      </c>
      <c r="J245" s="25">
        <f t="shared" si="3"/>
        <v>7863.2184191855868</v>
      </c>
      <c r="K245" s="25">
        <f t="shared" si="4"/>
        <v>20282.026119384056</v>
      </c>
      <c r="L245" s="25"/>
      <c r="N245" s="25">
        <f>'Combined Retirement'!$C$18/12</f>
        <v>39153.069999999992</v>
      </c>
      <c r="O245" s="25">
        <f t="shared" si="5"/>
        <v>11007.82546143035</v>
      </c>
      <c r="P245" s="25">
        <f t="shared" si="6"/>
        <v>28145.244538569641</v>
      </c>
      <c r="Q245" s="25">
        <f t="array" aca="1" ref="Q245" ca="1">INDEX('Isaac 401k'!L:L,MATCH('Retirement Calculator'!A245,'Isaac 401k'!N:N,0),0)</f>
        <v>1407945.6453653579</v>
      </c>
      <c r="R245" s="25">
        <f t="array" aca="1" ref="R245" ca="1">INDEX('Lorri 401b'!L:L,MATCH('Retirement Calculator'!A245,'Lorri 401b'!N:N,0),0)</f>
        <v>3644419.73040911</v>
      </c>
      <c r="S245" s="25">
        <f t="shared" ca="1" si="7"/>
        <v>5052365.3757744674</v>
      </c>
    </row>
    <row r="246" spans="1:19" ht="15.75" customHeight="1" x14ac:dyDescent="0.3">
      <c r="A246" s="37">
        <v>58441</v>
      </c>
      <c r="B246" s="409">
        <f t="shared" ref="B246:C246" si="242">($A246-B$9)/365.25</f>
        <v>78.124572210814506</v>
      </c>
      <c r="C246" s="409">
        <f t="shared" si="242"/>
        <v>73.51403148528405</v>
      </c>
      <c r="E246" s="25">
        <f>IF(C246&gt;$B$7,0,'Combined Retirement'!$D$13/12)</f>
        <v>0</v>
      </c>
      <c r="F246" s="25">
        <f>IF(H246=0,'Combined Retirement'!$D$32,0)+'Combined Retirement'!$B$24</f>
        <v>2870.372285649099</v>
      </c>
      <c r="G246" s="25">
        <f>'Combined Retirement'!$C$24</f>
        <v>3525.4531757812501</v>
      </c>
      <c r="H246" s="25">
        <f>IF(B246&lt;62,0,'Combined Retirement'!$I$14)</f>
        <v>2192</v>
      </c>
      <c r="I246" s="25">
        <f>IF(C246&lt;62,0,'Combined Retirement'!$I$13)</f>
        <v>2420</v>
      </c>
      <c r="J246" s="25">
        <f t="shared" si="3"/>
        <v>7863.2184191855868</v>
      </c>
      <c r="K246" s="25">
        <f t="shared" si="4"/>
        <v>20282.026119384056</v>
      </c>
      <c r="L246" s="25"/>
      <c r="N246" s="25">
        <f>'Combined Retirement'!$C$18/12</f>
        <v>39153.069999999992</v>
      </c>
      <c r="O246" s="25">
        <f t="shared" si="5"/>
        <v>11007.82546143035</v>
      </c>
      <c r="P246" s="25">
        <f t="shared" si="6"/>
        <v>28145.244538569641</v>
      </c>
      <c r="Q246" s="25">
        <f t="array" aca="1" ref="Q246" ca="1">INDEX('Isaac 401k'!L:L,MATCH('Retirement Calculator'!A246,'Isaac 401k'!N:N,0),0)</f>
        <v>1405916.1037251146</v>
      </c>
      <c r="R246" s="25">
        <f t="array" aca="1" ref="R246" ca="1">INDEX('Lorri 401b'!L:L,MATCH('Retirement Calculator'!A246,'Lorri 401b'!N:N,0),0)</f>
        <v>3639238.2780575999</v>
      </c>
      <c r="S246" s="25">
        <f t="shared" ca="1" si="7"/>
        <v>5045154.3817827143</v>
      </c>
    </row>
    <row r="247" spans="1:19" ht="15.75" customHeight="1" x14ac:dyDescent="0.3">
      <c r="A247" s="37">
        <v>58472</v>
      </c>
      <c r="B247" s="409">
        <f t="shared" ref="B247:C247" si="243">($A247-B$9)/365.25</f>
        <v>78.209445585215605</v>
      </c>
      <c r="C247" s="409">
        <f t="shared" si="243"/>
        <v>73.598904859685149</v>
      </c>
      <c r="E247" s="25">
        <f>IF(C247&gt;$B$7,0,'Combined Retirement'!$D$13/12)</f>
        <v>0</v>
      </c>
      <c r="F247" s="25">
        <f>IF(H247=0,'Combined Retirement'!$D$32,0)+'Combined Retirement'!$B$24</f>
        <v>2870.372285649099</v>
      </c>
      <c r="G247" s="25">
        <f>'Combined Retirement'!$C$24</f>
        <v>3525.4531757812501</v>
      </c>
      <c r="H247" s="25">
        <f>IF(B247&lt;62,0,'Combined Retirement'!$I$14)</f>
        <v>2192</v>
      </c>
      <c r="I247" s="25">
        <f>IF(C247&lt;62,0,'Combined Retirement'!$I$13)</f>
        <v>2420</v>
      </c>
      <c r="J247" s="25">
        <f t="shared" si="3"/>
        <v>7863.2184191855868</v>
      </c>
      <c r="K247" s="25">
        <f t="shared" si="4"/>
        <v>20282.026119384056</v>
      </c>
      <c r="L247" s="25"/>
      <c r="N247" s="25">
        <f>'Combined Retirement'!$C$18/12</f>
        <v>39153.069999999992</v>
      </c>
      <c r="O247" s="25">
        <f t="shared" si="5"/>
        <v>11007.82546143035</v>
      </c>
      <c r="P247" s="25">
        <f t="shared" si="6"/>
        <v>28145.244538569641</v>
      </c>
      <c r="Q247" s="25">
        <f t="array" aca="1" ref="Q247" ca="1">INDEX('Isaac 401k'!L:L,MATCH('Retirement Calculator'!A247,'Isaac 401k'!N:N,0),0)</f>
        <v>1403878.1056613703</v>
      </c>
      <c r="R247" s="25">
        <f t="array" aca="1" ref="R247" ca="1">INDEX('Lorri 401b'!L:L,MATCH('Retirement Calculator'!A247,'Lorri 401b'!N:N,0),0)</f>
        <v>3634035.2363212919</v>
      </c>
      <c r="S247" s="25">
        <f t="shared" ca="1" si="7"/>
        <v>5037913.3419826627</v>
      </c>
    </row>
    <row r="248" spans="1:19" ht="15.75" customHeight="1" x14ac:dyDescent="0.3">
      <c r="A248" s="37">
        <v>58501</v>
      </c>
      <c r="B248" s="409">
        <f t="shared" ref="B248:C248" si="244">($A248-B$9)/365.25</f>
        <v>78.288843258042434</v>
      </c>
      <c r="C248" s="409">
        <f t="shared" si="244"/>
        <v>73.678302532511978</v>
      </c>
      <c r="E248" s="25">
        <f>IF(C248&gt;$B$7,0,'Combined Retirement'!$D$13/12)</f>
        <v>0</v>
      </c>
      <c r="F248" s="25">
        <f>IF(H248=0,'Combined Retirement'!$D$32,0)+'Combined Retirement'!$B$24</f>
        <v>2870.372285649099</v>
      </c>
      <c r="G248" s="25">
        <f>'Combined Retirement'!$C$24</f>
        <v>3525.4531757812501</v>
      </c>
      <c r="H248" s="25">
        <f>IF(B248&lt;62,0,'Combined Retirement'!$I$14)</f>
        <v>2192</v>
      </c>
      <c r="I248" s="25">
        <f>IF(C248&lt;62,0,'Combined Retirement'!$I$13)</f>
        <v>2420</v>
      </c>
      <c r="J248" s="25">
        <f t="shared" si="3"/>
        <v>7863.2184191855868</v>
      </c>
      <c r="K248" s="25">
        <f t="shared" si="4"/>
        <v>20282.026119384056</v>
      </c>
      <c r="L248" s="25"/>
      <c r="N248" s="25">
        <f>'Combined Retirement'!$C$18/12</f>
        <v>39153.069999999992</v>
      </c>
      <c r="O248" s="25">
        <f t="shared" si="5"/>
        <v>11007.82546143035</v>
      </c>
      <c r="P248" s="25">
        <f t="shared" si="6"/>
        <v>28145.244538569641</v>
      </c>
      <c r="Q248" s="25">
        <f t="array" aca="1" ref="Q248" ca="1">INDEX('Isaac 401k'!L:L,MATCH('Retirement Calculator'!A248,'Isaac 401k'!N:N,0),0)</f>
        <v>1401831.6159390272</v>
      </c>
      <c r="R248" s="25">
        <f t="array" aca="1" ref="R248" ca="1">INDEX('Lorri 401b'!L:L,MATCH('Retirement Calculator'!A248,'Lorri 401b'!N:N,0),0)</f>
        <v>3628810.515244416</v>
      </c>
      <c r="S248" s="25">
        <f t="shared" ca="1" si="7"/>
        <v>5030642.1311834436</v>
      </c>
    </row>
    <row r="249" spans="1:19" ht="15.75" customHeight="1" x14ac:dyDescent="0.3">
      <c r="A249" s="37">
        <v>58532</v>
      </c>
      <c r="B249" s="409">
        <f t="shared" ref="B249:C249" si="245">($A249-B$9)/365.25</f>
        <v>78.373716632443532</v>
      </c>
      <c r="C249" s="409">
        <f t="shared" si="245"/>
        <v>73.763175906913077</v>
      </c>
      <c r="E249" s="25">
        <f>IF(C249&gt;$B$7,0,'Combined Retirement'!$D$13/12)</f>
        <v>0</v>
      </c>
      <c r="F249" s="25">
        <f>IF(H249=0,'Combined Retirement'!$D$32,0)+'Combined Retirement'!$B$24</f>
        <v>2870.372285649099</v>
      </c>
      <c r="G249" s="25">
        <f>'Combined Retirement'!$C$24</f>
        <v>3525.4531757812501</v>
      </c>
      <c r="H249" s="25">
        <f>IF(B249&lt;62,0,'Combined Retirement'!$I$14)</f>
        <v>2192</v>
      </c>
      <c r="I249" s="25">
        <f>IF(C249&lt;62,0,'Combined Retirement'!$I$13)</f>
        <v>2420</v>
      </c>
      <c r="J249" s="25">
        <f t="shared" si="3"/>
        <v>7863.2184191855868</v>
      </c>
      <c r="K249" s="25">
        <f t="shared" si="4"/>
        <v>20282.026119384056</v>
      </c>
      <c r="L249" s="25"/>
      <c r="N249" s="25">
        <f>'Combined Retirement'!$C$18/12</f>
        <v>39153.069999999992</v>
      </c>
      <c r="O249" s="25">
        <f t="shared" si="5"/>
        <v>11007.82546143035</v>
      </c>
      <c r="P249" s="25">
        <f t="shared" si="6"/>
        <v>28145.244538569641</v>
      </c>
      <c r="Q249" s="25">
        <f t="array" aca="1" ref="Q249" ca="1">INDEX('Isaac 401k'!L:L,MATCH('Retirement Calculator'!A249,'Isaac 401k'!N:N,0),0)</f>
        <v>1399776.5991761743</v>
      </c>
      <c r="R249" s="25">
        <f t="array" aca="1" ref="R249" ca="1">INDEX('Lorri 401b'!L:L,MATCH('Retirement Calculator'!A249,'Lorri 401b'!N:N,0),0)</f>
        <v>3623564.0244963863</v>
      </c>
      <c r="S249" s="25">
        <f t="shared" ca="1" si="7"/>
        <v>5023340.6236725608</v>
      </c>
    </row>
    <row r="250" spans="1:19" ht="15.75" customHeight="1" x14ac:dyDescent="0.3">
      <c r="A250" s="37">
        <v>58562</v>
      </c>
      <c r="B250" s="409">
        <f t="shared" ref="B250:C250" si="246">($A250-B$9)/365.25</f>
        <v>78.455852156057489</v>
      </c>
      <c r="C250" s="409">
        <f t="shared" si="246"/>
        <v>73.845311430527033</v>
      </c>
      <c r="E250" s="25">
        <f>IF(C250&gt;$B$7,0,'Combined Retirement'!$D$13/12)</f>
        <v>0</v>
      </c>
      <c r="F250" s="25">
        <f>IF(H250=0,'Combined Retirement'!$D$32,0)+'Combined Retirement'!$B$24</f>
        <v>2870.372285649099</v>
      </c>
      <c r="G250" s="25">
        <f>'Combined Retirement'!$C$24</f>
        <v>3525.4531757812501</v>
      </c>
      <c r="H250" s="25">
        <f>IF(B250&lt;62,0,'Combined Retirement'!$I$14)</f>
        <v>2192</v>
      </c>
      <c r="I250" s="25">
        <f>IF(C250&lt;62,0,'Combined Retirement'!$I$13)</f>
        <v>2420</v>
      </c>
      <c r="J250" s="25">
        <f t="shared" si="3"/>
        <v>7863.2184191855868</v>
      </c>
      <c r="K250" s="25">
        <f t="shared" si="4"/>
        <v>20282.026119384056</v>
      </c>
      <c r="L250" s="25"/>
      <c r="N250" s="25">
        <f>'Combined Retirement'!$C$18/12</f>
        <v>39153.069999999992</v>
      </c>
      <c r="O250" s="25">
        <f t="shared" si="5"/>
        <v>11007.82546143035</v>
      </c>
      <c r="P250" s="25">
        <f t="shared" si="6"/>
        <v>28145.244538569641</v>
      </c>
      <c r="Q250" s="25">
        <f t="array" aca="1" ref="Q250" ca="1">INDEX('Isaac 401k'!L:L,MATCH('Retirement Calculator'!A250,'Isaac 401k'!N:N,0),0)</f>
        <v>1397713.0198434761</v>
      </c>
      <c r="R250" s="25">
        <f t="array" aca="1" ref="R250" ca="1">INDEX('Lorri 401b'!L:L,MATCH('Retirement Calculator'!A250,'Lorri 401b'!N:N,0),0)</f>
        <v>3618295.6733702398</v>
      </c>
      <c r="S250" s="25">
        <f t="shared" ca="1" si="7"/>
        <v>5016008.6932137161</v>
      </c>
    </row>
    <row r="251" spans="1:19" ht="15.75" customHeight="1" x14ac:dyDescent="0.3">
      <c r="A251" s="37">
        <v>58593</v>
      </c>
      <c r="B251" s="409">
        <f t="shared" ref="B251:C251" si="247">($A251-B$9)/365.25</f>
        <v>78.540725530458587</v>
      </c>
      <c r="C251" s="409">
        <f t="shared" si="247"/>
        <v>73.930184804928132</v>
      </c>
      <c r="E251" s="25">
        <f>IF(C251&gt;$B$7,0,'Combined Retirement'!$D$13/12)</f>
        <v>0</v>
      </c>
      <c r="F251" s="25">
        <f>IF(H251=0,'Combined Retirement'!$D$32,0)+'Combined Retirement'!$B$24</f>
        <v>2870.372285649099</v>
      </c>
      <c r="G251" s="25">
        <f>'Combined Retirement'!$C$24</f>
        <v>3525.4531757812501</v>
      </c>
      <c r="H251" s="25">
        <f>IF(B251&lt;62,0,'Combined Retirement'!$I$14)</f>
        <v>2192</v>
      </c>
      <c r="I251" s="25">
        <f>IF(C251&lt;62,0,'Combined Retirement'!$I$13)</f>
        <v>2420</v>
      </c>
      <c r="J251" s="25">
        <f t="shared" si="3"/>
        <v>7863.2184191855868</v>
      </c>
      <c r="K251" s="25">
        <f t="shared" si="4"/>
        <v>20282.026119384056</v>
      </c>
      <c r="L251" s="25"/>
      <c r="N251" s="25">
        <f>'Combined Retirement'!$C$18/12</f>
        <v>39153.069999999992</v>
      </c>
      <c r="O251" s="25">
        <f t="shared" si="5"/>
        <v>11007.82546143035</v>
      </c>
      <c r="P251" s="25">
        <f t="shared" si="6"/>
        <v>28145.244538569641</v>
      </c>
      <c r="Q251" s="25">
        <f t="array" aca="1" ref="Q251" ca="1">INDEX('Isaac 401k'!L:L,MATCH('Retirement Calculator'!A251,'Isaac 401k'!N:N,0),0)</f>
        <v>1395640.8422635584</v>
      </c>
      <c r="R251" s="25">
        <f t="array" aca="1" ref="R251" ca="1">INDEX('Lorri 401b'!L:L,MATCH('Retirement Calculator'!A251,'Lorri 401b'!N:N,0),0)</f>
        <v>3613005.3707810678</v>
      </c>
      <c r="S251" s="25">
        <f t="shared" ca="1" si="7"/>
        <v>5008646.2130446266</v>
      </c>
    </row>
    <row r="252" spans="1:19" ht="15.75" customHeight="1" x14ac:dyDescent="0.3">
      <c r="A252" s="37">
        <v>58623</v>
      </c>
      <c r="B252" s="409">
        <f t="shared" ref="B252:C252" si="248">($A252-B$9)/365.25</f>
        <v>78.622861054072558</v>
      </c>
      <c r="C252" s="409">
        <f t="shared" si="248"/>
        <v>74.012320328542089</v>
      </c>
      <c r="E252" s="25">
        <f>IF(C252&gt;$B$7,0,'Combined Retirement'!$D$13/12)</f>
        <v>0</v>
      </c>
      <c r="F252" s="25">
        <f>IF(H252=0,'Combined Retirement'!$D$32,0)+'Combined Retirement'!$B$24</f>
        <v>2870.372285649099</v>
      </c>
      <c r="G252" s="25">
        <f>'Combined Retirement'!$C$24</f>
        <v>3525.4531757812501</v>
      </c>
      <c r="H252" s="25">
        <f>IF(B252&lt;62,0,'Combined Retirement'!$I$14)</f>
        <v>2192</v>
      </c>
      <c r="I252" s="25">
        <f>IF(C252&lt;62,0,'Combined Retirement'!$I$13)</f>
        <v>2420</v>
      </c>
      <c r="J252" s="25">
        <f t="shared" si="3"/>
        <v>7863.2184191855868</v>
      </c>
      <c r="K252" s="25">
        <f t="shared" si="4"/>
        <v>20282.026119384056</v>
      </c>
      <c r="L252" s="25"/>
      <c r="N252" s="25">
        <f>'Combined Retirement'!$C$18/12</f>
        <v>39153.069999999992</v>
      </c>
      <c r="O252" s="25">
        <f t="shared" si="5"/>
        <v>11007.82546143035</v>
      </c>
      <c r="P252" s="25">
        <f t="shared" si="6"/>
        <v>28145.244538569641</v>
      </c>
      <c r="Q252" s="25">
        <f t="array" aca="1" ref="Q252" ca="1">INDEX('Isaac 401k'!L:L,MATCH('Retirement Calculator'!A252,'Isaac 401k'!N:N,0),0)</f>
        <v>1393560.0306103909</v>
      </c>
      <c r="R252" s="25">
        <f t="array" aca="1" ref="R252" ca="1">INDEX('Lorri 401b'!L:L,MATCH('Retirement Calculator'!A252,'Lorri 401b'!N:N,0),0)</f>
        <v>3607693.0252644406</v>
      </c>
      <c r="S252" s="25">
        <f t="shared" ca="1" si="7"/>
        <v>5001253.055874832</v>
      </c>
    </row>
    <row r="253" spans="1:19" ht="15.75" customHeight="1" x14ac:dyDescent="0.3">
      <c r="A253" s="37">
        <v>58654</v>
      </c>
      <c r="B253" s="409">
        <f t="shared" ref="B253:C253" si="249">($A253-B$9)/365.25</f>
        <v>78.707734428473643</v>
      </c>
      <c r="C253" s="409">
        <f t="shared" si="249"/>
        <v>74.097193702943187</v>
      </c>
      <c r="E253" s="25">
        <f>IF(C253&gt;$B$7,0,'Combined Retirement'!$D$13/12)</f>
        <v>0</v>
      </c>
      <c r="F253" s="25">
        <f>IF(H253=0,'Combined Retirement'!$D$32,0)+'Combined Retirement'!$B$24</f>
        <v>2870.372285649099</v>
      </c>
      <c r="G253" s="25">
        <f>'Combined Retirement'!$C$24</f>
        <v>3525.4531757812501</v>
      </c>
      <c r="H253" s="25">
        <f>IF(B253&lt;62,0,'Combined Retirement'!$I$14)</f>
        <v>2192</v>
      </c>
      <c r="I253" s="25">
        <f>IF(C253&lt;62,0,'Combined Retirement'!$I$13)</f>
        <v>2420</v>
      </c>
      <c r="J253" s="25">
        <f t="shared" si="3"/>
        <v>7863.2184191855868</v>
      </c>
      <c r="K253" s="25">
        <f t="shared" si="4"/>
        <v>20282.026119384056</v>
      </c>
      <c r="L253" s="25"/>
      <c r="N253" s="25">
        <f>'Combined Retirement'!$C$18/12</f>
        <v>39153.069999999992</v>
      </c>
      <c r="O253" s="25">
        <f t="shared" si="5"/>
        <v>11007.82546143035</v>
      </c>
      <c r="P253" s="25">
        <f t="shared" si="6"/>
        <v>28145.244538569641</v>
      </c>
      <c r="Q253" s="25">
        <f t="array" aca="1" ref="Q253" ca="1">INDEX('Isaac 401k'!L:L,MATCH('Retirement Calculator'!A253,'Isaac 401k'!N:N,0),0)</f>
        <v>1391470.5489086688</v>
      </c>
      <c r="R253" s="25">
        <f t="array" aca="1" ref="R253" ca="1">INDEX('Lorri 401b'!L:L,MATCH('Retirement Calculator'!A253,'Lorri 401b'!N:N,0),0)</f>
        <v>3602358.5449748277</v>
      </c>
      <c r="S253" s="25">
        <f t="shared" ca="1" si="7"/>
        <v>4993829.0938834967</v>
      </c>
    </row>
    <row r="254" spans="1:19" ht="15.75" customHeight="1" x14ac:dyDescent="0.3">
      <c r="A254" s="37">
        <v>58685</v>
      </c>
      <c r="B254" s="409">
        <f t="shared" ref="B254:C254" si="250">($A254-B$9)/365.25</f>
        <v>78.792607802874741</v>
      </c>
      <c r="C254" s="409">
        <f t="shared" si="250"/>
        <v>74.182067077344286</v>
      </c>
      <c r="E254" s="25">
        <f>IF(C254&gt;$B$7,0,'Combined Retirement'!$D$13/12)</f>
        <v>0</v>
      </c>
      <c r="F254" s="25">
        <f>IF(H254=0,'Combined Retirement'!$D$32,0)+'Combined Retirement'!$B$24</f>
        <v>2870.372285649099</v>
      </c>
      <c r="G254" s="25">
        <f>'Combined Retirement'!$C$24</f>
        <v>3525.4531757812501</v>
      </c>
      <c r="H254" s="25">
        <f>IF(B254&lt;62,0,'Combined Retirement'!$I$14)</f>
        <v>2192</v>
      </c>
      <c r="I254" s="25">
        <f>IF(C254&lt;62,0,'Combined Retirement'!$I$13)</f>
        <v>2420</v>
      </c>
      <c r="J254" s="25">
        <f t="shared" si="3"/>
        <v>7863.2184191855868</v>
      </c>
      <c r="K254" s="25">
        <f t="shared" si="4"/>
        <v>20282.026119384056</v>
      </c>
      <c r="L254" s="25"/>
      <c r="N254" s="25">
        <f>'Combined Retirement'!$C$18/12</f>
        <v>39153.069999999992</v>
      </c>
      <c r="O254" s="25">
        <f t="shared" si="5"/>
        <v>11007.82546143035</v>
      </c>
      <c r="P254" s="25">
        <f t="shared" si="6"/>
        <v>28145.244538569641</v>
      </c>
      <c r="Q254" s="25">
        <f t="array" aca="1" ref="Q254" ca="1">INDEX('Isaac 401k'!L:L,MATCH('Retirement Calculator'!A254,'Isaac 401k'!N:N,0),0)</f>
        <v>1389372.3610331893</v>
      </c>
      <c r="R254" s="25">
        <f t="array" aca="1" ref="R254" ca="1">INDEX('Lorri 401b'!L:L,MATCH('Retirement Calculator'!A254,'Lorri 401b'!N:N,0),0)</f>
        <v>3597001.8376840078</v>
      </c>
      <c r="S254" s="25">
        <f t="shared" ca="1" si="7"/>
        <v>4986374.1987171974</v>
      </c>
    </row>
    <row r="255" spans="1:19" ht="15.75" customHeight="1" x14ac:dyDescent="0.3">
      <c r="A255" s="37">
        <v>58715</v>
      </c>
      <c r="B255" s="409">
        <f t="shared" ref="B255:C255" si="251">($A255-B$9)/365.25</f>
        <v>78.874743326488712</v>
      </c>
      <c r="C255" s="409">
        <f t="shared" si="251"/>
        <v>74.264202600958242</v>
      </c>
      <c r="E255" s="25">
        <f>IF(C255&gt;$B$7,0,'Combined Retirement'!$D$13/12)</f>
        <v>0</v>
      </c>
      <c r="F255" s="25">
        <f>IF(H255=0,'Combined Retirement'!$D$32,0)+'Combined Retirement'!$B$24</f>
        <v>2870.372285649099</v>
      </c>
      <c r="G255" s="25">
        <f>'Combined Retirement'!$C$24</f>
        <v>3525.4531757812501</v>
      </c>
      <c r="H255" s="25">
        <f>IF(B255&lt;62,0,'Combined Retirement'!$I$14)</f>
        <v>2192</v>
      </c>
      <c r="I255" s="25">
        <f>IF(C255&lt;62,0,'Combined Retirement'!$I$13)</f>
        <v>2420</v>
      </c>
      <c r="J255" s="25">
        <f t="shared" si="3"/>
        <v>7863.2184191855868</v>
      </c>
      <c r="K255" s="25">
        <f t="shared" si="4"/>
        <v>20282.026119384056</v>
      </c>
      <c r="L255" s="25"/>
      <c r="N255" s="25">
        <f>'Combined Retirement'!$C$18/12</f>
        <v>39153.069999999992</v>
      </c>
      <c r="O255" s="25">
        <f t="shared" si="5"/>
        <v>11007.82546143035</v>
      </c>
      <c r="P255" s="25">
        <f t="shared" si="6"/>
        <v>28145.244538569641</v>
      </c>
      <c r="Q255" s="25">
        <f t="array" aca="1" ref="Q255" ca="1">INDEX('Isaac 401k'!L:L,MATCH('Retirement Calculator'!A255,'Isaac 401k'!N:N,0),0)</f>
        <v>1387265.4307082288</v>
      </c>
      <c r="R255" s="25">
        <f t="array" aca="1" ref="R255" ca="1">INDEX('Lorri 401b'!L:L,MATCH('Retirement Calculator'!A255,'Lorri 401b'!N:N,0),0)</f>
        <v>3591622.8107794765</v>
      </c>
      <c r="S255" s="25">
        <f t="shared" ca="1" si="7"/>
        <v>4978888.2414877051</v>
      </c>
    </row>
    <row r="256" spans="1:19" ht="15.75" customHeight="1" x14ac:dyDescent="0.3">
      <c r="A256" s="37">
        <v>58746</v>
      </c>
      <c r="B256" s="409">
        <f t="shared" ref="B256:C256" si="252">($A256-B$9)/365.25</f>
        <v>78.959616700889796</v>
      </c>
      <c r="C256" s="409">
        <f t="shared" si="252"/>
        <v>74.349075975359341</v>
      </c>
      <c r="E256" s="25">
        <f>IF(C256&gt;$B$7,0,'Combined Retirement'!$D$13/12)</f>
        <v>0</v>
      </c>
      <c r="F256" s="25">
        <f>IF(H256=0,'Combined Retirement'!$D$32,0)+'Combined Retirement'!$B$24</f>
        <v>2870.372285649099</v>
      </c>
      <c r="G256" s="25">
        <f>'Combined Retirement'!$C$24</f>
        <v>3525.4531757812501</v>
      </c>
      <c r="H256" s="25">
        <f>IF(B256&lt;62,0,'Combined Retirement'!$I$14)</f>
        <v>2192</v>
      </c>
      <c r="I256" s="25">
        <f>IF(C256&lt;62,0,'Combined Retirement'!$I$13)</f>
        <v>2420</v>
      </c>
      <c r="J256" s="25">
        <f t="shared" si="3"/>
        <v>7863.2184191855868</v>
      </c>
      <c r="K256" s="25">
        <f t="shared" si="4"/>
        <v>20282.026119384056</v>
      </c>
      <c r="L256" s="25"/>
      <c r="N256" s="25">
        <f>'Combined Retirement'!$C$18/12</f>
        <v>39153.069999999992</v>
      </c>
      <c r="O256" s="25">
        <f t="shared" si="5"/>
        <v>11007.82546143035</v>
      </c>
      <c r="P256" s="25">
        <f t="shared" si="6"/>
        <v>28145.244538569641</v>
      </c>
      <c r="Q256" s="25">
        <f t="array" aca="1" ref="Q256" ca="1">INDEX('Isaac 401k'!L:L,MATCH('Retirement Calculator'!A256,'Isaac 401k'!N:N,0),0)</f>
        <v>1385149.7215069144</v>
      </c>
      <c r="R256" s="25">
        <f t="array" aca="1" ref="R256" ca="1">INDEX('Lorri 401b'!L:L,MATCH('Retirement Calculator'!A256,'Lorri 401b'!N:N,0),0)</f>
        <v>3586221.3712628428</v>
      </c>
      <c r="S256" s="25">
        <f t="shared" ca="1" si="7"/>
        <v>4971371.0927697569</v>
      </c>
    </row>
    <row r="257" spans="1:19" ht="15.75" customHeight="1" x14ac:dyDescent="0.3">
      <c r="A257" s="37">
        <v>58776</v>
      </c>
      <c r="B257" s="409">
        <f t="shared" ref="B257:C257" si="253">($A257-B$9)/365.25</f>
        <v>79.041752224503767</v>
      </c>
      <c r="C257" s="409">
        <f t="shared" si="253"/>
        <v>74.431211498973312</v>
      </c>
      <c r="E257" s="25">
        <f>IF(C257&gt;$B$7,0,'Combined Retirement'!$D$13/12)</f>
        <v>0</v>
      </c>
      <c r="F257" s="25">
        <f>IF(H257=0,'Combined Retirement'!$D$32,0)+'Combined Retirement'!$B$24</f>
        <v>2870.372285649099</v>
      </c>
      <c r="G257" s="25">
        <f>'Combined Retirement'!$C$24</f>
        <v>3525.4531757812501</v>
      </c>
      <c r="H257" s="25">
        <f>IF(B257&lt;62,0,'Combined Retirement'!$I$14)</f>
        <v>2192</v>
      </c>
      <c r="I257" s="25">
        <f>IF(C257&lt;62,0,'Combined Retirement'!$I$13)</f>
        <v>2420</v>
      </c>
      <c r="J257" s="25">
        <f t="shared" si="3"/>
        <v>7863.2184191855868</v>
      </c>
      <c r="K257" s="25">
        <f t="shared" si="4"/>
        <v>20282.026119384056</v>
      </c>
      <c r="L257" s="25"/>
      <c r="N257" s="25">
        <f>'Combined Retirement'!$C$18/12</f>
        <v>39153.069999999992</v>
      </c>
      <c r="O257" s="25">
        <f t="shared" si="5"/>
        <v>11007.82546143035</v>
      </c>
      <c r="P257" s="25">
        <f t="shared" si="6"/>
        <v>28145.244538569641</v>
      </c>
      <c r="Q257" s="25">
        <f t="array" aca="1" ref="Q257" ca="1">INDEX('Isaac 401k'!L:L,MATCH('Retirement Calculator'!A257,'Isaac 401k'!N:N,0),0)</f>
        <v>1383025.1968505944</v>
      </c>
      <c r="R257" s="25">
        <f t="array" aca="1" ref="R257" ca="1">INDEX('Lorri 401b'!L:L,MATCH('Retirement Calculator'!A257,'Lorri 401b'!N:N,0),0)</f>
        <v>3580797.4257482234</v>
      </c>
      <c r="S257" s="25">
        <f t="shared" ca="1" si="7"/>
        <v>4963822.6225988176</v>
      </c>
    </row>
    <row r="258" spans="1:19" ht="15.75" customHeight="1" x14ac:dyDescent="0.3">
      <c r="A258" s="37">
        <v>58807</v>
      </c>
      <c r="B258" s="409">
        <f t="shared" ref="B258:C258" si="254">($A258-B$9)/365.25</f>
        <v>79.126625598904866</v>
      </c>
      <c r="C258" s="409">
        <f t="shared" si="254"/>
        <v>74.516084873374396</v>
      </c>
      <c r="E258" s="25">
        <f>IF(C258&gt;$B$7,0,'Combined Retirement'!$D$13/12)</f>
        <v>0</v>
      </c>
      <c r="F258" s="25">
        <f>IF(H258=0,'Combined Retirement'!$D$32,0)+'Combined Retirement'!$B$24</f>
        <v>2870.372285649099</v>
      </c>
      <c r="G258" s="25">
        <f>'Combined Retirement'!$C$24</f>
        <v>3525.4531757812501</v>
      </c>
      <c r="H258" s="25">
        <f>IF(B258&lt;62,0,'Combined Retirement'!$I$14)</f>
        <v>2192</v>
      </c>
      <c r="I258" s="25">
        <f>IF(C258&lt;62,0,'Combined Retirement'!$I$13)</f>
        <v>2420</v>
      </c>
      <c r="J258" s="25">
        <f t="shared" si="3"/>
        <v>7863.2184191855868</v>
      </c>
      <c r="K258" s="25">
        <f t="shared" si="4"/>
        <v>20282.026119384056</v>
      </c>
      <c r="L258" s="25"/>
      <c r="N258" s="25">
        <f>'Combined Retirement'!$C$18/12</f>
        <v>39153.069999999992</v>
      </c>
      <c r="O258" s="25">
        <f t="shared" si="5"/>
        <v>11007.82546143035</v>
      </c>
      <c r="P258" s="25">
        <f t="shared" si="6"/>
        <v>28145.244538569641</v>
      </c>
      <c r="Q258" s="25">
        <f t="array" aca="1" ref="Q258" ca="1">INDEX('Isaac 401k'!L:L,MATCH('Retirement Calculator'!A258,'Isaac 401k'!N:N,0),0)</f>
        <v>1380891.8200082062</v>
      </c>
      <c r="R258" s="25">
        <f t="array" aca="1" ref="R258" ca="1">INDEX('Lorri 401b'!L:L,MATCH('Retirement Calculator'!A258,'Lorri 401b'!N:N,0),0)</f>
        <v>3575350.8804606264</v>
      </c>
      <c r="S258" s="25">
        <f t="shared" ca="1" si="7"/>
        <v>4956242.7004688326</v>
      </c>
    </row>
    <row r="259" spans="1:19" ht="15.75" customHeight="1" x14ac:dyDescent="0.3">
      <c r="A259" s="37">
        <v>58838</v>
      </c>
      <c r="B259" s="409">
        <f t="shared" ref="B259:C259" si="255">($A259-B$9)/365.25</f>
        <v>79.21149897330595</v>
      </c>
      <c r="C259" s="409">
        <f t="shared" si="255"/>
        <v>74.600958247775495</v>
      </c>
      <c r="E259" s="25">
        <f>IF(C259&gt;$B$7,0,'Combined Retirement'!$D$13/12)</f>
        <v>0</v>
      </c>
      <c r="F259" s="25">
        <f>IF(H259=0,'Combined Retirement'!$D$32,0)+'Combined Retirement'!$B$24</f>
        <v>2870.372285649099</v>
      </c>
      <c r="G259" s="25">
        <f>'Combined Retirement'!$C$24</f>
        <v>3525.4531757812501</v>
      </c>
      <c r="H259" s="25">
        <f>IF(B259&lt;62,0,'Combined Retirement'!$I$14)</f>
        <v>2192</v>
      </c>
      <c r="I259" s="25">
        <f>IF(C259&lt;62,0,'Combined Retirement'!$I$13)</f>
        <v>2420</v>
      </c>
      <c r="J259" s="25">
        <f t="shared" si="3"/>
        <v>7863.2184191855868</v>
      </c>
      <c r="K259" s="25">
        <f t="shared" si="4"/>
        <v>20282.026119384056</v>
      </c>
      <c r="L259" s="25"/>
      <c r="N259" s="25">
        <f>'Combined Retirement'!$C$18/12</f>
        <v>39153.069999999992</v>
      </c>
      <c r="O259" s="25">
        <f t="shared" si="5"/>
        <v>11007.82546143035</v>
      </c>
      <c r="P259" s="25">
        <f t="shared" si="6"/>
        <v>28145.244538569641</v>
      </c>
      <c r="Q259" s="25">
        <f t="array" aca="1" ref="Q259" ca="1">INDEX('Isaac 401k'!L:L,MATCH('Retirement Calculator'!A259,'Isaac 401k'!N:N,0),0)</f>
        <v>1378749.5540956415</v>
      </c>
      <c r="R259" s="25">
        <f t="array" aca="1" ref="R259" ca="1">INDEX('Lorri 401b'!L:L,MATCH('Retirement Calculator'!A259,'Lorri 401b'!N:N,0),0)</f>
        <v>3569881.6412343308</v>
      </c>
      <c r="S259" s="25">
        <f t="shared" ca="1" si="7"/>
        <v>4948631.1953299725</v>
      </c>
    </row>
    <row r="260" spans="1:19" ht="15.75" customHeight="1" x14ac:dyDescent="0.3">
      <c r="A260" s="37">
        <v>58866</v>
      </c>
      <c r="B260" s="409">
        <f t="shared" ref="B260:C260" si="256">($A260-B$9)/365.25</f>
        <v>79.288158795345652</v>
      </c>
      <c r="C260" s="409">
        <f t="shared" si="256"/>
        <v>74.677618069815196</v>
      </c>
      <c r="E260" s="25">
        <f>IF(C260&gt;$B$7,0,'Combined Retirement'!$D$13/12)</f>
        <v>0</v>
      </c>
      <c r="F260" s="25">
        <f>IF(H260=0,'Combined Retirement'!$D$32,0)+'Combined Retirement'!$B$24</f>
        <v>2870.372285649099</v>
      </c>
      <c r="G260" s="25">
        <f>'Combined Retirement'!$C$24</f>
        <v>3525.4531757812501</v>
      </c>
      <c r="H260" s="25">
        <f>IF(B260&lt;62,0,'Combined Retirement'!$I$14)</f>
        <v>2192</v>
      </c>
      <c r="I260" s="25">
        <f>IF(C260&lt;62,0,'Combined Retirement'!$I$13)</f>
        <v>2420</v>
      </c>
      <c r="J260" s="25">
        <f t="shared" si="3"/>
        <v>7863.2184191855868</v>
      </c>
      <c r="K260" s="25">
        <f t="shared" si="4"/>
        <v>20282.026119384056</v>
      </c>
      <c r="L260" s="25"/>
      <c r="N260" s="25">
        <f>'Combined Retirement'!$C$18/12</f>
        <v>39153.069999999992</v>
      </c>
      <c r="O260" s="25">
        <f t="shared" si="5"/>
        <v>11007.82546143035</v>
      </c>
      <c r="P260" s="25">
        <f t="shared" si="6"/>
        <v>28145.244538569641</v>
      </c>
      <c r="Q260" s="25">
        <f t="array" aca="1" ref="Q260" ca="1">INDEX('Isaac 401k'!L:L,MATCH('Retirement Calculator'!A260,'Isaac 401k'!N:N,0),0)</f>
        <v>1376598.3620751079</v>
      </c>
      <c r="R260" s="25">
        <f t="array" aca="1" ref="R260" ca="1">INDEX('Lorri 401b'!L:L,MATCH('Retirement Calculator'!A260,'Lorri 401b'!N:N,0),0)</f>
        <v>3564389.6135112592</v>
      </c>
      <c r="S260" s="25">
        <f t="shared" ca="1" si="7"/>
        <v>4940987.9755863668</v>
      </c>
    </row>
    <row r="261" spans="1:19" ht="15.75" customHeight="1" x14ac:dyDescent="0.3">
      <c r="A261" s="37">
        <v>58897</v>
      </c>
      <c r="B261" s="409">
        <f t="shared" ref="B261:C261" si="257">($A261-B$9)/365.25</f>
        <v>79.37303216974675</v>
      </c>
      <c r="C261" s="409">
        <f t="shared" si="257"/>
        <v>74.762491444216295</v>
      </c>
      <c r="E261" s="25">
        <f>IF(C261&gt;$B$7,0,'Combined Retirement'!$D$13/12)</f>
        <v>0</v>
      </c>
      <c r="F261" s="25">
        <f>IF(H261=0,'Combined Retirement'!$D$32,0)+'Combined Retirement'!$B$24</f>
        <v>2870.372285649099</v>
      </c>
      <c r="G261" s="25">
        <f>'Combined Retirement'!$C$24</f>
        <v>3525.4531757812501</v>
      </c>
      <c r="H261" s="25">
        <f>IF(B261&lt;62,0,'Combined Retirement'!$I$14)</f>
        <v>2192</v>
      </c>
      <c r="I261" s="25">
        <f>IF(C261&lt;62,0,'Combined Retirement'!$I$13)</f>
        <v>2420</v>
      </c>
      <c r="J261" s="25">
        <f t="shared" si="3"/>
        <v>7863.2184191855868</v>
      </c>
      <c r="K261" s="25">
        <f t="shared" si="4"/>
        <v>20282.026119384056</v>
      </c>
      <c r="L261" s="25"/>
      <c r="N261" s="25">
        <f>'Combined Retirement'!$C$18/12</f>
        <v>39153.069999999992</v>
      </c>
      <c r="O261" s="25">
        <f t="shared" si="5"/>
        <v>11007.82546143035</v>
      </c>
      <c r="P261" s="25">
        <f t="shared" si="6"/>
        <v>28145.244538569641</v>
      </c>
      <c r="Q261" s="25">
        <f t="array" aca="1" ref="Q261" ca="1">INDEX('Isaac 401k'!L:L,MATCH('Retirement Calculator'!A261,'Isaac 401k'!N:N,0),0)</f>
        <v>1374438.2067544886</v>
      </c>
      <c r="R261" s="25">
        <f t="array" aca="1" ref="R261" ca="1">INDEX('Lorri 401b'!L:L,MATCH('Retirement Calculator'!A261,'Lorri 401b'!N:N,0),0)</f>
        <v>3558874.7023393414</v>
      </c>
      <c r="S261" s="25">
        <f t="shared" ca="1" si="7"/>
        <v>4933312.9090938298</v>
      </c>
    </row>
    <row r="262" spans="1:19" ht="15.75" customHeight="1" x14ac:dyDescent="0.3">
      <c r="A262" s="37">
        <v>58927</v>
      </c>
      <c r="B262" s="409">
        <f t="shared" ref="B262:C262" si="258">($A262-B$9)/365.25</f>
        <v>79.455167693360707</v>
      </c>
      <c r="C262" s="409">
        <f t="shared" si="258"/>
        <v>74.844626967830251</v>
      </c>
      <c r="E262" s="25">
        <f>IF(C262&gt;$B$7,0,'Combined Retirement'!$D$13/12)</f>
        <v>0</v>
      </c>
      <c r="F262" s="25">
        <f>IF(H262=0,'Combined Retirement'!$D$32,0)+'Combined Retirement'!$B$24</f>
        <v>2870.372285649099</v>
      </c>
      <c r="G262" s="25">
        <f>'Combined Retirement'!$C$24</f>
        <v>3525.4531757812501</v>
      </c>
      <c r="H262" s="25">
        <f>IF(B262&lt;62,0,'Combined Retirement'!$I$14)</f>
        <v>2192</v>
      </c>
      <c r="I262" s="25">
        <f>IF(C262&lt;62,0,'Combined Retirement'!$I$13)</f>
        <v>2420</v>
      </c>
      <c r="J262" s="25">
        <f t="shared" si="3"/>
        <v>7863.2184191855868</v>
      </c>
      <c r="K262" s="25">
        <f t="shared" si="4"/>
        <v>20282.026119384056</v>
      </c>
      <c r="L262" s="25"/>
      <c r="N262" s="25">
        <f>'Combined Retirement'!$C$18/12</f>
        <v>39153.069999999992</v>
      </c>
      <c r="O262" s="25">
        <f t="shared" si="5"/>
        <v>11007.82546143035</v>
      </c>
      <c r="P262" s="25">
        <f t="shared" si="6"/>
        <v>28145.244538569641</v>
      </c>
      <c r="Q262" s="25">
        <f t="array" aca="1" ref="Q262" ca="1">INDEX('Isaac 401k'!L:L,MATCH('Retirement Calculator'!A262,'Isaac 401k'!N:N,0),0)</f>
        <v>1372269.0507867001</v>
      </c>
      <c r="R262" s="25">
        <f t="array" aca="1" ref="R262" ca="1">INDEX('Lorri 401b'!L:L,MATCH('Retirement Calculator'!A262,'Lorri 401b'!N:N,0),0)</f>
        <v>3553336.812370874</v>
      </c>
      <c r="S262" s="25">
        <f t="shared" ca="1" si="7"/>
        <v>4925605.8631575741</v>
      </c>
    </row>
    <row r="263" spans="1:19" ht="15.75" customHeight="1" x14ac:dyDescent="0.3">
      <c r="A263" s="37">
        <v>58958</v>
      </c>
      <c r="B263" s="409">
        <f t="shared" ref="B263:C263" si="259">($A263-B$9)/365.25</f>
        <v>79.540041067761805</v>
      </c>
      <c r="C263" s="409">
        <f t="shared" si="259"/>
        <v>74.92950034223135</v>
      </c>
      <c r="E263" s="25">
        <f>IF(C263&gt;$B$7,0,'Combined Retirement'!$D$13/12)</f>
        <v>0</v>
      </c>
      <c r="F263" s="25">
        <f>IF(H263=0,'Combined Retirement'!$D$32,0)+'Combined Retirement'!$B$24</f>
        <v>2870.372285649099</v>
      </c>
      <c r="G263" s="25">
        <f>'Combined Retirement'!$C$24</f>
        <v>3525.4531757812501</v>
      </c>
      <c r="H263" s="25">
        <f>IF(B263&lt;62,0,'Combined Retirement'!$I$14)</f>
        <v>2192</v>
      </c>
      <c r="I263" s="25">
        <f>IF(C263&lt;62,0,'Combined Retirement'!$I$13)</f>
        <v>2420</v>
      </c>
      <c r="J263" s="25">
        <f t="shared" si="3"/>
        <v>7863.2184191855868</v>
      </c>
      <c r="K263" s="25">
        <f t="shared" si="4"/>
        <v>20282.026119384056</v>
      </c>
      <c r="L263" s="25"/>
      <c r="N263" s="25">
        <f>'Combined Retirement'!$C$18/12</f>
        <v>39153.069999999992</v>
      </c>
      <c r="O263" s="25">
        <f t="shared" si="5"/>
        <v>11007.82546143035</v>
      </c>
      <c r="P263" s="25">
        <f t="shared" si="6"/>
        <v>28145.244538569641</v>
      </c>
      <c r="Q263" s="25">
        <f t="array" aca="1" ref="Q263" ca="1">INDEX('Isaac 401k'!L:L,MATCH('Retirement Calculator'!A263,'Isaac 401k'!N:N,0),0)</f>
        <v>1370090.8566690458</v>
      </c>
      <c r="R263" s="25">
        <f t="array" aca="1" ref="R263" ca="1">INDEX('Lorri 401b'!L:L,MATCH('Retirement Calculator'!A263,'Lorri 401b'!N:N,0),0)</f>
        <v>3547775.8478608713</v>
      </c>
      <c r="S263" s="25">
        <f t="shared" ca="1" si="7"/>
        <v>4917866.7045299169</v>
      </c>
    </row>
    <row r="264" spans="1:19" ht="15.75" customHeight="1" x14ac:dyDescent="0.3">
      <c r="A264" s="37">
        <v>58988</v>
      </c>
      <c r="B264" s="409">
        <f t="shared" ref="B264:C264" si="260">($A264-B$9)/365.25</f>
        <v>79.622176591375776</v>
      </c>
      <c r="C264" s="409">
        <f t="shared" si="260"/>
        <v>75.011635865845307</v>
      </c>
      <c r="E264" s="25">
        <f>IF(C264&gt;$B$7,0,'Combined Retirement'!$D$13/12)</f>
        <v>0</v>
      </c>
      <c r="F264" s="25">
        <f>IF(H264=0,'Combined Retirement'!$D$32,0)+'Combined Retirement'!$B$24</f>
        <v>2870.372285649099</v>
      </c>
      <c r="G264" s="25">
        <f>'Combined Retirement'!$C$24</f>
        <v>3525.4531757812501</v>
      </c>
      <c r="H264" s="25">
        <f>IF(B264&lt;62,0,'Combined Retirement'!$I$14)</f>
        <v>2192</v>
      </c>
      <c r="I264" s="25">
        <f>IF(C264&lt;62,0,'Combined Retirement'!$I$13)</f>
        <v>2420</v>
      </c>
      <c r="J264" s="25">
        <f t="shared" si="3"/>
        <v>7863.2184191855868</v>
      </c>
      <c r="K264" s="25">
        <f t="shared" si="4"/>
        <v>20282.026119384056</v>
      </c>
      <c r="L264" s="25"/>
      <c r="N264" s="25">
        <f>'Combined Retirement'!$C$18/12</f>
        <v>39153.069999999992</v>
      </c>
      <c r="O264" s="25">
        <f t="shared" si="5"/>
        <v>11007.82546143035</v>
      </c>
      <c r="P264" s="25">
        <f t="shared" si="6"/>
        <v>28145.244538569641</v>
      </c>
      <c r="Q264" s="25">
        <f t="array" aca="1" ref="Q264" ca="1">INDEX('Isaac 401k'!L:L,MATCH('Retirement Calculator'!A264,'Isaac 401k'!N:N,0),0)</f>
        <v>1367903.5867425678</v>
      </c>
      <c r="R264" s="25">
        <f t="array" aca="1" ref="R264" ca="1">INDEX('Lorri 401b'!L:L,MATCH('Retirement Calculator'!A264,'Lorri 401b'!N:N,0),0)</f>
        <v>3542191.7126654102</v>
      </c>
      <c r="S264" s="25">
        <f t="shared" ca="1" si="7"/>
        <v>4910095.2994079776</v>
      </c>
    </row>
    <row r="265" spans="1:19" ht="15.75" customHeight="1" x14ac:dyDescent="0.3">
      <c r="A265" s="37">
        <v>59019</v>
      </c>
      <c r="B265" s="409">
        <f t="shared" ref="B265:C265" si="261">($A265-B$9)/365.25</f>
        <v>79.707049965776861</v>
      </c>
      <c r="C265" s="409">
        <f t="shared" si="261"/>
        <v>75.096509240246405</v>
      </c>
      <c r="E265" s="25">
        <f>IF(C265&gt;$B$7,0,'Combined Retirement'!$D$13/12)</f>
        <v>0</v>
      </c>
      <c r="F265" s="25">
        <f>IF(H265=0,'Combined Retirement'!$D$32,0)+'Combined Retirement'!$B$24</f>
        <v>2870.372285649099</v>
      </c>
      <c r="G265" s="25">
        <f>'Combined Retirement'!$C$24</f>
        <v>3525.4531757812501</v>
      </c>
      <c r="H265" s="25">
        <f>IF(B265&lt;62,0,'Combined Retirement'!$I$14)</f>
        <v>2192</v>
      </c>
      <c r="I265" s="25">
        <f>IF(C265&lt;62,0,'Combined Retirement'!$I$13)</f>
        <v>2420</v>
      </c>
      <c r="J265" s="25">
        <f t="shared" si="3"/>
        <v>7863.2184191855868</v>
      </c>
      <c r="K265" s="25">
        <f t="shared" si="4"/>
        <v>20282.026119384056</v>
      </c>
      <c r="L265" s="25"/>
      <c r="N265" s="25">
        <f>'Combined Retirement'!$C$18/12</f>
        <v>39153.069999999992</v>
      </c>
      <c r="O265" s="25">
        <f t="shared" si="5"/>
        <v>11007.82546143035</v>
      </c>
      <c r="P265" s="25">
        <f t="shared" si="6"/>
        <v>28145.244538569641</v>
      </c>
      <c r="Q265" s="25">
        <f t="array" aca="1" ref="Q265" ca="1">INDEX('Isaac 401k'!L:L,MATCH('Retirement Calculator'!A265,'Isaac 401k'!N:N,0),0)</f>
        <v>1365707.2031913963</v>
      </c>
      <c r="R265" s="25">
        <f t="array" aca="1" ref="R265" ca="1">INDEX('Lorri 401b'!L:L,MATCH('Retirement Calculator'!A265,'Lorri 401b'!N:N,0),0)</f>
        <v>3536584.3102399679</v>
      </c>
      <c r="S265" s="25">
        <f t="shared" ca="1" si="7"/>
        <v>4902291.5134313647</v>
      </c>
    </row>
    <row r="266" spans="1:19" ht="15.75" customHeight="1" x14ac:dyDescent="0.3">
      <c r="A266" s="37">
        <v>59050</v>
      </c>
      <c r="B266" s="409">
        <f t="shared" ref="B266:C266" si="262">($A266-B$9)/365.25</f>
        <v>79.791923340177959</v>
      </c>
      <c r="C266" s="409">
        <f t="shared" si="262"/>
        <v>75.181382614647504</v>
      </c>
      <c r="E266" s="25">
        <f>IF(C266&gt;$B$7,0,'Combined Retirement'!$D$13/12)</f>
        <v>0</v>
      </c>
      <c r="F266" s="25">
        <f>IF(H266=0,'Combined Retirement'!$D$32,0)+'Combined Retirement'!$B$24</f>
        <v>2870.372285649099</v>
      </c>
      <c r="G266" s="25">
        <f>'Combined Retirement'!$C$24</f>
        <v>3525.4531757812501</v>
      </c>
      <c r="H266" s="25">
        <f>IF(B266&lt;62,0,'Combined Retirement'!$I$14)</f>
        <v>2192</v>
      </c>
      <c r="I266" s="25">
        <f>IF(C266&lt;62,0,'Combined Retirement'!$I$13)</f>
        <v>2420</v>
      </c>
      <c r="J266" s="25">
        <f t="shared" ref="J266:J520" si="263">IF(C266&lt;59.5,P266,P266*$J$7)</f>
        <v>7863.2184191855868</v>
      </c>
      <c r="K266" s="25">
        <f t="shared" ref="K266:K520" si="264">IF(C266&lt;59.5,0,IF(C266&lt;$B$7,0,P266*$K$7))</f>
        <v>20282.026119384056</v>
      </c>
      <c r="L266" s="25"/>
      <c r="N266" s="25">
        <f>'Combined Retirement'!$C$18/12</f>
        <v>39153.069999999992</v>
      </c>
      <c r="O266" s="25">
        <f t="shared" ref="O266:O520" si="265">SUM(E266:I266)</f>
        <v>11007.82546143035</v>
      </c>
      <c r="P266" s="25">
        <f t="shared" ref="P266:P520" si="266">N266-O266</f>
        <v>28145.244538569641</v>
      </c>
      <c r="Q266" s="25">
        <f t="array" aca="1" ref="Q266" ca="1">INDEX('Isaac 401k'!L:L,MATCH('Retirement Calculator'!A266,'Isaac 401k'!N:N,0),0)</f>
        <v>1363501.6680420949</v>
      </c>
      <c r="R266" s="25">
        <f t="array" aca="1" ref="R266" ca="1">INDEX('Lorri 401b'!L:L,MATCH('Retirement Calculator'!A266,'Lorri 401b'!N:N,0),0)</f>
        <v>3530953.543637753</v>
      </c>
      <c r="S266" s="25">
        <f t="shared" ref="S266:S520" ca="1" si="267">SUM(Q266:R266)</f>
        <v>4894455.2116798479</v>
      </c>
    </row>
    <row r="267" spans="1:19" ht="15.75" customHeight="1" x14ac:dyDescent="0.3">
      <c r="A267" s="37">
        <v>59080</v>
      </c>
      <c r="B267" s="409">
        <f t="shared" ref="B267:C267" si="268">($A267-B$9)/365.25</f>
        <v>79.87405886379193</v>
      </c>
      <c r="C267" s="409">
        <f t="shared" si="268"/>
        <v>75.26351813826146</v>
      </c>
      <c r="E267" s="25">
        <f>IF(C267&gt;$B$7,0,'Combined Retirement'!$D$13/12)</f>
        <v>0</v>
      </c>
      <c r="F267" s="25">
        <f>IF(H267=0,'Combined Retirement'!$D$32,0)+'Combined Retirement'!$B$24</f>
        <v>2870.372285649099</v>
      </c>
      <c r="G267" s="25">
        <f>'Combined Retirement'!$C$24</f>
        <v>3525.4531757812501</v>
      </c>
      <c r="H267" s="25">
        <f>IF(B267&lt;62,0,'Combined Retirement'!$I$14)</f>
        <v>2192</v>
      </c>
      <c r="I267" s="25">
        <f>IF(C267&lt;62,0,'Combined Retirement'!$I$13)</f>
        <v>2420</v>
      </c>
      <c r="J267" s="25">
        <f t="shared" si="263"/>
        <v>7863.2184191855868</v>
      </c>
      <c r="K267" s="25">
        <f t="shared" si="264"/>
        <v>20282.026119384056</v>
      </c>
      <c r="L267" s="25"/>
      <c r="N267" s="25">
        <f>'Combined Retirement'!$C$18/12</f>
        <v>39153.069999999992</v>
      </c>
      <c r="O267" s="25">
        <f t="shared" si="265"/>
        <v>11007.82546143035</v>
      </c>
      <c r="P267" s="25">
        <f t="shared" si="266"/>
        <v>28145.244538569641</v>
      </c>
      <c r="Q267" s="25">
        <f t="array" aca="1" ref="Q267" ca="1">INDEX('Isaac 401k'!L:L,MATCH('Retirement Calculator'!A267,'Isaac 401k'!N:N,0),0)</f>
        <v>1361286.9431630047</v>
      </c>
      <c r="R267" s="25">
        <f t="array" aca="1" ref="R267" ca="1">INDEX('Lorri 401b'!L:L,MATCH('Retirement Calculator'!A267,'Lorri 401b'!N:N,0),0)</f>
        <v>3525299.315508029</v>
      </c>
      <c r="S267" s="25">
        <f t="shared" ca="1" si="267"/>
        <v>4886586.2586710341</v>
      </c>
    </row>
    <row r="268" spans="1:19" ht="15.75" customHeight="1" x14ac:dyDescent="0.3">
      <c r="A268" s="37">
        <v>59111</v>
      </c>
      <c r="B268" s="409">
        <f t="shared" ref="B268:C268" si="269">($A268-B$9)/365.25</f>
        <v>79.958932238193015</v>
      </c>
      <c r="C268" s="409">
        <f t="shared" si="269"/>
        <v>75.348391512662559</v>
      </c>
      <c r="E268" s="25">
        <f>IF(C268&gt;$B$7,0,'Combined Retirement'!$D$13/12)</f>
        <v>0</v>
      </c>
      <c r="F268" s="25">
        <f>IF(H268=0,'Combined Retirement'!$D$32,0)+'Combined Retirement'!$B$24</f>
        <v>2870.372285649099</v>
      </c>
      <c r="G268" s="25">
        <f>'Combined Retirement'!$C$24</f>
        <v>3525.4531757812501</v>
      </c>
      <c r="H268" s="25">
        <f>IF(B268&lt;62,0,'Combined Retirement'!$I$14)</f>
        <v>2192</v>
      </c>
      <c r="I268" s="25">
        <f>IF(C268&lt;62,0,'Combined Retirement'!$I$13)</f>
        <v>2420</v>
      </c>
      <c r="J268" s="25">
        <f t="shared" si="263"/>
        <v>7863.2184191855868</v>
      </c>
      <c r="K268" s="25">
        <f t="shared" si="264"/>
        <v>20282.026119384056</v>
      </c>
      <c r="L268" s="25"/>
      <c r="N268" s="25">
        <f>'Combined Retirement'!$C$18/12</f>
        <v>39153.069999999992</v>
      </c>
      <c r="O268" s="25">
        <f t="shared" si="265"/>
        <v>11007.82546143035</v>
      </c>
      <c r="P268" s="25">
        <f t="shared" si="266"/>
        <v>28145.244538569641</v>
      </c>
      <c r="Q268" s="25">
        <f t="array" aca="1" ref="Q268" ca="1">INDEX('Isaac 401k'!L:L,MATCH('Retirement Calculator'!A268,'Isaac 401k'!N:N,0),0)</f>
        <v>1359062.990263585</v>
      </c>
      <c r="R268" s="25">
        <f t="array" aca="1" ref="R268" ca="1">INDEX('Lorri 401b'!L:L,MATCH('Retirement Calculator'!A268,'Lorri 401b'!N:N,0),0)</f>
        <v>3519621.5280944309</v>
      </c>
      <c r="S268" s="25">
        <f t="shared" ca="1" si="267"/>
        <v>4878684.5183580164</v>
      </c>
    </row>
    <row r="269" spans="1:19" ht="15.75" customHeight="1" x14ac:dyDescent="0.3">
      <c r="A269" s="37">
        <v>59141</v>
      </c>
      <c r="B269" s="409">
        <f t="shared" ref="B269:C269" si="270">($A269-B$9)/365.25</f>
        <v>80.041067761806985</v>
      </c>
      <c r="C269" s="409">
        <f t="shared" si="270"/>
        <v>75.43052703627653</v>
      </c>
      <c r="E269" s="25">
        <f>IF(C269&gt;$B$7,0,'Combined Retirement'!$D$13/12)</f>
        <v>0</v>
      </c>
      <c r="F269" s="25">
        <f>IF(H269=0,'Combined Retirement'!$D$32,0)+'Combined Retirement'!$B$24</f>
        <v>2870.372285649099</v>
      </c>
      <c r="G269" s="25">
        <f>'Combined Retirement'!$C$24</f>
        <v>3525.4531757812501</v>
      </c>
      <c r="H269" s="25">
        <f>IF(B269&lt;62,0,'Combined Retirement'!$I$14)</f>
        <v>2192</v>
      </c>
      <c r="I269" s="25">
        <f>IF(C269&lt;62,0,'Combined Retirement'!$I$13)</f>
        <v>2420</v>
      </c>
      <c r="J269" s="25">
        <f t="shared" si="263"/>
        <v>7863.2184191855868</v>
      </c>
      <c r="K269" s="25">
        <f t="shared" si="264"/>
        <v>20282.026119384056</v>
      </c>
      <c r="L269" s="25"/>
      <c r="N269" s="25">
        <f>'Combined Retirement'!$C$18/12</f>
        <v>39153.069999999992</v>
      </c>
      <c r="O269" s="25">
        <f t="shared" si="265"/>
        <v>11007.82546143035</v>
      </c>
      <c r="P269" s="25">
        <f t="shared" si="266"/>
        <v>28145.244538569641</v>
      </c>
      <c r="Q269" s="25">
        <f t="array" aca="1" ref="Q269" ca="1">INDEX('Isaac 401k'!L:L,MATCH('Retirement Calculator'!A269,'Isaac 401k'!N:N,0),0)</f>
        <v>1356829.7708937509</v>
      </c>
      <c r="R269" s="25">
        <f t="array" aca="1" ref="R269" ca="1">INDEX('Lorri 401b'!L:L,MATCH('Retirement Calculator'!A269,'Lorri 401b'!N:N,0),0)</f>
        <v>3513920.0832332764</v>
      </c>
      <c r="S269" s="25">
        <f t="shared" ca="1" si="267"/>
        <v>4870749.8541270271</v>
      </c>
    </row>
    <row r="270" spans="1:19" ht="15.75" customHeight="1" x14ac:dyDescent="0.3">
      <c r="A270" s="37">
        <v>59172</v>
      </c>
      <c r="B270" s="409">
        <f t="shared" ref="B270:C270" si="271">($A270-B$9)/365.25</f>
        <v>80.12594113620807</v>
      </c>
      <c r="C270" s="409">
        <f t="shared" si="271"/>
        <v>75.515400410677614</v>
      </c>
      <c r="E270" s="25">
        <f>IF(C270&gt;$B$7,0,'Combined Retirement'!$D$13/12)</f>
        <v>0</v>
      </c>
      <c r="F270" s="25">
        <f>IF(H270=0,'Combined Retirement'!$D$32,0)+'Combined Retirement'!$B$24</f>
        <v>2870.372285649099</v>
      </c>
      <c r="G270" s="25">
        <f>'Combined Retirement'!$C$24</f>
        <v>3525.4531757812501</v>
      </c>
      <c r="H270" s="25">
        <f>IF(B270&lt;62,0,'Combined Retirement'!$I$14)</f>
        <v>2192</v>
      </c>
      <c r="I270" s="25">
        <f>IF(C270&lt;62,0,'Combined Retirement'!$I$13)</f>
        <v>2420</v>
      </c>
      <c r="J270" s="25">
        <f t="shared" si="263"/>
        <v>7863.2184191855868</v>
      </c>
      <c r="K270" s="25">
        <f t="shared" si="264"/>
        <v>20282.026119384056</v>
      </c>
      <c r="L270" s="25"/>
      <c r="N270" s="25">
        <f>'Combined Retirement'!$C$18/12</f>
        <v>39153.069999999992</v>
      </c>
      <c r="O270" s="25">
        <f t="shared" si="265"/>
        <v>11007.82546143035</v>
      </c>
      <c r="P270" s="25">
        <f t="shared" si="266"/>
        <v>28145.244538569641</v>
      </c>
      <c r="Q270" s="25">
        <f t="array" aca="1" ref="Q270" ca="1">INDEX('Isaac 401k'!L:L,MATCH('Retirement Calculator'!A270,'Isaac 401k'!N:N,0),0)</f>
        <v>1354587.2464432095</v>
      </c>
      <c r="R270" s="25">
        <f t="array" aca="1" ref="R270" ca="1">INDEX('Lorri 401b'!L:L,MATCH('Retirement Calculator'!A270,'Lorri 401b'!N:N,0),0)</f>
        <v>3508194.8823518669</v>
      </c>
      <c r="S270" s="25">
        <f t="shared" ca="1" si="267"/>
        <v>4862782.1287950762</v>
      </c>
    </row>
    <row r="271" spans="1:19" ht="15.75" customHeight="1" x14ac:dyDescent="0.3">
      <c r="A271" s="37">
        <v>59203</v>
      </c>
      <c r="B271" s="409">
        <f t="shared" ref="B271:C271" si="272">($A271-B$9)/365.25</f>
        <v>80.210814510609168</v>
      </c>
      <c r="C271" s="409">
        <f t="shared" si="272"/>
        <v>75.600273785078713</v>
      </c>
      <c r="E271" s="25">
        <f>IF(C271&gt;$B$7,0,'Combined Retirement'!$D$13/12)</f>
        <v>0</v>
      </c>
      <c r="F271" s="25">
        <f>IF(H271=0,'Combined Retirement'!$D$32,0)+'Combined Retirement'!$B$24</f>
        <v>2870.372285649099</v>
      </c>
      <c r="G271" s="25">
        <f>'Combined Retirement'!$C$24</f>
        <v>3525.4531757812501</v>
      </c>
      <c r="H271" s="25">
        <f>IF(B271&lt;62,0,'Combined Retirement'!$I$14)</f>
        <v>2192</v>
      </c>
      <c r="I271" s="25">
        <f>IF(C271&lt;62,0,'Combined Retirement'!$I$13)</f>
        <v>2420</v>
      </c>
      <c r="J271" s="25">
        <f t="shared" si="263"/>
        <v>7863.2184191855868</v>
      </c>
      <c r="K271" s="25">
        <f t="shared" si="264"/>
        <v>20282.026119384056</v>
      </c>
      <c r="L271" s="25"/>
      <c r="N271" s="25">
        <f>'Combined Retirement'!$C$18/12</f>
        <v>39153.069999999992</v>
      </c>
      <c r="O271" s="25">
        <f t="shared" si="265"/>
        <v>11007.82546143035</v>
      </c>
      <c r="P271" s="25">
        <f t="shared" si="266"/>
        <v>28145.244538569641</v>
      </c>
      <c r="Q271" s="25">
        <f t="array" aca="1" ref="Q271" ca="1">INDEX('Isaac 401k'!L:L,MATCH('Retirement Calculator'!A271,'Isaac 401k'!N:N,0),0)</f>
        <v>1352335.3781407906</v>
      </c>
      <c r="R271" s="25">
        <f t="array" aca="1" ref="R271" ca="1">INDEX('Lorri 401b'!L:L,MATCH('Retirement Calculator'!A271,'Lorri 401b'!N:N,0),0)</f>
        <v>3502445.8264667848</v>
      </c>
      <c r="S271" s="25">
        <f t="shared" ca="1" si="267"/>
        <v>4854781.2046075752</v>
      </c>
    </row>
    <row r="272" spans="1:19" ht="15.75" customHeight="1" x14ac:dyDescent="0.3">
      <c r="A272" s="37">
        <v>59231</v>
      </c>
      <c r="B272" s="409">
        <f t="shared" ref="B272:C272" si="273">($A272-B$9)/365.25</f>
        <v>80.28747433264887</v>
      </c>
      <c r="C272" s="409">
        <f t="shared" si="273"/>
        <v>75.676933607118414</v>
      </c>
      <c r="E272" s="25">
        <f>IF(C272&gt;$B$7,0,'Combined Retirement'!$D$13/12)</f>
        <v>0</v>
      </c>
      <c r="F272" s="25">
        <f>IF(H272=0,'Combined Retirement'!$D$32,0)+'Combined Retirement'!$B$24</f>
        <v>2870.372285649099</v>
      </c>
      <c r="G272" s="25">
        <f>'Combined Retirement'!$C$24</f>
        <v>3525.4531757812501</v>
      </c>
      <c r="H272" s="25">
        <f>IF(B272&lt;62,0,'Combined Retirement'!$I$14)</f>
        <v>2192</v>
      </c>
      <c r="I272" s="25">
        <f>IF(C272&lt;62,0,'Combined Retirement'!$I$13)</f>
        <v>2420</v>
      </c>
      <c r="J272" s="25">
        <f t="shared" si="263"/>
        <v>7863.2184191855868</v>
      </c>
      <c r="K272" s="25">
        <f t="shared" si="264"/>
        <v>20282.026119384056</v>
      </c>
      <c r="L272" s="25"/>
      <c r="N272" s="25">
        <f>'Combined Retirement'!$C$18/12</f>
        <v>39153.069999999992</v>
      </c>
      <c r="O272" s="25">
        <f t="shared" si="265"/>
        <v>11007.82546143035</v>
      </c>
      <c r="P272" s="25">
        <f t="shared" si="266"/>
        <v>28145.244538569641</v>
      </c>
      <c r="Q272" s="25">
        <f t="array" aca="1" ref="Q272" ca="1">INDEX('Isaac 401k'!L:L,MATCH('Retirement Calculator'!A272,'Isaac 401k'!N:N,0),0)</f>
        <v>1350074.1270537784</v>
      </c>
      <c r="R272" s="25">
        <f t="array" aca="1" ref="R272" ca="1">INDEX('Lorri 401b'!L:L,MATCH('Retirement Calculator'!A272,'Lorri 401b'!N:N,0),0)</f>
        <v>3496672.8161821817</v>
      </c>
      <c r="S272" s="25">
        <f t="shared" ca="1" si="267"/>
        <v>4846746.9432359599</v>
      </c>
    </row>
    <row r="273" spans="1:19" ht="15.75" customHeight="1" x14ac:dyDescent="0.3">
      <c r="A273" s="37">
        <v>59262</v>
      </c>
      <c r="B273" s="409">
        <f t="shared" ref="B273:C273" si="274">($A273-B$9)/365.25</f>
        <v>80.372347707049968</v>
      </c>
      <c r="C273" s="409">
        <f t="shared" si="274"/>
        <v>75.761806981519513</v>
      </c>
      <c r="E273" s="25">
        <f>IF(C273&gt;$B$7,0,'Combined Retirement'!$D$13/12)</f>
        <v>0</v>
      </c>
      <c r="F273" s="25">
        <f>IF(H273=0,'Combined Retirement'!$D$32,0)+'Combined Retirement'!$B$24</f>
        <v>2870.372285649099</v>
      </c>
      <c r="G273" s="25">
        <f>'Combined Retirement'!$C$24</f>
        <v>3525.4531757812501</v>
      </c>
      <c r="H273" s="25">
        <f>IF(B273&lt;62,0,'Combined Retirement'!$I$14)</f>
        <v>2192</v>
      </c>
      <c r="I273" s="25">
        <f>IF(C273&lt;62,0,'Combined Retirement'!$I$13)</f>
        <v>2420</v>
      </c>
      <c r="J273" s="25">
        <f t="shared" si="263"/>
        <v>7863.2184191855868</v>
      </c>
      <c r="K273" s="25">
        <f t="shared" si="264"/>
        <v>20282.026119384056</v>
      </c>
      <c r="L273" s="25"/>
      <c r="N273" s="25">
        <f>'Combined Retirement'!$C$18/12</f>
        <v>39153.069999999992</v>
      </c>
      <c r="O273" s="25">
        <f t="shared" si="265"/>
        <v>11007.82546143035</v>
      </c>
      <c r="P273" s="25">
        <f t="shared" si="266"/>
        <v>28145.244538569641</v>
      </c>
      <c r="Q273" s="25">
        <f t="array" aca="1" ref="Q273" ca="1">INDEX('Isaac 401k'!L:L,MATCH('Retirement Calculator'!A273,'Isaac 401k'!N:N,0),0)</f>
        <v>1347803.4540872369</v>
      </c>
      <c r="R273" s="25">
        <f t="array" aca="1" ref="R273" ca="1">INDEX('Lorri 401b'!L:L,MATCH('Retirement Calculator'!A273,'Lorri 401b'!N:N,0),0)</f>
        <v>3490875.7516880594</v>
      </c>
      <c r="S273" s="25">
        <f t="shared" ca="1" si="267"/>
        <v>4838679.2057752963</v>
      </c>
    </row>
    <row r="274" spans="1:19" ht="15.75" customHeight="1" x14ac:dyDescent="0.3">
      <c r="A274" s="37">
        <v>59292</v>
      </c>
      <c r="B274" s="409">
        <f t="shared" ref="B274:C274" si="275">($A274-B$9)/365.25</f>
        <v>80.454483230663925</v>
      </c>
      <c r="C274" s="409">
        <f t="shared" si="275"/>
        <v>75.843942505133469</v>
      </c>
      <c r="E274" s="25">
        <f>IF(C274&gt;$B$7,0,'Combined Retirement'!$D$13/12)</f>
        <v>0</v>
      </c>
      <c r="F274" s="25">
        <f>IF(H274=0,'Combined Retirement'!$D$32,0)+'Combined Retirement'!$B$24</f>
        <v>2870.372285649099</v>
      </c>
      <c r="G274" s="25">
        <f>'Combined Retirement'!$C$24</f>
        <v>3525.4531757812501</v>
      </c>
      <c r="H274" s="25">
        <f>IF(B274&lt;62,0,'Combined Retirement'!$I$14)</f>
        <v>2192</v>
      </c>
      <c r="I274" s="25">
        <f>IF(C274&lt;62,0,'Combined Retirement'!$I$13)</f>
        <v>2420</v>
      </c>
      <c r="J274" s="25">
        <f t="shared" si="263"/>
        <v>7863.2184191855868</v>
      </c>
      <c r="K274" s="25">
        <f t="shared" si="264"/>
        <v>20282.026119384056</v>
      </c>
      <c r="L274" s="25"/>
      <c r="N274" s="25">
        <f>'Combined Retirement'!$C$18/12</f>
        <v>39153.069999999992</v>
      </c>
      <c r="O274" s="25">
        <f t="shared" si="265"/>
        <v>11007.82546143035</v>
      </c>
      <c r="P274" s="25">
        <f t="shared" si="266"/>
        <v>28145.244538569641</v>
      </c>
      <c r="Q274" s="25">
        <f t="array" aca="1" ref="Q274" ca="1">INDEX('Isaac 401k'!L:L,MATCH('Retirement Calculator'!A274,'Isaac 401k'!N:N,0),0)</f>
        <v>1345523.3199833347</v>
      </c>
      <c r="R274" s="25">
        <f t="array" aca="1" ref="R274" ca="1">INDEX('Lorri 401b'!L:L,MATCH('Retirement Calculator'!A274,'Lorri 401b'!N:N,0),0)</f>
        <v>3485054.5327585451</v>
      </c>
      <c r="S274" s="25">
        <f t="shared" ca="1" si="267"/>
        <v>4830577.8527418803</v>
      </c>
    </row>
    <row r="275" spans="1:19" ht="15.75" customHeight="1" x14ac:dyDescent="0.3">
      <c r="A275" s="37">
        <v>59323</v>
      </c>
      <c r="B275" s="409">
        <f t="shared" ref="B275:C275" si="276">($A275-B$9)/365.25</f>
        <v>80.539356605065024</v>
      </c>
      <c r="C275" s="409">
        <f t="shared" si="276"/>
        <v>75.928815879534568</v>
      </c>
      <c r="E275" s="25">
        <f>IF(C275&gt;$B$7,0,'Combined Retirement'!$D$13/12)</f>
        <v>0</v>
      </c>
      <c r="F275" s="25">
        <f>IF(H275=0,'Combined Retirement'!$D$32,0)+'Combined Retirement'!$B$24</f>
        <v>2870.372285649099</v>
      </c>
      <c r="G275" s="25">
        <f>'Combined Retirement'!$C$24</f>
        <v>3525.4531757812501</v>
      </c>
      <c r="H275" s="25">
        <f>IF(B275&lt;62,0,'Combined Retirement'!$I$14)</f>
        <v>2192</v>
      </c>
      <c r="I275" s="25">
        <f>IF(C275&lt;62,0,'Combined Retirement'!$I$13)</f>
        <v>2420</v>
      </c>
      <c r="J275" s="25">
        <f t="shared" si="263"/>
        <v>7863.2184191855868</v>
      </c>
      <c r="K275" s="25">
        <f t="shared" si="264"/>
        <v>20282.026119384056</v>
      </c>
      <c r="L275" s="25"/>
      <c r="N275" s="25">
        <f>'Combined Retirement'!$C$18/12</f>
        <v>39153.069999999992</v>
      </c>
      <c r="O275" s="25">
        <f t="shared" si="265"/>
        <v>11007.82546143035</v>
      </c>
      <c r="P275" s="25">
        <f t="shared" si="266"/>
        <v>28145.244538569641</v>
      </c>
      <c r="Q275" s="25">
        <f t="array" aca="1" ref="Q275" ca="1">INDEX('Isaac 401k'!L:L,MATCH('Retirement Calculator'!A275,'Isaac 401k'!N:N,0),0)</f>
        <v>1343233.6853206665</v>
      </c>
      <c r="R275" s="25">
        <f t="array" aca="1" ref="R275" ca="1">INDEX('Lorri 401b'!L:L,MATCH('Retirement Calculator'!A275,'Lorri 401b'!N:N,0),0)</f>
        <v>3479209.0587501577</v>
      </c>
      <c r="S275" s="25">
        <f t="shared" ca="1" si="267"/>
        <v>4822442.7440708242</v>
      </c>
    </row>
    <row r="276" spans="1:19" ht="15.75" customHeight="1" x14ac:dyDescent="0.3">
      <c r="A276" s="37">
        <v>59353</v>
      </c>
      <c r="B276" s="409">
        <f t="shared" ref="B276:C276" si="277">($A276-B$9)/365.25</f>
        <v>80.62149212867898</v>
      </c>
      <c r="C276" s="409">
        <f t="shared" si="277"/>
        <v>76.010951403148525</v>
      </c>
      <c r="E276" s="25">
        <f>IF(C276&gt;$B$7,0,'Combined Retirement'!$D$13/12)</f>
        <v>0</v>
      </c>
      <c r="F276" s="25">
        <f>IF(H276=0,'Combined Retirement'!$D$32,0)+'Combined Retirement'!$B$24</f>
        <v>2870.372285649099</v>
      </c>
      <c r="G276" s="25">
        <f>'Combined Retirement'!$C$24</f>
        <v>3525.4531757812501</v>
      </c>
      <c r="H276" s="25">
        <f>IF(B276&lt;62,0,'Combined Retirement'!$I$14)</f>
        <v>2192</v>
      </c>
      <c r="I276" s="25">
        <f>IF(C276&lt;62,0,'Combined Retirement'!$I$13)</f>
        <v>2420</v>
      </c>
      <c r="J276" s="25">
        <f t="shared" si="263"/>
        <v>7863.2184191855868</v>
      </c>
      <c r="K276" s="25">
        <f t="shared" si="264"/>
        <v>20282.026119384056</v>
      </c>
      <c r="L276" s="25"/>
      <c r="N276" s="25">
        <f>'Combined Retirement'!$C$18/12</f>
        <v>39153.069999999992</v>
      </c>
      <c r="O276" s="25">
        <f t="shared" si="265"/>
        <v>11007.82546143035</v>
      </c>
      <c r="P276" s="25">
        <f t="shared" si="266"/>
        <v>28145.244538569641</v>
      </c>
      <c r="Q276" s="25">
        <f t="array" aca="1" ref="Q276" ca="1">INDEX('Isaac 401k'!L:L,MATCH('Retirement Calculator'!A276,'Isaac 401k'!N:N,0),0)</f>
        <v>1340934.5105135704</v>
      </c>
      <c r="R276" s="25">
        <f t="array" aca="1" ref="R276" ca="1">INDEX('Lorri 401b'!L:L,MATCH('Retirement Calculator'!A276,'Lorri 401b'!N:N,0),0)</f>
        <v>3473339.2286000685</v>
      </c>
      <c r="S276" s="25">
        <f t="shared" ca="1" si="267"/>
        <v>4814273.7391136391</v>
      </c>
    </row>
    <row r="277" spans="1:19" ht="15.75" customHeight="1" x14ac:dyDescent="0.3">
      <c r="A277" s="37">
        <v>59384</v>
      </c>
      <c r="B277" s="409">
        <f t="shared" ref="B277:C277" si="278">($A277-B$9)/365.25</f>
        <v>80.706365503080079</v>
      </c>
      <c r="C277" s="409">
        <f t="shared" si="278"/>
        <v>76.095824777549623</v>
      </c>
      <c r="E277" s="25">
        <f>IF(C277&gt;$B$7,0,'Combined Retirement'!$D$13/12)</f>
        <v>0</v>
      </c>
      <c r="F277" s="25">
        <f>IF(H277=0,'Combined Retirement'!$D$32,0)+'Combined Retirement'!$B$24</f>
        <v>2870.372285649099</v>
      </c>
      <c r="G277" s="25">
        <f>'Combined Retirement'!$C$24</f>
        <v>3525.4531757812501</v>
      </c>
      <c r="H277" s="25">
        <f>IF(B277&lt;62,0,'Combined Retirement'!$I$14)</f>
        <v>2192</v>
      </c>
      <c r="I277" s="25">
        <f>IF(C277&lt;62,0,'Combined Retirement'!$I$13)</f>
        <v>2420</v>
      </c>
      <c r="J277" s="25">
        <f t="shared" si="263"/>
        <v>7863.2184191855868</v>
      </c>
      <c r="K277" s="25">
        <f t="shared" si="264"/>
        <v>20282.026119384056</v>
      </c>
      <c r="L277" s="25"/>
      <c r="N277" s="25">
        <f>'Combined Retirement'!$C$18/12</f>
        <v>39153.069999999992</v>
      </c>
      <c r="O277" s="25">
        <f t="shared" si="265"/>
        <v>11007.82546143035</v>
      </c>
      <c r="P277" s="25">
        <f t="shared" si="266"/>
        <v>28145.244538569641</v>
      </c>
      <c r="Q277" s="25">
        <f t="array" aca="1" ref="Q277" ca="1">INDEX('Isaac 401k'!L:L,MATCH('Retirement Calculator'!A277,'Isaac 401k'!N:N,0),0)</f>
        <v>1338625.7558114447</v>
      </c>
      <c r="R277" s="25">
        <f t="array" aca="1" ref="R277" ca="1">INDEX('Lorri 401b'!L:L,MATCH('Retirement Calculator'!A277,'Lorri 401b'!N:N,0),0)</f>
        <v>3467444.9408243541</v>
      </c>
      <c r="S277" s="25">
        <f t="shared" ca="1" si="267"/>
        <v>4806070.6966357986</v>
      </c>
    </row>
    <row r="278" spans="1:19" ht="15.75" customHeight="1" x14ac:dyDescent="0.3">
      <c r="A278" s="37">
        <v>59415</v>
      </c>
      <c r="B278" s="409">
        <f t="shared" ref="B278:C278" si="279">($A278-B$9)/365.25</f>
        <v>80.791238877481177</v>
      </c>
      <c r="C278" s="409">
        <f t="shared" si="279"/>
        <v>76.180698151950722</v>
      </c>
      <c r="E278" s="25">
        <f>IF(C278&gt;$B$7,0,'Combined Retirement'!$D$13/12)</f>
        <v>0</v>
      </c>
      <c r="F278" s="25">
        <f>IF(H278=0,'Combined Retirement'!$D$32,0)+'Combined Retirement'!$B$24</f>
        <v>2870.372285649099</v>
      </c>
      <c r="G278" s="25">
        <f>'Combined Retirement'!$C$24</f>
        <v>3525.4531757812501</v>
      </c>
      <c r="H278" s="25">
        <f>IF(B278&lt;62,0,'Combined Retirement'!$I$14)</f>
        <v>2192</v>
      </c>
      <c r="I278" s="25">
        <f>IF(C278&lt;62,0,'Combined Retirement'!$I$13)</f>
        <v>2420</v>
      </c>
      <c r="J278" s="25">
        <f t="shared" si="263"/>
        <v>7863.2184191855868</v>
      </c>
      <c r="K278" s="25">
        <f t="shared" si="264"/>
        <v>20282.026119384056</v>
      </c>
      <c r="L278" s="25"/>
      <c r="N278" s="25">
        <f>'Combined Retirement'!$C$18/12</f>
        <v>39153.069999999992</v>
      </c>
      <c r="O278" s="25">
        <f t="shared" si="265"/>
        <v>11007.82546143035</v>
      </c>
      <c r="P278" s="25">
        <f t="shared" si="266"/>
        <v>28145.244538569641</v>
      </c>
      <c r="Q278" s="25">
        <f t="array" aca="1" ref="Q278" ca="1">INDEX('Isaac 401k'!L:L,MATCH('Retirement Calculator'!A278,'Isaac 401k'!N:N,0),0)</f>
        <v>1336307.3812980603</v>
      </c>
      <c r="R278" s="25">
        <f t="array" aca="1" ref="R278" ca="1">INDEX('Lorri 401b'!L:L,MATCH('Retirement Calculator'!A278,'Lorri 401b'!N:N,0),0)</f>
        <v>3461526.0935162408</v>
      </c>
      <c r="S278" s="25">
        <f t="shared" ca="1" si="267"/>
        <v>4797833.4748143014</v>
      </c>
    </row>
    <row r="279" spans="1:19" ht="15.75" customHeight="1" x14ac:dyDescent="0.3">
      <c r="A279" s="37">
        <v>59445</v>
      </c>
      <c r="B279" s="409">
        <f t="shared" ref="B279:C279" si="280">($A279-B$9)/365.25</f>
        <v>80.873374401095134</v>
      </c>
      <c r="C279" s="409">
        <f t="shared" si="280"/>
        <v>76.262833675564679</v>
      </c>
      <c r="E279" s="25">
        <f>IF(C279&gt;$B$7,0,'Combined Retirement'!$D$13/12)</f>
        <v>0</v>
      </c>
      <c r="F279" s="25">
        <f>IF(H279=0,'Combined Retirement'!$D$32,0)+'Combined Retirement'!$B$24</f>
        <v>2870.372285649099</v>
      </c>
      <c r="G279" s="25">
        <f>'Combined Retirement'!$C$24</f>
        <v>3525.4531757812501</v>
      </c>
      <c r="H279" s="25">
        <f>IF(B279&lt;62,0,'Combined Retirement'!$I$14)</f>
        <v>2192</v>
      </c>
      <c r="I279" s="25">
        <f>IF(C279&lt;62,0,'Combined Retirement'!$I$13)</f>
        <v>2420</v>
      </c>
      <c r="J279" s="25">
        <f t="shared" si="263"/>
        <v>7863.2184191855868</v>
      </c>
      <c r="K279" s="25">
        <f t="shared" si="264"/>
        <v>20282.026119384056</v>
      </c>
      <c r="L279" s="25"/>
      <c r="N279" s="25">
        <f>'Combined Retirement'!$C$18/12</f>
        <v>39153.069999999992</v>
      </c>
      <c r="O279" s="25">
        <f t="shared" si="265"/>
        <v>11007.82546143035</v>
      </c>
      <c r="P279" s="25">
        <f t="shared" si="266"/>
        <v>28145.244538569641</v>
      </c>
      <c r="Q279" s="25">
        <f t="array" aca="1" ref="Q279" ca="1">INDEX('Isaac 401k'!L:L,MATCH('Retirement Calculator'!A279,'Isaac 401k'!N:N,0),0)</f>
        <v>1333979.34689087</v>
      </c>
      <c r="R279" s="25">
        <f t="array" aca="1" ref="R279" ca="1">INDEX('Lorri 401b'!L:L,MATCH('Retirement Calculator'!A279,'Lorri 401b'!N:N,0),0)</f>
        <v>3455582.5843443437</v>
      </c>
      <c r="S279" s="25">
        <f t="shared" ca="1" si="267"/>
        <v>4789561.9312352138</v>
      </c>
    </row>
    <row r="280" spans="1:19" ht="15.75" customHeight="1" x14ac:dyDescent="0.3">
      <c r="A280" s="37">
        <v>59476</v>
      </c>
      <c r="B280" s="409">
        <f t="shared" ref="B280:C280" si="281">($A280-B$9)/365.25</f>
        <v>80.958247775496233</v>
      </c>
      <c r="C280" s="409">
        <f t="shared" si="281"/>
        <v>76.347707049965777</v>
      </c>
      <c r="E280" s="25">
        <f>IF(C280&gt;$B$7,0,'Combined Retirement'!$D$13/12)</f>
        <v>0</v>
      </c>
      <c r="F280" s="25">
        <f>IF(H280=0,'Combined Retirement'!$D$32,0)+'Combined Retirement'!$B$24</f>
        <v>2870.372285649099</v>
      </c>
      <c r="G280" s="25">
        <f>'Combined Retirement'!$C$24</f>
        <v>3525.4531757812501</v>
      </c>
      <c r="H280" s="25">
        <f>IF(B280&lt;62,0,'Combined Retirement'!$I$14)</f>
        <v>2192</v>
      </c>
      <c r="I280" s="25">
        <f>IF(C280&lt;62,0,'Combined Retirement'!$I$13)</f>
        <v>2420</v>
      </c>
      <c r="J280" s="25">
        <f t="shared" si="263"/>
        <v>7863.2184191855868</v>
      </c>
      <c r="K280" s="25">
        <f t="shared" si="264"/>
        <v>20282.026119384056</v>
      </c>
      <c r="L280" s="25"/>
      <c r="N280" s="25">
        <f>'Combined Retirement'!$C$18/12</f>
        <v>39153.069999999992</v>
      </c>
      <c r="O280" s="25">
        <f t="shared" si="265"/>
        <v>11007.82546143035</v>
      </c>
      <c r="P280" s="25">
        <f t="shared" si="266"/>
        <v>28145.244538569641</v>
      </c>
      <c r="Q280" s="25">
        <f t="array" aca="1" ref="Q280" ca="1">INDEX('Isaac 401k'!L:L,MATCH('Retirement Calculator'!A280,'Isaac 401k'!N:N,0),0)</f>
        <v>1331641.6123403164</v>
      </c>
      <c r="R280" s="25">
        <f t="array" aca="1" ref="R280" ca="1">INDEX('Lorri 401b'!L:L,MATCH('Retirement Calculator'!A280,'Lorri 401b'!N:N,0),0)</f>
        <v>3449614.3105508969</v>
      </c>
      <c r="S280" s="25">
        <f t="shared" ca="1" si="267"/>
        <v>4781255.9228912136</v>
      </c>
    </row>
    <row r="281" spans="1:19" ht="15.75" customHeight="1" x14ac:dyDescent="0.3">
      <c r="A281" s="37">
        <v>59506</v>
      </c>
      <c r="B281" s="409">
        <f t="shared" ref="B281:C281" si="282">($A281-B$9)/365.25</f>
        <v>81.040383299110204</v>
      </c>
      <c r="C281" s="409">
        <f t="shared" si="282"/>
        <v>76.429842573579734</v>
      </c>
      <c r="E281" s="25">
        <f>IF(C281&gt;$B$7,0,'Combined Retirement'!$D$13/12)</f>
        <v>0</v>
      </c>
      <c r="F281" s="25">
        <f>IF(H281=0,'Combined Retirement'!$D$32,0)+'Combined Retirement'!$B$24</f>
        <v>2870.372285649099</v>
      </c>
      <c r="G281" s="25">
        <f>'Combined Retirement'!$C$24</f>
        <v>3525.4531757812501</v>
      </c>
      <c r="H281" s="25">
        <f>IF(B281&lt;62,0,'Combined Retirement'!$I$14)</f>
        <v>2192</v>
      </c>
      <c r="I281" s="25">
        <f>IF(C281&lt;62,0,'Combined Retirement'!$I$13)</f>
        <v>2420</v>
      </c>
      <c r="J281" s="25">
        <f t="shared" si="263"/>
        <v>7863.2184191855868</v>
      </c>
      <c r="K281" s="25">
        <f t="shared" si="264"/>
        <v>20282.026119384056</v>
      </c>
      <c r="L281" s="25"/>
      <c r="N281" s="25">
        <f>'Combined Retirement'!$C$18/12</f>
        <v>39153.069999999992</v>
      </c>
      <c r="O281" s="25">
        <f t="shared" si="265"/>
        <v>11007.82546143035</v>
      </c>
      <c r="P281" s="25">
        <f t="shared" si="266"/>
        <v>28145.244538569641</v>
      </c>
      <c r="Q281" s="25">
        <f t="array" aca="1" ref="Q281" ca="1">INDEX('Isaac 401k'!L:L,MATCH('Retirement Calculator'!A281,'Isaac 401k'!N:N,0),0)</f>
        <v>1329294.1372291355</v>
      </c>
      <c r="R281" s="25">
        <f t="array" aca="1" ref="R281" ca="1">INDEX('Lorri 401b'!L:L,MATCH('Retirement Calculator'!A281,'Lorri 401b'!N:N,0),0)</f>
        <v>3443621.1689499775</v>
      </c>
      <c r="S281" s="25">
        <f t="shared" ca="1" si="267"/>
        <v>4772915.3061791128</v>
      </c>
    </row>
    <row r="282" spans="1:19" ht="15.75" customHeight="1" x14ac:dyDescent="0.3">
      <c r="A282" s="37">
        <v>59537</v>
      </c>
      <c r="B282" s="409">
        <f t="shared" ref="B282:C282" si="283">($A282-B$9)/365.25</f>
        <v>81.125256673511288</v>
      </c>
      <c r="C282" s="409">
        <f t="shared" si="283"/>
        <v>76.514715947980832</v>
      </c>
      <c r="E282" s="25">
        <f>IF(C282&gt;$B$7,0,'Combined Retirement'!$D$13/12)</f>
        <v>0</v>
      </c>
      <c r="F282" s="25">
        <f>IF(H282=0,'Combined Retirement'!$D$32,0)+'Combined Retirement'!$B$24</f>
        <v>2870.372285649099</v>
      </c>
      <c r="G282" s="25">
        <f>'Combined Retirement'!$C$24</f>
        <v>3525.4531757812501</v>
      </c>
      <c r="H282" s="25">
        <f>IF(B282&lt;62,0,'Combined Retirement'!$I$14)</f>
        <v>2192</v>
      </c>
      <c r="I282" s="25">
        <f>IF(C282&lt;62,0,'Combined Retirement'!$I$13)</f>
        <v>2420</v>
      </c>
      <c r="J282" s="25">
        <f t="shared" si="263"/>
        <v>7863.2184191855868</v>
      </c>
      <c r="K282" s="25">
        <f t="shared" si="264"/>
        <v>20282.026119384056</v>
      </c>
      <c r="L282" s="25"/>
      <c r="N282" s="25">
        <f>'Combined Retirement'!$C$18/12</f>
        <v>39153.069999999992</v>
      </c>
      <c r="O282" s="25">
        <f t="shared" si="265"/>
        <v>11007.82546143035</v>
      </c>
      <c r="P282" s="25">
        <f t="shared" si="266"/>
        <v>28145.244538569641</v>
      </c>
      <c r="Q282" s="25">
        <f t="array" aca="1" ref="Q282" ca="1">INDEX('Isaac 401k'!L:L,MATCH('Retirement Calculator'!A282,'Isaac 401k'!N:N,0),0)</f>
        <v>1326936.880971658</v>
      </c>
      <c r="R282" s="25">
        <f t="array" aca="1" ref="R282" ca="1">INDEX('Lorri 401b'!L:L,MATCH('Retirement Calculator'!A282,'Lorri 401b'!N:N,0),0)</f>
        <v>3437603.0559257208</v>
      </c>
      <c r="S282" s="25">
        <f t="shared" ca="1" si="267"/>
        <v>4764539.9368973784</v>
      </c>
    </row>
    <row r="283" spans="1:19" ht="15.75" customHeight="1" x14ac:dyDescent="0.3">
      <c r="A283" s="37">
        <v>59568</v>
      </c>
      <c r="B283" s="409">
        <f t="shared" ref="B283:C283" si="284">($A283-B$9)/365.25</f>
        <v>81.210130047912386</v>
      </c>
      <c r="C283" s="409">
        <f t="shared" si="284"/>
        <v>76.599589322381931</v>
      </c>
      <c r="E283" s="25">
        <f>IF(C283&gt;$B$7,0,'Combined Retirement'!$D$13/12)</f>
        <v>0</v>
      </c>
      <c r="F283" s="25">
        <f>IF(H283=0,'Combined Retirement'!$D$32,0)+'Combined Retirement'!$B$24</f>
        <v>2870.372285649099</v>
      </c>
      <c r="G283" s="25">
        <f>'Combined Retirement'!$C$24</f>
        <v>3525.4531757812501</v>
      </c>
      <c r="H283" s="25">
        <f>IF(B283&lt;62,0,'Combined Retirement'!$I$14)</f>
        <v>2192</v>
      </c>
      <c r="I283" s="25">
        <f>IF(C283&lt;62,0,'Combined Retirement'!$I$13)</f>
        <v>2420</v>
      </c>
      <c r="J283" s="25">
        <f t="shared" si="263"/>
        <v>7863.2184191855868</v>
      </c>
      <c r="K283" s="25">
        <f t="shared" si="264"/>
        <v>20282.026119384056</v>
      </c>
      <c r="L283" s="25"/>
      <c r="N283" s="25">
        <f>'Combined Retirement'!$C$18/12</f>
        <v>39153.069999999992</v>
      </c>
      <c r="O283" s="25">
        <f t="shared" si="265"/>
        <v>11007.82546143035</v>
      </c>
      <c r="P283" s="25">
        <f t="shared" si="266"/>
        <v>28145.244538569641</v>
      </c>
      <c r="Q283" s="25">
        <f t="array" aca="1" ref="Q283" ca="1">INDEX('Isaac 401k'!L:L,MATCH('Retirement Calculator'!A283,'Isaac 401k'!N:N,0),0)</f>
        <v>1324569.8028131078</v>
      </c>
      <c r="R283" s="25">
        <f t="array" aca="1" ref="R283" ca="1">INDEX('Lorri 401b'!L:L,MATCH('Retirement Calculator'!A283,'Lorri 401b'!N:N,0),0)</f>
        <v>3431559.86743053</v>
      </c>
      <c r="S283" s="25">
        <f t="shared" ca="1" si="267"/>
        <v>4756129.6702436376</v>
      </c>
    </row>
    <row r="284" spans="1:19" ht="15.75" customHeight="1" x14ac:dyDescent="0.3">
      <c r="A284" s="37">
        <v>59596</v>
      </c>
      <c r="B284" s="409">
        <f t="shared" ref="B284:C284" si="285">($A284-B$9)/365.25</f>
        <v>81.286789869952088</v>
      </c>
      <c r="C284" s="409">
        <f t="shared" si="285"/>
        <v>76.676249144421632</v>
      </c>
      <c r="E284" s="25">
        <f>IF(C284&gt;$B$7,0,'Combined Retirement'!$D$13/12)</f>
        <v>0</v>
      </c>
      <c r="F284" s="25">
        <f>IF(H284=0,'Combined Retirement'!$D$32,0)+'Combined Retirement'!$B$24</f>
        <v>2870.372285649099</v>
      </c>
      <c r="G284" s="25">
        <f>'Combined Retirement'!$C$24</f>
        <v>3525.4531757812501</v>
      </c>
      <c r="H284" s="25">
        <f>IF(B284&lt;62,0,'Combined Retirement'!$I$14)</f>
        <v>2192</v>
      </c>
      <c r="I284" s="25">
        <f>IF(C284&lt;62,0,'Combined Retirement'!$I$13)</f>
        <v>2420</v>
      </c>
      <c r="J284" s="25">
        <f t="shared" si="263"/>
        <v>7863.2184191855868</v>
      </c>
      <c r="K284" s="25">
        <f t="shared" si="264"/>
        <v>20282.026119384056</v>
      </c>
      <c r="L284" s="25"/>
      <c r="N284" s="25">
        <f>'Combined Retirement'!$C$18/12</f>
        <v>39153.069999999992</v>
      </c>
      <c r="O284" s="25">
        <f t="shared" si="265"/>
        <v>11007.82546143035</v>
      </c>
      <c r="P284" s="25">
        <f t="shared" si="266"/>
        <v>28145.244538569641</v>
      </c>
      <c r="Q284" s="25">
        <f t="array" aca="1" ref="Q284" ca="1">INDEX('Isaac 401k'!L:L,MATCH('Retirement Calculator'!A284,'Isaac 401k'!N:N,0),0)</f>
        <v>1322192.8618288969</v>
      </c>
      <c r="R284" s="25">
        <f t="array" aca="1" ref="R284" ca="1">INDEX('Lorri 401b'!L:L,MATCH('Retirement Calculator'!A284,'Lorri 401b'!N:N,0),0)</f>
        <v>3425491.4989832756</v>
      </c>
      <c r="S284" s="25">
        <f t="shared" ca="1" si="267"/>
        <v>4747684.3608121723</v>
      </c>
    </row>
    <row r="285" spans="1:19" ht="15.75" customHeight="1" x14ac:dyDescent="0.3">
      <c r="A285" s="37">
        <v>59627</v>
      </c>
      <c r="B285" s="409">
        <f t="shared" ref="B285:C285" si="286">($A285-B$9)/365.25</f>
        <v>81.371663244353186</v>
      </c>
      <c r="C285" s="409">
        <f t="shared" si="286"/>
        <v>76.761122518822731</v>
      </c>
      <c r="E285" s="25">
        <f>IF(C285&gt;$B$7,0,'Combined Retirement'!$D$13/12)</f>
        <v>0</v>
      </c>
      <c r="F285" s="25">
        <f>IF(H285=0,'Combined Retirement'!$D$32,0)+'Combined Retirement'!$B$24</f>
        <v>2870.372285649099</v>
      </c>
      <c r="G285" s="25">
        <f>'Combined Retirement'!$C$24</f>
        <v>3525.4531757812501</v>
      </c>
      <c r="H285" s="25">
        <f>IF(B285&lt;62,0,'Combined Retirement'!$I$14)</f>
        <v>2192</v>
      </c>
      <c r="I285" s="25">
        <f>IF(C285&lt;62,0,'Combined Retirement'!$I$13)</f>
        <v>2420</v>
      </c>
      <c r="J285" s="25">
        <f t="shared" si="263"/>
        <v>7863.2184191855868</v>
      </c>
      <c r="K285" s="25">
        <f t="shared" si="264"/>
        <v>20282.026119384056</v>
      </c>
      <c r="L285" s="25"/>
      <c r="N285" s="25">
        <f>'Combined Retirement'!$C$18/12</f>
        <v>39153.069999999992</v>
      </c>
      <c r="O285" s="25">
        <f t="shared" si="265"/>
        <v>11007.82546143035</v>
      </c>
      <c r="P285" s="25">
        <f t="shared" si="266"/>
        <v>28145.244538569641</v>
      </c>
      <c r="Q285" s="25">
        <f t="array" aca="1" ref="Q285" ca="1">INDEX('Isaac 401k'!L:L,MATCH('Retirement Calculator'!A285,'Isaac 401k'!N:N,0),0)</f>
        <v>1319806.0169239184</v>
      </c>
      <c r="R285" s="25">
        <f t="array" aca="1" ref="R285" ca="1">INDEX('Lorri 401b'!L:L,MATCH('Retirement Calculator'!A285,'Lorri 401b'!N:N,0),0)</f>
        <v>3419397.8456674912</v>
      </c>
      <c r="S285" s="25">
        <f t="shared" ca="1" si="267"/>
        <v>4739203.8625914101</v>
      </c>
    </row>
    <row r="286" spans="1:19" ht="15.75" customHeight="1" x14ac:dyDescent="0.3">
      <c r="A286" s="37">
        <v>59657</v>
      </c>
      <c r="B286" s="409">
        <f t="shared" ref="B286:C286" si="287">($A286-B$9)/365.25</f>
        <v>81.453798767967143</v>
      </c>
      <c r="C286" s="409">
        <f t="shared" si="287"/>
        <v>76.843258042436688</v>
      </c>
      <c r="E286" s="25">
        <f>IF(C286&gt;$B$7,0,'Combined Retirement'!$D$13/12)</f>
        <v>0</v>
      </c>
      <c r="F286" s="25">
        <f>IF(H286=0,'Combined Retirement'!$D$32,0)+'Combined Retirement'!$B$24</f>
        <v>2870.372285649099</v>
      </c>
      <c r="G286" s="25">
        <f>'Combined Retirement'!$C$24</f>
        <v>3525.4531757812501</v>
      </c>
      <c r="H286" s="25">
        <f>IF(B286&lt;62,0,'Combined Retirement'!$I$14)</f>
        <v>2192</v>
      </c>
      <c r="I286" s="25">
        <f>IF(C286&lt;62,0,'Combined Retirement'!$I$13)</f>
        <v>2420</v>
      </c>
      <c r="J286" s="25">
        <f t="shared" si="263"/>
        <v>7863.2184191855868</v>
      </c>
      <c r="K286" s="25">
        <f t="shared" si="264"/>
        <v>20282.026119384056</v>
      </c>
      <c r="L286" s="25"/>
      <c r="N286" s="25">
        <f>'Combined Retirement'!$C$18/12</f>
        <v>39153.069999999992</v>
      </c>
      <c r="O286" s="25">
        <f t="shared" si="265"/>
        <v>11007.82546143035</v>
      </c>
      <c r="P286" s="25">
        <f t="shared" si="266"/>
        <v>28145.244538569641</v>
      </c>
      <c r="Q286" s="25">
        <f t="array" aca="1" ref="Q286" ca="1">INDEX('Isaac 401k'!L:L,MATCH('Retirement Calculator'!A286,'Isaac 401k'!N:N,0),0)</f>
        <v>1317409.2268318359</v>
      </c>
      <c r="R286" s="25">
        <f t="array" aca="1" ref="R286" ca="1">INDEX('Lorri 401b'!L:L,MATCH('Retirement Calculator'!A286,'Lorri 401b'!N:N,0),0)</f>
        <v>3413278.8021295578</v>
      </c>
      <c r="S286" s="25">
        <f t="shared" ca="1" si="267"/>
        <v>4730688.028961394</v>
      </c>
    </row>
    <row r="287" spans="1:19" ht="15.75" customHeight="1" x14ac:dyDescent="0.3">
      <c r="A287" s="37">
        <v>59688</v>
      </c>
      <c r="B287" s="409">
        <f t="shared" ref="B287:C287" si="288">($A287-B$9)/365.25</f>
        <v>81.538672142368242</v>
      </c>
      <c r="C287" s="409">
        <f t="shared" si="288"/>
        <v>76.928131416837786</v>
      </c>
      <c r="E287" s="25">
        <f>IF(C287&gt;$B$7,0,'Combined Retirement'!$D$13/12)</f>
        <v>0</v>
      </c>
      <c r="F287" s="25">
        <f>IF(H287=0,'Combined Retirement'!$D$32,0)+'Combined Retirement'!$B$24</f>
        <v>2870.372285649099</v>
      </c>
      <c r="G287" s="25">
        <f>'Combined Retirement'!$C$24</f>
        <v>3525.4531757812501</v>
      </c>
      <c r="H287" s="25">
        <f>IF(B287&lt;62,0,'Combined Retirement'!$I$14)</f>
        <v>2192</v>
      </c>
      <c r="I287" s="25">
        <f>IF(C287&lt;62,0,'Combined Retirement'!$I$13)</f>
        <v>2420</v>
      </c>
      <c r="J287" s="25">
        <f t="shared" si="263"/>
        <v>7863.2184191855868</v>
      </c>
      <c r="K287" s="25">
        <f t="shared" si="264"/>
        <v>20282.026119384056</v>
      </c>
      <c r="L287" s="25"/>
      <c r="N287" s="25">
        <f>'Combined Retirement'!$C$18/12</f>
        <v>39153.069999999992</v>
      </c>
      <c r="O287" s="25">
        <f t="shared" si="265"/>
        <v>11007.82546143035</v>
      </c>
      <c r="P287" s="25">
        <f t="shared" si="266"/>
        <v>28145.244538569641</v>
      </c>
      <c r="Q287" s="25">
        <f t="array" aca="1" ref="Q287" ca="1">INDEX('Isaac 401k'!L:L,MATCH('Retirement Calculator'!A287,'Isaac 401k'!N:N,0),0)</f>
        <v>1315002.4501143696</v>
      </c>
      <c r="R287" s="25">
        <f t="array" aca="1" ref="R287" ca="1">INDEX('Lorri 401b'!L:L,MATCH('Retirement Calculator'!A287,'Lorri 401b'!N:N,0),0)</f>
        <v>3407134.2625768827</v>
      </c>
      <c r="S287" s="25">
        <f t="shared" ca="1" si="267"/>
        <v>4722136.7126912521</v>
      </c>
    </row>
    <row r="288" spans="1:19" ht="15.75" customHeight="1" x14ac:dyDescent="0.3">
      <c r="A288" s="37">
        <v>59718</v>
      </c>
      <c r="B288" s="409">
        <f t="shared" ref="B288:C288" si="289">($A288-B$9)/365.25</f>
        <v>81.620807665982198</v>
      </c>
      <c r="C288" s="409">
        <f t="shared" si="289"/>
        <v>77.010266940451743</v>
      </c>
      <c r="E288" s="25">
        <f>IF(C288&gt;$B$7,0,'Combined Retirement'!$D$13/12)</f>
        <v>0</v>
      </c>
      <c r="F288" s="25">
        <f>IF(H288=0,'Combined Retirement'!$D$32,0)+'Combined Retirement'!$B$24</f>
        <v>2870.372285649099</v>
      </c>
      <c r="G288" s="25">
        <f>'Combined Retirement'!$C$24</f>
        <v>3525.4531757812501</v>
      </c>
      <c r="H288" s="25">
        <f>IF(B288&lt;62,0,'Combined Retirement'!$I$14)</f>
        <v>2192</v>
      </c>
      <c r="I288" s="25">
        <f>IF(C288&lt;62,0,'Combined Retirement'!$I$13)</f>
        <v>2420</v>
      </c>
      <c r="J288" s="25">
        <f t="shared" si="263"/>
        <v>7863.2184191855868</v>
      </c>
      <c r="K288" s="25">
        <f t="shared" si="264"/>
        <v>20282.026119384056</v>
      </c>
      <c r="L288" s="25"/>
      <c r="N288" s="25">
        <f>'Combined Retirement'!$C$18/12</f>
        <v>39153.069999999992</v>
      </c>
      <c r="O288" s="25">
        <f t="shared" si="265"/>
        <v>11007.82546143035</v>
      </c>
      <c r="P288" s="25">
        <f t="shared" si="266"/>
        <v>28145.244538569641</v>
      </c>
      <c r="Q288" s="25">
        <f t="array" aca="1" ref="Q288" ca="1">INDEX('Isaac 401k'!L:L,MATCH('Retirement Calculator'!A288,'Isaac 401k'!N:N,0),0)</f>
        <v>1312585.6451605805</v>
      </c>
      <c r="R288" s="25">
        <f t="array" aca="1" ref="R288" ca="1">INDEX('Lorri 401b'!L:L,MATCH('Retirement Calculator'!A288,'Lorri 401b'!N:N,0),0)</f>
        <v>3400964.1207760717</v>
      </c>
      <c r="S288" s="25">
        <f t="shared" ca="1" si="267"/>
        <v>4713549.7659366522</v>
      </c>
    </row>
    <row r="289" spans="1:19" ht="15.75" customHeight="1" x14ac:dyDescent="0.3">
      <c r="A289" s="37">
        <v>59749</v>
      </c>
      <c r="B289" s="409">
        <f t="shared" ref="B289:C289" si="290">($A289-B$9)/365.25</f>
        <v>81.705681040383297</v>
      </c>
      <c r="C289" s="409">
        <f t="shared" si="290"/>
        <v>77.095140314852841</v>
      </c>
      <c r="E289" s="25">
        <f>IF(C289&gt;$B$7,0,'Combined Retirement'!$D$13/12)</f>
        <v>0</v>
      </c>
      <c r="F289" s="25">
        <f>IF(H289=0,'Combined Retirement'!$D$32,0)+'Combined Retirement'!$B$24</f>
        <v>2870.372285649099</v>
      </c>
      <c r="G289" s="25">
        <f>'Combined Retirement'!$C$24</f>
        <v>3525.4531757812501</v>
      </c>
      <c r="H289" s="25">
        <f>IF(B289&lt;62,0,'Combined Retirement'!$I$14)</f>
        <v>2192</v>
      </c>
      <c r="I289" s="25">
        <f>IF(C289&lt;62,0,'Combined Retirement'!$I$13)</f>
        <v>2420</v>
      </c>
      <c r="J289" s="25">
        <f t="shared" si="263"/>
        <v>7863.2184191855868</v>
      </c>
      <c r="K289" s="25">
        <f t="shared" si="264"/>
        <v>20282.026119384056</v>
      </c>
      <c r="L289" s="25"/>
      <c r="N289" s="25">
        <f>'Combined Retirement'!$C$18/12</f>
        <v>39153.069999999992</v>
      </c>
      <c r="O289" s="25">
        <f t="shared" si="265"/>
        <v>11007.82546143035</v>
      </c>
      <c r="P289" s="25">
        <f t="shared" si="266"/>
        <v>28145.244538569641</v>
      </c>
      <c r="Q289" s="25">
        <f t="array" aca="1" ref="Q289" ca="1">INDEX('Isaac 401k'!L:L,MATCH('Retirement Calculator'!A289,'Isaac 401k'!N:N,0),0)</f>
        <v>1310158.7701861507</v>
      </c>
      <c r="R289" s="25">
        <f t="array" aca="1" ref="R289" ca="1">INDEX('Lorri 401b'!L:L,MATCH('Retirement Calculator'!A289,'Lorri 401b'!N:N,0),0)</f>
        <v>3394768.2700510905</v>
      </c>
      <c r="S289" s="25">
        <f t="shared" ca="1" si="267"/>
        <v>4704927.0402372414</v>
      </c>
    </row>
    <row r="290" spans="1:19" ht="15.75" customHeight="1" x14ac:dyDescent="0.3">
      <c r="A290" s="37">
        <v>59780</v>
      </c>
      <c r="B290" s="409">
        <f t="shared" ref="B290:C290" si="291">($A290-B$9)/365.25</f>
        <v>81.790554414784395</v>
      </c>
      <c r="C290" s="409">
        <f t="shared" si="291"/>
        <v>77.18001368925394</v>
      </c>
      <c r="E290" s="25">
        <f>IF(C290&gt;$B$7,0,'Combined Retirement'!$D$13/12)</f>
        <v>0</v>
      </c>
      <c r="F290" s="25">
        <f>IF(H290=0,'Combined Retirement'!$D$32,0)+'Combined Retirement'!$B$24</f>
        <v>2870.372285649099</v>
      </c>
      <c r="G290" s="25">
        <f>'Combined Retirement'!$C$24</f>
        <v>3525.4531757812501</v>
      </c>
      <c r="H290" s="25">
        <f>IF(B290&lt;62,0,'Combined Retirement'!$I$14)</f>
        <v>2192</v>
      </c>
      <c r="I290" s="25">
        <f>IF(C290&lt;62,0,'Combined Retirement'!$I$13)</f>
        <v>2420</v>
      </c>
      <c r="J290" s="25">
        <f t="shared" si="263"/>
        <v>7863.2184191855868</v>
      </c>
      <c r="K290" s="25">
        <f t="shared" si="264"/>
        <v>20282.026119384056</v>
      </c>
      <c r="L290" s="25"/>
      <c r="N290" s="25">
        <f>'Combined Retirement'!$C$18/12</f>
        <v>39153.069999999992</v>
      </c>
      <c r="O290" s="25">
        <f t="shared" si="265"/>
        <v>11007.82546143035</v>
      </c>
      <c r="P290" s="25">
        <f t="shared" si="266"/>
        <v>28145.244538569641</v>
      </c>
      <c r="Q290" s="25">
        <f t="array" aca="1" ref="Q290" ca="1">INDEX('Isaac 401k'!L:L,MATCH('Retirement Calculator'!A290,'Isaac 401k'!N:N,0),0)</f>
        <v>1307721.7832326607</v>
      </c>
      <c r="R290" s="25">
        <f t="array" aca="1" ref="R290" ca="1">INDEX('Lorri 401b'!L:L,MATCH('Retirement Calculator'!A290,'Lorri 401b'!N:N,0),0)</f>
        <v>3388546.6032814221</v>
      </c>
      <c r="S290" s="25">
        <f t="shared" ca="1" si="267"/>
        <v>4696268.3865140826</v>
      </c>
    </row>
    <row r="291" spans="1:19" ht="15.75" customHeight="1" x14ac:dyDescent="0.3">
      <c r="A291" s="37">
        <v>59810</v>
      </c>
      <c r="B291" s="409">
        <f t="shared" ref="B291:C291" si="292">($A291-B$9)/365.25</f>
        <v>81.872689938398352</v>
      </c>
      <c r="C291" s="409">
        <f t="shared" si="292"/>
        <v>77.262149212867897</v>
      </c>
      <c r="E291" s="25">
        <f>IF(C291&gt;$B$7,0,'Combined Retirement'!$D$13/12)</f>
        <v>0</v>
      </c>
      <c r="F291" s="25">
        <f>IF(H291=0,'Combined Retirement'!$D$32,0)+'Combined Retirement'!$B$24</f>
        <v>2870.372285649099</v>
      </c>
      <c r="G291" s="25">
        <f>'Combined Retirement'!$C$24</f>
        <v>3525.4531757812501</v>
      </c>
      <c r="H291" s="25">
        <f>IF(B291&lt;62,0,'Combined Retirement'!$I$14)</f>
        <v>2192</v>
      </c>
      <c r="I291" s="25">
        <f>IF(C291&lt;62,0,'Combined Retirement'!$I$13)</f>
        <v>2420</v>
      </c>
      <c r="J291" s="25">
        <f t="shared" si="263"/>
        <v>7863.2184191855868</v>
      </c>
      <c r="K291" s="25">
        <f t="shared" si="264"/>
        <v>20282.026119384056</v>
      </c>
      <c r="L291" s="25"/>
      <c r="N291" s="25">
        <f>'Combined Retirement'!$C$18/12</f>
        <v>39153.069999999992</v>
      </c>
      <c r="O291" s="25">
        <f t="shared" si="265"/>
        <v>11007.82546143035</v>
      </c>
      <c r="P291" s="25">
        <f t="shared" si="266"/>
        <v>28145.244538569641</v>
      </c>
      <c r="Q291" s="25">
        <f t="array" aca="1" ref="Q291" ca="1">INDEX('Isaac 401k'!L:L,MATCH('Retirement Calculator'!A291,'Isaac 401k'!N:N,0),0)</f>
        <v>1305274.6421668646</v>
      </c>
      <c r="R291" s="25">
        <f t="array" aca="1" ref="R291" ca="1">INDEX('Lorri 401b'!L:L,MATCH('Retirement Calculator'!A291,'Lorri 401b'!N:N,0),0)</f>
        <v>3382299.0129002132</v>
      </c>
      <c r="S291" s="25">
        <f t="shared" ca="1" si="267"/>
        <v>4687573.6550670778</v>
      </c>
    </row>
    <row r="292" spans="1:19" ht="15.75" customHeight="1" x14ac:dyDescent="0.3">
      <c r="A292" s="37">
        <v>59841</v>
      </c>
      <c r="B292" s="409">
        <f t="shared" ref="B292:C292" si="293">($A292-B$9)/365.25</f>
        <v>81.957563312799451</v>
      </c>
      <c r="C292" s="409">
        <f t="shared" si="293"/>
        <v>77.347022587268995</v>
      </c>
      <c r="E292" s="25">
        <f>IF(C292&gt;$B$7,0,'Combined Retirement'!$D$13/12)</f>
        <v>0</v>
      </c>
      <c r="F292" s="25">
        <f>IF(H292=0,'Combined Retirement'!$D$32,0)+'Combined Retirement'!$B$24</f>
        <v>2870.372285649099</v>
      </c>
      <c r="G292" s="25">
        <f>'Combined Retirement'!$C$24</f>
        <v>3525.4531757812501</v>
      </c>
      <c r="H292" s="25">
        <f>IF(B292&lt;62,0,'Combined Retirement'!$I$14)</f>
        <v>2192</v>
      </c>
      <c r="I292" s="25">
        <f>IF(C292&lt;62,0,'Combined Retirement'!$I$13)</f>
        <v>2420</v>
      </c>
      <c r="J292" s="25">
        <f t="shared" si="263"/>
        <v>7863.2184191855868</v>
      </c>
      <c r="K292" s="25">
        <f t="shared" si="264"/>
        <v>20282.026119384056</v>
      </c>
      <c r="L292" s="25"/>
      <c r="N292" s="25">
        <f>'Combined Retirement'!$C$18/12</f>
        <v>39153.069999999992</v>
      </c>
      <c r="O292" s="25">
        <f t="shared" si="265"/>
        <v>11007.82546143035</v>
      </c>
      <c r="P292" s="25">
        <f t="shared" si="266"/>
        <v>28145.244538569641</v>
      </c>
      <c r="Q292" s="25">
        <f t="array" aca="1" ref="Q292" ca="1">INDEX('Isaac 401k'!L:L,MATCH('Retirement Calculator'!A292,'Isaac 401k'!N:N,0),0)</f>
        <v>1302817.3046799609</v>
      </c>
      <c r="R292" s="25">
        <f t="array" aca="1" ref="R292" ca="1">INDEX('Lorri 401b'!L:L,MATCH('Retirement Calculator'!A292,'Lorri 401b'!N:N,0),0)</f>
        <v>3376025.3908924162</v>
      </c>
      <c r="S292" s="25">
        <f t="shared" ca="1" si="267"/>
        <v>4678842.6955723772</v>
      </c>
    </row>
    <row r="293" spans="1:19" ht="15.75" customHeight="1" x14ac:dyDescent="0.3">
      <c r="A293" s="37">
        <v>59871</v>
      </c>
      <c r="B293" s="409">
        <f t="shared" ref="B293:C293" si="294">($A293-B$9)/365.25</f>
        <v>82.039698836413422</v>
      </c>
      <c r="C293" s="409">
        <f t="shared" si="294"/>
        <v>77.429158110882952</v>
      </c>
      <c r="E293" s="25">
        <f>IF(C293&gt;$B$7,0,'Combined Retirement'!$D$13/12)</f>
        <v>0</v>
      </c>
      <c r="F293" s="25">
        <f>IF(H293=0,'Combined Retirement'!$D$32,0)+'Combined Retirement'!$B$24</f>
        <v>2870.372285649099</v>
      </c>
      <c r="G293" s="25">
        <f>'Combined Retirement'!$C$24</f>
        <v>3525.4531757812501</v>
      </c>
      <c r="H293" s="25">
        <f>IF(B293&lt;62,0,'Combined Retirement'!$I$14)</f>
        <v>2192</v>
      </c>
      <c r="I293" s="25">
        <f>IF(C293&lt;62,0,'Combined Retirement'!$I$13)</f>
        <v>2420</v>
      </c>
      <c r="J293" s="25">
        <f t="shared" si="263"/>
        <v>7863.2184191855868</v>
      </c>
      <c r="K293" s="25">
        <f t="shared" si="264"/>
        <v>20282.026119384056</v>
      </c>
      <c r="L293" s="25"/>
      <c r="N293" s="25">
        <f>'Combined Retirement'!$C$18/12</f>
        <v>39153.069999999992</v>
      </c>
      <c r="O293" s="25">
        <f t="shared" si="265"/>
        <v>11007.82546143035</v>
      </c>
      <c r="P293" s="25">
        <f t="shared" si="266"/>
        <v>28145.244538569641</v>
      </c>
      <c r="Q293" s="25">
        <f t="array" aca="1" ref="Q293" ca="1">INDEX('Isaac 401k'!L:L,MATCH('Retirement Calculator'!A293,'Isaac 401k'!N:N,0),0)</f>
        <v>1300349.7282868619</v>
      </c>
      <c r="R293" s="25">
        <f t="array" aca="1" ref="R293" ca="1">INDEX('Lorri 401b'!L:L,MATCH('Retirement Calculator'!A293,'Lorri 401b'!N:N,0),0)</f>
        <v>3369725.6287929197</v>
      </c>
      <c r="S293" s="25">
        <f t="shared" ca="1" si="267"/>
        <v>4670075.3570797816</v>
      </c>
    </row>
    <row r="294" spans="1:19" ht="15.75" customHeight="1" x14ac:dyDescent="0.3">
      <c r="A294" s="37">
        <v>59902</v>
      </c>
      <c r="B294" s="409">
        <f t="shared" ref="B294:C294" si="295">($A294-B$9)/365.25</f>
        <v>82.124572210814506</v>
      </c>
      <c r="C294" s="409">
        <f t="shared" si="295"/>
        <v>77.51403148528405</v>
      </c>
      <c r="E294" s="25">
        <f>IF(C294&gt;$B$7,0,'Combined Retirement'!$D$13/12)</f>
        <v>0</v>
      </c>
      <c r="F294" s="25">
        <f>IF(H294=0,'Combined Retirement'!$D$32,0)+'Combined Retirement'!$B$24</f>
        <v>2870.372285649099</v>
      </c>
      <c r="G294" s="25">
        <f>'Combined Retirement'!$C$24</f>
        <v>3525.4531757812501</v>
      </c>
      <c r="H294" s="25">
        <f>IF(B294&lt;62,0,'Combined Retirement'!$I$14)</f>
        <v>2192</v>
      </c>
      <c r="I294" s="25">
        <f>IF(C294&lt;62,0,'Combined Retirement'!$I$13)</f>
        <v>2420</v>
      </c>
      <c r="J294" s="25">
        <f t="shared" si="263"/>
        <v>7863.2184191855868</v>
      </c>
      <c r="K294" s="25">
        <f t="shared" si="264"/>
        <v>20282.026119384056</v>
      </c>
      <c r="L294" s="25"/>
      <c r="N294" s="25">
        <f>'Combined Retirement'!$C$18/12</f>
        <v>39153.069999999992</v>
      </c>
      <c r="O294" s="25">
        <f t="shared" si="265"/>
        <v>11007.82546143035</v>
      </c>
      <c r="P294" s="25">
        <f t="shared" si="266"/>
        <v>28145.244538569641</v>
      </c>
      <c r="Q294" s="25">
        <f t="array" aca="1" ref="Q294" ca="1">INDEX('Isaac 401k'!L:L,MATCH('Retirement Calculator'!A294,'Isaac 401k'!N:N,0),0)</f>
        <v>1297871.8703254582</v>
      </c>
      <c r="R294" s="25">
        <f t="array" aca="1" ref="R294" ca="1">INDEX('Lorri 401b'!L:L,MATCH('Retirement Calculator'!A294,'Lorri 401b'!N:N,0),0)</f>
        <v>3363399.6176846754</v>
      </c>
      <c r="S294" s="25">
        <f t="shared" ca="1" si="267"/>
        <v>4661271.4880101336</v>
      </c>
    </row>
    <row r="295" spans="1:19" ht="15.75" customHeight="1" x14ac:dyDescent="0.3">
      <c r="A295" s="37">
        <v>59933</v>
      </c>
      <c r="B295" s="409">
        <f t="shared" ref="B295:C295" si="296">($A295-B$9)/365.25</f>
        <v>82.209445585215605</v>
      </c>
      <c r="C295" s="409">
        <f t="shared" si="296"/>
        <v>77.598904859685149</v>
      </c>
      <c r="E295" s="25">
        <f>IF(C295&gt;$B$7,0,'Combined Retirement'!$D$13/12)</f>
        <v>0</v>
      </c>
      <c r="F295" s="25">
        <f>IF(H295=0,'Combined Retirement'!$D$32,0)+'Combined Retirement'!$B$24</f>
        <v>2870.372285649099</v>
      </c>
      <c r="G295" s="25">
        <f>'Combined Retirement'!$C$24</f>
        <v>3525.4531757812501</v>
      </c>
      <c r="H295" s="25">
        <f>IF(B295&lt;62,0,'Combined Retirement'!$I$14)</f>
        <v>2192</v>
      </c>
      <c r="I295" s="25">
        <f>IF(C295&lt;62,0,'Combined Retirement'!$I$13)</f>
        <v>2420</v>
      </c>
      <c r="J295" s="25">
        <f t="shared" si="263"/>
        <v>7863.2184191855868</v>
      </c>
      <c r="K295" s="25">
        <f t="shared" si="264"/>
        <v>20282.026119384056</v>
      </c>
      <c r="L295" s="25"/>
      <c r="N295" s="25">
        <f>'Combined Retirement'!$C$18/12</f>
        <v>39153.069999999992</v>
      </c>
      <c r="O295" s="25">
        <f t="shared" si="265"/>
        <v>11007.82546143035</v>
      </c>
      <c r="P295" s="25">
        <f t="shared" si="266"/>
        <v>28145.244538569641</v>
      </c>
      <c r="Q295" s="25">
        <f t="array" aca="1" ref="Q295" ca="1">INDEX('Isaac 401k'!L:L,MATCH('Retirement Calculator'!A295,'Isaac 401k'!N:N,0),0)</f>
        <v>1295383.6879558822</v>
      </c>
      <c r="R295" s="25">
        <f t="array" aca="1" ref="R295" ca="1">INDEX('Lorri 401b'!L:L,MATCH('Retirement Calculator'!A295,'Lorri 401b'!N:N,0),0)</f>
        <v>3357047.2481968133</v>
      </c>
      <c r="S295" s="25">
        <f t="shared" ca="1" si="267"/>
        <v>4652430.9361526957</v>
      </c>
    </row>
    <row r="296" spans="1:19" ht="15.75" customHeight="1" x14ac:dyDescent="0.3">
      <c r="A296" s="37">
        <v>59962</v>
      </c>
      <c r="B296" s="409">
        <f t="shared" ref="B296:C296" si="297">($A296-B$9)/365.25</f>
        <v>82.288843258042434</v>
      </c>
      <c r="C296" s="409">
        <f t="shared" si="297"/>
        <v>77.678302532511978</v>
      </c>
      <c r="E296" s="25">
        <f>IF(C296&gt;$B$7,0,'Combined Retirement'!$D$13/12)</f>
        <v>0</v>
      </c>
      <c r="F296" s="25">
        <f>IF(H296=0,'Combined Retirement'!$D$32,0)+'Combined Retirement'!$B$24</f>
        <v>2870.372285649099</v>
      </c>
      <c r="G296" s="25">
        <f>'Combined Retirement'!$C$24</f>
        <v>3525.4531757812501</v>
      </c>
      <c r="H296" s="25">
        <f>IF(B296&lt;62,0,'Combined Retirement'!$I$14)</f>
        <v>2192</v>
      </c>
      <c r="I296" s="25">
        <f>IF(C296&lt;62,0,'Combined Retirement'!$I$13)</f>
        <v>2420</v>
      </c>
      <c r="J296" s="25">
        <f t="shared" si="263"/>
        <v>7863.2184191855868</v>
      </c>
      <c r="K296" s="25">
        <f t="shared" si="264"/>
        <v>20282.026119384056</v>
      </c>
      <c r="L296" s="25"/>
      <c r="N296" s="25">
        <f>'Combined Retirement'!$C$18/12</f>
        <v>39153.069999999992</v>
      </c>
      <c r="O296" s="25">
        <f t="shared" si="265"/>
        <v>11007.82546143035</v>
      </c>
      <c r="P296" s="25">
        <f t="shared" si="266"/>
        <v>28145.244538569641</v>
      </c>
      <c r="Q296" s="25">
        <f t="array" aca="1" ref="Q296" ca="1">INDEX('Isaac 401k'!L:L,MATCH('Retirement Calculator'!A296,'Isaac 401k'!N:N,0),0)</f>
        <v>1292885.1381597661</v>
      </c>
      <c r="R296" s="25">
        <f t="array" aca="1" ref="R296" ca="1">INDEX('Lorri 401b'!L:L,MATCH('Retirement Calculator'!A296,'Lorri 401b'!N:N,0),0)</f>
        <v>3350668.4105027518</v>
      </c>
      <c r="S296" s="25">
        <f t="shared" ca="1" si="267"/>
        <v>4643553.5486625182</v>
      </c>
    </row>
    <row r="297" spans="1:19" ht="15.75" customHeight="1" x14ac:dyDescent="0.3">
      <c r="A297" s="37">
        <v>59993</v>
      </c>
      <c r="B297" s="409">
        <f t="shared" ref="B297:C297" si="298">($A297-B$9)/365.25</f>
        <v>82.373716632443532</v>
      </c>
      <c r="C297" s="409">
        <f t="shared" si="298"/>
        <v>77.763175906913077</v>
      </c>
      <c r="E297" s="25">
        <f>IF(C297&gt;$B$7,0,'Combined Retirement'!$D$13/12)</f>
        <v>0</v>
      </c>
      <c r="F297" s="25">
        <f>IF(H297=0,'Combined Retirement'!$D$32,0)+'Combined Retirement'!$B$24</f>
        <v>2870.372285649099</v>
      </c>
      <c r="G297" s="25">
        <f>'Combined Retirement'!$C$24</f>
        <v>3525.4531757812501</v>
      </c>
      <c r="H297" s="25">
        <f>IF(B297&lt;62,0,'Combined Retirement'!$I$14)</f>
        <v>2192</v>
      </c>
      <c r="I297" s="25">
        <f>IF(C297&lt;62,0,'Combined Retirement'!$I$13)</f>
        <v>2420</v>
      </c>
      <c r="J297" s="25">
        <f t="shared" si="263"/>
        <v>7863.2184191855868</v>
      </c>
      <c r="K297" s="25">
        <f t="shared" si="264"/>
        <v>20282.026119384056</v>
      </c>
      <c r="L297" s="25"/>
      <c r="N297" s="25">
        <f>'Combined Retirement'!$C$18/12</f>
        <v>39153.069999999992</v>
      </c>
      <c r="O297" s="25">
        <f t="shared" si="265"/>
        <v>11007.82546143035</v>
      </c>
      <c r="P297" s="25">
        <f t="shared" si="266"/>
        <v>28145.244538569641</v>
      </c>
      <c r="Q297" s="25">
        <f t="array" aca="1" ref="Q297" ca="1">INDEX('Isaac 401k'!L:L,MATCH('Retirement Calculator'!A297,'Isaac 401k'!N:N,0),0)</f>
        <v>1290376.1777394996</v>
      </c>
      <c r="R297" s="25">
        <f t="array" aca="1" ref="R297" ca="1">INDEX('Lorri 401b'!L:L,MATCH('Retirement Calculator'!A297,'Lorri 401b'!N:N,0),0)</f>
        <v>3344262.9943182985</v>
      </c>
      <c r="S297" s="25">
        <f t="shared" ca="1" si="267"/>
        <v>4634639.1720577981</v>
      </c>
    </row>
    <row r="298" spans="1:19" ht="15.75" customHeight="1" x14ac:dyDescent="0.3">
      <c r="A298" s="37">
        <v>60023</v>
      </c>
      <c r="B298" s="409">
        <f t="shared" ref="B298:C298" si="299">($A298-B$9)/365.25</f>
        <v>82.455852156057489</v>
      </c>
      <c r="C298" s="409">
        <f t="shared" si="299"/>
        <v>77.845311430527033</v>
      </c>
      <c r="E298" s="25">
        <f>IF(C298&gt;$B$7,0,'Combined Retirement'!$D$13/12)</f>
        <v>0</v>
      </c>
      <c r="F298" s="25">
        <f>IF(H298=0,'Combined Retirement'!$D$32,0)+'Combined Retirement'!$B$24</f>
        <v>2870.372285649099</v>
      </c>
      <c r="G298" s="25">
        <f>'Combined Retirement'!$C$24</f>
        <v>3525.4531757812501</v>
      </c>
      <c r="H298" s="25">
        <f>IF(B298&lt;62,0,'Combined Retirement'!$I$14)</f>
        <v>2192</v>
      </c>
      <c r="I298" s="25">
        <f>IF(C298&lt;62,0,'Combined Retirement'!$I$13)</f>
        <v>2420</v>
      </c>
      <c r="J298" s="25">
        <f t="shared" si="263"/>
        <v>7863.2184191855868</v>
      </c>
      <c r="K298" s="25">
        <f t="shared" si="264"/>
        <v>20282.026119384056</v>
      </c>
      <c r="L298" s="25"/>
      <c r="N298" s="25">
        <f>'Combined Retirement'!$C$18/12</f>
        <v>39153.069999999992</v>
      </c>
      <c r="O298" s="25">
        <f t="shared" si="265"/>
        <v>11007.82546143035</v>
      </c>
      <c r="P298" s="25">
        <f t="shared" si="266"/>
        <v>28145.244538569641</v>
      </c>
      <c r="Q298" s="25">
        <f t="array" aca="1" ref="Q298" ca="1">INDEX('Isaac 401k'!L:L,MATCH('Retirement Calculator'!A298,'Isaac 401k'!N:N,0),0)</f>
        <v>1287856.7633174821</v>
      </c>
      <c r="R298" s="25">
        <f t="array" aca="1" ref="R298" ca="1">INDEX('Lorri 401b'!L:L,MATCH('Retirement Calculator'!A298,'Lorri 401b'!N:N,0),0)</f>
        <v>3337830.8888997436</v>
      </c>
      <c r="S298" s="25">
        <f t="shared" ca="1" si="267"/>
        <v>4625687.6522172261</v>
      </c>
    </row>
    <row r="299" spans="1:19" ht="15.75" customHeight="1" x14ac:dyDescent="0.3">
      <c r="A299" s="37">
        <v>60054</v>
      </c>
      <c r="B299" s="409">
        <f t="shared" ref="B299:C299" si="300">($A299-B$9)/365.25</f>
        <v>82.540725530458587</v>
      </c>
      <c r="C299" s="409">
        <f t="shared" si="300"/>
        <v>77.930184804928132</v>
      </c>
      <c r="E299" s="25">
        <f>IF(C299&gt;$B$7,0,'Combined Retirement'!$D$13/12)</f>
        <v>0</v>
      </c>
      <c r="F299" s="25">
        <f>IF(H299=0,'Combined Retirement'!$D$32,0)+'Combined Retirement'!$B$24</f>
        <v>2870.372285649099</v>
      </c>
      <c r="G299" s="25">
        <f>'Combined Retirement'!$C$24</f>
        <v>3525.4531757812501</v>
      </c>
      <c r="H299" s="25">
        <f>IF(B299&lt;62,0,'Combined Retirement'!$I$14)</f>
        <v>2192</v>
      </c>
      <c r="I299" s="25">
        <f>IF(C299&lt;62,0,'Combined Retirement'!$I$13)</f>
        <v>2420</v>
      </c>
      <c r="J299" s="25">
        <f t="shared" si="263"/>
        <v>7863.2184191855868</v>
      </c>
      <c r="K299" s="25">
        <f t="shared" si="264"/>
        <v>20282.026119384056</v>
      </c>
      <c r="L299" s="25"/>
      <c r="N299" s="25">
        <f>'Combined Retirement'!$C$18/12</f>
        <v>39153.069999999992</v>
      </c>
      <c r="O299" s="25">
        <f t="shared" si="265"/>
        <v>11007.82546143035</v>
      </c>
      <c r="P299" s="25">
        <f t="shared" si="266"/>
        <v>28145.244538569641</v>
      </c>
      <c r="Q299" s="25">
        <f t="array" aca="1" ref="Q299" ca="1">INDEX('Isaac 401k'!L:L,MATCH('Retirement Calculator'!A299,'Isaac 401k'!N:N,0),0)</f>
        <v>1285326.8513353728</v>
      </c>
      <c r="R299" s="25">
        <f t="array" aca="1" ref="R299" ca="1">INDEX('Lorri 401b'!L:L,MATCH('Retirement Calculator'!A299,'Lorri 401b'!N:N,0),0)</f>
        <v>3331371.9830419444</v>
      </c>
      <c r="S299" s="25">
        <f t="shared" ca="1" si="267"/>
        <v>4616698.8343773168</v>
      </c>
    </row>
    <row r="300" spans="1:19" ht="15.75" customHeight="1" x14ac:dyDescent="0.3">
      <c r="A300" s="37">
        <v>60084</v>
      </c>
      <c r="B300" s="409">
        <f t="shared" ref="B300:C300" si="301">($A300-B$9)/365.25</f>
        <v>82.622861054072558</v>
      </c>
      <c r="C300" s="409">
        <f t="shared" si="301"/>
        <v>78.012320328542089</v>
      </c>
      <c r="E300" s="25">
        <f>IF(C300&gt;$B$7,0,'Combined Retirement'!$D$13/12)</f>
        <v>0</v>
      </c>
      <c r="F300" s="25">
        <f>IF(H300=0,'Combined Retirement'!$D$32,0)+'Combined Retirement'!$B$24</f>
        <v>2870.372285649099</v>
      </c>
      <c r="G300" s="25">
        <f>'Combined Retirement'!$C$24</f>
        <v>3525.4531757812501</v>
      </c>
      <c r="H300" s="25">
        <f>IF(B300&lt;62,0,'Combined Retirement'!$I$14)</f>
        <v>2192</v>
      </c>
      <c r="I300" s="25">
        <f>IF(C300&lt;62,0,'Combined Retirement'!$I$13)</f>
        <v>2420</v>
      </c>
      <c r="J300" s="25">
        <f t="shared" si="263"/>
        <v>7863.2184191855868</v>
      </c>
      <c r="K300" s="25">
        <f t="shared" si="264"/>
        <v>20282.026119384056</v>
      </c>
      <c r="L300" s="25"/>
      <c r="N300" s="25">
        <f>'Combined Retirement'!$C$18/12</f>
        <v>39153.069999999992</v>
      </c>
      <c r="O300" s="25">
        <f t="shared" si="265"/>
        <v>11007.82546143035</v>
      </c>
      <c r="P300" s="25">
        <f t="shared" si="266"/>
        <v>28145.244538569641</v>
      </c>
      <c r="Q300" s="25">
        <f t="array" aca="1" ref="Q300" ca="1">INDEX('Isaac 401k'!L:L,MATCH('Retirement Calculator'!A300,'Isaac 401k'!N:N,0),0)</f>
        <v>1282786.3980533381</v>
      </c>
      <c r="R300" s="25">
        <f t="array" aca="1" ref="R300" ca="1">INDEX('Lorri 401b'!L:L,MATCH('Retirement Calculator'!A300,'Lorri 401b'!N:N,0),0)</f>
        <v>3324886.1650764043</v>
      </c>
      <c r="S300" s="25">
        <f t="shared" ca="1" si="267"/>
        <v>4607672.5631297426</v>
      </c>
    </row>
    <row r="301" spans="1:19" ht="15.75" customHeight="1" x14ac:dyDescent="0.3">
      <c r="A301" s="37">
        <v>60115</v>
      </c>
      <c r="B301" s="409">
        <f t="shared" ref="B301:C301" si="302">($A301-B$9)/365.25</f>
        <v>82.707734428473643</v>
      </c>
      <c r="C301" s="409">
        <f t="shared" si="302"/>
        <v>78.097193702943187</v>
      </c>
      <c r="E301" s="25">
        <f>IF(C301&gt;$B$7,0,'Combined Retirement'!$D$13/12)</f>
        <v>0</v>
      </c>
      <c r="F301" s="25">
        <f>IF(H301=0,'Combined Retirement'!$D$32,0)+'Combined Retirement'!$B$24</f>
        <v>2870.372285649099</v>
      </c>
      <c r="G301" s="25">
        <f>'Combined Retirement'!$C$24</f>
        <v>3525.4531757812501</v>
      </c>
      <c r="H301" s="25">
        <f>IF(B301&lt;62,0,'Combined Retirement'!$I$14)</f>
        <v>2192</v>
      </c>
      <c r="I301" s="25">
        <f>IF(C301&lt;62,0,'Combined Retirement'!$I$13)</f>
        <v>2420</v>
      </c>
      <c r="J301" s="25">
        <f t="shared" si="263"/>
        <v>7863.2184191855868</v>
      </c>
      <c r="K301" s="25">
        <f t="shared" si="264"/>
        <v>20282.026119384056</v>
      </c>
      <c r="L301" s="25"/>
      <c r="N301" s="25">
        <f>'Combined Retirement'!$C$18/12</f>
        <v>39153.069999999992</v>
      </c>
      <c r="O301" s="25">
        <f t="shared" si="265"/>
        <v>11007.82546143035</v>
      </c>
      <c r="P301" s="25">
        <f t="shared" si="266"/>
        <v>28145.244538569641</v>
      </c>
      <c r="Q301" s="25">
        <f t="array" aca="1" ref="Q301" ca="1">INDEX('Isaac 401k'!L:L,MATCH('Retirement Calculator'!A301,'Isaac 401k'!N:N,0),0)</f>
        <v>1280235.3595492947</v>
      </c>
      <c r="R301" s="25">
        <f t="array" aca="1" ref="R301" ca="1">INDEX('Lorri 401b'!L:L,MATCH('Retirement Calculator'!A301,'Lorri 401b'!N:N,0),0)</f>
        <v>3318373.3228693414</v>
      </c>
      <c r="S301" s="25">
        <f t="shared" ca="1" si="267"/>
        <v>4598608.682418636</v>
      </c>
    </row>
    <row r="302" spans="1:19" ht="15.75" customHeight="1" x14ac:dyDescent="0.3">
      <c r="A302" s="37">
        <v>60146</v>
      </c>
      <c r="B302" s="409">
        <f t="shared" ref="B302:C302" si="303">($A302-B$9)/365.25</f>
        <v>82.792607802874741</v>
      </c>
      <c r="C302" s="409">
        <f t="shared" si="303"/>
        <v>78.182067077344286</v>
      </c>
      <c r="E302" s="25">
        <f>IF(C302&gt;$B$7,0,'Combined Retirement'!$D$13/12)</f>
        <v>0</v>
      </c>
      <c r="F302" s="25">
        <f>IF(H302=0,'Combined Retirement'!$D$32,0)+'Combined Retirement'!$B$24</f>
        <v>2870.372285649099</v>
      </c>
      <c r="G302" s="25">
        <f>'Combined Retirement'!$C$24</f>
        <v>3525.4531757812501</v>
      </c>
      <c r="H302" s="25">
        <f>IF(B302&lt;62,0,'Combined Retirement'!$I$14)</f>
        <v>2192</v>
      </c>
      <c r="I302" s="25">
        <f>IF(C302&lt;62,0,'Combined Retirement'!$I$13)</f>
        <v>2420</v>
      </c>
      <c r="J302" s="25">
        <f t="shared" si="263"/>
        <v>7863.2184191855868</v>
      </c>
      <c r="K302" s="25">
        <f t="shared" si="264"/>
        <v>20282.026119384056</v>
      </c>
      <c r="L302" s="25"/>
      <c r="N302" s="25">
        <f>'Combined Retirement'!$C$18/12</f>
        <v>39153.069999999992</v>
      </c>
      <c r="O302" s="25">
        <f t="shared" si="265"/>
        <v>11007.82546143035</v>
      </c>
      <c r="P302" s="25">
        <f t="shared" si="266"/>
        <v>28145.244538569641</v>
      </c>
      <c r="Q302" s="25">
        <f t="array" aca="1" ref="Q302" ca="1">INDEX('Isaac 401k'!L:L,MATCH('Retirement Calculator'!A302,'Isaac 401k'!N:N,0),0)</f>
        <v>1277673.6917181511</v>
      </c>
      <c r="R302" s="25">
        <f t="array" aca="1" ref="R302" ca="1">INDEX('Lorri 401b'!L:L,MATCH('Retirement Calculator'!A302,'Lorri 401b'!N:N,0),0)</f>
        <v>3311833.3438197491</v>
      </c>
      <c r="S302" s="25">
        <f t="shared" ca="1" si="267"/>
        <v>4589507.0355379004</v>
      </c>
    </row>
    <row r="303" spans="1:19" ht="15.75" customHeight="1" x14ac:dyDescent="0.3">
      <c r="A303" s="37">
        <v>60176</v>
      </c>
      <c r="B303" s="409">
        <f t="shared" ref="B303:C303" si="304">($A303-B$9)/365.25</f>
        <v>82.874743326488712</v>
      </c>
      <c r="C303" s="409">
        <f t="shared" si="304"/>
        <v>78.264202600958242</v>
      </c>
      <c r="E303" s="25">
        <f>IF(C303&gt;$B$7,0,'Combined Retirement'!$D$13/12)</f>
        <v>0</v>
      </c>
      <c r="F303" s="25">
        <f>IF(H303=0,'Combined Retirement'!$D$32,0)+'Combined Retirement'!$B$24</f>
        <v>2870.372285649099</v>
      </c>
      <c r="G303" s="25">
        <f>'Combined Retirement'!$C$24</f>
        <v>3525.4531757812501</v>
      </c>
      <c r="H303" s="25">
        <f>IF(B303&lt;62,0,'Combined Retirement'!$I$14)</f>
        <v>2192</v>
      </c>
      <c r="I303" s="25">
        <f>IF(C303&lt;62,0,'Combined Retirement'!$I$13)</f>
        <v>2420</v>
      </c>
      <c r="J303" s="25">
        <f t="shared" si="263"/>
        <v>7863.2184191855868</v>
      </c>
      <c r="K303" s="25">
        <f t="shared" si="264"/>
        <v>20282.026119384056</v>
      </c>
      <c r="L303" s="25"/>
      <c r="N303" s="25">
        <f>'Combined Retirement'!$C$18/12</f>
        <v>39153.069999999992</v>
      </c>
      <c r="O303" s="25">
        <f t="shared" si="265"/>
        <v>11007.82546143035</v>
      </c>
      <c r="P303" s="25">
        <f t="shared" si="266"/>
        <v>28145.244538569641</v>
      </c>
      <c r="Q303" s="25">
        <f t="array" aca="1" ref="Q303" ca="1">INDEX('Isaac 401k'!L:L,MATCH('Retirement Calculator'!A303,'Isaac 401k'!N:N,0),0)</f>
        <v>1275101.3502710445</v>
      </c>
      <c r="R303" s="25">
        <f t="array" aca="1" ref="R303" ca="1">INDEX('Lorri 401b'!L:L,MATCH('Retirement Calculator'!A303,'Lorri 401b'!N:N,0),0)</f>
        <v>3305266.1148574501</v>
      </c>
      <c r="S303" s="25">
        <f t="shared" ca="1" si="267"/>
        <v>4580367.4651284944</v>
      </c>
    </row>
    <row r="304" spans="1:19" ht="15.75" customHeight="1" x14ac:dyDescent="0.3">
      <c r="A304" s="37">
        <v>60207</v>
      </c>
      <c r="B304" s="409">
        <f t="shared" ref="B304:C304" si="305">($A304-B$9)/365.25</f>
        <v>82.959616700889796</v>
      </c>
      <c r="C304" s="409">
        <f t="shared" si="305"/>
        <v>78.349075975359341</v>
      </c>
      <c r="E304" s="25">
        <f>IF(C304&gt;$B$7,0,'Combined Retirement'!$D$13/12)</f>
        <v>0</v>
      </c>
      <c r="F304" s="25">
        <f>IF(H304=0,'Combined Retirement'!$D$32,0)+'Combined Retirement'!$B$24</f>
        <v>2870.372285649099</v>
      </c>
      <c r="G304" s="25">
        <f>'Combined Retirement'!$C$24</f>
        <v>3525.4531757812501</v>
      </c>
      <c r="H304" s="25">
        <f>IF(B304&lt;62,0,'Combined Retirement'!$I$14)</f>
        <v>2192</v>
      </c>
      <c r="I304" s="25">
        <f>IF(C304&lt;62,0,'Combined Retirement'!$I$13)</f>
        <v>2420</v>
      </c>
      <c r="J304" s="25">
        <f t="shared" si="263"/>
        <v>7863.2184191855868</v>
      </c>
      <c r="K304" s="25">
        <f t="shared" si="264"/>
        <v>20282.026119384056</v>
      </c>
      <c r="L304" s="25"/>
      <c r="N304" s="25">
        <f>'Combined Retirement'!$C$18/12</f>
        <v>39153.069999999992</v>
      </c>
      <c r="O304" s="25">
        <f t="shared" si="265"/>
        <v>11007.82546143035</v>
      </c>
      <c r="P304" s="25">
        <f t="shared" si="266"/>
        <v>28145.244538569641</v>
      </c>
      <c r="Q304" s="25">
        <f t="array" aca="1" ref="Q304" ca="1">INDEX('Isaac 401k'!L:L,MATCH('Retirement Calculator'!A304,'Isaac 401k'!N:N,0),0)</f>
        <v>1272518.2907345749</v>
      </c>
      <c r="R304" s="25">
        <f t="array" aca="1" ref="R304" ca="1">INDEX('Lorri 401b'!L:L,MATCH('Retirement Calculator'!A304,'Lorri 401b'!N:N,0),0)</f>
        <v>3298671.5224411413</v>
      </c>
      <c r="S304" s="25">
        <f t="shared" ca="1" si="267"/>
        <v>4571189.8131757164</v>
      </c>
    </row>
    <row r="305" spans="1:19" ht="15.75" customHeight="1" x14ac:dyDescent="0.3">
      <c r="A305" s="37">
        <v>60237</v>
      </c>
      <c r="B305" s="409">
        <f t="shared" ref="B305:C305" si="306">($A305-B$9)/365.25</f>
        <v>83.041752224503767</v>
      </c>
      <c r="C305" s="409">
        <f t="shared" si="306"/>
        <v>78.431211498973312</v>
      </c>
      <c r="E305" s="25">
        <f>IF(C305&gt;$B$7,0,'Combined Retirement'!$D$13/12)</f>
        <v>0</v>
      </c>
      <c r="F305" s="25">
        <f>IF(H305=0,'Combined Retirement'!$D$32,0)+'Combined Retirement'!$B$24</f>
        <v>2870.372285649099</v>
      </c>
      <c r="G305" s="25">
        <f>'Combined Retirement'!$C$24</f>
        <v>3525.4531757812501</v>
      </c>
      <c r="H305" s="25">
        <f>IF(B305&lt;62,0,'Combined Retirement'!$I$14)</f>
        <v>2192</v>
      </c>
      <c r="I305" s="25">
        <f>IF(C305&lt;62,0,'Combined Retirement'!$I$13)</f>
        <v>2420</v>
      </c>
      <c r="J305" s="25">
        <f t="shared" si="263"/>
        <v>7863.2184191855868</v>
      </c>
      <c r="K305" s="25">
        <f t="shared" si="264"/>
        <v>20282.026119384056</v>
      </c>
      <c r="L305" s="25"/>
      <c r="N305" s="25">
        <f>'Combined Retirement'!$C$18/12</f>
        <v>39153.069999999992</v>
      </c>
      <c r="O305" s="25">
        <f t="shared" si="265"/>
        <v>11007.82546143035</v>
      </c>
      <c r="P305" s="25">
        <f t="shared" si="266"/>
        <v>28145.244538569641</v>
      </c>
      <c r="Q305" s="25">
        <f t="array" aca="1" ref="Q305" ca="1">INDEX('Isaac 401k'!L:L,MATCH('Retirement Calculator'!A305,'Isaac 401k'!N:N,0),0)</f>
        <v>1269924.4684500368</v>
      </c>
      <c r="R305" s="25">
        <f t="array" aca="1" ref="R305" ca="1">INDEX('Lorri 401b'!L:L,MATCH('Retirement Calculator'!A305,'Lorri 401b'!N:N,0),0)</f>
        <v>3292049.4525564313</v>
      </c>
      <c r="S305" s="25">
        <f t="shared" ca="1" si="267"/>
        <v>4561973.9210064681</v>
      </c>
    </row>
    <row r="306" spans="1:19" ht="15.75" customHeight="1" x14ac:dyDescent="0.3">
      <c r="A306" s="37">
        <v>60268</v>
      </c>
      <c r="B306" s="409">
        <f t="shared" ref="B306:C306" si="307">($A306-B$9)/365.25</f>
        <v>83.126625598904866</v>
      </c>
      <c r="C306" s="409">
        <f t="shared" si="307"/>
        <v>78.516084873374396</v>
      </c>
      <c r="E306" s="25">
        <f>IF(C306&gt;$B$7,0,'Combined Retirement'!$D$13/12)</f>
        <v>0</v>
      </c>
      <c r="F306" s="25">
        <f>IF(H306=0,'Combined Retirement'!$D$32,0)+'Combined Retirement'!$B$24</f>
        <v>2870.372285649099</v>
      </c>
      <c r="G306" s="25">
        <f>'Combined Retirement'!$C$24</f>
        <v>3525.4531757812501</v>
      </c>
      <c r="H306" s="25">
        <f>IF(B306&lt;62,0,'Combined Retirement'!$I$14)</f>
        <v>2192</v>
      </c>
      <c r="I306" s="25">
        <f>IF(C306&lt;62,0,'Combined Retirement'!$I$13)</f>
        <v>2420</v>
      </c>
      <c r="J306" s="25">
        <f t="shared" si="263"/>
        <v>7863.2184191855868</v>
      </c>
      <c r="K306" s="25">
        <f t="shared" si="264"/>
        <v>20282.026119384056</v>
      </c>
      <c r="L306" s="25"/>
      <c r="N306" s="25">
        <f>'Combined Retirement'!$C$18/12</f>
        <v>39153.069999999992</v>
      </c>
      <c r="O306" s="25">
        <f t="shared" si="265"/>
        <v>11007.82546143035</v>
      </c>
      <c r="P306" s="25">
        <f t="shared" si="266"/>
        <v>28145.244538569641</v>
      </c>
      <c r="Q306" s="25">
        <f t="array" aca="1" ref="Q306" ca="1">INDEX('Isaac 401k'!L:L,MATCH('Retirement Calculator'!A306,'Isaac 401k'!N:N,0),0)</f>
        <v>1267319.8385726465</v>
      </c>
      <c r="R306" s="25">
        <f t="array" aca="1" ref="R306" ca="1">INDEX('Lorri 401b'!L:L,MATCH('Retirement Calculator'!A306,'Lorri 401b'!N:N,0),0)</f>
        <v>3285399.7907138686</v>
      </c>
      <c r="S306" s="25">
        <f t="shared" ca="1" si="267"/>
        <v>4552719.6292865146</v>
      </c>
    </row>
    <row r="307" spans="1:19" ht="15.75" customHeight="1" x14ac:dyDescent="0.3">
      <c r="A307" s="37">
        <v>60299</v>
      </c>
      <c r="B307" s="409">
        <f t="shared" ref="B307:C307" si="308">($A307-B$9)/365.25</f>
        <v>83.21149897330595</v>
      </c>
      <c r="C307" s="409">
        <f t="shared" si="308"/>
        <v>78.600958247775495</v>
      </c>
      <c r="E307" s="25">
        <f>IF(C307&gt;$B$7,0,'Combined Retirement'!$D$13/12)</f>
        <v>0</v>
      </c>
      <c r="F307" s="25">
        <f>IF(H307=0,'Combined Retirement'!$D$32,0)+'Combined Retirement'!$B$24</f>
        <v>2870.372285649099</v>
      </c>
      <c r="G307" s="25">
        <f>'Combined Retirement'!$C$24</f>
        <v>3525.4531757812501</v>
      </c>
      <c r="H307" s="25">
        <f>IF(B307&lt;62,0,'Combined Retirement'!$I$14)</f>
        <v>2192</v>
      </c>
      <c r="I307" s="25">
        <f>IF(C307&lt;62,0,'Combined Retirement'!$I$13)</f>
        <v>2420</v>
      </c>
      <c r="J307" s="25">
        <f t="shared" si="263"/>
        <v>7863.2184191855868</v>
      </c>
      <c r="K307" s="25">
        <f t="shared" si="264"/>
        <v>20282.026119384056</v>
      </c>
      <c r="L307" s="25"/>
      <c r="N307" s="25">
        <f>'Combined Retirement'!$C$18/12</f>
        <v>39153.069999999992</v>
      </c>
      <c r="O307" s="25">
        <f t="shared" si="265"/>
        <v>11007.82546143035</v>
      </c>
      <c r="P307" s="25">
        <f t="shared" si="266"/>
        <v>28145.244538569641</v>
      </c>
      <c r="Q307" s="25">
        <f t="array" aca="1" ref="Q307" ca="1">INDEX('Isaac 401k'!L:L,MATCH('Retirement Calculator'!A307,'Isaac 401k'!N:N,0),0)</f>
        <v>1264704.3560707669</v>
      </c>
      <c r="R307" s="25">
        <f t="array" aca="1" ref="R307" ca="1">INDEX('Lorri 401b'!L:L,MATCH('Retirement Calculator'!A307,'Lorri 401b'!N:N,0),0)</f>
        <v>3278722.4219469614</v>
      </c>
      <c r="S307" s="25">
        <f t="shared" ca="1" si="267"/>
        <v>4543426.7780177286</v>
      </c>
    </row>
    <row r="308" spans="1:19" ht="15.75" customHeight="1" x14ac:dyDescent="0.3">
      <c r="A308" s="37">
        <v>60327</v>
      </c>
      <c r="B308" s="409">
        <f t="shared" ref="B308:C308" si="309">($A308-B$9)/365.25</f>
        <v>83.288158795345652</v>
      </c>
      <c r="C308" s="409">
        <f t="shared" si="309"/>
        <v>78.677618069815196</v>
      </c>
      <c r="E308" s="25">
        <f>IF(C308&gt;$B$7,0,'Combined Retirement'!$D$13/12)</f>
        <v>0</v>
      </c>
      <c r="F308" s="25">
        <f>IF(H308=0,'Combined Retirement'!$D$32,0)+'Combined Retirement'!$B$24</f>
        <v>2870.372285649099</v>
      </c>
      <c r="G308" s="25">
        <f>'Combined Retirement'!$C$24</f>
        <v>3525.4531757812501</v>
      </c>
      <c r="H308" s="25">
        <f>IF(B308&lt;62,0,'Combined Retirement'!$I$14)</f>
        <v>2192</v>
      </c>
      <c r="I308" s="25">
        <f>IF(C308&lt;62,0,'Combined Retirement'!$I$13)</f>
        <v>2420</v>
      </c>
      <c r="J308" s="25">
        <f t="shared" si="263"/>
        <v>7863.2184191855868</v>
      </c>
      <c r="K308" s="25">
        <f t="shared" si="264"/>
        <v>20282.026119384056</v>
      </c>
      <c r="L308" s="25"/>
      <c r="N308" s="25">
        <f>'Combined Retirement'!$C$18/12</f>
        <v>39153.069999999992</v>
      </c>
      <c r="O308" s="25">
        <f t="shared" si="265"/>
        <v>11007.82546143035</v>
      </c>
      <c r="P308" s="25">
        <f t="shared" si="266"/>
        <v>28145.244538569641</v>
      </c>
      <c r="Q308" s="25">
        <f t="array" aca="1" ref="Q308" ca="1">INDEX('Isaac 401k'!L:L,MATCH('Retirement Calculator'!A308,'Isaac 401k'!N:N,0),0)</f>
        <v>1262077.9757251295</v>
      </c>
      <c r="R308" s="25">
        <f t="array" aca="1" ref="R308" ca="1">INDEX('Lorri 401b'!L:L,MATCH('Retirement Calculator'!A308,'Lorri 401b'!N:N,0),0)</f>
        <v>3272017.2308101924</v>
      </c>
      <c r="S308" s="25">
        <f t="shared" ca="1" si="267"/>
        <v>4534095.2065353217</v>
      </c>
    </row>
    <row r="309" spans="1:19" ht="15.75" customHeight="1" x14ac:dyDescent="0.3">
      <c r="A309" s="37">
        <v>60358</v>
      </c>
      <c r="B309" s="409">
        <f t="shared" ref="B309:C309" si="310">($A309-B$9)/365.25</f>
        <v>83.37303216974675</v>
      </c>
      <c r="C309" s="409">
        <f t="shared" si="310"/>
        <v>78.762491444216295</v>
      </c>
      <c r="E309" s="25">
        <f>IF(C309&gt;$B$7,0,'Combined Retirement'!$D$13/12)</f>
        <v>0</v>
      </c>
      <c r="F309" s="25">
        <f>IF(H309=0,'Combined Retirement'!$D$32,0)+'Combined Retirement'!$B$24</f>
        <v>2870.372285649099</v>
      </c>
      <c r="G309" s="25">
        <f>'Combined Retirement'!$C$24</f>
        <v>3525.4531757812501</v>
      </c>
      <c r="H309" s="25">
        <f>IF(B309&lt;62,0,'Combined Retirement'!$I$14)</f>
        <v>2192</v>
      </c>
      <c r="I309" s="25">
        <f>IF(C309&lt;62,0,'Combined Retirement'!$I$13)</f>
        <v>2420</v>
      </c>
      <c r="J309" s="25">
        <f t="shared" si="263"/>
        <v>7863.2184191855868</v>
      </c>
      <c r="K309" s="25">
        <f t="shared" si="264"/>
        <v>20282.026119384056</v>
      </c>
      <c r="L309" s="25"/>
      <c r="N309" s="25">
        <f>'Combined Retirement'!$C$18/12</f>
        <v>39153.069999999992</v>
      </c>
      <c r="O309" s="25">
        <f t="shared" si="265"/>
        <v>11007.82546143035</v>
      </c>
      <c r="P309" s="25">
        <f t="shared" si="266"/>
        <v>28145.244538569641</v>
      </c>
      <c r="Q309" s="25">
        <f t="array" aca="1" ref="Q309" ca="1">INDEX('Isaac 401k'!L:L,MATCH('Retirement Calculator'!A309,'Isaac 401k'!N:N,0),0)</f>
        <v>1259440.652128052</v>
      </c>
      <c r="R309" s="25">
        <f t="array" aca="1" ref="R309" ca="1">INDEX('Lorri 401b'!L:L,MATCH('Retirement Calculator'!A309,'Lorri 401b'!N:N,0),0)</f>
        <v>3265284.1013770201</v>
      </c>
      <c r="S309" s="25">
        <f t="shared" ca="1" si="267"/>
        <v>4524724.7535050716</v>
      </c>
    </row>
    <row r="310" spans="1:19" ht="15.75" customHeight="1" x14ac:dyDescent="0.3">
      <c r="A310" s="37">
        <v>60388</v>
      </c>
      <c r="B310" s="409">
        <f t="shared" ref="B310:C310" si="311">($A310-B$9)/365.25</f>
        <v>83.455167693360707</v>
      </c>
      <c r="C310" s="409">
        <f t="shared" si="311"/>
        <v>78.844626967830251</v>
      </c>
      <c r="E310" s="25">
        <f>IF(C310&gt;$B$7,0,'Combined Retirement'!$D$13/12)</f>
        <v>0</v>
      </c>
      <c r="F310" s="25">
        <f>IF(H310=0,'Combined Retirement'!$D$32,0)+'Combined Retirement'!$B$24</f>
        <v>2870.372285649099</v>
      </c>
      <c r="G310" s="25">
        <f>'Combined Retirement'!$C$24</f>
        <v>3525.4531757812501</v>
      </c>
      <c r="H310" s="25">
        <f>IF(B310&lt;62,0,'Combined Retirement'!$I$14)</f>
        <v>2192</v>
      </c>
      <c r="I310" s="25">
        <f>IF(C310&lt;62,0,'Combined Retirement'!$I$13)</f>
        <v>2420</v>
      </c>
      <c r="J310" s="25">
        <f t="shared" si="263"/>
        <v>7863.2184191855868</v>
      </c>
      <c r="K310" s="25">
        <f t="shared" si="264"/>
        <v>20282.026119384056</v>
      </c>
      <c r="L310" s="25"/>
      <c r="N310" s="25">
        <f>'Combined Retirement'!$C$18/12</f>
        <v>39153.069999999992</v>
      </c>
      <c r="O310" s="25">
        <f t="shared" si="265"/>
        <v>11007.82546143035</v>
      </c>
      <c r="P310" s="25">
        <f t="shared" si="266"/>
        <v>28145.244538569641</v>
      </c>
      <c r="Q310" s="25">
        <f t="array" aca="1" ref="Q310" ca="1">INDEX('Isaac 401k'!L:L,MATCH('Retirement Calculator'!A310,'Isaac 401k'!N:N,0),0)</f>
        <v>1256792.3396826533</v>
      </c>
      <c r="R310" s="25">
        <f t="array" aca="1" ref="R310" ca="1">INDEX('Lorri 401b'!L:L,MATCH('Retirement Calculator'!A310,'Lorri 401b'!N:N,0),0)</f>
        <v>3258522.9172378764</v>
      </c>
      <c r="S310" s="25">
        <f t="shared" ca="1" si="267"/>
        <v>4515315.2569205295</v>
      </c>
    </row>
    <row r="311" spans="1:19" ht="15.75" customHeight="1" x14ac:dyDescent="0.3">
      <c r="A311" s="37">
        <v>60419</v>
      </c>
      <c r="B311" s="409">
        <f t="shared" ref="B311:C311" si="312">($A311-B$9)/365.25</f>
        <v>83.540041067761805</v>
      </c>
      <c r="C311" s="409">
        <f t="shared" si="312"/>
        <v>78.92950034223135</v>
      </c>
      <c r="E311" s="25">
        <f>IF(C311&gt;$B$7,0,'Combined Retirement'!$D$13/12)</f>
        <v>0</v>
      </c>
      <c r="F311" s="25">
        <f>IF(H311=0,'Combined Retirement'!$D$32,0)+'Combined Retirement'!$B$24</f>
        <v>2870.372285649099</v>
      </c>
      <c r="G311" s="25">
        <f>'Combined Retirement'!$C$24</f>
        <v>3525.4531757812501</v>
      </c>
      <c r="H311" s="25">
        <f>IF(B311&lt;62,0,'Combined Retirement'!$I$14)</f>
        <v>2192</v>
      </c>
      <c r="I311" s="25">
        <f>IF(C311&lt;62,0,'Combined Retirement'!$I$13)</f>
        <v>2420</v>
      </c>
      <c r="J311" s="25">
        <f t="shared" si="263"/>
        <v>7863.2184191855868</v>
      </c>
      <c r="K311" s="25">
        <f t="shared" si="264"/>
        <v>20282.026119384056</v>
      </c>
      <c r="L311" s="25"/>
      <c r="N311" s="25">
        <f>'Combined Retirement'!$C$18/12</f>
        <v>39153.069999999992</v>
      </c>
      <c r="O311" s="25">
        <f t="shared" si="265"/>
        <v>11007.82546143035</v>
      </c>
      <c r="P311" s="25">
        <f t="shared" si="266"/>
        <v>28145.244538569641</v>
      </c>
      <c r="Q311" s="25">
        <f t="array" aca="1" ref="Q311" ca="1">INDEX('Isaac 401k'!L:L,MATCH('Retirement Calculator'!A311,'Isaac 401k'!N:N,0),0)</f>
        <v>1254132.9926020654</v>
      </c>
      <c r="R311" s="25">
        <f t="array" aca="1" ref="R311" ca="1">INDEX('Lorri 401b'!L:L,MATCH('Retirement Calculator'!A311,'Lorri 401b'!N:N,0),0)</f>
        <v>3251733.561498153</v>
      </c>
      <c r="S311" s="25">
        <f t="shared" ca="1" si="267"/>
        <v>4505866.5541002182</v>
      </c>
    </row>
    <row r="312" spans="1:19" ht="15.75" customHeight="1" x14ac:dyDescent="0.3">
      <c r="A312" s="37">
        <v>60449</v>
      </c>
      <c r="B312" s="409">
        <f t="shared" ref="B312:C312" si="313">($A312-B$9)/365.25</f>
        <v>83.622176591375776</v>
      </c>
      <c r="C312" s="409">
        <f t="shared" si="313"/>
        <v>79.011635865845307</v>
      </c>
      <c r="E312" s="25">
        <f>IF(C312&gt;$B$7,0,'Combined Retirement'!$D$13/12)</f>
        <v>0</v>
      </c>
      <c r="F312" s="25">
        <f>IF(H312=0,'Combined Retirement'!$D$32,0)+'Combined Retirement'!$B$24</f>
        <v>2870.372285649099</v>
      </c>
      <c r="G312" s="25">
        <f>'Combined Retirement'!$C$24</f>
        <v>3525.4531757812501</v>
      </c>
      <c r="H312" s="25">
        <f>IF(B312&lt;62,0,'Combined Retirement'!$I$14)</f>
        <v>2192</v>
      </c>
      <c r="I312" s="25">
        <f>IF(C312&lt;62,0,'Combined Retirement'!$I$13)</f>
        <v>2420</v>
      </c>
      <c r="J312" s="25">
        <f t="shared" si="263"/>
        <v>7863.2184191855868</v>
      </c>
      <c r="K312" s="25">
        <f t="shared" si="264"/>
        <v>20282.026119384056</v>
      </c>
      <c r="L312" s="25"/>
      <c r="N312" s="25">
        <f>'Combined Retirement'!$C$18/12</f>
        <v>39153.069999999992</v>
      </c>
      <c r="O312" s="25">
        <f t="shared" si="265"/>
        <v>11007.82546143035</v>
      </c>
      <c r="P312" s="25">
        <f t="shared" si="266"/>
        <v>28145.244538569641</v>
      </c>
      <c r="Q312" s="25">
        <f t="array" aca="1" ref="Q312" ca="1">INDEX('Isaac 401k'!L:L,MATCH('Retirement Calculator'!A312,'Isaac 401k'!N:N,0),0)</f>
        <v>1251462.5649086419</v>
      </c>
      <c r="R312" s="25">
        <f t="array" aca="1" ref="R312" ca="1">INDEX('Lorri 401b'!L:L,MATCH('Retirement Calculator'!A312,'Lorri 401b'!N:N,0),0)</f>
        <v>3244915.9167761807</v>
      </c>
      <c r="S312" s="25">
        <f t="shared" ca="1" si="267"/>
        <v>4496378.4816848226</v>
      </c>
    </row>
    <row r="313" spans="1:19" ht="15.75" customHeight="1" x14ac:dyDescent="0.3">
      <c r="A313" s="37">
        <v>60480</v>
      </c>
      <c r="B313" s="409">
        <f t="shared" ref="B313:C313" si="314">($A313-B$9)/365.25</f>
        <v>83.707049965776861</v>
      </c>
      <c r="C313" s="409">
        <f t="shared" si="314"/>
        <v>79.096509240246405</v>
      </c>
      <c r="E313" s="25">
        <f>IF(C313&gt;$B$7,0,'Combined Retirement'!$D$13/12)</f>
        <v>0</v>
      </c>
      <c r="F313" s="25">
        <f>IF(H313=0,'Combined Retirement'!$D$32,0)+'Combined Retirement'!$B$24</f>
        <v>2870.372285649099</v>
      </c>
      <c r="G313" s="25">
        <f>'Combined Retirement'!$C$24</f>
        <v>3525.4531757812501</v>
      </c>
      <c r="H313" s="25">
        <f>IF(B313&lt;62,0,'Combined Retirement'!$I$14)</f>
        <v>2192</v>
      </c>
      <c r="I313" s="25">
        <f>IF(C313&lt;62,0,'Combined Retirement'!$I$13)</f>
        <v>2420</v>
      </c>
      <c r="J313" s="25">
        <f t="shared" si="263"/>
        <v>7863.2184191855868</v>
      </c>
      <c r="K313" s="25">
        <f t="shared" si="264"/>
        <v>20282.026119384056</v>
      </c>
      <c r="L313" s="25"/>
      <c r="N313" s="25">
        <f>'Combined Retirement'!$C$18/12</f>
        <v>39153.069999999992</v>
      </c>
      <c r="O313" s="25">
        <f t="shared" si="265"/>
        <v>11007.82546143035</v>
      </c>
      <c r="P313" s="25">
        <f t="shared" si="266"/>
        <v>28145.244538569641</v>
      </c>
      <c r="Q313" s="25">
        <f t="array" aca="1" ref="Q313" ca="1">INDEX('Isaac 401k'!L:L,MATCH('Retirement Calculator'!A313,'Isaac 401k'!N:N,0),0)</f>
        <v>1248781.0104331623</v>
      </c>
      <c r="R313" s="25">
        <f t="array" aca="1" ref="R313" ca="1">INDEX('Lorri 401b'!L:L,MATCH('Retirement Calculator'!A313,'Lorri 401b'!N:N,0),0)</f>
        <v>3238069.8652011999</v>
      </c>
      <c r="S313" s="25">
        <f t="shared" ca="1" si="267"/>
        <v>4486850.875634362</v>
      </c>
    </row>
    <row r="314" spans="1:19" ht="15.75" customHeight="1" x14ac:dyDescent="0.3">
      <c r="A314" s="37">
        <v>60511</v>
      </c>
      <c r="B314" s="409">
        <f t="shared" ref="B314:C314" si="315">($A314-B$9)/365.25</f>
        <v>83.791923340177959</v>
      </c>
      <c r="C314" s="409">
        <f t="shared" si="315"/>
        <v>79.181382614647504</v>
      </c>
      <c r="E314" s="25">
        <f>IF(C314&gt;$B$7,0,'Combined Retirement'!$D$13/12)</f>
        <v>0</v>
      </c>
      <c r="F314" s="25">
        <f>IF(H314=0,'Combined Retirement'!$D$32,0)+'Combined Retirement'!$B$24</f>
        <v>2870.372285649099</v>
      </c>
      <c r="G314" s="25">
        <f>'Combined Retirement'!$C$24</f>
        <v>3525.4531757812501</v>
      </c>
      <c r="H314" s="25">
        <f>IF(B314&lt;62,0,'Combined Retirement'!$I$14)</f>
        <v>2192</v>
      </c>
      <c r="I314" s="25">
        <f>IF(C314&lt;62,0,'Combined Retirement'!$I$13)</f>
        <v>2420</v>
      </c>
      <c r="J314" s="25">
        <f t="shared" si="263"/>
        <v>7863.2184191855868</v>
      </c>
      <c r="K314" s="25">
        <f t="shared" si="264"/>
        <v>20282.026119384056</v>
      </c>
      <c r="L314" s="25"/>
      <c r="N314" s="25">
        <f>'Combined Retirement'!$C$18/12</f>
        <v>39153.069999999992</v>
      </c>
      <c r="O314" s="25">
        <f t="shared" si="265"/>
        <v>11007.82546143035</v>
      </c>
      <c r="P314" s="25">
        <f t="shared" si="266"/>
        <v>28145.244538569641</v>
      </c>
      <c r="Q314" s="25">
        <f t="array" aca="1" ref="Q314" ca="1">INDEX('Isaac 401k'!L:L,MATCH('Retirement Calculator'!A314,'Isaac 401k'!N:N,0),0)</f>
        <v>1246088.282814035</v>
      </c>
      <c r="R314" s="25">
        <f t="array" aca="1" ref="R314" ca="1">INDEX('Lorri 401b'!L:L,MATCH('Retirement Calculator'!A314,'Lorri 401b'!N:N,0),0)</f>
        <v>3231195.2884113234</v>
      </c>
      <c r="S314" s="25">
        <f t="shared" ca="1" si="267"/>
        <v>4477283.5712253582</v>
      </c>
    </row>
    <row r="315" spans="1:19" ht="15.75" customHeight="1" x14ac:dyDescent="0.3">
      <c r="A315" s="37">
        <v>60541</v>
      </c>
      <c r="B315" s="409">
        <f t="shared" ref="B315:C315" si="316">($A315-B$9)/365.25</f>
        <v>83.87405886379193</v>
      </c>
      <c r="C315" s="409">
        <f t="shared" si="316"/>
        <v>79.26351813826146</v>
      </c>
      <c r="E315" s="25">
        <f>IF(C315&gt;$B$7,0,'Combined Retirement'!$D$13/12)</f>
        <v>0</v>
      </c>
      <c r="F315" s="25">
        <f>IF(H315=0,'Combined Retirement'!$D$32,0)+'Combined Retirement'!$B$24</f>
        <v>2870.372285649099</v>
      </c>
      <c r="G315" s="25">
        <f>'Combined Retirement'!$C$24</f>
        <v>3525.4531757812501</v>
      </c>
      <c r="H315" s="25">
        <f>IF(B315&lt;62,0,'Combined Retirement'!$I$14)</f>
        <v>2192</v>
      </c>
      <c r="I315" s="25">
        <f>IF(C315&lt;62,0,'Combined Retirement'!$I$13)</f>
        <v>2420</v>
      </c>
      <c r="J315" s="25">
        <f t="shared" si="263"/>
        <v>7863.2184191855868</v>
      </c>
      <c r="K315" s="25">
        <f t="shared" si="264"/>
        <v>20282.026119384056</v>
      </c>
      <c r="L315" s="25"/>
      <c r="N315" s="25">
        <f>'Combined Retirement'!$C$18/12</f>
        <v>39153.069999999992</v>
      </c>
      <c r="O315" s="25">
        <f t="shared" si="265"/>
        <v>11007.82546143035</v>
      </c>
      <c r="P315" s="25">
        <f t="shared" si="266"/>
        <v>28145.244538569641</v>
      </c>
      <c r="Q315" s="25">
        <f t="array" aca="1" ref="Q315" ca="1">INDEX('Isaac 401k'!L:L,MATCH('Retirement Calculator'!A315,'Isaac 401k'!N:N,0),0)</f>
        <v>1243384.3354964945</v>
      </c>
      <c r="R315" s="25">
        <f t="array" aca="1" ref="R315" ca="1">INDEX('Lorri 401b'!L:L,MATCH('Retirement Calculator'!A315,'Lorri 401b'!N:N,0),0)</f>
        <v>3224292.067551489</v>
      </c>
      <c r="S315" s="25">
        <f t="shared" ca="1" si="267"/>
        <v>4467676.4030479835</v>
      </c>
    </row>
    <row r="316" spans="1:19" ht="15.75" customHeight="1" x14ac:dyDescent="0.3">
      <c r="A316" s="37">
        <v>60572</v>
      </c>
      <c r="B316" s="409">
        <f t="shared" ref="B316:C316" si="317">($A316-B$9)/365.25</f>
        <v>83.958932238193015</v>
      </c>
      <c r="C316" s="409">
        <f t="shared" si="317"/>
        <v>79.348391512662559</v>
      </c>
      <c r="E316" s="25">
        <f>IF(C316&gt;$B$7,0,'Combined Retirement'!$D$13/12)</f>
        <v>0</v>
      </c>
      <c r="F316" s="25">
        <f>IF(H316=0,'Combined Retirement'!$D$32,0)+'Combined Retirement'!$B$24</f>
        <v>2870.372285649099</v>
      </c>
      <c r="G316" s="25">
        <f>'Combined Retirement'!$C$24</f>
        <v>3525.4531757812501</v>
      </c>
      <c r="H316" s="25">
        <f>IF(B316&lt;62,0,'Combined Retirement'!$I$14)</f>
        <v>2192</v>
      </c>
      <c r="I316" s="25">
        <f>IF(C316&lt;62,0,'Combined Retirement'!$I$13)</f>
        <v>2420</v>
      </c>
      <c r="J316" s="25">
        <f t="shared" si="263"/>
        <v>7863.2184191855868</v>
      </c>
      <c r="K316" s="25">
        <f t="shared" si="264"/>
        <v>20282.026119384056</v>
      </c>
      <c r="L316" s="25"/>
      <c r="N316" s="25">
        <f>'Combined Retirement'!$C$18/12</f>
        <v>39153.069999999992</v>
      </c>
      <c r="O316" s="25">
        <f t="shared" si="265"/>
        <v>11007.82546143035</v>
      </c>
      <c r="P316" s="25">
        <f t="shared" si="266"/>
        <v>28145.244538569641</v>
      </c>
      <c r="Q316" s="25">
        <f t="array" aca="1" ref="Q316" ca="1">INDEX('Isaac 401k'!L:L,MATCH('Retirement Calculator'!A316,'Isaac 401k'!N:N,0),0)</f>
        <v>1240669.1217317977</v>
      </c>
      <c r="R316" s="25">
        <f t="array" aca="1" ref="R316" ca="1">INDEX('Lorri 401b'!L:L,MATCH('Retirement Calculator'!A316,'Lorri 401b'!N:N,0),0)</f>
        <v>3217360.0832714057</v>
      </c>
      <c r="S316" s="25">
        <f t="shared" ca="1" si="267"/>
        <v>4458029.2050032038</v>
      </c>
    </row>
    <row r="317" spans="1:19" ht="15.75" customHeight="1" x14ac:dyDescent="0.3">
      <c r="A317" s="37">
        <v>60602</v>
      </c>
      <c r="B317" s="409">
        <f t="shared" ref="B317:C317" si="318">($A317-B$9)/365.25</f>
        <v>84.041067761806985</v>
      </c>
      <c r="C317" s="409">
        <f t="shared" si="318"/>
        <v>79.43052703627653</v>
      </c>
      <c r="E317" s="25">
        <f>IF(C317&gt;$B$7,0,'Combined Retirement'!$D$13/12)</f>
        <v>0</v>
      </c>
      <c r="F317" s="25">
        <f>IF(H317=0,'Combined Retirement'!$D$32,0)+'Combined Retirement'!$B$24</f>
        <v>2870.372285649099</v>
      </c>
      <c r="G317" s="25">
        <f>'Combined Retirement'!$C$24</f>
        <v>3525.4531757812501</v>
      </c>
      <c r="H317" s="25">
        <f>IF(B317&lt;62,0,'Combined Retirement'!$I$14)</f>
        <v>2192</v>
      </c>
      <c r="I317" s="25">
        <f>IF(C317&lt;62,0,'Combined Retirement'!$I$13)</f>
        <v>2420</v>
      </c>
      <c r="J317" s="25">
        <f t="shared" si="263"/>
        <v>7863.2184191855868</v>
      </c>
      <c r="K317" s="25">
        <f t="shared" si="264"/>
        <v>20282.026119384056</v>
      </c>
      <c r="L317" s="25"/>
      <c r="N317" s="25">
        <f>'Combined Retirement'!$C$18/12</f>
        <v>39153.069999999992</v>
      </c>
      <c r="O317" s="25">
        <f t="shared" si="265"/>
        <v>11007.82546143035</v>
      </c>
      <c r="P317" s="25">
        <f t="shared" si="266"/>
        <v>28145.244538569641</v>
      </c>
      <c r="Q317" s="25">
        <f t="array" aca="1" ref="Q317" ca="1">INDEX('Isaac 401k'!L:L,MATCH('Retirement Calculator'!A317,'Isaac 401k'!N:N,0),0)</f>
        <v>1237942.5945764147</v>
      </c>
      <c r="R317" s="25">
        <f t="array" aca="1" ref="R317" ca="1">INDEX('Lorri 401b'!L:L,MATCH('Retirement Calculator'!A317,'Lorri 401b'!N:N,0),0)</f>
        <v>3210399.2157234885</v>
      </c>
      <c r="S317" s="25">
        <f t="shared" ca="1" si="267"/>
        <v>4448341.8102999032</v>
      </c>
    </row>
    <row r="318" spans="1:19" ht="15.75" customHeight="1" x14ac:dyDescent="0.3">
      <c r="A318" s="37">
        <v>60633</v>
      </c>
      <c r="B318" s="409">
        <f t="shared" ref="B318:C318" si="319">($A318-B$9)/365.25</f>
        <v>84.12594113620807</v>
      </c>
      <c r="C318" s="409">
        <f t="shared" si="319"/>
        <v>79.515400410677614</v>
      </c>
      <c r="E318" s="25">
        <f>IF(C318&gt;$B$7,0,'Combined Retirement'!$D$13/12)</f>
        <v>0</v>
      </c>
      <c r="F318" s="25">
        <f>IF(H318=0,'Combined Retirement'!$D$32,0)+'Combined Retirement'!$B$24</f>
        <v>2870.372285649099</v>
      </c>
      <c r="G318" s="25">
        <f>'Combined Retirement'!$C$24</f>
        <v>3525.4531757812501</v>
      </c>
      <c r="H318" s="25">
        <f>IF(B318&lt;62,0,'Combined Retirement'!$I$14)</f>
        <v>2192</v>
      </c>
      <c r="I318" s="25">
        <f>IF(C318&lt;62,0,'Combined Retirement'!$I$13)</f>
        <v>2420</v>
      </c>
      <c r="J318" s="25">
        <f t="shared" si="263"/>
        <v>7863.2184191855868</v>
      </c>
      <c r="K318" s="25">
        <f t="shared" si="264"/>
        <v>20282.026119384056</v>
      </c>
      <c r="L318" s="25"/>
      <c r="N318" s="25">
        <f>'Combined Retirement'!$C$18/12</f>
        <v>39153.069999999992</v>
      </c>
      <c r="O318" s="25">
        <f t="shared" si="265"/>
        <v>11007.82546143035</v>
      </c>
      <c r="P318" s="25">
        <f t="shared" si="266"/>
        <v>28145.244538569641</v>
      </c>
      <c r="Q318" s="25">
        <f t="array" aca="1" ref="Q318" ca="1">INDEX('Isaac 401k'!L:L,MATCH('Retirement Calculator'!A318,'Isaac 401k'!N:N,0),0)</f>
        <v>1235204.7068912175</v>
      </c>
      <c r="R318" s="25">
        <f t="array" aca="1" ref="R318" ca="1">INDEX('Lorri 401b'!L:L,MATCH('Retirement Calculator'!A318,'Lorri 401b'!N:N,0),0)</f>
        <v>3203409.3445607885</v>
      </c>
      <c r="S318" s="25">
        <f t="shared" ca="1" si="267"/>
        <v>4438614.0514520062</v>
      </c>
    </row>
    <row r="319" spans="1:19" ht="15.75" customHeight="1" x14ac:dyDescent="0.3">
      <c r="A319" s="37">
        <v>60664</v>
      </c>
      <c r="B319" s="409">
        <f t="shared" ref="B319:C319" si="320">($A319-B$9)/365.25</f>
        <v>84.210814510609168</v>
      </c>
      <c r="C319" s="409">
        <f t="shared" si="320"/>
        <v>79.600273785078713</v>
      </c>
      <c r="E319" s="25">
        <f>IF(C319&gt;$B$7,0,'Combined Retirement'!$D$13/12)</f>
        <v>0</v>
      </c>
      <c r="F319" s="25">
        <f>IF(H319=0,'Combined Retirement'!$D$32,0)+'Combined Retirement'!$B$24</f>
        <v>2870.372285649099</v>
      </c>
      <c r="G319" s="25">
        <f>'Combined Retirement'!$C$24</f>
        <v>3525.4531757812501</v>
      </c>
      <c r="H319" s="25">
        <f>IF(B319&lt;62,0,'Combined Retirement'!$I$14)</f>
        <v>2192</v>
      </c>
      <c r="I319" s="25">
        <f>IF(C319&lt;62,0,'Combined Retirement'!$I$13)</f>
        <v>2420</v>
      </c>
      <c r="J319" s="25">
        <f t="shared" si="263"/>
        <v>7863.2184191855868</v>
      </c>
      <c r="K319" s="25">
        <f t="shared" si="264"/>
        <v>20282.026119384056</v>
      </c>
      <c r="L319" s="25"/>
      <c r="N319" s="25">
        <f>'Combined Retirement'!$C$18/12</f>
        <v>39153.069999999992</v>
      </c>
      <c r="O319" s="25">
        <f t="shared" si="265"/>
        <v>11007.82546143035</v>
      </c>
      <c r="P319" s="25">
        <f t="shared" si="266"/>
        <v>28145.244538569641</v>
      </c>
      <c r="Q319" s="25">
        <f t="array" aca="1" ref="Q319" ca="1">INDEX('Isaac 401k'!L:L,MATCH('Retirement Calculator'!A319,'Isaac 401k'!N:N,0),0)</f>
        <v>1232455.4113406653</v>
      </c>
      <c r="R319" s="25">
        <f t="array" aca="1" ref="R319" ca="1">INDEX('Lorri 401b'!L:L,MATCH('Retirement Calculator'!A319,'Lorri 401b'!N:N,0),0)</f>
        <v>3196390.3489349103</v>
      </c>
      <c r="S319" s="25">
        <f t="shared" ca="1" si="267"/>
        <v>4428845.7602755753</v>
      </c>
    </row>
    <row r="320" spans="1:19" ht="15.75" customHeight="1" x14ac:dyDescent="0.3">
      <c r="A320" s="37">
        <v>60692</v>
      </c>
      <c r="B320" s="409">
        <f t="shared" ref="B320:C320" si="321">($A320-B$9)/365.25</f>
        <v>84.28747433264887</v>
      </c>
      <c r="C320" s="409">
        <f t="shared" si="321"/>
        <v>79.676933607118414</v>
      </c>
      <c r="E320" s="25">
        <f>IF(C320&gt;$B$7,0,'Combined Retirement'!$D$13/12)</f>
        <v>0</v>
      </c>
      <c r="F320" s="25">
        <f>IF(H320=0,'Combined Retirement'!$D$32,0)+'Combined Retirement'!$B$24</f>
        <v>2870.372285649099</v>
      </c>
      <c r="G320" s="25">
        <f>'Combined Retirement'!$C$24</f>
        <v>3525.4531757812501</v>
      </c>
      <c r="H320" s="25">
        <f>IF(B320&lt;62,0,'Combined Retirement'!$I$14)</f>
        <v>2192</v>
      </c>
      <c r="I320" s="25">
        <f>IF(C320&lt;62,0,'Combined Retirement'!$I$13)</f>
        <v>2420</v>
      </c>
      <c r="J320" s="25">
        <f t="shared" si="263"/>
        <v>7863.2184191855868</v>
      </c>
      <c r="K320" s="25">
        <f t="shared" si="264"/>
        <v>20282.026119384056</v>
      </c>
      <c r="L320" s="25"/>
      <c r="N320" s="25">
        <f>'Combined Retirement'!$C$18/12</f>
        <v>39153.069999999992</v>
      </c>
      <c r="O320" s="25">
        <f t="shared" si="265"/>
        <v>11007.82546143035</v>
      </c>
      <c r="P320" s="25">
        <f t="shared" si="266"/>
        <v>28145.244538569641</v>
      </c>
      <c r="Q320" s="25">
        <f t="array" aca="1" ref="Q320" ca="1">INDEX('Isaac 401k'!L:L,MATCH('Retirement Calculator'!A320,'Isaac 401k'!N:N,0),0)</f>
        <v>1229694.6603919859</v>
      </c>
      <c r="R320" s="25">
        <f t="array" aca="1" ref="R320" ca="1">INDEX('Lorri 401b'!L:L,MATCH('Retirement Calculator'!A320,'Lorri 401b'!N:N,0),0)</f>
        <v>3189342.1074939244</v>
      </c>
      <c r="S320" s="25">
        <f t="shared" ca="1" si="267"/>
        <v>4419036.7678859103</v>
      </c>
    </row>
    <row r="321" spans="1:19" ht="15.75" customHeight="1" x14ac:dyDescent="0.3">
      <c r="A321" s="37">
        <v>60723</v>
      </c>
      <c r="B321" s="409">
        <f t="shared" ref="B321:C321" si="322">($A321-B$9)/365.25</f>
        <v>84.372347707049968</v>
      </c>
      <c r="C321" s="409">
        <f t="shared" si="322"/>
        <v>79.761806981519513</v>
      </c>
      <c r="E321" s="25">
        <f>IF(C321&gt;$B$7,0,'Combined Retirement'!$D$13/12)</f>
        <v>0</v>
      </c>
      <c r="F321" s="25">
        <f>IF(H321=0,'Combined Retirement'!$D$32,0)+'Combined Retirement'!$B$24</f>
        <v>2870.372285649099</v>
      </c>
      <c r="G321" s="25">
        <f>'Combined Retirement'!$C$24</f>
        <v>3525.4531757812501</v>
      </c>
      <c r="H321" s="25">
        <f>IF(B321&lt;62,0,'Combined Retirement'!$I$14)</f>
        <v>2192</v>
      </c>
      <c r="I321" s="25">
        <f>IF(C321&lt;62,0,'Combined Retirement'!$I$13)</f>
        <v>2420</v>
      </c>
      <c r="J321" s="25">
        <f t="shared" si="263"/>
        <v>7863.2184191855868</v>
      </c>
      <c r="K321" s="25">
        <f t="shared" si="264"/>
        <v>20282.026119384056</v>
      </c>
      <c r="L321" s="25"/>
      <c r="N321" s="25">
        <f>'Combined Retirement'!$C$18/12</f>
        <v>39153.069999999992</v>
      </c>
      <c r="O321" s="25">
        <f t="shared" si="265"/>
        <v>11007.82546143035</v>
      </c>
      <c r="P321" s="25">
        <f t="shared" si="266"/>
        <v>28145.244538569641</v>
      </c>
      <c r="Q321" s="25">
        <f t="array" aca="1" ref="Q321" ca="1">INDEX('Isaac 401k'!L:L,MATCH('Retirement Calculator'!A321,'Isaac 401k'!N:N,0),0)</f>
        <v>1226922.4063143537</v>
      </c>
      <c r="R321" s="25">
        <f t="array" aca="1" ref="R321" ca="1">INDEX('Lorri 401b'!L:L,MATCH('Retirement Calculator'!A321,'Lorri 401b'!N:N,0),0)</f>
        <v>3182264.4983802675</v>
      </c>
      <c r="S321" s="25">
        <f t="shared" ca="1" si="267"/>
        <v>4409186.9046946215</v>
      </c>
    </row>
    <row r="322" spans="1:19" ht="15.75" customHeight="1" x14ac:dyDescent="0.3">
      <c r="A322" s="37">
        <v>60753</v>
      </c>
      <c r="B322" s="409">
        <f t="shared" ref="B322:C322" si="323">($A322-B$9)/365.25</f>
        <v>84.454483230663925</v>
      </c>
      <c r="C322" s="409">
        <f t="shared" si="323"/>
        <v>79.843942505133469</v>
      </c>
      <c r="E322" s="25">
        <f>IF(C322&gt;$B$7,0,'Combined Retirement'!$D$13/12)</f>
        <v>0</v>
      </c>
      <c r="F322" s="25">
        <f>IF(H322=0,'Combined Retirement'!$D$32,0)+'Combined Retirement'!$B$24</f>
        <v>2870.372285649099</v>
      </c>
      <c r="G322" s="25">
        <f>'Combined Retirement'!$C$24</f>
        <v>3525.4531757812501</v>
      </c>
      <c r="H322" s="25">
        <f>IF(B322&lt;62,0,'Combined Retirement'!$I$14)</f>
        <v>2192</v>
      </c>
      <c r="I322" s="25">
        <f>IF(C322&lt;62,0,'Combined Retirement'!$I$13)</f>
        <v>2420</v>
      </c>
      <c r="J322" s="25">
        <f t="shared" si="263"/>
        <v>7863.2184191855868</v>
      </c>
      <c r="K322" s="25">
        <f t="shared" si="264"/>
        <v>20282.026119384056</v>
      </c>
      <c r="L322" s="25"/>
      <c r="N322" s="25">
        <f>'Combined Retirement'!$C$18/12</f>
        <v>39153.069999999992</v>
      </c>
      <c r="O322" s="25">
        <f t="shared" si="265"/>
        <v>11007.82546143035</v>
      </c>
      <c r="P322" s="25">
        <f t="shared" si="266"/>
        <v>28145.244538569641</v>
      </c>
      <c r="Q322" s="25">
        <f t="array" aca="1" ref="Q322" ca="1">INDEX('Isaac 401k'!L:L,MATCH('Retirement Calculator'!A322,'Isaac 401k'!N:N,0),0)</f>
        <v>1224138.6011780647</v>
      </c>
      <c r="R322" s="25">
        <f t="array" aca="1" ref="R322" ca="1">INDEX('Lorri 401b'!L:L,MATCH('Retirement Calculator'!A322,'Lorri 401b'!N:N,0),0)</f>
        <v>3175157.3992286371</v>
      </c>
      <c r="S322" s="25">
        <f t="shared" ca="1" si="267"/>
        <v>4399296.000406702</v>
      </c>
    </row>
    <row r="323" spans="1:19" ht="15.75" customHeight="1" x14ac:dyDescent="0.3">
      <c r="A323" s="37">
        <v>60784</v>
      </c>
      <c r="B323" s="409">
        <f t="shared" ref="B323:C323" si="324">($A323-B$9)/365.25</f>
        <v>84.539356605065024</v>
      </c>
      <c r="C323" s="409">
        <f t="shared" si="324"/>
        <v>79.928815879534568</v>
      </c>
      <c r="E323" s="25">
        <f>IF(C323&gt;$B$7,0,'Combined Retirement'!$D$13/12)</f>
        <v>0</v>
      </c>
      <c r="F323" s="25">
        <f>IF(H323=0,'Combined Retirement'!$D$32,0)+'Combined Retirement'!$B$24</f>
        <v>2870.372285649099</v>
      </c>
      <c r="G323" s="25">
        <f>'Combined Retirement'!$C$24</f>
        <v>3525.4531757812501</v>
      </c>
      <c r="H323" s="25">
        <f>IF(B323&lt;62,0,'Combined Retirement'!$I$14)</f>
        <v>2192</v>
      </c>
      <c r="I323" s="25">
        <f>IF(C323&lt;62,0,'Combined Retirement'!$I$13)</f>
        <v>2420</v>
      </c>
      <c r="J323" s="25">
        <f t="shared" si="263"/>
        <v>7863.2184191855868</v>
      </c>
      <c r="K323" s="25">
        <f t="shared" si="264"/>
        <v>20282.026119384056</v>
      </c>
      <c r="L323" s="25"/>
      <c r="N323" s="25">
        <f>'Combined Retirement'!$C$18/12</f>
        <v>39153.069999999992</v>
      </c>
      <c r="O323" s="25">
        <f t="shared" si="265"/>
        <v>11007.82546143035</v>
      </c>
      <c r="P323" s="25">
        <f t="shared" si="266"/>
        <v>28145.244538569641</v>
      </c>
      <c r="Q323" s="25">
        <f t="array" aca="1" ref="Q323" ca="1">INDEX('Isaac 401k'!L:L,MATCH('Retirement Calculator'!A323,'Isaac 401k'!N:N,0),0)</f>
        <v>1221343.1968537078</v>
      </c>
      <c r="R323" s="25">
        <f t="array" aca="1" ref="R323" ca="1">INDEX('Lorri 401b'!L:L,MATCH('Retirement Calculator'!A323,'Lorri 401b'!N:N,0),0)</f>
        <v>3168020.687163875</v>
      </c>
      <c r="S323" s="25">
        <f t="shared" ca="1" si="267"/>
        <v>4389363.884017583</v>
      </c>
    </row>
    <row r="324" spans="1:19" ht="15.75" customHeight="1" x14ac:dyDescent="0.3">
      <c r="A324" s="37">
        <v>60814</v>
      </c>
      <c r="B324" s="409">
        <f t="shared" ref="B324:C324" si="325">($A324-B$9)/365.25</f>
        <v>84.62149212867898</v>
      </c>
      <c r="C324" s="409">
        <f t="shared" si="325"/>
        <v>80.010951403148525</v>
      </c>
      <c r="E324" s="25">
        <f>IF(C324&gt;$B$7,0,'Combined Retirement'!$D$13/12)</f>
        <v>0</v>
      </c>
      <c r="F324" s="25">
        <f>IF(H324=0,'Combined Retirement'!$D$32,0)+'Combined Retirement'!$B$24</f>
        <v>2870.372285649099</v>
      </c>
      <c r="G324" s="25">
        <f>'Combined Retirement'!$C$24</f>
        <v>3525.4531757812501</v>
      </c>
      <c r="H324" s="25">
        <f>IF(B324&lt;62,0,'Combined Retirement'!$I$14)</f>
        <v>2192</v>
      </c>
      <c r="I324" s="25">
        <f>IF(C324&lt;62,0,'Combined Retirement'!$I$13)</f>
        <v>2420</v>
      </c>
      <c r="J324" s="25">
        <f t="shared" si="263"/>
        <v>7863.2184191855868</v>
      </c>
      <c r="K324" s="25">
        <f t="shared" si="264"/>
        <v>20282.026119384056</v>
      </c>
      <c r="L324" s="25"/>
      <c r="N324" s="25">
        <f>'Combined Retirement'!$C$18/12</f>
        <v>39153.069999999992</v>
      </c>
      <c r="O324" s="25">
        <f t="shared" si="265"/>
        <v>11007.82546143035</v>
      </c>
      <c r="P324" s="25">
        <f t="shared" si="266"/>
        <v>28145.244538569641</v>
      </c>
      <c r="Q324" s="25">
        <f t="array" aca="1" ref="Q324" ca="1">INDEX('Isaac 401k'!L:L,MATCH('Retirement Calculator'!A324,'Isaac 401k'!N:N,0),0)</f>
        <v>1218536.1450113326</v>
      </c>
      <c r="R324" s="25">
        <f t="array" aca="1" ref="R324" ca="1">INDEX('Lorri 401b'!L:L,MATCH('Retirement Calculator'!A324,'Lorri 401b'!N:N,0),0)</f>
        <v>3160854.2387988432</v>
      </c>
      <c r="S324" s="25">
        <f t="shared" ca="1" si="267"/>
        <v>4379390.3838101756</v>
      </c>
    </row>
    <row r="325" spans="1:19" ht="15.75" customHeight="1" x14ac:dyDescent="0.3">
      <c r="A325" s="37">
        <v>60845</v>
      </c>
      <c r="B325" s="409">
        <f t="shared" ref="B325:C325" si="326">($A325-B$9)/365.25</f>
        <v>84.706365503080079</v>
      </c>
      <c r="C325" s="409">
        <f t="shared" si="326"/>
        <v>80.095824777549623</v>
      </c>
      <c r="E325" s="25">
        <f>IF(C325&gt;$B$7,0,'Combined Retirement'!$D$13/12)</f>
        <v>0</v>
      </c>
      <c r="F325" s="25">
        <f>IF(H325=0,'Combined Retirement'!$D$32,0)+'Combined Retirement'!$B$24</f>
        <v>2870.372285649099</v>
      </c>
      <c r="G325" s="25">
        <f>'Combined Retirement'!$C$24</f>
        <v>3525.4531757812501</v>
      </c>
      <c r="H325" s="25">
        <f>IF(B325&lt;62,0,'Combined Retirement'!$I$14)</f>
        <v>2192</v>
      </c>
      <c r="I325" s="25">
        <f>IF(C325&lt;62,0,'Combined Retirement'!$I$13)</f>
        <v>2420</v>
      </c>
      <c r="J325" s="25">
        <f t="shared" si="263"/>
        <v>7863.2184191855868</v>
      </c>
      <c r="K325" s="25">
        <f t="shared" si="264"/>
        <v>20282.026119384056</v>
      </c>
      <c r="L325" s="25"/>
      <c r="N325" s="25">
        <f>'Combined Retirement'!$C$18/12</f>
        <v>39153.069999999992</v>
      </c>
      <c r="O325" s="25">
        <f t="shared" si="265"/>
        <v>11007.82546143035</v>
      </c>
      <c r="P325" s="25">
        <f t="shared" si="266"/>
        <v>28145.244538569641</v>
      </c>
      <c r="Q325" s="25">
        <f t="array" aca="1" ref="Q325" ca="1">INDEX('Isaac 401k'!L:L,MATCH('Retirement Calculator'!A325,'Isaac 401k'!N:N,0),0)</f>
        <v>1215717.3971196143</v>
      </c>
      <c r="R325" s="25">
        <f t="array" aca="1" ref="R325" ca="1">INDEX('Lorri 401b'!L:L,MATCH('Retirement Calculator'!A325,'Lorri 401b'!N:N,0),0)</f>
        <v>3153657.9302322902</v>
      </c>
      <c r="S325" s="25">
        <f t="shared" ca="1" si="267"/>
        <v>4369375.3273519045</v>
      </c>
    </row>
    <row r="326" spans="1:19" ht="15.75" customHeight="1" x14ac:dyDescent="0.3">
      <c r="A326" s="37">
        <v>60876</v>
      </c>
      <c r="B326" s="409">
        <f t="shared" ref="B326:C326" si="327">($A326-B$9)/365.25</f>
        <v>84.791238877481177</v>
      </c>
      <c r="C326" s="409">
        <f t="shared" si="327"/>
        <v>80.180698151950722</v>
      </c>
      <c r="E326" s="25">
        <f>IF(C326&gt;$B$7,0,'Combined Retirement'!$D$13/12)</f>
        <v>0</v>
      </c>
      <c r="F326" s="25">
        <f>IF(H326=0,'Combined Retirement'!$D$32,0)+'Combined Retirement'!$B$24</f>
        <v>2870.372285649099</v>
      </c>
      <c r="G326" s="25">
        <f>'Combined Retirement'!$C$24</f>
        <v>3525.4531757812501</v>
      </c>
      <c r="H326" s="25">
        <f>IF(B326&lt;62,0,'Combined Retirement'!$I$14)</f>
        <v>2192</v>
      </c>
      <c r="I326" s="25">
        <f>IF(C326&lt;62,0,'Combined Retirement'!$I$13)</f>
        <v>2420</v>
      </c>
      <c r="J326" s="25">
        <f t="shared" si="263"/>
        <v>7863.2184191855868</v>
      </c>
      <c r="K326" s="25">
        <f t="shared" si="264"/>
        <v>20282.026119384056</v>
      </c>
      <c r="L326" s="25"/>
      <c r="N326" s="25">
        <f>'Combined Retirement'!$C$18/12</f>
        <v>39153.069999999992</v>
      </c>
      <c r="O326" s="25">
        <f t="shared" si="265"/>
        <v>11007.82546143035</v>
      </c>
      <c r="P326" s="25">
        <f t="shared" si="266"/>
        <v>28145.244538569641</v>
      </c>
      <c r="Q326" s="25">
        <f t="array" aca="1" ref="Q326" ca="1">INDEX('Isaac 401k'!L:L,MATCH('Retirement Calculator'!A326,'Isaac 401k'!N:N,0),0)</f>
        <v>1212886.9044450137</v>
      </c>
      <c r="R326" s="25">
        <f t="array" aca="1" ref="R326" ca="1">INDEX('Lorri 401b'!L:L,MATCH('Retirement Calculator'!A326,'Lorri 401b'!N:N,0),0)</f>
        <v>3146431.6370467101</v>
      </c>
      <c r="S326" s="25">
        <f t="shared" ca="1" si="267"/>
        <v>4359318.5414917236</v>
      </c>
    </row>
    <row r="327" spans="1:19" ht="15.75" customHeight="1" x14ac:dyDescent="0.3">
      <c r="A327" s="37">
        <v>60906</v>
      </c>
      <c r="B327" s="409">
        <f t="shared" ref="B327:C327" si="328">($A327-B$9)/365.25</f>
        <v>84.873374401095134</v>
      </c>
      <c r="C327" s="409">
        <f t="shared" si="328"/>
        <v>80.262833675564679</v>
      </c>
      <c r="E327" s="25">
        <f>IF(C327&gt;$B$7,0,'Combined Retirement'!$D$13/12)</f>
        <v>0</v>
      </c>
      <c r="F327" s="25">
        <f>IF(H327=0,'Combined Retirement'!$D$32,0)+'Combined Retirement'!$B$24</f>
        <v>2870.372285649099</v>
      </c>
      <c r="G327" s="25">
        <f>'Combined Retirement'!$C$24</f>
        <v>3525.4531757812501</v>
      </c>
      <c r="H327" s="25">
        <f>IF(B327&lt;62,0,'Combined Retirement'!$I$14)</f>
        <v>2192</v>
      </c>
      <c r="I327" s="25">
        <f>IF(C327&lt;62,0,'Combined Retirement'!$I$13)</f>
        <v>2420</v>
      </c>
      <c r="J327" s="25">
        <f t="shared" si="263"/>
        <v>7863.2184191855868</v>
      </c>
      <c r="K327" s="25">
        <f t="shared" si="264"/>
        <v>20282.026119384056</v>
      </c>
      <c r="L327" s="25"/>
      <c r="N327" s="25">
        <f>'Combined Retirement'!$C$18/12</f>
        <v>39153.069999999992</v>
      </c>
      <c r="O327" s="25">
        <f t="shared" si="265"/>
        <v>11007.82546143035</v>
      </c>
      <c r="P327" s="25">
        <f t="shared" si="266"/>
        <v>28145.244538569641</v>
      </c>
      <c r="Q327" s="25">
        <f t="array" aca="1" ref="Q327" ca="1">INDEX('Isaac 401k'!L:L,MATCH('Retirement Calculator'!A327,'Isaac 401k'!N:N,0),0)</f>
        <v>1210044.6180509357</v>
      </c>
      <c r="R327" s="25">
        <f t="array" aca="1" ref="R327" ca="1">INDEX('Lorri 401b'!L:L,MATCH('Retirement Calculator'!A327,'Lorri 401b'!N:N,0),0)</f>
        <v>3139175.2343061902</v>
      </c>
      <c r="S327" s="25">
        <f t="shared" ca="1" si="267"/>
        <v>4349219.8523571258</v>
      </c>
    </row>
    <row r="328" spans="1:19" ht="15.75" customHeight="1" x14ac:dyDescent="0.3">
      <c r="A328" s="37">
        <v>60937</v>
      </c>
      <c r="B328" s="409">
        <f t="shared" ref="B328:C328" si="329">($A328-B$9)/365.25</f>
        <v>84.958247775496233</v>
      </c>
      <c r="C328" s="409">
        <f t="shared" si="329"/>
        <v>80.347707049965777</v>
      </c>
      <c r="E328" s="25">
        <f>IF(C328&gt;$B$7,0,'Combined Retirement'!$D$13/12)</f>
        <v>0</v>
      </c>
      <c r="F328" s="25">
        <f>IF(H328=0,'Combined Retirement'!$D$32,0)+'Combined Retirement'!$B$24</f>
        <v>2870.372285649099</v>
      </c>
      <c r="G328" s="25">
        <f>'Combined Retirement'!$C$24</f>
        <v>3525.4531757812501</v>
      </c>
      <c r="H328" s="25">
        <f>IF(B328&lt;62,0,'Combined Retirement'!$I$14)</f>
        <v>2192</v>
      </c>
      <c r="I328" s="25">
        <f>IF(C328&lt;62,0,'Combined Retirement'!$I$13)</f>
        <v>2420</v>
      </c>
      <c r="J328" s="25">
        <f t="shared" si="263"/>
        <v>7863.2184191855868</v>
      </c>
      <c r="K328" s="25">
        <f t="shared" si="264"/>
        <v>20282.026119384056</v>
      </c>
      <c r="L328" s="25"/>
      <c r="N328" s="25">
        <f>'Combined Retirement'!$C$18/12</f>
        <v>39153.069999999992</v>
      </c>
      <c r="O328" s="25">
        <f t="shared" si="265"/>
        <v>11007.82546143035</v>
      </c>
      <c r="P328" s="25">
        <f t="shared" si="266"/>
        <v>28145.244538569641</v>
      </c>
      <c r="Q328" s="25">
        <f t="array" aca="1" ref="Q328" ca="1">INDEX('Isaac 401k'!L:L,MATCH('Retirement Calculator'!A328,'Isaac 401k'!N:N,0),0)</f>
        <v>1207190.4887968823</v>
      </c>
      <c r="R328" s="25">
        <f t="array" aca="1" ref="R328" ca="1">INDEX('Lorri 401b'!L:L,MATCH('Retirement Calculator'!A328,'Lorri 401b'!N:N,0),0)</f>
        <v>3131888.5965542514</v>
      </c>
      <c r="S328" s="25">
        <f t="shared" ca="1" si="267"/>
        <v>4339079.0853511337</v>
      </c>
    </row>
    <row r="329" spans="1:19" ht="15.75" customHeight="1" x14ac:dyDescent="0.3">
      <c r="A329" s="37">
        <v>60967</v>
      </c>
      <c r="B329" s="409">
        <f t="shared" ref="B329:C329" si="330">($A329-B$9)/365.25</f>
        <v>85.040383299110204</v>
      </c>
      <c r="C329" s="409">
        <f t="shared" si="330"/>
        <v>80.429842573579734</v>
      </c>
      <c r="E329" s="25">
        <f>IF(C329&gt;$B$7,0,'Combined Retirement'!$D$13/12)</f>
        <v>0</v>
      </c>
      <c r="F329" s="25">
        <f>IF(H329=0,'Combined Retirement'!$D$32,0)+'Combined Retirement'!$B$24</f>
        <v>2870.372285649099</v>
      </c>
      <c r="G329" s="25">
        <f>'Combined Retirement'!$C$24</f>
        <v>3525.4531757812501</v>
      </c>
      <c r="H329" s="25">
        <f>IF(B329&lt;62,0,'Combined Retirement'!$I$14)</f>
        <v>2192</v>
      </c>
      <c r="I329" s="25">
        <f>IF(C329&lt;62,0,'Combined Retirement'!$I$13)</f>
        <v>2420</v>
      </c>
      <c r="J329" s="25">
        <f t="shared" si="263"/>
        <v>7863.2184191855868</v>
      </c>
      <c r="K329" s="25">
        <f t="shared" si="264"/>
        <v>20282.026119384056</v>
      </c>
      <c r="L329" s="25"/>
      <c r="N329" s="25">
        <f>'Combined Retirement'!$C$18/12</f>
        <v>39153.069999999992</v>
      </c>
      <c r="O329" s="25">
        <f t="shared" si="265"/>
        <v>11007.82546143035</v>
      </c>
      <c r="P329" s="25">
        <f t="shared" si="266"/>
        <v>28145.244538569641</v>
      </c>
      <c r="Q329" s="25">
        <f t="array" aca="1" ref="Q329" ca="1">INDEX('Isaac 401k'!L:L,MATCH('Retirement Calculator'!A329,'Isaac 401k'!N:N,0),0)</f>
        <v>1204324.4673376037</v>
      </c>
      <c r="R329" s="25">
        <f t="array" aca="1" ref="R329" ca="1">INDEX('Lorri 401b'!L:L,MATCH('Retirement Calculator'!A329,'Lorri 401b'!N:N,0),0)</f>
        <v>3124571.5978116794</v>
      </c>
      <c r="S329" s="25">
        <f t="shared" ca="1" si="267"/>
        <v>4328896.065149283</v>
      </c>
    </row>
    <row r="330" spans="1:19" ht="15.75" customHeight="1" x14ac:dyDescent="0.3">
      <c r="A330" s="37">
        <v>60998</v>
      </c>
      <c r="B330" s="409">
        <f t="shared" ref="B330:C330" si="331">($A330-B$9)/365.25</f>
        <v>85.125256673511288</v>
      </c>
      <c r="C330" s="409">
        <f t="shared" si="331"/>
        <v>80.514715947980832</v>
      </c>
      <c r="E330" s="25">
        <f>IF(C330&gt;$B$7,0,'Combined Retirement'!$D$13/12)</f>
        <v>0</v>
      </c>
      <c r="F330" s="25">
        <f>IF(H330=0,'Combined Retirement'!$D$32,0)+'Combined Retirement'!$B$24</f>
        <v>2870.372285649099</v>
      </c>
      <c r="G330" s="25">
        <f>'Combined Retirement'!$C$24</f>
        <v>3525.4531757812501</v>
      </c>
      <c r="H330" s="25">
        <f>IF(B330&lt;62,0,'Combined Retirement'!$I$14)</f>
        <v>2192</v>
      </c>
      <c r="I330" s="25">
        <f>IF(C330&lt;62,0,'Combined Retirement'!$I$13)</f>
        <v>2420</v>
      </c>
      <c r="J330" s="25">
        <f t="shared" si="263"/>
        <v>7863.2184191855868</v>
      </c>
      <c r="K330" s="25">
        <f t="shared" si="264"/>
        <v>20282.026119384056</v>
      </c>
      <c r="L330" s="25"/>
      <c r="N330" s="25">
        <f>'Combined Retirement'!$C$18/12</f>
        <v>39153.069999999992</v>
      </c>
      <c r="O330" s="25">
        <f t="shared" si="265"/>
        <v>11007.82546143035</v>
      </c>
      <c r="P330" s="25">
        <f t="shared" si="266"/>
        <v>28145.244538569641</v>
      </c>
      <c r="Q330" s="25">
        <f t="array" aca="1" ref="Q330" ca="1">INDEX('Isaac 401k'!L:L,MATCH('Retirement Calculator'!A330,'Isaac 401k'!N:N,0),0)</f>
        <v>1201446.5041222449</v>
      </c>
      <c r="R330" s="25">
        <f t="array" aca="1" ref="R330" ca="1">INDEX('Lorri 401b'!L:L,MATCH('Retirement Calculator'!A330,'Lorri 401b'!N:N,0),0)</f>
        <v>3117224.1115743467</v>
      </c>
      <c r="S330" s="25">
        <f t="shared" ca="1" si="267"/>
        <v>4318670.6156965913</v>
      </c>
    </row>
    <row r="331" spans="1:19" ht="15.75" customHeight="1" x14ac:dyDescent="0.3">
      <c r="A331" s="37">
        <v>61029</v>
      </c>
      <c r="B331" s="409">
        <f t="shared" ref="B331:C331" si="332">($A331-B$9)/365.25</f>
        <v>85.210130047912386</v>
      </c>
      <c r="C331" s="409">
        <f t="shared" si="332"/>
        <v>80.599589322381931</v>
      </c>
      <c r="E331" s="25">
        <f>IF(C331&gt;$B$7,0,'Combined Retirement'!$D$13/12)</f>
        <v>0</v>
      </c>
      <c r="F331" s="25">
        <f>IF(H331=0,'Combined Retirement'!$D$32,0)+'Combined Retirement'!$B$24</f>
        <v>2870.372285649099</v>
      </c>
      <c r="G331" s="25">
        <f>'Combined Retirement'!$C$24</f>
        <v>3525.4531757812501</v>
      </c>
      <c r="H331" s="25">
        <f>IF(B331&lt;62,0,'Combined Retirement'!$I$14)</f>
        <v>2192</v>
      </c>
      <c r="I331" s="25">
        <f>IF(C331&lt;62,0,'Combined Retirement'!$I$13)</f>
        <v>2420</v>
      </c>
      <c r="J331" s="25">
        <f t="shared" si="263"/>
        <v>7863.2184191855868</v>
      </c>
      <c r="K331" s="25">
        <f t="shared" si="264"/>
        <v>20282.026119384056</v>
      </c>
      <c r="L331" s="25"/>
      <c r="N331" s="25">
        <f>'Combined Retirement'!$C$18/12</f>
        <v>39153.069999999992</v>
      </c>
      <c r="O331" s="25">
        <f t="shared" si="265"/>
        <v>11007.82546143035</v>
      </c>
      <c r="P331" s="25">
        <f t="shared" si="266"/>
        <v>28145.244538569641</v>
      </c>
      <c r="Q331" s="25">
        <f t="array" aca="1" ref="Q331" ca="1">INDEX('Isaac 401k'!L:L,MATCH('Retirement Calculator'!A331,'Isaac 401k'!N:N,0),0)</f>
        <v>1198556.5493934888</v>
      </c>
      <c r="R331" s="25">
        <f t="array" aca="1" ref="R331" ca="1">INDEX('Lorri 401b'!L:L,MATCH('Retirement Calculator'!A331,'Lorri 401b'!N:N,0),0)</f>
        <v>3109846.0108110248</v>
      </c>
      <c r="S331" s="25">
        <f t="shared" ca="1" si="267"/>
        <v>4308402.5602045134</v>
      </c>
    </row>
    <row r="332" spans="1:19" ht="15.75" customHeight="1" x14ac:dyDescent="0.3">
      <c r="A332" s="37">
        <v>61057</v>
      </c>
      <c r="B332" s="409">
        <f t="shared" ref="B332:C332" si="333">($A332-B$9)/365.25</f>
        <v>85.286789869952088</v>
      </c>
      <c r="C332" s="409">
        <f t="shared" si="333"/>
        <v>80.676249144421632</v>
      </c>
      <c r="E332" s="25">
        <f>IF(C332&gt;$B$7,0,'Combined Retirement'!$D$13/12)</f>
        <v>0</v>
      </c>
      <c r="F332" s="25">
        <f>IF(H332=0,'Combined Retirement'!$D$32,0)+'Combined Retirement'!$B$24</f>
        <v>2870.372285649099</v>
      </c>
      <c r="G332" s="25">
        <f>'Combined Retirement'!$C$24</f>
        <v>3525.4531757812501</v>
      </c>
      <c r="H332" s="25">
        <f>IF(B332&lt;62,0,'Combined Retirement'!$I$14)</f>
        <v>2192</v>
      </c>
      <c r="I332" s="25">
        <f>IF(C332&lt;62,0,'Combined Retirement'!$I$13)</f>
        <v>2420</v>
      </c>
      <c r="J332" s="25">
        <f t="shared" si="263"/>
        <v>7863.2184191855868</v>
      </c>
      <c r="K332" s="25">
        <f t="shared" si="264"/>
        <v>20282.026119384056</v>
      </c>
      <c r="L332" s="25"/>
      <c r="N332" s="25">
        <f>'Combined Retirement'!$C$18/12</f>
        <v>39153.069999999992</v>
      </c>
      <c r="O332" s="25">
        <f t="shared" si="265"/>
        <v>11007.82546143035</v>
      </c>
      <c r="P332" s="25">
        <f t="shared" si="266"/>
        <v>28145.244538569641</v>
      </c>
      <c r="Q332" s="25">
        <f t="array" aca="1" ref="Q332" ca="1">INDEX('Isaac 401k'!L:L,MATCH('Retirement Calculator'!A332,'Isaac 401k'!N:N,0),0)</f>
        <v>1195654.553186696</v>
      </c>
      <c r="R332" s="25">
        <f t="array" aca="1" ref="R332" ca="1">INDEX('Lorri 401b'!L:L,MATCH('Retirement Calculator'!A332,'Lorri 401b'!N:N,0),0)</f>
        <v>3102437.1679611895</v>
      </c>
      <c r="S332" s="25">
        <f t="shared" ca="1" si="267"/>
        <v>4298091.7211478855</v>
      </c>
    </row>
    <row r="333" spans="1:19" ht="15.75" customHeight="1" x14ac:dyDescent="0.3">
      <c r="A333" s="37">
        <v>61088</v>
      </c>
      <c r="B333" s="409">
        <f t="shared" ref="B333:C333" si="334">($A333-B$9)/365.25</f>
        <v>85.371663244353186</v>
      </c>
      <c r="C333" s="409">
        <f t="shared" si="334"/>
        <v>80.761122518822731</v>
      </c>
      <c r="E333" s="25">
        <f>IF(C333&gt;$B$7,0,'Combined Retirement'!$D$13/12)</f>
        <v>0</v>
      </c>
      <c r="F333" s="25">
        <f>IF(H333=0,'Combined Retirement'!$D$32,0)+'Combined Retirement'!$B$24</f>
        <v>2870.372285649099</v>
      </c>
      <c r="G333" s="25">
        <f>'Combined Retirement'!$C$24</f>
        <v>3525.4531757812501</v>
      </c>
      <c r="H333" s="25">
        <f>IF(B333&lt;62,0,'Combined Retirement'!$I$14)</f>
        <v>2192</v>
      </c>
      <c r="I333" s="25">
        <f>IF(C333&lt;62,0,'Combined Retirement'!$I$13)</f>
        <v>2420</v>
      </c>
      <c r="J333" s="25">
        <f t="shared" si="263"/>
        <v>7863.2184191855868</v>
      </c>
      <c r="K333" s="25">
        <f t="shared" si="264"/>
        <v>20282.026119384056</v>
      </c>
      <c r="L333" s="25"/>
      <c r="N333" s="25">
        <f>'Combined Retirement'!$C$18/12</f>
        <v>39153.069999999992</v>
      </c>
      <c r="O333" s="25">
        <f t="shared" si="265"/>
        <v>11007.82546143035</v>
      </c>
      <c r="P333" s="25">
        <f t="shared" si="266"/>
        <v>28145.244538569641</v>
      </c>
      <c r="Q333" s="25">
        <f t="array" aca="1" ref="Q333" ca="1">INDEX('Isaac 401k'!L:L,MATCH('Retirement Calculator'!A333,'Isaac 401k'!N:N,0),0)</f>
        <v>1192740.4653290417</v>
      </c>
      <c r="R333" s="25">
        <f t="array" aca="1" ref="R333" ca="1">INDEX('Lorri 401b'!L:L,MATCH('Retirement Calculator'!A333,'Lorri 401b'!N:N,0),0)</f>
        <v>3094997.4549328131</v>
      </c>
      <c r="S333" s="25">
        <f t="shared" ca="1" si="267"/>
        <v>4287737.9202618543</v>
      </c>
    </row>
    <row r="334" spans="1:19" ht="15.75" customHeight="1" x14ac:dyDescent="0.3">
      <c r="A334" s="37">
        <v>61118</v>
      </c>
      <c r="B334" s="409">
        <f t="shared" ref="B334:C334" si="335">($A334-B$9)/365.25</f>
        <v>85.453798767967143</v>
      </c>
      <c r="C334" s="409">
        <f t="shared" si="335"/>
        <v>80.843258042436688</v>
      </c>
      <c r="E334" s="25">
        <f>IF(C334&gt;$B$7,0,'Combined Retirement'!$D$13/12)</f>
        <v>0</v>
      </c>
      <c r="F334" s="25">
        <f>IF(H334=0,'Combined Retirement'!$D$32,0)+'Combined Retirement'!$B$24</f>
        <v>2870.372285649099</v>
      </c>
      <c r="G334" s="25">
        <f>'Combined Retirement'!$C$24</f>
        <v>3525.4531757812501</v>
      </c>
      <c r="H334" s="25">
        <f>IF(B334&lt;62,0,'Combined Retirement'!$I$14)</f>
        <v>2192</v>
      </c>
      <c r="I334" s="25">
        <f>IF(C334&lt;62,0,'Combined Retirement'!$I$13)</f>
        <v>2420</v>
      </c>
      <c r="J334" s="25">
        <f t="shared" si="263"/>
        <v>7863.2184191855868</v>
      </c>
      <c r="K334" s="25">
        <f t="shared" si="264"/>
        <v>20282.026119384056</v>
      </c>
      <c r="L334" s="25"/>
      <c r="N334" s="25">
        <f>'Combined Retirement'!$C$18/12</f>
        <v>39153.069999999992</v>
      </c>
      <c r="O334" s="25">
        <f t="shared" si="265"/>
        <v>11007.82546143035</v>
      </c>
      <c r="P334" s="25">
        <f t="shared" si="266"/>
        <v>28145.244538569641</v>
      </c>
      <c r="Q334" s="25">
        <f t="array" aca="1" ref="Q334" ca="1">INDEX('Isaac 401k'!L:L,MATCH('Retirement Calculator'!A334,'Isaac 401k'!N:N,0),0)</f>
        <v>1189814.2354386472</v>
      </c>
      <c r="R334" s="25">
        <f t="array" aca="1" ref="R334" ca="1">INDEX('Lorri 401b'!L:L,MATCH('Retirement Calculator'!A334,'Lorri 401b'!N:N,0),0)</f>
        <v>3087526.7431001519</v>
      </c>
      <c r="S334" s="25">
        <f t="shared" ca="1" si="267"/>
        <v>4277340.9785387991</v>
      </c>
    </row>
    <row r="335" spans="1:19" ht="15.75" customHeight="1" x14ac:dyDescent="0.3">
      <c r="A335" s="37">
        <v>61149</v>
      </c>
      <c r="B335" s="409">
        <f t="shared" ref="B335:C335" si="336">($A335-B$9)/365.25</f>
        <v>85.538672142368242</v>
      </c>
      <c r="C335" s="409">
        <f t="shared" si="336"/>
        <v>80.928131416837786</v>
      </c>
      <c r="E335" s="25">
        <f>IF(C335&gt;$B$7,0,'Combined Retirement'!$D$13/12)</f>
        <v>0</v>
      </c>
      <c r="F335" s="25">
        <f>IF(H335=0,'Combined Retirement'!$D$32,0)+'Combined Retirement'!$B$24</f>
        <v>2870.372285649099</v>
      </c>
      <c r="G335" s="25">
        <f>'Combined Retirement'!$C$24</f>
        <v>3525.4531757812501</v>
      </c>
      <c r="H335" s="25">
        <f>IF(B335&lt;62,0,'Combined Retirement'!$I$14)</f>
        <v>2192</v>
      </c>
      <c r="I335" s="25">
        <f>IF(C335&lt;62,0,'Combined Retirement'!$I$13)</f>
        <v>2420</v>
      </c>
      <c r="J335" s="25">
        <f t="shared" si="263"/>
        <v>7863.2184191855868</v>
      </c>
      <c r="K335" s="25">
        <f t="shared" si="264"/>
        <v>20282.026119384056</v>
      </c>
      <c r="L335" s="25"/>
      <c r="N335" s="25">
        <f>'Combined Retirement'!$C$18/12</f>
        <v>39153.069999999992</v>
      </c>
      <c r="O335" s="25">
        <f t="shared" si="265"/>
        <v>11007.82546143035</v>
      </c>
      <c r="P335" s="25">
        <f t="shared" si="266"/>
        <v>28145.244538569641</v>
      </c>
      <c r="Q335" s="25">
        <f t="array" aca="1" ref="Q335" ca="1">INDEX('Isaac 401k'!L:L,MATCH('Retirement Calculator'!A335,'Isaac 401k'!N:N,0),0)</f>
        <v>1186875.8129237094</v>
      </c>
      <c r="R335" s="25">
        <f t="array" aca="1" ref="R335" ca="1">INDEX('Lorri 401b'!L:L,MATCH('Retirement Calculator'!A335,'Lorri 401b'!N:N,0),0)</f>
        <v>3080024.9033015212</v>
      </c>
      <c r="S335" s="25">
        <f t="shared" ca="1" si="267"/>
        <v>4266900.7162252311</v>
      </c>
    </row>
    <row r="336" spans="1:19" ht="15.75" customHeight="1" x14ac:dyDescent="0.3">
      <c r="A336" s="37">
        <v>61179</v>
      </c>
      <c r="B336" s="409">
        <f t="shared" ref="B336:C336" si="337">($A336-B$9)/365.25</f>
        <v>85.620807665982198</v>
      </c>
      <c r="C336" s="409">
        <f t="shared" si="337"/>
        <v>81.010266940451743</v>
      </c>
      <c r="E336" s="25">
        <f>IF(C336&gt;$B$7,0,'Combined Retirement'!$D$13/12)</f>
        <v>0</v>
      </c>
      <c r="F336" s="25">
        <f>IF(H336=0,'Combined Retirement'!$D$32,0)+'Combined Retirement'!$B$24</f>
        <v>2870.372285649099</v>
      </c>
      <c r="G336" s="25">
        <f>'Combined Retirement'!$C$24</f>
        <v>3525.4531757812501</v>
      </c>
      <c r="H336" s="25">
        <f>IF(B336&lt;62,0,'Combined Retirement'!$I$14)</f>
        <v>2192</v>
      </c>
      <c r="I336" s="25">
        <f>IF(C336&lt;62,0,'Combined Retirement'!$I$13)</f>
        <v>2420</v>
      </c>
      <c r="J336" s="25">
        <f t="shared" si="263"/>
        <v>7863.2184191855868</v>
      </c>
      <c r="K336" s="25">
        <f t="shared" si="264"/>
        <v>20282.026119384056</v>
      </c>
      <c r="L336" s="25"/>
      <c r="N336" s="25">
        <f>'Combined Retirement'!$C$18/12</f>
        <v>39153.069999999992</v>
      </c>
      <c r="O336" s="25">
        <f t="shared" si="265"/>
        <v>11007.82546143035</v>
      </c>
      <c r="P336" s="25">
        <f t="shared" si="266"/>
        <v>28145.244538569641</v>
      </c>
      <c r="Q336" s="25">
        <f t="array" aca="1" ref="Q336" ca="1">INDEX('Isaac 401k'!L:L,MATCH('Retirement Calculator'!A336,'Isaac 401k'!N:N,0),0)</f>
        <v>1183925.1469816261</v>
      </c>
      <c r="R336" s="25">
        <f t="array" aca="1" ref="R336" ca="1">INDEX('Lorri 401b'!L:L,MATCH('Retirement Calculator'!A336,'Lorri 401b'!N:N,0),0)</f>
        <v>3072491.8058370627</v>
      </c>
      <c r="S336" s="25">
        <f t="shared" ca="1" si="267"/>
        <v>4256416.9528186889</v>
      </c>
    </row>
    <row r="337" spans="1:19" ht="15.75" customHeight="1" x14ac:dyDescent="0.3">
      <c r="A337" s="37">
        <v>61210</v>
      </c>
      <c r="B337" s="409">
        <f t="shared" ref="B337:C337" si="338">($A337-B$9)/365.25</f>
        <v>85.705681040383297</v>
      </c>
      <c r="C337" s="409">
        <f t="shared" si="338"/>
        <v>81.095140314852841</v>
      </c>
      <c r="E337" s="25">
        <f>IF(C337&gt;$B$7,0,'Combined Retirement'!$D$13/12)</f>
        <v>0</v>
      </c>
      <c r="F337" s="25">
        <f>IF(H337=0,'Combined Retirement'!$D$32,0)+'Combined Retirement'!$B$24</f>
        <v>2870.372285649099</v>
      </c>
      <c r="G337" s="25">
        <f>'Combined Retirement'!$C$24</f>
        <v>3525.4531757812501</v>
      </c>
      <c r="H337" s="25">
        <f>IF(B337&lt;62,0,'Combined Retirement'!$I$14)</f>
        <v>2192</v>
      </c>
      <c r="I337" s="25">
        <f>IF(C337&lt;62,0,'Combined Retirement'!$I$13)</f>
        <v>2420</v>
      </c>
      <c r="J337" s="25">
        <f t="shared" si="263"/>
        <v>7863.2184191855868</v>
      </c>
      <c r="K337" s="25">
        <f t="shared" si="264"/>
        <v>20282.026119384056</v>
      </c>
      <c r="L337" s="25"/>
      <c r="N337" s="25">
        <f>'Combined Retirement'!$C$18/12</f>
        <v>39153.069999999992</v>
      </c>
      <c r="O337" s="25">
        <f t="shared" si="265"/>
        <v>11007.82546143035</v>
      </c>
      <c r="P337" s="25">
        <f t="shared" si="266"/>
        <v>28145.244538569641</v>
      </c>
      <c r="Q337" s="25">
        <f t="array" aca="1" ref="Q337" ca="1">INDEX('Isaac 401k'!L:L,MATCH('Retirement Calculator'!A337,'Isaac 401k'!N:N,0),0)</f>
        <v>1180962.1865981172</v>
      </c>
      <c r="R337" s="25">
        <f t="array" aca="1" ref="R337" ca="1">INDEX('Lorri 401b'!L:L,MATCH('Retirement Calculator'!A337,'Lorri 401b'!N:N,0),0)</f>
        <v>3064927.3204665021</v>
      </c>
      <c r="S337" s="25">
        <f t="shared" ca="1" si="267"/>
        <v>4245889.5070646191</v>
      </c>
    </row>
    <row r="338" spans="1:19" ht="15.75" customHeight="1" x14ac:dyDescent="0.3">
      <c r="A338" s="37">
        <v>61241</v>
      </c>
      <c r="B338" s="409">
        <f t="shared" ref="B338:C338" si="339">($A338-B$9)/365.25</f>
        <v>85.790554414784395</v>
      </c>
      <c r="C338" s="409">
        <f t="shared" si="339"/>
        <v>81.18001368925394</v>
      </c>
      <c r="E338" s="25">
        <f>IF(C338&gt;$B$7,0,'Combined Retirement'!$D$13/12)</f>
        <v>0</v>
      </c>
      <c r="F338" s="25">
        <f>IF(H338=0,'Combined Retirement'!$D$32,0)+'Combined Retirement'!$B$24</f>
        <v>2870.372285649099</v>
      </c>
      <c r="G338" s="25">
        <f>'Combined Retirement'!$C$24</f>
        <v>3525.4531757812501</v>
      </c>
      <c r="H338" s="25">
        <f>IF(B338&lt;62,0,'Combined Retirement'!$I$14)</f>
        <v>2192</v>
      </c>
      <c r="I338" s="25">
        <f>IF(C338&lt;62,0,'Combined Retirement'!$I$13)</f>
        <v>2420</v>
      </c>
      <c r="J338" s="25">
        <f t="shared" si="263"/>
        <v>7863.2184191855868</v>
      </c>
      <c r="K338" s="25">
        <f t="shared" si="264"/>
        <v>20282.026119384056</v>
      </c>
      <c r="L338" s="25"/>
      <c r="N338" s="25">
        <f>'Combined Retirement'!$C$18/12</f>
        <v>39153.069999999992</v>
      </c>
      <c r="O338" s="25">
        <f t="shared" si="265"/>
        <v>11007.82546143035</v>
      </c>
      <c r="P338" s="25">
        <f t="shared" si="266"/>
        <v>28145.244538569641</v>
      </c>
      <c r="Q338" s="25">
        <f t="array" aca="1" ref="Q338" ca="1">INDEX('Isaac 401k'!L:L,MATCH('Retirement Calculator'!A338,'Isaac 401k'!N:N,0),0)</f>
        <v>1177986.8805463437</v>
      </c>
      <c r="R338" s="25">
        <f t="array" aca="1" ref="R338" ca="1">INDEX('Lorri 401b'!L:L,MATCH('Retirement Calculator'!A338,'Lorri 401b'!N:N,0),0)</f>
        <v>3057331.3164068977</v>
      </c>
      <c r="S338" s="25">
        <f t="shared" ca="1" si="267"/>
        <v>4235318.1969532417</v>
      </c>
    </row>
    <row r="339" spans="1:19" ht="15.75" customHeight="1" x14ac:dyDescent="0.3">
      <c r="A339" s="37">
        <v>61271</v>
      </c>
      <c r="B339" s="409">
        <f t="shared" ref="B339:C339" si="340">($A339-B$9)/365.25</f>
        <v>85.872689938398352</v>
      </c>
      <c r="C339" s="409">
        <f t="shared" si="340"/>
        <v>81.262149212867897</v>
      </c>
      <c r="E339" s="25">
        <f>IF(C339&gt;$B$7,0,'Combined Retirement'!$D$13/12)</f>
        <v>0</v>
      </c>
      <c r="F339" s="25">
        <f>IF(H339=0,'Combined Retirement'!$D$32,0)+'Combined Retirement'!$B$24</f>
        <v>2870.372285649099</v>
      </c>
      <c r="G339" s="25">
        <f>'Combined Retirement'!$C$24</f>
        <v>3525.4531757812501</v>
      </c>
      <c r="H339" s="25">
        <f>IF(B339&lt;62,0,'Combined Retirement'!$I$14)</f>
        <v>2192</v>
      </c>
      <c r="I339" s="25">
        <f>IF(C339&lt;62,0,'Combined Retirement'!$I$13)</f>
        <v>2420</v>
      </c>
      <c r="J339" s="25">
        <f t="shared" si="263"/>
        <v>7863.2184191855868</v>
      </c>
      <c r="K339" s="25">
        <f t="shared" si="264"/>
        <v>20282.026119384056</v>
      </c>
      <c r="L339" s="25"/>
      <c r="N339" s="25">
        <f>'Combined Retirement'!$C$18/12</f>
        <v>39153.069999999992</v>
      </c>
      <c r="O339" s="25">
        <f t="shared" si="265"/>
        <v>11007.82546143035</v>
      </c>
      <c r="P339" s="25">
        <f t="shared" si="266"/>
        <v>28145.244538569641</v>
      </c>
      <c r="Q339" s="25">
        <f t="array" aca="1" ref="Q339" ca="1">INDEX('Isaac 401k'!L:L,MATCH('Retirement Calculator'!A339,'Isaac 401k'!N:N,0),0)</f>
        <v>1174999.1773860212</v>
      </c>
      <c r="R339" s="25">
        <f t="array" aca="1" ref="R339" ca="1">INDEX('Lorri 401b'!L:L,MATCH('Retirement Calculator'!A339,'Lorri 401b'!N:N,0),0)</f>
        <v>3049703.6623303783</v>
      </c>
      <c r="S339" s="25">
        <f t="shared" ca="1" si="267"/>
        <v>4224702.8397163991</v>
      </c>
    </row>
    <row r="340" spans="1:19" ht="15.75" customHeight="1" x14ac:dyDescent="0.3">
      <c r="A340" s="37">
        <v>61302</v>
      </c>
      <c r="B340" s="409">
        <f t="shared" ref="B340:C340" si="341">($A340-B$9)/365.25</f>
        <v>85.957563312799451</v>
      </c>
      <c r="C340" s="409">
        <f t="shared" si="341"/>
        <v>81.347022587268995</v>
      </c>
      <c r="E340" s="25">
        <f>IF(C340&gt;$B$7,0,'Combined Retirement'!$D$13/12)</f>
        <v>0</v>
      </c>
      <c r="F340" s="25">
        <f>IF(H340=0,'Combined Retirement'!$D$32,0)+'Combined Retirement'!$B$24</f>
        <v>2870.372285649099</v>
      </c>
      <c r="G340" s="25">
        <f>'Combined Retirement'!$C$24</f>
        <v>3525.4531757812501</v>
      </c>
      <c r="H340" s="25">
        <f>IF(B340&lt;62,0,'Combined Retirement'!$I$14)</f>
        <v>2192</v>
      </c>
      <c r="I340" s="25">
        <f>IF(C340&lt;62,0,'Combined Retirement'!$I$13)</f>
        <v>2420</v>
      </c>
      <c r="J340" s="25">
        <f t="shared" si="263"/>
        <v>7863.2184191855868</v>
      </c>
      <c r="K340" s="25">
        <f t="shared" si="264"/>
        <v>20282.026119384056</v>
      </c>
      <c r="L340" s="25"/>
      <c r="N340" s="25">
        <f>'Combined Retirement'!$C$18/12</f>
        <v>39153.069999999992</v>
      </c>
      <c r="O340" s="25">
        <f t="shared" si="265"/>
        <v>11007.82546143035</v>
      </c>
      <c r="P340" s="25">
        <f t="shared" si="266"/>
        <v>28145.244538569641</v>
      </c>
      <c r="Q340" s="25">
        <f t="array" aca="1" ref="Q340" ca="1">INDEX('Isaac 401k'!L:L,MATCH('Retirement Calculator'!A340,'Isaac 401k'!N:N,0),0)</f>
        <v>1171999.0254625308</v>
      </c>
      <c r="R340" s="25">
        <f t="array" aca="1" ref="R340" ca="1">INDEX('Lorri 401b'!L:L,MATCH('Retirement Calculator'!A340,'Lorri 401b'!N:N,0),0)</f>
        <v>3042044.2263618736</v>
      </c>
      <c r="S340" s="25">
        <f t="shared" ca="1" si="267"/>
        <v>4214043.2518244041</v>
      </c>
    </row>
    <row r="341" spans="1:19" ht="15.75" customHeight="1" x14ac:dyDescent="0.3">
      <c r="A341" s="37">
        <v>61332</v>
      </c>
      <c r="B341" s="409">
        <f t="shared" ref="B341:C341" si="342">($A341-B$9)/365.25</f>
        <v>86.039698836413422</v>
      </c>
      <c r="C341" s="409">
        <f t="shared" si="342"/>
        <v>81.429158110882952</v>
      </c>
      <c r="E341" s="25">
        <f>IF(C341&gt;$B$7,0,'Combined Retirement'!$D$13/12)</f>
        <v>0</v>
      </c>
      <c r="F341" s="25">
        <f>IF(H341=0,'Combined Retirement'!$D$32,0)+'Combined Retirement'!$B$24</f>
        <v>2870.372285649099</v>
      </c>
      <c r="G341" s="25">
        <f>'Combined Retirement'!$C$24</f>
        <v>3525.4531757812501</v>
      </c>
      <c r="H341" s="25">
        <f>IF(B341&lt;62,0,'Combined Retirement'!$I$14)</f>
        <v>2192</v>
      </c>
      <c r="I341" s="25">
        <f>IF(C341&lt;62,0,'Combined Retirement'!$I$13)</f>
        <v>2420</v>
      </c>
      <c r="J341" s="25">
        <f t="shared" si="263"/>
        <v>7863.2184191855868</v>
      </c>
      <c r="K341" s="25">
        <f t="shared" si="264"/>
        <v>20282.026119384056</v>
      </c>
      <c r="L341" s="25"/>
      <c r="N341" s="25">
        <f>'Combined Retirement'!$C$18/12</f>
        <v>39153.069999999992</v>
      </c>
      <c r="O341" s="25">
        <f t="shared" si="265"/>
        <v>11007.82546143035</v>
      </c>
      <c r="P341" s="25">
        <f t="shared" si="266"/>
        <v>28145.244538569641</v>
      </c>
      <c r="Q341" s="25">
        <f t="array" aca="1" ref="Q341" ca="1">INDEX('Isaac 401k'!L:L,MATCH('Retirement Calculator'!A341,'Isaac 401k'!N:N,0),0)</f>
        <v>1168986.3729060257</v>
      </c>
      <c r="R341" s="25">
        <f t="array" aca="1" ref="R341" ca="1">INDEX('Lorri 401b'!L:L,MATCH('Retirement Calculator'!A341,'Lorri 401b'!N:N,0),0)</f>
        <v>3034352.8760768333</v>
      </c>
      <c r="S341" s="25">
        <f t="shared" ca="1" si="267"/>
        <v>4203339.2489828588</v>
      </c>
    </row>
    <row r="342" spans="1:19" ht="15.75" customHeight="1" x14ac:dyDescent="0.3">
      <c r="A342" s="37">
        <v>61363</v>
      </c>
      <c r="B342" s="409">
        <f t="shared" ref="B342:C342" si="343">($A342-B$9)/365.25</f>
        <v>86.124572210814506</v>
      </c>
      <c r="C342" s="409">
        <f t="shared" si="343"/>
        <v>81.51403148528405</v>
      </c>
      <c r="E342" s="25">
        <f>IF(C342&gt;$B$7,0,'Combined Retirement'!$D$13/12)</f>
        <v>0</v>
      </c>
      <c r="F342" s="25">
        <f>IF(H342=0,'Combined Retirement'!$D$32,0)+'Combined Retirement'!$B$24</f>
        <v>2870.372285649099</v>
      </c>
      <c r="G342" s="25">
        <f>'Combined Retirement'!$C$24</f>
        <v>3525.4531757812501</v>
      </c>
      <c r="H342" s="25">
        <f>IF(B342&lt;62,0,'Combined Retirement'!$I$14)</f>
        <v>2192</v>
      </c>
      <c r="I342" s="25">
        <f>IF(C342&lt;62,0,'Combined Retirement'!$I$13)</f>
        <v>2420</v>
      </c>
      <c r="J342" s="25">
        <f t="shared" si="263"/>
        <v>7863.2184191855868</v>
      </c>
      <c r="K342" s="25">
        <f t="shared" si="264"/>
        <v>20282.026119384056</v>
      </c>
      <c r="L342" s="25"/>
      <c r="N342" s="25">
        <f>'Combined Retirement'!$C$18/12</f>
        <v>39153.069999999992</v>
      </c>
      <c r="O342" s="25">
        <f t="shared" si="265"/>
        <v>11007.82546143035</v>
      </c>
      <c r="P342" s="25">
        <f t="shared" si="266"/>
        <v>28145.244538569641</v>
      </c>
      <c r="Q342" s="25">
        <f t="array" aca="1" ref="Q342" ca="1">INDEX('Isaac 401k'!L:L,MATCH('Retirement Calculator'!A342,'Isaac 401k'!N:N,0),0)</f>
        <v>1165961.1676305353</v>
      </c>
      <c r="R342" s="25">
        <f t="array" aca="1" ref="R342" ca="1">INDEX('Lorri 401b'!L:L,MATCH('Retirement Calculator'!A342,'Lorri 401b'!N:N,0),0)</f>
        <v>3026629.478498939</v>
      </c>
      <c r="S342" s="25">
        <f t="shared" ca="1" si="267"/>
        <v>4192590.646129474</v>
      </c>
    </row>
    <row r="343" spans="1:19" ht="15.75" customHeight="1" x14ac:dyDescent="0.3">
      <c r="A343" s="37">
        <v>61394</v>
      </c>
      <c r="B343" s="409">
        <f t="shared" ref="B343:C343" si="344">($A343-B$9)/365.25</f>
        <v>86.209445585215605</v>
      </c>
      <c r="C343" s="409">
        <f t="shared" si="344"/>
        <v>81.598904859685149</v>
      </c>
      <c r="E343" s="25">
        <f>IF(C343&gt;$B$7,0,'Combined Retirement'!$D$13/12)</f>
        <v>0</v>
      </c>
      <c r="F343" s="25">
        <f>IF(H343=0,'Combined Retirement'!$D$32,0)+'Combined Retirement'!$B$24</f>
        <v>2870.372285649099</v>
      </c>
      <c r="G343" s="25">
        <f>'Combined Retirement'!$C$24</f>
        <v>3525.4531757812501</v>
      </c>
      <c r="H343" s="25">
        <f>IF(B343&lt;62,0,'Combined Retirement'!$I$14)</f>
        <v>2192</v>
      </c>
      <c r="I343" s="25">
        <f>IF(C343&lt;62,0,'Combined Retirement'!$I$13)</f>
        <v>2420</v>
      </c>
      <c r="J343" s="25">
        <f t="shared" si="263"/>
        <v>7863.2184191855868</v>
      </c>
      <c r="K343" s="25">
        <f t="shared" si="264"/>
        <v>20282.026119384056</v>
      </c>
      <c r="L343" s="25"/>
      <c r="N343" s="25">
        <f>'Combined Retirement'!$C$18/12</f>
        <v>39153.069999999992</v>
      </c>
      <c r="O343" s="25">
        <f t="shared" si="265"/>
        <v>11007.82546143035</v>
      </c>
      <c r="P343" s="25">
        <f t="shared" si="266"/>
        <v>28145.244538569641</v>
      </c>
      <c r="Q343" s="25">
        <f t="array" aca="1" ref="Q343" ca="1">INDEX('Isaac 401k'!L:L,MATCH('Retirement Calculator'!A343,'Isaac 401k'!N:N,0),0)</f>
        <v>1162923.3573330636</v>
      </c>
      <c r="R343" s="25">
        <f t="array" aca="1" ref="R343" ca="1">INDEX('Lorri 401b'!L:L,MATCH('Retirement Calculator'!A343,'Lorri 401b'!N:N,0),0)</f>
        <v>3018873.9000978032</v>
      </c>
      <c r="S343" s="25">
        <f t="shared" ca="1" si="267"/>
        <v>4181797.2574308668</v>
      </c>
    </row>
    <row r="344" spans="1:19" ht="15.75" customHeight="1" x14ac:dyDescent="0.3">
      <c r="A344" s="37">
        <v>61423</v>
      </c>
      <c r="B344" s="409">
        <f t="shared" ref="B344:C344" si="345">($A344-B$9)/365.25</f>
        <v>86.288843258042434</v>
      </c>
      <c r="C344" s="409">
        <f t="shared" si="345"/>
        <v>81.678302532511978</v>
      </c>
      <c r="E344" s="25">
        <f>IF(C344&gt;$B$7,0,'Combined Retirement'!$D$13/12)</f>
        <v>0</v>
      </c>
      <c r="F344" s="25">
        <f>IF(H344=0,'Combined Retirement'!$D$32,0)+'Combined Retirement'!$B$24</f>
        <v>2870.372285649099</v>
      </c>
      <c r="G344" s="25">
        <f>'Combined Retirement'!$C$24</f>
        <v>3525.4531757812501</v>
      </c>
      <c r="H344" s="25">
        <f>IF(B344&lt;62,0,'Combined Retirement'!$I$14)</f>
        <v>2192</v>
      </c>
      <c r="I344" s="25">
        <f>IF(C344&lt;62,0,'Combined Retirement'!$I$13)</f>
        <v>2420</v>
      </c>
      <c r="J344" s="25">
        <f t="shared" si="263"/>
        <v>7863.2184191855868</v>
      </c>
      <c r="K344" s="25">
        <f t="shared" si="264"/>
        <v>20282.026119384056</v>
      </c>
      <c r="L344" s="25"/>
      <c r="N344" s="25">
        <f>'Combined Retirement'!$C$18/12</f>
        <v>39153.069999999992</v>
      </c>
      <c r="O344" s="25">
        <f t="shared" si="265"/>
        <v>11007.82546143035</v>
      </c>
      <c r="P344" s="25">
        <f t="shared" si="266"/>
        <v>28145.244538569641</v>
      </c>
      <c r="Q344" s="25">
        <f t="array" aca="1" ref="Q344" ca="1">INDEX('Isaac 401k'!L:L,MATCH('Retirement Calculator'!A344,'Isaac 401k'!N:N,0),0)</f>
        <v>1159872.8894926859</v>
      </c>
      <c r="R344" s="25">
        <f t="array" aca="1" ref="R344" ca="1">INDEX('Lorri 401b'!L:L,MATCH('Retirement Calculator'!A344,'Lorri 401b'!N:N,0),0)</f>
        <v>3011086.0067866626</v>
      </c>
      <c r="S344" s="25">
        <f t="shared" ca="1" si="267"/>
        <v>4170958.8962793485</v>
      </c>
    </row>
    <row r="345" spans="1:19" ht="15.75" customHeight="1" x14ac:dyDescent="0.3">
      <c r="A345" s="37">
        <v>61454</v>
      </c>
      <c r="B345" s="409">
        <f t="shared" ref="B345:C345" si="346">($A345-B$9)/365.25</f>
        <v>86.373716632443532</v>
      </c>
      <c r="C345" s="409">
        <f t="shared" si="346"/>
        <v>81.763175906913077</v>
      </c>
      <c r="E345" s="25">
        <f>IF(C345&gt;$B$7,0,'Combined Retirement'!$D$13/12)</f>
        <v>0</v>
      </c>
      <c r="F345" s="25">
        <f>IF(H345=0,'Combined Retirement'!$D$32,0)+'Combined Retirement'!$B$24</f>
        <v>2870.372285649099</v>
      </c>
      <c r="G345" s="25">
        <f>'Combined Retirement'!$C$24</f>
        <v>3525.4531757812501</v>
      </c>
      <c r="H345" s="25">
        <f>IF(B345&lt;62,0,'Combined Retirement'!$I$14)</f>
        <v>2192</v>
      </c>
      <c r="I345" s="25">
        <f>IF(C345&lt;62,0,'Combined Retirement'!$I$13)</f>
        <v>2420</v>
      </c>
      <c r="J345" s="25">
        <f t="shared" si="263"/>
        <v>7863.2184191855868</v>
      </c>
      <c r="K345" s="25">
        <f t="shared" si="264"/>
        <v>20282.026119384056</v>
      </c>
      <c r="L345" s="25"/>
      <c r="N345" s="25">
        <f>'Combined Retirement'!$C$18/12</f>
        <v>39153.069999999992</v>
      </c>
      <c r="O345" s="25">
        <f t="shared" si="265"/>
        <v>11007.82546143035</v>
      </c>
      <c r="P345" s="25">
        <f t="shared" si="266"/>
        <v>28145.244538569641</v>
      </c>
      <c r="Q345" s="25">
        <f t="array" aca="1" ref="Q345" ca="1">INDEX('Isaac 401k'!L:L,MATCH('Retirement Calculator'!A345,'Isaac 401k'!N:N,0),0)</f>
        <v>1156809.71136964</v>
      </c>
      <c r="R345" s="25">
        <f t="array" aca="1" ref="R345" ca="1">INDEX('Lorri 401b'!L:L,MATCH('Retirement Calculator'!A345,'Lorri 401b'!N:N,0),0)</f>
        <v>3003265.6639200589</v>
      </c>
      <c r="S345" s="25">
        <f t="shared" ca="1" si="267"/>
        <v>4160075.3752896991</v>
      </c>
    </row>
    <row r="346" spans="1:19" ht="15.75" customHeight="1" x14ac:dyDescent="0.3">
      <c r="A346" s="37">
        <v>61484</v>
      </c>
      <c r="B346" s="409">
        <f t="shared" ref="B346:C346" si="347">($A346-B$9)/365.25</f>
        <v>86.455852156057489</v>
      </c>
      <c r="C346" s="409">
        <f t="shared" si="347"/>
        <v>81.845311430527033</v>
      </c>
      <c r="E346" s="25">
        <f>IF(C346&gt;$B$7,0,'Combined Retirement'!$D$13/12)</f>
        <v>0</v>
      </c>
      <c r="F346" s="25">
        <f>IF(H346=0,'Combined Retirement'!$D$32,0)+'Combined Retirement'!$B$24</f>
        <v>2870.372285649099</v>
      </c>
      <c r="G346" s="25">
        <f>'Combined Retirement'!$C$24</f>
        <v>3525.4531757812501</v>
      </c>
      <c r="H346" s="25">
        <f>IF(B346&lt;62,0,'Combined Retirement'!$I$14)</f>
        <v>2192</v>
      </c>
      <c r="I346" s="25">
        <f>IF(C346&lt;62,0,'Combined Retirement'!$I$13)</f>
        <v>2420</v>
      </c>
      <c r="J346" s="25">
        <f t="shared" si="263"/>
        <v>7863.2184191855868</v>
      </c>
      <c r="K346" s="25">
        <f t="shared" si="264"/>
        <v>20282.026119384056</v>
      </c>
      <c r="L346" s="25"/>
      <c r="N346" s="25">
        <f>'Combined Retirement'!$C$18/12</f>
        <v>39153.069999999992</v>
      </c>
      <c r="O346" s="25">
        <f t="shared" si="265"/>
        <v>11007.82546143035</v>
      </c>
      <c r="P346" s="25">
        <f t="shared" si="266"/>
        <v>28145.244538569641</v>
      </c>
      <c r="Q346" s="25">
        <f t="array" aca="1" ref="Q346" ca="1">INDEX('Isaac 401k'!L:L,MATCH('Retirement Calculator'!A346,'Isaac 401k'!N:N,0),0)</f>
        <v>1153733.7700044145</v>
      </c>
      <c r="R346" s="25">
        <f t="array" aca="1" ref="R346" ca="1">INDEX('Lorri 401b'!L:L,MATCH('Retirement Calculator'!A346,'Lorri 401b'!N:N,0),0)</f>
        <v>2995412.736291511</v>
      </c>
      <c r="S346" s="25">
        <f t="shared" ca="1" si="267"/>
        <v>4149146.5062959255</v>
      </c>
    </row>
    <row r="347" spans="1:19" ht="15.75" customHeight="1" x14ac:dyDescent="0.3">
      <c r="A347" s="37">
        <v>61515</v>
      </c>
      <c r="B347" s="409">
        <f t="shared" ref="B347:C347" si="348">($A347-B$9)/365.25</f>
        <v>86.540725530458587</v>
      </c>
      <c r="C347" s="409">
        <f t="shared" si="348"/>
        <v>81.930184804928132</v>
      </c>
      <c r="E347" s="25">
        <f>IF(C347&gt;$B$7,0,'Combined Retirement'!$D$13/12)</f>
        <v>0</v>
      </c>
      <c r="F347" s="25">
        <f>IF(H347=0,'Combined Retirement'!$D$32,0)+'Combined Retirement'!$B$24</f>
        <v>2870.372285649099</v>
      </c>
      <c r="G347" s="25">
        <f>'Combined Retirement'!$C$24</f>
        <v>3525.4531757812501</v>
      </c>
      <c r="H347" s="25">
        <f>IF(B347&lt;62,0,'Combined Retirement'!$I$14)</f>
        <v>2192</v>
      </c>
      <c r="I347" s="25">
        <f>IF(C347&lt;62,0,'Combined Retirement'!$I$13)</f>
        <v>2420</v>
      </c>
      <c r="J347" s="25">
        <f t="shared" si="263"/>
        <v>7863.2184191855868</v>
      </c>
      <c r="K347" s="25">
        <f t="shared" si="264"/>
        <v>20282.026119384056</v>
      </c>
      <c r="L347" s="25"/>
      <c r="N347" s="25">
        <f>'Combined Retirement'!$C$18/12</f>
        <v>39153.069999999992</v>
      </c>
      <c r="O347" s="25">
        <f t="shared" si="265"/>
        <v>11007.82546143035</v>
      </c>
      <c r="P347" s="25">
        <f t="shared" si="266"/>
        <v>28145.244538569641</v>
      </c>
      <c r="Q347" s="25">
        <f t="array" aca="1" ref="Q347" ca="1">INDEX('Isaac 401k'!L:L,MATCH('Retirement Calculator'!A347,'Isaac 401k'!N:N,0),0)</f>
        <v>1150645.0122168339</v>
      </c>
      <c r="R347" s="25">
        <f t="array" aca="1" ref="R347" ca="1">INDEX('Lorri 401b'!L:L,MATCH('Retirement Calculator'!A347,'Lorri 401b'!N:N,0),0)</f>
        <v>2987527.0881311777</v>
      </c>
      <c r="S347" s="25">
        <f t="shared" ca="1" si="267"/>
        <v>4138172.1003480116</v>
      </c>
    </row>
    <row r="348" spans="1:19" ht="15.75" customHeight="1" x14ac:dyDescent="0.3">
      <c r="A348" s="37">
        <v>61545</v>
      </c>
      <c r="B348" s="409">
        <f t="shared" ref="B348:C348" si="349">($A348-B$9)/365.25</f>
        <v>86.622861054072558</v>
      </c>
      <c r="C348" s="409">
        <f t="shared" si="349"/>
        <v>82.012320328542089</v>
      </c>
      <c r="E348" s="25">
        <f>IF(C348&gt;$B$7,0,'Combined Retirement'!$D$13/12)</f>
        <v>0</v>
      </c>
      <c r="F348" s="25">
        <f>IF(H348=0,'Combined Retirement'!$D$32,0)+'Combined Retirement'!$B$24</f>
        <v>2870.372285649099</v>
      </c>
      <c r="G348" s="25">
        <f>'Combined Retirement'!$C$24</f>
        <v>3525.4531757812501</v>
      </c>
      <c r="H348" s="25">
        <f>IF(B348&lt;62,0,'Combined Retirement'!$I$14)</f>
        <v>2192</v>
      </c>
      <c r="I348" s="25">
        <f>IF(C348&lt;62,0,'Combined Retirement'!$I$13)</f>
        <v>2420</v>
      </c>
      <c r="J348" s="25">
        <f t="shared" si="263"/>
        <v>7863.2184191855868</v>
      </c>
      <c r="K348" s="25">
        <f t="shared" si="264"/>
        <v>20282.026119384056</v>
      </c>
      <c r="L348" s="25"/>
      <c r="N348" s="25">
        <f>'Combined Retirement'!$C$18/12</f>
        <v>39153.069999999992</v>
      </c>
      <c r="O348" s="25">
        <f t="shared" si="265"/>
        <v>11007.82546143035</v>
      </c>
      <c r="P348" s="25">
        <f t="shared" si="266"/>
        <v>28145.244538569641</v>
      </c>
      <c r="Q348" s="25">
        <f t="array" aca="1" ref="Q348" ca="1">INDEX('Isaac 401k'!L:L,MATCH('Retirement Calculator'!A348,'Isaac 401k'!N:N,0),0)</f>
        <v>1147543.3846051386</v>
      </c>
      <c r="R348" s="25">
        <f t="array" aca="1" ref="R348" ca="1">INDEX('Lorri 401b'!L:L,MATCH('Retirement Calculator'!A348,'Lorri 401b'!N:N,0),0)</f>
        <v>2979608.5831035096</v>
      </c>
      <c r="S348" s="25">
        <f t="shared" ca="1" si="267"/>
        <v>4127151.9677086482</v>
      </c>
    </row>
    <row r="349" spans="1:19" ht="15.75" customHeight="1" x14ac:dyDescent="0.3">
      <c r="A349" s="37">
        <v>61576</v>
      </c>
      <c r="B349" s="409">
        <f t="shared" ref="B349:C349" si="350">($A349-B$9)/365.25</f>
        <v>86.707734428473643</v>
      </c>
      <c r="C349" s="409">
        <f t="shared" si="350"/>
        <v>82.097193702943187</v>
      </c>
      <c r="E349" s="25">
        <f>IF(C349&gt;$B$7,0,'Combined Retirement'!$D$13/12)</f>
        <v>0</v>
      </c>
      <c r="F349" s="25">
        <f>IF(H349=0,'Combined Retirement'!$D$32,0)+'Combined Retirement'!$B$24</f>
        <v>2870.372285649099</v>
      </c>
      <c r="G349" s="25">
        <f>'Combined Retirement'!$C$24</f>
        <v>3525.4531757812501</v>
      </c>
      <c r="H349" s="25">
        <f>IF(B349&lt;62,0,'Combined Retirement'!$I$14)</f>
        <v>2192</v>
      </c>
      <c r="I349" s="25">
        <f>IF(C349&lt;62,0,'Combined Retirement'!$I$13)</f>
        <v>2420</v>
      </c>
      <c r="J349" s="25">
        <f t="shared" si="263"/>
        <v>7863.2184191855868</v>
      </c>
      <c r="K349" s="25">
        <f t="shared" si="264"/>
        <v>20282.026119384056</v>
      </c>
      <c r="L349" s="25"/>
      <c r="N349" s="25">
        <f>'Combined Retirement'!$C$18/12</f>
        <v>39153.069999999992</v>
      </c>
      <c r="O349" s="25">
        <f t="shared" si="265"/>
        <v>11007.82546143035</v>
      </c>
      <c r="P349" s="25">
        <f t="shared" si="266"/>
        <v>28145.244538569641</v>
      </c>
      <c r="Q349" s="25">
        <f t="array" aca="1" ref="Q349" ca="1">INDEX('Isaac 401k'!L:L,MATCH('Retirement Calculator'!A349,'Isaac 401k'!N:N,0),0)</f>
        <v>1144428.8335450611</v>
      </c>
      <c r="R349" s="25">
        <f t="array" aca="1" ref="R349" ca="1">INDEX('Lorri 401b'!L:L,MATCH('Retirement Calculator'!A349,'Lorri 401b'!N:N,0),0)</f>
        <v>2971657.0843048929</v>
      </c>
      <c r="S349" s="25">
        <f t="shared" ca="1" si="267"/>
        <v>4116085.9178499542</v>
      </c>
    </row>
    <row r="350" spans="1:19" ht="15.75" customHeight="1" x14ac:dyDescent="0.3">
      <c r="A350" s="37">
        <v>61607</v>
      </c>
      <c r="B350" s="409">
        <f t="shared" ref="B350:C350" si="351">($A350-B$9)/365.25</f>
        <v>86.792607802874741</v>
      </c>
      <c r="C350" s="409">
        <f t="shared" si="351"/>
        <v>82.182067077344286</v>
      </c>
      <c r="E350" s="25">
        <f>IF(C350&gt;$B$7,0,'Combined Retirement'!$D$13/12)</f>
        <v>0</v>
      </c>
      <c r="F350" s="25">
        <f>IF(H350=0,'Combined Retirement'!$D$32,0)+'Combined Retirement'!$B$24</f>
        <v>2870.372285649099</v>
      </c>
      <c r="G350" s="25">
        <f>'Combined Retirement'!$C$24</f>
        <v>3525.4531757812501</v>
      </c>
      <c r="H350" s="25">
        <f>IF(B350&lt;62,0,'Combined Retirement'!$I$14)</f>
        <v>2192</v>
      </c>
      <c r="I350" s="25">
        <f>IF(C350&lt;62,0,'Combined Retirement'!$I$13)</f>
        <v>2420</v>
      </c>
      <c r="J350" s="25">
        <f t="shared" si="263"/>
        <v>7863.2184191855868</v>
      </c>
      <c r="K350" s="25">
        <f t="shared" si="264"/>
        <v>20282.026119384056</v>
      </c>
      <c r="L350" s="25"/>
      <c r="N350" s="25">
        <f>'Combined Retirement'!$C$18/12</f>
        <v>39153.069999999992</v>
      </c>
      <c r="O350" s="25">
        <f t="shared" si="265"/>
        <v>11007.82546143035</v>
      </c>
      <c r="P350" s="25">
        <f t="shared" si="266"/>
        <v>28145.244538569641</v>
      </c>
      <c r="Q350" s="25">
        <f t="array" aca="1" ref="Q350" ca="1">INDEX('Isaac 401k'!L:L,MATCH('Retirement Calculator'!A350,'Isaac 401k'!N:N,0),0)</f>
        <v>1141301.3051888999</v>
      </c>
      <c r="R350" s="25">
        <f t="array" aca="1" ref="R350" ca="1">INDEX('Lorri 401b'!L:L,MATCH('Retirement Calculator'!A350,'Lorri 401b'!N:N,0),0)</f>
        <v>2963672.454261282</v>
      </c>
      <c r="S350" s="25">
        <f t="shared" ca="1" si="267"/>
        <v>4104973.7594501819</v>
      </c>
    </row>
    <row r="351" spans="1:19" ht="15.75" customHeight="1" x14ac:dyDescent="0.3">
      <c r="A351" s="37">
        <v>61637</v>
      </c>
      <c r="B351" s="409">
        <f t="shared" ref="B351:C351" si="352">($A351-B$9)/365.25</f>
        <v>86.874743326488712</v>
      </c>
      <c r="C351" s="409">
        <f t="shared" si="352"/>
        <v>82.264202600958242</v>
      </c>
      <c r="E351" s="25">
        <f>IF(C351&gt;$B$7,0,'Combined Retirement'!$D$13/12)</f>
        <v>0</v>
      </c>
      <c r="F351" s="25">
        <f>IF(H351=0,'Combined Retirement'!$D$32,0)+'Combined Retirement'!$B$24</f>
        <v>2870.372285649099</v>
      </c>
      <c r="G351" s="25">
        <f>'Combined Retirement'!$C$24</f>
        <v>3525.4531757812501</v>
      </c>
      <c r="H351" s="25">
        <f>IF(B351&lt;62,0,'Combined Retirement'!$I$14)</f>
        <v>2192</v>
      </c>
      <c r="I351" s="25">
        <f>IF(C351&lt;62,0,'Combined Retirement'!$I$13)</f>
        <v>2420</v>
      </c>
      <c r="J351" s="25">
        <f t="shared" si="263"/>
        <v>7863.2184191855868</v>
      </c>
      <c r="K351" s="25">
        <f t="shared" si="264"/>
        <v>20282.026119384056</v>
      </c>
      <c r="L351" s="25"/>
      <c r="N351" s="25">
        <f>'Combined Retirement'!$C$18/12</f>
        <v>39153.069999999992</v>
      </c>
      <c r="O351" s="25">
        <f t="shared" si="265"/>
        <v>11007.82546143035</v>
      </c>
      <c r="P351" s="25">
        <f t="shared" si="266"/>
        <v>28145.244538569641</v>
      </c>
      <c r="Q351" s="25">
        <f t="array" aca="1" ref="Q351" ca="1">INDEX('Isaac 401k'!L:L,MATCH('Retirement Calculator'!A351,'Isaac 401k'!N:N,0),0)</f>
        <v>1138160.745464588</v>
      </c>
      <c r="R351" s="25">
        <f t="array" aca="1" ref="R351" ca="1">INDEX('Lorri 401b'!L:L,MATCH('Retirement Calculator'!A351,'Lorri 401b'!N:N,0),0)</f>
        <v>2955654.5549258227</v>
      </c>
      <c r="S351" s="25">
        <f t="shared" ca="1" si="267"/>
        <v>4093815.3003904107</v>
      </c>
    </row>
    <row r="352" spans="1:19" ht="15.75" customHeight="1" x14ac:dyDescent="0.3">
      <c r="A352" s="37">
        <v>61668</v>
      </c>
      <c r="B352" s="409">
        <f t="shared" ref="B352:C352" si="353">($A352-B$9)/365.25</f>
        <v>86.959616700889796</v>
      </c>
      <c r="C352" s="409">
        <f t="shared" si="353"/>
        <v>82.349075975359341</v>
      </c>
      <c r="E352" s="25">
        <f>IF(C352&gt;$B$7,0,'Combined Retirement'!$D$13/12)</f>
        <v>0</v>
      </c>
      <c r="F352" s="25">
        <f>IF(H352=0,'Combined Retirement'!$D$32,0)+'Combined Retirement'!$B$24</f>
        <v>2870.372285649099</v>
      </c>
      <c r="G352" s="25">
        <f>'Combined Retirement'!$C$24</f>
        <v>3525.4531757812501</v>
      </c>
      <c r="H352" s="25">
        <f>IF(B352&lt;62,0,'Combined Retirement'!$I$14)</f>
        <v>2192</v>
      </c>
      <c r="I352" s="25">
        <f>IF(C352&lt;62,0,'Combined Retirement'!$I$13)</f>
        <v>2420</v>
      </c>
      <c r="J352" s="25">
        <f t="shared" si="263"/>
        <v>7863.2184191855868</v>
      </c>
      <c r="K352" s="25">
        <f t="shared" si="264"/>
        <v>20282.026119384056</v>
      </c>
      <c r="L352" s="25"/>
      <c r="N352" s="25">
        <f>'Combined Retirement'!$C$18/12</f>
        <v>39153.069999999992</v>
      </c>
      <c r="O352" s="25">
        <f t="shared" si="265"/>
        <v>11007.82546143035</v>
      </c>
      <c r="P352" s="25">
        <f t="shared" si="266"/>
        <v>28145.244538569641</v>
      </c>
      <c r="Q352" s="25">
        <f t="array" aca="1" ref="Q352" ca="1">INDEX('Isaac 401k'!L:L,MATCH('Retirement Calculator'!A352,'Isaac 401k'!N:N,0),0)</f>
        <v>1135007.1000747583</v>
      </c>
      <c r="R352" s="25">
        <f t="array" aca="1" ref="R352" ca="1">INDEX('Lorri 401b'!L:L,MATCH('Retirement Calculator'!A352,'Lorri 401b'!N:N,0),0)</f>
        <v>2947603.2476764657</v>
      </c>
      <c r="S352" s="25">
        <f t="shared" ca="1" si="267"/>
        <v>4082610.3477512239</v>
      </c>
    </row>
    <row r="353" spans="1:19" ht="15.75" customHeight="1" x14ac:dyDescent="0.3">
      <c r="A353" s="37">
        <v>61698</v>
      </c>
      <c r="B353" s="409">
        <f t="shared" ref="B353:C353" si="354">($A353-B$9)/365.25</f>
        <v>87.041752224503767</v>
      </c>
      <c r="C353" s="409">
        <f t="shared" si="354"/>
        <v>82.431211498973312</v>
      </c>
      <c r="E353" s="25">
        <f>IF(C353&gt;$B$7,0,'Combined Retirement'!$D$13/12)</f>
        <v>0</v>
      </c>
      <c r="F353" s="25">
        <f>IF(H353=0,'Combined Retirement'!$D$32,0)+'Combined Retirement'!$B$24</f>
        <v>2870.372285649099</v>
      </c>
      <c r="G353" s="25">
        <f>'Combined Retirement'!$C$24</f>
        <v>3525.4531757812501</v>
      </c>
      <c r="H353" s="25">
        <f>IF(B353&lt;62,0,'Combined Retirement'!$I$14)</f>
        <v>2192</v>
      </c>
      <c r="I353" s="25">
        <f>IF(C353&lt;62,0,'Combined Retirement'!$I$13)</f>
        <v>2420</v>
      </c>
      <c r="J353" s="25">
        <f t="shared" si="263"/>
        <v>7863.2184191855868</v>
      </c>
      <c r="K353" s="25">
        <f t="shared" si="264"/>
        <v>20282.026119384056</v>
      </c>
      <c r="L353" s="25"/>
      <c r="N353" s="25">
        <f>'Combined Retirement'!$C$18/12</f>
        <v>39153.069999999992</v>
      </c>
      <c r="O353" s="25">
        <f t="shared" si="265"/>
        <v>11007.82546143035</v>
      </c>
      <c r="P353" s="25">
        <f t="shared" si="266"/>
        <v>28145.244538569641</v>
      </c>
      <c r="Q353" s="25">
        <f t="array" aca="1" ref="Q353" ca="1">INDEX('Isaac 401k'!L:L,MATCH('Retirement Calculator'!A353,'Isaac 401k'!N:N,0),0)</f>
        <v>1131840.3144958043</v>
      </c>
      <c r="R353" s="25">
        <f t="array" aca="1" ref="R353" ca="1">INDEX('Lorri 401b'!L:L,MATCH('Retirement Calculator'!A353,'Lorri 401b'!N:N,0),0)</f>
        <v>2939518.3933135695</v>
      </c>
      <c r="S353" s="25">
        <f t="shared" ca="1" si="267"/>
        <v>4071358.7078093737</v>
      </c>
    </row>
    <row r="354" spans="1:19" ht="15.75" customHeight="1" x14ac:dyDescent="0.3">
      <c r="A354" s="37">
        <v>61729</v>
      </c>
      <c r="B354" s="409">
        <f t="shared" ref="B354:C354" si="355">($A354-B$9)/365.25</f>
        <v>87.126625598904866</v>
      </c>
      <c r="C354" s="409">
        <f t="shared" si="355"/>
        <v>82.516084873374396</v>
      </c>
      <c r="E354" s="25">
        <f>IF(C354&gt;$B$7,0,'Combined Retirement'!$D$13/12)</f>
        <v>0</v>
      </c>
      <c r="F354" s="25">
        <f>IF(H354=0,'Combined Retirement'!$D$32,0)+'Combined Retirement'!$B$24</f>
        <v>2870.372285649099</v>
      </c>
      <c r="G354" s="25">
        <f>'Combined Retirement'!$C$24</f>
        <v>3525.4531757812501</v>
      </c>
      <c r="H354" s="25">
        <f>IF(B354&lt;62,0,'Combined Retirement'!$I$14)</f>
        <v>2192</v>
      </c>
      <c r="I354" s="25">
        <f>IF(C354&lt;62,0,'Combined Retirement'!$I$13)</f>
        <v>2420</v>
      </c>
      <c r="J354" s="25">
        <f t="shared" si="263"/>
        <v>7863.2184191855868</v>
      </c>
      <c r="K354" s="25">
        <f t="shared" si="264"/>
        <v>20282.026119384056</v>
      </c>
      <c r="L354" s="25"/>
      <c r="N354" s="25">
        <f>'Combined Retirement'!$C$18/12</f>
        <v>39153.069999999992</v>
      </c>
      <c r="O354" s="25">
        <f t="shared" si="265"/>
        <v>11007.82546143035</v>
      </c>
      <c r="P354" s="25">
        <f t="shared" si="266"/>
        <v>28145.244538569641</v>
      </c>
      <c r="Q354" s="25">
        <f t="array" aca="1" ref="Q354" ca="1">INDEX('Isaac 401k'!L:L,MATCH('Retirement Calculator'!A354,'Isaac 401k'!N:N,0),0)</f>
        <v>1128660.3339769379</v>
      </c>
      <c r="R354" s="25">
        <f t="array" aca="1" ref="R354" ca="1">INDEX('Lorri 401b'!L:L,MATCH('Retirement Calculator'!A354,'Lorri 401b'!N:N,0),0)</f>
        <v>2931399.8520574947</v>
      </c>
      <c r="S354" s="25">
        <f t="shared" ca="1" si="267"/>
        <v>4060060.1860344326</v>
      </c>
    </row>
    <row r="355" spans="1:19" ht="15.75" customHeight="1" x14ac:dyDescent="0.3">
      <c r="A355" s="37">
        <v>61760</v>
      </c>
      <c r="B355" s="409">
        <f t="shared" ref="B355:C355" si="356">($A355-B$9)/365.25</f>
        <v>87.21149897330595</v>
      </c>
      <c r="C355" s="409">
        <f t="shared" si="356"/>
        <v>82.600958247775495</v>
      </c>
      <c r="E355" s="25">
        <f>IF(C355&gt;$B$7,0,'Combined Retirement'!$D$13/12)</f>
        <v>0</v>
      </c>
      <c r="F355" s="25">
        <f>IF(H355=0,'Combined Retirement'!$D$32,0)+'Combined Retirement'!$B$24</f>
        <v>2870.372285649099</v>
      </c>
      <c r="G355" s="25">
        <f>'Combined Retirement'!$C$24</f>
        <v>3525.4531757812501</v>
      </c>
      <c r="H355" s="25">
        <f>IF(B355&lt;62,0,'Combined Retirement'!$I$14)</f>
        <v>2192</v>
      </c>
      <c r="I355" s="25">
        <f>IF(C355&lt;62,0,'Combined Retirement'!$I$13)</f>
        <v>2420</v>
      </c>
      <c r="J355" s="25">
        <f t="shared" si="263"/>
        <v>7863.2184191855868</v>
      </c>
      <c r="K355" s="25">
        <f t="shared" si="264"/>
        <v>20282.026119384056</v>
      </c>
      <c r="L355" s="25"/>
      <c r="N355" s="25">
        <f>'Combined Retirement'!$C$18/12</f>
        <v>39153.069999999992</v>
      </c>
      <c r="O355" s="25">
        <f t="shared" si="265"/>
        <v>11007.82546143035</v>
      </c>
      <c r="P355" s="25">
        <f t="shared" si="266"/>
        <v>28145.244538569641</v>
      </c>
      <c r="Q355" s="25">
        <f t="array" aca="1" ref="Q355" ca="1">INDEX('Isaac 401k'!L:L,MATCH('Retirement Calculator'!A355,'Isaac 401k'!N:N,0),0)</f>
        <v>1125467.1035392429</v>
      </c>
      <c r="R355" s="25">
        <f t="array" aca="1" ref="R355" ca="1">INDEX('Lorri 401b'!L:L,MATCH('Retirement Calculator'!A355,'Lorri 401b'!N:N,0),0)</f>
        <v>2923247.4835461862</v>
      </c>
      <c r="S355" s="25">
        <f t="shared" ca="1" si="267"/>
        <v>4048714.5870854291</v>
      </c>
    </row>
    <row r="356" spans="1:19" ht="15.75" customHeight="1" x14ac:dyDescent="0.3">
      <c r="A356" s="37">
        <v>61788</v>
      </c>
      <c r="B356" s="409">
        <f t="shared" ref="B356:C356" si="357">($A356-B$9)/365.25</f>
        <v>87.288158795345652</v>
      </c>
      <c r="C356" s="409">
        <f t="shared" si="357"/>
        <v>82.677618069815196</v>
      </c>
      <c r="E356" s="25">
        <f>IF(C356&gt;$B$7,0,'Combined Retirement'!$D$13/12)</f>
        <v>0</v>
      </c>
      <c r="F356" s="25">
        <f>IF(H356=0,'Combined Retirement'!$D$32,0)+'Combined Retirement'!$B$24</f>
        <v>2870.372285649099</v>
      </c>
      <c r="G356" s="25">
        <f>'Combined Retirement'!$C$24</f>
        <v>3525.4531757812501</v>
      </c>
      <c r="H356" s="25">
        <f>IF(B356&lt;62,0,'Combined Retirement'!$I$14)</f>
        <v>2192</v>
      </c>
      <c r="I356" s="25">
        <f>IF(C356&lt;62,0,'Combined Retirement'!$I$13)</f>
        <v>2420</v>
      </c>
      <c r="J356" s="25">
        <f t="shared" si="263"/>
        <v>7863.2184191855868</v>
      </c>
      <c r="K356" s="25">
        <f t="shared" si="264"/>
        <v>20282.026119384056</v>
      </c>
      <c r="L356" s="25"/>
      <c r="N356" s="25">
        <f>'Combined Retirement'!$C$18/12</f>
        <v>39153.069999999992</v>
      </c>
      <c r="O356" s="25">
        <f t="shared" si="265"/>
        <v>11007.82546143035</v>
      </c>
      <c r="P356" s="25">
        <f t="shared" si="266"/>
        <v>28145.244538569641</v>
      </c>
      <c r="Q356" s="25">
        <f t="array" aca="1" ref="Q356" ca="1">INDEX('Isaac 401k'!L:L,MATCH('Retirement Calculator'!A356,'Isaac 401k'!N:N,0),0)</f>
        <v>1122260.5679747241</v>
      </c>
      <c r="R356" s="25">
        <f t="array" aca="1" ref="R356" ca="1">INDEX('Lorri 401b'!L:L,MATCH('Retirement Calculator'!A356,'Lorri 401b'!N:N,0),0)</f>
        <v>2915061.1468327474</v>
      </c>
      <c r="S356" s="25">
        <f t="shared" ca="1" si="267"/>
        <v>4037321.7148074713</v>
      </c>
    </row>
    <row r="357" spans="1:19" ht="15.75" customHeight="1" x14ac:dyDescent="0.3">
      <c r="A357" s="37">
        <v>61819</v>
      </c>
      <c r="B357" s="409">
        <f t="shared" ref="B357:C357" si="358">($A357-B$9)/365.25</f>
        <v>87.37303216974675</v>
      </c>
      <c r="C357" s="409">
        <f t="shared" si="358"/>
        <v>82.762491444216295</v>
      </c>
      <c r="E357" s="25">
        <f>IF(C357&gt;$B$7,0,'Combined Retirement'!$D$13/12)</f>
        <v>0</v>
      </c>
      <c r="F357" s="25">
        <f>IF(H357=0,'Combined Retirement'!$D$32,0)+'Combined Retirement'!$B$24</f>
        <v>2870.372285649099</v>
      </c>
      <c r="G357" s="25">
        <f>'Combined Retirement'!$C$24</f>
        <v>3525.4531757812501</v>
      </c>
      <c r="H357" s="25">
        <f>IF(B357&lt;62,0,'Combined Retirement'!$I$14)</f>
        <v>2192</v>
      </c>
      <c r="I357" s="25">
        <f>IF(C357&lt;62,0,'Combined Retirement'!$I$13)</f>
        <v>2420</v>
      </c>
      <c r="J357" s="25">
        <f t="shared" si="263"/>
        <v>7863.2184191855868</v>
      </c>
      <c r="K357" s="25">
        <f t="shared" si="264"/>
        <v>20282.026119384056</v>
      </c>
      <c r="L357" s="25"/>
      <c r="N357" s="25">
        <f>'Combined Retirement'!$C$18/12</f>
        <v>39153.069999999992</v>
      </c>
      <c r="O357" s="25">
        <f t="shared" si="265"/>
        <v>11007.82546143035</v>
      </c>
      <c r="P357" s="25">
        <f t="shared" si="266"/>
        <v>28145.244538569641</v>
      </c>
      <c r="Q357" s="25">
        <f t="array" aca="1" ref="Q357" ca="1">INDEX('Isaac 401k'!L:L,MATCH('Retirement Calculator'!A357,'Isaac 401k'!N:N,0),0)</f>
        <v>1119040.6718453532</v>
      </c>
      <c r="R357" s="25">
        <f t="array" aca="1" ref="R357" ca="1">INDEX('Lorri 401b'!L:L,MATCH('Retirement Calculator'!A357,'Lorri 401b'!N:N,0),0)</f>
        <v>2906840.7003830024</v>
      </c>
      <c r="S357" s="25">
        <f t="shared" ca="1" si="267"/>
        <v>4025881.3722283556</v>
      </c>
    </row>
    <row r="358" spans="1:19" ht="15.75" customHeight="1" x14ac:dyDescent="0.3">
      <c r="A358" s="37">
        <v>61849</v>
      </c>
      <c r="B358" s="409">
        <f t="shared" ref="B358:C358" si="359">($A358-B$9)/365.25</f>
        <v>87.455167693360707</v>
      </c>
      <c r="C358" s="409">
        <f t="shared" si="359"/>
        <v>82.844626967830251</v>
      </c>
      <c r="E358" s="25">
        <f>IF(C358&gt;$B$7,0,'Combined Retirement'!$D$13/12)</f>
        <v>0</v>
      </c>
      <c r="F358" s="25">
        <f>IF(H358=0,'Combined Retirement'!$D$32,0)+'Combined Retirement'!$B$24</f>
        <v>2870.372285649099</v>
      </c>
      <c r="G358" s="25">
        <f>'Combined Retirement'!$C$24</f>
        <v>3525.4531757812501</v>
      </c>
      <c r="H358" s="25">
        <f>IF(B358&lt;62,0,'Combined Retirement'!$I$14)</f>
        <v>2192</v>
      </c>
      <c r="I358" s="25">
        <f>IF(C358&lt;62,0,'Combined Retirement'!$I$13)</f>
        <v>2420</v>
      </c>
      <c r="J358" s="25">
        <f t="shared" si="263"/>
        <v>7863.2184191855868</v>
      </c>
      <c r="K358" s="25">
        <f t="shared" si="264"/>
        <v>20282.026119384056</v>
      </c>
      <c r="L358" s="25"/>
      <c r="N358" s="25">
        <f>'Combined Retirement'!$C$18/12</f>
        <v>39153.069999999992</v>
      </c>
      <c r="O358" s="25">
        <f t="shared" si="265"/>
        <v>11007.82546143035</v>
      </c>
      <c r="P358" s="25">
        <f t="shared" si="266"/>
        <v>28145.244538569641</v>
      </c>
      <c r="Q358" s="25">
        <f t="array" aca="1" ref="Q358" ca="1">INDEX('Isaac 401k'!L:L,MATCH('Retirement Calculator'!A358,'Isaac 401k'!N:N,0),0)</f>
        <v>1115807.35948211</v>
      </c>
      <c r="R358" s="25">
        <f t="array" aca="1" ref="R358" ca="1">INDEX('Lorri 401b'!L:L,MATCH('Retirement Calculator'!A358,'Lorri 401b'!N:N,0),0)</f>
        <v>2898586.00207305</v>
      </c>
      <c r="S358" s="25">
        <f t="shared" ca="1" si="267"/>
        <v>4014393.36155516</v>
      </c>
    </row>
    <row r="359" spans="1:19" ht="15.75" customHeight="1" x14ac:dyDescent="0.3">
      <c r="A359" s="37">
        <v>61880</v>
      </c>
      <c r="B359" s="409">
        <f t="shared" ref="B359:C359" si="360">($A359-B$9)/365.25</f>
        <v>87.540041067761805</v>
      </c>
      <c r="C359" s="409">
        <f t="shared" si="360"/>
        <v>82.92950034223135</v>
      </c>
      <c r="E359" s="25">
        <f>IF(C359&gt;$B$7,0,'Combined Retirement'!$D$13/12)</f>
        <v>0</v>
      </c>
      <c r="F359" s="25">
        <f>IF(H359=0,'Combined Retirement'!$D$32,0)+'Combined Retirement'!$B$24</f>
        <v>2870.372285649099</v>
      </c>
      <c r="G359" s="25">
        <f>'Combined Retirement'!$C$24</f>
        <v>3525.4531757812501</v>
      </c>
      <c r="H359" s="25">
        <f>IF(B359&lt;62,0,'Combined Retirement'!$I$14)</f>
        <v>2192</v>
      </c>
      <c r="I359" s="25">
        <f>IF(C359&lt;62,0,'Combined Retirement'!$I$13)</f>
        <v>2420</v>
      </c>
      <c r="J359" s="25">
        <f t="shared" si="263"/>
        <v>7863.2184191855868</v>
      </c>
      <c r="K359" s="25">
        <f t="shared" si="264"/>
        <v>20282.026119384056</v>
      </c>
      <c r="L359" s="25"/>
      <c r="N359" s="25">
        <f>'Combined Retirement'!$C$18/12</f>
        <v>39153.069999999992</v>
      </c>
      <c r="O359" s="25">
        <f t="shared" si="265"/>
        <v>11007.82546143035</v>
      </c>
      <c r="P359" s="25">
        <f t="shared" si="266"/>
        <v>28145.244538569641</v>
      </c>
      <c r="Q359" s="25">
        <f t="array" aca="1" ref="Q359" ca="1">INDEX('Isaac 401k'!L:L,MATCH('Retirement Calculator'!A359,'Isaac 401k'!N:N,0),0)</f>
        <v>1112560.5749840199</v>
      </c>
      <c r="R359" s="25">
        <f t="array" aca="1" ref="R359" ca="1">INDEX('Lorri 401b'!L:L,MATCH('Retirement Calculator'!A359,'Lorri 401b'!N:N,0),0)</f>
        <v>2890296.9091868065</v>
      </c>
      <c r="S359" s="25">
        <f t="shared" ca="1" si="267"/>
        <v>4002857.4841708262</v>
      </c>
    </row>
    <row r="360" spans="1:19" ht="15.75" customHeight="1" x14ac:dyDescent="0.3">
      <c r="A360" s="37">
        <v>61910</v>
      </c>
      <c r="B360" s="409">
        <f t="shared" ref="B360:C360" si="361">($A360-B$9)/365.25</f>
        <v>87.622176591375776</v>
      </c>
      <c r="C360" s="409">
        <f t="shared" si="361"/>
        <v>83.011635865845307</v>
      </c>
      <c r="E360" s="25">
        <f>IF(C360&gt;$B$7,0,'Combined Retirement'!$D$13/12)</f>
        <v>0</v>
      </c>
      <c r="F360" s="25">
        <f>IF(H360=0,'Combined Retirement'!$D$32,0)+'Combined Retirement'!$B$24</f>
        <v>2870.372285649099</v>
      </c>
      <c r="G360" s="25">
        <f>'Combined Retirement'!$C$24</f>
        <v>3525.4531757812501</v>
      </c>
      <c r="H360" s="25">
        <f>IF(B360&lt;62,0,'Combined Retirement'!$I$14)</f>
        <v>2192</v>
      </c>
      <c r="I360" s="25">
        <f>IF(C360&lt;62,0,'Combined Retirement'!$I$13)</f>
        <v>2420</v>
      </c>
      <c r="J360" s="25">
        <f t="shared" si="263"/>
        <v>7863.2184191855868</v>
      </c>
      <c r="K360" s="25">
        <f t="shared" si="264"/>
        <v>20282.026119384056</v>
      </c>
      <c r="L360" s="25"/>
      <c r="N360" s="25">
        <f>'Combined Retirement'!$C$18/12</f>
        <v>39153.069999999992</v>
      </c>
      <c r="O360" s="25">
        <f t="shared" si="265"/>
        <v>11007.82546143035</v>
      </c>
      <c r="P360" s="25">
        <f t="shared" si="266"/>
        <v>28145.244538569641</v>
      </c>
      <c r="Q360" s="25">
        <f t="array" aca="1" ref="Q360" ca="1">INDEX('Isaac 401k'!L:L,MATCH('Retirement Calculator'!A360,'Isaac 401k'!N:N,0),0)</f>
        <v>1109300.2622171878</v>
      </c>
      <c r="R360" s="25">
        <f t="array" aca="1" ref="R360" ca="1">INDEX('Lorri 401b'!L:L,MATCH('Retirement Calculator'!A360,'Lorri 401b'!N:N,0),0)</f>
        <v>2881973.278413537</v>
      </c>
      <c r="S360" s="25">
        <f t="shared" ca="1" si="267"/>
        <v>3991273.5406307247</v>
      </c>
    </row>
    <row r="361" spans="1:19" ht="15.75" customHeight="1" x14ac:dyDescent="0.3">
      <c r="A361" s="37">
        <v>61941</v>
      </c>
      <c r="B361" s="409">
        <f t="shared" ref="B361:C361" si="362">($A361-B$9)/365.25</f>
        <v>87.707049965776861</v>
      </c>
      <c r="C361" s="409">
        <f t="shared" si="362"/>
        <v>83.096509240246405</v>
      </c>
      <c r="E361" s="25">
        <f>IF(C361&gt;$B$7,0,'Combined Retirement'!$D$13/12)</f>
        <v>0</v>
      </c>
      <c r="F361" s="25">
        <f>IF(H361=0,'Combined Retirement'!$D$32,0)+'Combined Retirement'!$B$24</f>
        <v>2870.372285649099</v>
      </c>
      <c r="G361" s="25">
        <f>'Combined Retirement'!$C$24</f>
        <v>3525.4531757812501</v>
      </c>
      <c r="H361" s="25">
        <f>IF(B361&lt;62,0,'Combined Retirement'!$I$14)</f>
        <v>2192</v>
      </c>
      <c r="I361" s="25">
        <f>IF(C361&lt;62,0,'Combined Retirement'!$I$13)</f>
        <v>2420</v>
      </c>
      <c r="J361" s="25">
        <f t="shared" si="263"/>
        <v>7863.2184191855868</v>
      </c>
      <c r="K361" s="25">
        <f t="shared" si="264"/>
        <v>20282.026119384056</v>
      </c>
      <c r="L361" s="25"/>
      <c r="N361" s="25">
        <f>'Combined Retirement'!$C$18/12</f>
        <v>39153.069999999992</v>
      </c>
      <c r="O361" s="25">
        <f t="shared" si="265"/>
        <v>11007.82546143035</v>
      </c>
      <c r="P361" s="25">
        <f t="shared" si="266"/>
        <v>28145.244538569641</v>
      </c>
      <c r="Q361" s="25">
        <f t="array" aca="1" ref="Q361" ca="1">INDEX('Isaac 401k'!L:L,MATCH('Retirement Calculator'!A361,'Isaac 401k'!N:N,0),0)</f>
        <v>1106026.3648138272</v>
      </c>
      <c r="R361" s="25">
        <f t="array" aca="1" ref="R361" ca="1">INDEX('Lorri 401b'!L:L,MATCH('Retirement Calculator'!A361,'Lorri 401b'!N:N,0),0)</f>
        <v>2873614.9658453786</v>
      </c>
      <c r="S361" s="25">
        <f t="shared" ca="1" si="267"/>
        <v>3979641.330659206</v>
      </c>
    </row>
    <row r="362" spans="1:19" ht="15.75" customHeight="1" x14ac:dyDescent="0.3">
      <c r="A362" s="37">
        <v>61972</v>
      </c>
      <c r="B362" s="409">
        <f t="shared" ref="B362:C362" si="363">($A362-B$9)/365.25</f>
        <v>87.791923340177959</v>
      </c>
      <c r="C362" s="409">
        <f t="shared" si="363"/>
        <v>83.181382614647504</v>
      </c>
      <c r="E362" s="25">
        <f>IF(C362&gt;$B$7,0,'Combined Retirement'!$D$13/12)</f>
        <v>0</v>
      </c>
      <c r="F362" s="25">
        <f>IF(H362=0,'Combined Retirement'!$D$32,0)+'Combined Retirement'!$B$24</f>
        <v>2870.372285649099</v>
      </c>
      <c r="G362" s="25">
        <f>'Combined Retirement'!$C$24</f>
        <v>3525.4531757812501</v>
      </c>
      <c r="H362" s="25">
        <f>IF(B362&lt;62,0,'Combined Retirement'!$I$14)</f>
        <v>2192</v>
      </c>
      <c r="I362" s="25">
        <f>IF(C362&lt;62,0,'Combined Retirement'!$I$13)</f>
        <v>2420</v>
      </c>
      <c r="J362" s="25">
        <f t="shared" si="263"/>
        <v>7863.2184191855868</v>
      </c>
      <c r="K362" s="25">
        <f t="shared" si="264"/>
        <v>20282.026119384056</v>
      </c>
      <c r="L362" s="25"/>
      <c r="N362" s="25">
        <f>'Combined Retirement'!$C$18/12</f>
        <v>39153.069999999992</v>
      </c>
      <c r="O362" s="25">
        <f t="shared" si="265"/>
        <v>11007.82546143035</v>
      </c>
      <c r="P362" s="25">
        <f t="shared" si="266"/>
        <v>28145.244538569641</v>
      </c>
      <c r="Q362" s="25">
        <f t="array" aca="1" ref="Q362" ca="1">INDEX('Isaac 401k'!L:L,MATCH('Retirement Calculator'!A362,'Isaac 401k'!N:N,0),0)</f>
        <v>1102738.8261712859</v>
      </c>
      <c r="R362" s="25">
        <f t="array" aca="1" ref="R362" ca="1">INDEX('Lorri 401b'!L:L,MATCH('Retirement Calculator'!A362,'Lorri 401b'!N:N,0),0)</f>
        <v>2865221.8269748529</v>
      </c>
      <c r="S362" s="25">
        <f t="shared" ca="1" si="267"/>
        <v>3967960.6531461389</v>
      </c>
    </row>
    <row r="363" spans="1:19" ht="15.75" customHeight="1" x14ac:dyDescent="0.3">
      <c r="A363" s="37">
        <v>62002</v>
      </c>
      <c r="B363" s="409">
        <f t="shared" ref="B363:C363" si="364">($A363-B$9)/365.25</f>
        <v>87.87405886379193</v>
      </c>
      <c r="C363" s="409">
        <f t="shared" si="364"/>
        <v>83.26351813826146</v>
      </c>
      <c r="E363" s="25">
        <f>IF(C363&gt;$B$7,0,'Combined Retirement'!$D$13/12)</f>
        <v>0</v>
      </c>
      <c r="F363" s="25">
        <f>IF(H363=0,'Combined Retirement'!$D$32,0)+'Combined Retirement'!$B$24</f>
        <v>2870.372285649099</v>
      </c>
      <c r="G363" s="25">
        <f>'Combined Retirement'!$C$24</f>
        <v>3525.4531757812501</v>
      </c>
      <c r="H363" s="25">
        <f>IF(B363&lt;62,0,'Combined Retirement'!$I$14)</f>
        <v>2192</v>
      </c>
      <c r="I363" s="25">
        <f>IF(C363&lt;62,0,'Combined Retirement'!$I$13)</f>
        <v>2420</v>
      </c>
      <c r="J363" s="25">
        <f t="shared" si="263"/>
        <v>7863.2184191855868</v>
      </c>
      <c r="K363" s="25">
        <f t="shared" si="264"/>
        <v>20282.026119384056</v>
      </c>
      <c r="L363" s="25"/>
      <c r="N363" s="25">
        <f>'Combined Retirement'!$C$18/12</f>
        <v>39153.069999999992</v>
      </c>
      <c r="O363" s="25">
        <f t="shared" si="265"/>
        <v>11007.82546143035</v>
      </c>
      <c r="P363" s="25">
        <f t="shared" si="266"/>
        <v>28145.244538569641</v>
      </c>
      <c r="Q363" s="25">
        <f t="array" aca="1" ref="Q363" ca="1">INDEX('Isaac 401k'!L:L,MATCH('Retirement Calculator'!A363,'Isaac 401k'!N:N,0),0)</f>
        <v>1099437.5894510674</v>
      </c>
      <c r="R363" s="25">
        <f t="array" aca="1" ref="R363" ca="1">INDEX('Lorri 401b'!L:L,MATCH('Retirement Calculator'!A363,'Lorri 401b'!N:N,0),0)</f>
        <v>2856793.7166923666</v>
      </c>
      <c r="S363" s="25">
        <f t="shared" ca="1" si="267"/>
        <v>3956231.3061434338</v>
      </c>
    </row>
    <row r="364" spans="1:19" ht="15.75" customHeight="1" x14ac:dyDescent="0.3">
      <c r="A364" s="37">
        <v>62033</v>
      </c>
      <c r="B364" s="409">
        <f t="shared" ref="B364:C364" si="365">($A364-B$9)/365.25</f>
        <v>87.958932238193015</v>
      </c>
      <c r="C364" s="409">
        <f t="shared" si="365"/>
        <v>83.348391512662559</v>
      </c>
      <c r="E364" s="25">
        <f>IF(C364&gt;$B$7,0,'Combined Retirement'!$D$13/12)</f>
        <v>0</v>
      </c>
      <c r="F364" s="25">
        <f>IF(H364=0,'Combined Retirement'!$D$32,0)+'Combined Retirement'!$B$24</f>
        <v>2870.372285649099</v>
      </c>
      <c r="G364" s="25">
        <f>'Combined Retirement'!$C$24</f>
        <v>3525.4531757812501</v>
      </c>
      <c r="H364" s="25">
        <f>IF(B364&lt;62,0,'Combined Retirement'!$I$14)</f>
        <v>2192</v>
      </c>
      <c r="I364" s="25">
        <f>IF(C364&lt;62,0,'Combined Retirement'!$I$13)</f>
        <v>2420</v>
      </c>
      <c r="J364" s="25">
        <f t="shared" si="263"/>
        <v>7863.2184191855868</v>
      </c>
      <c r="K364" s="25">
        <f t="shared" si="264"/>
        <v>20282.026119384056</v>
      </c>
      <c r="L364" s="25"/>
      <c r="N364" s="25">
        <f>'Combined Retirement'!$C$18/12</f>
        <v>39153.069999999992</v>
      </c>
      <c r="O364" s="25">
        <f t="shared" si="265"/>
        <v>11007.82546143035</v>
      </c>
      <c r="P364" s="25">
        <f t="shared" si="266"/>
        <v>28145.244538569641</v>
      </c>
      <c r="Q364" s="25">
        <f t="array" aca="1" ref="Q364" ca="1">INDEX('Isaac 401k'!L:L,MATCH('Retirement Calculator'!A364,'Isaac 401k'!N:N,0),0)</f>
        <v>1096122.597577848</v>
      </c>
      <c r="R364" s="25">
        <f t="array" aca="1" ref="R364" ca="1">INDEX('Lorri 401b'!L:L,MATCH('Retirement Calculator'!A364,'Lorri 401b'!N:N,0),0)</f>
        <v>2848330.4892837033</v>
      </c>
      <c r="S364" s="25">
        <f t="shared" ca="1" si="267"/>
        <v>3944453.0868615513</v>
      </c>
    </row>
    <row r="365" spans="1:19" ht="15.75" customHeight="1" x14ac:dyDescent="0.3">
      <c r="A365" s="37">
        <v>62063</v>
      </c>
      <c r="B365" s="409">
        <f t="shared" ref="B365:C365" si="366">($A365-B$9)/365.25</f>
        <v>88.041067761806985</v>
      </c>
      <c r="C365" s="409">
        <f t="shared" si="366"/>
        <v>83.43052703627653</v>
      </c>
      <c r="E365" s="25">
        <f>IF(C365&gt;$B$7,0,'Combined Retirement'!$D$13/12)</f>
        <v>0</v>
      </c>
      <c r="F365" s="25">
        <f>IF(H365=0,'Combined Retirement'!$D$32,0)+'Combined Retirement'!$B$24</f>
        <v>2870.372285649099</v>
      </c>
      <c r="G365" s="25">
        <f>'Combined Retirement'!$C$24</f>
        <v>3525.4531757812501</v>
      </c>
      <c r="H365" s="25">
        <f>IF(B365&lt;62,0,'Combined Retirement'!$I$14)</f>
        <v>2192</v>
      </c>
      <c r="I365" s="25">
        <f>IF(C365&lt;62,0,'Combined Retirement'!$I$13)</f>
        <v>2420</v>
      </c>
      <c r="J365" s="25">
        <f t="shared" si="263"/>
        <v>7863.2184191855868</v>
      </c>
      <c r="K365" s="25">
        <f t="shared" si="264"/>
        <v>20282.026119384056</v>
      </c>
      <c r="L365" s="25"/>
      <c r="N365" s="25">
        <f>'Combined Retirement'!$C$18/12</f>
        <v>39153.069999999992</v>
      </c>
      <c r="O365" s="25">
        <f t="shared" si="265"/>
        <v>11007.82546143035</v>
      </c>
      <c r="P365" s="25">
        <f t="shared" si="266"/>
        <v>28145.244538569641</v>
      </c>
      <c r="Q365" s="25">
        <f t="array" aca="1" ref="Q365" ca="1">INDEX('Isaac 401k'!L:L,MATCH('Retirement Calculator'!A365,'Isaac 401k'!N:N,0),0)</f>
        <v>1092793.7932384901</v>
      </c>
      <c r="R365" s="25">
        <f t="array" aca="1" ref="R365" ca="1">INDEX('Lorri 401b'!L:L,MATCH('Retirement Calculator'!A365,'Lorri 401b'!N:N,0),0)</f>
        <v>2839831.9984275037</v>
      </c>
      <c r="S365" s="25">
        <f t="shared" ca="1" si="267"/>
        <v>3932625.7916659936</v>
      </c>
    </row>
    <row r="366" spans="1:19" ht="15.75" customHeight="1" x14ac:dyDescent="0.3">
      <c r="A366" s="37">
        <v>62094</v>
      </c>
      <c r="B366" s="409">
        <f t="shared" ref="B366:C366" si="367">($A366-B$9)/365.25</f>
        <v>88.12594113620807</v>
      </c>
      <c r="C366" s="409">
        <f t="shared" si="367"/>
        <v>83.515400410677614</v>
      </c>
      <c r="E366" s="25">
        <f>IF(C366&gt;$B$7,0,'Combined Retirement'!$D$13/12)</f>
        <v>0</v>
      </c>
      <c r="F366" s="25">
        <f>IF(H366=0,'Combined Retirement'!$D$32,0)+'Combined Retirement'!$B$24</f>
        <v>2870.372285649099</v>
      </c>
      <c r="G366" s="25">
        <f>'Combined Retirement'!$C$24</f>
        <v>3525.4531757812501</v>
      </c>
      <c r="H366" s="25">
        <f>IF(B366&lt;62,0,'Combined Retirement'!$I$14)</f>
        <v>2192</v>
      </c>
      <c r="I366" s="25">
        <f>IF(C366&lt;62,0,'Combined Retirement'!$I$13)</f>
        <v>2420</v>
      </c>
      <c r="J366" s="25">
        <f t="shared" si="263"/>
        <v>7863.2184191855868</v>
      </c>
      <c r="K366" s="25">
        <f t="shared" si="264"/>
        <v>20282.026119384056</v>
      </c>
      <c r="L366" s="25"/>
      <c r="N366" s="25">
        <f>'Combined Retirement'!$C$18/12</f>
        <v>39153.069999999992</v>
      </c>
      <c r="O366" s="25">
        <f t="shared" si="265"/>
        <v>11007.82546143035</v>
      </c>
      <c r="P366" s="25">
        <f t="shared" si="266"/>
        <v>28145.244538569641</v>
      </c>
      <c r="Q366" s="25">
        <f t="array" aca="1" ref="Q366" ca="1">INDEX('Isaac 401k'!L:L,MATCH('Retirement Calculator'!A366,'Isaac 401k'!N:N,0),0)</f>
        <v>1089451.1188810517</v>
      </c>
      <c r="R366" s="25">
        <f t="array" aca="1" ref="R366" ca="1">INDEX('Lorri 401b'!L:L,MATCH('Retirement Calculator'!A366,'Lorri 401b'!N:N,0),0)</f>
        <v>2831298.0971927368</v>
      </c>
      <c r="S366" s="25">
        <f t="shared" ca="1" si="267"/>
        <v>3920749.2160737887</v>
      </c>
    </row>
    <row r="367" spans="1:19" ht="15.75" customHeight="1" x14ac:dyDescent="0.3">
      <c r="A367" s="37">
        <v>62125</v>
      </c>
      <c r="B367" s="409">
        <f t="shared" ref="B367:C367" si="368">($A367-B$9)/365.25</f>
        <v>88.210814510609168</v>
      </c>
      <c r="C367" s="409">
        <f t="shared" si="368"/>
        <v>83.600273785078713</v>
      </c>
      <c r="E367" s="25">
        <f>IF(C367&gt;$B$7,0,'Combined Retirement'!$D$13/12)</f>
        <v>0</v>
      </c>
      <c r="F367" s="25">
        <f>IF(H367=0,'Combined Retirement'!$D$32,0)+'Combined Retirement'!$B$24</f>
        <v>2870.372285649099</v>
      </c>
      <c r="G367" s="25">
        <f>'Combined Retirement'!$C$24</f>
        <v>3525.4531757812501</v>
      </c>
      <c r="H367" s="25">
        <f>IF(B367&lt;62,0,'Combined Retirement'!$I$14)</f>
        <v>2192</v>
      </c>
      <c r="I367" s="25">
        <f>IF(C367&lt;62,0,'Combined Retirement'!$I$13)</f>
        <v>2420</v>
      </c>
      <c r="J367" s="25">
        <f t="shared" si="263"/>
        <v>7863.2184191855868</v>
      </c>
      <c r="K367" s="25">
        <f t="shared" si="264"/>
        <v>20282.026119384056</v>
      </c>
      <c r="L367" s="25"/>
      <c r="N367" s="25">
        <f>'Combined Retirement'!$C$18/12</f>
        <v>39153.069999999992</v>
      </c>
      <c r="O367" s="25">
        <f t="shared" si="265"/>
        <v>11007.82546143035</v>
      </c>
      <c r="P367" s="25">
        <f t="shared" si="266"/>
        <v>28145.244538569641</v>
      </c>
      <c r="Q367" s="25">
        <f t="array" aca="1" ref="Q367" ca="1">INDEX('Isaac 401k'!L:L,MATCH('Retirement Calculator'!A367,'Isaac 401k'!N:N,0),0)</f>
        <v>1086094.5167137906</v>
      </c>
      <c r="R367" s="25">
        <f t="array" aca="1" ref="R367" ca="1">INDEX('Lorri 401b'!L:L,MATCH('Retirement Calculator'!A367,'Lorri 401b'!N:N,0),0)</f>
        <v>2822728.6380361584</v>
      </c>
      <c r="S367" s="25">
        <f t="shared" ca="1" si="267"/>
        <v>3908823.154749949</v>
      </c>
    </row>
    <row r="368" spans="1:19" ht="15.75" customHeight="1" x14ac:dyDescent="0.3">
      <c r="A368" s="37">
        <v>62153</v>
      </c>
      <c r="B368" s="409">
        <f t="shared" ref="B368:C368" si="369">($A368-B$9)/365.25</f>
        <v>88.28747433264887</v>
      </c>
      <c r="C368" s="409">
        <f t="shared" si="369"/>
        <v>83.676933607118414</v>
      </c>
      <c r="E368" s="25">
        <f>IF(C368&gt;$B$7,0,'Combined Retirement'!$D$13/12)</f>
        <v>0</v>
      </c>
      <c r="F368" s="25">
        <f>IF(H368=0,'Combined Retirement'!$D$32,0)+'Combined Retirement'!$B$24</f>
        <v>2870.372285649099</v>
      </c>
      <c r="G368" s="25">
        <f>'Combined Retirement'!$C$24</f>
        <v>3525.4531757812501</v>
      </c>
      <c r="H368" s="25">
        <f>IF(B368&lt;62,0,'Combined Retirement'!$I$14)</f>
        <v>2192</v>
      </c>
      <c r="I368" s="25">
        <f>IF(C368&lt;62,0,'Combined Retirement'!$I$13)</f>
        <v>2420</v>
      </c>
      <c r="J368" s="25">
        <f t="shared" si="263"/>
        <v>7863.2184191855868</v>
      </c>
      <c r="K368" s="25">
        <f t="shared" si="264"/>
        <v>20282.026119384056</v>
      </c>
      <c r="L368" s="25"/>
      <c r="N368" s="25">
        <f>'Combined Retirement'!$C$18/12</f>
        <v>39153.069999999992</v>
      </c>
      <c r="O368" s="25">
        <f t="shared" si="265"/>
        <v>11007.82546143035</v>
      </c>
      <c r="P368" s="25">
        <f t="shared" si="266"/>
        <v>28145.244538569641</v>
      </c>
      <c r="Q368" s="25">
        <f t="array" aca="1" ref="Q368" ca="1">INDEX('Isaac 401k'!L:L,MATCH('Retirement Calculator'!A368,'Isaac 401k'!N:N,0),0)</f>
        <v>1082723.9287041659</v>
      </c>
      <c r="R368" s="25">
        <f t="array" aca="1" ref="R368" ca="1">INDEX('Lorri 401b'!L:L,MATCH('Retirement Calculator'!A368,'Lorri 401b'!N:N,0),0)</f>
        <v>2814123.4727997608</v>
      </c>
      <c r="S368" s="25">
        <f t="shared" ca="1" si="267"/>
        <v>3896847.4015039266</v>
      </c>
    </row>
    <row r="369" spans="1:19" ht="15.75" customHeight="1" x14ac:dyDescent="0.3">
      <c r="A369" s="37">
        <v>62184</v>
      </c>
      <c r="B369" s="409">
        <f t="shared" ref="B369:C369" si="370">($A369-B$9)/365.25</f>
        <v>88.372347707049968</v>
      </c>
      <c r="C369" s="409">
        <f t="shared" si="370"/>
        <v>83.761806981519513</v>
      </c>
      <c r="E369" s="25">
        <f>IF(C369&gt;$B$7,0,'Combined Retirement'!$D$13/12)</f>
        <v>0</v>
      </c>
      <c r="F369" s="25">
        <f>IF(H369=0,'Combined Retirement'!$D$32,0)+'Combined Retirement'!$B$24</f>
        <v>2870.372285649099</v>
      </c>
      <c r="G369" s="25">
        <f>'Combined Retirement'!$C$24</f>
        <v>3525.4531757812501</v>
      </c>
      <c r="H369" s="25">
        <f>IF(B369&lt;62,0,'Combined Retirement'!$I$14)</f>
        <v>2192</v>
      </c>
      <c r="I369" s="25">
        <f>IF(C369&lt;62,0,'Combined Retirement'!$I$13)</f>
        <v>2420</v>
      </c>
      <c r="J369" s="25">
        <f t="shared" si="263"/>
        <v>7863.2184191855868</v>
      </c>
      <c r="K369" s="25">
        <f t="shared" si="264"/>
        <v>20282.026119384056</v>
      </c>
      <c r="L369" s="25"/>
      <c r="N369" s="25">
        <f>'Combined Retirement'!$C$18/12</f>
        <v>39153.069999999992</v>
      </c>
      <c r="O369" s="25">
        <f t="shared" si="265"/>
        <v>11007.82546143035</v>
      </c>
      <c r="P369" s="25">
        <f t="shared" si="266"/>
        <v>28145.244538569641</v>
      </c>
      <c r="Q369" s="25">
        <f t="array" aca="1" ref="Q369" ca="1">INDEX('Isaac 401k'!L:L,MATCH('Retirement Calculator'!A369,'Isaac 401k'!N:N,0),0)</f>
        <v>1079339.2965778343</v>
      </c>
      <c r="R369" s="25">
        <f t="array" aca="1" ref="R369" ca="1">INDEX('Lorri 401b'!L:L,MATCH('Retirement Calculator'!A369,'Lorri 401b'!N:N,0),0)</f>
        <v>2805482.4527082117</v>
      </c>
      <c r="S369" s="25">
        <f t="shared" ca="1" si="267"/>
        <v>3884821.7492860463</v>
      </c>
    </row>
    <row r="370" spans="1:19" ht="15.75" customHeight="1" x14ac:dyDescent="0.3">
      <c r="A370" s="37">
        <v>62214</v>
      </c>
      <c r="B370" s="409">
        <f t="shared" ref="B370:C370" si="371">($A370-B$9)/365.25</f>
        <v>88.454483230663925</v>
      </c>
      <c r="C370" s="409">
        <f t="shared" si="371"/>
        <v>83.843942505133469</v>
      </c>
      <c r="E370" s="25">
        <f>IF(C370&gt;$B$7,0,'Combined Retirement'!$D$13/12)</f>
        <v>0</v>
      </c>
      <c r="F370" s="25">
        <f>IF(H370=0,'Combined Retirement'!$D$32,0)+'Combined Retirement'!$B$24</f>
        <v>2870.372285649099</v>
      </c>
      <c r="G370" s="25">
        <f>'Combined Retirement'!$C$24</f>
        <v>3525.4531757812501</v>
      </c>
      <c r="H370" s="25">
        <f>IF(B370&lt;62,0,'Combined Retirement'!$I$14)</f>
        <v>2192</v>
      </c>
      <c r="I370" s="25">
        <f>IF(C370&lt;62,0,'Combined Retirement'!$I$13)</f>
        <v>2420</v>
      </c>
      <c r="J370" s="25">
        <f t="shared" si="263"/>
        <v>7863.2184191855868</v>
      </c>
      <c r="K370" s="25">
        <f t="shared" si="264"/>
        <v>20282.026119384056</v>
      </c>
      <c r="L370" s="25"/>
      <c r="N370" s="25">
        <f>'Combined Retirement'!$C$18/12</f>
        <v>39153.069999999992</v>
      </c>
      <c r="O370" s="25">
        <f t="shared" si="265"/>
        <v>11007.82546143035</v>
      </c>
      <c r="P370" s="25">
        <f t="shared" si="266"/>
        <v>28145.244538569641</v>
      </c>
      <c r="Q370" s="25">
        <f t="array" aca="1" ref="Q370" ca="1">INDEX('Isaac 401k'!L:L,MATCH('Retirement Calculator'!A370,'Isaac 401k'!N:N,0),0)</f>
        <v>1075940.561817643</v>
      </c>
      <c r="R370" s="25">
        <f t="array" aca="1" ref="R370" ca="1">INDEX('Lorri 401b'!L:L,MATCH('Retirement Calculator'!A370,'Lorri 401b'!N:N,0),0)</f>
        <v>2796805.4283662811</v>
      </c>
      <c r="S370" s="25">
        <f t="shared" ca="1" si="267"/>
        <v>3872745.9901839243</v>
      </c>
    </row>
    <row r="371" spans="1:19" ht="15.75" customHeight="1" x14ac:dyDescent="0.3">
      <c r="A371" s="37">
        <v>62245</v>
      </c>
      <c r="B371" s="409">
        <f t="shared" ref="B371:C371" si="372">($A371-B$9)/365.25</f>
        <v>88.539356605065024</v>
      </c>
      <c r="C371" s="409">
        <f t="shared" si="372"/>
        <v>83.928815879534568</v>
      </c>
      <c r="E371" s="25">
        <f>IF(C371&gt;$B$7,0,'Combined Retirement'!$D$13/12)</f>
        <v>0</v>
      </c>
      <c r="F371" s="25">
        <f>IF(H371=0,'Combined Retirement'!$D$32,0)+'Combined Retirement'!$B$24</f>
        <v>2870.372285649099</v>
      </c>
      <c r="G371" s="25">
        <f>'Combined Retirement'!$C$24</f>
        <v>3525.4531757812501</v>
      </c>
      <c r="H371" s="25">
        <f>IF(B371&lt;62,0,'Combined Retirement'!$I$14)</f>
        <v>2192</v>
      </c>
      <c r="I371" s="25">
        <f>IF(C371&lt;62,0,'Combined Retirement'!$I$13)</f>
        <v>2420</v>
      </c>
      <c r="J371" s="25">
        <f t="shared" si="263"/>
        <v>7863.2184191855868</v>
      </c>
      <c r="K371" s="25">
        <f t="shared" si="264"/>
        <v>20282.026119384056</v>
      </c>
      <c r="L371" s="25"/>
      <c r="N371" s="25">
        <f>'Combined Retirement'!$C$18/12</f>
        <v>39153.069999999992</v>
      </c>
      <c r="O371" s="25">
        <f t="shared" si="265"/>
        <v>11007.82546143035</v>
      </c>
      <c r="P371" s="25">
        <f t="shared" si="266"/>
        <v>28145.244538569641</v>
      </c>
      <c r="Q371" s="25">
        <f t="array" aca="1" ref="Q371" ca="1">INDEX('Isaac 401k'!L:L,MATCH('Retirement Calculator'!A371,'Isaac 401k'!N:N,0),0)</f>
        <v>1072527.6656626177</v>
      </c>
      <c r="R371" s="25">
        <f t="array" aca="1" ref="R371" ca="1">INDEX('Lorri 401b'!L:L,MATCH('Retirement Calculator'!A371,'Lorri 401b'!N:N,0),0)</f>
        <v>2788092.2497562594</v>
      </c>
      <c r="S371" s="25">
        <f t="shared" ca="1" si="267"/>
        <v>3860619.9154188773</v>
      </c>
    </row>
    <row r="372" spans="1:19" ht="15.75" customHeight="1" x14ac:dyDescent="0.3">
      <c r="A372" s="37">
        <v>62275</v>
      </c>
      <c r="B372" s="409">
        <f t="shared" ref="B372:C372" si="373">($A372-B$9)/365.25</f>
        <v>88.62149212867898</v>
      </c>
      <c r="C372" s="409">
        <f t="shared" si="373"/>
        <v>84.010951403148525</v>
      </c>
      <c r="E372" s="25">
        <f>IF(C372&gt;$B$7,0,'Combined Retirement'!$D$13/12)</f>
        <v>0</v>
      </c>
      <c r="F372" s="25">
        <f>IF(H372=0,'Combined Retirement'!$D$32,0)+'Combined Retirement'!$B$24</f>
        <v>2870.372285649099</v>
      </c>
      <c r="G372" s="25">
        <f>'Combined Retirement'!$C$24</f>
        <v>3525.4531757812501</v>
      </c>
      <c r="H372" s="25">
        <f>IF(B372&lt;62,0,'Combined Retirement'!$I$14)</f>
        <v>2192</v>
      </c>
      <c r="I372" s="25">
        <f>IF(C372&lt;62,0,'Combined Retirement'!$I$13)</f>
        <v>2420</v>
      </c>
      <c r="J372" s="25">
        <f t="shared" si="263"/>
        <v>7863.2184191855868</v>
      </c>
      <c r="K372" s="25">
        <f t="shared" si="264"/>
        <v>20282.026119384056</v>
      </c>
      <c r="L372" s="25"/>
      <c r="N372" s="25">
        <f>'Combined Retirement'!$C$18/12</f>
        <v>39153.069999999992</v>
      </c>
      <c r="O372" s="25">
        <f t="shared" si="265"/>
        <v>11007.82546143035</v>
      </c>
      <c r="P372" s="25">
        <f t="shared" si="266"/>
        <v>28145.244538569641</v>
      </c>
      <c r="Q372" s="25">
        <f t="array" aca="1" ref="Q372" ca="1">INDEX('Isaac 401k'!L:L,MATCH('Retirement Calculator'!A372,'Isaac 401k'!N:N,0),0)</f>
        <v>1069100.5491069464</v>
      </c>
      <c r="R372" s="25">
        <f t="array" aca="1" ref="R372" ca="1">INDEX('Lorri 401b'!L:L,MATCH('Retirement Calculator'!A372,'Lorri 401b'!N:N,0),0)</f>
        <v>2779342.7662353623</v>
      </c>
      <c r="S372" s="25">
        <f t="shared" ca="1" si="267"/>
        <v>3848443.315342309</v>
      </c>
    </row>
    <row r="373" spans="1:19" ht="15.75" customHeight="1" x14ac:dyDescent="0.3">
      <c r="A373" s="37">
        <v>62306</v>
      </c>
      <c r="B373" s="409">
        <f t="shared" ref="B373:C373" si="374">($A373-B$9)/365.25</f>
        <v>88.706365503080079</v>
      </c>
      <c r="C373" s="409">
        <f t="shared" si="374"/>
        <v>84.095824777549623</v>
      </c>
      <c r="E373" s="25">
        <f>IF(C373&gt;$B$7,0,'Combined Retirement'!$D$13/12)</f>
        <v>0</v>
      </c>
      <c r="F373" s="25">
        <f>IF(H373=0,'Combined Retirement'!$D$32,0)+'Combined Retirement'!$B$24</f>
        <v>2870.372285649099</v>
      </c>
      <c r="G373" s="25">
        <f>'Combined Retirement'!$C$24</f>
        <v>3525.4531757812501</v>
      </c>
      <c r="H373" s="25">
        <f>IF(B373&lt;62,0,'Combined Retirement'!$I$14)</f>
        <v>2192</v>
      </c>
      <c r="I373" s="25">
        <f>IF(C373&lt;62,0,'Combined Retirement'!$I$13)</f>
        <v>2420</v>
      </c>
      <c r="J373" s="25">
        <f t="shared" si="263"/>
        <v>7863.2184191855868</v>
      </c>
      <c r="K373" s="25">
        <f t="shared" si="264"/>
        <v>20282.026119384056</v>
      </c>
      <c r="L373" s="25"/>
      <c r="N373" s="25">
        <f>'Combined Retirement'!$C$18/12</f>
        <v>39153.069999999992</v>
      </c>
      <c r="O373" s="25">
        <f t="shared" si="265"/>
        <v>11007.82546143035</v>
      </c>
      <c r="P373" s="25">
        <f t="shared" si="266"/>
        <v>28145.244538569641</v>
      </c>
      <c r="Q373" s="25">
        <f t="array" aca="1" ref="Q373" ca="1">INDEX('Isaac 401k'!L:L,MATCH('Retirement Calculator'!A373,'Isaac 401k'!N:N,0),0)</f>
        <v>1065659.1528989598</v>
      </c>
      <c r="R373" s="25">
        <f t="array" aca="1" ref="R373" ca="1">INDEX('Lorri 401b'!L:L,MATCH('Retirement Calculator'!A373,'Lorri 401b'!N:N,0),0)</f>
        <v>2770556.826533128</v>
      </c>
      <c r="S373" s="25">
        <f t="shared" ca="1" si="267"/>
        <v>3836215.9794320879</v>
      </c>
    </row>
    <row r="374" spans="1:19" ht="15.75" customHeight="1" x14ac:dyDescent="0.3">
      <c r="A374" s="37">
        <v>62337</v>
      </c>
      <c r="B374" s="409">
        <f t="shared" ref="B374:C374" si="375">($A374-B$9)/365.25</f>
        <v>88.791238877481177</v>
      </c>
      <c r="C374" s="409">
        <f t="shared" si="375"/>
        <v>84.180698151950722</v>
      </c>
      <c r="E374" s="25">
        <f>IF(C374&gt;$B$7,0,'Combined Retirement'!$D$13/12)</f>
        <v>0</v>
      </c>
      <c r="F374" s="25">
        <f>IF(H374=0,'Combined Retirement'!$D$32,0)+'Combined Retirement'!$B$24</f>
        <v>2870.372285649099</v>
      </c>
      <c r="G374" s="25">
        <f>'Combined Retirement'!$C$24</f>
        <v>3525.4531757812501</v>
      </c>
      <c r="H374" s="25">
        <f>IF(B374&lt;62,0,'Combined Retirement'!$I$14)</f>
        <v>2192</v>
      </c>
      <c r="I374" s="25">
        <f>IF(C374&lt;62,0,'Combined Retirement'!$I$13)</f>
        <v>2420</v>
      </c>
      <c r="J374" s="25">
        <f t="shared" si="263"/>
        <v>7863.2184191855868</v>
      </c>
      <c r="K374" s="25">
        <f t="shared" si="264"/>
        <v>20282.026119384056</v>
      </c>
      <c r="L374" s="25"/>
      <c r="N374" s="25">
        <f>'Combined Retirement'!$C$18/12</f>
        <v>39153.069999999992</v>
      </c>
      <c r="O374" s="25">
        <f t="shared" si="265"/>
        <v>11007.82546143035</v>
      </c>
      <c r="P374" s="25">
        <f t="shared" si="266"/>
        <v>28145.244538569641</v>
      </c>
      <c r="Q374" s="25">
        <f t="array" aca="1" ref="Q374" ca="1">INDEX('Isaac 401k'!L:L,MATCH('Retirement Calculator'!A374,'Isaac 401k'!N:N,0),0)</f>
        <v>1062203.4175401067</v>
      </c>
      <c r="R374" s="25">
        <f t="array" aca="1" ref="R374" ca="1">INDEX('Lorri 401b'!L:L,MATCH('Retirement Calculator'!A374,'Lorri 401b'!N:N,0),0)</f>
        <v>2761734.2787488014</v>
      </c>
      <c r="S374" s="25">
        <f t="shared" ca="1" si="267"/>
        <v>3823937.6962889079</v>
      </c>
    </row>
    <row r="375" spans="1:19" ht="15.75" customHeight="1" x14ac:dyDescent="0.3">
      <c r="A375" s="37">
        <v>62367</v>
      </c>
      <c r="B375" s="409">
        <f t="shared" ref="B375:C375" si="376">($A375-B$9)/365.25</f>
        <v>88.873374401095134</v>
      </c>
      <c r="C375" s="409">
        <f t="shared" si="376"/>
        <v>84.262833675564679</v>
      </c>
      <c r="E375" s="25">
        <f>IF(C375&gt;$B$7,0,'Combined Retirement'!$D$13/12)</f>
        <v>0</v>
      </c>
      <c r="F375" s="25">
        <f>IF(H375=0,'Combined Retirement'!$D$32,0)+'Combined Retirement'!$B$24</f>
        <v>2870.372285649099</v>
      </c>
      <c r="G375" s="25">
        <f>'Combined Retirement'!$C$24</f>
        <v>3525.4531757812501</v>
      </c>
      <c r="H375" s="25">
        <f>IF(B375&lt;62,0,'Combined Retirement'!$I$14)</f>
        <v>2192</v>
      </c>
      <c r="I375" s="25">
        <f>IF(C375&lt;62,0,'Combined Retirement'!$I$13)</f>
        <v>2420</v>
      </c>
      <c r="J375" s="25">
        <f t="shared" si="263"/>
        <v>7863.2184191855868</v>
      </c>
      <c r="K375" s="25">
        <f t="shared" si="264"/>
        <v>20282.026119384056</v>
      </c>
      <c r="L375" s="25"/>
      <c r="N375" s="25">
        <f>'Combined Retirement'!$C$18/12</f>
        <v>39153.069999999992</v>
      </c>
      <c r="O375" s="25">
        <f t="shared" si="265"/>
        <v>11007.82546143035</v>
      </c>
      <c r="P375" s="25">
        <f t="shared" si="266"/>
        <v>28145.244538569641</v>
      </c>
      <c r="Q375" s="25">
        <f t="array" aca="1" ref="Q375" ca="1">INDEX('Isaac 401k'!L:L,MATCH('Retirement Calculator'!A375,'Isaac 401k'!N:N,0),0)</f>
        <v>1058733.2832839249</v>
      </c>
      <c r="R375" s="25">
        <f t="array" aca="1" ref="R375" ca="1">INDEX('Lorri 401b'!L:L,MATCH('Retirement Calculator'!A375,'Lorri 401b'!N:N,0),0)</f>
        <v>2752874.9703487065</v>
      </c>
      <c r="S375" s="25">
        <f t="shared" ca="1" si="267"/>
        <v>3811608.2536326312</v>
      </c>
    </row>
    <row r="376" spans="1:19" ht="15.75" customHeight="1" x14ac:dyDescent="0.3">
      <c r="A376" s="37">
        <v>62398</v>
      </c>
      <c r="B376" s="409">
        <f t="shared" ref="B376:C376" si="377">($A376-B$9)/365.25</f>
        <v>88.958247775496233</v>
      </c>
      <c r="C376" s="409">
        <f t="shared" si="377"/>
        <v>84.347707049965777</v>
      </c>
      <c r="E376" s="25">
        <f>IF(C376&gt;$B$7,0,'Combined Retirement'!$D$13/12)</f>
        <v>0</v>
      </c>
      <c r="F376" s="25">
        <f>IF(H376=0,'Combined Retirement'!$D$32,0)+'Combined Retirement'!$B$24</f>
        <v>2870.372285649099</v>
      </c>
      <c r="G376" s="25">
        <f>'Combined Retirement'!$C$24</f>
        <v>3525.4531757812501</v>
      </c>
      <c r="H376" s="25">
        <f>IF(B376&lt;62,0,'Combined Retirement'!$I$14)</f>
        <v>2192</v>
      </c>
      <c r="I376" s="25">
        <f>IF(C376&lt;62,0,'Combined Retirement'!$I$13)</f>
        <v>2420</v>
      </c>
      <c r="J376" s="25">
        <f t="shared" si="263"/>
        <v>7863.2184191855868</v>
      </c>
      <c r="K376" s="25">
        <f t="shared" si="264"/>
        <v>20282.026119384056</v>
      </c>
      <c r="L376" s="25"/>
      <c r="N376" s="25">
        <f>'Combined Retirement'!$C$18/12</f>
        <v>39153.069999999992</v>
      </c>
      <c r="O376" s="25">
        <f t="shared" si="265"/>
        <v>11007.82546143035</v>
      </c>
      <c r="P376" s="25">
        <f t="shared" si="266"/>
        <v>28145.244538569641</v>
      </c>
      <c r="Q376" s="25">
        <f t="array" aca="1" ref="Q376" ca="1">INDEX('Isaac 401k'!L:L,MATCH('Retirement Calculator'!A376,'Isaac 401k'!N:N,0),0)</f>
        <v>1055248.6901350091</v>
      </c>
      <c r="R376" s="25">
        <f t="array" aca="1" ref="R376" ca="1">INDEX('Lorri 401b'!L:L,MATCH('Retirement Calculator'!A376,'Lorri 401b'!N:N,0),0)</f>
        <v>2743978.7481636112</v>
      </c>
      <c r="S376" s="25">
        <f t="shared" ca="1" si="267"/>
        <v>3799227.4382986203</v>
      </c>
    </row>
    <row r="377" spans="1:19" ht="15.75" customHeight="1" x14ac:dyDescent="0.3">
      <c r="A377" s="37">
        <v>62428</v>
      </c>
      <c r="B377" s="409">
        <f t="shared" ref="B377:C377" si="378">($A377-B$9)/365.25</f>
        <v>89.040383299110204</v>
      </c>
      <c r="C377" s="409">
        <f t="shared" si="378"/>
        <v>84.429842573579734</v>
      </c>
      <c r="E377" s="25">
        <f>IF(C377&gt;$B$7,0,'Combined Retirement'!$D$13/12)</f>
        <v>0</v>
      </c>
      <c r="F377" s="25">
        <f>IF(H377=0,'Combined Retirement'!$D$32,0)+'Combined Retirement'!$B$24</f>
        <v>2870.372285649099</v>
      </c>
      <c r="G377" s="25">
        <f>'Combined Retirement'!$C$24</f>
        <v>3525.4531757812501</v>
      </c>
      <c r="H377" s="25">
        <f>IF(B377&lt;62,0,'Combined Retirement'!$I$14)</f>
        <v>2192</v>
      </c>
      <c r="I377" s="25">
        <f>IF(C377&lt;62,0,'Combined Retirement'!$I$13)</f>
        <v>2420</v>
      </c>
      <c r="J377" s="25">
        <f t="shared" si="263"/>
        <v>7863.2184191855868</v>
      </c>
      <c r="K377" s="25">
        <f t="shared" si="264"/>
        <v>20282.026119384056</v>
      </c>
      <c r="L377" s="25"/>
      <c r="N377" s="25">
        <f>'Combined Retirement'!$C$18/12</f>
        <v>39153.069999999992</v>
      </c>
      <c r="O377" s="25">
        <f t="shared" si="265"/>
        <v>11007.82546143035</v>
      </c>
      <c r="P377" s="25">
        <f t="shared" si="266"/>
        <v>28145.244538569641</v>
      </c>
      <c r="Q377" s="25">
        <f t="array" aca="1" ref="Q377" ca="1">INDEX('Isaac 401k'!L:L,MATCH('Retirement Calculator'!A377,'Isaac 401k'!N:N,0),0)</f>
        <v>1051749.5778479727</v>
      </c>
      <c r="R377" s="25">
        <f t="array" aca="1" ref="R377" ca="1">INDEX('Lorri 401b'!L:L,MATCH('Retirement Calculator'!A377,'Lorri 401b'!N:N,0),0)</f>
        <v>2735045.458386078</v>
      </c>
      <c r="S377" s="25">
        <f t="shared" ca="1" si="267"/>
        <v>3786795.036234051</v>
      </c>
    </row>
    <row r="378" spans="1:19" ht="15.75" customHeight="1" x14ac:dyDescent="0.3">
      <c r="A378" s="37">
        <v>62459</v>
      </c>
      <c r="B378" s="409">
        <f t="shared" ref="B378:C378" si="379">($A378-B$9)/365.25</f>
        <v>89.125256673511288</v>
      </c>
      <c r="C378" s="409">
        <f t="shared" si="379"/>
        <v>84.514715947980832</v>
      </c>
      <c r="E378" s="25">
        <f>IF(C378&gt;$B$7,0,'Combined Retirement'!$D$13/12)</f>
        <v>0</v>
      </c>
      <c r="F378" s="25">
        <f>IF(H378=0,'Combined Retirement'!$D$32,0)+'Combined Retirement'!$B$24</f>
        <v>2870.372285649099</v>
      </c>
      <c r="G378" s="25">
        <f>'Combined Retirement'!$C$24</f>
        <v>3525.4531757812501</v>
      </c>
      <c r="H378" s="25">
        <f>IF(B378&lt;62,0,'Combined Retirement'!$I$14)</f>
        <v>2192</v>
      </c>
      <c r="I378" s="25">
        <f>IF(C378&lt;62,0,'Combined Retirement'!$I$13)</f>
        <v>2420</v>
      </c>
      <c r="J378" s="25">
        <f t="shared" si="263"/>
        <v>7863.2184191855868</v>
      </c>
      <c r="K378" s="25">
        <f t="shared" si="264"/>
        <v>20282.026119384056</v>
      </c>
      <c r="L378" s="25"/>
      <c r="N378" s="25">
        <f>'Combined Retirement'!$C$18/12</f>
        <v>39153.069999999992</v>
      </c>
      <c r="O378" s="25">
        <f t="shared" si="265"/>
        <v>11007.82546143035</v>
      </c>
      <c r="P378" s="25">
        <f t="shared" si="266"/>
        <v>28145.244538569641</v>
      </c>
      <c r="Q378" s="25">
        <f t="array" aca="1" ref="Q378" ca="1">INDEX('Isaac 401k'!L:L,MATCH('Retirement Calculator'!A378,'Isaac 401k'!N:N,0),0)</f>
        <v>1048235.8859264071</v>
      </c>
      <c r="R378" s="25">
        <f t="array" aca="1" ref="R378" ca="1">INDEX('Lorri 401b'!L:L,MATCH('Retirement Calculator'!A378,'Lorri 401b'!N:N,0),0)</f>
        <v>2726074.9465678055</v>
      </c>
      <c r="S378" s="25">
        <f t="shared" ca="1" si="267"/>
        <v>3774310.8324942123</v>
      </c>
    </row>
    <row r="379" spans="1:19" ht="15.75" customHeight="1" x14ac:dyDescent="0.3">
      <c r="A379" s="37">
        <v>62490</v>
      </c>
      <c r="B379" s="409">
        <f t="shared" ref="B379:C379" si="380">($A379-B$9)/365.25</f>
        <v>89.210130047912386</v>
      </c>
      <c r="C379" s="409">
        <f t="shared" si="380"/>
        <v>84.599589322381931</v>
      </c>
      <c r="E379" s="25">
        <f>IF(C379&gt;$B$7,0,'Combined Retirement'!$D$13/12)</f>
        <v>0</v>
      </c>
      <c r="F379" s="25">
        <f>IF(H379=0,'Combined Retirement'!$D$32,0)+'Combined Retirement'!$B$24</f>
        <v>2870.372285649099</v>
      </c>
      <c r="G379" s="25">
        <f>'Combined Retirement'!$C$24</f>
        <v>3525.4531757812501</v>
      </c>
      <c r="H379" s="25">
        <f>IF(B379&lt;62,0,'Combined Retirement'!$I$14)</f>
        <v>2192</v>
      </c>
      <c r="I379" s="25">
        <f>IF(C379&lt;62,0,'Combined Retirement'!$I$13)</f>
        <v>2420</v>
      </c>
      <c r="J379" s="25">
        <f t="shared" si="263"/>
        <v>7863.2184191855868</v>
      </c>
      <c r="K379" s="25">
        <f t="shared" si="264"/>
        <v>20282.026119384056</v>
      </c>
      <c r="L379" s="25"/>
      <c r="N379" s="25">
        <f>'Combined Retirement'!$C$18/12</f>
        <v>39153.069999999992</v>
      </c>
      <c r="O379" s="25">
        <f t="shared" si="265"/>
        <v>11007.82546143035</v>
      </c>
      <c r="P379" s="25">
        <f t="shared" si="266"/>
        <v>28145.244538569641</v>
      </c>
      <c r="Q379" s="25">
        <f t="array" aca="1" ref="Q379" ca="1">INDEX('Isaac 401k'!L:L,MATCH('Retirement Calculator'!A379,'Isaac 401k'!N:N,0),0)</f>
        <v>1044707.5536218348</v>
      </c>
      <c r="R379" s="25">
        <f t="array" aca="1" ref="R379" ca="1">INDEX('Lorri 401b'!L:L,MATCH('Retirement Calculator'!A379,'Lorri 401b'!N:N,0),0)</f>
        <v>2717067.0576169565</v>
      </c>
      <c r="S379" s="25">
        <f t="shared" ca="1" si="267"/>
        <v>3761774.6112387916</v>
      </c>
    </row>
    <row r="380" spans="1:19" ht="15.75" customHeight="1" x14ac:dyDescent="0.3">
      <c r="A380" s="37">
        <v>62518</v>
      </c>
      <c r="B380" s="409">
        <f t="shared" ref="B380:C380" si="381">($A380-B$9)/365.25</f>
        <v>89.286789869952088</v>
      </c>
      <c r="C380" s="409">
        <f t="shared" si="381"/>
        <v>84.676249144421632</v>
      </c>
      <c r="E380" s="25">
        <f>IF(C380&gt;$B$7,0,'Combined Retirement'!$D$13/12)</f>
        <v>0</v>
      </c>
      <c r="F380" s="25">
        <f>IF(H380=0,'Combined Retirement'!$D$32,0)+'Combined Retirement'!$B$24</f>
        <v>2870.372285649099</v>
      </c>
      <c r="G380" s="25">
        <f>'Combined Retirement'!$C$24</f>
        <v>3525.4531757812501</v>
      </c>
      <c r="H380" s="25">
        <f>IF(B380&lt;62,0,'Combined Retirement'!$I$14)</f>
        <v>2192</v>
      </c>
      <c r="I380" s="25">
        <f>IF(C380&lt;62,0,'Combined Retirement'!$I$13)</f>
        <v>2420</v>
      </c>
      <c r="J380" s="25">
        <f t="shared" si="263"/>
        <v>7863.2184191855868</v>
      </c>
      <c r="K380" s="25">
        <f t="shared" si="264"/>
        <v>20282.026119384056</v>
      </c>
      <c r="L380" s="25"/>
      <c r="N380" s="25">
        <f>'Combined Retirement'!$C$18/12</f>
        <v>39153.069999999992</v>
      </c>
      <c r="O380" s="25">
        <f t="shared" si="265"/>
        <v>11007.82546143035</v>
      </c>
      <c r="P380" s="25">
        <f t="shared" si="266"/>
        <v>28145.244538569641</v>
      </c>
      <c r="Q380" s="25">
        <f t="array" aca="1" ref="Q380" ca="1">INDEX('Isaac 401k'!L:L,MATCH('Retirement Calculator'!A380,'Isaac 401k'!N:N,0),0)</f>
        <v>1041164.5199326603</v>
      </c>
      <c r="R380" s="25">
        <f t="array" aca="1" ref="R380" ca="1">INDEX('Lorri 401b'!L:L,MATCH('Retirement Calculator'!A380,'Lorri 401b'!N:N,0),0)</f>
        <v>2708021.6357954792</v>
      </c>
      <c r="S380" s="25">
        <f t="shared" ca="1" si="267"/>
        <v>3749186.1557281394</v>
      </c>
    </row>
    <row r="381" spans="1:19" ht="15.75" customHeight="1" x14ac:dyDescent="0.3">
      <c r="A381" s="37">
        <v>62549</v>
      </c>
      <c r="B381" s="409">
        <f t="shared" ref="B381:C381" si="382">($A381-B$9)/365.25</f>
        <v>89.371663244353186</v>
      </c>
      <c r="C381" s="409">
        <f t="shared" si="382"/>
        <v>84.761122518822731</v>
      </c>
      <c r="E381" s="25">
        <f>IF(C381&gt;$B$7,0,'Combined Retirement'!$D$13/12)</f>
        <v>0</v>
      </c>
      <c r="F381" s="25">
        <f>IF(H381=0,'Combined Retirement'!$D$32,0)+'Combined Retirement'!$B$24</f>
        <v>2870.372285649099</v>
      </c>
      <c r="G381" s="25">
        <f>'Combined Retirement'!$C$24</f>
        <v>3525.4531757812501</v>
      </c>
      <c r="H381" s="25">
        <f>IF(B381&lt;62,0,'Combined Retirement'!$I$14)</f>
        <v>2192</v>
      </c>
      <c r="I381" s="25">
        <f>IF(C381&lt;62,0,'Combined Retirement'!$I$13)</f>
        <v>2420</v>
      </c>
      <c r="J381" s="25">
        <f t="shared" si="263"/>
        <v>7863.2184191855868</v>
      </c>
      <c r="K381" s="25">
        <f t="shared" si="264"/>
        <v>20282.026119384056</v>
      </c>
      <c r="L381" s="25"/>
      <c r="N381" s="25">
        <f>'Combined Retirement'!$C$18/12</f>
        <v>39153.069999999992</v>
      </c>
      <c r="O381" s="25">
        <f t="shared" si="265"/>
        <v>11007.82546143035</v>
      </c>
      <c r="P381" s="25">
        <f t="shared" si="266"/>
        <v>28145.244538569641</v>
      </c>
      <c r="Q381" s="25">
        <f t="array" aca="1" ref="Q381" ca="1">INDEX('Isaac 401k'!L:L,MATCH('Retirement Calculator'!A381,'Isaac 401k'!N:N,0),0)</f>
        <v>1037606.7236031141</v>
      </c>
      <c r="R381" s="25">
        <f t="array" aca="1" ref="R381" ca="1">INDEX('Lorri 401b'!L:L,MATCH('Retirement Calculator'!A381,'Lorri 401b'!N:N,0),0)</f>
        <v>2698938.5247164122</v>
      </c>
      <c r="S381" s="25">
        <f t="shared" ca="1" si="267"/>
        <v>3736545.2483195262</v>
      </c>
    </row>
    <row r="382" spans="1:19" ht="15.75" customHeight="1" x14ac:dyDescent="0.3">
      <c r="A382" s="37">
        <v>62579</v>
      </c>
      <c r="B382" s="409">
        <f t="shared" ref="B382:C382" si="383">($A382-B$9)/365.25</f>
        <v>89.453798767967143</v>
      </c>
      <c r="C382" s="409">
        <f t="shared" si="383"/>
        <v>84.843258042436688</v>
      </c>
      <c r="E382" s="25">
        <f>IF(C382&gt;$B$7,0,'Combined Retirement'!$D$13/12)</f>
        <v>0</v>
      </c>
      <c r="F382" s="25">
        <f>IF(H382=0,'Combined Retirement'!$D$32,0)+'Combined Retirement'!$B$24</f>
        <v>2870.372285649099</v>
      </c>
      <c r="G382" s="25">
        <f>'Combined Retirement'!$C$24</f>
        <v>3525.4531757812501</v>
      </c>
      <c r="H382" s="25">
        <f>IF(B382&lt;62,0,'Combined Retirement'!$I$14)</f>
        <v>2192</v>
      </c>
      <c r="I382" s="25">
        <f>IF(C382&lt;62,0,'Combined Retirement'!$I$13)</f>
        <v>2420</v>
      </c>
      <c r="J382" s="25">
        <f t="shared" si="263"/>
        <v>7863.2184191855868</v>
      </c>
      <c r="K382" s="25">
        <f t="shared" si="264"/>
        <v>20282.026119384056</v>
      </c>
      <c r="L382" s="25"/>
      <c r="N382" s="25">
        <f>'Combined Retirement'!$C$18/12</f>
        <v>39153.069999999992</v>
      </c>
      <c r="O382" s="25">
        <f t="shared" si="265"/>
        <v>11007.82546143035</v>
      </c>
      <c r="P382" s="25">
        <f t="shared" si="266"/>
        <v>28145.244538569641</v>
      </c>
      <c r="Q382" s="25">
        <f t="array" aca="1" ref="Q382" ca="1">INDEX('Isaac 401k'!L:L,MATCH('Retirement Calculator'!A382,'Isaac 401k'!N:N,0),0)</f>
        <v>1034034.1031221949</v>
      </c>
      <c r="R382" s="25">
        <f t="array" aca="1" ref="R382" ca="1">INDEX('Lorri 401b'!L:L,MATCH('Retirement Calculator'!A382,'Lorri 401b'!N:N,0),0)</f>
        <v>2689817.5673411824</v>
      </c>
      <c r="S382" s="25">
        <f t="shared" ca="1" si="267"/>
        <v>3723851.6704633771</v>
      </c>
    </row>
    <row r="383" spans="1:19" ht="15.75" customHeight="1" x14ac:dyDescent="0.3">
      <c r="A383" s="37">
        <v>62610</v>
      </c>
      <c r="B383" s="409">
        <f t="shared" ref="B383:C383" si="384">($A383-B$9)/365.25</f>
        <v>89.538672142368242</v>
      </c>
      <c r="C383" s="409">
        <f t="shared" si="384"/>
        <v>84.928131416837786</v>
      </c>
      <c r="E383" s="25">
        <f>IF(C383&gt;$B$7,0,'Combined Retirement'!$D$13/12)</f>
        <v>0</v>
      </c>
      <c r="F383" s="25">
        <f>IF(H383=0,'Combined Retirement'!$D$32,0)+'Combined Retirement'!$B$24</f>
        <v>2870.372285649099</v>
      </c>
      <c r="G383" s="25">
        <f>'Combined Retirement'!$C$24</f>
        <v>3525.4531757812501</v>
      </c>
      <c r="H383" s="25">
        <f>IF(B383&lt;62,0,'Combined Retirement'!$I$14)</f>
        <v>2192</v>
      </c>
      <c r="I383" s="25">
        <f>IF(C383&lt;62,0,'Combined Retirement'!$I$13)</f>
        <v>2420</v>
      </c>
      <c r="J383" s="25">
        <f t="shared" si="263"/>
        <v>7863.2184191855868</v>
      </c>
      <c r="K383" s="25">
        <f t="shared" si="264"/>
        <v>20282.026119384056</v>
      </c>
      <c r="L383" s="25"/>
      <c r="N383" s="25">
        <f>'Combined Retirement'!$C$18/12</f>
        <v>39153.069999999992</v>
      </c>
      <c r="O383" s="25">
        <f t="shared" si="265"/>
        <v>11007.82546143035</v>
      </c>
      <c r="P383" s="25">
        <f t="shared" si="266"/>
        <v>28145.244538569641</v>
      </c>
      <c r="Q383" s="25">
        <f t="array" aca="1" ref="Q383" ca="1">INDEX('Isaac 401k'!L:L,MATCH('Retirement Calculator'!A383,'Isaac 401k'!N:N,0),0)</f>
        <v>1030446.5967226052</v>
      </c>
      <c r="R383" s="25">
        <f t="array" aca="1" ref="R383" ca="1">INDEX('Lorri 401b'!L:L,MATCH('Retirement Calculator'!A383,'Lorri 401b'!N:N,0),0)</f>
        <v>2680658.6059768894</v>
      </c>
      <c r="S383" s="25">
        <f t="shared" ca="1" si="267"/>
        <v>3711105.2026994945</v>
      </c>
    </row>
    <row r="384" spans="1:19" ht="15.75" customHeight="1" x14ac:dyDescent="0.3">
      <c r="A384" s="37">
        <v>62640</v>
      </c>
      <c r="B384" s="409">
        <f t="shared" ref="B384:C384" si="385">($A384-B$9)/365.25</f>
        <v>89.620807665982198</v>
      </c>
      <c r="C384" s="409">
        <f t="shared" si="385"/>
        <v>85.010266940451743</v>
      </c>
      <c r="E384" s="25">
        <f>IF(C384&gt;$B$7,0,'Combined Retirement'!$D$13/12)</f>
        <v>0</v>
      </c>
      <c r="F384" s="25">
        <f>IF(H384=0,'Combined Retirement'!$D$32,0)+'Combined Retirement'!$B$24</f>
        <v>2870.372285649099</v>
      </c>
      <c r="G384" s="25">
        <f>'Combined Retirement'!$C$24</f>
        <v>3525.4531757812501</v>
      </c>
      <c r="H384" s="25">
        <f>IF(B384&lt;62,0,'Combined Retirement'!$I$14)</f>
        <v>2192</v>
      </c>
      <c r="I384" s="25">
        <f>IF(C384&lt;62,0,'Combined Retirement'!$I$13)</f>
        <v>2420</v>
      </c>
      <c r="J384" s="25">
        <f t="shared" si="263"/>
        <v>7863.2184191855868</v>
      </c>
      <c r="K384" s="25">
        <f t="shared" si="264"/>
        <v>20282.026119384056</v>
      </c>
      <c r="L384" s="25"/>
      <c r="N384" s="25">
        <f>'Combined Retirement'!$C$18/12</f>
        <v>39153.069999999992</v>
      </c>
      <c r="O384" s="25">
        <f t="shared" si="265"/>
        <v>11007.82546143035</v>
      </c>
      <c r="P384" s="25">
        <f t="shared" si="266"/>
        <v>28145.244538569641</v>
      </c>
      <c r="Q384" s="25">
        <f t="array" aca="1" ref="Q384" ca="1">INDEX('Isaac 401k'!L:L,MATCH('Retirement Calculator'!A384,'Isaac 401k'!N:N,0),0)</f>
        <v>1026844.1423796838</v>
      </c>
      <c r="R384" s="25">
        <f t="array" aca="1" ref="R384" ca="1">INDEX('Lorri 401b'!L:L,MATCH('Retirement Calculator'!A384,'Lorri 401b'!N:N,0),0)</f>
        <v>2671461.4822735782</v>
      </c>
      <c r="S384" s="25">
        <f t="shared" ca="1" si="267"/>
        <v>3698305.6246532621</v>
      </c>
    </row>
    <row r="385" spans="1:19" ht="15.75" customHeight="1" x14ac:dyDescent="0.3">
      <c r="A385" s="37">
        <v>62671</v>
      </c>
      <c r="B385" s="409">
        <f t="shared" ref="B385:C385" si="386">($A385-B$9)/365.25</f>
        <v>89.705681040383297</v>
      </c>
      <c r="C385" s="409">
        <f t="shared" si="386"/>
        <v>85.095140314852841</v>
      </c>
      <c r="E385" s="25">
        <f>IF(C385&gt;$B$7,0,'Combined Retirement'!$D$13/12)</f>
        <v>0</v>
      </c>
      <c r="F385" s="25">
        <f>IF(H385=0,'Combined Retirement'!$D$32,0)+'Combined Retirement'!$B$24</f>
        <v>2870.372285649099</v>
      </c>
      <c r="G385" s="25">
        <f>'Combined Retirement'!$C$24</f>
        <v>3525.4531757812501</v>
      </c>
      <c r="H385" s="25">
        <f>IF(B385&lt;62,0,'Combined Retirement'!$I$14)</f>
        <v>2192</v>
      </c>
      <c r="I385" s="25">
        <f>IF(C385&lt;62,0,'Combined Retirement'!$I$13)</f>
        <v>2420</v>
      </c>
      <c r="J385" s="25">
        <f t="shared" si="263"/>
        <v>7863.2184191855868</v>
      </c>
      <c r="K385" s="25">
        <f t="shared" si="264"/>
        <v>20282.026119384056</v>
      </c>
      <c r="L385" s="25"/>
      <c r="N385" s="25">
        <f>'Combined Retirement'!$C$18/12</f>
        <v>39153.069999999992</v>
      </c>
      <c r="O385" s="25">
        <f t="shared" si="265"/>
        <v>11007.82546143035</v>
      </c>
      <c r="P385" s="25">
        <f t="shared" si="266"/>
        <v>28145.244538569641</v>
      </c>
      <c r="Q385" s="25">
        <f t="array" aca="1" ref="Q385" ca="1">INDEX('Isaac 401k'!L:L,MATCH('Retirement Calculator'!A385,'Isaac 401k'!N:N,0),0)</f>
        <v>1023226.6778103336</v>
      </c>
      <c r="R385" s="25">
        <f t="array" aca="1" ref="R385" ca="1">INDEX('Lorri 401b'!L:L,MATCH('Retirement Calculator'!A385,'Lorri 401b'!N:N,0),0)</f>
        <v>2662226.0372215034</v>
      </c>
      <c r="S385" s="25">
        <f t="shared" ca="1" si="267"/>
        <v>3685452.7150318371</v>
      </c>
    </row>
    <row r="386" spans="1:19" ht="15.75" customHeight="1" x14ac:dyDescent="0.3">
      <c r="A386" s="37">
        <v>62702</v>
      </c>
      <c r="B386" s="409">
        <f t="shared" ref="B386:C386" si="387">($A386-B$9)/365.25</f>
        <v>89.790554414784395</v>
      </c>
      <c r="C386" s="409">
        <f t="shared" si="387"/>
        <v>85.18001368925394</v>
      </c>
      <c r="E386" s="25">
        <f>IF(C386&gt;$B$7,0,'Combined Retirement'!$D$13/12)</f>
        <v>0</v>
      </c>
      <c r="F386" s="25">
        <f>IF(H386=0,'Combined Retirement'!$D$32,0)+'Combined Retirement'!$B$24</f>
        <v>2870.372285649099</v>
      </c>
      <c r="G386" s="25">
        <f>'Combined Retirement'!$C$24</f>
        <v>3525.4531757812501</v>
      </c>
      <c r="H386" s="25">
        <f>IF(B386&lt;62,0,'Combined Retirement'!$I$14)</f>
        <v>2192</v>
      </c>
      <c r="I386" s="25">
        <f>IF(C386&lt;62,0,'Combined Retirement'!$I$13)</f>
        <v>2420</v>
      </c>
      <c r="J386" s="25">
        <f t="shared" si="263"/>
        <v>7863.2184191855868</v>
      </c>
      <c r="K386" s="25">
        <f t="shared" si="264"/>
        <v>20282.026119384056</v>
      </c>
      <c r="L386" s="25"/>
      <c r="N386" s="25">
        <f>'Combined Retirement'!$C$18/12</f>
        <v>39153.069999999992</v>
      </c>
      <c r="O386" s="25">
        <f t="shared" si="265"/>
        <v>11007.82546143035</v>
      </c>
      <c r="P386" s="25">
        <f t="shared" si="266"/>
        <v>28145.244538569641</v>
      </c>
      <c r="Q386" s="25">
        <f t="array" aca="1" ref="Q386" ca="1">INDEX('Isaac 401k'!L:L,MATCH('Retirement Calculator'!A386,'Isaac 401k'!N:N,0),0)</f>
        <v>1019594.1404719444</v>
      </c>
      <c r="R386" s="25">
        <f t="array" aca="1" ref="R386" ca="1">INDEX('Lorri 401b'!L:L,MATCH('Retirement Calculator'!A386,'Lorri 401b'!N:N,0),0)</f>
        <v>2652952.1111483783</v>
      </c>
      <c r="S386" s="25">
        <f t="shared" ca="1" si="267"/>
        <v>3672546.2516203225</v>
      </c>
    </row>
    <row r="387" spans="1:19" ht="15.75" customHeight="1" x14ac:dyDescent="0.3">
      <c r="A387" s="37">
        <v>62732</v>
      </c>
      <c r="B387" s="409">
        <f t="shared" ref="B387:C387" si="388">($A387-B$9)/365.25</f>
        <v>89.872689938398352</v>
      </c>
      <c r="C387" s="409">
        <f t="shared" si="388"/>
        <v>85.262149212867897</v>
      </c>
      <c r="E387" s="25">
        <f>IF(C387&gt;$B$7,0,'Combined Retirement'!$D$13/12)</f>
        <v>0</v>
      </c>
      <c r="F387" s="25">
        <f>IF(H387=0,'Combined Retirement'!$D$32,0)+'Combined Retirement'!$B$24</f>
        <v>2870.372285649099</v>
      </c>
      <c r="G387" s="25">
        <f>'Combined Retirement'!$C$24</f>
        <v>3525.4531757812501</v>
      </c>
      <c r="H387" s="25">
        <f>IF(B387&lt;62,0,'Combined Retirement'!$I$14)</f>
        <v>2192</v>
      </c>
      <c r="I387" s="25">
        <f>IF(C387&lt;62,0,'Combined Retirement'!$I$13)</f>
        <v>2420</v>
      </c>
      <c r="J387" s="25">
        <f t="shared" si="263"/>
        <v>7863.2184191855868</v>
      </c>
      <c r="K387" s="25">
        <f t="shared" si="264"/>
        <v>20282.026119384056</v>
      </c>
      <c r="L387" s="25"/>
      <c r="N387" s="25">
        <f>'Combined Retirement'!$C$18/12</f>
        <v>39153.069999999992</v>
      </c>
      <c r="O387" s="25">
        <f t="shared" si="265"/>
        <v>11007.82546143035</v>
      </c>
      <c r="P387" s="25">
        <f t="shared" si="266"/>
        <v>28145.244538569641</v>
      </c>
      <c r="Q387" s="25">
        <f t="array" aca="1" ref="Q387" ca="1">INDEX('Isaac 401k'!L:L,MATCH('Retirement Calculator'!A387,'Isaac 401k'!N:N,0),0)</f>
        <v>1015946.4675613119</v>
      </c>
      <c r="R387" s="25">
        <f t="array" aca="1" ref="R387" ca="1">INDEX('Lorri 401b'!L:L,MATCH('Retirement Calculator'!A387,'Lorri 401b'!N:N,0),0)</f>
        <v>2643639.5437166151</v>
      </c>
      <c r="S387" s="25">
        <f t="shared" ca="1" si="267"/>
        <v>3659586.0112779271</v>
      </c>
    </row>
    <row r="388" spans="1:19" ht="15.75" customHeight="1" x14ac:dyDescent="0.3">
      <c r="A388" s="37">
        <v>62763</v>
      </c>
      <c r="B388" s="409">
        <f t="shared" ref="B388:C388" si="389">($A388-B$9)/365.25</f>
        <v>89.957563312799451</v>
      </c>
      <c r="C388" s="409">
        <f t="shared" si="389"/>
        <v>85.347022587268995</v>
      </c>
      <c r="E388" s="25">
        <f>IF(C388&gt;$B$7,0,'Combined Retirement'!$D$13/12)</f>
        <v>0</v>
      </c>
      <c r="F388" s="25">
        <f>IF(H388=0,'Combined Retirement'!$D$32,0)+'Combined Retirement'!$B$24</f>
        <v>2870.372285649099</v>
      </c>
      <c r="G388" s="25">
        <f>'Combined Retirement'!$C$24</f>
        <v>3525.4531757812501</v>
      </c>
      <c r="H388" s="25">
        <f>IF(B388&lt;62,0,'Combined Retirement'!$I$14)</f>
        <v>2192</v>
      </c>
      <c r="I388" s="25">
        <f>IF(C388&lt;62,0,'Combined Retirement'!$I$13)</f>
        <v>2420</v>
      </c>
      <c r="J388" s="25">
        <f t="shared" si="263"/>
        <v>7863.2184191855868</v>
      </c>
      <c r="K388" s="25">
        <f t="shared" si="264"/>
        <v>20282.026119384056</v>
      </c>
      <c r="L388" s="25"/>
      <c r="N388" s="25">
        <f>'Combined Retirement'!$C$18/12</f>
        <v>39153.069999999992</v>
      </c>
      <c r="O388" s="25">
        <f t="shared" si="265"/>
        <v>11007.82546143035</v>
      </c>
      <c r="P388" s="25">
        <f t="shared" si="266"/>
        <v>28145.244538569641</v>
      </c>
      <c r="Q388" s="25">
        <f t="array" aca="1" ref="Q388" ca="1">INDEX('Isaac 401k'!L:L,MATCH('Retirement Calculator'!A388,'Isaac 401k'!N:N,0),0)</f>
        <v>1012283.5960135518</v>
      </c>
      <c r="R388" s="25">
        <f t="array" aca="1" ref="R388" ca="1">INDEX('Lorri 401b'!L:L,MATCH('Retirement Calculator'!A388,'Lorri 401b'!N:N,0),0)</f>
        <v>2634288.1739205527</v>
      </c>
      <c r="S388" s="25">
        <f t="shared" ca="1" si="267"/>
        <v>3646571.7699341048</v>
      </c>
    </row>
    <row r="389" spans="1:19" ht="15.75" customHeight="1" x14ac:dyDescent="0.3">
      <c r="A389" s="37">
        <v>62793</v>
      </c>
      <c r="B389" s="409">
        <f t="shared" ref="B389:C389" si="390">($A389-B$9)/365.25</f>
        <v>90.039698836413422</v>
      </c>
      <c r="C389" s="409">
        <f t="shared" si="390"/>
        <v>85.429158110882952</v>
      </c>
      <c r="E389" s="25">
        <f>IF(C389&gt;$B$7,0,'Combined Retirement'!$D$13/12)</f>
        <v>0</v>
      </c>
      <c r="F389" s="25">
        <f>IF(H389=0,'Combined Retirement'!$D$32,0)+'Combined Retirement'!$B$24</f>
        <v>2870.372285649099</v>
      </c>
      <c r="G389" s="25">
        <f>'Combined Retirement'!$C$24</f>
        <v>3525.4531757812501</v>
      </c>
      <c r="H389" s="25">
        <f>IF(B389&lt;62,0,'Combined Retirement'!$I$14)</f>
        <v>2192</v>
      </c>
      <c r="I389" s="25">
        <f>IF(C389&lt;62,0,'Combined Retirement'!$I$13)</f>
        <v>2420</v>
      </c>
      <c r="J389" s="25">
        <f t="shared" si="263"/>
        <v>7863.2184191855868</v>
      </c>
      <c r="K389" s="25">
        <f t="shared" si="264"/>
        <v>20282.026119384056</v>
      </c>
      <c r="L389" s="25"/>
      <c r="N389" s="25">
        <f>'Combined Retirement'!$C$18/12</f>
        <v>39153.069999999992</v>
      </c>
      <c r="O389" s="25">
        <f t="shared" si="265"/>
        <v>11007.82546143035</v>
      </c>
      <c r="P389" s="25">
        <f t="shared" si="266"/>
        <v>28145.244538569641</v>
      </c>
      <c r="Q389" s="25">
        <f t="array" aca="1" ref="Q389" ca="1">INDEX('Isaac 401k'!L:L,MATCH('Retirement Calculator'!A389,'Isaac 401k'!N:N,0),0)</f>
        <v>1008605.4625010093</v>
      </c>
      <c r="R389" s="25">
        <f t="array" aca="1" ref="R389" ca="1">INDEX('Lorri 401b'!L:L,MATCH('Retirement Calculator'!A389,'Lorri 401b'!N:N,0),0)</f>
        <v>2624897.8400836736</v>
      </c>
      <c r="S389" s="25">
        <f t="shared" ca="1" si="267"/>
        <v>3633503.3025846831</v>
      </c>
    </row>
    <row r="390" spans="1:19" ht="15.75" customHeight="1" x14ac:dyDescent="0.3">
      <c r="A390" s="37">
        <v>62824</v>
      </c>
      <c r="B390" s="409">
        <f t="shared" ref="B390:C390" si="391">($A390-B$9)/365.25</f>
        <v>90.124572210814506</v>
      </c>
      <c r="C390" s="409">
        <f t="shared" si="391"/>
        <v>85.51403148528405</v>
      </c>
      <c r="E390" s="25">
        <f>IF(C390&gt;$B$7,0,'Combined Retirement'!$D$13/12)</f>
        <v>0</v>
      </c>
      <c r="F390" s="25">
        <f>IF(H390=0,'Combined Retirement'!$D$32,0)+'Combined Retirement'!$B$24</f>
        <v>2870.372285649099</v>
      </c>
      <c r="G390" s="25">
        <f>'Combined Retirement'!$C$24</f>
        <v>3525.4531757812501</v>
      </c>
      <c r="H390" s="25">
        <f>IF(B390&lt;62,0,'Combined Retirement'!$I$14)</f>
        <v>2192</v>
      </c>
      <c r="I390" s="25">
        <f>IF(C390&lt;62,0,'Combined Retirement'!$I$13)</f>
        <v>2420</v>
      </c>
      <c r="J390" s="25">
        <f t="shared" si="263"/>
        <v>7863.2184191855868</v>
      </c>
      <c r="K390" s="25">
        <f t="shared" si="264"/>
        <v>20282.026119384056</v>
      </c>
      <c r="L390" s="25"/>
      <c r="N390" s="25">
        <f>'Combined Retirement'!$C$18/12</f>
        <v>39153.069999999992</v>
      </c>
      <c r="O390" s="25">
        <f t="shared" si="265"/>
        <v>11007.82546143035</v>
      </c>
      <c r="P390" s="25">
        <f t="shared" si="266"/>
        <v>28145.244538569641</v>
      </c>
      <c r="Q390" s="25">
        <f t="array" aca="1" ref="Q390" ca="1">INDEX('Isaac 401k'!L:L,MATCH('Retirement Calculator'!A390,'Isaac 401k'!N:N,0),0)</f>
        <v>1004912.0034321647</v>
      </c>
      <c r="R390" s="25">
        <f t="array" aca="1" ref="R390" ca="1">INDEX('Lorri 401b'!L:L,MATCH('Retirement Calculator'!A390,'Lorri 401b'!N:N,0),0)</f>
        <v>2615468.3798558074</v>
      </c>
      <c r="S390" s="25">
        <f t="shared" ca="1" si="267"/>
        <v>3620380.3832879718</v>
      </c>
    </row>
    <row r="391" spans="1:19" ht="15.75" customHeight="1" x14ac:dyDescent="0.3">
      <c r="A391" s="37">
        <v>62855</v>
      </c>
      <c r="B391" s="409">
        <f t="shared" ref="B391:C391" si="392">($A391-B$9)/365.25</f>
        <v>90.209445585215605</v>
      </c>
      <c r="C391" s="409">
        <f t="shared" si="392"/>
        <v>85.598904859685149</v>
      </c>
      <c r="E391" s="25">
        <f>IF(C391&gt;$B$7,0,'Combined Retirement'!$D$13/12)</f>
        <v>0</v>
      </c>
      <c r="F391" s="25">
        <f>IF(H391=0,'Combined Retirement'!$D$32,0)+'Combined Retirement'!$B$24</f>
        <v>2870.372285649099</v>
      </c>
      <c r="G391" s="25">
        <f>'Combined Retirement'!$C$24</f>
        <v>3525.4531757812501</v>
      </c>
      <c r="H391" s="25">
        <f>IF(B391&lt;62,0,'Combined Retirement'!$I$14)</f>
        <v>2192</v>
      </c>
      <c r="I391" s="25">
        <f>IF(C391&lt;62,0,'Combined Retirement'!$I$13)</f>
        <v>2420</v>
      </c>
      <c r="J391" s="25">
        <f t="shared" si="263"/>
        <v>7863.2184191855868</v>
      </c>
      <c r="K391" s="25">
        <f t="shared" si="264"/>
        <v>20282.026119384056</v>
      </c>
      <c r="L391" s="25"/>
      <c r="N391" s="25">
        <f>'Combined Retirement'!$C$18/12</f>
        <v>39153.069999999992</v>
      </c>
      <c r="O391" s="25">
        <f t="shared" si="265"/>
        <v>11007.82546143035</v>
      </c>
      <c r="P391" s="25">
        <f t="shared" si="266"/>
        <v>28145.244538569641</v>
      </c>
      <c r="Q391" s="25">
        <f t="array" aca="1" ref="Q391" ca="1">INDEX('Isaac 401k'!L:L,MATCH('Retirement Calculator'!A391,'Isaac 401k'!N:N,0),0)</f>
        <v>1001203.1549505332</v>
      </c>
      <c r="R391" s="25">
        <f t="array" aca="1" ref="R391" ca="1">INDEX('Lorri 401b'!L:L,MATCH('Retirement Calculator'!A391,'Lorri 401b'!N:N,0),0)</f>
        <v>2605999.6302103251</v>
      </c>
      <c r="S391" s="25">
        <f t="shared" ca="1" si="267"/>
        <v>3607202.7851608582</v>
      </c>
    </row>
    <row r="392" spans="1:19" ht="15.75" customHeight="1" x14ac:dyDescent="0.3">
      <c r="A392" s="37">
        <v>62884</v>
      </c>
      <c r="B392" s="409">
        <f t="shared" ref="B392:C392" si="393">($A392-B$9)/365.25</f>
        <v>90.288843258042434</v>
      </c>
      <c r="C392" s="409">
        <f t="shared" si="393"/>
        <v>85.678302532511978</v>
      </c>
      <c r="E392" s="25">
        <f>IF(C392&gt;$B$7,0,'Combined Retirement'!$D$13/12)</f>
        <v>0</v>
      </c>
      <c r="F392" s="25">
        <f>IF(H392=0,'Combined Retirement'!$D$32,0)+'Combined Retirement'!$B$24</f>
        <v>2870.372285649099</v>
      </c>
      <c r="G392" s="25">
        <f>'Combined Retirement'!$C$24</f>
        <v>3525.4531757812501</v>
      </c>
      <c r="H392" s="25">
        <f>IF(B392&lt;62,0,'Combined Retirement'!$I$14)</f>
        <v>2192</v>
      </c>
      <c r="I392" s="25">
        <f>IF(C392&lt;62,0,'Combined Retirement'!$I$13)</f>
        <v>2420</v>
      </c>
      <c r="J392" s="25">
        <f t="shared" si="263"/>
        <v>7863.2184191855868</v>
      </c>
      <c r="K392" s="25">
        <f t="shared" si="264"/>
        <v>20282.026119384056</v>
      </c>
      <c r="L392" s="25"/>
      <c r="N392" s="25">
        <f>'Combined Retirement'!$C$18/12</f>
        <v>39153.069999999992</v>
      </c>
      <c r="O392" s="25">
        <f t="shared" si="265"/>
        <v>11007.82546143035</v>
      </c>
      <c r="P392" s="25">
        <f t="shared" si="266"/>
        <v>28145.244538569641</v>
      </c>
      <c r="Q392" s="25">
        <f t="array" aca="1" ref="Q392" ca="1">INDEX('Isaac 401k'!L:L,MATCH('Retirement Calculator'!A392,'Isaac 401k'!N:N,0),0)</f>
        <v>997478.85293356155</v>
      </c>
      <c r="R392" s="25">
        <f t="array" aca="1" ref="R392" ca="1">INDEX('Lorri 401b'!L:L,MATCH('Retirement Calculator'!A392,'Lorri 401b'!N:N,0),0)</f>
        <v>2596491.4274413199</v>
      </c>
      <c r="S392" s="25">
        <f t="shared" ca="1" si="267"/>
        <v>3593970.2803748813</v>
      </c>
    </row>
    <row r="393" spans="1:19" ht="15.75" customHeight="1" x14ac:dyDescent="0.3">
      <c r="A393" s="37">
        <v>62915</v>
      </c>
      <c r="B393" s="409">
        <f t="shared" ref="B393:C393" si="394">($A393-B$9)/365.25</f>
        <v>90.373716632443532</v>
      </c>
      <c r="C393" s="409">
        <f t="shared" si="394"/>
        <v>85.763175906913077</v>
      </c>
      <c r="E393" s="25">
        <f>IF(C393&gt;$B$7,0,'Combined Retirement'!$D$13/12)</f>
        <v>0</v>
      </c>
      <c r="F393" s="25">
        <f>IF(H393=0,'Combined Retirement'!$D$32,0)+'Combined Retirement'!$B$24</f>
        <v>2870.372285649099</v>
      </c>
      <c r="G393" s="25">
        <f>'Combined Retirement'!$C$24</f>
        <v>3525.4531757812501</v>
      </c>
      <c r="H393" s="25">
        <f>IF(B393&lt;62,0,'Combined Retirement'!$I$14)</f>
        <v>2192</v>
      </c>
      <c r="I393" s="25">
        <f>IF(C393&lt;62,0,'Combined Retirement'!$I$13)</f>
        <v>2420</v>
      </c>
      <c r="J393" s="25">
        <f t="shared" si="263"/>
        <v>7863.2184191855868</v>
      </c>
      <c r="K393" s="25">
        <f t="shared" si="264"/>
        <v>20282.026119384056</v>
      </c>
      <c r="L393" s="25"/>
      <c r="N393" s="25">
        <f>'Combined Retirement'!$C$18/12</f>
        <v>39153.069999999992</v>
      </c>
      <c r="O393" s="25">
        <f t="shared" si="265"/>
        <v>11007.82546143035</v>
      </c>
      <c r="P393" s="25">
        <f t="shared" si="266"/>
        <v>28145.244538569641</v>
      </c>
      <c r="Q393" s="25">
        <f t="array" aca="1" ref="Q393" ca="1">INDEX('Isaac 401k'!L:L,MATCH('Retirement Calculator'!A393,'Isaac 401k'!N:N,0),0)</f>
        <v>993739.0329915192</v>
      </c>
      <c r="R393" s="25">
        <f t="array" aca="1" ref="R393" ca="1">INDEX('Lorri 401b'!L:L,MATCH('Retirement Calculator'!A393,'Lorri 401b'!N:N,0),0)</f>
        <v>2586943.6071607773</v>
      </c>
      <c r="S393" s="25">
        <f t="shared" ca="1" si="267"/>
        <v>3580682.6401522965</v>
      </c>
    </row>
    <row r="394" spans="1:19" ht="15.75" customHeight="1" x14ac:dyDescent="0.3">
      <c r="A394" s="37">
        <v>62945</v>
      </c>
      <c r="B394" s="409">
        <f t="shared" ref="B394:C394" si="395">($A394-B$9)/365.25</f>
        <v>90.455852156057489</v>
      </c>
      <c r="C394" s="409">
        <f t="shared" si="395"/>
        <v>85.845311430527033</v>
      </c>
      <c r="E394" s="25">
        <f>IF(C394&gt;$B$7,0,'Combined Retirement'!$D$13/12)</f>
        <v>0</v>
      </c>
      <c r="F394" s="25">
        <f>IF(H394=0,'Combined Retirement'!$D$32,0)+'Combined Retirement'!$B$24</f>
        <v>2870.372285649099</v>
      </c>
      <c r="G394" s="25">
        <f>'Combined Retirement'!$C$24</f>
        <v>3525.4531757812501</v>
      </c>
      <c r="H394" s="25">
        <f>IF(B394&lt;62,0,'Combined Retirement'!$I$14)</f>
        <v>2192</v>
      </c>
      <c r="I394" s="25">
        <f>IF(C394&lt;62,0,'Combined Retirement'!$I$13)</f>
        <v>2420</v>
      </c>
      <c r="J394" s="25">
        <f t="shared" si="263"/>
        <v>7863.2184191855868</v>
      </c>
      <c r="K394" s="25">
        <f t="shared" si="264"/>
        <v>20282.026119384056</v>
      </c>
      <c r="L394" s="25"/>
      <c r="N394" s="25">
        <f>'Combined Retirement'!$C$18/12</f>
        <v>39153.069999999992</v>
      </c>
      <c r="O394" s="25">
        <f t="shared" si="265"/>
        <v>11007.82546143035</v>
      </c>
      <c r="P394" s="25">
        <f t="shared" si="266"/>
        <v>28145.244538569641</v>
      </c>
      <c r="Q394" s="25">
        <f t="array" aca="1" ref="Q394" ca="1">INDEX('Isaac 401k'!L:L,MATCH('Retirement Calculator'!A394,'Isaac 401k'!N:N,0),0)</f>
        <v>989983.63046638493</v>
      </c>
      <c r="R394" s="25">
        <f t="array" aca="1" ref="R394" ca="1">INDEX('Lorri 401b'!L:L,MATCH('Retirement Calculator'!A394,'Lorri 401b'!N:N,0),0)</f>
        <v>2577356.0042957324</v>
      </c>
      <c r="S394" s="25">
        <f t="shared" ca="1" si="267"/>
        <v>3567339.6347621172</v>
      </c>
    </row>
    <row r="395" spans="1:19" ht="15.75" customHeight="1" x14ac:dyDescent="0.3">
      <c r="A395" s="37">
        <v>62976</v>
      </c>
      <c r="B395" s="409">
        <f t="shared" ref="B395:C395" si="396">($A395-B$9)/365.25</f>
        <v>90.540725530458587</v>
      </c>
      <c r="C395" s="409">
        <f t="shared" si="396"/>
        <v>85.930184804928132</v>
      </c>
      <c r="E395" s="25">
        <f>IF(C395&gt;$B$7,0,'Combined Retirement'!$D$13/12)</f>
        <v>0</v>
      </c>
      <c r="F395" s="25">
        <f>IF(H395=0,'Combined Retirement'!$D$32,0)+'Combined Retirement'!$B$24</f>
        <v>2870.372285649099</v>
      </c>
      <c r="G395" s="25">
        <f>'Combined Retirement'!$C$24</f>
        <v>3525.4531757812501</v>
      </c>
      <c r="H395" s="25">
        <f>IF(B395&lt;62,0,'Combined Retirement'!$I$14)</f>
        <v>2192</v>
      </c>
      <c r="I395" s="25">
        <f>IF(C395&lt;62,0,'Combined Retirement'!$I$13)</f>
        <v>2420</v>
      </c>
      <c r="J395" s="25">
        <f t="shared" si="263"/>
        <v>7863.2184191855868</v>
      </c>
      <c r="K395" s="25">
        <f t="shared" si="264"/>
        <v>20282.026119384056</v>
      </c>
      <c r="L395" s="25"/>
      <c r="N395" s="25">
        <f>'Combined Retirement'!$C$18/12</f>
        <v>39153.069999999992</v>
      </c>
      <c r="O395" s="25">
        <f t="shared" si="265"/>
        <v>11007.82546143035</v>
      </c>
      <c r="P395" s="25">
        <f t="shared" si="266"/>
        <v>28145.244538569641</v>
      </c>
      <c r="Q395" s="25">
        <f t="array" aca="1" ref="Q395" ca="1">INDEX('Isaac 401k'!L:L,MATCH('Retirement Calculator'!A395,'Isaac 401k'!N:N,0),0)</f>
        <v>986212.58043072931</v>
      </c>
      <c r="R395" s="25">
        <f t="array" aca="1" ref="R395" ca="1">INDEX('Lorri 401b'!L:L,MATCH('Retirement Calculator'!A395,'Lorri 401b'!N:N,0),0)</f>
        <v>2567728.4530854165</v>
      </c>
      <c r="S395" s="25">
        <f t="shared" ca="1" si="267"/>
        <v>3553941.0335161458</v>
      </c>
    </row>
    <row r="396" spans="1:19" ht="15.75" customHeight="1" x14ac:dyDescent="0.3">
      <c r="A396" s="37">
        <v>63006</v>
      </c>
      <c r="B396" s="409">
        <f t="shared" ref="B396:C396" si="397">($A396-B$9)/365.25</f>
        <v>90.622861054072558</v>
      </c>
      <c r="C396" s="409">
        <f t="shared" si="397"/>
        <v>86.012320328542089</v>
      </c>
      <c r="E396" s="25">
        <f>IF(C396&gt;$B$7,0,'Combined Retirement'!$D$13/12)</f>
        <v>0</v>
      </c>
      <c r="F396" s="25">
        <f>IF(H396=0,'Combined Retirement'!$D$32,0)+'Combined Retirement'!$B$24</f>
        <v>2870.372285649099</v>
      </c>
      <c r="G396" s="25">
        <f>'Combined Retirement'!$C$24</f>
        <v>3525.4531757812501</v>
      </c>
      <c r="H396" s="25">
        <f>IF(B396&lt;62,0,'Combined Retirement'!$I$14)</f>
        <v>2192</v>
      </c>
      <c r="I396" s="25">
        <f>IF(C396&lt;62,0,'Combined Retirement'!$I$13)</f>
        <v>2420</v>
      </c>
      <c r="J396" s="25">
        <f t="shared" si="263"/>
        <v>7863.2184191855868</v>
      </c>
      <c r="K396" s="25">
        <f t="shared" si="264"/>
        <v>20282.026119384056</v>
      </c>
      <c r="L396" s="25"/>
      <c r="N396" s="25">
        <f>'Combined Retirement'!$C$18/12</f>
        <v>39153.069999999992</v>
      </c>
      <c r="O396" s="25">
        <f t="shared" si="265"/>
        <v>11007.82546143035</v>
      </c>
      <c r="P396" s="25">
        <f t="shared" si="266"/>
        <v>28145.244538569641</v>
      </c>
      <c r="Q396" s="25">
        <f t="array" aca="1" ref="Q396" ca="1">INDEX('Isaac 401k'!L:L,MATCH('Retirement Calculator'!A396,'Isaac 401k'!N:N,0),0)</f>
        <v>982425.81768659176</v>
      </c>
      <c r="R396" s="25">
        <f t="array" aca="1" ref="R396" ca="1">INDEX('Lorri 401b'!L:L,MATCH('Retirement Calculator'!A396,'Lorri 401b'!N:N,0),0)</f>
        <v>2558060.7870783908</v>
      </c>
      <c r="S396" s="25">
        <f t="shared" ca="1" si="267"/>
        <v>3540486.6047649826</v>
      </c>
    </row>
    <row r="397" spans="1:19" ht="15.75" customHeight="1" x14ac:dyDescent="0.3">
      <c r="A397" s="37">
        <v>63037</v>
      </c>
      <c r="B397" s="409">
        <f t="shared" ref="B397:C397" si="398">($A397-B$9)/365.25</f>
        <v>90.707734428473643</v>
      </c>
      <c r="C397" s="409">
        <f t="shared" si="398"/>
        <v>86.097193702943187</v>
      </c>
      <c r="E397" s="25">
        <f>IF(C397&gt;$B$7,0,'Combined Retirement'!$D$13/12)</f>
        <v>0</v>
      </c>
      <c r="F397" s="25">
        <f>IF(H397=0,'Combined Retirement'!$D$32,0)+'Combined Retirement'!$B$24</f>
        <v>2870.372285649099</v>
      </c>
      <c r="G397" s="25">
        <f>'Combined Retirement'!$C$24</f>
        <v>3525.4531757812501</v>
      </c>
      <c r="H397" s="25">
        <f>IF(B397&lt;62,0,'Combined Retirement'!$I$14)</f>
        <v>2192</v>
      </c>
      <c r="I397" s="25">
        <f>IF(C397&lt;62,0,'Combined Retirement'!$I$13)</f>
        <v>2420</v>
      </c>
      <c r="J397" s="25">
        <f t="shared" si="263"/>
        <v>7863.2184191855868</v>
      </c>
      <c r="K397" s="25">
        <f t="shared" si="264"/>
        <v>20282.026119384056</v>
      </c>
      <c r="L397" s="25"/>
      <c r="N397" s="25">
        <f>'Combined Retirement'!$C$18/12</f>
        <v>39153.069999999992</v>
      </c>
      <c r="O397" s="25">
        <f t="shared" si="265"/>
        <v>11007.82546143035</v>
      </c>
      <c r="P397" s="25">
        <f t="shared" si="266"/>
        <v>28145.244538569641</v>
      </c>
      <c r="Q397" s="25">
        <f t="array" aca="1" ref="Q397" ca="1">INDEX('Isaac 401k'!L:L,MATCH('Retirement Calculator'!A397,'Isaac 401k'!N:N,0),0)</f>
        <v>978623.27676435374</v>
      </c>
      <c r="R397" s="25">
        <f t="array" aca="1" ref="R397" ca="1">INDEX('Lorri 401b'!L:L,MATCH('Retirement Calculator'!A397,'Lorri 401b'!N:N,0),0)</f>
        <v>2548352.8391296696</v>
      </c>
      <c r="S397" s="25">
        <f t="shared" ca="1" si="267"/>
        <v>3526976.1158940233</v>
      </c>
    </row>
    <row r="398" spans="1:19" ht="15.75" customHeight="1" x14ac:dyDescent="0.3">
      <c r="A398" s="37">
        <v>63068</v>
      </c>
      <c r="B398" s="409">
        <f t="shared" ref="B398:C398" si="399">($A398-B$9)/365.25</f>
        <v>90.792607802874741</v>
      </c>
      <c r="C398" s="409">
        <f t="shared" si="399"/>
        <v>86.182067077344286</v>
      </c>
      <c r="E398" s="25">
        <f>IF(C398&gt;$B$7,0,'Combined Retirement'!$D$13/12)</f>
        <v>0</v>
      </c>
      <c r="F398" s="25">
        <f>IF(H398=0,'Combined Retirement'!$D$32,0)+'Combined Retirement'!$B$24</f>
        <v>2870.372285649099</v>
      </c>
      <c r="G398" s="25">
        <f>'Combined Retirement'!$C$24</f>
        <v>3525.4531757812501</v>
      </c>
      <c r="H398" s="25">
        <f>IF(B398&lt;62,0,'Combined Retirement'!$I$14)</f>
        <v>2192</v>
      </c>
      <c r="I398" s="25">
        <f>IF(C398&lt;62,0,'Combined Retirement'!$I$13)</f>
        <v>2420</v>
      </c>
      <c r="J398" s="25">
        <f t="shared" si="263"/>
        <v>7863.2184191855868</v>
      </c>
      <c r="K398" s="25">
        <f t="shared" si="264"/>
        <v>20282.026119384056</v>
      </c>
      <c r="L398" s="25"/>
      <c r="N398" s="25">
        <f>'Combined Retirement'!$C$18/12</f>
        <v>39153.069999999992</v>
      </c>
      <c r="O398" s="25">
        <f t="shared" si="265"/>
        <v>11007.82546143035</v>
      </c>
      <c r="P398" s="25">
        <f t="shared" si="266"/>
        <v>28145.244538569641</v>
      </c>
      <c r="Q398" s="25">
        <f t="array" aca="1" ref="Q398" ca="1">INDEX('Isaac 401k'!L:L,MATCH('Retirement Calculator'!A398,'Isaac 401k'!N:N,0),0)</f>
        <v>974804.89192160638</v>
      </c>
      <c r="R398" s="25">
        <f t="array" aca="1" ref="R398" ca="1">INDEX('Lorri 401b'!L:L,MATCH('Retirement Calculator'!A398,'Lorri 401b'!N:N,0),0)</f>
        <v>2538604.4413978285</v>
      </c>
      <c r="S398" s="25">
        <f t="shared" ca="1" si="267"/>
        <v>3513409.3333194349</v>
      </c>
    </row>
    <row r="399" spans="1:19" ht="15.75" customHeight="1" x14ac:dyDescent="0.3">
      <c r="A399" s="37">
        <v>63098</v>
      </c>
      <c r="B399" s="409">
        <f t="shared" ref="B399:C399" si="400">($A399-B$9)/365.25</f>
        <v>90.874743326488712</v>
      </c>
      <c r="C399" s="409">
        <f t="shared" si="400"/>
        <v>86.264202600958242</v>
      </c>
      <c r="E399" s="25">
        <f>IF(C399&gt;$B$7,0,'Combined Retirement'!$D$13/12)</f>
        <v>0</v>
      </c>
      <c r="F399" s="25">
        <f>IF(H399=0,'Combined Retirement'!$D$32,0)+'Combined Retirement'!$B$24</f>
        <v>2870.372285649099</v>
      </c>
      <c r="G399" s="25">
        <f>'Combined Retirement'!$C$24</f>
        <v>3525.4531757812501</v>
      </c>
      <c r="H399" s="25">
        <f>IF(B399&lt;62,0,'Combined Retirement'!$I$14)</f>
        <v>2192</v>
      </c>
      <c r="I399" s="25">
        <f>IF(C399&lt;62,0,'Combined Retirement'!$I$13)</f>
        <v>2420</v>
      </c>
      <c r="J399" s="25">
        <f t="shared" si="263"/>
        <v>7863.2184191855868</v>
      </c>
      <c r="K399" s="25">
        <f t="shared" si="264"/>
        <v>20282.026119384056</v>
      </c>
      <c r="L399" s="25"/>
      <c r="N399" s="25">
        <f>'Combined Retirement'!$C$18/12</f>
        <v>39153.069999999992</v>
      </c>
      <c r="O399" s="25">
        <f t="shared" si="265"/>
        <v>11007.82546143035</v>
      </c>
      <c r="P399" s="25">
        <f t="shared" si="266"/>
        <v>28145.244538569641</v>
      </c>
      <c r="Q399" s="25">
        <f t="array" aca="1" ref="Q399" ca="1">INDEX('Isaac 401k'!L:L,MATCH('Retirement Calculator'!A399,'Isaac 401k'!N:N,0),0)</f>
        <v>970970.59714201419</v>
      </c>
      <c r="R399" s="25">
        <f t="array" aca="1" ref="R399" ca="1">INDEX('Lorri 401b'!L:L,MATCH('Retirement Calculator'!A399,'Lorri 401b'!N:N,0),0)</f>
        <v>2528815.4253421049</v>
      </c>
      <c r="S399" s="25">
        <f t="shared" ca="1" si="267"/>
        <v>3499786.0224841191</v>
      </c>
    </row>
    <row r="400" spans="1:19" ht="15.75" customHeight="1" x14ac:dyDescent="0.3">
      <c r="A400" s="37">
        <v>63129</v>
      </c>
      <c r="B400" s="409">
        <f t="shared" ref="B400:C400" si="401">($A400-B$9)/365.25</f>
        <v>90.959616700889796</v>
      </c>
      <c r="C400" s="409">
        <f t="shared" si="401"/>
        <v>86.349075975359341</v>
      </c>
      <c r="E400" s="25">
        <f>IF(C400&gt;$B$7,0,'Combined Retirement'!$D$13/12)</f>
        <v>0</v>
      </c>
      <c r="F400" s="25">
        <f>IF(H400=0,'Combined Retirement'!$D$32,0)+'Combined Retirement'!$B$24</f>
        <v>2870.372285649099</v>
      </c>
      <c r="G400" s="25">
        <f>'Combined Retirement'!$C$24</f>
        <v>3525.4531757812501</v>
      </c>
      <c r="H400" s="25">
        <f>IF(B400&lt;62,0,'Combined Retirement'!$I$14)</f>
        <v>2192</v>
      </c>
      <c r="I400" s="25">
        <f>IF(C400&lt;62,0,'Combined Retirement'!$I$13)</f>
        <v>2420</v>
      </c>
      <c r="J400" s="25">
        <f t="shared" si="263"/>
        <v>7863.2184191855868</v>
      </c>
      <c r="K400" s="25">
        <f t="shared" si="264"/>
        <v>20282.026119384056</v>
      </c>
      <c r="L400" s="25"/>
      <c r="N400" s="25">
        <f>'Combined Retirement'!$C$18/12</f>
        <v>39153.069999999992</v>
      </c>
      <c r="O400" s="25">
        <f t="shared" si="265"/>
        <v>11007.82546143035</v>
      </c>
      <c r="P400" s="25">
        <f t="shared" si="266"/>
        <v>28145.244538569641</v>
      </c>
      <c r="Q400" s="25">
        <f t="array" aca="1" ref="Q400" ca="1">INDEX('Isaac 401k'!L:L,MATCH('Retirement Calculator'!A400,'Isaac 401k'!N:N,0),0)</f>
        <v>967120.32613417367</v>
      </c>
      <c r="R400" s="25">
        <f t="array" aca="1" ref="R400" ca="1">INDEX('Lorri 401b'!L:L,MATCH('Retirement Calculator'!A400,'Lorri 401b'!N:N,0),0)</f>
        <v>2518985.6217194824</v>
      </c>
      <c r="S400" s="25">
        <f t="shared" ca="1" si="267"/>
        <v>3486105.947853656</v>
      </c>
    </row>
    <row r="401" spans="1:19" ht="15.75" customHeight="1" x14ac:dyDescent="0.3">
      <c r="A401" s="37">
        <v>63159</v>
      </c>
      <c r="B401" s="409">
        <f t="shared" ref="B401:C401" si="402">($A401-B$9)/365.25</f>
        <v>91.041752224503767</v>
      </c>
      <c r="C401" s="409">
        <f t="shared" si="402"/>
        <v>86.431211498973312</v>
      </c>
      <c r="E401" s="25">
        <f>IF(C401&gt;$B$7,0,'Combined Retirement'!$D$13/12)</f>
        <v>0</v>
      </c>
      <c r="F401" s="25">
        <f>IF(H401=0,'Combined Retirement'!$D$32,0)+'Combined Retirement'!$B$24</f>
        <v>2870.372285649099</v>
      </c>
      <c r="G401" s="25">
        <f>'Combined Retirement'!$C$24</f>
        <v>3525.4531757812501</v>
      </c>
      <c r="H401" s="25">
        <f>IF(B401&lt;62,0,'Combined Retirement'!$I$14)</f>
        <v>2192</v>
      </c>
      <c r="I401" s="25">
        <f>IF(C401&lt;62,0,'Combined Retirement'!$I$13)</f>
        <v>2420</v>
      </c>
      <c r="J401" s="25">
        <f t="shared" si="263"/>
        <v>7863.2184191855868</v>
      </c>
      <c r="K401" s="25">
        <f t="shared" si="264"/>
        <v>20282.026119384056</v>
      </c>
      <c r="L401" s="25"/>
      <c r="N401" s="25">
        <f>'Combined Retirement'!$C$18/12</f>
        <v>39153.069999999992</v>
      </c>
      <c r="O401" s="25">
        <f t="shared" si="265"/>
        <v>11007.82546143035</v>
      </c>
      <c r="P401" s="25">
        <f t="shared" si="266"/>
        <v>28145.244538569641</v>
      </c>
      <c r="Q401" s="25">
        <f t="array" aca="1" ref="Q401" ca="1">INDEX('Isaac 401k'!L:L,MATCH('Retirement Calculator'!A401,'Isaac 401k'!N:N,0),0)</f>
        <v>963254.01233046723</v>
      </c>
      <c r="R401" s="25">
        <f t="array" aca="1" ref="R401" ca="1">INDEX('Lorri 401b'!L:L,MATCH('Retirement Calculator'!A401,'Lorri 401b'!N:N,0),0)</f>
        <v>2509114.8605817654</v>
      </c>
      <c r="S401" s="25">
        <f t="shared" ca="1" si="267"/>
        <v>3472368.8729122328</v>
      </c>
    </row>
    <row r="402" spans="1:19" ht="15.75" customHeight="1" x14ac:dyDescent="0.3">
      <c r="A402" s="37">
        <v>63190</v>
      </c>
      <c r="B402" s="409">
        <f t="shared" ref="B402:C402" si="403">($A402-B$9)/365.25</f>
        <v>91.126625598904866</v>
      </c>
      <c r="C402" s="409">
        <f t="shared" si="403"/>
        <v>86.516084873374396</v>
      </c>
      <c r="E402" s="25">
        <f>IF(C402&gt;$B$7,0,'Combined Retirement'!$D$13/12)</f>
        <v>0</v>
      </c>
      <c r="F402" s="25">
        <f>IF(H402=0,'Combined Retirement'!$D$32,0)+'Combined Retirement'!$B$24</f>
        <v>2870.372285649099</v>
      </c>
      <c r="G402" s="25">
        <f>'Combined Retirement'!$C$24</f>
        <v>3525.4531757812501</v>
      </c>
      <c r="H402" s="25">
        <f>IF(B402&lt;62,0,'Combined Retirement'!$I$14)</f>
        <v>2192</v>
      </c>
      <c r="I402" s="25">
        <f>IF(C402&lt;62,0,'Combined Retirement'!$I$13)</f>
        <v>2420</v>
      </c>
      <c r="J402" s="25">
        <f t="shared" si="263"/>
        <v>7863.2184191855868</v>
      </c>
      <c r="K402" s="25">
        <f t="shared" si="264"/>
        <v>20282.026119384056</v>
      </c>
      <c r="L402" s="25"/>
      <c r="N402" s="25">
        <f>'Combined Retirement'!$C$18/12</f>
        <v>39153.069999999992</v>
      </c>
      <c r="O402" s="25">
        <f t="shared" si="265"/>
        <v>11007.82546143035</v>
      </c>
      <c r="P402" s="25">
        <f t="shared" si="266"/>
        <v>28145.244538569641</v>
      </c>
      <c r="Q402" s="25">
        <f t="array" aca="1" ref="Q402" ca="1">INDEX('Isaac 401k'!L:L,MATCH('Retirement Calculator'!A402,'Isaac 401k'!N:N,0),0)</f>
        <v>959371.58888591197</v>
      </c>
      <c r="R402" s="25">
        <f t="array" aca="1" ref="R402" ca="1">INDEX('Lorri 401b'!L:L,MATCH('Retirement Calculator'!A402,'Lorri 401b'!N:N,0),0)</f>
        <v>2499202.9712726413</v>
      </c>
      <c r="S402" s="25">
        <f t="shared" ca="1" si="267"/>
        <v>3458574.5601585535</v>
      </c>
    </row>
    <row r="403" spans="1:19" ht="15.75" customHeight="1" x14ac:dyDescent="0.3">
      <c r="A403" s="37">
        <v>63221</v>
      </c>
      <c r="B403" s="409">
        <f t="shared" ref="B403:C403" si="404">($A403-B$9)/365.25</f>
        <v>91.21149897330595</v>
      </c>
      <c r="C403" s="409">
        <f t="shared" si="404"/>
        <v>86.600958247775495</v>
      </c>
      <c r="E403" s="25">
        <f>IF(C403&gt;$B$7,0,'Combined Retirement'!$D$13/12)</f>
        <v>0</v>
      </c>
      <c r="F403" s="25">
        <f>IF(H403=0,'Combined Retirement'!$D$32,0)+'Combined Retirement'!$B$24</f>
        <v>2870.372285649099</v>
      </c>
      <c r="G403" s="25">
        <f>'Combined Retirement'!$C$24</f>
        <v>3525.4531757812501</v>
      </c>
      <c r="H403" s="25">
        <f>IF(B403&lt;62,0,'Combined Retirement'!$I$14)</f>
        <v>2192</v>
      </c>
      <c r="I403" s="25">
        <f>IF(C403&lt;62,0,'Combined Retirement'!$I$13)</f>
        <v>2420</v>
      </c>
      <c r="J403" s="25">
        <f t="shared" si="263"/>
        <v>7863.2184191855868</v>
      </c>
      <c r="K403" s="25">
        <f t="shared" si="264"/>
        <v>20282.026119384056</v>
      </c>
      <c r="L403" s="25"/>
      <c r="N403" s="25">
        <f>'Combined Retirement'!$C$18/12</f>
        <v>39153.069999999992</v>
      </c>
      <c r="O403" s="25">
        <f t="shared" si="265"/>
        <v>11007.82546143035</v>
      </c>
      <c r="P403" s="25">
        <f t="shared" si="266"/>
        <v>28145.244538569641</v>
      </c>
      <c r="Q403" s="25">
        <f t="array" aca="1" ref="Q403" ca="1">INDEX('Isaac 401k'!L:L,MATCH('Retirement Calculator'!A403,'Isaac 401k'!N:N,0),0)</f>
        <v>955472.98867700435</v>
      </c>
      <c r="R403" s="25">
        <f t="array" aca="1" ref="R403" ca="1">INDEX('Lorri 401b'!L:L,MATCH('Retirement Calculator'!A403,'Lorri 401b'!N:N,0),0)</f>
        <v>2489249.7824247293</v>
      </c>
      <c r="S403" s="25">
        <f t="shared" ca="1" si="267"/>
        <v>3444722.7711017337</v>
      </c>
    </row>
    <row r="404" spans="1:19" ht="15.75" customHeight="1" x14ac:dyDescent="0.3">
      <c r="A404" s="37">
        <v>63249</v>
      </c>
      <c r="B404" s="409">
        <f t="shared" ref="B404:C404" si="405">($A404-B$9)/365.25</f>
        <v>91.288158795345652</v>
      </c>
      <c r="C404" s="409">
        <f t="shared" si="405"/>
        <v>86.677618069815196</v>
      </c>
      <c r="E404" s="25">
        <f>IF(C404&gt;$B$7,0,'Combined Retirement'!$D$13/12)</f>
        <v>0</v>
      </c>
      <c r="F404" s="25">
        <f>IF(H404=0,'Combined Retirement'!$D$32,0)+'Combined Retirement'!$B$24</f>
        <v>2870.372285649099</v>
      </c>
      <c r="G404" s="25">
        <f>'Combined Retirement'!$C$24</f>
        <v>3525.4531757812501</v>
      </c>
      <c r="H404" s="25">
        <f>IF(B404&lt;62,0,'Combined Retirement'!$I$14)</f>
        <v>2192</v>
      </c>
      <c r="I404" s="25">
        <f>IF(C404&lt;62,0,'Combined Retirement'!$I$13)</f>
        <v>2420</v>
      </c>
      <c r="J404" s="25">
        <f t="shared" si="263"/>
        <v>7863.2184191855868</v>
      </c>
      <c r="K404" s="25">
        <f t="shared" si="264"/>
        <v>20282.026119384056</v>
      </c>
      <c r="L404" s="25"/>
      <c r="N404" s="25">
        <f>'Combined Retirement'!$C$18/12</f>
        <v>39153.069999999992</v>
      </c>
      <c r="O404" s="25">
        <f t="shared" si="265"/>
        <v>11007.82546143035</v>
      </c>
      <c r="P404" s="25">
        <f t="shared" si="266"/>
        <v>28145.244538569641</v>
      </c>
      <c r="Q404" s="25">
        <f t="array" aca="1" ref="Q404" ca="1">INDEX('Isaac 401k'!L:L,MATCH('Retirement Calculator'!A404,'Isaac 401k'!N:N,0),0)</f>
        <v>951558.14430055965</v>
      </c>
      <c r="R404" s="25">
        <f t="array" aca="1" ref="R404" ca="1">INDEX('Lorri 401b'!L:L,MATCH('Retirement Calculator'!A404,'Lorri 401b'!N:N,0),0)</f>
        <v>2479255.1219566176</v>
      </c>
      <c r="S404" s="25">
        <f t="shared" ca="1" si="267"/>
        <v>3430813.2662571771</v>
      </c>
    </row>
    <row r="405" spans="1:19" ht="15.75" customHeight="1" x14ac:dyDescent="0.3">
      <c r="A405" s="37">
        <v>63280</v>
      </c>
      <c r="B405" s="409">
        <f t="shared" ref="B405:C405" si="406">($A405-B$9)/365.25</f>
        <v>91.37303216974675</v>
      </c>
      <c r="C405" s="409">
        <f t="shared" si="406"/>
        <v>86.762491444216295</v>
      </c>
      <c r="E405" s="25">
        <f>IF(C405&gt;$B$7,0,'Combined Retirement'!$D$13/12)</f>
        <v>0</v>
      </c>
      <c r="F405" s="25">
        <f>IF(H405=0,'Combined Retirement'!$D$32,0)+'Combined Retirement'!$B$24</f>
        <v>2870.372285649099</v>
      </c>
      <c r="G405" s="25">
        <f>'Combined Retirement'!$C$24</f>
        <v>3525.4531757812501</v>
      </c>
      <c r="H405" s="25">
        <f>IF(B405&lt;62,0,'Combined Retirement'!$I$14)</f>
        <v>2192</v>
      </c>
      <c r="I405" s="25">
        <f>IF(C405&lt;62,0,'Combined Retirement'!$I$13)</f>
        <v>2420</v>
      </c>
      <c r="J405" s="25">
        <f t="shared" si="263"/>
        <v>7863.2184191855868</v>
      </c>
      <c r="K405" s="25">
        <f t="shared" si="264"/>
        <v>20282.026119384056</v>
      </c>
      <c r="L405" s="25"/>
      <c r="N405" s="25">
        <f>'Combined Retirement'!$C$18/12</f>
        <v>39153.069999999992</v>
      </c>
      <c r="O405" s="25">
        <f t="shared" si="265"/>
        <v>11007.82546143035</v>
      </c>
      <c r="P405" s="25">
        <f t="shared" si="266"/>
        <v>28145.244538569641</v>
      </c>
      <c r="Q405" s="25">
        <f t="array" aca="1" ref="Q405" ca="1">INDEX('Isaac 401k'!L:L,MATCH('Retirement Calculator'!A405,'Isaac 401k'!N:N,0),0)</f>
        <v>947626.98807254643</v>
      </c>
      <c r="R405" s="25">
        <f t="array" aca="1" ref="R405" ca="1">INDEX('Lorri 401b'!L:L,MATCH('Retirement Calculator'!A405,'Lorri 401b'!N:N,0),0)</f>
        <v>2469218.8170698886</v>
      </c>
      <c r="S405" s="25">
        <f t="shared" ca="1" si="267"/>
        <v>3416845.8051424352</v>
      </c>
    </row>
    <row r="406" spans="1:19" ht="15.75" customHeight="1" x14ac:dyDescent="0.3">
      <c r="A406" s="37">
        <v>63310</v>
      </c>
      <c r="B406" s="409">
        <f t="shared" ref="B406:C406" si="407">($A406-B$9)/365.25</f>
        <v>91.455167693360707</v>
      </c>
      <c r="C406" s="409">
        <f t="shared" si="407"/>
        <v>86.844626967830251</v>
      </c>
      <c r="E406" s="25">
        <f>IF(C406&gt;$B$7,0,'Combined Retirement'!$D$13/12)</f>
        <v>0</v>
      </c>
      <c r="F406" s="25">
        <f>IF(H406=0,'Combined Retirement'!$D$32,0)+'Combined Retirement'!$B$24</f>
        <v>2870.372285649099</v>
      </c>
      <c r="G406" s="25">
        <f>'Combined Retirement'!$C$24</f>
        <v>3525.4531757812501</v>
      </c>
      <c r="H406" s="25">
        <f>IF(B406&lt;62,0,'Combined Retirement'!$I$14)</f>
        <v>2192</v>
      </c>
      <c r="I406" s="25">
        <f>IF(C406&lt;62,0,'Combined Retirement'!$I$13)</f>
        <v>2420</v>
      </c>
      <c r="J406" s="25">
        <f t="shared" si="263"/>
        <v>7863.2184191855868</v>
      </c>
      <c r="K406" s="25">
        <f t="shared" si="264"/>
        <v>20282.026119384056</v>
      </c>
      <c r="L406" s="25"/>
      <c r="N406" s="25">
        <f>'Combined Retirement'!$C$18/12</f>
        <v>39153.069999999992</v>
      </c>
      <c r="O406" s="25">
        <f t="shared" si="265"/>
        <v>11007.82546143035</v>
      </c>
      <c r="P406" s="25">
        <f t="shared" si="266"/>
        <v>28145.244538569641</v>
      </c>
      <c r="Q406" s="25">
        <f t="array" aca="1" ref="Q406" ca="1">INDEX('Isaac 401k'!L:L,MATCH('Retirement Calculator'!A406,'Isaac 401k'!N:N,0),0)</f>
        <v>943679.45202691655</v>
      </c>
      <c r="R406" s="25">
        <f t="array" aca="1" ref="R406" ca="1">INDEX('Lorri 401b'!L:L,MATCH('Retirement Calculator'!A406,'Lorri 401b'!N:N,0),0)</f>
        <v>2459140.6942461319</v>
      </c>
      <c r="S406" s="25">
        <f t="shared" ca="1" si="267"/>
        <v>3402820.1462730486</v>
      </c>
    </row>
    <row r="407" spans="1:19" ht="15.75" customHeight="1" x14ac:dyDescent="0.3">
      <c r="A407" s="37">
        <v>63341</v>
      </c>
      <c r="B407" s="409">
        <f t="shared" ref="B407:C407" si="408">($A407-B$9)/365.25</f>
        <v>91.540041067761805</v>
      </c>
      <c r="C407" s="409">
        <f t="shared" si="408"/>
        <v>86.92950034223135</v>
      </c>
      <c r="E407" s="25">
        <f>IF(C407&gt;$B$7,0,'Combined Retirement'!$D$13/12)</f>
        <v>0</v>
      </c>
      <c r="F407" s="25">
        <f>IF(H407=0,'Combined Retirement'!$D$32,0)+'Combined Retirement'!$B$24</f>
        <v>2870.372285649099</v>
      </c>
      <c r="G407" s="25">
        <f>'Combined Retirement'!$C$24</f>
        <v>3525.4531757812501</v>
      </c>
      <c r="H407" s="25">
        <f>IF(B407&lt;62,0,'Combined Retirement'!$I$14)</f>
        <v>2192</v>
      </c>
      <c r="I407" s="25">
        <f>IF(C407&lt;62,0,'Combined Retirement'!$I$13)</f>
        <v>2420</v>
      </c>
      <c r="J407" s="25">
        <f t="shared" si="263"/>
        <v>7863.2184191855868</v>
      </c>
      <c r="K407" s="25">
        <f t="shared" si="264"/>
        <v>20282.026119384056</v>
      </c>
      <c r="L407" s="25"/>
      <c r="N407" s="25">
        <f>'Combined Retirement'!$C$18/12</f>
        <v>39153.069999999992</v>
      </c>
      <c r="O407" s="25">
        <f t="shared" si="265"/>
        <v>11007.82546143035</v>
      </c>
      <c r="P407" s="25">
        <f t="shared" si="266"/>
        <v>28145.244538569641</v>
      </c>
      <c r="Q407" s="25">
        <f t="array" aca="1" ref="Q407" ca="1">INDEX('Isaac 401k'!L:L,MATCH('Retirement Calculator'!A407,'Isaac 401k'!N:N,0),0)</f>
        <v>939715.46791442984</v>
      </c>
      <c r="R407" s="25">
        <f t="array" aca="1" ref="R407" ca="1">INDEX('Lorri 401b'!L:L,MATCH('Retirement Calculator'!A407,'Lorri 401b'!N:N,0),0)</f>
        <v>2449020.5792439426</v>
      </c>
      <c r="S407" s="25">
        <f t="shared" ca="1" si="267"/>
        <v>3388736.0471583726</v>
      </c>
    </row>
    <row r="408" spans="1:19" ht="15.75" customHeight="1" x14ac:dyDescent="0.3">
      <c r="A408" s="37">
        <v>63371</v>
      </c>
      <c r="B408" s="409">
        <f t="shared" ref="B408:C408" si="409">($A408-B$9)/365.25</f>
        <v>91.622176591375776</v>
      </c>
      <c r="C408" s="409">
        <f t="shared" si="409"/>
        <v>87.011635865845307</v>
      </c>
      <c r="E408" s="25">
        <f>IF(C408&gt;$B$7,0,'Combined Retirement'!$D$13/12)</f>
        <v>0</v>
      </c>
      <c r="F408" s="25">
        <f>IF(H408=0,'Combined Retirement'!$D$32,0)+'Combined Retirement'!$B$24</f>
        <v>2870.372285649099</v>
      </c>
      <c r="G408" s="25">
        <f>'Combined Retirement'!$C$24</f>
        <v>3525.4531757812501</v>
      </c>
      <c r="H408" s="25">
        <f>IF(B408&lt;62,0,'Combined Retirement'!$I$14)</f>
        <v>2192</v>
      </c>
      <c r="I408" s="25">
        <f>IF(C408&lt;62,0,'Combined Retirement'!$I$13)</f>
        <v>2420</v>
      </c>
      <c r="J408" s="25">
        <f t="shared" si="263"/>
        <v>7863.2184191855868</v>
      </c>
      <c r="K408" s="25">
        <f t="shared" si="264"/>
        <v>20282.026119384056</v>
      </c>
      <c r="L408" s="25"/>
      <c r="N408" s="25">
        <f>'Combined Retirement'!$C$18/12</f>
        <v>39153.069999999992</v>
      </c>
      <c r="O408" s="25">
        <f t="shared" si="265"/>
        <v>11007.82546143035</v>
      </c>
      <c r="P408" s="25">
        <f t="shared" si="266"/>
        <v>28145.244538569641</v>
      </c>
      <c r="Q408" s="25">
        <f t="array" aca="1" ref="Q408" ca="1">INDEX('Isaac 401k'!L:L,MATCH('Retirement Calculator'!A408,'Isaac 401k'!N:N,0),0)</f>
        <v>935734.96720147447</v>
      </c>
      <c r="R408" s="25">
        <f t="array" aca="1" ref="R408" ca="1">INDEX('Lorri 401b'!L:L,MATCH('Retirement Calculator'!A408,'Lorri 401b'!N:N,0),0)</f>
        <v>2438858.2970959111</v>
      </c>
      <c r="S408" s="25">
        <f t="shared" ca="1" si="267"/>
        <v>3374593.2642973857</v>
      </c>
    </row>
    <row r="409" spans="1:19" ht="15.75" customHeight="1" x14ac:dyDescent="0.3">
      <c r="A409" s="37">
        <v>63402</v>
      </c>
      <c r="B409" s="409">
        <f t="shared" ref="B409:C409" si="410">($A409-B$9)/365.25</f>
        <v>91.707049965776861</v>
      </c>
      <c r="C409" s="409">
        <f t="shared" si="410"/>
        <v>87.096509240246405</v>
      </c>
      <c r="E409" s="25">
        <f>IF(C409&gt;$B$7,0,'Combined Retirement'!$D$13/12)</f>
        <v>0</v>
      </c>
      <c r="F409" s="25">
        <f>IF(H409=0,'Combined Retirement'!$D$32,0)+'Combined Retirement'!$B$24</f>
        <v>2870.372285649099</v>
      </c>
      <c r="G409" s="25">
        <f>'Combined Retirement'!$C$24</f>
        <v>3525.4531757812501</v>
      </c>
      <c r="H409" s="25">
        <f>IF(B409&lt;62,0,'Combined Retirement'!$I$14)</f>
        <v>2192</v>
      </c>
      <c r="I409" s="25">
        <f>IF(C409&lt;62,0,'Combined Retirement'!$I$13)</f>
        <v>2420</v>
      </c>
      <c r="J409" s="25">
        <f t="shared" si="263"/>
        <v>7863.2184191855868</v>
      </c>
      <c r="K409" s="25">
        <f t="shared" si="264"/>
        <v>20282.026119384056</v>
      </c>
      <c r="L409" s="25"/>
      <c r="N409" s="25">
        <f>'Combined Retirement'!$C$18/12</f>
        <v>39153.069999999992</v>
      </c>
      <c r="O409" s="25">
        <f t="shared" si="265"/>
        <v>11007.82546143035</v>
      </c>
      <c r="P409" s="25">
        <f t="shared" si="266"/>
        <v>28145.244538569641</v>
      </c>
      <c r="Q409" s="25">
        <f t="array" aca="1" ref="Q409" ca="1">INDEX('Isaac 401k'!L:L,MATCH('Retirement Calculator'!A409,'Isaac 401k'!N:N,0),0)</f>
        <v>931737.88106888172</v>
      </c>
      <c r="R409" s="25">
        <f t="array" aca="1" ref="R409" ca="1">INDEX('Lorri 401b'!L:L,MATCH('Retirement Calculator'!A409,'Lorri 401b'!N:N,0),0)</f>
        <v>2428653.6721055959</v>
      </c>
      <c r="S409" s="25">
        <f t="shared" ca="1" si="267"/>
        <v>3360391.5531744775</v>
      </c>
    </row>
    <row r="410" spans="1:19" ht="15.75" customHeight="1" x14ac:dyDescent="0.3">
      <c r="A410" s="37">
        <v>63433</v>
      </c>
      <c r="B410" s="409">
        <f t="shared" ref="B410:C410" si="411">($A410-B$9)/365.25</f>
        <v>91.791923340177959</v>
      </c>
      <c r="C410" s="409">
        <f t="shared" si="411"/>
        <v>87.181382614647504</v>
      </c>
      <c r="E410" s="25">
        <f>IF(C410&gt;$B$7,0,'Combined Retirement'!$D$13/12)</f>
        <v>0</v>
      </c>
      <c r="F410" s="25">
        <f>IF(H410=0,'Combined Retirement'!$D$32,0)+'Combined Retirement'!$B$24</f>
        <v>2870.372285649099</v>
      </c>
      <c r="G410" s="25">
        <f>'Combined Retirement'!$C$24</f>
        <v>3525.4531757812501</v>
      </c>
      <c r="H410" s="25">
        <f>IF(B410&lt;62,0,'Combined Retirement'!$I$14)</f>
        <v>2192</v>
      </c>
      <c r="I410" s="25">
        <f>IF(C410&lt;62,0,'Combined Retirement'!$I$13)</f>
        <v>2420</v>
      </c>
      <c r="J410" s="25">
        <f t="shared" si="263"/>
        <v>7863.2184191855868</v>
      </c>
      <c r="K410" s="25">
        <f t="shared" si="264"/>
        <v>20282.026119384056</v>
      </c>
      <c r="L410" s="25"/>
      <c r="N410" s="25">
        <f>'Combined Retirement'!$C$18/12</f>
        <v>39153.069999999992</v>
      </c>
      <c r="O410" s="25">
        <f t="shared" si="265"/>
        <v>11007.82546143035</v>
      </c>
      <c r="P410" s="25">
        <f t="shared" si="266"/>
        <v>28145.244538569641</v>
      </c>
      <c r="Q410" s="25">
        <f t="array" aca="1" ref="Q410" ca="1">INDEX('Isaac 401k'!L:L,MATCH('Retirement Calculator'!A410,'Isaac 401k'!N:N,0),0)</f>
        <v>927724.14041073655</v>
      </c>
      <c r="R410" s="25">
        <f t="array" aca="1" ref="R410" ca="1">INDEX('Lorri 401b'!L:L,MATCH('Retirement Calculator'!A410,'Lorri 401b'!N:N,0),0)</f>
        <v>2418406.5278444877</v>
      </c>
      <c r="S410" s="25">
        <f t="shared" ca="1" si="267"/>
        <v>3346130.6682552244</v>
      </c>
    </row>
    <row r="411" spans="1:19" ht="15.75" customHeight="1" x14ac:dyDescent="0.3">
      <c r="A411" s="37">
        <v>63463</v>
      </c>
      <c r="B411" s="409">
        <f t="shared" ref="B411:C411" si="412">($A411-B$9)/365.25</f>
        <v>91.87405886379193</v>
      </c>
      <c r="C411" s="409">
        <f t="shared" si="412"/>
        <v>87.26351813826146</v>
      </c>
      <c r="E411" s="25">
        <f>IF(C411&gt;$B$7,0,'Combined Retirement'!$D$13/12)</f>
        <v>0</v>
      </c>
      <c r="F411" s="25">
        <f>IF(H411=0,'Combined Retirement'!$D$32,0)+'Combined Retirement'!$B$24</f>
        <v>2870.372285649099</v>
      </c>
      <c r="G411" s="25">
        <f>'Combined Retirement'!$C$24</f>
        <v>3525.4531757812501</v>
      </c>
      <c r="H411" s="25">
        <f>IF(B411&lt;62,0,'Combined Retirement'!$I$14)</f>
        <v>2192</v>
      </c>
      <c r="I411" s="25">
        <f>IF(C411&lt;62,0,'Combined Retirement'!$I$13)</f>
        <v>2420</v>
      </c>
      <c r="J411" s="25">
        <f t="shared" si="263"/>
        <v>7863.2184191855868</v>
      </c>
      <c r="K411" s="25">
        <f t="shared" si="264"/>
        <v>20282.026119384056</v>
      </c>
      <c r="L411" s="25"/>
      <c r="N411" s="25">
        <f>'Combined Retirement'!$C$18/12</f>
        <v>39153.069999999992</v>
      </c>
      <c r="O411" s="25">
        <f t="shared" si="265"/>
        <v>11007.82546143035</v>
      </c>
      <c r="P411" s="25">
        <f t="shared" si="266"/>
        <v>28145.244538569641</v>
      </c>
      <c r="Q411" s="25">
        <f t="array" aca="1" ref="Q411" ca="1">INDEX('Isaac 401k'!L:L,MATCH('Retirement Calculator'!A411,'Isaac 401k'!N:N,0),0)</f>
        <v>923693.67583318241</v>
      </c>
      <c r="R411" s="25">
        <f t="array" aca="1" ref="R411" ca="1">INDEX('Lorri 401b'!L:L,MATCH('Retirement Calculator'!A411,'Lorri 401b'!N:N,0),0)</f>
        <v>2408116.6871489584</v>
      </c>
      <c r="S411" s="25">
        <f t="shared" ca="1" si="267"/>
        <v>3331810.3629821409</v>
      </c>
    </row>
    <row r="412" spans="1:19" ht="15.75" customHeight="1" x14ac:dyDescent="0.3">
      <c r="A412" s="37">
        <v>63494</v>
      </c>
      <c r="B412" s="409">
        <f t="shared" ref="B412:C412" si="413">($A412-B$9)/365.25</f>
        <v>91.958932238193015</v>
      </c>
      <c r="C412" s="409">
        <f t="shared" si="413"/>
        <v>87.348391512662559</v>
      </c>
      <c r="E412" s="25">
        <f>IF(C412&gt;$B$7,0,'Combined Retirement'!$D$13/12)</f>
        <v>0</v>
      </c>
      <c r="F412" s="25">
        <f>IF(H412=0,'Combined Retirement'!$D$32,0)+'Combined Retirement'!$B$24</f>
        <v>2870.372285649099</v>
      </c>
      <c r="G412" s="25">
        <f>'Combined Retirement'!$C$24</f>
        <v>3525.4531757812501</v>
      </c>
      <c r="H412" s="25">
        <f>IF(B412&lt;62,0,'Combined Retirement'!$I$14)</f>
        <v>2192</v>
      </c>
      <c r="I412" s="25">
        <f>IF(C412&lt;62,0,'Combined Retirement'!$I$13)</f>
        <v>2420</v>
      </c>
      <c r="J412" s="25">
        <f t="shared" si="263"/>
        <v>7863.2184191855868</v>
      </c>
      <c r="K412" s="25">
        <f t="shared" si="264"/>
        <v>20282.026119384056</v>
      </c>
      <c r="L412" s="25"/>
      <c r="N412" s="25">
        <f>'Combined Retirement'!$C$18/12</f>
        <v>39153.069999999992</v>
      </c>
      <c r="O412" s="25">
        <f t="shared" si="265"/>
        <v>11007.82546143035</v>
      </c>
      <c r="P412" s="25">
        <f t="shared" si="266"/>
        <v>28145.244538569641</v>
      </c>
      <c r="Q412" s="25">
        <f t="array" aca="1" ref="Q412" ca="1">INDEX('Isaac 401k'!L:L,MATCH('Retirement Calculator'!A412,'Isaac 401k'!N:N,0),0)</f>
        <v>919646.41765322175</v>
      </c>
      <c r="R412" s="25">
        <f t="array" aca="1" ref="R412" ca="1">INDEX('Lorri 401b'!L:L,MATCH('Retirement Calculator'!A412,'Lorri 401b'!N:N,0),0)</f>
        <v>2397783.9721171977</v>
      </c>
      <c r="S412" s="25">
        <f t="shared" ca="1" si="267"/>
        <v>3317430.3897704193</v>
      </c>
    </row>
    <row r="413" spans="1:19" ht="15.75" customHeight="1" x14ac:dyDescent="0.3">
      <c r="A413" s="37">
        <v>63524</v>
      </c>
      <c r="B413" s="409">
        <f t="shared" ref="B413:C413" si="414">($A413-B$9)/365.25</f>
        <v>92.041067761806985</v>
      </c>
      <c r="C413" s="409">
        <f t="shared" si="414"/>
        <v>87.43052703627653</v>
      </c>
      <c r="E413" s="25">
        <f>IF(C413&gt;$B$7,0,'Combined Retirement'!$D$13/12)</f>
        <v>0</v>
      </c>
      <c r="F413" s="25">
        <f>IF(H413=0,'Combined Retirement'!$D$32,0)+'Combined Retirement'!$B$24</f>
        <v>2870.372285649099</v>
      </c>
      <c r="G413" s="25">
        <f>'Combined Retirement'!$C$24</f>
        <v>3525.4531757812501</v>
      </c>
      <c r="H413" s="25">
        <f>IF(B413&lt;62,0,'Combined Retirement'!$I$14)</f>
        <v>2192</v>
      </c>
      <c r="I413" s="25">
        <f>IF(C413&lt;62,0,'Combined Retirement'!$I$13)</f>
        <v>2420</v>
      </c>
      <c r="J413" s="25">
        <f t="shared" si="263"/>
        <v>7863.2184191855868</v>
      </c>
      <c r="K413" s="25">
        <f t="shared" si="264"/>
        <v>20282.026119384056</v>
      </c>
      <c r="L413" s="25"/>
      <c r="N413" s="25">
        <f>'Combined Retirement'!$C$18/12</f>
        <v>39153.069999999992</v>
      </c>
      <c r="O413" s="25">
        <f t="shared" si="265"/>
        <v>11007.82546143035</v>
      </c>
      <c r="P413" s="25">
        <f t="shared" si="266"/>
        <v>28145.244538569641</v>
      </c>
      <c r="Q413" s="25">
        <f t="array" aca="1" ref="Q413" ca="1">INDEX('Isaac 401k'!L:L,MATCH('Retirement Calculator'!A413,'Isaac 401k'!N:N,0),0)</f>
        <v>915582.2958975113</v>
      </c>
      <c r="R413" s="25">
        <f t="array" aca="1" ref="R413" ca="1">INDEX('Lorri 401b'!L:L,MATCH('Retirement Calculator'!A413,'Lorri 401b'!N:N,0),0)</f>
        <v>2387408.2041061381</v>
      </c>
      <c r="S413" s="25">
        <f t="shared" ca="1" si="267"/>
        <v>3302990.5000036494</v>
      </c>
    </row>
    <row r="414" spans="1:19" ht="15.75" customHeight="1" x14ac:dyDescent="0.3">
      <c r="A414" s="37">
        <v>63555</v>
      </c>
      <c r="B414" s="409">
        <f t="shared" ref="B414:C414" si="415">($A414-B$9)/365.25</f>
        <v>92.12594113620807</v>
      </c>
      <c r="C414" s="409">
        <f t="shared" si="415"/>
        <v>87.515400410677614</v>
      </c>
      <c r="E414" s="25">
        <f>IF(C414&gt;$B$7,0,'Combined Retirement'!$D$13/12)</f>
        <v>0</v>
      </c>
      <c r="F414" s="25">
        <f>IF(H414=0,'Combined Retirement'!$D$32,0)+'Combined Retirement'!$B$24</f>
        <v>2870.372285649099</v>
      </c>
      <c r="G414" s="25">
        <f>'Combined Retirement'!$C$24</f>
        <v>3525.4531757812501</v>
      </c>
      <c r="H414" s="25">
        <f>IF(B414&lt;62,0,'Combined Retirement'!$I$14)</f>
        <v>2192</v>
      </c>
      <c r="I414" s="25">
        <f>IF(C414&lt;62,0,'Combined Retirement'!$I$13)</f>
        <v>2420</v>
      </c>
      <c r="J414" s="25">
        <f t="shared" si="263"/>
        <v>7863.2184191855868</v>
      </c>
      <c r="K414" s="25">
        <f t="shared" si="264"/>
        <v>20282.026119384056</v>
      </c>
      <c r="L414" s="25"/>
      <c r="N414" s="25">
        <f>'Combined Retirement'!$C$18/12</f>
        <v>39153.069999999992</v>
      </c>
      <c r="O414" s="25">
        <f t="shared" si="265"/>
        <v>11007.82546143035</v>
      </c>
      <c r="P414" s="25">
        <f t="shared" si="266"/>
        <v>28145.244538569641</v>
      </c>
      <c r="Q414" s="25">
        <f t="array" aca="1" ref="Q414" ca="1">INDEX('Isaac 401k'!L:L,MATCH('Retirement Calculator'!A414,'Isaac 401k'!N:N,0),0)</f>
        <v>911501.24030115199</v>
      </c>
      <c r="R414" s="25">
        <f t="array" aca="1" ref="R414" ca="1">INDEX('Lorri 401b'!L:L,MATCH('Retirement Calculator'!A414,'Lorri 401b'!N:N,0),0)</f>
        <v>2376989.2037283657</v>
      </c>
      <c r="S414" s="25">
        <f t="shared" ca="1" si="267"/>
        <v>3288490.4440295175</v>
      </c>
    </row>
    <row r="415" spans="1:19" ht="15.75" customHeight="1" x14ac:dyDescent="0.3">
      <c r="A415" s="37">
        <v>63586</v>
      </c>
      <c r="B415" s="409">
        <f t="shared" ref="B415:C415" si="416">($A415-B$9)/365.25</f>
        <v>92.210814510609168</v>
      </c>
      <c r="C415" s="409">
        <f t="shared" si="416"/>
        <v>87.600273785078713</v>
      </c>
      <c r="E415" s="25">
        <f>IF(C415&gt;$B$7,0,'Combined Retirement'!$D$13/12)</f>
        <v>0</v>
      </c>
      <c r="F415" s="25">
        <f>IF(H415=0,'Combined Retirement'!$D$32,0)+'Combined Retirement'!$B$24</f>
        <v>2870.372285649099</v>
      </c>
      <c r="G415" s="25">
        <f>'Combined Retirement'!$C$24</f>
        <v>3525.4531757812501</v>
      </c>
      <c r="H415" s="25">
        <f>IF(B415&lt;62,0,'Combined Retirement'!$I$14)</f>
        <v>2192</v>
      </c>
      <c r="I415" s="25">
        <f>IF(C415&lt;62,0,'Combined Retirement'!$I$13)</f>
        <v>2420</v>
      </c>
      <c r="J415" s="25">
        <f t="shared" si="263"/>
        <v>7863.2184191855868</v>
      </c>
      <c r="K415" s="25">
        <f t="shared" si="264"/>
        <v>20282.026119384056</v>
      </c>
      <c r="L415" s="25"/>
      <c r="N415" s="25">
        <f>'Combined Retirement'!$C$18/12</f>
        <v>39153.069999999992</v>
      </c>
      <c r="O415" s="25">
        <f t="shared" si="265"/>
        <v>11007.82546143035</v>
      </c>
      <c r="P415" s="25">
        <f t="shared" si="266"/>
        <v>28145.244538569641</v>
      </c>
      <c r="Q415" s="25">
        <f t="array" aca="1" ref="Q415" ca="1">INDEX('Isaac 401k'!L:L,MATCH('Retirement Calculator'!A415,'Isaac 401k'!N:N,0),0)</f>
        <v>907403.18030647456</v>
      </c>
      <c r="R415" s="25">
        <f t="array" aca="1" ref="R415" ca="1">INDEX('Lorri 401b'!L:L,MATCH('Retirement Calculator'!A415,'Lorri 401b'!N:N,0),0)</f>
        <v>2366526.7908490193</v>
      </c>
      <c r="S415" s="25">
        <f t="shared" ca="1" si="267"/>
        <v>3273929.971155494</v>
      </c>
    </row>
    <row r="416" spans="1:19" ht="15.75" customHeight="1" x14ac:dyDescent="0.3">
      <c r="A416" s="37">
        <v>63614</v>
      </c>
      <c r="B416" s="409">
        <f t="shared" ref="B416:C416" si="417">($A416-B$9)/365.25</f>
        <v>92.28747433264887</v>
      </c>
      <c r="C416" s="409">
        <f t="shared" si="417"/>
        <v>87.676933607118414</v>
      </c>
      <c r="E416" s="25">
        <f>IF(C416&gt;$B$7,0,'Combined Retirement'!$D$13/12)</f>
        <v>0</v>
      </c>
      <c r="F416" s="25">
        <f>IF(H416=0,'Combined Retirement'!$D$32,0)+'Combined Retirement'!$B$24</f>
        <v>2870.372285649099</v>
      </c>
      <c r="G416" s="25">
        <f>'Combined Retirement'!$C$24</f>
        <v>3525.4531757812501</v>
      </c>
      <c r="H416" s="25">
        <f>IF(B416&lt;62,0,'Combined Retirement'!$I$14)</f>
        <v>2192</v>
      </c>
      <c r="I416" s="25">
        <f>IF(C416&lt;62,0,'Combined Retirement'!$I$13)</f>
        <v>2420</v>
      </c>
      <c r="J416" s="25">
        <f t="shared" si="263"/>
        <v>7863.2184191855868</v>
      </c>
      <c r="K416" s="25">
        <f t="shared" si="264"/>
        <v>20282.026119384056</v>
      </c>
      <c r="L416" s="25"/>
      <c r="N416" s="25">
        <f>'Combined Retirement'!$C$18/12</f>
        <v>39153.069999999992</v>
      </c>
      <c r="O416" s="25">
        <f t="shared" si="265"/>
        <v>11007.82546143035</v>
      </c>
      <c r="P416" s="25">
        <f t="shared" si="266"/>
        <v>28145.244538569641</v>
      </c>
      <c r="Q416" s="25">
        <f t="array" aca="1" ref="Q416" ca="1">INDEX('Isaac 401k'!L:L,MATCH('Retirement Calculator'!A416,'Isaac 401k'!N:N,0),0)</f>
        <v>903288.04506181937</v>
      </c>
      <c r="R416" s="25">
        <f t="array" aca="1" ref="R416" ca="1">INDEX('Lorri 401b'!L:L,MATCH('Retirement Calculator'!A416,'Lorri 401b'!N:N,0),0)</f>
        <v>2356020.7845826754</v>
      </c>
      <c r="S416" s="25">
        <f t="shared" ca="1" si="267"/>
        <v>3259308.8296444947</v>
      </c>
    </row>
    <row r="417" spans="1:19" ht="15.75" customHeight="1" x14ac:dyDescent="0.3">
      <c r="A417" s="37">
        <v>63645</v>
      </c>
      <c r="B417" s="409">
        <f t="shared" ref="B417:C417" si="418">($A417-B$9)/365.25</f>
        <v>92.372347707049968</v>
      </c>
      <c r="C417" s="409">
        <f t="shared" si="418"/>
        <v>87.761806981519513</v>
      </c>
      <c r="E417" s="25">
        <f>IF(C417&gt;$B$7,0,'Combined Retirement'!$D$13/12)</f>
        <v>0</v>
      </c>
      <c r="F417" s="25">
        <f>IF(H417=0,'Combined Retirement'!$D$32,0)+'Combined Retirement'!$B$24</f>
        <v>2870.372285649099</v>
      </c>
      <c r="G417" s="25">
        <f>'Combined Retirement'!$C$24</f>
        <v>3525.4531757812501</v>
      </c>
      <c r="H417" s="25">
        <f>IF(B417&lt;62,0,'Combined Retirement'!$I$14)</f>
        <v>2192</v>
      </c>
      <c r="I417" s="25">
        <f>IF(C417&lt;62,0,'Combined Retirement'!$I$13)</f>
        <v>2420</v>
      </c>
      <c r="J417" s="25">
        <f t="shared" si="263"/>
        <v>7863.2184191855868</v>
      </c>
      <c r="K417" s="25">
        <f t="shared" si="264"/>
        <v>20282.026119384056</v>
      </c>
      <c r="L417" s="25"/>
      <c r="N417" s="25">
        <f>'Combined Retirement'!$C$18/12</f>
        <v>39153.069999999992</v>
      </c>
      <c r="O417" s="25">
        <f t="shared" si="265"/>
        <v>11007.82546143035</v>
      </c>
      <c r="P417" s="25">
        <f t="shared" si="266"/>
        <v>28145.244538569641</v>
      </c>
      <c r="Q417" s="25">
        <f t="array" aca="1" ref="Q417" ca="1">INDEX('Isaac 401k'!L:L,MATCH('Retirement Calculator'!A417,'Isaac 401k'!N:N,0),0)</f>
        <v>899155.76342031138</v>
      </c>
      <c r="R417" s="25">
        <f t="array" aca="1" ref="R417" ca="1">INDEX('Lorri 401b'!L:L,MATCH('Retirement Calculator'!A417,'Lorri 401b'!N:N,0),0)</f>
        <v>2345471.003290222</v>
      </c>
      <c r="S417" s="25">
        <f t="shared" ca="1" si="267"/>
        <v>3244626.7667105333</v>
      </c>
    </row>
    <row r="418" spans="1:19" ht="15.75" customHeight="1" x14ac:dyDescent="0.3">
      <c r="A418" s="37">
        <v>63675</v>
      </c>
      <c r="B418" s="409">
        <f t="shared" ref="B418:C418" si="419">($A418-B$9)/365.25</f>
        <v>92.454483230663925</v>
      </c>
      <c r="C418" s="409">
        <f t="shared" si="419"/>
        <v>87.843942505133469</v>
      </c>
      <c r="E418" s="25">
        <f>IF(C418&gt;$B$7,0,'Combined Retirement'!$D$13/12)</f>
        <v>0</v>
      </c>
      <c r="F418" s="25">
        <f>IF(H418=0,'Combined Retirement'!$D$32,0)+'Combined Retirement'!$B$24</f>
        <v>2870.372285649099</v>
      </c>
      <c r="G418" s="25">
        <f>'Combined Retirement'!$C$24</f>
        <v>3525.4531757812501</v>
      </c>
      <c r="H418" s="25">
        <f>IF(B418&lt;62,0,'Combined Retirement'!$I$14)</f>
        <v>2192</v>
      </c>
      <c r="I418" s="25">
        <f>IF(C418&lt;62,0,'Combined Retirement'!$I$13)</f>
        <v>2420</v>
      </c>
      <c r="J418" s="25">
        <f t="shared" si="263"/>
        <v>7863.2184191855868</v>
      </c>
      <c r="K418" s="25">
        <f t="shared" si="264"/>
        <v>20282.026119384056</v>
      </c>
      <c r="L418" s="25"/>
      <c r="N418" s="25">
        <f>'Combined Retirement'!$C$18/12</f>
        <v>39153.069999999992</v>
      </c>
      <c r="O418" s="25">
        <f t="shared" si="265"/>
        <v>11007.82546143035</v>
      </c>
      <c r="P418" s="25">
        <f t="shared" si="266"/>
        <v>28145.244538569641</v>
      </c>
      <c r="Q418" s="25">
        <f t="array" aca="1" ref="Q418" ca="1">INDEX('Isaac 401k'!L:L,MATCH('Retirement Calculator'!A418,'Isaac 401k'!N:N,0),0)</f>
        <v>895006.26393863047</v>
      </c>
      <c r="R418" s="25">
        <f t="array" aca="1" ref="R418" ca="1">INDEX('Lorri 401b'!L:L,MATCH('Retirement Calculator'!A418,'Lorri 401b'!N:N,0),0)</f>
        <v>2334877.2645757166</v>
      </c>
      <c r="S418" s="25">
        <f t="shared" ca="1" si="267"/>
        <v>3229883.528514347</v>
      </c>
    </row>
    <row r="419" spans="1:19" ht="15.75" customHeight="1" x14ac:dyDescent="0.3">
      <c r="A419" s="37">
        <v>63706</v>
      </c>
      <c r="B419" s="409">
        <f t="shared" ref="B419:C419" si="420">($A419-B$9)/365.25</f>
        <v>92.539356605065024</v>
      </c>
      <c r="C419" s="409">
        <f t="shared" si="420"/>
        <v>87.928815879534568</v>
      </c>
      <c r="E419" s="25">
        <f>IF(C419&gt;$B$7,0,'Combined Retirement'!$D$13/12)</f>
        <v>0</v>
      </c>
      <c r="F419" s="25">
        <f>IF(H419=0,'Combined Retirement'!$D$32,0)+'Combined Retirement'!$B$24</f>
        <v>2870.372285649099</v>
      </c>
      <c r="G419" s="25">
        <f>'Combined Retirement'!$C$24</f>
        <v>3525.4531757812501</v>
      </c>
      <c r="H419" s="25">
        <f>IF(B419&lt;62,0,'Combined Retirement'!$I$14)</f>
        <v>2192</v>
      </c>
      <c r="I419" s="25">
        <f>IF(C419&lt;62,0,'Combined Retirement'!$I$13)</f>
        <v>2420</v>
      </c>
      <c r="J419" s="25">
        <f t="shared" si="263"/>
        <v>7863.2184191855868</v>
      </c>
      <c r="K419" s="25">
        <f t="shared" si="264"/>
        <v>20282.026119384056</v>
      </c>
      <c r="L419" s="25"/>
      <c r="N419" s="25">
        <f>'Combined Retirement'!$C$18/12</f>
        <v>39153.069999999992</v>
      </c>
      <c r="O419" s="25">
        <f t="shared" si="265"/>
        <v>11007.82546143035</v>
      </c>
      <c r="P419" s="25">
        <f t="shared" si="266"/>
        <v>28145.244538569641</v>
      </c>
      <c r="Q419" s="25">
        <f t="array" aca="1" ref="Q419" ca="1">INDEX('Isaac 401k'!L:L,MATCH('Retirement Calculator'!A419,'Isaac 401k'!N:N,0),0)</f>
        <v>890839.47487577586</v>
      </c>
      <c r="R419" s="25">
        <f t="array" aca="1" ref="R419" ca="1">INDEX('Lorri 401b'!L:L,MATCH('Retirement Calculator'!A419,'Lorri 401b'!N:N,0),0)</f>
        <v>2324239.3852832341</v>
      </c>
      <c r="S419" s="25">
        <f t="shared" ca="1" si="267"/>
        <v>3215078.8601590097</v>
      </c>
    </row>
    <row r="420" spans="1:19" ht="15.75" customHeight="1" x14ac:dyDescent="0.3">
      <c r="A420" s="37">
        <v>63736</v>
      </c>
      <c r="B420" s="409">
        <f t="shared" ref="B420:C420" si="421">($A420-B$9)/365.25</f>
        <v>92.62149212867898</v>
      </c>
      <c r="C420" s="409">
        <f t="shared" si="421"/>
        <v>88.010951403148525</v>
      </c>
      <c r="E420" s="25">
        <f>IF(C420&gt;$B$7,0,'Combined Retirement'!$D$13/12)</f>
        <v>0</v>
      </c>
      <c r="F420" s="25">
        <f>IF(H420=0,'Combined Retirement'!$D$32,0)+'Combined Retirement'!$B$24</f>
        <v>2870.372285649099</v>
      </c>
      <c r="G420" s="25">
        <f>'Combined Retirement'!$C$24</f>
        <v>3525.4531757812501</v>
      </c>
      <c r="H420" s="25">
        <f>IF(B420&lt;62,0,'Combined Retirement'!$I$14)</f>
        <v>2192</v>
      </c>
      <c r="I420" s="25">
        <f>IF(C420&lt;62,0,'Combined Retirement'!$I$13)</f>
        <v>2420</v>
      </c>
      <c r="J420" s="25">
        <f t="shared" si="263"/>
        <v>7863.2184191855868</v>
      </c>
      <c r="K420" s="25">
        <f t="shared" si="264"/>
        <v>20282.026119384056</v>
      </c>
      <c r="L420" s="25"/>
      <c r="N420" s="25">
        <f>'Combined Retirement'!$C$18/12</f>
        <v>39153.069999999992</v>
      </c>
      <c r="O420" s="25">
        <f t="shared" si="265"/>
        <v>11007.82546143035</v>
      </c>
      <c r="P420" s="25">
        <f t="shared" si="266"/>
        <v>28145.244538569641</v>
      </c>
      <c r="Q420" s="25">
        <f t="array" aca="1" ref="Q420" ca="1">INDEX('Isaac 401k'!L:L,MATCH('Retirement Calculator'!A420,'Isaac 401k'!N:N,0),0)</f>
        <v>886655.32419182605</v>
      </c>
      <c r="R420" s="25">
        <f t="array" aca="1" ref="R420" ca="1">INDEX('Lorri 401b'!L:L,MATCH('Retirement Calculator'!A420,'Lorri 401b'!N:N,0),0)</f>
        <v>2313557.1814936996</v>
      </c>
      <c r="S420" s="25">
        <f t="shared" ca="1" si="267"/>
        <v>3200212.5056855255</v>
      </c>
    </row>
    <row r="421" spans="1:19" ht="15.75" customHeight="1" x14ac:dyDescent="0.3">
      <c r="A421" s="37">
        <v>63767</v>
      </c>
      <c r="B421" s="409">
        <f t="shared" ref="B421:C421" si="422">($A421-B$9)/365.25</f>
        <v>92.706365503080079</v>
      </c>
      <c r="C421" s="409">
        <f t="shared" si="422"/>
        <v>88.095824777549623</v>
      </c>
      <c r="E421" s="25">
        <f>IF(C421&gt;$B$7,0,'Combined Retirement'!$D$13/12)</f>
        <v>0</v>
      </c>
      <c r="F421" s="25">
        <f>IF(H421=0,'Combined Retirement'!$D$32,0)+'Combined Retirement'!$B$24</f>
        <v>2870.372285649099</v>
      </c>
      <c r="G421" s="25">
        <f>'Combined Retirement'!$C$24</f>
        <v>3525.4531757812501</v>
      </c>
      <c r="H421" s="25">
        <f>IF(B421&lt;62,0,'Combined Retirement'!$I$14)</f>
        <v>2192</v>
      </c>
      <c r="I421" s="25">
        <f>IF(C421&lt;62,0,'Combined Retirement'!$I$13)</f>
        <v>2420</v>
      </c>
      <c r="J421" s="25">
        <f t="shared" si="263"/>
        <v>7863.2184191855868</v>
      </c>
      <c r="K421" s="25">
        <f t="shared" si="264"/>
        <v>20282.026119384056</v>
      </c>
      <c r="L421" s="25"/>
      <c r="N421" s="25">
        <f>'Combined Retirement'!$C$18/12</f>
        <v>39153.069999999992</v>
      </c>
      <c r="O421" s="25">
        <f t="shared" si="265"/>
        <v>11007.82546143035</v>
      </c>
      <c r="P421" s="25">
        <f t="shared" si="266"/>
        <v>28145.244538569641</v>
      </c>
      <c r="Q421" s="25">
        <f t="array" aca="1" ref="Q421" ca="1">INDEX('Isaac 401k'!L:L,MATCH('Retirement Calculator'!A421,'Isaac 401k'!N:N,0),0)</f>
        <v>882453.73954669316</v>
      </c>
      <c r="R421" s="25">
        <f t="array" aca="1" ref="R421" ca="1">INDEX('Lorri 401b'!L:L,MATCH('Retirement Calculator'!A421,'Lorri 401b'!N:N,0),0)</f>
        <v>2302830.4685217086</v>
      </c>
      <c r="S421" s="25">
        <f t="shared" ca="1" si="267"/>
        <v>3185284.2080684016</v>
      </c>
    </row>
    <row r="422" spans="1:19" ht="15.75" customHeight="1" x14ac:dyDescent="0.3">
      <c r="A422" s="37">
        <v>63798</v>
      </c>
      <c r="B422" s="409">
        <f t="shared" ref="B422:C422" si="423">($A422-B$9)/365.25</f>
        <v>92.791238877481177</v>
      </c>
      <c r="C422" s="409">
        <f t="shared" si="423"/>
        <v>88.180698151950722</v>
      </c>
      <c r="E422" s="25">
        <f>IF(C422&gt;$B$7,0,'Combined Retirement'!$D$13/12)</f>
        <v>0</v>
      </c>
      <c r="F422" s="25">
        <f>IF(H422=0,'Combined Retirement'!$D$32,0)+'Combined Retirement'!$B$24</f>
        <v>2870.372285649099</v>
      </c>
      <c r="G422" s="25">
        <f>'Combined Retirement'!$C$24</f>
        <v>3525.4531757812501</v>
      </c>
      <c r="H422" s="25">
        <f>IF(B422&lt;62,0,'Combined Retirement'!$I$14)</f>
        <v>2192</v>
      </c>
      <c r="I422" s="25">
        <f>IF(C422&lt;62,0,'Combined Retirement'!$I$13)</f>
        <v>2420</v>
      </c>
      <c r="J422" s="25">
        <f t="shared" si="263"/>
        <v>7863.2184191855868</v>
      </c>
      <c r="K422" s="25">
        <f t="shared" si="264"/>
        <v>20282.026119384056</v>
      </c>
      <c r="L422" s="25"/>
      <c r="N422" s="25">
        <f>'Combined Retirement'!$C$18/12</f>
        <v>39153.069999999992</v>
      </c>
      <c r="O422" s="25">
        <f t="shared" si="265"/>
        <v>11007.82546143035</v>
      </c>
      <c r="P422" s="25">
        <f t="shared" si="266"/>
        <v>28145.244538569641</v>
      </c>
      <c r="Q422" s="25">
        <f t="array" aca="1" ref="Q422" ca="1">INDEX('Isaac 401k'!L:L,MATCH('Retirement Calculator'!A422,'Isaac 401k'!N:N,0),0)</f>
        <v>878234.64829887217</v>
      </c>
      <c r="R422" s="25">
        <f t="array" aca="1" ref="R422" ca="1">INDEX('Lorri 401b'!L:L,MATCH('Retirement Calculator'!A422,'Lorri 401b'!N:N,0),0)</f>
        <v>2292059.0609123344</v>
      </c>
      <c r="S422" s="25">
        <f t="shared" ca="1" si="267"/>
        <v>3170293.7092112065</v>
      </c>
    </row>
    <row r="423" spans="1:19" ht="15.75" customHeight="1" x14ac:dyDescent="0.3">
      <c r="A423" s="37">
        <v>63828</v>
      </c>
      <c r="B423" s="409">
        <f t="shared" ref="B423:C423" si="424">($A423-B$9)/365.25</f>
        <v>92.873374401095134</v>
      </c>
      <c r="C423" s="409">
        <f t="shared" si="424"/>
        <v>88.262833675564679</v>
      </c>
      <c r="E423" s="25">
        <f>IF(C423&gt;$B$7,0,'Combined Retirement'!$D$13/12)</f>
        <v>0</v>
      </c>
      <c r="F423" s="25">
        <f>IF(H423=0,'Combined Retirement'!$D$32,0)+'Combined Retirement'!$B$24</f>
        <v>2870.372285649099</v>
      </c>
      <c r="G423" s="25">
        <f>'Combined Retirement'!$C$24</f>
        <v>3525.4531757812501</v>
      </c>
      <c r="H423" s="25">
        <f>IF(B423&lt;62,0,'Combined Retirement'!$I$14)</f>
        <v>2192</v>
      </c>
      <c r="I423" s="25">
        <f>IF(C423&lt;62,0,'Combined Retirement'!$I$13)</f>
        <v>2420</v>
      </c>
      <c r="J423" s="25">
        <f t="shared" si="263"/>
        <v>7863.2184191855868</v>
      </c>
      <c r="K423" s="25">
        <f t="shared" si="264"/>
        <v>20282.026119384056</v>
      </c>
      <c r="L423" s="25"/>
      <c r="N423" s="25">
        <f>'Combined Retirement'!$C$18/12</f>
        <v>39153.069999999992</v>
      </c>
      <c r="O423" s="25">
        <f t="shared" si="265"/>
        <v>11007.82546143035</v>
      </c>
      <c r="P423" s="25">
        <f t="shared" si="266"/>
        <v>28145.244538569641</v>
      </c>
      <c r="Q423" s="25">
        <f t="array" aca="1" ref="Q423" ca="1">INDEX('Isaac 401k'!L:L,MATCH('Retirement Calculator'!A423,'Isaac 401k'!N:N,0),0)</f>
        <v>873997.97750418528</v>
      </c>
      <c r="R423" s="25">
        <f t="array" aca="1" ref="R423" ca="1">INDEX('Lorri 401b'!L:L,MATCH('Retirement Calculator'!A423,'Lorri 401b'!N:N,0),0)</f>
        <v>2281242.7724379208</v>
      </c>
      <c r="S423" s="25">
        <f t="shared" ca="1" si="267"/>
        <v>3155240.7499421062</v>
      </c>
    </row>
    <row r="424" spans="1:19" ht="15.75" customHeight="1" x14ac:dyDescent="0.3">
      <c r="A424" s="37">
        <v>63859</v>
      </c>
      <c r="B424" s="409">
        <f t="shared" ref="B424:C424" si="425">($A424-B$9)/365.25</f>
        <v>92.958247775496233</v>
      </c>
      <c r="C424" s="409">
        <f t="shared" si="425"/>
        <v>88.347707049965777</v>
      </c>
      <c r="E424" s="25">
        <f>IF(C424&gt;$B$7,0,'Combined Retirement'!$D$13/12)</f>
        <v>0</v>
      </c>
      <c r="F424" s="25">
        <f>IF(H424=0,'Combined Retirement'!$D$32,0)+'Combined Retirement'!$B$24</f>
        <v>2870.372285649099</v>
      </c>
      <c r="G424" s="25">
        <f>'Combined Retirement'!$C$24</f>
        <v>3525.4531757812501</v>
      </c>
      <c r="H424" s="25">
        <f>IF(B424&lt;62,0,'Combined Retirement'!$I$14)</f>
        <v>2192</v>
      </c>
      <c r="I424" s="25">
        <f>IF(C424&lt;62,0,'Combined Retirement'!$I$13)</f>
        <v>2420</v>
      </c>
      <c r="J424" s="25">
        <f t="shared" si="263"/>
        <v>7863.2184191855868</v>
      </c>
      <c r="K424" s="25">
        <f t="shared" si="264"/>
        <v>20282.026119384056</v>
      </c>
      <c r="L424" s="25"/>
      <c r="N424" s="25">
        <f>'Combined Retirement'!$C$18/12</f>
        <v>39153.069999999992</v>
      </c>
      <c r="O424" s="25">
        <f t="shared" si="265"/>
        <v>11007.82546143035</v>
      </c>
      <c r="P424" s="25">
        <f t="shared" si="266"/>
        <v>28145.244538569641</v>
      </c>
      <c r="Q424" s="25">
        <f t="array" aca="1" ref="Q424" ca="1">INDEX('Isaac 401k'!L:L,MATCH('Retirement Calculator'!A424,'Isaac 401k'!N:N,0),0)</f>
        <v>869743.65391452052</v>
      </c>
      <c r="R424" s="25">
        <f t="array" aca="1" ref="R424" ca="1">INDEX('Lorri 401b'!L:L,MATCH('Retirement Calculator'!A424,'Lorri 401b'!N:N,0),0)</f>
        <v>2270381.4160948643</v>
      </c>
      <c r="S424" s="25">
        <f t="shared" ca="1" si="267"/>
        <v>3140125.0700093848</v>
      </c>
    </row>
    <row r="425" spans="1:19" ht="15.75" customHeight="1" x14ac:dyDescent="0.3">
      <c r="A425" s="37">
        <v>63889</v>
      </c>
      <c r="B425" s="409">
        <f t="shared" ref="B425:C425" si="426">($A425-B$9)/365.25</f>
        <v>93.040383299110204</v>
      </c>
      <c r="C425" s="409">
        <f t="shared" si="426"/>
        <v>88.429842573579734</v>
      </c>
      <c r="E425" s="25">
        <f>IF(C425&gt;$B$7,0,'Combined Retirement'!$D$13/12)</f>
        <v>0</v>
      </c>
      <c r="F425" s="25">
        <f>IF(H425=0,'Combined Retirement'!$D$32,0)+'Combined Retirement'!$B$24</f>
        <v>2870.372285649099</v>
      </c>
      <c r="G425" s="25">
        <f>'Combined Retirement'!$C$24</f>
        <v>3525.4531757812501</v>
      </c>
      <c r="H425" s="25">
        <f>IF(B425&lt;62,0,'Combined Retirement'!$I$14)</f>
        <v>2192</v>
      </c>
      <c r="I425" s="25">
        <f>IF(C425&lt;62,0,'Combined Retirement'!$I$13)</f>
        <v>2420</v>
      </c>
      <c r="J425" s="25">
        <f t="shared" si="263"/>
        <v>7863.2184191855868</v>
      </c>
      <c r="K425" s="25">
        <f t="shared" si="264"/>
        <v>20282.026119384056</v>
      </c>
      <c r="L425" s="25"/>
      <c r="N425" s="25">
        <f>'Combined Retirement'!$C$18/12</f>
        <v>39153.069999999992</v>
      </c>
      <c r="O425" s="25">
        <f t="shared" si="265"/>
        <v>11007.82546143035</v>
      </c>
      <c r="P425" s="25">
        <f t="shared" si="266"/>
        <v>28145.244538569641</v>
      </c>
      <c r="Q425" s="25">
        <f t="array" aca="1" ref="Q425" ca="1">INDEX('Isaac 401k'!L:L,MATCH('Retirement Calculator'!A425,'Isaac 401k'!N:N,0),0)</f>
        <v>865471.60397656553</v>
      </c>
      <c r="R425" s="25">
        <f t="array" aca="1" ref="R425" ca="1">INDEX('Lorri 401b'!L:L,MATCH('Retirement Calculator'!A425,'Lorri 401b'!N:N,0),0)</f>
        <v>2259474.804100378</v>
      </c>
      <c r="S425" s="25">
        <f t="shared" ca="1" si="267"/>
        <v>3124946.4080769434</v>
      </c>
    </row>
    <row r="426" spans="1:19" ht="15.75" customHeight="1" x14ac:dyDescent="0.3">
      <c r="A426" s="37">
        <v>63920</v>
      </c>
      <c r="B426" s="409">
        <f t="shared" ref="B426:C426" si="427">($A426-B$9)/365.25</f>
        <v>93.125256673511288</v>
      </c>
      <c r="C426" s="409">
        <f t="shared" si="427"/>
        <v>88.514715947980832</v>
      </c>
      <c r="E426" s="25">
        <f>IF(C426&gt;$B$7,0,'Combined Retirement'!$D$13/12)</f>
        <v>0</v>
      </c>
      <c r="F426" s="25">
        <f>IF(H426=0,'Combined Retirement'!$D$32,0)+'Combined Retirement'!$B$24</f>
        <v>2870.372285649099</v>
      </c>
      <c r="G426" s="25">
        <f>'Combined Retirement'!$C$24</f>
        <v>3525.4531757812501</v>
      </c>
      <c r="H426" s="25">
        <f>IF(B426&lt;62,0,'Combined Retirement'!$I$14)</f>
        <v>2192</v>
      </c>
      <c r="I426" s="25">
        <f>IF(C426&lt;62,0,'Combined Retirement'!$I$13)</f>
        <v>2420</v>
      </c>
      <c r="J426" s="25">
        <f t="shared" si="263"/>
        <v>7863.2184191855868</v>
      </c>
      <c r="K426" s="25">
        <f t="shared" si="264"/>
        <v>20282.026119384056</v>
      </c>
      <c r="L426" s="25"/>
      <c r="N426" s="25">
        <f>'Combined Retirement'!$C$18/12</f>
        <v>39153.069999999992</v>
      </c>
      <c r="O426" s="25">
        <f t="shared" si="265"/>
        <v>11007.82546143035</v>
      </c>
      <c r="P426" s="25">
        <f t="shared" si="266"/>
        <v>28145.244538569641</v>
      </c>
      <c r="Q426" s="25">
        <f t="array" aca="1" ref="Q426" ca="1">INDEX('Isaac 401k'!L:L,MATCH('Retirement Calculator'!A426,'Isaac 401k'!N:N,0),0)</f>
        <v>861181.75383053569</v>
      </c>
      <c r="R426" s="25">
        <f t="array" aca="1" ref="R426" ca="1">INDEX('Lorri 401b'!L:L,MATCH('Retirement Calculator'!A426,'Lorri 401b'!N:N,0),0)</f>
        <v>2248522.7478892482</v>
      </c>
      <c r="S426" s="25">
        <f t="shared" ca="1" si="267"/>
        <v>3109704.501719784</v>
      </c>
    </row>
    <row r="427" spans="1:19" ht="15.75" customHeight="1" x14ac:dyDescent="0.3">
      <c r="A427" s="37">
        <v>63951</v>
      </c>
      <c r="B427" s="409">
        <f t="shared" ref="B427:C427" si="428">($A427-B$9)/365.25</f>
        <v>93.210130047912386</v>
      </c>
      <c r="C427" s="409">
        <f t="shared" si="428"/>
        <v>88.599589322381931</v>
      </c>
      <c r="E427" s="25">
        <f>IF(C427&gt;$B$7,0,'Combined Retirement'!$D$13/12)</f>
        <v>0</v>
      </c>
      <c r="F427" s="25">
        <f>IF(H427=0,'Combined Retirement'!$D$32,0)+'Combined Retirement'!$B$24</f>
        <v>2870.372285649099</v>
      </c>
      <c r="G427" s="25">
        <f>'Combined Retirement'!$C$24</f>
        <v>3525.4531757812501</v>
      </c>
      <c r="H427" s="25">
        <f>IF(B427&lt;62,0,'Combined Retirement'!$I$14)</f>
        <v>2192</v>
      </c>
      <c r="I427" s="25">
        <f>IF(C427&lt;62,0,'Combined Retirement'!$I$13)</f>
        <v>2420</v>
      </c>
      <c r="J427" s="25">
        <f t="shared" si="263"/>
        <v>7863.2184191855868</v>
      </c>
      <c r="K427" s="25">
        <f t="shared" si="264"/>
        <v>20282.026119384056</v>
      </c>
      <c r="L427" s="25"/>
      <c r="N427" s="25">
        <f>'Combined Retirement'!$C$18/12</f>
        <v>39153.069999999992</v>
      </c>
      <c r="O427" s="25">
        <f t="shared" si="265"/>
        <v>11007.82546143035</v>
      </c>
      <c r="P427" s="25">
        <f t="shared" si="266"/>
        <v>28145.244538569641</v>
      </c>
      <c r="Q427" s="25">
        <f t="array" aca="1" ref="Q427" ca="1">INDEX('Isaac 401k'!L:L,MATCH('Retirement Calculator'!A427,'Isaac 401k'!N:N,0),0)</f>
        <v>856874.02930889733</v>
      </c>
      <c r="R427" s="25">
        <f t="array" aca="1" ref="R427" ca="1">INDEX('Lorri 401b'!L:L,MATCH('Retirement Calculator'!A427,'Lorri 401b'!N:N,0),0)</f>
        <v>2237525.0581105719</v>
      </c>
      <c r="S427" s="25">
        <f t="shared" ca="1" si="267"/>
        <v>3094399.0874194694</v>
      </c>
    </row>
    <row r="428" spans="1:19" ht="15.75" customHeight="1" x14ac:dyDescent="0.3">
      <c r="A428" s="37">
        <v>63979</v>
      </c>
      <c r="B428" s="409">
        <f t="shared" ref="B428:C428" si="429">($A428-B$9)/365.25</f>
        <v>93.286789869952088</v>
      </c>
      <c r="C428" s="409">
        <f t="shared" si="429"/>
        <v>88.676249144421632</v>
      </c>
      <c r="E428" s="25">
        <f>IF(C428&gt;$B$7,0,'Combined Retirement'!$D$13/12)</f>
        <v>0</v>
      </c>
      <c r="F428" s="25">
        <f>IF(H428=0,'Combined Retirement'!$D$32,0)+'Combined Retirement'!$B$24</f>
        <v>2870.372285649099</v>
      </c>
      <c r="G428" s="25">
        <f>'Combined Retirement'!$C$24</f>
        <v>3525.4531757812501</v>
      </c>
      <c r="H428" s="25">
        <f>IF(B428&lt;62,0,'Combined Retirement'!$I$14)</f>
        <v>2192</v>
      </c>
      <c r="I428" s="25">
        <f>IF(C428&lt;62,0,'Combined Retirement'!$I$13)</f>
        <v>2420</v>
      </c>
      <c r="J428" s="25">
        <f t="shared" si="263"/>
        <v>7863.2184191855868</v>
      </c>
      <c r="K428" s="25">
        <f t="shared" si="264"/>
        <v>20282.026119384056</v>
      </c>
      <c r="L428" s="25"/>
      <c r="N428" s="25">
        <f>'Combined Retirement'!$C$18/12</f>
        <v>39153.069999999992</v>
      </c>
      <c r="O428" s="25">
        <f t="shared" si="265"/>
        <v>11007.82546143035</v>
      </c>
      <c r="P428" s="25">
        <f t="shared" si="266"/>
        <v>28145.244538569641</v>
      </c>
      <c r="Q428" s="25">
        <f t="array" aca="1" ref="Q428" ca="1">INDEX('Isaac 401k'!L:L,MATCH('Retirement Calculator'!A428,'Isaac 401k'!N:N,0),0)</f>
        <v>852548.35593508556</v>
      </c>
      <c r="R428" s="25">
        <f t="array" aca="1" ref="R428" ca="1">INDEX('Lorri 401b'!L:L,MATCH('Retirement Calculator'!A428,'Lorri 401b'!N:N,0),0)</f>
        <v>2226481.5446244846</v>
      </c>
      <c r="S428" s="25">
        <f t="shared" ca="1" si="267"/>
        <v>3079029.9005595702</v>
      </c>
    </row>
    <row r="429" spans="1:19" ht="15.75" customHeight="1" x14ac:dyDescent="0.3">
      <c r="A429" s="37">
        <v>64010</v>
      </c>
      <c r="B429" s="409">
        <f t="shared" ref="B429:C429" si="430">($A429-B$9)/365.25</f>
        <v>93.371663244353186</v>
      </c>
      <c r="C429" s="409">
        <f t="shared" si="430"/>
        <v>88.761122518822731</v>
      </c>
      <c r="E429" s="25">
        <f>IF(C429&gt;$B$7,0,'Combined Retirement'!$D$13/12)</f>
        <v>0</v>
      </c>
      <c r="F429" s="25">
        <f>IF(H429=0,'Combined Retirement'!$D$32,0)+'Combined Retirement'!$B$24</f>
        <v>2870.372285649099</v>
      </c>
      <c r="G429" s="25">
        <f>'Combined Retirement'!$C$24</f>
        <v>3525.4531757812501</v>
      </c>
      <c r="H429" s="25">
        <f>IF(B429&lt;62,0,'Combined Retirement'!$I$14)</f>
        <v>2192</v>
      </c>
      <c r="I429" s="25">
        <f>IF(C429&lt;62,0,'Combined Retirement'!$I$13)</f>
        <v>2420</v>
      </c>
      <c r="J429" s="25">
        <f t="shared" si="263"/>
        <v>7863.2184191855868</v>
      </c>
      <c r="K429" s="25">
        <f t="shared" si="264"/>
        <v>20282.026119384056</v>
      </c>
      <c r="L429" s="25"/>
      <c r="N429" s="25">
        <f>'Combined Retirement'!$C$18/12</f>
        <v>39153.069999999992</v>
      </c>
      <c r="O429" s="25">
        <f t="shared" si="265"/>
        <v>11007.82546143035</v>
      </c>
      <c r="P429" s="25">
        <f t="shared" si="266"/>
        <v>28145.244538569641</v>
      </c>
      <c r="Q429" s="25">
        <f t="array" aca="1" ref="Q429" ca="1">INDEX('Isaac 401k'!L:L,MATCH('Retirement Calculator'!A429,'Isaac 401k'!N:N,0),0)</f>
        <v>848204.65892221616</v>
      </c>
      <c r="R429" s="25">
        <f t="array" aca="1" ref="R429" ca="1">INDEX('Lorri 401b'!L:L,MATCH('Retirement Calculator'!A429,'Lorri 401b'!N:N,0),0)</f>
        <v>2215392.0164988721</v>
      </c>
      <c r="S429" s="25">
        <f t="shared" ca="1" si="267"/>
        <v>3063596.675421088</v>
      </c>
    </row>
    <row r="430" spans="1:19" ht="15.75" customHeight="1" x14ac:dyDescent="0.3">
      <c r="A430" s="37">
        <v>64040</v>
      </c>
      <c r="B430" s="409">
        <f t="shared" ref="B430:C430" si="431">($A430-B$9)/365.25</f>
        <v>93.453798767967143</v>
      </c>
      <c r="C430" s="409">
        <f t="shared" si="431"/>
        <v>88.843258042436688</v>
      </c>
      <c r="E430" s="25">
        <f>IF(C430&gt;$B$7,0,'Combined Retirement'!$D$13/12)</f>
        <v>0</v>
      </c>
      <c r="F430" s="25">
        <f>IF(H430=0,'Combined Retirement'!$D$32,0)+'Combined Retirement'!$B$24</f>
        <v>2870.372285649099</v>
      </c>
      <c r="G430" s="25">
        <f>'Combined Retirement'!$C$24</f>
        <v>3525.4531757812501</v>
      </c>
      <c r="H430" s="25">
        <f>IF(B430&lt;62,0,'Combined Retirement'!$I$14)</f>
        <v>2192</v>
      </c>
      <c r="I430" s="25">
        <f>IF(C430&lt;62,0,'Combined Retirement'!$I$13)</f>
        <v>2420</v>
      </c>
      <c r="J430" s="25">
        <f t="shared" si="263"/>
        <v>7863.2184191855868</v>
      </c>
      <c r="K430" s="25">
        <f t="shared" si="264"/>
        <v>20282.026119384056</v>
      </c>
      <c r="L430" s="25"/>
      <c r="N430" s="25">
        <f>'Combined Retirement'!$C$18/12</f>
        <v>39153.069999999992</v>
      </c>
      <c r="O430" s="25">
        <f t="shared" si="265"/>
        <v>11007.82546143035</v>
      </c>
      <c r="P430" s="25">
        <f t="shared" si="266"/>
        <v>28145.244538569641</v>
      </c>
      <c r="Q430" s="25">
        <f t="array" aca="1" ref="Q430" ca="1">INDEX('Isaac 401k'!L:L,MATCH('Retirement Calculator'!A430,'Isaac 401k'!N:N,0),0)</f>
        <v>843842.86317179317</v>
      </c>
      <c r="R430" s="25">
        <f t="array" aca="1" ref="R430" ca="1">INDEX('Lorri 401b'!L:L,MATCH('Retirement Calculator'!A430,'Lorri 401b'!N:N,0),0)</f>
        <v>2204256.2820060691</v>
      </c>
      <c r="S430" s="25">
        <f t="shared" ca="1" si="267"/>
        <v>3048099.1451778621</v>
      </c>
    </row>
    <row r="431" spans="1:19" ht="15.75" customHeight="1" x14ac:dyDescent="0.3">
      <c r="A431" s="37">
        <v>64071</v>
      </c>
      <c r="B431" s="409">
        <f t="shared" ref="B431:C431" si="432">($A431-B$9)/365.25</f>
        <v>93.538672142368242</v>
      </c>
      <c r="C431" s="409">
        <f t="shared" si="432"/>
        <v>88.928131416837786</v>
      </c>
      <c r="E431" s="25">
        <f>IF(C431&gt;$B$7,0,'Combined Retirement'!$D$13/12)</f>
        <v>0</v>
      </c>
      <c r="F431" s="25">
        <f>IF(H431=0,'Combined Retirement'!$D$32,0)+'Combined Retirement'!$B$24</f>
        <v>2870.372285649099</v>
      </c>
      <c r="G431" s="25">
        <f>'Combined Retirement'!$C$24</f>
        <v>3525.4531757812501</v>
      </c>
      <c r="H431" s="25">
        <f>IF(B431&lt;62,0,'Combined Retirement'!$I$14)</f>
        <v>2192</v>
      </c>
      <c r="I431" s="25">
        <f>IF(C431&lt;62,0,'Combined Retirement'!$I$13)</f>
        <v>2420</v>
      </c>
      <c r="J431" s="25">
        <f t="shared" si="263"/>
        <v>7863.2184191855868</v>
      </c>
      <c r="K431" s="25">
        <f t="shared" si="264"/>
        <v>20282.026119384056</v>
      </c>
      <c r="L431" s="25"/>
      <c r="N431" s="25">
        <f>'Combined Retirement'!$C$18/12</f>
        <v>39153.069999999992</v>
      </c>
      <c r="O431" s="25">
        <f t="shared" si="265"/>
        <v>11007.82546143035</v>
      </c>
      <c r="P431" s="25">
        <f t="shared" si="266"/>
        <v>28145.244538569641</v>
      </c>
      <c r="Q431" s="25">
        <f t="array" aca="1" ref="Q431" ca="1">INDEX('Isaac 401k'!L:L,MATCH('Retirement Calculator'!A431,'Isaac 401k'!N:N,0),0)</f>
        <v>839462.89327241015</v>
      </c>
      <c r="R431" s="25">
        <f t="array" aca="1" ref="R431" ca="1">INDEX('Lorri 401b'!L:L,MATCH('Retirement Calculator'!A431,'Lorri 401b'!N:N,0),0)</f>
        <v>2193074.1486195461</v>
      </c>
      <c r="S431" s="25">
        <f t="shared" ca="1" si="267"/>
        <v>3032537.0418919562</v>
      </c>
    </row>
    <row r="432" spans="1:19" ht="15.75" customHeight="1" x14ac:dyDescent="0.3">
      <c r="A432" s="37">
        <v>64101</v>
      </c>
      <c r="B432" s="409">
        <f t="shared" ref="B432:C432" si="433">($A432-B$9)/365.25</f>
        <v>93.620807665982198</v>
      </c>
      <c r="C432" s="409">
        <f t="shared" si="433"/>
        <v>89.010266940451743</v>
      </c>
      <c r="E432" s="25">
        <f>IF(C432&gt;$B$7,0,'Combined Retirement'!$D$13/12)</f>
        <v>0</v>
      </c>
      <c r="F432" s="25">
        <f>IF(H432=0,'Combined Retirement'!$D$32,0)+'Combined Retirement'!$B$24</f>
        <v>2870.372285649099</v>
      </c>
      <c r="G432" s="25">
        <f>'Combined Retirement'!$C$24</f>
        <v>3525.4531757812501</v>
      </c>
      <c r="H432" s="25">
        <f>IF(B432&lt;62,0,'Combined Retirement'!$I$14)</f>
        <v>2192</v>
      </c>
      <c r="I432" s="25">
        <f>IF(C432&lt;62,0,'Combined Retirement'!$I$13)</f>
        <v>2420</v>
      </c>
      <c r="J432" s="25">
        <f t="shared" si="263"/>
        <v>7863.2184191855868</v>
      </c>
      <c r="K432" s="25">
        <f t="shared" si="264"/>
        <v>20282.026119384056</v>
      </c>
      <c r="L432" s="25"/>
      <c r="N432" s="25">
        <f>'Combined Retirement'!$C$18/12</f>
        <v>39153.069999999992</v>
      </c>
      <c r="O432" s="25">
        <f t="shared" si="265"/>
        <v>11007.82546143035</v>
      </c>
      <c r="P432" s="25">
        <f t="shared" si="266"/>
        <v>28145.244538569641</v>
      </c>
      <c r="Q432" s="25">
        <f t="array" aca="1" ref="Q432" ca="1">INDEX('Isaac 401k'!L:L,MATCH('Retirement Calculator'!A432,'Isaac 401k'!N:N,0),0)</f>
        <v>835064.67349844635</v>
      </c>
      <c r="R432" s="25">
        <f t="array" aca="1" ref="R432" ca="1">INDEX('Lorri 401b'!L:L,MATCH('Retirement Calculator'!A432,'Lorri 401b'!N:N,0),0)</f>
        <v>2181845.4230105793</v>
      </c>
      <c r="S432" s="25">
        <f t="shared" ca="1" si="267"/>
        <v>3016910.0965090254</v>
      </c>
    </row>
    <row r="433" spans="1:19" ht="15.75" customHeight="1" x14ac:dyDescent="0.3">
      <c r="A433" s="37">
        <v>64132</v>
      </c>
      <c r="B433" s="409">
        <f t="shared" ref="B433:C433" si="434">($A433-B$9)/365.25</f>
        <v>93.705681040383297</v>
      </c>
      <c r="C433" s="409">
        <f t="shared" si="434"/>
        <v>89.095140314852841</v>
      </c>
      <c r="E433" s="25">
        <f>IF(C433&gt;$B$7,0,'Combined Retirement'!$D$13/12)</f>
        <v>0</v>
      </c>
      <c r="F433" s="25">
        <f>IF(H433=0,'Combined Retirement'!$D$32,0)+'Combined Retirement'!$B$24</f>
        <v>2870.372285649099</v>
      </c>
      <c r="G433" s="25">
        <f>'Combined Retirement'!$C$24</f>
        <v>3525.4531757812501</v>
      </c>
      <c r="H433" s="25">
        <f>IF(B433&lt;62,0,'Combined Retirement'!$I$14)</f>
        <v>2192</v>
      </c>
      <c r="I433" s="25">
        <f>IF(C433&lt;62,0,'Combined Retirement'!$I$13)</f>
        <v>2420</v>
      </c>
      <c r="J433" s="25">
        <f t="shared" si="263"/>
        <v>7863.2184191855868</v>
      </c>
      <c r="K433" s="25">
        <f t="shared" si="264"/>
        <v>20282.026119384056</v>
      </c>
      <c r="L433" s="25"/>
      <c r="N433" s="25">
        <f>'Combined Retirement'!$C$18/12</f>
        <v>39153.069999999992</v>
      </c>
      <c r="O433" s="25">
        <f t="shared" si="265"/>
        <v>11007.82546143035</v>
      </c>
      <c r="P433" s="25">
        <f t="shared" si="266"/>
        <v>28145.244538569641</v>
      </c>
      <c r="Q433" s="25">
        <f t="array" aca="1" ref="Q433" ca="1">INDEX('Isaac 401k'!L:L,MATCH('Retirement Calculator'!A433,'Isaac 401k'!N:N,0),0)</f>
        <v>830648.12780875771</v>
      </c>
      <c r="R433" s="25">
        <f t="array" aca="1" ref="R433" ca="1">INDEX('Lorri 401b'!L:L,MATCH('Retirement Calculator'!A433,'Lorri 401b'!N:N,0),0)</f>
        <v>2170569.9110449087</v>
      </c>
      <c r="S433" s="25">
        <f t="shared" ca="1" si="267"/>
        <v>3001218.0388536663</v>
      </c>
    </row>
    <row r="434" spans="1:19" ht="15.75" customHeight="1" x14ac:dyDescent="0.3">
      <c r="A434" s="37">
        <v>64163</v>
      </c>
      <c r="B434" s="409">
        <f t="shared" ref="B434:C434" si="435">($A434-B$9)/365.25</f>
        <v>93.790554414784395</v>
      </c>
      <c r="C434" s="409">
        <f t="shared" si="435"/>
        <v>89.18001368925394</v>
      </c>
      <c r="E434" s="25">
        <f>IF(C434&gt;$B$7,0,'Combined Retirement'!$D$13/12)</f>
        <v>0</v>
      </c>
      <c r="F434" s="25">
        <f>IF(H434=0,'Combined Retirement'!$D$32,0)+'Combined Retirement'!$B$24</f>
        <v>2870.372285649099</v>
      </c>
      <c r="G434" s="25">
        <f>'Combined Retirement'!$C$24</f>
        <v>3525.4531757812501</v>
      </c>
      <c r="H434" s="25">
        <f>IF(B434&lt;62,0,'Combined Retirement'!$I$14)</f>
        <v>2192</v>
      </c>
      <c r="I434" s="25">
        <f>IF(C434&lt;62,0,'Combined Retirement'!$I$13)</f>
        <v>2420</v>
      </c>
      <c r="J434" s="25">
        <f t="shared" si="263"/>
        <v>7863.2184191855868</v>
      </c>
      <c r="K434" s="25">
        <f t="shared" si="264"/>
        <v>20282.026119384056</v>
      </c>
      <c r="L434" s="25"/>
      <c r="N434" s="25">
        <f>'Combined Retirement'!$C$18/12</f>
        <v>39153.069999999992</v>
      </c>
      <c r="O434" s="25">
        <f t="shared" si="265"/>
        <v>11007.82546143035</v>
      </c>
      <c r="P434" s="25">
        <f t="shared" si="266"/>
        <v>28145.244538569641</v>
      </c>
      <c r="Q434" s="25">
        <f t="array" aca="1" ref="Q434" ca="1">INDEX('Isaac 401k'!L:L,MATCH('Retirement Calculator'!A434,'Isaac 401k'!N:N,0),0)</f>
        <v>826213.17984536197</v>
      </c>
      <c r="R434" s="25">
        <f t="array" aca="1" ref="R434" ca="1">INDEX('Lorri 401b'!L:L,MATCH('Retirement Calculator'!A434,'Lorri 401b'!N:N,0),0)</f>
        <v>2159247.4177793809</v>
      </c>
      <c r="S434" s="25">
        <f t="shared" ca="1" si="267"/>
        <v>2985460.5976247429</v>
      </c>
    </row>
    <row r="435" spans="1:19" ht="15.75" customHeight="1" x14ac:dyDescent="0.3">
      <c r="A435" s="37">
        <v>64193</v>
      </c>
      <c r="B435" s="409">
        <f t="shared" ref="B435:C435" si="436">($A435-B$9)/365.25</f>
        <v>93.872689938398352</v>
      </c>
      <c r="C435" s="409">
        <f t="shared" si="436"/>
        <v>89.262149212867897</v>
      </c>
      <c r="E435" s="25">
        <f>IF(C435&gt;$B$7,0,'Combined Retirement'!$D$13/12)</f>
        <v>0</v>
      </c>
      <c r="F435" s="25">
        <f>IF(H435=0,'Combined Retirement'!$D$32,0)+'Combined Retirement'!$B$24</f>
        <v>2870.372285649099</v>
      </c>
      <c r="G435" s="25">
        <f>'Combined Retirement'!$C$24</f>
        <v>3525.4531757812501</v>
      </c>
      <c r="H435" s="25">
        <f>IF(B435&lt;62,0,'Combined Retirement'!$I$14)</f>
        <v>2192</v>
      </c>
      <c r="I435" s="25">
        <f>IF(C435&lt;62,0,'Combined Retirement'!$I$13)</f>
        <v>2420</v>
      </c>
      <c r="J435" s="25">
        <f t="shared" si="263"/>
        <v>7863.2184191855868</v>
      </c>
      <c r="K435" s="25">
        <f t="shared" si="264"/>
        <v>20282.026119384056</v>
      </c>
      <c r="L435" s="25"/>
      <c r="N435" s="25">
        <f>'Combined Retirement'!$C$18/12</f>
        <v>39153.069999999992</v>
      </c>
      <c r="O435" s="25">
        <f t="shared" si="265"/>
        <v>11007.82546143035</v>
      </c>
      <c r="P435" s="25">
        <f t="shared" si="266"/>
        <v>28145.244538569641</v>
      </c>
      <c r="Q435" s="25">
        <f t="array" aca="1" ref="Q435" ca="1">INDEX('Isaac 401k'!L:L,MATCH('Retirement Calculator'!A435,'Isaac 401k'!N:N,0),0)</f>
        <v>821759.75293211872</v>
      </c>
      <c r="R435" s="25">
        <f t="array" aca="1" ref="R435" ca="1">INDEX('Lorri 401b'!L:L,MATCH('Retirement Calculator'!A435,'Lorri 401b'!N:N,0),0)</f>
        <v>2147877.7474585804</v>
      </c>
      <c r="S435" s="25">
        <f t="shared" ca="1" si="267"/>
        <v>2969637.5003906991</v>
      </c>
    </row>
    <row r="436" spans="1:19" ht="15.75" customHeight="1" x14ac:dyDescent="0.3">
      <c r="A436" s="37">
        <v>64224</v>
      </c>
      <c r="B436" s="409">
        <f t="shared" ref="B436:C436" si="437">($A436-B$9)/365.25</f>
        <v>93.957563312799451</v>
      </c>
      <c r="C436" s="409">
        <f t="shared" si="437"/>
        <v>89.347022587268995</v>
      </c>
      <c r="E436" s="25">
        <f>IF(C436&gt;$B$7,0,'Combined Retirement'!$D$13/12)</f>
        <v>0</v>
      </c>
      <c r="F436" s="25">
        <f>IF(H436=0,'Combined Retirement'!$D$32,0)+'Combined Retirement'!$B$24</f>
        <v>2870.372285649099</v>
      </c>
      <c r="G436" s="25">
        <f>'Combined Retirement'!$C$24</f>
        <v>3525.4531757812501</v>
      </c>
      <c r="H436" s="25">
        <f>IF(B436&lt;62,0,'Combined Retirement'!$I$14)</f>
        <v>2192</v>
      </c>
      <c r="I436" s="25">
        <f>IF(C436&lt;62,0,'Combined Retirement'!$I$13)</f>
        <v>2420</v>
      </c>
      <c r="J436" s="25">
        <f t="shared" si="263"/>
        <v>7863.2184191855868</v>
      </c>
      <c r="K436" s="25">
        <f t="shared" si="264"/>
        <v>20282.026119384056</v>
      </c>
      <c r="L436" s="25"/>
      <c r="N436" s="25">
        <f>'Combined Retirement'!$C$18/12</f>
        <v>39153.069999999992</v>
      </c>
      <c r="O436" s="25">
        <f t="shared" si="265"/>
        <v>11007.82546143035</v>
      </c>
      <c r="P436" s="25">
        <f t="shared" si="266"/>
        <v>28145.244538569641</v>
      </c>
      <c r="Q436" s="25">
        <f t="array" aca="1" ref="Q436" ca="1">INDEX('Isaac 401k'!L:L,MATCH('Retirement Calculator'!A436,'Isaac 401k'!N:N,0),0)</f>
        <v>817287.77007340372</v>
      </c>
      <c r="R436" s="25">
        <f t="array" aca="1" ref="R436" ca="1">INDEX('Lorri 401b'!L:L,MATCH('Retirement Calculator'!A436,'Lorri 401b'!N:N,0),0)</f>
        <v>2136460.703511443</v>
      </c>
      <c r="S436" s="25">
        <f t="shared" ca="1" si="267"/>
        <v>2953748.4735848466</v>
      </c>
    </row>
    <row r="437" spans="1:19" ht="15.75" customHeight="1" x14ac:dyDescent="0.3">
      <c r="A437" s="37">
        <v>64254</v>
      </c>
      <c r="B437" s="409">
        <f t="shared" ref="B437:C437" si="438">($A437-B$9)/365.25</f>
        <v>94.039698836413422</v>
      </c>
      <c r="C437" s="409">
        <f t="shared" si="438"/>
        <v>89.429158110882952</v>
      </c>
      <c r="E437" s="25">
        <f>IF(C437&gt;$B$7,0,'Combined Retirement'!$D$13/12)</f>
        <v>0</v>
      </c>
      <c r="F437" s="25">
        <f>IF(H437=0,'Combined Retirement'!$D$32,0)+'Combined Retirement'!$B$24</f>
        <v>2870.372285649099</v>
      </c>
      <c r="G437" s="25">
        <f>'Combined Retirement'!$C$24</f>
        <v>3525.4531757812501</v>
      </c>
      <c r="H437" s="25">
        <f>IF(B437&lt;62,0,'Combined Retirement'!$I$14)</f>
        <v>2192</v>
      </c>
      <c r="I437" s="25">
        <f>IF(C437&lt;62,0,'Combined Retirement'!$I$13)</f>
        <v>2420</v>
      </c>
      <c r="J437" s="25">
        <f t="shared" si="263"/>
        <v>7863.2184191855868</v>
      </c>
      <c r="K437" s="25">
        <f t="shared" si="264"/>
        <v>20282.026119384056</v>
      </c>
      <c r="L437" s="25"/>
      <c r="N437" s="25">
        <f>'Combined Retirement'!$C$18/12</f>
        <v>39153.069999999992</v>
      </c>
      <c r="O437" s="25">
        <f t="shared" si="265"/>
        <v>11007.82546143035</v>
      </c>
      <c r="P437" s="25">
        <f t="shared" si="266"/>
        <v>28145.244538569641</v>
      </c>
      <c r="Q437" s="25">
        <f t="array" aca="1" ref="Q437" ca="1">INDEX('Isaac 401k'!L:L,MATCH('Retirement Calculator'!A437,'Isaac 401k'!N:N,0),0)</f>
        <v>812797.15395277739</v>
      </c>
      <c r="R437" s="25">
        <f t="array" aca="1" ref="R437" ca="1">INDEX('Lorri 401b'!L:L,MATCH('Retirement Calculator'!A437,'Lorri 401b'!N:N,0),0)</f>
        <v>2124996.0885478593</v>
      </c>
      <c r="S437" s="25">
        <f t="shared" ca="1" si="267"/>
        <v>2937793.2425006367</v>
      </c>
    </row>
    <row r="438" spans="1:19" ht="15.75" customHeight="1" x14ac:dyDescent="0.3">
      <c r="A438" s="37">
        <v>64285</v>
      </c>
      <c r="B438" s="409">
        <f t="shared" ref="B438:C438" si="439">($A438-B$9)/365.25</f>
        <v>94.124572210814506</v>
      </c>
      <c r="C438" s="409">
        <f t="shared" si="439"/>
        <v>89.51403148528405</v>
      </c>
      <c r="E438" s="25">
        <f>IF(C438&gt;$B$7,0,'Combined Retirement'!$D$13/12)</f>
        <v>0</v>
      </c>
      <c r="F438" s="25">
        <f>IF(H438=0,'Combined Retirement'!$D$32,0)+'Combined Retirement'!$B$24</f>
        <v>2870.372285649099</v>
      </c>
      <c r="G438" s="25">
        <f>'Combined Retirement'!$C$24</f>
        <v>3525.4531757812501</v>
      </c>
      <c r="H438" s="25">
        <f>IF(B438&lt;62,0,'Combined Retirement'!$I$14)</f>
        <v>2192</v>
      </c>
      <c r="I438" s="25">
        <f>IF(C438&lt;62,0,'Combined Retirement'!$I$13)</f>
        <v>2420</v>
      </c>
      <c r="J438" s="25">
        <f t="shared" si="263"/>
        <v>7863.2184191855868</v>
      </c>
      <c r="K438" s="25">
        <f t="shared" si="264"/>
        <v>20282.026119384056</v>
      </c>
      <c r="L438" s="25"/>
      <c r="N438" s="25">
        <f>'Combined Retirement'!$C$18/12</f>
        <v>39153.069999999992</v>
      </c>
      <c r="O438" s="25">
        <f t="shared" si="265"/>
        <v>11007.82546143035</v>
      </c>
      <c r="P438" s="25">
        <f t="shared" si="266"/>
        <v>28145.244538569641</v>
      </c>
      <c r="Q438" s="25">
        <f t="array" aca="1" ref="Q438" ca="1">INDEX('Isaac 401k'!L:L,MATCH('Retirement Calculator'!A438,'Isaac 401k'!N:N,0),0)</f>
        <v>808287.82693164842</v>
      </c>
      <c r="R438" s="25">
        <f t="array" aca="1" ref="R438" ca="1">INDEX('Lorri 401b'!L:L,MATCH('Retirement Calculator'!A438,'Lorri 401b'!N:N,0),0)</f>
        <v>2113483.7043552608</v>
      </c>
      <c r="S438" s="25">
        <f t="shared" ca="1" si="267"/>
        <v>2921771.5312869092</v>
      </c>
    </row>
    <row r="439" spans="1:19" ht="15.75" customHeight="1" x14ac:dyDescent="0.3">
      <c r="A439" s="37">
        <v>64316</v>
      </c>
      <c r="B439" s="409">
        <f t="shared" ref="B439:C439" si="440">($A439-B$9)/365.25</f>
        <v>94.209445585215605</v>
      </c>
      <c r="C439" s="409">
        <f t="shared" si="440"/>
        <v>89.598904859685149</v>
      </c>
      <c r="E439" s="25">
        <f>IF(C439&gt;$B$7,0,'Combined Retirement'!$D$13/12)</f>
        <v>0</v>
      </c>
      <c r="F439" s="25">
        <f>IF(H439=0,'Combined Retirement'!$D$32,0)+'Combined Retirement'!$B$24</f>
        <v>2870.372285649099</v>
      </c>
      <c r="G439" s="25">
        <f>'Combined Retirement'!$C$24</f>
        <v>3525.4531757812501</v>
      </c>
      <c r="H439" s="25">
        <f>IF(B439&lt;62,0,'Combined Retirement'!$I$14)</f>
        <v>2192</v>
      </c>
      <c r="I439" s="25">
        <f>IF(C439&lt;62,0,'Combined Retirement'!$I$13)</f>
        <v>2420</v>
      </c>
      <c r="J439" s="25">
        <f t="shared" si="263"/>
        <v>7863.2184191855868</v>
      </c>
      <c r="K439" s="25">
        <f t="shared" si="264"/>
        <v>20282.026119384056</v>
      </c>
      <c r="L439" s="25"/>
      <c r="N439" s="25">
        <f>'Combined Retirement'!$C$18/12</f>
        <v>39153.069999999992</v>
      </c>
      <c r="O439" s="25">
        <f t="shared" si="265"/>
        <v>11007.82546143035</v>
      </c>
      <c r="P439" s="25">
        <f t="shared" si="266"/>
        <v>28145.244538569641</v>
      </c>
      <c r="Q439" s="25">
        <f t="array" aca="1" ref="Q439" ca="1">INDEX('Isaac 401k'!L:L,MATCH('Retirement Calculator'!A439,'Isaac 401k'!N:N,0),0)</f>
        <v>803759.71104793146</v>
      </c>
      <c r="R439" s="25">
        <f t="array" aca="1" ref="R439" ca="1">INDEX('Lorri 401b'!L:L,MATCH('Retirement Calculator'!A439,'Lorri 401b'!N:N,0),0)</f>
        <v>2101923.3518951931</v>
      </c>
      <c r="S439" s="25">
        <f t="shared" ca="1" si="267"/>
        <v>2905683.0629431247</v>
      </c>
    </row>
    <row r="440" spans="1:19" ht="15.75" customHeight="1" x14ac:dyDescent="0.3">
      <c r="A440" s="37">
        <v>64345</v>
      </c>
      <c r="B440" s="409">
        <f t="shared" ref="B440:C440" si="441">($A440-B$9)/365.25</f>
        <v>94.288843258042434</v>
      </c>
      <c r="C440" s="409">
        <f t="shared" si="441"/>
        <v>89.678302532511978</v>
      </c>
      <c r="E440" s="25">
        <f>IF(C440&gt;$B$7,0,'Combined Retirement'!$D$13/12)</f>
        <v>0</v>
      </c>
      <c r="F440" s="25">
        <f>IF(H440=0,'Combined Retirement'!$D$32,0)+'Combined Retirement'!$B$24</f>
        <v>2870.372285649099</v>
      </c>
      <c r="G440" s="25">
        <f>'Combined Retirement'!$C$24</f>
        <v>3525.4531757812501</v>
      </c>
      <c r="H440" s="25">
        <f>IF(B440&lt;62,0,'Combined Retirement'!$I$14)</f>
        <v>2192</v>
      </c>
      <c r="I440" s="25">
        <f>IF(C440&lt;62,0,'Combined Retirement'!$I$13)</f>
        <v>2420</v>
      </c>
      <c r="J440" s="25">
        <f t="shared" si="263"/>
        <v>7863.2184191855868</v>
      </c>
      <c r="K440" s="25">
        <f t="shared" si="264"/>
        <v>20282.026119384056</v>
      </c>
      <c r="L440" s="25"/>
      <c r="N440" s="25">
        <f>'Combined Retirement'!$C$18/12</f>
        <v>39153.069999999992</v>
      </c>
      <c r="O440" s="25">
        <f t="shared" si="265"/>
        <v>11007.82546143035</v>
      </c>
      <c r="P440" s="25">
        <f t="shared" si="266"/>
        <v>28145.244538569641</v>
      </c>
      <c r="Q440" s="25">
        <f t="array" aca="1" ref="Q440" ca="1">INDEX('Isaac 401k'!L:L,MATCH('Retirement Calculator'!A440,'Isaac 401k'!N:N,0),0)</f>
        <v>799212.72801469895</v>
      </c>
      <c r="R440" s="25">
        <f t="array" aca="1" ref="R440" ca="1">INDEX('Lorri 401b'!L:L,MATCH('Retirement Calculator'!A440,'Lorri 401b'!N:N,0),0)</f>
        <v>2090314.8312998749</v>
      </c>
      <c r="S440" s="25">
        <f t="shared" ca="1" si="267"/>
        <v>2889527.5593145741</v>
      </c>
    </row>
    <row r="441" spans="1:19" ht="15.75" customHeight="1" x14ac:dyDescent="0.3">
      <c r="A441" s="37">
        <v>64376</v>
      </c>
      <c r="B441" s="409">
        <f t="shared" ref="B441:C441" si="442">($A441-B$9)/365.25</f>
        <v>94.373716632443532</v>
      </c>
      <c r="C441" s="409">
        <f t="shared" si="442"/>
        <v>89.763175906913077</v>
      </c>
      <c r="E441" s="25">
        <f>IF(C441&gt;$B$7,0,'Combined Retirement'!$D$13/12)</f>
        <v>0</v>
      </c>
      <c r="F441" s="25">
        <f>IF(H441=0,'Combined Retirement'!$D$32,0)+'Combined Retirement'!$B$24</f>
        <v>2870.372285649099</v>
      </c>
      <c r="G441" s="25">
        <f>'Combined Retirement'!$C$24</f>
        <v>3525.4531757812501</v>
      </c>
      <c r="H441" s="25">
        <f>IF(B441&lt;62,0,'Combined Retirement'!$I$14)</f>
        <v>2192</v>
      </c>
      <c r="I441" s="25">
        <f>IF(C441&lt;62,0,'Combined Retirement'!$I$13)</f>
        <v>2420</v>
      </c>
      <c r="J441" s="25">
        <f t="shared" si="263"/>
        <v>7863.2184191855868</v>
      </c>
      <c r="K441" s="25">
        <f t="shared" si="264"/>
        <v>20282.026119384056</v>
      </c>
      <c r="L441" s="25"/>
      <c r="N441" s="25">
        <f>'Combined Retirement'!$C$18/12</f>
        <v>39153.069999999992</v>
      </c>
      <c r="O441" s="25">
        <f t="shared" si="265"/>
        <v>11007.82546143035</v>
      </c>
      <c r="P441" s="25">
        <f t="shared" si="266"/>
        <v>28145.244538569641</v>
      </c>
      <c r="Q441" s="25">
        <f t="array" aca="1" ref="Q441" ca="1">INDEX('Isaac 401k'!L:L,MATCH('Retirement Calculator'!A441,'Isaac 401k'!N:N,0),0)</f>
        <v>794646.79921882797</v>
      </c>
      <c r="R441" s="25">
        <f t="array" aca="1" ref="R441" ca="1">INDEX('Lorri 401b'!L:L,MATCH('Retirement Calculator'!A441,'Lorri 401b'!N:N,0),0)</f>
        <v>2078657.9418687429</v>
      </c>
      <c r="S441" s="25">
        <f t="shared" ca="1" si="267"/>
        <v>2873304.7410875708</v>
      </c>
    </row>
    <row r="442" spans="1:19" ht="15.75" customHeight="1" x14ac:dyDescent="0.3">
      <c r="A442" s="37">
        <v>64406</v>
      </c>
      <c r="B442" s="409">
        <f t="shared" ref="B442:C442" si="443">($A442-B$9)/365.25</f>
        <v>94.455852156057489</v>
      </c>
      <c r="C442" s="409">
        <f t="shared" si="443"/>
        <v>89.845311430527033</v>
      </c>
      <c r="E442" s="25">
        <f>IF(C442&gt;$B$7,0,'Combined Retirement'!$D$13/12)</f>
        <v>0</v>
      </c>
      <c r="F442" s="25">
        <f>IF(H442=0,'Combined Retirement'!$D$32,0)+'Combined Retirement'!$B$24</f>
        <v>2870.372285649099</v>
      </c>
      <c r="G442" s="25">
        <f>'Combined Retirement'!$C$24</f>
        <v>3525.4531757812501</v>
      </c>
      <c r="H442" s="25">
        <f>IF(B442&lt;62,0,'Combined Retirement'!$I$14)</f>
        <v>2192</v>
      </c>
      <c r="I442" s="25">
        <f>IF(C442&lt;62,0,'Combined Retirement'!$I$13)</f>
        <v>2420</v>
      </c>
      <c r="J442" s="25">
        <f t="shared" si="263"/>
        <v>7863.2184191855868</v>
      </c>
      <c r="K442" s="25">
        <f t="shared" si="264"/>
        <v>20282.026119384056</v>
      </c>
      <c r="L442" s="25"/>
      <c r="N442" s="25">
        <f>'Combined Retirement'!$C$18/12</f>
        <v>39153.069999999992</v>
      </c>
      <c r="O442" s="25">
        <f t="shared" si="265"/>
        <v>11007.82546143035</v>
      </c>
      <c r="P442" s="25">
        <f t="shared" si="266"/>
        <v>28145.244538569641</v>
      </c>
      <c r="Q442" s="25">
        <f t="array" aca="1" ref="Q442" ca="1">INDEX('Isaac 401k'!L:L,MATCH('Retirement Calculator'!A442,'Isaac 401k'!N:N,0),0)</f>
        <v>790061.84571964084</v>
      </c>
      <c r="R442" s="25">
        <f t="array" aca="1" ref="R442" ca="1">INDEX('Lorri 401b'!L:L,MATCH('Retirement Calculator'!A442,'Lorri 401b'!N:N,0),0)</f>
        <v>2066952.4820649812</v>
      </c>
      <c r="S442" s="25">
        <f t="shared" ca="1" si="267"/>
        <v>2857014.3277846221</v>
      </c>
    </row>
    <row r="443" spans="1:19" ht="15.75" customHeight="1" x14ac:dyDescent="0.3">
      <c r="A443" s="37">
        <v>64437</v>
      </c>
      <c r="B443" s="409">
        <f t="shared" ref="B443:C443" si="444">($A443-B$9)/365.25</f>
        <v>94.540725530458587</v>
      </c>
      <c r="C443" s="409">
        <f t="shared" si="444"/>
        <v>89.930184804928132</v>
      </c>
      <c r="E443" s="25">
        <f>IF(C443&gt;$B$7,0,'Combined Retirement'!$D$13/12)</f>
        <v>0</v>
      </c>
      <c r="F443" s="25">
        <f>IF(H443=0,'Combined Retirement'!$D$32,0)+'Combined Retirement'!$B$24</f>
        <v>2870.372285649099</v>
      </c>
      <c r="G443" s="25">
        <f>'Combined Retirement'!$C$24</f>
        <v>3525.4531757812501</v>
      </c>
      <c r="H443" s="25">
        <f>IF(B443&lt;62,0,'Combined Retirement'!$I$14)</f>
        <v>2192</v>
      </c>
      <c r="I443" s="25">
        <f>IF(C443&lt;62,0,'Combined Retirement'!$I$13)</f>
        <v>2420</v>
      </c>
      <c r="J443" s="25">
        <f t="shared" si="263"/>
        <v>7863.2184191855868</v>
      </c>
      <c r="K443" s="25">
        <f t="shared" si="264"/>
        <v>20282.026119384056</v>
      </c>
      <c r="L443" s="25"/>
      <c r="N443" s="25">
        <f>'Combined Retirement'!$C$18/12</f>
        <v>39153.069999999992</v>
      </c>
      <c r="O443" s="25">
        <f t="shared" si="265"/>
        <v>11007.82546143035</v>
      </c>
      <c r="P443" s="25">
        <f t="shared" si="266"/>
        <v>28145.244538569641</v>
      </c>
      <c r="Q443" s="25">
        <f t="array" aca="1" ref="Q443" ca="1">INDEX('Isaac 401k'!L:L,MATCH('Retirement Calculator'!A443,'Isaac 401k'!N:N,0),0)</f>
        <v>785457.78824754048</v>
      </c>
      <c r="R443" s="25">
        <f t="array" aca="1" ref="R443" ca="1">INDEX('Lorri 401b'!L:L,MATCH('Retirement Calculator'!A443,'Lorri 401b'!N:N,0),0)</f>
        <v>2055198.2495120373</v>
      </c>
      <c r="S443" s="25">
        <f t="shared" ca="1" si="267"/>
        <v>2840656.0377595779</v>
      </c>
    </row>
    <row r="444" spans="1:19" ht="15.75" customHeight="1" x14ac:dyDescent="0.3">
      <c r="A444" s="37">
        <v>64467</v>
      </c>
      <c r="B444" s="409">
        <f t="shared" ref="B444:C444" si="445">($A444-B$9)/365.25</f>
        <v>94.622861054072558</v>
      </c>
      <c r="C444" s="409">
        <f t="shared" si="445"/>
        <v>90.012320328542089</v>
      </c>
      <c r="E444" s="25">
        <f>IF(C444&gt;$B$7,0,'Combined Retirement'!$D$13/12)</f>
        <v>0</v>
      </c>
      <c r="F444" s="25">
        <f>IF(H444=0,'Combined Retirement'!$D$32,0)+'Combined Retirement'!$B$24</f>
        <v>2870.372285649099</v>
      </c>
      <c r="G444" s="25">
        <f>'Combined Retirement'!$C$24</f>
        <v>3525.4531757812501</v>
      </c>
      <c r="H444" s="25">
        <f>IF(B444&lt;62,0,'Combined Retirement'!$I$14)</f>
        <v>2192</v>
      </c>
      <c r="I444" s="25">
        <f>IF(C444&lt;62,0,'Combined Retirement'!$I$13)</f>
        <v>2420</v>
      </c>
      <c r="J444" s="25">
        <f t="shared" si="263"/>
        <v>7863.2184191855868</v>
      </c>
      <c r="K444" s="25">
        <f t="shared" si="264"/>
        <v>20282.026119384056</v>
      </c>
      <c r="L444" s="25"/>
      <c r="N444" s="25">
        <f>'Combined Retirement'!$C$18/12</f>
        <v>39153.069999999992</v>
      </c>
      <c r="O444" s="25">
        <f t="shared" si="265"/>
        <v>11007.82546143035</v>
      </c>
      <c r="P444" s="25">
        <f t="shared" si="266"/>
        <v>28145.244538569641</v>
      </c>
      <c r="Q444" s="25">
        <f t="array" aca="1" ref="Q444" ca="1">INDEX('Isaac 401k'!L:L,MATCH('Retirement Calculator'!A444,'Isaac 401k'!N:N,0),0)</f>
        <v>780834.54720263963</v>
      </c>
      <c r="R444" s="25">
        <f t="array" aca="1" ref="R444" ca="1">INDEX('Lorri 401b'!L:L,MATCH('Retirement Calculator'!A444,'Lorri 401b'!N:N,0),0)</f>
        <v>2043395.0409901226</v>
      </c>
      <c r="S444" s="25">
        <f t="shared" ca="1" si="267"/>
        <v>2824229.5881927623</v>
      </c>
    </row>
    <row r="445" spans="1:19" ht="15.75" customHeight="1" x14ac:dyDescent="0.3">
      <c r="A445" s="37">
        <v>64498</v>
      </c>
      <c r="B445" s="409">
        <f t="shared" ref="B445:C445" si="446">($A445-B$9)/365.25</f>
        <v>94.707734428473643</v>
      </c>
      <c r="C445" s="409">
        <f t="shared" si="446"/>
        <v>90.097193702943187</v>
      </c>
      <c r="E445" s="25">
        <f>IF(C445&gt;$B$7,0,'Combined Retirement'!$D$13/12)</f>
        <v>0</v>
      </c>
      <c r="F445" s="25">
        <f>IF(H445=0,'Combined Retirement'!$D$32,0)+'Combined Retirement'!$B$24</f>
        <v>2870.372285649099</v>
      </c>
      <c r="G445" s="25">
        <f>'Combined Retirement'!$C$24</f>
        <v>3525.4531757812501</v>
      </c>
      <c r="H445" s="25">
        <f>IF(B445&lt;62,0,'Combined Retirement'!$I$14)</f>
        <v>2192</v>
      </c>
      <c r="I445" s="25">
        <f>IF(C445&lt;62,0,'Combined Retirement'!$I$13)</f>
        <v>2420</v>
      </c>
      <c r="J445" s="25">
        <f t="shared" si="263"/>
        <v>7863.2184191855868</v>
      </c>
      <c r="K445" s="25">
        <f t="shared" si="264"/>
        <v>20282.026119384056</v>
      </c>
      <c r="L445" s="25"/>
      <c r="N445" s="25">
        <f>'Combined Retirement'!$C$18/12</f>
        <v>39153.069999999992</v>
      </c>
      <c r="O445" s="25">
        <f t="shared" si="265"/>
        <v>11007.82546143035</v>
      </c>
      <c r="P445" s="25">
        <f t="shared" si="266"/>
        <v>28145.244538569641</v>
      </c>
      <c r="Q445" s="25">
        <f t="array" aca="1" ref="Q445" ca="1">INDEX('Isaac 401k'!L:L,MATCH('Retirement Calculator'!A445,'Isaac 401k'!N:N,0),0)</f>
        <v>776192.04265338508</v>
      </c>
      <c r="R445" s="25">
        <f t="array" aca="1" ref="R445" ca="1">INDEX('Lorri 401b'!L:L,MATCH('Retirement Calculator'!A445,'Lorri 401b'!N:N,0),0)</f>
        <v>2031542.6524326999</v>
      </c>
      <c r="S445" s="25">
        <f t="shared" ca="1" si="267"/>
        <v>2807734.6950860852</v>
      </c>
    </row>
    <row r="446" spans="1:19" ht="15.75" customHeight="1" x14ac:dyDescent="0.3">
      <c r="A446" s="37">
        <v>64529</v>
      </c>
      <c r="B446" s="409">
        <f t="shared" ref="B446:C446" si="447">($A446-B$9)/365.25</f>
        <v>94.792607802874741</v>
      </c>
      <c r="C446" s="409">
        <f t="shared" si="447"/>
        <v>90.182067077344286</v>
      </c>
      <c r="E446" s="25">
        <f>IF(C446&gt;$B$7,0,'Combined Retirement'!$D$13/12)</f>
        <v>0</v>
      </c>
      <c r="F446" s="25">
        <f>IF(H446=0,'Combined Retirement'!$D$32,0)+'Combined Retirement'!$B$24</f>
        <v>2870.372285649099</v>
      </c>
      <c r="G446" s="25">
        <f>'Combined Retirement'!$C$24</f>
        <v>3525.4531757812501</v>
      </c>
      <c r="H446" s="25">
        <f>IF(B446&lt;62,0,'Combined Retirement'!$I$14)</f>
        <v>2192</v>
      </c>
      <c r="I446" s="25">
        <f>IF(C446&lt;62,0,'Combined Retirement'!$I$13)</f>
        <v>2420</v>
      </c>
      <c r="J446" s="25">
        <f t="shared" si="263"/>
        <v>7863.2184191855868</v>
      </c>
      <c r="K446" s="25">
        <f t="shared" si="264"/>
        <v>20282.026119384056</v>
      </c>
      <c r="L446" s="25"/>
      <c r="N446" s="25">
        <f>'Combined Retirement'!$C$18/12</f>
        <v>39153.069999999992</v>
      </c>
      <c r="O446" s="25">
        <f t="shared" si="265"/>
        <v>11007.82546143035</v>
      </c>
      <c r="P446" s="25">
        <f t="shared" si="266"/>
        <v>28145.244538569641</v>
      </c>
      <c r="Q446" s="25">
        <f t="array" aca="1" ref="Q446" ca="1">INDEX('Isaac 401k'!L:L,MATCH('Retirement Calculator'!A446,'Isaac 401k'!N:N,0),0)</f>
        <v>771530.19433517533</v>
      </c>
      <c r="R446" s="25">
        <f t="array" aca="1" ref="R446" ca="1">INDEX('Lorri 401b'!L:L,MATCH('Retirement Calculator'!A446,'Lorri 401b'!N:N,0),0)</f>
        <v>2019640.8789229547</v>
      </c>
      <c r="S446" s="25">
        <f t="shared" ca="1" si="267"/>
        <v>2791171.0732581299</v>
      </c>
    </row>
    <row r="447" spans="1:19" ht="15.75" customHeight="1" x14ac:dyDescent="0.3">
      <c r="A447" s="37">
        <v>64559</v>
      </c>
      <c r="B447" s="409">
        <f t="shared" ref="B447:C447" si="448">($A447-B$9)/365.25</f>
        <v>94.874743326488712</v>
      </c>
      <c r="C447" s="409">
        <f t="shared" si="448"/>
        <v>90.264202600958242</v>
      </c>
      <c r="E447" s="25">
        <f>IF(C447&gt;$B$7,0,'Combined Retirement'!$D$13/12)</f>
        <v>0</v>
      </c>
      <c r="F447" s="25">
        <f>IF(H447=0,'Combined Retirement'!$D$32,0)+'Combined Retirement'!$B$24</f>
        <v>2870.372285649099</v>
      </c>
      <c r="G447" s="25">
        <f>'Combined Retirement'!$C$24</f>
        <v>3525.4531757812501</v>
      </c>
      <c r="H447" s="25">
        <f>IF(B447&lt;62,0,'Combined Retirement'!$I$14)</f>
        <v>2192</v>
      </c>
      <c r="I447" s="25">
        <f>IF(C447&lt;62,0,'Combined Retirement'!$I$13)</f>
        <v>2420</v>
      </c>
      <c r="J447" s="25">
        <f t="shared" si="263"/>
        <v>7863.2184191855868</v>
      </c>
      <c r="K447" s="25">
        <f t="shared" si="264"/>
        <v>20282.026119384056</v>
      </c>
      <c r="L447" s="25"/>
      <c r="N447" s="25">
        <f>'Combined Retirement'!$C$18/12</f>
        <v>39153.069999999992</v>
      </c>
      <c r="O447" s="25">
        <f t="shared" si="265"/>
        <v>11007.82546143035</v>
      </c>
      <c r="P447" s="25">
        <f t="shared" si="266"/>
        <v>28145.244538569641</v>
      </c>
      <c r="Q447" s="25">
        <f t="array" aca="1" ref="Q447" ca="1">INDEX('Isaac 401k'!L:L,MATCH('Retirement Calculator'!A447,'Isaac 401k'!N:N,0),0)</f>
        <v>766848.92164897302</v>
      </c>
      <c r="R447" s="25">
        <f t="array" aca="1" ref="R447" ca="1">INDEX('Lorri 401b'!L:L,MATCH('Retirement Calculator'!A447,'Lorri 401b'!N:N,0),0)</f>
        <v>2007689.5146902523</v>
      </c>
      <c r="S447" s="25">
        <f t="shared" ca="1" si="267"/>
        <v>2774538.4363392252</v>
      </c>
    </row>
    <row r="448" spans="1:19" ht="15.75" customHeight="1" x14ac:dyDescent="0.3">
      <c r="A448" s="37">
        <v>64590</v>
      </c>
      <c r="B448" s="409">
        <f t="shared" ref="B448:C448" si="449">($A448-B$9)/365.25</f>
        <v>94.959616700889796</v>
      </c>
      <c r="C448" s="409">
        <f t="shared" si="449"/>
        <v>90.349075975359341</v>
      </c>
      <c r="E448" s="25">
        <f>IF(C448&gt;$B$7,0,'Combined Retirement'!$D$13/12)</f>
        <v>0</v>
      </c>
      <c r="F448" s="25">
        <f>IF(H448=0,'Combined Retirement'!$D$32,0)+'Combined Retirement'!$B$24</f>
        <v>2870.372285649099</v>
      </c>
      <c r="G448" s="25">
        <f>'Combined Retirement'!$C$24</f>
        <v>3525.4531757812501</v>
      </c>
      <c r="H448" s="25">
        <f>IF(B448&lt;62,0,'Combined Retirement'!$I$14)</f>
        <v>2192</v>
      </c>
      <c r="I448" s="25">
        <f>IF(C448&lt;62,0,'Combined Retirement'!$I$13)</f>
        <v>2420</v>
      </c>
      <c r="J448" s="25">
        <f t="shared" si="263"/>
        <v>7863.2184191855868</v>
      </c>
      <c r="K448" s="25">
        <f t="shared" si="264"/>
        <v>20282.026119384056</v>
      </c>
      <c r="L448" s="25"/>
      <c r="N448" s="25">
        <f>'Combined Retirement'!$C$18/12</f>
        <v>39153.069999999992</v>
      </c>
      <c r="O448" s="25">
        <f t="shared" si="265"/>
        <v>11007.82546143035</v>
      </c>
      <c r="P448" s="25">
        <f t="shared" si="266"/>
        <v>28145.244538569641</v>
      </c>
      <c r="Q448" s="25">
        <f t="array" aca="1" ref="Q448" ca="1">INDEX('Isaac 401k'!L:L,MATCH('Retirement Calculator'!A448,'Isaac 401k'!N:N,0),0)</f>
        <v>762148.14365991147</v>
      </c>
      <c r="R448" s="25">
        <f t="array" aca="1" ref="R448" ca="1">INDEX('Lorri 401b'!L:L,MATCH('Retirement Calculator'!A448,'Lorri 401b'!N:N,0),0)</f>
        <v>1995688.3531065802</v>
      </c>
      <c r="S448" s="25">
        <f t="shared" ca="1" si="267"/>
        <v>2757836.4967664918</v>
      </c>
    </row>
    <row r="449" spans="1:19" ht="15.75" customHeight="1" x14ac:dyDescent="0.3">
      <c r="A449" s="37">
        <v>64620</v>
      </c>
      <c r="B449" s="409">
        <f t="shared" ref="B449:C449" si="450">($A449-B$9)/365.25</f>
        <v>95.041752224503767</v>
      </c>
      <c r="C449" s="409">
        <f t="shared" si="450"/>
        <v>90.431211498973312</v>
      </c>
      <c r="E449" s="25">
        <f>IF(C449&gt;$B$7,0,'Combined Retirement'!$D$13/12)</f>
        <v>0</v>
      </c>
      <c r="F449" s="25">
        <f>IF(H449=0,'Combined Retirement'!$D$32,0)+'Combined Retirement'!$B$24</f>
        <v>2870.372285649099</v>
      </c>
      <c r="G449" s="25">
        <f>'Combined Retirement'!$C$24</f>
        <v>3525.4531757812501</v>
      </c>
      <c r="H449" s="25">
        <f>IF(B449&lt;62,0,'Combined Retirement'!$I$14)</f>
        <v>2192</v>
      </c>
      <c r="I449" s="25">
        <f>IF(C449&lt;62,0,'Combined Retirement'!$I$13)</f>
        <v>2420</v>
      </c>
      <c r="J449" s="25">
        <f t="shared" si="263"/>
        <v>7863.2184191855868</v>
      </c>
      <c r="K449" s="25">
        <f t="shared" si="264"/>
        <v>20282.026119384056</v>
      </c>
      <c r="L449" s="25"/>
      <c r="N449" s="25">
        <f>'Combined Retirement'!$C$18/12</f>
        <v>39153.069999999992</v>
      </c>
      <c r="O449" s="25">
        <f t="shared" si="265"/>
        <v>11007.82546143035</v>
      </c>
      <c r="P449" s="25">
        <f t="shared" si="266"/>
        <v>28145.244538569641</v>
      </c>
      <c r="Q449" s="25">
        <f t="array" aca="1" ref="Q449" ca="1">INDEX('Isaac 401k'!L:L,MATCH('Retirement Calculator'!A449,'Isaac 401k'!N:N,0),0)</f>
        <v>757427.77909589559</v>
      </c>
      <c r="R449" s="25">
        <f t="array" aca="1" ref="R449" ca="1">INDEX('Lorri 401b'!L:L,MATCH('Retirement Calculator'!A449,'Lorri 401b'!N:N,0),0)</f>
        <v>1983637.1866829763</v>
      </c>
      <c r="S449" s="25">
        <f t="shared" ca="1" si="267"/>
        <v>2741064.9657788719</v>
      </c>
    </row>
    <row r="450" spans="1:19" ht="15.75" customHeight="1" x14ac:dyDescent="0.3">
      <c r="A450" s="37">
        <v>64651</v>
      </c>
      <c r="B450" s="409">
        <f t="shared" ref="B450:C450" si="451">($A450-B$9)/365.25</f>
        <v>95.126625598904866</v>
      </c>
      <c r="C450" s="409">
        <f t="shared" si="451"/>
        <v>90.516084873374396</v>
      </c>
      <c r="E450" s="25">
        <f>IF(C450&gt;$B$7,0,'Combined Retirement'!$D$13/12)</f>
        <v>0</v>
      </c>
      <c r="F450" s="25">
        <f>IF(H450=0,'Combined Retirement'!$D$32,0)+'Combined Retirement'!$B$24</f>
        <v>2870.372285649099</v>
      </c>
      <c r="G450" s="25">
        <f>'Combined Retirement'!$C$24</f>
        <v>3525.4531757812501</v>
      </c>
      <c r="H450" s="25">
        <f>IF(B450&lt;62,0,'Combined Retirement'!$I$14)</f>
        <v>2192</v>
      </c>
      <c r="I450" s="25">
        <f>IF(C450&lt;62,0,'Combined Retirement'!$I$13)</f>
        <v>2420</v>
      </c>
      <c r="J450" s="25">
        <f t="shared" si="263"/>
        <v>7863.2184191855868</v>
      </c>
      <c r="K450" s="25">
        <f t="shared" si="264"/>
        <v>20282.026119384056</v>
      </c>
      <c r="L450" s="25"/>
      <c r="N450" s="25">
        <f>'Combined Retirement'!$C$18/12</f>
        <v>39153.069999999992</v>
      </c>
      <c r="O450" s="25">
        <f t="shared" si="265"/>
        <v>11007.82546143035</v>
      </c>
      <c r="P450" s="25">
        <f t="shared" si="266"/>
        <v>28145.244538569641</v>
      </c>
      <c r="Q450" s="25">
        <f t="array" aca="1" ref="Q450" ca="1">INDEX('Isaac 401k'!L:L,MATCH('Retirement Calculator'!A450,'Isaac 401k'!N:N,0),0)</f>
        <v>752687.74634619628</v>
      </c>
      <c r="R450" s="25">
        <f t="array" aca="1" ref="R450" ca="1">INDEX('Lorri 401b'!L:L,MATCH('Retirement Calculator'!A450,'Lorri 401b'!N:N,0),0)</f>
        <v>1971535.8070659407</v>
      </c>
      <c r="S450" s="25">
        <f t="shared" ca="1" si="267"/>
        <v>2724223.5534121371</v>
      </c>
    </row>
    <row r="451" spans="1:19" ht="15.75" customHeight="1" x14ac:dyDescent="0.3">
      <c r="A451" s="37">
        <v>64682</v>
      </c>
      <c r="B451" s="409">
        <f t="shared" ref="B451:C451" si="452">($A451-B$9)/365.25</f>
        <v>95.21149897330595</v>
      </c>
      <c r="C451" s="409">
        <f t="shared" si="452"/>
        <v>90.600958247775495</v>
      </c>
      <c r="E451" s="25">
        <f>IF(C451&gt;$B$7,0,'Combined Retirement'!$D$13/12)</f>
        <v>0</v>
      </c>
      <c r="F451" s="25">
        <f>IF(H451=0,'Combined Retirement'!$D$32,0)+'Combined Retirement'!$B$24</f>
        <v>2870.372285649099</v>
      </c>
      <c r="G451" s="25">
        <f>'Combined Retirement'!$C$24</f>
        <v>3525.4531757812501</v>
      </c>
      <c r="H451" s="25">
        <f>IF(B451&lt;62,0,'Combined Retirement'!$I$14)</f>
        <v>2192</v>
      </c>
      <c r="I451" s="25">
        <f>IF(C451&lt;62,0,'Combined Retirement'!$I$13)</f>
        <v>2420</v>
      </c>
      <c r="J451" s="25">
        <f t="shared" si="263"/>
        <v>7863.2184191855868</v>
      </c>
      <c r="K451" s="25">
        <f t="shared" si="264"/>
        <v>20282.026119384056</v>
      </c>
      <c r="L451" s="25"/>
      <c r="N451" s="25">
        <f>'Combined Retirement'!$C$18/12</f>
        <v>39153.069999999992</v>
      </c>
      <c r="O451" s="25">
        <f t="shared" si="265"/>
        <v>11007.82546143035</v>
      </c>
      <c r="P451" s="25">
        <f t="shared" si="266"/>
        <v>28145.244538569641</v>
      </c>
      <c r="Q451" s="25">
        <f t="array" aca="1" ref="Q451" ca="1">INDEX('Isaac 401k'!L:L,MATCH('Retirement Calculator'!A451,'Isaac 401k'!N:N,0),0)</f>
        <v>747927.96346003993</v>
      </c>
      <c r="R451" s="25">
        <f t="array" aca="1" ref="R451" ca="1">INDEX('Lorri 401b'!L:L,MATCH('Retirement Calculator'!A451,'Lorri 401b'!N:N,0),0)</f>
        <v>1959384.0050338341</v>
      </c>
      <c r="S451" s="25">
        <f t="shared" ca="1" si="267"/>
        <v>2707311.9684938742</v>
      </c>
    </row>
    <row r="452" spans="1:19" ht="15.75" customHeight="1" x14ac:dyDescent="0.3">
      <c r="A452" s="37">
        <v>64710</v>
      </c>
      <c r="B452" s="409">
        <f t="shared" ref="B452:C452" si="453">($A452-B$9)/365.25</f>
        <v>95.288158795345652</v>
      </c>
      <c r="C452" s="409">
        <f t="shared" si="453"/>
        <v>90.677618069815196</v>
      </c>
      <c r="E452" s="25">
        <f>IF(C452&gt;$B$7,0,'Combined Retirement'!$D$13/12)</f>
        <v>0</v>
      </c>
      <c r="F452" s="25">
        <f>IF(H452=0,'Combined Retirement'!$D$32,0)+'Combined Retirement'!$B$24</f>
        <v>2870.372285649099</v>
      </c>
      <c r="G452" s="25">
        <f>'Combined Retirement'!$C$24</f>
        <v>3525.4531757812501</v>
      </c>
      <c r="H452" s="25">
        <f>IF(B452&lt;62,0,'Combined Retirement'!$I$14)</f>
        <v>2192</v>
      </c>
      <c r="I452" s="25">
        <f>IF(C452&lt;62,0,'Combined Retirement'!$I$13)</f>
        <v>2420</v>
      </c>
      <c r="J452" s="25">
        <f t="shared" si="263"/>
        <v>7863.2184191855868</v>
      </c>
      <c r="K452" s="25">
        <f t="shared" si="264"/>
        <v>20282.026119384056</v>
      </c>
      <c r="L452" s="25"/>
      <c r="N452" s="25">
        <f>'Combined Retirement'!$C$18/12</f>
        <v>39153.069999999992</v>
      </c>
      <c r="O452" s="25">
        <f t="shared" si="265"/>
        <v>11007.82546143035</v>
      </c>
      <c r="P452" s="25">
        <f t="shared" si="266"/>
        <v>28145.244538569641</v>
      </c>
      <c r="Q452" s="25">
        <f t="array" aca="1" ref="Q452" ca="1">INDEX('Isaac 401k'!L:L,MATCH('Retirement Calculator'!A452,'Isaac 401k'!N:N,0),0)</f>
        <v>743148.34814519121</v>
      </c>
      <c r="R452" s="25">
        <f t="array" aca="1" ref="R452" ca="1">INDEX('Lorri 401b'!L:L,MATCH('Retirement Calculator'!A452,'Lorri 401b'!N:N,0),0)</f>
        <v>1947181.5704932604</v>
      </c>
      <c r="S452" s="25">
        <f t="shared" ca="1" si="267"/>
        <v>2690329.9186384515</v>
      </c>
    </row>
    <row r="453" spans="1:19" ht="15.75" customHeight="1" x14ac:dyDescent="0.3">
      <c r="A453" s="37">
        <v>64741</v>
      </c>
      <c r="B453" s="409">
        <f t="shared" ref="B453:C453" si="454">($A453-B$9)/365.25</f>
        <v>95.37303216974675</v>
      </c>
      <c r="C453" s="409">
        <f t="shared" si="454"/>
        <v>90.762491444216295</v>
      </c>
      <c r="E453" s="25">
        <f>IF(C453&gt;$B$7,0,'Combined Retirement'!$D$13/12)</f>
        <v>0</v>
      </c>
      <c r="F453" s="25">
        <f>IF(H453=0,'Combined Retirement'!$D$32,0)+'Combined Retirement'!$B$24</f>
        <v>2870.372285649099</v>
      </c>
      <c r="G453" s="25">
        <f>'Combined Retirement'!$C$24</f>
        <v>3525.4531757812501</v>
      </c>
      <c r="H453" s="25">
        <f>IF(B453&lt;62,0,'Combined Retirement'!$I$14)</f>
        <v>2192</v>
      </c>
      <c r="I453" s="25">
        <f>IF(C453&lt;62,0,'Combined Retirement'!$I$13)</f>
        <v>2420</v>
      </c>
      <c r="J453" s="25">
        <f t="shared" si="263"/>
        <v>7863.2184191855868</v>
      </c>
      <c r="K453" s="25">
        <f t="shared" si="264"/>
        <v>20282.026119384056</v>
      </c>
      <c r="L453" s="25"/>
      <c r="N453" s="25">
        <f>'Combined Retirement'!$C$18/12</f>
        <v>39153.069999999992</v>
      </c>
      <c r="O453" s="25">
        <f t="shared" si="265"/>
        <v>11007.82546143035</v>
      </c>
      <c r="P453" s="25">
        <f t="shared" si="266"/>
        <v>28145.244538569641</v>
      </c>
      <c r="Q453" s="25">
        <f t="array" aca="1" ref="Q453" ca="1">INDEX('Isaac 401k'!L:L,MATCH('Retirement Calculator'!A453,'Isaac 401k'!N:N,0),0)</f>
        <v>738348.81776653067</v>
      </c>
      <c r="R453" s="25">
        <f t="array" aca="1" ref="R453" ca="1">INDEX('Lorri 401b'!L:L,MATCH('Retirement Calculator'!A453,'Lorri 401b'!N:N,0),0)</f>
        <v>1934928.2924754343</v>
      </c>
      <c r="S453" s="25">
        <f t="shared" ca="1" si="267"/>
        <v>2673277.1102419649</v>
      </c>
    </row>
    <row r="454" spans="1:19" ht="15.75" customHeight="1" x14ac:dyDescent="0.3">
      <c r="A454" s="37">
        <v>64771</v>
      </c>
      <c r="B454" s="409">
        <f t="shared" ref="B454:C454" si="455">($A454-B$9)/365.25</f>
        <v>95.455167693360707</v>
      </c>
      <c r="C454" s="409">
        <f t="shared" si="455"/>
        <v>90.844626967830251</v>
      </c>
      <c r="E454" s="25">
        <f>IF(C454&gt;$B$7,0,'Combined Retirement'!$D$13/12)</f>
        <v>0</v>
      </c>
      <c r="F454" s="25">
        <f>IF(H454=0,'Combined Retirement'!$D$32,0)+'Combined Retirement'!$B$24</f>
        <v>2870.372285649099</v>
      </c>
      <c r="G454" s="25">
        <f>'Combined Retirement'!$C$24</f>
        <v>3525.4531757812501</v>
      </c>
      <c r="H454" s="25">
        <f>IF(B454&lt;62,0,'Combined Retirement'!$I$14)</f>
        <v>2192</v>
      </c>
      <c r="I454" s="25">
        <f>IF(C454&lt;62,0,'Combined Retirement'!$I$13)</f>
        <v>2420</v>
      </c>
      <c r="J454" s="25">
        <f t="shared" si="263"/>
        <v>7863.2184191855868</v>
      </c>
      <c r="K454" s="25">
        <f t="shared" si="264"/>
        <v>20282.026119384056</v>
      </c>
      <c r="L454" s="25"/>
      <c r="N454" s="25">
        <f>'Combined Retirement'!$C$18/12</f>
        <v>39153.069999999992</v>
      </c>
      <c r="O454" s="25">
        <f t="shared" si="265"/>
        <v>11007.82546143035</v>
      </c>
      <c r="P454" s="25">
        <f t="shared" si="266"/>
        <v>28145.244538569641</v>
      </c>
      <c r="Q454" s="25">
        <f t="array" aca="1" ref="Q454" ca="1">INDEX('Isaac 401k'!L:L,MATCH('Retirement Calculator'!A454,'Isaac 401k'!N:N,0),0)</f>
        <v>733529.28934462566</v>
      </c>
      <c r="R454" s="25">
        <f t="array" aca="1" ref="R454" ca="1">INDEX('Lorri 401b'!L:L,MATCH('Retirement Calculator'!A454,'Lorri 401b'!N:N,0),0)</f>
        <v>1922623.9591325338</v>
      </c>
      <c r="S454" s="25">
        <f t="shared" ca="1" si="267"/>
        <v>2656153.2484771595</v>
      </c>
    </row>
    <row r="455" spans="1:19" ht="15.75" customHeight="1" x14ac:dyDescent="0.3">
      <c r="A455" s="37">
        <v>64802</v>
      </c>
      <c r="B455" s="409">
        <f t="shared" ref="B455:C455" si="456">($A455-B$9)/365.25</f>
        <v>95.540041067761805</v>
      </c>
      <c r="C455" s="409">
        <f t="shared" si="456"/>
        <v>90.92950034223135</v>
      </c>
      <c r="E455" s="25">
        <f>IF(C455&gt;$B$7,0,'Combined Retirement'!$D$13/12)</f>
        <v>0</v>
      </c>
      <c r="F455" s="25">
        <f>IF(H455=0,'Combined Retirement'!$D$32,0)+'Combined Retirement'!$B$24</f>
        <v>2870.372285649099</v>
      </c>
      <c r="G455" s="25">
        <f>'Combined Retirement'!$C$24</f>
        <v>3525.4531757812501</v>
      </c>
      <c r="H455" s="25">
        <f>IF(B455&lt;62,0,'Combined Retirement'!$I$14)</f>
        <v>2192</v>
      </c>
      <c r="I455" s="25">
        <f>IF(C455&lt;62,0,'Combined Retirement'!$I$13)</f>
        <v>2420</v>
      </c>
      <c r="J455" s="25">
        <f t="shared" si="263"/>
        <v>7863.2184191855868</v>
      </c>
      <c r="K455" s="25">
        <f t="shared" si="264"/>
        <v>20282.026119384056</v>
      </c>
      <c r="L455" s="25"/>
      <c r="N455" s="25">
        <f>'Combined Retirement'!$C$18/12</f>
        <v>39153.069999999992</v>
      </c>
      <c r="O455" s="25">
        <f t="shared" si="265"/>
        <v>11007.82546143035</v>
      </c>
      <c r="P455" s="25">
        <f t="shared" si="266"/>
        <v>28145.244538569641</v>
      </c>
      <c r="Q455" s="25">
        <f t="array" aca="1" ref="Q455" ca="1">INDEX('Isaac 401k'!L:L,MATCH('Retirement Calculator'!A455,'Isaac 401k'!N:N,0),0)</f>
        <v>728689.67955429608</v>
      </c>
      <c r="R455" s="25">
        <f t="array" aca="1" ref="R455" ca="1">INDEX('Lorri 401b'!L:L,MATCH('Retirement Calculator'!A455,'Lorri 401b'!N:N,0),0)</f>
        <v>1910268.3577340378</v>
      </c>
      <c r="S455" s="25">
        <f t="shared" ca="1" si="267"/>
        <v>2638958.0372883338</v>
      </c>
    </row>
    <row r="456" spans="1:19" ht="15.75" customHeight="1" x14ac:dyDescent="0.3">
      <c r="A456" s="37">
        <v>64832</v>
      </c>
      <c r="B456" s="409">
        <f t="shared" ref="B456:C456" si="457">($A456-B$9)/365.25</f>
        <v>95.622176591375776</v>
      </c>
      <c r="C456" s="409">
        <f t="shared" si="457"/>
        <v>91.011635865845307</v>
      </c>
      <c r="E456" s="25">
        <f>IF(C456&gt;$B$7,0,'Combined Retirement'!$D$13/12)</f>
        <v>0</v>
      </c>
      <c r="F456" s="25">
        <f>IF(H456=0,'Combined Retirement'!$D$32,0)+'Combined Retirement'!$B$24</f>
        <v>2870.372285649099</v>
      </c>
      <c r="G456" s="25">
        <f>'Combined Retirement'!$C$24</f>
        <v>3525.4531757812501</v>
      </c>
      <c r="H456" s="25">
        <f>IF(B456&lt;62,0,'Combined Retirement'!$I$14)</f>
        <v>2192</v>
      </c>
      <c r="I456" s="25">
        <f>IF(C456&lt;62,0,'Combined Retirement'!$I$13)</f>
        <v>2420</v>
      </c>
      <c r="J456" s="25">
        <f t="shared" si="263"/>
        <v>7863.2184191855868</v>
      </c>
      <c r="K456" s="25">
        <f t="shared" si="264"/>
        <v>20282.026119384056</v>
      </c>
      <c r="L456" s="25"/>
      <c r="N456" s="25">
        <f>'Combined Retirement'!$C$18/12</f>
        <v>39153.069999999992</v>
      </c>
      <c r="O456" s="25">
        <f t="shared" si="265"/>
        <v>11007.82546143035</v>
      </c>
      <c r="P456" s="25">
        <f t="shared" si="266"/>
        <v>28145.244538569641</v>
      </c>
      <c r="Q456" s="25">
        <f t="array" aca="1" ref="Q456" ca="1">INDEX('Isaac 401k'!L:L,MATCH('Retirement Calculator'!A456,'Isaac 401k'!N:N,0),0)</f>
        <v>723829.90472317347</v>
      </c>
      <c r="R456" s="25">
        <f t="array" aca="1" ref="R456" ca="1">INDEX('Lorri 401b'!L:L,MATCH('Retirement Calculator'!A456,'Lorri 401b'!N:N,0),0)</f>
        <v>1897861.2746630481</v>
      </c>
      <c r="S456" s="25">
        <f t="shared" ca="1" si="267"/>
        <v>2621691.1793862218</v>
      </c>
    </row>
    <row r="457" spans="1:19" ht="15.75" customHeight="1" x14ac:dyDescent="0.3">
      <c r="A457" s="37">
        <v>64863</v>
      </c>
      <c r="B457" s="409">
        <f t="shared" ref="B457:C457" si="458">($A457-B$9)/365.25</f>
        <v>95.707049965776861</v>
      </c>
      <c r="C457" s="409">
        <f t="shared" si="458"/>
        <v>91.096509240246405</v>
      </c>
      <c r="E457" s="25">
        <f>IF(C457&gt;$B$7,0,'Combined Retirement'!$D$13/12)</f>
        <v>0</v>
      </c>
      <c r="F457" s="25">
        <f>IF(H457=0,'Combined Retirement'!$D$32,0)+'Combined Retirement'!$B$24</f>
        <v>2870.372285649099</v>
      </c>
      <c r="G457" s="25">
        <f>'Combined Retirement'!$C$24</f>
        <v>3525.4531757812501</v>
      </c>
      <c r="H457" s="25">
        <f>IF(B457&lt;62,0,'Combined Retirement'!$I$14)</f>
        <v>2192</v>
      </c>
      <c r="I457" s="25">
        <f>IF(C457&lt;62,0,'Combined Retirement'!$I$13)</f>
        <v>2420</v>
      </c>
      <c r="J457" s="25">
        <f t="shared" si="263"/>
        <v>7863.2184191855868</v>
      </c>
      <c r="K457" s="25">
        <f t="shared" si="264"/>
        <v>20282.026119384056</v>
      </c>
      <c r="L457" s="25"/>
      <c r="N457" s="25">
        <f>'Combined Retirement'!$C$18/12</f>
        <v>39153.069999999992</v>
      </c>
      <c r="O457" s="25">
        <f t="shared" si="265"/>
        <v>11007.82546143035</v>
      </c>
      <c r="P457" s="25">
        <f t="shared" si="266"/>
        <v>28145.244538569641</v>
      </c>
      <c r="Q457" s="25">
        <f t="array" aca="1" ref="Q457" ca="1">INDEX('Isaac 401k'!L:L,MATCH('Retirement Calculator'!A457,'Isaac 401k'!N:N,0),0)</f>
        <v>718949.88083025452</v>
      </c>
      <c r="R457" s="25">
        <f t="array" aca="1" ref="R457" ca="1">INDEX('Lorri 401b'!L:L,MATCH('Retirement Calculator'!A457,'Lorri 401b'!N:N,0),0)</f>
        <v>1885402.495412596</v>
      </c>
      <c r="S457" s="25">
        <f t="shared" ca="1" si="267"/>
        <v>2604352.3762428504</v>
      </c>
    </row>
    <row r="458" spans="1:19" ht="15.75" customHeight="1" x14ac:dyDescent="0.3">
      <c r="A458" s="37">
        <v>64894</v>
      </c>
      <c r="B458" s="409">
        <f t="shared" ref="B458:C458" si="459">($A458-B$9)/365.25</f>
        <v>95.791923340177959</v>
      </c>
      <c r="C458" s="409">
        <f t="shared" si="459"/>
        <v>91.181382614647504</v>
      </c>
      <c r="E458" s="25">
        <f>IF(C458&gt;$B$7,0,'Combined Retirement'!$D$13/12)</f>
        <v>0</v>
      </c>
      <c r="F458" s="25">
        <f>IF(H458=0,'Combined Retirement'!$D$32,0)+'Combined Retirement'!$B$24</f>
        <v>2870.372285649099</v>
      </c>
      <c r="G458" s="25">
        <f>'Combined Retirement'!$C$24</f>
        <v>3525.4531757812501</v>
      </c>
      <c r="H458" s="25">
        <f>IF(B458&lt;62,0,'Combined Retirement'!$I$14)</f>
        <v>2192</v>
      </c>
      <c r="I458" s="25">
        <f>IF(C458&lt;62,0,'Combined Retirement'!$I$13)</f>
        <v>2420</v>
      </c>
      <c r="J458" s="25">
        <f t="shared" si="263"/>
        <v>7863.2184191855868</v>
      </c>
      <c r="K458" s="25">
        <f t="shared" si="264"/>
        <v>20282.026119384056</v>
      </c>
      <c r="L458" s="25"/>
      <c r="N458" s="25">
        <f>'Combined Retirement'!$C$18/12</f>
        <v>39153.069999999992</v>
      </c>
      <c r="O458" s="25">
        <f t="shared" si="265"/>
        <v>11007.82546143035</v>
      </c>
      <c r="P458" s="25">
        <f t="shared" si="266"/>
        <v>28145.244538569641</v>
      </c>
      <c r="Q458" s="25">
        <f t="array" aca="1" ref="Q458" ca="1">INDEX('Isaac 401k'!L:L,MATCH('Retirement Calculator'!A458,'Isaac 401k'!N:N,0),0)</f>
        <v>714049.52350444836</v>
      </c>
      <c r="R458" s="25">
        <f t="array" aca="1" ref="R458" ca="1">INDEX('Lorri 401b'!L:L,MATCH('Retirement Calculator'!A458,'Lorri 401b'!N:N,0),0)</f>
        <v>1872891.8045819337</v>
      </c>
      <c r="S458" s="25">
        <f t="shared" ca="1" si="267"/>
        <v>2586941.3280863818</v>
      </c>
    </row>
    <row r="459" spans="1:19" ht="15.75" customHeight="1" x14ac:dyDescent="0.3">
      <c r="A459" s="37">
        <v>64924</v>
      </c>
      <c r="B459" s="409">
        <f t="shared" ref="B459:C459" si="460">($A459-B$9)/365.25</f>
        <v>95.87405886379193</v>
      </c>
      <c r="C459" s="409">
        <f t="shared" si="460"/>
        <v>91.26351813826146</v>
      </c>
      <c r="E459" s="25">
        <f>IF(C459&gt;$B$7,0,'Combined Retirement'!$D$13/12)</f>
        <v>0</v>
      </c>
      <c r="F459" s="25">
        <f>IF(H459=0,'Combined Retirement'!$D$32,0)+'Combined Retirement'!$B$24</f>
        <v>2870.372285649099</v>
      </c>
      <c r="G459" s="25">
        <f>'Combined Retirement'!$C$24</f>
        <v>3525.4531757812501</v>
      </c>
      <c r="H459" s="25">
        <f>IF(B459&lt;62,0,'Combined Retirement'!$I$14)</f>
        <v>2192</v>
      </c>
      <c r="I459" s="25">
        <f>IF(C459&lt;62,0,'Combined Retirement'!$I$13)</f>
        <v>2420</v>
      </c>
      <c r="J459" s="25">
        <f t="shared" si="263"/>
        <v>7863.2184191855868</v>
      </c>
      <c r="K459" s="25">
        <f t="shared" si="264"/>
        <v>20282.026119384056</v>
      </c>
      <c r="L459" s="25"/>
      <c r="N459" s="25">
        <f>'Combined Retirement'!$C$18/12</f>
        <v>39153.069999999992</v>
      </c>
      <c r="O459" s="25">
        <f t="shared" si="265"/>
        <v>11007.82546143035</v>
      </c>
      <c r="P459" s="25">
        <f t="shared" si="266"/>
        <v>28145.244538569641</v>
      </c>
      <c r="Q459" s="25">
        <f t="array" aca="1" ref="Q459" ca="1">INDEX('Isaac 401k'!L:L,MATCH('Retirement Calculator'!A459,'Isaac 401k'!N:N,0),0)</f>
        <v>709128.74802311801</v>
      </c>
      <c r="R459" s="25">
        <f t="array" aca="1" ref="R459" ca="1">INDEX('Lorri 401b'!L:L,MATCH('Retirement Calculator'!A459,'Lorri 401b'!N:N,0),0)</f>
        <v>1860328.9858728102</v>
      </c>
      <c r="S459" s="25">
        <f t="shared" ca="1" si="267"/>
        <v>2569457.7338959281</v>
      </c>
    </row>
    <row r="460" spans="1:19" ht="15.75" customHeight="1" x14ac:dyDescent="0.3">
      <c r="A460" s="37">
        <v>64955</v>
      </c>
      <c r="B460" s="409">
        <f t="shared" ref="B460:C460" si="461">($A460-B$9)/365.25</f>
        <v>95.958932238193015</v>
      </c>
      <c r="C460" s="409">
        <f t="shared" si="461"/>
        <v>91.348391512662559</v>
      </c>
      <c r="E460" s="25">
        <f>IF(C460&gt;$B$7,0,'Combined Retirement'!$D$13/12)</f>
        <v>0</v>
      </c>
      <c r="F460" s="25">
        <f>IF(H460=0,'Combined Retirement'!$D$32,0)+'Combined Retirement'!$B$24</f>
        <v>2870.372285649099</v>
      </c>
      <c r="G460" s="25">
        <f>'Combined Retirement'!$C$24</f>
        <v>3525.4531757812501</v>
      </c>
      <c r="H460" s="25">
        <f>IF(B460&lt;62,0,'Combined Retirement'!$I$14)</f>
        <v>2192</v>
      </c>
      <c r="I460" s="25">
        <f>IF(C460&lt;62,0,'Combined Retirement'!$I$13)</f>
        <v>2420</v>
      </c>
      <c r="J460" s="25">
        <f t="shared" si="263"/>
        <v>7863.2184191855868</v>
      </c>
      <c r="K460" s="25">
        <f t="shared" si="264"/>
        <v>20282.026119384056</v>
      </c>
      <c r="L460" s="25"/>
      <c r="N460" s="25">
        <f>'Combined Retirement'!$C$18/12</f>
        <v>39153.069999999992</v>
      </c>
      <c r="O460" s="25">
        <f t="shared" si="265"/>
        <v>11007.82546143035</v>
      </c>
      <c r="P460" s="25">
        <f t="shared" si="266"/>
        <v>28145.244538569641</v>
      </c>
      <c r="Q460" s="25">
        <f t="array" aca="1" ref="Q460" ca="1">INDEX('Isaac 401k'!L:L,MATCH('Retirement Calculator'!A460,'Isaac 401k'!N:N,0),0)</f>
        <v>704187.46931061544</v>
      </c>
      <c r="R460" s="25">
        <f t="array" aca="1" ref="R460" ca="1">INDEX('Lorri 401b'!L:L,MATCH('Retirement Calculator'!A460,'Lorri 401b'!N:N,0),0)</f>
        <v>1847713.8220857321</v>
      </c>
      <c r="S460" s="25">
        <f t="shared" ca="1" si="267"/>
        <v>2551901.2913963478</v>
      </c>
    </row>
    <row r="461" spans="1:19" ht="15.75" customHeight="1" x14ac:dyDescent="0.3">
      <c r="A461" s="37">
        <v>64985</v>
      </c>
      <c r="B461" s="409">
        <f t="shared" ref="B461:C461" si="462">($A461-B$9)/365.25</f>
        <v>96.041067761806985</v>
      </c>
      <c r="C461" s="409">
        <f t="shared" si="462"/>
        <v>91.43052703627653</v>
      </c>
      <c r="E461" s="25">
        <f>IF(C461&gt;$B$7,0,'Combined Retirement'!$D$13/12)</f>
        <v>0</v>
      </c>
      <c r="F461" s="25">
        <f>IF(H461=0,'Combined Retirement'!$D$32,0)+'Combined Retirement'!$B$24</f>
        <v>2870.372285649099</v>
      </c>
      <c r="G461" s="25">
        <f>'Combined Retirement'!$C$24</f>
        <v>3525.4531757812501</v>
      </c>
      <c r="H461" s="25">
        <f>IF(B461&lt;62,0,'Combined Retirement'!$I$14)</f>
        <v>2192</v>
      </c>
      <c r="I461" s="25">
        <f>IF(C461&lt;62,0,'Combined Retirement'!$I$13)</f>
        <v>2420</v>
      </c>
      <c r="J461" s="25">
        <f t="shared" si="263"/>
        <v>7863.2184191855868</v>
      </c>
      <c r="K461" s="25">
        <f t="shared" si="264"/>
        <v>20282.026119384056</v>
      </c>
      <c r="L461" s="25"/>
      <c r="N461" s="25">
        <f>'Combined Retirement'!$C$18/12</f>
        <v>39153.069999999992</v>
      </c>
      <c r="O461" s="25">
        <f t="shared" si="265"/>
        <v>11007.82546143035</v>
      </c>
      <c r="P461" s="25">
        <f t="shared" si="266"/>
        <v>28145.244538569641</v>
      </c>
      <c r="Q461" s="25">
        <f t="array" aca="1" ref="Q461" ca="1">INDEX('Isaac 401k'!L:L,MATCH('Retirement Calculator'!A461,'Isaac 401k'!N:N,0),0)</f>
        <v>699225.60193681077</v>
      </c>
      <c r="R461" s="25">
        <f t="array" aca="1" ref="R461" ca="1">INDEX('Lorri 401b'!L:L,MATCH('Retirement Calculator'!A461,'Lorri 401b'!N:N,0),0)</f>
        <v>1835046.0951162078</v>
      </c>
      <c r="S461" s="25">
        <f t="shared" ca="1" si="267"/>
        <v>2534271.6970530185</v>
      </c>
    </row>
    <row r="462" spans="1:19" ht="15.75" customHeight="1" x14ac:dyDescent="0.3">
      <c r="A462" s="37">
        <v>65016</v>
      </c>
      <c r="B462" s="409">
        <f t="shared" ref="B462:C462" si="463">($A462-B$9)/365.25</f>
        <v>96.12594113620807</v>
      </c>
      <c r="C462" s="409">
        <f t="shared" si="463"/>
        <v>91.515400410677614</v>
      </c>
      <c r="E462" s="25">
        <f>IF(C462&gt;$B$7,0,'Combined Retirement'!$D$13/12)</f>
        <v>0</v>
      </c>
      <c r="F462" s="25">
        <f>IF(H462=0,'Combined Retirement'!$D$32,0)+'Combined Retirement'!$B$24</f>
        <v>2870.372285649099</v>
      </c>
      <c r="G462" s="25">
        <f>'Combined Retirement'!$C$24</f>
        <v>3525.4531757812501</v>
      </c>
      <c r="H462" s="25">
        <f>IF(B462&lt;62,0,'Combined Retirement'!$I$14)</f>
        <v>2192</v>
      </c>
      <c r="I462" s="25">
        <f>IF(C462&lt;62,0,'Combined Retirement'!$I$13)</f>
        <v>2420</v>
      </c>
      <c r="J462" s="25">
        <f t="shared" si="263"/>
        <v>7863.2184191855868</v>
      </c>
      <c r="K462" s="25">
        <f t="shared" si="264"/>
        <v>20282.026119384056</v>
      </c>
      <c r="L462" s="25"/>
      <c r="N462" s="25">
        <f>'Combined Retirement'!$C$18/12</f>
        <v>39153.069999999992</v>
      </c>
      <c r="O462" s="25">
        <f t="shared" si="265"/>
        <v>11007.82546143035</v>
      </c>
      <c r="P462" s="25">
        <f t="shared" si="266"/>
        <v>28145.244538569641</v>
      </c>
      <c r="Q462" s="25">
        <f t="array" aca="1" ref="Q462" ca="1">INDEX('Isaac 401k'!L:L,MATCH('Retirement Calculator'!A462,'Isaac 401k'!N:N,0),0)</f>
        <v>694243.06011561526</v>
      </c>
      <c r="R462" s="25">
        <f t="array" aca="1" ref="R462" ca="1">INDEX('Lorri 401b'!L:L,MATCH('Retirement Calculator'!A462,'Lorri 401b'!N:N,0),0)</f>
        <v>1822325.5859509774</v>
      </c>
      <c r="S462" s="25">
        <f t="shared" ca="1" si="267"/>
        <v>2516568.6460665925</v>
      </c>
    </row>
    <row r="463" spans="1:19" ht="15.75" customHeight="1" x14ac:dyDescent="0.3">
      <c r="A463" s="37">
        <v>65047</v>
      </c>
      <c r="B463" s="409">
        <f t="shared" ref="B463:C463" si="464">($A463-B$9)/365.25</f>
        <v>96.210814510609168</v>
      </c>
      <c r="C463" s="409">
        <f t="shared" si="464"/>
        <v>91.600273785078713</v>
      </c>
      <c r="E463" s="25">
        <f>IF(C463&gt;$B$7,0,'Combined Retirement'!$D$13/12)</f>
        <v>0</v>
      </c>
      <c r="F463" s="25">
        <f>IF(H463=0,'Combined Retirement'!$D$32,0)+'Combined Retirement'!$B$24</f>
        <v>2870.372285649099</v>
      </c>
      <c r="G463" s="25">
        <f>'Combined Retirement'!$C$24</f>
        <v>3525.4531757812501</v>
      </c>
      <c r="H463" s="25">
        <f>IF(B463&lt;62,0,'Combined Retirement'!$I$14)</f>
        <v>2192</v>
      </c>
      <c r="I463" s="25">
        <f>IF(C463&lt;62,0,'Combined Retirement'!$I$13)</f>
        <v>2420</v>
      </c>
      <c r="J463" s="25">
        <f t="shared" si="263"/>
        <v>7863.2184191855868</v>
      </c>
      <c r="K463" s="25">
        <f t="shared" si="264"/>
        <v>20282.026119384056</v>
      </c>
      <c r="L463" s="25"/>
      <c r="N463" s="25">
        <f>'Combined Retirement'!$C$18/12</f>
        <v>39153.069999999992</v>
      </c>
      <c r="O463" s="25">
        <f t="shared" si="265"/>
        <v>11007.82546143035</v>
      </c>
      <c r="P463" s="25">
        <f t="shared" si="266"/>
        <v>28145.244538569641</v>
      </c>
      <c r="Q463" s="25">
        <f t="array" aca="1" ref="Q463" ca="1">INDEX('Isaac 401k'!L:L,MATCH('Retirement Calculator'!A463,'Isaac 401k'!N:N,0),0)</f>
        <v>689239.75770349812</v>
      </c>
      <c r="R463" s="25">
        <f t="array" aca="1" ref="R463" ca="1">INDEX('Lorri 401b'!L:L,MATCH('Retirement Calculator'!A463,'Lorri 401b'!N:N,0),0)</f>
        <v>1809552.0746642251</v>
      </c>
      <c r="S463" s="25">
        <f t="shared" ca="1" si="267"/>
        <v>2498791.8323677233</v>
      </c>
    </row>
    <row r="464" spans="1:19" ht="15.75" customHeight="1" x14ac:dyDescent="0.3">
      <c r="A464" s="37">
        <v>65075</v>
      </c>
      <c r="B464" s="409">
        <f t="shared" ref="B464:C464" si="465">($A464-B$9)/365.25</f>
        <v>96.28747433264887</v>
      </c>
      <c r="C464" s="409">
        <f t="shared" si="465"/>
        <v>91.676933607118414</v>
      </c>
      <c r="E464" s="25">
        <f>IF(C464&gt;$B$7,0,'Combined Retirement'!$D$13/12)</f>
        <v>0</v>
      </c>
      <c r="F464" s="25">
        <f>IF(H464=0,'Combined Retirement'!$D$32,0)+'Combined Retirement'!$B$24</f>
        <v>2870.372285649099</v>
      </c>
      <c r="G464" s="25">
        <f>'Combined Retirement'!$C$24</f>
        <v>3525.4531757812501</v>
      </c>
      <c r="H464" s="25">
        <f>IF(B464&lt;62,0,'Combined Retirement'!$I$14)</f>
        <v>2192</v>
      </c>
      <c r="I464" s="25">
        <f>IF(C464&lt;62,0,'Combined Retirement'!$I$13)</f>
        <v>2420</v>
      </c>
      <c r="J464" s="25">
        <f t="shared" si="263"/>
        <v>7863.2184191855868</v>
      </c>
      <c r="K464" s="25">
        <f t="shared" si="264"/>
        <v>20282.026119384056</v>
      </c>
      <c r="L464" s="25"/>
      <c r="N464" s="25">
        <f>'Combined Retirement'!$C$18/12</f>
        <v>39153.069999999992</v>
      </c>
      <c r="O464" s="25">
        <f t="shared" si="265"/>
        <v>11007.82546143035</v>
      </c>
      <c r="P464" s="25">
        <f t="shared" si="266"/>
        <v>28145.244538569641</v>
      </c>
      <c r="Q464" s="25">
        <f t="array" aca="1" ref="Q464" ca="1">INDEX('Isaac 401k'!L:L,MATCH('Retirement Calculator'!A464,'Isaac 401k'!N:N,0),0)</f>
        <v>684215.60819799721</v>
      </c>
      <c r="R464" s="25">
        <f t="array" aca="1" ref="R464" ca="1">INDEX('Lorri 401b'!L:L,MATCH('Retirement Calculator'!A464,'Lorri 401b'!N:N,0),0)</f>
        <v>1796725.3404137779</v>
      </c>
      <c r="S464" s="25">
        <f t="shared" ca="1" si="267"/>
        <v>2480940.9486117749</v>
      </c>
    </row>
    <row r="465" spans="1:19" ht="15.75" customHeight="1" x14ac:dyDescent="0.3">
      <c r="A465" s="37">
        <v>65106</v>
      </c>
      <c r="B465" s="409">
        <f t="shared" ref="B465:C465" si="466">($A465-B$9)/365.25</f>
        <v>96.372347707049968</v>
      </c>
      <c r="C465" s="409">
        <f t="shared" si="466"/>
        <v>91.761806981519513</v>
      </c>
      <c r="E465" s="25">
        <f>IF(C465&gt;$B$7,0,'Combined Retirement'!$D$13/12)</f>
        <v>0</v>
      </c>
      <c r="F465" s="25">
        <f>IF(H465=0,'Combined Retirement'!$D$32,0)+'Combined Retirement'!$B$24</f>
        <v>2870.372285649099</v>
      </c>
      <c r="G465" s="25">
        <f>'Combined Retirement'!$C$24</f>
        <v>3525.4531757812501</v>
      </c>
      <c r="H465" s="25">
        <f>IF(B465&lt;62,0,'Combined Retirement'!$I$14)</f>
        <v>2192</v>
      </c>
      <c r="I465" s="25">
        <f>IF(C465&lt;62,0,'Combined Retirement'!$I$13)</f>
        <v>2420</v>
      </c>
      <c r="J465" s="25">
        <f t="shared" si="263"/>
        <v>7863.2184191855868</v>
      </c>
      <c r="K465" s="25">
        <f t="shared" si="264"/>
        <v>20282.026119384056</v>
      </c>
      <c r="L465" s="25"/>
      <c r="N465" s="25">
        <f>'Combined Retirement'!$C$18/12</f>
        <v>39153.069999999992</v>
      </c>
      <c r="O465" s="25">
        <f t="shared" si="265"/>
        <v>11007.82546143035</v>
      </c>
      <c r="P465" s="25">
        <f t="shared" si="266"/>
        <v>28145.244538569641</v>
      </c>
      <c r="Q465" s="25">
        <f t="array" aca="1" ref="Q465" ca="1">INDEX('Isaac 401k'!L:L,MATCH('Retirement Calculator'!A465,'Isaac 401k'!N:N,0),0)</f>
        <v>679170.52473622328</v>
      </c>
      <c r="R465" s="25">
        <f t="array" aca="1" ref="R465" ca="1">INDEX('Lorri 401b'!L:L,MATCH('Retirement Calculator'!A465,'Lorri 401b'!N:N,0),0)</f>
        <v>1783845.1614372872</v>
      </c>
      <c r="S465" s="25">
        <f t="shared" ca="1" si="267"/>
        <v>2463015.6861735107</v>
      </c>
    </row>
    <row r="466" spans="1:19" ht="15.75" customHeight="1" x14ac:dyDescent="0.3">
      <c r="A466" s="37">
        <v>65136</v>
      </c>
      <c r="B466" s="409">
        <f t="shared" ref="B466:C466" si="467">($A466-B$9)/365.25</f>
        <v>96.454483230663925</v>
      </c>
      <c r="C466" s="409">
        <f t="shared" si="467"/>
        <v>91.843942505133469</v>
      </c>
      <c r="E466" s="25">
        <f>IF(C466&gt;$B$7,0,'Combined Retirement'!$D$13/12)</f>
        <v>0</v>
      </c>
      <c r="F466" s="25">
        <f>IF(H466=0,'Combined Retirement'!$D$32,0)+'Combined Retirement'!$B$24</f>
        <v>2870.372285649099</v>
      </c>
      <c r="G466" s="25">
        <f>'Combined Retirement'!$C$24</f>
        <v>3525.4531757812501</v>
      </c>
      <c r="H466" s="25">
        <f>IF(B466&lt;62,0,'Combined Retirement'!$I$14)</f>
        <v>2192</v>
      </c>
      <c r="I466" s="25">
        <f>IF(C466&lt;62,0,'Combined Retirement'!$I$13)</f>
        <v>2420</v>
      </c>
      <c r="J466" s="25">
        <f t="shared" si="263"/>
        <v>7863.2184191855868</v>
      </c>
      <c r="K466" s="25">
        <f t="shared" si="264"/>
        <v>20282.026119384056</v>
      </c>
      <c r="L466" s="25"/>
      <c r="N466" s="25">
        <f>'Combined Retirement'!$C$18/12</f>
        <v>39153.069999999992</v>
      </c>
      <c r="O466" s="25">
        <f t="shared" si="265"/>
        <v>11007.82546143035</v>
      </c>
      <c r="P466" s="25">
        <f t="shared" si="266"/>
        <v>28145.244538569641</v>
      </c>
      <c r="Q466" s="25">
        <f t="array" aca="1" ref="Q466" ca="1">INDEX('Isaac 401k'!L:L,MATCH('Retirement Calculator'!A466,'Isaac 401k'!N:N,0),0)</f>
        <v>674104.42009335861</v>
      </c>
      <c r="R466" s="25">
        <f t="array" aca="1" ref="R466" ca="1">INDEX('Lorri 401b'!L:L,MATCH('Retirement Calculator'!A466,'Lorri 401b'!N:N,0),0)</f>
        <v>1770911.3150483945</v>
      </c>
      <c r="S466" s="25">
        <f t="shared" ca="1" si="267"/>
        <v>2445015.7351417532</v>
      </c>
    </row>
    <row r="467" spans="1:19" ht="15.75" customHeight="1" x14ac:dyDescent="0.3">
      <c r="A467" s="37">
        <v>65167</v>
      </c>
      <c r="B467" s="409">
        <f t="shared" ref="B467:C467" si="468">($A467-B$9)/365.25</f>
        <v>96.539356605065024</v>
      </c>
      <c r="C467" s="409">
        <f t="shared" si="468"/>
        <v>91.928815879534568</v>
      </c>
      <c r="E467" s="25">
        <f>IF(C467&gt;$B$7,0,'Combined Retirement'!$D$13/12)</f>
        <v>0</v>
      </c>
      <c r="F467" s="25">
        <f>IF(H467=0,'Combined Retirement'!$D$32,0)+'Combined Retirement'!$B$24</f>
        <v>2870.372285649099</v>
      </c>
      <c r="G467" s="25">
        <f>'Combined Retirement'!$C$24</f>
        <v>3525.4531757812501</v>
      </c>
      <c r="H467" s="25">
        <f>IF(B467&lt;62,0,'Combined Retirement'!$I$14)</f>
        <v>2192</v>
      </c>
      <c r="I467" s="25">
        <f>IF(C467&lt;62,0,'Combined Retirement'!$I$13)</f>
        <v>2420</v>
      </c>
      <c r="J467" s="25">
        <f t="shared" si="263"/>
        <v>7863.2184191855868</v>
      </c>
      <c r="K467" s="25">
        <f t="shared" si="264"/>
        <v>20282.026119384056</v>
      </c>
      <c r="L467" s="25"/>
      <c r="N467" s="25">
        <f>'Combined Retirement'!$C$18/12</f>
        <v>39153.069999999992</v>
      </c>
      <c r="O467" s="25">
        <f t="shared" si="265"/>
        <v>11007.82546143035</v>
      </c>
      <c r="P467" s="25">
        <f t="shared" si="266"/>
        <v>28145.244538569641</v>
      </c>
      <c r="Q467" s="25">
        <f t="array" aca="1" ref="Q467" ca="1">INDEX('Isaac 401k'!L:L,MATCH('Retirement Calculator'!A467,'Isaac 401k'!N:N,0),0)</f>
        <v>669017.20668114873</v>
      </c>
      <c r="R467" s="25">
        <f t="array" aca="1" ref="R467" ca="1">INDEX('Lorri 401b'!L:L,MATCH('Retirement Calculator'!A467,'Lorri 401b'!N:N,0),0)</f>
        <v>1757923.5776328815</v>
      </c>
      <c r="S467" s="25">
        <f t="shared" ca="1" si="267"/>
        <v>2426940.7843140303</v>
      </c>
    </row>
    <row r="468" spans="1:19" ht="15.75" customHeight="1" x14ac:dyDescent="0.3">
      <c r="A468" s="37">
        <v>65197</v>
      </c>
      <c r="B468" s="409">
        <f t="shared" ref="B468:C468" si="469">($A468-B$9)/365.25</f>
        <v>96.62149212867898</v>
      </c>
      <c r="C468" s="409">
        <f t="shared" si="469"/>
        <v>92.010951403148525</v>
      </c>
      <c r="E468" s="25">
        <f>IF(C468&gt;$B$7,0,'Combined Retirement'!$D$13/12)</f>
        <v>0</v>
      </c>
      <c r="F468" s="25">
        <f>IF(H468=0,'Combined Retirement'!$D$32,0)+'Combined Retirement'!$B$24</f>
        <v>2870.372285649099</v>
      </c>
      <c r="G468" s="25">
        <f>'Combined Retirement'!$C$24</f>
        <v>3525.4531757812501</v>
      </c>
      <c r="H468" s="25">
        <f>IF(B468&lt;62,0,'Combined Retirement'!$I$14)</f>
        <v>2192</v>
      </c>
      <c r="I468" s="25">
        <f>IF(C468&lt;62,0,'Combined Retirement'!$I$13)</f>
        <v>2420</v>
      </c>
      <c r="J468" s="25">
        <f t="shared" si="263"/>
        <v>7863.2184191855868</v>
      </c>
      <c r="K468" s="25">
        <f t="shared" si="264"/>
        <v>20282.026119384056</v>
      </c>
      <c r="L468" s="25"/>
      <c r="N468" s="25">
        <f>'Combined Retirement'!$C$18/12</f>
        <v>39153.069999999992</v>
      </c>
      <c r="O468" s="25">
        <f t="shared" si="265"/>
        <v>11007.82546143035</v>
      </c>
      <c r="P468" s="25">
        <f t="shared" si="266"/>
        <v>28145.244538569641</v>
      </c>
      <c r="Q468" s="25">
        <f t="array" aca="1" ref="Q468" ca="1">INDEX('Isaac 401k'!L:L,MATCH('Retirement Calculator'!A468,'Isaac 401k'!N:N,0),0)</f>
        <v>663908.79654638795</v>
      </c>
      <c r="R468" s="25">
        <f t="array" aca="1" ref="R468" ca="1">INDEX('Lorri 401b'!L:L,MATCH('Retirement Calculator'!A468,'Lorri 401b'!N:N,0),0)</f>
        <v>1744881.7246448037</v>
      </c>
      <c r="S468" s="25">
        <f t="shared" ca="1" si="267"/>
        <v>2408790.5211911919</v>
      </c>
    </row>
    <row r="469" spans="1:19" ht="15.75" customHeight="1" x14ac:dyDescent="0.3">
      <c r="A469" s="37">
        <v>65228</v>
      </c>
      <c r="B469" s="409">
        <f t="shared" ref="B469:C469" si="470">($A469-B$9)/365.25</f>
        <v>96.706365503080079</v>
      </c>
      <c r="C469" s="409">
        <f t="shared" si="470"/>
        <v>92.095824777549623</v>
      </c>
      <c r="E469" s="25">
        <f>IF(C469&gt;$B$7,0,'Combined Retirement'!$D$13/12)</f>
        <v>0</v>
      </c>
      <c r="F469" s="25">
        <f>IF(H469=0,'Combined Retirement'!$D$32,0)+'Combined Retirement'!$B$24</f>
        <v>2870.372285649099</v>
      </c>
      <c r="G469" s="25">
        <f>'Combined Retirement'!$C$24</f>
        <v>3525.4531757812501</v>
      </c>
      <c r="H469" s="25">
        <f>IF(B469&lt;62,0,'Combined Retirement'!$I$14)</f>
        <v>2192</v>
      </c>
      <c r="I469" s="25">
        <f>IF(C469&lt;62,0,'Combined Retirement'!$I$13)</f>
        <v>2420</v>
      </c>
      <c r="J469" s="25">
        <f t="shared" si="263"/>
        <v>7863.2184191855868</v>
      </c>
      <c r="K469" s="25">
        <f t="shared" si="264"/>
        <v>20282.026119384056</v>
      </c>
      <c r="L469" s="25"/>
      <c r="N469" s="25">
        <f>'Combined Retirement'!$C$18/12</f>
        <v>39153.069999999992</v>
      </c>
      <c r="O469" s="25">
        <f t="shared" si="265"/>
        <v>11007.82546143035</v>
      </c>
      <c r="P469" s="25">
        <f t="shared" si="266"/>
        <v>28145.244538569641</v>
      </c>
      <c r="Q469" s="25">
        <f t="array" aca="1" ref="Q469" ca="1">INDEX('Isaac 401k'!L:L,MATCH('Retirement Calculator'!A469,'Isaac 401k'!N:N,0),0)</f>
        <v>658779.101369399</v>
      </c>
      <c r="R469" s="25">
        <f t="array" aca="1" ref="R469" ca="1">INDEX('Lorri 401b'!L:L,MATCH('Retirement Calculator'!A469,'Lorri 401b'!N:N,0),0)</f>
        <v>1731785.530602609</v>
      </c>
      <c r="S469" s="25">
        <f t="shared" ca="1" si="267"/>
        <v>2390564.6319720079</v>
      </c>
    </row>
    <row r="470" spans="1:19" ht="15.75" customHeight="1" x14ac:dyDescent="0.3">
      <c r="A470" s="37">
        <v>65259</v>
      </c>
      <c r="B470" s="409">
        <f t="shared" ref="B470:C470" si="471">($A470-B$9)/365.25</f>
        <v>96.791238877481177</v>
      </c>
      <c r="C470" s="409">
        <f t="shared" si="471"/>
        <v>92.180698151950722</v>
      </c>
      <c r="E470" s="25">
        <f>IF(C470&gt;$B$7,0,'Combined Retirement'!$D$13/12)</f>
        <v>0</v>
      </c>
      <c r="F470" s="25">
        <f>IF(H470=0,'Combined Retirement'!$D$32,0)+'Combined Retirement'!$B$24</f>
        <v>2870.372285649099</v>
      </c>
      <c r="G470" s="25">
        <f>'Combined Retirement'!$C$24</f>
        <v>3525.4531757812501</v>
      </c>
      <c r="H470" s="25">
        <f>IF(B470&lt;62,0,'Combined Retirement'!$I$14)</f>
        <v>2192</v>
      </c>
      <c r="I470" s="25">
        <f>IF(C470&lt;62,0,'Combined Retirement'!$I$13)</f>
        <v>2420</v>
      </c>
      <c r="J470" s="25">
        <f t="shared" si="263"/>
        <v>7863.2184191855868</v>
      </c>
      <c r="K470" s="25">
        <f t="shared" si="264"/>
        <v>20282.026119384056</v>
      </c>
      <c r="L470" s="25"/>
      <c r="N470" s="25">
        <f>'Combined Retirement'!$C$18/12</f>
        <v>39153.069999999992</v>
      </c>
      <c r="O470" s="25">
        <f t="shared" si="265"/>
        <v>11007.82546143035</v>
      </c>
      <c r="P470" s="25">
        <f t="shared" si="266"/>
        <v>28145.244538569641</v>
      </c>
      <c r="Q470" s="25">
        <f t="array" aca="1" ref="Q470" ca="1">INDEX('Isaac 401k'!L:L,MATCH('Retirement Calculator'!A470,'Isaac 401k'!N:N,0),0)</f>
        <v>653628.03246250597</v>
      </c>
      <c r="R470" s="25">
        <f t="array" aca="1" ref="R470" ca="1">INDEX('Lorri 401b'!L:L,MATCH('Retirement Calculator'!A470,'Lorri 401b'!N:N,0),0)</f>
        <v>1718634.7690852385</v>
      </c>
      <c r="S470" s="25">
        <f t="shared" ca="1" si="267"/>
        <v>2372262.8015477443</v>
      </c>
    </row>
    <row r="471" spans="1:19" ht="15.75" customHeight="1" x14ac:dyDescent="0.3">
      <c r="A471" s="37">
        <v>65289</v>
      </c>
      <c r="B471" s="409">
        <f t="shared" ref="B471:C471" si="472">($A471-B$9)/365.25</f>
        <v>96.873374401095134</v>
      </c>
      <c r="C471" s="409">
        <f t="shared" si="472"/>
        <v>92.262833675564679</v>
      </c>
      <c r="E471" s="25">
        <f>IF(C471&gt;$B$7,0,'Combined Retirement'!$D$13/12)</f>
        <v>0</v>
      </c>
      <c r="F471" s="25">
        <f>IF(H471=0,'Combined Retirement'!$D$32,0)+'Combined Retirement'!$B$24</f>
        <v>2870.372285649099</v>
      </c>
      <c r="G471" s="25">
        <f>'Combined Retirement'!$C$24</f>
        <v>3525.4531757812501</v>
      </c>
      <c r="H471" s="25">
        <f>IF(B471&lt;62,0,'Combined Retirement'!$I$14)</f>
        <v>2192</v>
      </c>
      <c r="I471" s="25">
        <f>IF(C471&lt;62,0,'Combined Retirement'!$I$13)</f>
        <v>2420</v>
      </c>
      <c r="J471" s="25">
        <f t="shared" si="263"/>
        <v>7863.2184191855868</v>
      </c>
      <c r="K471" s="25">
        <f t="shared" si="264"/>
        <v>20282.026119384056</v>
      </c>
      <c r="L471" s="25"/>
      <c r="N471" s="25">
        <f>'Combined Retirement'!$C$18/12</f>
        <v>39153.069999999992</v>
      </c>
      <c r="O471" s="25">
        <f t="shared" si="265"/>
        <v>11007.82546143035</v>
      </c>
      <c r="P471" s="25">
        <f t="shared" si="266"/>
        <v>28145.244538569641</v>
      </c>
      <c r="Q471" s="25">
        <f t="array" aca="1" ref="Q471" ca="1">INDEX('Isaac 401k'!L:L,MATCH('Retirement Calculator'!A471,'Isaac 401k'!N:N,0),0)</f>
        <v>648455.50076850085</v>
      </c>
      <c r="R471" s="25">
        <f t="array" aca="1" ref="R471" ca="1">INDEX('Lorri 401b'!L:L,MATCH('Retirement Calculator'!A471,'Lorri 401b'!N:N,0),0)</f>
        <v>1705429.2127282121</v>
      </c>
      <c r="S471" s="25">
        <f t="shared" ca="1" si="267"/>
        <v>2353884.713496713</v>
      </c>
    </row>
    <row r="472" spans="1:19" ht="15.75" customHeight="1" x14ac:dyDescent="0.3">
      <c r="A472" s="37">
        <v>65320</v>
      </c>
      <c r="B472" s="409">
        <f t="shared" ref="B472:C472" si="473">($A472-B$9)/365.25</f>
        <v>96.958247775496233</v>
      </c>
      <c r="C472" s="409">
        <f t="shared" si="473"/>
        <v>92.347707049965777</v>
      </c>
      <c r="E472" s="25">
        <f>IF(C472&gt;$B$7,0,'Combined Retirement'!$D$13/12)</f>
        <v>0</v>
      </c>
      <c r="F472" s="25">
        <f>IF(H472=0,'Combined Retirement'!$D$32,0)+'Combined Retirement'!$B$24</f>
        <v>2870.372285649099</v>
      </c>
      <c r="G472" s="25">
        <f>'Combined Retirement'!$C$24</f>
        <v>3525.4531757812501</v>
      </c>
      <c r="H472" s="25">
        <f>IF(B472&lt;62,0,'Combined Retirement'!$I$14)</f>
        <v>2192</v>
      </c>
      <c r="I472" s="25">
        <f>IF(C472&lt;62,0,'Combined Retirement'!$I$13)</f>
        <v>2420</v>
      </c>
      <c r="J472" s="25">
        <f t="shared" si="263"/>
        <v>7863.2184191855868</v>
      </c>
      <c r="K472" s="25">
        <f t="shared" si="264"/>
        <v>20282.026119384056</v>
      </c>
      <c r="L472" s="25"/>
      <c r="N472" s="25">
        <f>'Combined Retirement'!$C$18/12</f>
        <v>39153.069999999992</v>
      </c>
      <c r="O472" s="25">
        <f t="shared" si="265"/>
        <v>11007.82546143035</v>
      </c>
      <c r="P472" s="25">
        <f t="shared" si="266"/>
        <v>28145.244538569641</v>
      </c>
      <c r="Q472" s="25">
        <f t="array" aca="1" ref="Q472" ca="1">INDEX('Isaac 401k'!L:L,MATCH('Retirement Calculator'!A472,'Isaac 401k'!N:N,0),0)</f>
        <v>643261.41685910407</v>
      </c>
      <c r="R472" s="25">
        <f t="array" aca="1" ref="R472" ca="1">INDEX('Lorri 401b'!L:L,MATCH('Retirement Calculator'!A472,'Lorri 401b'!N:N,0),0)</f>
        <v>1692168.6332196982</v>
      </c>
      <c r="S472" s="25">
        <f t="shared" ca="1" si="267"/>
        <v>2335430.0500788023</v>
      </c>
    </row>
    <row r="473" spans="1:19" ht="15.75" customHeight="1" x14ac:dyDescent="0.3">
      <c r="A473" s="37">
        <v>65350</v>
      </c>
      <c r="B473" s="409">
        <f t="shared" ref="B473:C473" si="474">($A473-B$9)/365.25</f>
        <v>97.040383299110204</v>
      </c>
      <c r="C473" s="409">
        <f t="shared" si="474"/>
        <v>92.429842573579734</v>
      </c>
      <c r="E473" s="25">
        <f>IF(C473&gt;$B$7,0,'Combined Retirement'!$D$13/12)</f>
        <v>0</v>
      </c>
      <c r="F473" s="25">
        <f>IF(H473=0,'Combined Retirement'!$D$32,0)+'Combined Retirement'!$B$24</f>
        <v>2870.372285649099</v>
      </c>
      <c r="G473" s="25">
        <f>'Combined Retirement'!$C$24</f>
        <v>3525.4531757812501</v>
      </c>
      <c r="H473" s="25">
        <f>IF(B473&lt;62,0,'Combined Retirement'!$I$14)</f>
        <v>2192</v>
      </c>
      <c r="I473" s="25">
        <f>IF(C473&lt;62,0,'Combined Retirement'!$I$13)</f>
        <v>2420</v>
      </c>
      <c r="J473" s="25">
        <f t="shared" si="263"/>
        <v>7863.2184191855868</v>
      </c>
      <c r="K473" s="25">
        <f t="shared" si="264"/>
        <v>20282.026119384056</v>
      </c>
      <c r="L473" s="25"/>
      <c r="N473" s="25">
        <f>'Combined Retirement'!$C$18/12</f>
        <v>39153.069999999992</v>
      </c>
      <c r="O473" s="25">
        <f t="shared" si="265"/>
        <v>11007.82546143035</v>
      </c>
      <c r="P473" s="25">
        <f t="shared" si="266"/>
        <v>28145.244538569641</v>
      </c>
      <c r="Q473" s="25">
        <f t="array" aca="1" ref="Q473" ca="1">INDEX('Isaac 401k'!L:L,MATCH('Retirement Calculator'!A473,'Isaac 401k'!N:N,0),0)</f>
        <v>638045.69093341811</v>
      </c>
      <c r="R473" s="25">
        <f t="array" aca="1" ref="R473" ca="1">INDEX('Lorri 401b'!L:L,MATCH('Retirement Calculator'!A473,'Lorri 401b'!N:N,0),0)</f>
        <v>1678852.8012965654</v>
      </c>
      <c r="S473" s="25">
        <f t="shared" ca="1" si="267"/>
        <v>2316898.4922299837</v>
      </c>
    </row>
    <row r="474" spans="1:19" ht="15.75" customHeight="1" x14ac:dyDescent="0.3">
      <c r="A474" s="37">
        <v>65381</v>
      </c>
      <c r="B474" s="409">
        <f t="shared" ref="B474:C474" si="475">($A474-B$9)/365.25</f>
        <v>97.125256673511288</v>
      </c>
      <c r="C474" s="409">
        <f t="shared" si="475"/>
        <v>92.514715947980832</v>
      </c>
      <c r="E474" s="25">
        <f>IF(C474&gt;$B$7,0,'Combined Retirement'!$D$13/12)</f>
        <v>0</v>
      </c>
      <c r="F474" s="25">
        <f>IF(H474=0,'Combined Retirement'!$D$32,0)+'Combined Retirement'!$B$24</f>
        <v>2870.372285649099</v>
      </c>
      <c r="G474" s="25">
        <f>'Combined Retirement'!$C$24</f>
        <v>3525.4531757812501</v>
      </c>
      <c r="H474" s="25">
        <f>IF(B474&lt;62,0,'Combined Retirement'!$I$14)</f>
        <v>2192</v>
      </c>
      <c r="I474" s="25">
        <f>IF(C474&lt;62,0,'Combined Retirement'!$I$13)</f>
        <v>2420</v>
      </c>
      <c r="J474" s="25">
        <f t="shared" si="263"/>
        <v>7863.2184191855868</v>
      </c>
      <c r="K474" s="25">
        <f t="shared" si="264"/>
        <v>20282.026119384056</v>
      </c>
      <c r="L474" s="25"/>
      <c r="N474" s="25">
        <f>'Combined Retirement'!$C$18/12</f>
        <v>39153.069999999992</v>
      </c>
      <c r="O474" s="25">
        <f t="shared" si="265"/>
        <v>11007.82546143035</v>
      </c>
      <c r="P474" s="25">
        <f t="shared" si="266"/>
        <v>28145.244538569641</v>
      </c>
      <c r="Q474" s="25">
        <f t="array" aca="1" ref="Q474" ca="1">INDEX('Isaac 401k'!L:L,MATCH('Retirement Calculator'!A474,'Isaac 401k'!N:N,0),0)</f>
        <v>632808.23281637509</v>
      </c>
      <c r="R474" s="25">
        <f t="array" aca="1" ref="R474" ca="1">INDEX('Lorri 401b'!L:L,MATCH('Retirement Calculator'!A474,'Lorri 401b'!N:N,0),0)</f>
        <v>1665481.4867404196</v>
      </c>
      <c r="S474" s="25">
        <f t="shared" ca="1" si="267"/>
        <v>2298289.7195567945</v>
      </c>
    </row>
    <row r="475" spans="1:19" ht="15.75" customHeight="1" x14ac:dyDescent="0.3">
      <c r="A475" s="37">
        <v>65412</v>
      </c>
      <c r="B475" s="409">
        <f t="shared" ref="B475:C475" si="476">($A475-B$9)/365.25</f>
        <v>97.210130047912386</v>
      </c>
      <c r="C475" s="409">
        <f t="shared" si="476"/>
        <v>92.599589322381931</v>
      </c>
      <c r="E475" s="25">
        <f>IF(C475&gt;$B$7,0,'Combined Retirement'!$D$13/12)</f>
        <v>0</v>
      </c>
      <c r="F475" s="25">
        <f>IF(H475=0,'Combined Retirement'!$D$32,0)+'Combined Retirement'!$B$24</f>
        <v>2870.372285649099</v>
      </c>
      <c r="G475" s="25">
        <f>'Combined Retirement'!$C$24</f>
        <v>3525.4531757812501</v>
      </c>
      <c r="H475" s="25">
        <f>IF(B475&lt;62,0,'Combined Retirement'!$I$14)</f>
        <v>2192</v>
      </c>
      <c r="I475" s="25">
        <f>IF(C475&lt;62,0,'Combined Retirement'!$I$13)</f>
        <v>2420</v>
      </c>
      <c r="J475" s="25">
        <f t="shared" si="263"/>
        <v>7863.2184191855868</v>
      </c>
      <c r="K475" s="25">
        <f t="shared" si="264"/>
        <v>20282.026119384056</v>
      </c>
      <c r="L475" s="25"/>
      <c r="N475" s="25">
        <f>'Combined Retirement'!$C$18/12</f>
        <v>39153.069999999992</v>
      </c>
      <c r="O475" s="25">
        <f t="shared" si="265"/>
        <v>11007.82546143035</v>
      </c>
      <c r="P475" s="25">
        <f t="shared" si="266"/>
        <v>28145.244538569641</v>
      </c>
      <c r="Q475" s="25">
        <f t="array" aca="1" ref="Q475" ca="1">INDEX('Isaac 401k'!L:L,MATCH('Retirement Calculator'!A475,'Isaac 401k'!N:N,0),0)</f>
        <v>627548.95195717772</v>
      </c>
      <c r="R475" s="25">
        <f t="array" aca="1" ref="R475" ca="1">INDEX('Lorri 401b'!L:L,MATCH('Retirement Calculator'!A475,'Lorri 401b'!N:N,0),0)</f>
        <v>1652054.4583736232</v>
      </c>
      <c r="S475" s="25">
        <f t="shared" ca="1" si="267"/>
        <v>2279603.4103308008</v>
      </c>
    </row>
    <row r="476" spans="1:19" ht="15.75" customHeight="1" x14ac:dyDescent="0.3">
      <c r="A476" s="37">
        <v>65440</v>
      </c>
      <c r="B476" s="409">
        <f t="shared" ref="B476:C476" si="477">($A476-B$9)/365.25</f>
        <v>97.286789869952088</v>
      </c>
      <c r="C476" s="409">
        <f t="shared" si="477"/>
        <v>92.676249144421632</v>
      </c>
      <c r="E476" s="25">
        <f>IF(C476&gt;$B$7,0,'Combined Retirement'!$D$13/12)</f>
        <v>0</v>
      </c>
      <c r="F476" s="25">
        <f>IF(H476=0,'Combined Retirement'!$D$32,0)+'Combined Retirement'!$B$24</f>
        <v>2870.372285649099</v>
      </c>
      <c r="G476" s="25">
        <f>'Combined Retirement'!$C$24</f>
        <v>3525.4531757812501</v>
      </c>
      <c r="H476" s="25">
        <f>IF(B476&lt;62,0,'Combined Retirement'!$I$14)</f>
        <v>2192</v>
      </c>
      <c r="I476" s="25">
        <f>IF(C476&lt;62,0,'Combined Retirement'!$I$13)</f>
        <v>2420</v>
      </c>
      <c r="J476" s="25">
        <f t="shared" si="263"/>
        <v>7863.2184191855868</v>
      </c>
      <c r="K476" s="25">
        <f t="shared" si="264"/>
        <v>20282.026119384056</v>
      </c>
      <c r="L476" s="25"/>
      <c r="N476" s="25">
        <f>'Combined Retirement'!$C$18/12</f>
        <v>39153.069999999992</v>
      </c>
      <c r="O476" s="25">
        <f t="shared" si="265"/>
        <v>11007.82546143035</v>
      </c>
      <c r="P476" s="25">
        <f t="shared" si="266"/>
        <v>28145.244538569641</v>
      </c>
      <c r="Q476" s="25">
        <f t="array" aca="1" ref="Q476" ca="1">INDEX('Isaac 401k'!L:L,MATCH('Retirement Calculator'!A476,'Isaac 401k'!N:N,0),0)</f>
        <v>622267.75742773374</v>
      </c>
      <c r="R476" s="25">
        <f t="array" aca="1" ref="R476" ca="1">INDEX('Lorri 401b'!L:L,MATCH('Retirement Calculator'!A476,'Lorri 401b'!N:N,0),0)</f>
        <v>1638571.4840552986</v>
      </c>
      <c r="S476" s="25">
        <f t="shared" ca="1" si="267"/>
        <v>2260839.2414830322</v>
      </c>
    </row>
    <row r="477" spans="1:19" ht="15.75" customHeight="1" x14ac:dyDescent="0.3">
      <c r="A477" s="37">
        <v>65471</v>
      </c>
      <c r="B477" s="409">
        <f t="shared" ref="B477:C477" si="478">($A477-B$9)/365.25</f>
        <v>97.371663244353186</v>
      </c>
      <c r="C477" s="409">
        <f t="shared" si="478"/>
        <v>92.761122518822731</v>
      </c>
      <c r="E477" s="25">
        <f>IF(C477&gt;$B$7,0,'Combined Retirement'!$D$13/12)</f>
        <v>0</v>
      </c>
      <c r="F477" s="25">
        <f>IF(H477=0,'Combined Retirement'!$D$32,0)+'Combined Retirement'!$B$24</f>
        <v>2870.372285649099</v>
      </c>
      <c r="G477" s="25">
        <f>'Combined Retirement'!$C$24</f>
        <v>3525.4531757812501</v>
      </c>
      <c r="H477" s="25">
        <f>IF(B477&lt;62,0,'Combined Retirement'!$I$14)</f>
        <v>2192</v>
      </c>
      <c r="I477" s="25">
        <f>IF(C477&lt;62,0,'Combined Retirement'!$I$13)</f>
        <v>2420</v>
      </c>
      <c r="J477" s="25">
        <f t="shared" si="263"/>
        <v>7863.2184191855868</v>
      </c>
      <c r="K477" s="25">
        <f t="shared" si="264"/>
        <v>20282.026119384056</v>
      </c>
      <c r="L477" s="25"/>
      <c r="N477" s="25">
        <f>'Combined Retirement'!$C$18/12</f>
        <v>39153.069999999992</v>
      </c>
      <c r="O477" s="25">
        <f t="shared" si="265"/>
        <v>11007.82546143035</v>
      </c>
      <c r="P477" s="25">
        <f t="shared" si="266"/>
        <v>28145.244538569641</v>
      </c>
      <c r="Q477" s="25">
        <f t="array" aca="1" ref="Q477" ca="1">INDEX('Isaac 401k'!L:L,MATCH('Retirement Calculator'!A477,'Isaac 401k'!N:N,0),0)</f>
        <v>616964.55792108376</v>
      </c>
      <c r="R477" s="25">
        <f t="array" aca="1" ref="R477" ca="1">INDEX('Lorri 401b'!L:L,MATCH('Retirement Calculator'!A477,'Lorri 401b'!N:N,0),0)</f>
        <v>1625032.3306773142</v>
      </c>
      <c r="S477" s="25">
        <f t="shared" ca="1" si="267"/>
        <v>2241996.8885983978</v>
      </c>
    </row>
    <row r="478" spans="1:19" ht="15.75" customHeight="1" x14ac:dyDescent="0.3">
      <c r="A478" s="37">
        <v>65501</v>
      </c>
      <c r="B478" s="409">
        <f t="shared" ref="B478:C478" si="479">($A478-B$9)/365.25</f>
        <v>97.453798767967143</v>
      </c>
      <c r="C478" s="409">
        <f t="shared" si="479"/>
        <v>92.843258042436688</v>
      </c>
      <c r="E478" s="25">
        <f>IF(C478&gt;$B$7,0,'Combined Retirement'!$D$13/12)</f>
        <v>0</v>
      </c>
      <c r="F478" s="25">
        <f>IF(H478=0,'Combined Retirement'!$D$32,0)+'Combined Retirement'!$B$24</f>
        <v>2870.372285649099</v>
      </c>
      <c r="G478" s="25">
        <f>'Combined Retirement'!$C$24</f>
        <v>3525.4531757812501</v>
      </c>
      <c r="H478" s="25">
        <f>IF(B478&lt;62,0,'Combined Retirement'!$I$14)</f>
        <v>2192</v>
      </c>
      <c r="I478" s="25">
        <f>IF(C478&lt;62,0,'Combined Retirement'!$I$13)</f>
        <v>2420</v>
      </c>
      <c r="J478" s="25">
        <f t="shared" si="263"/>
        <v>7863.2184191855868</v>
      </c>
      <c r="K478" s="25">
        <f t="shared" si="264"/>
        <v>20282.026119384056</v>
      </c>
      <c r="L478" s="25"/>
      <c r="N478" s="25">
        <f>'Combined Retirement'!$C$18/12</f>
        <v>39153.069999999992</v>
      </c>
      <c r="O478" s="25">
        <f t="shared" si="265"/>
        <v>11007.82546143035</v>
      </c>
      <c r="P478" s="25">
        <f t="shared" si="266"/>
        <v>28145.244538569641</v>
      </c>
      <c r="Q478" s="25">
        <f t="array" aca="1" ref="Q478" ca="1">INDEX('Isaac 401k'!L:L,MATCH('Retirement Calculator'!A478,'Isaac 401k'!N:N,0),0)</f>
        <v>611639.26174982276</v>
      </c>
      <c r="R478" s="25">
        <f t="array" aca="1" ref="R478" ca="1">INDEX('Lorri 401b'!L:L,MATCH('Retirement Calculator'!A478,'Lorri 401b'!N:N,0),0)</f>
        <v>1611436.764160255</v>
      </c>
      <c r="S478" s="25">
        <f t="shared" ca="1" si="267"/>
        <v>2223076.0259100776</v>
      </c>
    </row>
    <row r="479" spans="1:19" ht="15.75" customHeight="1" x14ac:dyDescent="0.3">
      <c r="A479" s="37">
        <v>65532</v>
      </c>
      <c r="B479" s="409">
        <f t="shared" ref="B479:C479" si="480">($A479-B$9)/365.25</f>
        <v>97.538672142368242</v>
      </c>
      <c r="C479" s="409">
        <f t="shared" si="480"/>
        <v>92.928131416837786</v>
      </c>
      <c r="E479" s="25">
        <f>IF(C479&gt;$B$7,0,'Combined Retirement'!$D$13/12)</f>
        <v>0</v>
      </c>
      <c r="F479" s="25">
        <f>IF(H479=0,'Combined Retirement'!$D$32,0)+'Combined Retirement'!$B$24</f>
        <v>2870.372285649099</v>
      </c>
      <c r="G479" s="25">
        <f>'Combined Retirement'!$C$24</f>
        <v>3525.4531757812501</v>
      </c>
      <c r="H479" s="25">
        <f>IF(B479&lt;62,0,'Combined Retirement'!$I$14)</f>
        <v>2192</v>
      </c>
      <c r="I479" s="25">
        <f>IF(C479&lt;62,0,'Combined Retirement'!$I$13)</f>
        <v>2420</v>
      </c>
      <c r="J479" s="25">
        <f t="shared" si="263"/>
        <v>7863.2184191855868</v>
      </c>
      <c r="K479" s="25">
        <f t="shared" si="264"/>
        <v>20282.026119384056</v>
      </c>
      <c r="L479" s="25"/>
      <c r="N479" s="25">
        <f>'Combined Retirement'!$C$18/12</f>
        <v>39153.069999999992</v>
      </c>
      <c r="O479" s="25">
        <f t="shared" si="265"/>
        <v>11007.82546143035</v>
      </c>
      <c r="P479" s="25">
        <f t="shared" si="266"/>
        <v>28145.244538569641</v>
      </c>
      <c r="Q479" s="25">
        <f t="array" aca="1" ref="Q479" ca="1">INDEX('Isaac 401k'!L:L,MATCH('Retirement Calculator'!A479,'Isaac 401k'!N:N,0),0)</f>
        <v>606291.77684451477</v>
      </c>
      <c r="R479" s="25">
        <f t="array" aca="1" ref="R479" ca="1">INDEX('Lorri 401b'!L:L,MATCH('Retirement Calculator'!A479,'Lorri 401b'!N:N,0),0)</f>
        <v>1597784.5494493747</v>
      </c>
      <c r="S479" s="25">
        <f t="shared" ca="1" si="267"/>
        <v>2204076.3262938894</v>
      </c>
    </row>
    <row r="480" spans="1:19" ht="15.75" customHeight="1" x14ac:dyDescent="0.3">
      <c r="A480" s="37">
        <v>65562</v>
      </c>
      <c r="B480" s="409">
        <f t="shared" ref="B480:C480" si="481">($A480-B$9)/365.25</f>
        <v>97.620807665982198</v>
      </c>
      <c r="C480" s="409">
        <f t="shared" si="481"/>
        <v>93.010266940451743</v>
      </c>
      <c r="E480" s="25">
        <f>IF(C480&gt;$B$7,0,'Combined Retirement'!$D$13/12)</f>
        <v>0</v>
      </c>
      <c r="F480" s="25">
        <f>IF(H480=0,'Combined Retirement'!$D$32,0)+'Combined Retirement'!$B$24</f>
        <v>2870.372285649099</v>
      </c>
      <c r="G480" s="25">
        <f>'Combined Retirement'!$C$24</f>
        <v>3525.4531757812501</v>
      </c>
      <c r="H480" s="25">
        <f>IF(B480&lt;62,0,'Combined Retirement'!$I$14)</f>
        <v>2192</v>
      </c>
      <c r="I480" s="25">
        <f>IF(C480&lt;62,0,'Combined Retirement'!$I$13)</f>
        <v>2420</v>
      </c>
      <c r="J480" s="25">
        <f t="shared" si="263"/>
        <v>7863.2184191855868</v>
      </c>
      <c r="K480" s="25">
        <f t="shared" si="264"/>
        <v>20282.026119384056</v>
      </c>
      <c r="L480" s="25"/>
      <c r="N480" s="25">
        <f>'Combined Retirement'!$C$18/12</f>
        <v>39153.069999999992</v>
      </c>
      <c r="O480" s="25">
        <f t="shared" si="265"/>
        <v>11007.82546143035</v>
      </c>
      <c r="P480" s="25">
        <f t="shared" si="266"/>
        <v>28145.244538569641</v>
      </c>
      <c r="Q480" s="25">
        <f t="array" aca="1" ref="Q480" ca="1">INDEX('Isaac 401k'!L:L,MATCH('Retirement Calculator'!A480,'Isaac 401k'!N:N,0),0)</f>
        <v>600922.01075210131</v>
      </c>
      <c r="R480" s="25">
        <f t="array" aca="1" ref="R480" ca="1">INDEX('Lorri 401b'!L:L,MATCH('Retirement Calculator'!A480,'Lorri 401b'!N:N,0),0)</f>
        <v>1584075.4505105324</v>
      </c>
      <c r="S480" s="25">
        <f t="shared" ca="1" si="267"/>
        <v>2184997.4612626336</v>
      </c>
    </row>
    <row r="481" spans="1:19" ht="15.75" customHeight="1" x14ac:dyDescent="0.3">
      <c r="A481" s="37">
        <v>65593</v>
      </c>
      <c r="B481" s="409">
        <f t="shared" ref="B481:C481" si="482">($A481-B$9)/365.25</f>
        <v>97.705681040383297</v>
      </c>
      <c r="C481" s="409">
        <f t="shared" si="482"/>
        <v>93.095140314852841</v>
      </c>
      <c r="E481" s="25">
        <f>IF(C481&gt;$B$7,0,'Combined Retirement'!$D$13/12)</f>
        <v>0</v>
      </c>
      <c r="F481" s="25">
        <f>IF(H481=0,'Combined Retirement'!$D$32,0)+'Combined Retirement'!$B$24</f>
        <v>2870.372285649099</v>
      </c>
      <c r="G481" s="25">
        <f>'Combined Retirement'!$C$24</f>
        <v>3525.4531757812501</v>
      </c>
      <c r="H481" s="25">
        <f>IF(B481&lt;62,0,'Combined Retirement'!$I$14)</f>
        <v>2192</v>
      </c>
      <c r="I481" s="25">
        <f>IF(C481&lt;62,0,'Combined Retirement'!$I$13)</f>
        <v>2420</v>
      </c>
      <c r="J481" s="25">
        <f t="shared" si="263"/>
        <v>7863.2184191855868</v>
      </c>
      <c r="K481" s="25">
        <f t="shared" si="264"/>
        <v>20282.026119384056</v>
      </c>
      <c r="L481" s="25"/>
      <c r="N481" s="25">
        <f>'Combined Retirement'!$C$18/12</f>
        <v>39153.069999999992</v>
      </c>
      <c r="O481" s="25">
        <f t="shared" si="265"/>
        <v>11007.82546143035</v>
      </c>
      <c r="P481" s="25">
        <f t="shared" si="266"/>
        <v>28145.244538569641</v>
      </c>
      <c r="Q481" s="25">
        <f t="array" aca="1" ref="Q481" ca="1">INDEX('Isaac 401k'!L:L,MATCH('Retirement Calculator'!A481,'Isaac 401k'!N:N,0),0)</f>
        <v>595529.87063430285</v>
      </c>
      <c r="R481" s="25">
        <f t="array" aca="1" ref="R481" ca="1">INDEX('Lorri 401b'!L:L,MATCH('Retirement Calculator'!A481,'Lorri 401b'!N:N,0),0)</f>
        <v>1570309.2303261114</v>
      </c>
      <c r="S481" s="25">
        <f t="shared" ca="1" si="267"/>
        <v>2165839.1009604144</v>
      </c>
    </row>
    <row r="482" spans="1:19" ht="15.75" customHeight="1" x14ac:dyDescent="0.3">
      <c r="A482" s="37">
        <v>65624</v>
      </c>
      <c r="B482" s="409">
        <f t="shared" ref="B482:C482" si="483">($A482-B$9)/365.25</f>
        <v>97.790554414784395</v>
      </c>
      <c r="C482" s="409">
        <f t="shared" si="483"/>
        <v>93.18001368925394</v>
      </c>
      <c r="E482" s="25">
        <f>IF(C482&gt;$B$7,0,'Combined Retirement'!$D$13/12)</f>
        <v>0</v>
      </c>
      <c r="F482" s="25">
        <f>IF(H482=0,'Combined Retirement'!$D$32,0)+'Combined Retirement'!$B$24</f>
        <v>2870.372285649099</v>
      </c>
      <c r="G482" s="25">
        <f>'Combined Retirement'!$C$24</f>
        <v>3525.4531757812501</v>
      </c>
      <c r="H482" s="25">
        <f>IF(B482&lt;62,0,'Combined Retirement'!$I$14)</f>
        <v>2192</v>
      </c>
      <c r="I482" s="25">
        <f>IF(C482&lt;62,0,'Combined Retirement'!$I$13)</f>
        <v>2420</v>
      </c>
      <c r="J482" s="25">
        <f t="shared" si="263"/>
        <v>7863.2184191855868</v>
      </c>
      <c r="K482" s="25">
        <f t="shared" si="264"/>
        <v>20282.026119384056</v>
      </c>
      <c r="L482" s="25"/>
      <c r="N482" s="25">
        <f>'Combined Retirement'!$C$18/12</f>
        <v>39153.069999999992</v>
      </c>
      <c r="O482" s="25">
        <f t="shared" si="265"/>
        <v>11007.82546143035</v>
      </c>
      <c r="P482" s="25">
        <f t="shared" si="266"/>
        <v>28145.244538569641</v>
      </c>
      <c r="Q482" s="25">
        <f t="array" aca="1" ref="Q482" ca="1">INDEX('Isaac 401k'!L:L,MATCH('Retirement Calculator'!A482,'Isaac 401k'!N:N,0),0)</f>
        <v>590115.26326601359</v>
      </c>
      <c r="R482" s="25">
        <f t="array" aca="1" ref="R482" ca="1">INDEX('Lorri 401b'!L:L,MATCH('Retirement Calculator'!A482,'Lorri 401b'!N:N,0),0)</f>
        <v>1556485.6508909222</v>
      </c>
      <c r="S482" s="25">
        <f t="shared" ca="1" si="267"/>
        <v>2146600.9141569356</v>
      </c>
    </row>
    <row r="483" spans="1:19" ht="15.75" customHeight="1" x14ac:dyDescent="0.3">
      <c r="A483" s="37">
        <v>65654</v>
      </c>
      <c r="B483" s="409">
        <f t="shared" ref="B483:C483" si="484">($A483-B$9)/365.25</f>
        <v>97.872689938398352</v>
      </c>
      <c r="C483" s="409">
        <f t="shared" si="484"/>
        <v>93.262149212867897</v>
      </c>
      <c r="E483" s="25">
        <f>IF(C483&gt;$B$7,0,'Combined Retirement'!$D$13/12)</f>
        <v>0</v>
      </c>
      <c r="F483" s="25">
        <f>IF(H483=0,'Combined Retirement'!$D$32,0)+'Combined Retirement'!$B$24</f>
        <v>2870.372285649099</v>
      </c>
      <c r="G483" s="25">
        <f>'Combined Retirement'!$C$24</f>
        <v>3525.4531757812501</v>
      </c>
      <c r="H483" s="25">
        <f>IF(B483&lt;62,0,'Combined Retirement'!$I$14)</f>
        <v>2192</v>
      </c>
      <c r="I483" s="25">
        <f>IF(C483&lt;62,0,'Combined Retirement'!$I$13)</f>
        <v>2420</v>
      </c>
      <c r="J483" s="25">
        <f t="shared" si="263"/>
        <v>7863.2184191855868</v>
      </c>
      <c r="K483" s="25">
        <f t="shared" si="264"/>
        <v>20282.026119384056</v>
      </c>
      <c r="L483" s="25"/>
      <c r="N483" s="25">
        <f>'Combined Retirement'!$C$18/12</f>
        <v>39153.069999999992</v>
      </c>
      <c r="O483" s="25">
        <f t="shared" si="265"/>
        <v>11007.82546143035</v>
      </c>
      <c r="P483" s="25">
        <f t="shared" si="266"/>
        <v>28145.244538569641</v>
      </c>
      <c r="Q483" s="25">
        <f t="array" aca="1" ref="Q483" ca="1">INDEX('Isaac 401k'!L:L,MATCH('Retirement Calculator'!A483,'Isaac 401k'!N:N,0),0)</f>
        <v>584678.09503368975</v>
      </c>
      <c r="R483" s="25">
        <f t="array" aca="1" ref="R483" ca="1">INDEX('Lorri 401b'!L:L,MATCH('Retirement Calculator'!A483,'Lorri 401b'!N:N,0),0)</f>
        <v>1542604.4732080863</v>
      </c>
      <c r="S483" s="25">
        <f t="shared" ca="1" si="267"/>
        <v>2127282.568241776</v>
      </c>
    </row>
    <row r="484" spans="1:19" ht="15.75" customHeight="1" x14ac:dyDescent="0.3">
      <c r="A484" s="37">
        <v>65685</v>
      </c>
      <c r="B484" s="409">
        <f t="shared" ref="B484:C484" si="485">($A484-B$9)/365.25</f>
        <v>97.957563312799451</v>
      </c>
      <c r="C484" s="409">
        <f t="shared" si="485"/>
        <v>93.347022587268995</v>
      </c>
      <c r="E484" s="25">
        <f>IF(C484&gt;$B$7,0,'Combined Retirement'!$D$13/12)</f>
        <v>0</v>
      </c>
      <c r="F484" s="25">
        <f>IF(H484=0,'Combined Retirement'!$D$32,0)+'Combined Retirement'!$B$24</f>
        <v>2870.372285649099</v>
      </c>
      <c r="G484" s="25">
        <f>'Combined Retirement'!$C$24</f>
        <v>3525.4531757812501</v>
      </c>
      <c r="H484" s="25">
        <f>IF(B484&lt;62,0,'Combined Retirement'!$I$14)</f>
        <v>2192</v>
      </c>
      <c r="I484" s="25">
        <f>IF(C484&lt;62,0,'Combined Retirement'!$I$13)</f>
        <v>2420</v>
      </c>
      <c r="J484" s="25">
        <f t="shared" si="263"/>
        <v>7863.2184191855868</v>
      </c>
      <c r="K484" s="25">
        <f t="shared" si="264"/>
        <v>20282.026119384056</v>
      </c>
      <c r="L484" s="25"/>
      <c r="N484" s="25">
        <f>'Combined Retirement'!$C$18/12</f>
        <v>39153.069999999992</v>
      </c>
      <c r="O484" s="25">
        <f t="shared" si="265"/>
        <v>11007.82546143035</v>
      </c>
      <c r="P484" s="25">
        <f t="shared" si="266"/>
        <v>28145.244538569641</v>
      </c>
      <c r="Q484" s="25">
        <f t="array" aca="1" ref="Q484" ca="1">INDEX('Isaac 401k'!L:L,MATCH('Retirement Calculator'!A484,'Isaac 401k'!N:N,0),0)</f>
        <v>579218.27193373127</v>
      </c>
      <c r="R484" s="25">
        <f t="array" aca="1" ref="R484" ca="1">INDEX('Lorri 401b'!L:L,MATCH('Retirement Calculator'!A484,'Lorri 401b'!N:N,0),0)</f>
        <v>1528665.4572849052</v>
      </c>
      <c r="S484" s="25">
        <f t="shared" ca="1" si="267"/>
        <v>2107883.7292186366</v>
      </c>
    </row>
    <row r="485" spans="1:19" ht="15.75" customHeight="1" x14ac:dyDescent="0.3">
      <c r="A485" s="37">
        <v>65715</v>
      </c>
      <c r="B485" s="409">
        <f t="shared" ref="B485:C485" si="486">($A485-B$9)/365.25</f>
        <v>98.039698836413422</v>
      </c>
      <c r="C485" s="409">
        <f t="shared" si="486"/>
        <v>93.429158110882952</v>
      </c>
      <c r="E485" s="25">
        <f>IF(C485&gt;$B$7,0,'Combined Retirement'!$D$13/12)</f>
        <v>0</v>
      </c>
      <c r="F485" s="25">
        <f>IF(H485=0,'Combined Retirement'!$D$32,0)+'Combined Retirement'!$B$24</f>
        <v>2870.372285649099</v>
      </c>
      <c r="G485" s="25">
        <f>'Combined Retirement'!$C$24</f>
        <v>3525.4531757812501</v>
      </c>
      <c r="H485" s="25">
        <f>IF(B485&lt;62,0,'Combined Retirement'!$I$14)</f>
        <v>2192</v>
      </c>
      <c r="I485" s="25">
        <f>IF(C485&lt;62,0,'Combined Retirement'!$I$13)</f>
        <v>2420</v>
      </c>
      <c r="J485" s="25">
        <f t="shared" si="263"/>
        <v>7863.2184191855868</v>
      </c>
      <c r="K485" s="25">
        <f t="shared" si="264"/>
        <v>20282.026119384056</v>
      </c>
      <c r="L485" s="25"/>
      <c r="N485" s="25">
        <f>'Combined Retirement'!$C$18/12</f>
        <v>39153.069999999992</v>
      </c>
      <c r="O485" s="25">
        <f t="shared" si="265"/>
        <v>11007.82546143035</v>
      </c>
      <c r="P485" s="25">
        <f t="shared" si="266"/>
        <v>28145.244538569641</v>
      </c>
      <c r="Q485" s="25">
        <f t="array" aca="1" ref="Q485" ca="1">INDEX('Isaac 401k'!L:L,MATCH('Retirement Calculator'!A485,'Isaac 401k'!N:N,0),0)</f>
        <v>573735.69957085629</v>
      </c>
      <c r="R485" s="25">
        <f t="array" aca="1" ref="R485" ca="1">INDEX('Lorri 401b'!L:L,MATCH('Retirement Calculator'!A485,'Lorri 401b'!N:N,0),0)</f>
        <v>1514668.3621287108</v>
      </c>
      <c r="S485" s="25">
        <f t="shared" ca="1" si="267"/>
        <v>2088404.0616995671</v>
      </c>
    </row>
    <row r="486" spans="1:19" ht="15.75" customHeight="1" x14ac:dyDescent="0.3">
      <c r="A486" s="37">
        <v>65746</v>
      </c>
      <c r="B486" s="409">
        <f t="shared" ref="B486:C486" si="487">($A486-B$9)/365.25</f>
        <v>98.124572210814506</v>
      </c>
      <c r="C486" s="409">
        <f t="shared" si="487"/>
        <v>93.51403148528405</v>
      </c>
      <c r="E486" s="25">
        <f>IF(C486&gt;$B$7,0,'Combined Retirement'!$D$13/12)</f>
        <v>0</v>
      </c>
      <c r="F486" s="25">
        <f>IF(H486=0,'Combined Retirement'!$D$32,0)+'Combined Retirement'!$B$24</f>
        <v>2870.372285649099</v>
      </c>
      <c r="G486" s="25">
        <f>'Combined Retirement'!$C$24</f>
        <v>3525.4531757812501</v>
      </c>
      <c r="H486" s="25">
        <f>IF(B486&lt;62,0,'Combined Retirement'!$I$14)</f>
        <v>2192</v>
      </c>
      <c r="I486" s="25">
        <f>IF(C486&lt;62,0,'Combined Retirement'!$I$13)</f>
        <v>2420</v>
      </c>
      <c r="J486" s="25">
        <f t="shared" si="263"/>
        <v>7863.2184191855868</v>
      </c>
      <c r="K486" s="25">
        <f t="shared" si="264"/>
        <v>20282.026119384056</v>
      </c>
      <c r="L486" s="25"/>
      <c r="N486" s="25">
        <f>'Combined Retirement'!$C$18/12</f>
        <v>39153.069999999992</v>
      </c>
      <c r="O486" s="25">
        <f t="shared" si="265"/>
        <v>11007.82546143035</v>
      </c>
      <c r="P486" s="25">
        <f t="shared" si="266"/>
        <v>28145.244538569641</v>
      </c>
      <c r="Q486" s="25">
        <f t="array" aca="1" ref="Q486" ca="1">INDEX('Isaac 401k'!L:L,MATCH('Retirement Calculator'!A486,'Isaac 401k'!N:N,0),0)</f>
        <v>568230.28315646935</v>
      </c>
      <c r="R486" s="25">
        <f t="array" aca="1" ref="R486" ca="1">INDEX('Lorri 401b'!L:L,MATCH('Retirement Calculator'!A486,'Lorri 401b'!N:N,0),0)</f>
        <v>1500612.9457426991</v>
      </c>
      <c r="S486" s="25">
        <f t="shared" ca="1" si="267"/>
        <v>2068843.2288991683</v>
      </c>
    </row>
    <row r="487" spans="1:19" ht="15.75" customHeight="1" x14ac:dyDescent="0.3">
      <c r="A487" s="37">
        <v>65777</v>
      </c>
      <c r="B487" s="409">
        <f t="shared" ref="B487:C487" si="488">($A487-B$9)/365.25</f>
        <v>98.209445585215605</v>
      </c>
      <c r="C487" s="409">
        <f t="shared" si="488"/>
        <v>93.598904859685149</v>
      </c>
      <c r="E487" s="25">
        <f>IF(C487&gt;$B$7,0,'Combined Retirement'!$D$13/12)</f>
        <v>0</v>
      </c>
      <c r="F487" s="25">
        <f>IF(H487=0,'Combined Retirement'!$D$32,0)+'Combined Retirement'!$B$24</f>
        <v>2870.372285649099</v>
      </c>
      <c r="G487" s="25">
        <f>'Combined Retirement'!$C$24</f>
        <v>3525.4531757812501</v>
      </c>
      <c r="H487" s="25">
        <f>IF(B487&lt;62,0,'Combined Retirement'!$I$14)</f>
        <v>2192</v>
      </c>
      <c r="I487" s="25">
        <f>IF(C487&lt;62,0,'Combined Retirement'!$I$13)</f>
        <v>2420</v>
      </c>
      <c r="J487" s="25">
        <f t="shared" si="263"/>
        <v>7863.2184191855868</v>
      </c>
      <c r="K487" s="25">
        <f t="shared" si="264"/>
        <v>20282.026119384056</v>
      </c>
      <c r="L487" s="25"/>
      <c r="N487" s="25">
        <f>'Combined Retirement'!$C$18/12</f>
        <v>39153.069999999992</v>
      </c>
      <c r="O487" s="25">
        <f t="shared" si="265"/>
        <v>11007.82546143035</v>
      </c>
      <c r="P487" s="25">
        <f t="shared" si="266"/>
        <v>28145.244538569641</v>
      </c>
      <c r="Q487" s="25">
        <f t="array" aca="1" ref="Q487" ca="1">INDEX('Isaac 401k'!L:L,MATCH('Retirement Calculator'!A487,'Isaac 401k'!N:N,0),0)</f>
        <v>562701.9275070224</v>
      </c>
      <c r="R487" s="25">
        <f t="array" aca="1" ref="R487" ca="1">INDEX('Lorri 401b'!L:L,MATCH('Retirement Calculator'!A487,'Lorri 401b'!N:N,0),0)</f>
        <v>1486498.9651217456</v>
      </c>
      <c r="S487" s="25">
        <f t="shared" ca="1" si="267"/>
        <v>2049200.892628768</v>
      </c>
    </row>
    <row r="488" spans="1:19" ht="15.75" customHeight="1" x14ac:dyDescent="0.3">
      <c r="A488" s="37">
        <v>65806</v>
      </c>
      <c r="B488" s="409">
        <f t="shared" ref="B488:C488" si="489">($A488-B$9)/365.25</f>
        <v>98.288843258042434</v>
      </c>
      <c r="C488" s="409">
        <f t="shared" si="489"/>
        <v>93.678302532511978</v>
      </c>
      <c r="E488" s="25">
        <f>IF(C488&gt;$B$7,0,'Combined Retirement'!$D$13/12)</f>
        <v>0</v>
      </c>
      <c r="F488" s="25">
        <f>IF(H488=0,'Combined Retirement'!$D$32,0)+'Combined Retirement'!$B$24</f>
        <v>2870.372285649099</v>
      </c>
      <c r="G488" s="25">
        <f>'Combined Retirement'!$C$24</f>
        <v>3525.4531757812501</v>
      </c>
      <c r="H488" s="25">
        <f>IF(B488&lt;62,0,'Combined Retirement'!$I$14)</f>
        <v>2192</v>
      </c>
      <c r="I488" s="25">
        <f>IF(C488&lt;62,0,'Combined Retirement'!$I$13)</f>
        <v>2420</v>
      </c>
      <c r="J488" s="25">
        <f t="shared" si="263"/>
        <v>7863.2184191855868</v>
      </c>
      <c r="K488" s="25">
        <f t="shared" si="264"/>
        <v>20282.026119384056</v>
      </c>
      <c r="L488" s="25"/>
      <c r="N488" s="25">
        <f>'Combined Retirement'!$C$18/12</f>
        <v>39153.069999999992</v>
      </c>
      <c r="O488" s="25">
        <f t="shared" si="265"/>
        <v>11007.82546143035</v>
      </c>
      <c r="P488" s="25">
        <f t="shared" si="266"/>
        <v>28145.244538569641</v>
      </c>
      <c r="Q488" s="25">
        <f t="array" aca="1" ref="Q488" ca="1">INDEX('Isaac 401k'!L:L,MATCH('Retirement Calculator'!A488,'Isaac 401k'!N:N,0),0)</f>
        <v>557150.53704236948</v>
      </c>
      <c r="R488" s="25">
        <f t="array" aca="1" ref="R488" ca="1">INDEX('Lorri 401b'!L:L,MATCH('Retirement Calculator'!A488,'Lorri 401b'!N:N,0),0)</f>
        <v>1472326.1762482049</v>
      </c>
      <c r="S488" s="25">
        <f t="shared" ca="1" si="267"/>
        <v>2029476.7132905745</v>
      </c>
    </row>
    <row r="489" spans="1:19" ht="15.75" customHeight="1" x14ac:dyDescent="0.3">
      <c r="A489" s="37">
        <v>65837</v>
      </c>
      <c r="B489" s="409">
        <f t="shared" ref="B489:C489" si="490">($A489-B$9)/365.25</f>
        <v>98.373716632443532</v>
      </c>
      <c r="C489" s="409">
        <f t="shared" si="490"/>
        <v>93.763175906913077</v>
      </c>
      <c r="E489" s="25">
        <f>IF(C489&gt;$B$7,0,'Combined Retirement'!$D$13/12)</f>
        <v>0</v>
      </c>
      <c r="F489" s="25">
        <f>IF(H489=0,'Combined Retirement'!$D$32,0)+'Combined Retirement'!$B$24</f>
        <v>2870.372285649099</v>
      </c>
      <c r="G489" s="25">
        <f>'Combined Retirement'!$C$24</f>
        <v>3525.4531757812501</v>
      </c>
      <c r="H489" s="25">
        <f>IF(B489&lt;62,0,'Combined Retirement'!$I$14)</f>
        <v>2192</v>
      </c>
      <c r="I489" s="25">
        <f>IF(C489&lt;62,0,'Combined Retirement'!$I$13)</f>
        <v>2420</v>
      </c>
      <c r="J489" s="25">
        <f t="shared" si="263"/>
        <v>7863.2184191855868</v>
      </c>
      <c r="K489" s="25">
        <f t="shared" si="264"/>
        <v>20282.026119384056</v>
      </c>
      <c r="L489" s="25"/>
      <c r="N489" s="25">
        <f>'Combined Retirement'!$C$18/12</f>
        <v>39153.069999999992</v>
      </c>
      <c r="O489" s="25">
        <f t="shared" si="265"/>
        <v>11007.82546143035</v>
      </c>
      <c r="P489" s="25">
        <f t="shared" si="266"/>
        <v>28145.244538569641</v>
      </c>
      <c r="Q489" s="25">
        <f t="array" aca="1" ref="Q489" ca="1">INDEX('Isaac 401k'!L:L,MATCH('Retirement Calculator'!A489,'Isaac 401k'!N:N,0),0)</f>
        <v>551576.01578411378</v>
      </c>
      <c r="R489" s="25">
        <f t="array" aca="1" ref="R489" ca="1">INDEX('Lorri 401b'!L:L,MATCH('Retirement Calculator'!A489,'Lorri 401b'!N:N,0),0)</f>
        <v>1458094.334087691</v>
      </c>
      <c r="S489" s="25">
        <f t="shared" ca="1" si="267"/>
        <v>2009670.3498718049</v>
      </c>
    </row>
    <row r="490" spans="1:19" ht="15.75" customHeight="1" x14ac:dyDescent="0.3">
      <c r="A490" s="37">
        <v>65867</v>
      </c>
      <c r="B490" s="409">
        <f t="shared" ref="B490:C490" si="491">($A490-B$9)/365.25</f>
        <v>98.455852156057489</v>
      </c>
      <c r="C490" s="409">
        <f t="shared" si="491"/>
        <v>93.845311430527033</v>
      </c>
      <c r="E490" s="25">
        <f>IF(C490&gt;$B$7,0,'Combined Retirement'!$D$13/12)</f>
        <v>0</v>
      </c>
      <c r="F490" s="25">
        <f>IF(H490=0,'Combined Retirement'!$D$32,0)+'Combined Retirement'!$B$24</f>
        <v>2870.372285649099</v>
      </c>
      <c r="G490" s="25">
        <f>'Combined Retirement'!$C$24</f>
        <v>3525.4531757812501</v>
      </c>
      <c r="H490" s="25">
        <f>IF(B490&lt;62,0,'Combined Retirement'!$I$14)</f>
        <v>2192</v>
      </c>
      <c r="I490" s="25">
        <f>IF(C490&lt;62,0,'Combined Retirement'!$I$13)</f>
        <v>2420</v>
      </c>
      <c r="J490" s="25">
        <f t="shared" si="263"/>
        <v>7863.2184191855868</v>
      </c>
      <c r="K490" s="25">
        <f t="shared" si="264"/>
        <v>20282.026119384056</v>
      </c>
      <c r="L490" s="25"/>
      <c r="N490" s="25">
        <f>'Combined Retirement'!$C$18/12</f>
        <v>39153.069999999992</v>
      </c>
      <c r="O490" s="25">
        <f t="shared" si="265"/>
        <v>11007.82546143035</v>
      </c>
      <c r="P490" s="25">
        <f t="shared" si="266"/>
        <v>28145.244538569641</v>
      </c>
      <c r="Q490" s="25">
        <f t="array" aca="1" ref="Q490" ca="1">INDEX('Isaac 401k'!L:L,MATCH('Retirement Calculator'!A490,'Isaac 401k'!N:N,0),0)</f>
        <v>545978.26735394867</v>
      </c>
      <c r="R490" s="25">
        <f t="array" aca="1" ref="R490" ca="1">INDEX('Lorri 401b'!L:L,MATCH('Retirement Calculator'!A490,'Lorri 401b'!N:N,0),0)</f>
        <v>1443803.1925848417</v>
      </c>
      <c r="S490" s="25">
        <f t="shared" ca="1" si="267"/>
        <v>1989781.4599387904</v>
      </c>
    </row>
    <row r="491" spans="1:19" ht="15.75" customHeight="1" x14ac:dyDescent="0.3">
      <c r="A491" s="37">
        <v>65898</v>
      </c>
      <c r="B491" s="409">
        <f t="shared" ref="B491:C491" si="492">($A491-B$9)/365.25</f>
        <v>98.540725530458587</v>
      </c>
      <c r="C491" s="409">
        <f t="shared" si="492"/>
        <v>93.930184804928132</v>
      </c>
      <c r="E491" s="25">
        <f>IF(C491&gt;$B$7,0,'Combined Retirement'!$D$13/12)</f>
        <v>0</v>
      </c>
      <c r="F491" s="25">
        <f>IF(H491=0,'Combined Retirement'!$D$32,0)+'Combined Retirement'!$B$24</f>
        <v>2870.372285649099</v>
      </c>
      <c r="G491" s="25">
        <f>'Combined Retirement'!$C$24</f>
        <v>3525.4531757812501</v>
      </c>
      <c r="H491" s="25">
        <f>IF(B491&lt;62,0,'Combined Retirement'!$I$14)</f>
        <v>2192</v>
      </c>
      <c r="I491" s="25">
        <f>IF(C491&lt;62,0,'Combined Retirement'!$I$13)</f>
        <v>2420</v>
      </c>
      <c r="J491" s="25">
        <f t="shared" si="263"/>
        <v>7863.2184191855868</v>
      </c>
      <c r="K491" s="25">
        <f t="shared" si="264"/>
        <v>20282.026119384056</v>
      </c>
      <c r="L491" s="25"/>
      <c r="N491" s="25">
        <f>'Combined Retirement'!$C$18/12</f>
        <v>39153.069999999992</v>
      </c>
      <c r="O491" s="25">
        <f t="shared" si="265"/>
        <v>11007.82546143035</v>
      </c>
      <c r="P491" s="25">
        <f t="shared" si="266"/>
        <v>28145.244538569641</v>
      </c>
      <c r="Q491" s="25">
        <f t="array" aca="1" ref="Q491" ca="1">INDEX('Isaac 401k'!L:L,MATCH('Retirement Calculator'!A491,'Isaac 401k'!N:N,0),0)</f>
        <v>540357.19497199124</v>
      </c>
      <c r="R491" s="25">
        <f t="array" aca="1" ref="R491" ca="1">INDEX('Lorri 401b'!L:L,MATCH('Retirement Calculator'!A491,'Lorri 401b'!N:N,0),0)</f>
        <v>1429452.5046590639</v>
      </c>
      <c r="S491" s="25">
        <f t="shared" ca="1" si="267"/>
        <v>1969809.6996310551</v>
      </c>
    </row>
    <row r="492" spans="1:19" ht="15.75" customHeight="1" x14ac:dyDescent="0.3">
      <c r="A492" s="37">
        <v>65928</v>
      </c>
      <c r="B492" s="409">
        <f t="shared" ref="B492:C492" si="493">($A492-B$9)/365.25</f>
        <v>98.622861054072558</v>
      </c>
      <c r="C492" s="409">
        <f t="shared" si="493"/>
        <v>94.012320328542089</v>
      </c>
      <c r="E492" s="25">
        <f>IF(C492&gt;$B$7,0,'Combined Retirement'!$D$13/12)</f>
        <v>0</v>
      </c>
      <c r="F492" s="25">
        <f>IF(H492=0,'Combined Retirement'!$D$32,0)+'Combined Retirement'!$B$24</f>
        <v>2870.372285649099</v>
      </c>
      <c r="G492" s="25">
        <f>'Combined Retirement'!$C$24</f>
        <v>3525.4531757812501</v>
      </c>
      <c r="H492" s="25">
        <f>IF(B492&lt;62,0,'Combined Retirement'!$I$14)</f>
        <v>2192</v>
      </c>
      <c r="I492" s="25">
        <f>IF(C492&lt;62,0,'Combined Retirement'!$I$13)</f>
        <v>2420</v>
      </c>
      <c r="J492" s="25">
        <f t="shared" si="263"/>
        <v>7863.2184191855868</v>
      </c>
      <c r="K492" s="25">
        <f t="shared" si="264"/>
        <v>20282.026119384056</v>
      </c>
      <c r="L492" s="25"/>
      <c r="N492" s="25">
        <f>'Combined Retirement'!$C$18/12</f>
        <v>39153.069999999992</v>
      </c>
      <c r="O492" s="25">
        <f t="shared" si="265"/>
        <v>11007.82546143035</v>
      </c>
      <c r="P492" s="25">
        <f t="shared" si="266"/>
        <v>28145.244538569641</v>
      </c>
      <c r="Q492" s="25">
        <f t="array" aca="1" ref="Q492" ca="1">INDEX('Isaac 401k'!L:L,MATCH('Retirement Calculator'!A492,'Isaac 401k'!N:N,0),0)</f>
        <v>534712.70145510894</v>
      </c>
      <c r="R492" s="25">
        <f t="array" aca="1" ref="R492" ca="1">INDEX('Lorri 401b'!L:L,MATCH('Retirement Calculator'!A492,'Lorri 401b'!N:N,0),0)</f>
        <v>1415042.0222002619</v>
      </c>
      <c r="S492" s="25">
        <f t="shared" ca="1" si="267"/>
        <v>1949754.723655371</v>
      </c>
    </row>
    <row r="493" spans="1:19" ht="15.75" customHeight="1" x14ac:dyDescent="0.3">
      <c r="A493" s="37">
        <v>65959</v>
      </c>
      <c r="B493" s="409">
        <f t="shared" ref="B493:C493" si="494">($A493-B$9)/365.25</f>
        <v>98.707734428473643</v>
      </c>
      <c r="C493" s="409">
        <f t="shared" si="494"/>
        <v>94.097193702943187</v>
      </c>
      <c r="E493" s="25">
        <f>IF(C493&gt;$B$7,0,'Combined Retirement'!$D$13/12)</f>
        <v>0</v>
      </c>
      <c r="F493" s="25">
        <f>IF(H493=0,'Combined Retirement'!$D$32,0)+'Combined Retirement'!$B$24</f>
        <v>2870.372285649099</v>
      </c>
      <c r="G493" s="25">
        <f>'Combined Retirement'!$C$24</f>
        <v>3525.4531757812501</v>
      </c>
      <c r="H493" s="25">
        <f>IF(B493&lt;62,0,'Combined Retirement'!$I$14)</f>
        <v>2192</v>
      </c>
      <c r="I493" s="25">
        <f>IF(C493&lt;62,0,'Combined Retirement'!$I$13)</f>
        <v>2420</v>
      </c>
      <c r="J493" s="25">
        <f t="shared" si="263"/>
        <v>7863.2184191855868</v>
      </c>
      <c r="K493" s="25">
        <f t="shared" si="264"/>
        <v>20282.026119384056</v>
      </c>
      <c r="L493" s="25"/>
      <c r="N493" s="25">
        <f>'Combined Retirement'!$C$18/12</f>
        <v>39153.069999999992</v>
      </c>
      <c r="O493" s="25">
        <f t="shared" si="265"/>
        <v>11007.82546143035</v>
      </c>
      <c r="P493" s="25">
        <f t="shared" si="266"/>
        <v>28145.244538569641</v>
      </c>
      <c r="Q493" s="25">
        <f t="array" aca="1" ref="Q493" ca="1">INDEX('Isaac 401k'!L:L,MATCH('Retirement Calculator'!A493,'Isaac 401k'!N:N,0),0)</f>
        <v>529044.68921523972</v>
      </c>
      <c r="R493" s="25">
        <f t="array" aca="1" ref="R493" ca="1">INDEX('Lorri 401b'!L:L,MATCH('Retirement Calculator'!A493,'Lorri 401b'!N:N,0),0)</f>
        <v>1400571.4960645484</v>
      </c>
      <c r="S493" s="25">
        <f t="shared" ca="1" si="267"/>
        <v>1929616.185279788</v>
      </c>
    </row>
    <row r="494" spans="1:19" ht="15.75" customHeight="1" x14ac:dyDescent="0.3">
      <c r="A494" s="37">
        <v>65990</v>
      </c>
      <c r="B494" s="409">
        <f t="shared" ref="B494:C494" si="495">($A494-B$9)/365.25</f>
        <v>98.792607802874741</v>
      </c>
      <c r="C494" s="409">
        <f t="shared" si="495"/>
        <v>94.182067077344286</v>
      </c>
      <c r="E494" s="25">
        <f>IF(C494&gt;$B$7,0,'Combined Retirement'!$D$13/12)</f>
        <v>0</v>
      </c>
      <c r="F494" s="25">
        <f>IF(H494=0,'Combined Retirement'!$D$32,0)+'Combined Retirement'!$B$24</f>
        <v>2870.372285649099</v>
      </c>
      <c r="G494" s="25">
        <f>'Combined Retirement'!$C$24</f>
        <v>3525.4531757812501</v>
      </c>
      <c r="H494" s="25">
        <f>IF(B494&lt;62,0,'Combined Retirement'!$I$14)</f>
        <v>2192</v>
      </c>
      <c r="I494" s="25">
        <f>IF(C494&lt;62,0,'Combined Retirement'!$I$13)</f>
        <v>2420</v>
      </c>
      <c r="J494" s="25">
        <f t="shared" si="263"/>
        <v>7863.2184191855868</v>
      </c>
      <c r="K494" s="25">
        <f t="shared" si="264"/>
        <v>20282.026119384056</v>
      </c>
      <c r="L494" s="25"/>
      <c r="N494" s="25">
        <f>'Combined Retirement'!$C$18/12</f>
        <v>39153.069999999992</v>
      </c>
      <c r="O494" s="25">
        <f t="shared" si="265"/>
        <v>11007.82546143035</v>
      </c>
      <c r="P494" s="25">
        <f t="shared" si="266"/>
        <v>28145.244538569641</v>
      </c>
      <c r="Q494" s="25">
        <f t="array" aca="1" ref="Q494" ca="1">INDEX('Isaac 401k'!L:L,MATCH('Retirement Calculator'!A494,'Isaac 401k'!N:N,0),0)</f>
        <v>523353.06025770435</v>
      </c>
      <c r="R494" s="25">
        <f t="array" aca="1" ref="R494" ca="1">INDEX('Lorri 401b'!L:L,MATCH('Retirement Calculator'!A494,'Lorri 401b'!N:N,0),0)</f>
        <v>1386040.676069936</v>
      </c>
      <c r="S494" s="25">
        <f t="shared" ca="1" si="267"/>
        <v>1909393.7363276402</v>
      </c>
    </row>
    <row r="495" spans="1:19" ht="15.75" customHeight="1" x14ac:dyDescent="0.3">
      <c r="A495" s="37">
        <v>66020</v>
      </c>
      <c r="B495" s="409">
        <f t="shared" ref="B495:C495" si="496">($A495-B$9)/365.25</f>
        <v>98.874743326488712</v>
      </c>
      <c r="C495" s="409">
        <f t="shared" si="496"/>
        <v>94.264202600958242</v>
      </c>
      <c r="E495" s="25">
        <f>IF(C495&gt;$B$7,0,'Combined Retirement'!$D$13/12)</f>
        <v>0</v>
      </c>
      <c r="F495" s="25">
        <f>IF(H495=0,'Combined Retirement'!$D$32,0)+'Combined Retirement'!$B$24</f>
        <v>2870.372285649099</v>
      </c>
      <c r="G495" s="25">
        <f>'Combined Retirement'!$C$24</f>
        <v>3525.4531757812501</v>
      </c>
      <c r="H495" s="25">
        <f>IF(B495&lt;62,0,'Combined Retirement'!$I$14)</f>
        <v>2192</v>
      </c>
      <c r="I495" s="25">
        <f>IF(C495&lt;62,0,'Combined Retirement'!$I$13)</f>
        <v>2420</v>
      </c>
      <c r="J495" s="25">
        <f t="shared" si="263"/>
        <v>7863.2184191855868</v>
      </c>
      <c r="K495" s="25">
        <f t="shared" si="264"/>
        <v>20282.026119384056</v>
      </c>
      <c r="L495" s="25"/>
      <c r="N495" s="25">
        <f>'Combined Retirement'!$C$18/12</f>
        <v>39153.069999999992</v>
      </c>
      <c r="O495" s="25">
        <f t="shared" si="265"/>
        <v>11007.82546143035</v>
      </c>
      <c r="P495" s="25">
        <f t="shared" si="266"/>
        <v>28145.244538569641</v>
      </c>
      <c r="Q495" s="25">
        <f t="array" aca="1" ref="Q495" ca="1">INDEX('Isaac 401k'!L:L,MATCH('Retirement Calculator'!A495,'Isaac 401k'!N:N,0),0)</f>
        <v>517637.71617951256</v>
      </c>
      <c r="R495" s="25">
        <f t="array" aca="1" ref="R495" ca="1">INDEX('Lorri 401b'!L:L,MATCH('Retirement Calculator'!A495,'Lorri 401b'!N:N,0),0)</f>
        <v>1371449.3109920127</v>
      </c>
      <c r="S495" s="25">
        <f t="shared" ca="1" si="267"/>
        <v>1889087.0271715252</v>
      </c>
    </row>
    <row r="496" spans="1:19" ht="15.75" customHeight="1" x14ac:dyDescent="0.3">
      <c r="A496" s="37">
        <v>66051</v>
      </c>
      <c r="B496" s="409">
        <f t="shared" ref="B496:C496" si="497">($A496-B$9)/365.25</f>
        <v>98.959616700889796</v>
      </c>
      <c r="C496" s="409">
        <f t="shared" si="497"/>
        <v>94.349075975359341</v>
      </c>
      <c r="E496" s="25">
        <f>IF(C496&gt;$B$7,0,'Combined Retirement'!$D$13/12)</f>
        <v>0</v>
      </c>
      <c r="F496" s="25">
        <f>IF(H496=0,'Combined Retirement'!$D$32,0)+'Combined Retirement'!$B$24</f>
        <v>2870.372285649099</v>
      </c>
      <c r="G496" s="25">
        <f>'Combined Retirement'!$C$24</f>
        <v>3525.4531757812501</v>
      </c>
      <c r="H496" s="25">
        <f>IF(B496&lt;62,0,'Combined Retirement'!$I$14)</f>
        <v>2192</v>
      </c>
      <c r="I496" s="25">
        <f>IF(C496&lt;62,0,'Combined Retirement'!$I$13)</f>
        <v>2420</v>
      </c>
      <c r="J496" s="25">
        <f t="shared" si="263"/>
        <v>7863.2184191855868</v>
      </c>
      <c r="K496" s="25">
        <f t="shared" si="264"/>
        <v>20282.026119384056</v>
      </c>
      <c r="L496" s="25"/>
      <c r="N496" s="25">
        <f>'Combined Retirement'!$C$18/12</f>
        <v>39153.069999999992</v>
      </c>
      <c r="O496" s="25">
        <f t="shared" si="265"/>
        <v>11007.82546143035</v>
      </c>
      <c r="P496" s="25">
        <f t="shared" si="266"/>
        <v>28145.244538569641</v>
      </c>
      <c r="Q496" s="25">
        <f t="array" aca="1" ref="Q496" ca="1">INDEX('Isaac 401k'!L:L,MATCH('Retirement Calculator'!A496,'Isaac 401k'!N:N,0),0)</f>
        <v>511898.55816766166</v>
      </c>
      <c r="R496" s="25">
        <f t="array" aca="1" ref="R496" ca="1">INDEX('Lorri 401b'!L:L,MATCH('Retirement Calculator'!A496,'Lorri 401b'!N:N,0),0)</f>
        <v>1356797.148559598</v>
      </c>
      <c r="S496" s="25">
        <f t="shared" ca="1" si="267"/>
        <v>1868695.7067272598</v>
      </c>
    </row>
    <row r="497" spans="1:19" ht="15.75" customHeight="1" x14ac:dyDescent="0.3">
      <c r="A497" s="37">
        <v>66081</v>
      </c>
      <c r="B497" s="409">
        <f t="shared" ref="B497:C497" si="498">($A497-B$9)/365.25</f>
        <v>99.041752224503767</v>
      </c>
      <c r="C497" s="409">
        <f t="shared" si="498"/>
        <v>94.431211498973312</v>
      </c>
      <c r="E497" s="25">
        <f>IF(C497&gt;$B$7,0,'Combined Retirement'!$D$13/12)</f>
        <v>0</v>
      </c>
      <c r="F497" s="25">
        <f>IF(H497=0,'Combined Retirement'!$D$32,0)+'Combined Retirement'!$B$24</f>
        <v>2870.372285649099</v>
      </c>
      <c r="G497" s="25">
        <f>'Combined Retirement'!$C$24</f>
        <v>3525.4531757812501</v>
      </c>
      <c r="H497" s="25">
        <f>IF(B497&lt;62,0,'Combined Retirement'!$I$14)</f>
        <v>2192</v>
      </c>
      <c r="I497" s="25">
        <f>IF(C497&lt;62,0,'Combined Retirement'!$I$13)</f>
        <v>2420</v>
      </c>
      <c r="J497" s="25">
        <f t="shared" si="263"/>
        <v>7863.2184191855868</v>
      </c>
      <c r="K497" s="25">
        <f t="shared" si="264"/>
        <v>20282.026119384056</v>
      </c>
      <c r="L497" s="25"/>
      <c r="N497" s="25">
        <f>'Combined Retirement'!$C$18/12</f>
        <v>39153.069999999992</v>
      </c>
      <c r="O497" s="25">
        <f t="shared" si="265"/>
        <v>11007.82546143035</v>
      </c>
      <c r="P497" s="25">
        <f t="shared" si="266"/>
        <v>28145.244538569641</v>
      </c>
      <c r="Q497" s="25">
        <f t="array" aca="1" ref="Q497" ca="1">INDEX('Isaac 401k'!L:L,MATCH('Retirement Calculator'!A497,'Isaac 401k'!N:N,0),0)</f>
        <v>506135.48699742806</v>
      </c>
      <c r="R497" s="25">
        <f t="array" aca="1" ref="R497" ca="1">INDEX('Lorri 401b'!L:L,MATCH('Retirement Calculator'!A497,'Lorri 401b'!N:N,0),0)</f>
        <v>1342083.9354503816</v>
      </c>
      <c r="S497" s="25">
        <f t="shared" ca="1" si="267"/>
        <v>1848219.4224478097</v>
      </c>
    </row>
    <row r="498" spans="1:19" ht="15.75" customHeight="1" x14ac:dyDescent="0.3">
      <c r="A498" s="37">
        <v>66112</v>
      </c>
      <c r="B498" s="409">
        <f t="shared" ref="B498:C498" si="499">($A498-B$9)/365.25</f>
        <v>99.126625598904866</v>
      </c>
      <c r="C498" s="409">
        <f t="shared" si="499"/>
        <v>94.516084873374396</v>
      </c>
      <c r="E498" s="25">
        <f>IF(C498&gt;$B$7,0,'Combined Retirement'!$D$13/12)</f>
        <v>0</v>
      </c>
      <c r="F498" s="25">
        <f>IF(H498=0,'Combined Retirement'!$D$32,0)+'Combined Retirement'!$B$24</f>
        <v>2870.372285649099</v>
      </c>
      <c r="G498" s="25">
        <f>'Combined Retirement'!$C$24</f>
        <v>3525.4531757812501</v>
      </c>
      <c r="H498" s="25">
        <f>IF(B498&lt;62,0,'Combined Retirement'!$I$14)</f>
        <v>2192</v>
      </c>
      <c r="I498" s="25">
        <f>IF(C498&lt;62,0,'Combined Retirement'!$I$13)</f>
        <v>2420</v>
      </c>
      <c r="J498" s="25">
        <f t="shared" si="263"/>
        <v>7863.2184191855868</v>
      </c>
      <c r="K498" s="25">
        <f t="shared" si="264"/>
        <v>20282.026119384056</v>
      </c>
      <c r="L498" s="25"/>
      <c r="N498" s="25">
        <f>'Combined Retirement'!$C$18/12</f>
        <v>39153.069999999992</v>
      </c>
      <c r="O498" s="25">
        <f t="shared" si="265"/>
        <v>11007.82546143035</v>
      </c>
      <c r="P498" s="25">
        <f t="shared" si="266"/>
        <v>28145.244538569641</v>
      </c>
      <c r="Q498" s="25">
        <f t="array" aca="1" ref="Q498" ca="1">INDEX('Isaac 401k'!L:L,MATCH('Retirement Calculator'!A498,'Isaac 401k'!N:N,0),0)</f>
        <v>500348.4030306518</v>
      </c>
      <c r="R498" s="25">
        <f t="array" aca="1" ref="R498" ca="1">INDEX('Lorri 401b'!L:L,MATCH('Retirement Calculator'!A498,'Lorri 401b'!N:N,0),0)</f>
        <v>1327309.4172865434</v>
      </c>
      <c r="S498" s="25">
        <f t="shared" ca="1" si="267"/>
        <v>1827657.8203171953</v>
      </c>
    </row>
    <row r="499" spans="1:19" ht="15.75" customHeight="1" x14ac:dyDescent="0.3">
      <c r="A499" s="37">
        <v>66143</v>
      </c>
      <c r="B499" s="409">
        <f t="shared" ref="B499:C499" si="500">($A499-B$9)/365.25</f>
        <v>99.21149897330595</v>
      </c>
      <c r="C499" s="409">
        <f t="shared" si="500"/>
        <v>94.600958247775495</v>
      </c>
      <c r="E499" s="25">
        <f>IF(C499&gt;$B$7,0,'Combined Retirement'!$D$13/12)</f>
        <v>0</v>
      </c>
      <c r="F499" s="25">
        <f>IF(H499=0,'Combined Retirement'!$D$32,0)+'Combined Retirement'!$B$24</f>
        <v>2870.372285649099</v>
      </c>
      <c r="G499" s="25">
        <f>'Combined Retirement'!$C$24</f>
        <v>3525.4531757812501</v>
      </c>
      <c r="H499" s="25">
        <f>IF(B499&lt;62,0,'Combined Retirement'!$I$14)</f>
        <v>2192</v>
      </c>
      <c r="I499" s="25">
        <f>IF(C499&lt;62,0,'Combined Retirement'!$I$13)</f>
        <v>2420</v>
      </c>
      <c r="J499" s="25">
        <f t="shared" si="263"/>
        <v>7863.2184191855868</v>
      </c>
      <c r="K499" s="25">
        <f t="shared" si="264"/>
        <v>20282.026119384056</v>
      </c>
      <c r="L499" s="25"/>
      <c r="N499" s="25">
        <f>'Combined Retirement'!$C$18/12</f>
        <v>39153.069999999992</v>
      </c>
      <c r="O499" s="25">
        <f t="shared" si="265"/>
        <v>11007.82546143035</v>
      </c>
      <c r="P499" s="25">
        <f t="shared" si="266"/>
        <v>28145.244538569641</v>
      </c>
      <c r="Q499" s="25">
        <f t="array" aca="1" ref="Q499" ca="1">INDEX('Isaac 401k'!L:L,MATCH('Retirement Calculator'!A499,'Isaac 401k'!N:N,0),0)</f>
        <v>494537.20621401398</v>
      </c>
      <c r="R499" s="25">
        <f t="array" aca="1" ref="R499" ca="1">INDEX('Lorri 401b'!L:L,MATCH('Retirement Calculator'!A499,'Lorri 401b'!N:N,0),0)</f>
        <v>1312473.3386303559</v>
      </c>
      <c r="S499" s="25">
        <f t="shared" ca="1" si="267"/>
        <v>1807010.5448443699</v>
      </c>
    </row>
    <row r="500" spans="1:19" ht="15.75" customHeight="1" x14ac:dyDescent="0.3">
      <c r="A500" s="37">
        <v>66171</v>
      </c>
      <c r="B500" s="409">
        <f t="shared" ref="B500:C500" si="501">($A500-B$9)/365.25</f>
        <v>99.288158795345652</v>
      </c>
      <c r="C500" s="409">
        <f t="shared" si="501"/>
        <v>94.677618069815196</v>
      </c>
      <c r="E500" s="25">
        <f>IF(C500&gt;$B$7,0,'Combined Retirement'!$D$13/12)</f>
        <v>0</v>
      </c>
      <c r="F500" s="25">
        <f>IF(H500=0,'Combined Retirement'!$D$32,0)+'Combined Retirement'!$B$24</f>
        <v>2870.372285649099</v>
      </c>
      <c r="G500" s="25">
        <f>'Combined Retirement'!$C$24</f>
        <v>3525.4531757812501</v>
      </c>
      <c r="H500" s="25">
        <f>IF(B500&lt;62,0,'Combined Retirement'!$I$14)</f>
        <v>2192</v>
      </c>
      <c r="I500" s="25">
        <f>IF(C500&lt;62,0,'Combined Retirement'!$I$13)</f>
        <v>2420</v>
      </c>
      <c r="J500" s="25">
        <f t="shared" si="263"/>
        <v>7863.2184191855868</v>
      </c>
      <c r="K500" s="25">
        <f t="shared" si="264"/>
        <v>20282.026119384056</v>
      </c>
      <c r="L500" s="25"/>
      <c r="N500" s="25">
        <f>'Combined Retirement'!$C$18/12</f>
        <v>39153.069999999992</v>
      </c>
      <c r="O500" s="25">
        <f t="shared" si="265"/>
        <v>11007.82546143035</v>
      </c>
      <c r="P500" s="25">
        <f t="shared" si="266"/>
        <v>28145.244538569641</v>
      </c>
      <c r="Q500" s="25">
        <f t="array" aca="1" ref="Q500" ca="1">INDEX('Isaac 401k'!L:L,MATCH('Retirement Calculator'!A500,'Isaac 401k'!N:N,0),0)</f>
        <v>488701.79607730685</v>
      </c>
      <c r="R500" s="25">
        <f t="array" aca="1" ref="R500" ca="1">INDEX('Lorri 401b'!L:L,MATCH('Retirement Calculator'!A500,'Lorri 401b'!N:N,0),0)</f>
        <v>1297575.4429797677</v>
      </c>
      <c r="S500" s="25">
        <f t="shared" ca="1" si="267"/>
        <v>1786277.2390570745</v>
      </c>
    </row>
    <row r="501" spans="1:19" ht="15.75" customHeight="1" x14ac:dyDescent="0.3">
      <c r="A501" s="37">
        <v>66202</v>
      </c>
      <c r="B501" s="409">
        <f t="shared" ref="B501:C501" si="502">($A501-B$9)/365.25</f>
        <v>99.37303216974675</v>
      </c>
      <c r="C501" s="409">
        <f t="shared" si="502"/>
        <v>94.762491444216295</v>
      </c>
      <c r="E501" s="25">
        <f>IF(C501&gt;$B$7,0,'Combined Retirement'!$D$13/12)</f>
        <v>0</v>
      </c>
      <c r="F501" s="25">
        <f>IF(H501=0,'Combined Retirement'!$D$32,0)+'Combined Retirement'!$B$24</f>
        <v>2870.372285649099</v>
      </c>
      <c r="G501" s="25">
        <f>'Combined Retirement'!$C$24</f>
        <v>3525.4531757812501</v>
      </c>
      <c r="H501" s="25">
        <f>IF(B501&lt;62,0,'Combined Retirement'!$I$14)</f>
        <v>2192</v>
      </c>
      <c r="I501" s="25">
        <f>IF(C501&lt;62,0,'Combined Retirement'!$I$13)</f>
        <v>2420</v>
      </c>
      <c r="J501" s="25">
        <f t="shared" si="263"/>
        <v>7863.2184191855868</v>
      </c>
      <c r="K501" s="25">
        <f t="shared" si="264"/>
        <v>20282.026119384056</v>
      </c>
      <c r="L501" s="25"/>
      <c r="N501" s="25">
        <f>'Combined Retirement'!$C$18/12</f>
        <v>39153.069999999992</v>
      </c>
      <c r="O501" s="25">
        <f t="shared" si="265"/>
        <v>11007.82546143035</v>
      </c>
      <c r="P501" s="25">
        <f t="shared" si="266"/>
        <v>28145.244538569641</v>
      </c>
      <c r="Q501" s="25">
        <f t="array" aca="1" ref="Q501" ca="1">INDEX('Isaac 401k'!L:L,MATCH('Retirement Calculator'!A501,'Isaac 401k'!N:N,0),0)</f>
        <v>482842.07173169672</v>
      </c>
      <c r="R501" s="25">
        <f t="array" aca="1" ref="R501" ca="1">INDEX('Lorri 401b'!L:L,MATCH('Retirement Calculator'!A501,'Lorri 401b'!N:N,0),0)</f>
        <v>1282615.4727639686</v>
      </c>
      <c r="S501" s="25">
        <f t="shared" ca="1" si="267"/>
        <v>1765457.5444956655</v>
      </c>
    </row>
    <row r="502" spans="1:19" ht="15.75" customHeight="1" x14ac:dyDescent="0.3">
      <c r="A502" s="37">
        <v>66232</v>
      </c>
      <c r="B502" s="409">
        <f t="shared" ref="B502:C502" si="503">($A502-B$9)/365.25</f>
        <v>99.455167693360707</v>
      </c>
      <c r="C502" s="409">
        <f t="shared" si="503"/>
        <v>94.844626967830251</v>
      </c>
      <c r="E502" s="25">
        <f>IF(C502&gt;$B$7,0,'Combined Retirement'!$D$13/12)</f>
        <v>0</v>
      </c>
      <c r="F502" s="25">
        <f>IF(H502=0,'Combined Retirement'!$D$32,0)+'Combined Retirement'!$B$24</f>
        <v>2870.372285649099</v>
      </c>
      <c r="G502" s="25">
        <f>'Combined Retirement'!$C$24</f>
        <v>3525.4531757812501</v>
      </c>
      <c r="H502" s="25">
        <f>IF(B502&lt;62,0,'Combined Retirement'!$I$14)</f>
        <v>2192</v>
      </c>
      <c r="I502" s="25">
        <f>IF(C502&lt;62,0,'Combined Retirement'!$I$13)</f>
        <v>2420</v>
      </c>
      <c r="J502" s="25">
        <f t="shared" si="263"/>
        <v>7863.2184191855868</v>
      </c>
      <c r="K502" s="25">
        <f t="shared" si="264"/>
        <v>20282.026119384056</v>
      </c>
      <c r="L502" s="25"/>
      <c r="N502" s="25">
        <f>'Combined Retirement'!$C$18/12</f>
        <v>39153.069999999992</v>
      </c>
      <c r="O502" s="25">
        <f t="shared" si="265"/>
        <v>11007.82546143035</v>
      </c>
      <c r="P502" s="25">
        <f t="shared" si="266"/>
        <v>28145.244538569641</v>
      </c>
      <c r="Q502" s="25">
        <f t="array" aca="1" ref="Q502" ca="1">INDEX('Isaac 401k'!L:L,MATCH('Retirement Calculator'!A502,'Isaac 401k'!N:N,0),0)</f>
        <v>476957.93186797993</v>
      </c>
      <c r="R502" s="25">
        <f t="array" aca="1" ref="R502" ca="1">INDEX('Lorri 401b'!L:L,MATCH('Retirement Calculator'!A502,'Lorri 401b'!N:N,0),0)</f>
        <v>1267593.1693389372</v>
      </c>
      <c r="S502" s="25">
        <f t="shared" ca="1" si="267"/>
        <v>1744551.1012069171</v>
      </c>
    </row>
    <row r="503" spans="1:19" ht="15.75" customHeight="1" x14ac:dyDescent="0.3">
      <c r="A503" s="37">
        <v>66263</v>
      </c>
      <c r="B503" s="409">
        <f t="shared" ref="B503:C503" si="504">($A503-B$9)/365.25</f>
        <v>99.540041067761805</v>
      </c>
      <c r="C503" s="409">
        <f t="shared" si="504"/>
        <v>94.92950034223135</v>
      </c>
      <c r="E503" s="25">
        <f>IF(C503&gt;$B$7,0,'Combined Retirement'!$D$13/12)</f>
        <v>0</v>
      </c>
      <c r="F503" s="25">
        <f>IF(H503=0,'Combined Retirement'!$D$32,0)+'Combined Retirement'!$B$24</f>
        <v>2870.372285649099</v>
      </c>
      <c r="G503" s="25">
        <f>'Combined Retirement'!$C$24</f>
        <v>3525.4531757812501</v>
      </c>
      <c r="H503" s="25">
        <f>IF(B503&lt;62,0,'Combined Retirement'!$I$14)</f>
        <v>2192</v>
      </c>
      <c r="I503" s="25">
        <f>IF(C503&lt;62,0,'Combined Retirement'!$I$13)</f>
        <v>2420</v>
      </c>
      <c r="J503" s="25">
        <f t="shared" si="263"/>
        <v>7863.2184191855868</v>
      </c>
      <c r="K503" s="25">
        <f t="shared" si="264"/>
        <v>20282.026119384056</v>
      </c>
      <c r="L503" s="25"/>
      <c r="N503" s="25">
        <f>'Combined Retirement'!$C$18/12</f>
        <v>39153.069999999992</v>
      </c>
      <c r="O503" s="25">
        <f t="shared" si="265"/>
        <v>11007.82546143035</v>
      </c>
      <c r="P503" s="25">
        <f t="shared" si="266"/>
        <v>28145.244538569641</v>
      </c>
      <c r="Q503" s="25">
        <f t="array" aca="1" ref="Q503" ca="1">INDEX('Isaac 401k'!L:L,MATCH('Retirement Calculator'!A503,'Isaac 401k'!N:N,0),0)</f>
        <v>471049.27475483099</v>
      </c>
      <c r="R503" s="25">
        <f t="array" aca="1" ref="R503" ca="1">INDEX('Lorri 401b'!L:L,MATCH('Retirement Calculator'!A503,'Lorri 401b'!N:N,0),0)</f>
        <v>1252508.272982968</v>
      </c>
      <c r="S503" s="25">
        <f t="shared" ca="1" si="267"/>
        <v>1723557.5477377991</v>
      </c>
    </row>
    <row r="504" spans="1:19" ht="15.75" customHeight="1" x14ac:dyDescent="0.3">
      <c r="A504" s="37">
        <v>66293</v>
      </c>
      <c r="B504" s="409">
        <f t="shared" ref="B504:C504" si="505">($A504-B$9)/365.25</f>
        <v>99.622176591375776</v>
      </c>
      <c r="C504" s="409">
        <f t="shared" si="505"/>
        <v>95.011635865845307</v>
      </c>
      <c r="E504" s="25">
        <f>IF(C504&gt;$B$7,0,'Combined Retirement'!$D$13/12)</f>
        <v>0</v>
      </c>
      <c r="F504" s="25">
        <f>IF(H504=0,'Combined Retirement'!$D$32,0)+'Combined Retirement'!$B$24</f>
        <v>2870.372285649099</v>
      </c>
      <c r="G504" s="25">
        <f>'Combined Retirement'!$C$24</f>
        <v>3525.4531757812501</v>
      </c>
      <c r="H504" s="25">
        <f>IF(B504&lt;62,0,'Combined Retirement'!$I$14)</f>
        <v>2192</v>
      </c>
      <c r="I504" s="25">
        <f>IF(C504&lt;62,0,'Combined Retirement'!$I$13)</f>
        <v>2420</v>
      </c>
      <c r="J504" s="25">
        <f t="shared" si="263"/>
        <v>7863.2184191855868</v>
      </c>
      <c r="K504" s="25">
        <f t="shared" si="264"/>
        <v>20282.026119384056</v>
      </c>
      <c r="L504" s="25"/>
      <c r="N504" s="25">
        <f>'Combined Retirement'!$C$18/12</f>
        <v>39153.069999999992</v>
      </c>
      <c r="O504" s="25">
        <f t="shared" si="265"/>
        <v>11007.82546143035</v>
      </c>
      <c r="P504" s="25">
        <f t="shared" si="266"/>
        <v>28145.244538569641</v>
      </c>
      <c r="Q504" s="25">
        <f t="array" aca="1" ref="Q504" ca="1">INDEX('Isaac 401k'!L:L,MATCH('Retirement Calculator'!A504,'Isaac 401k'!N:N,0),0)</f>
        <v>465115.99823704391</v>
      </c>
      <c r="R504" s="25">
        <f t="array" aca="1" ref="R504" ca="1">INDEX('Lorri 401b'!L:L,MATCH('Retirement Calculator'!A504,'Lorri 401b'!N:N,0),0)</f>
        <v>1237360.5228921822</v>
      </c>
      <c r="S504" s="25">
        <f t="shared" ca="1" si="267"/>
        <v>1702476.5211292261</v>
      </c>
    </row>
    <row r="505" spans="1:19" ht="15.75" customHeight="1" x14ac:dyDescent="0.3">
      <c r="A505" s="37">
        <v>66324</v>
      </c>
      <c r="B505" s="409">
        <f t="shared" ref="B505:C505" si="506">($A505-B$9)/365.25</f>
        <v>99.707049965776861</v>
      </c>
      <c r="C505" s="409">
        <f t="shared" si="506"/>
        <v>95.096509240246405</v>
      </c>
      <c r="E505" s="25">
        <f>IF(C505&gt;$B$7,0,'Combined Retirement'!$D$13/12)</f>
        <v>0</v>
      </c>
      <c r="F505" s="25">
        <f>IF(H505=0,'Combined Retirement'!$D$32,0)+'Combined Retirement'!$B$24</f>
        <v>2870.372285649099</v>
      </c>
      <c r="G505" s="25">
        <f>'Combined Retirement'!$C$24</f>
        <v>3525.4531757812501</v>
      </c>
      <c r="H505" s="25">
        <f>IF(B505&lt;62,0,'Combined Retirement'!$I$14)</f>
        <v>2192</v>
      </c>
      <c r="I505" s="25">
        <f>IF(C505&lt;62,0,'Combined Retirement'!$I$13)</f>
        <v>2420</v>
      </c>
      <c r="J505" s="25">
        <f t="shared" si="263"/>
        <v>7863.2184191855868</v>
      </c>
      <c r="K505" s="25">
        <f t="shared" si="264"/>
        <v>20282.026119384056</v>
      </c>
      <c r="L505" s="25"/>
      <c r="N505" s="25">
        <f>'Combined Retirement'!$C$18/12</f>
        <v>39153.069999999992</v>
      </c>
      <c r="O505" s="25">
        <f t="shared" si="265"/>
        <v>11007.82546143035</v>
      </c>
      <c r="P505" s="25">
        <f t="shared" si="266"/>
        <v>28145.244538569641</v>
      </c>
      <c r="Q505" s="25">
        <f t="array" aca="1" ref="Q505" ca="1">INDEX('Isaac 401k'!L:L,MATCH('Retirement Calculator'!A505,'Isaac 401k'!N:N,0),0)</f>
        <v>459157.99973376608</v>
      </c>
      <c r="R505" s="25">
        <f t="array" aca="1" ref="R505" ca="1">INDEX('Lorri 401b'!L:L,MATCH('Retirement Calculator'!A505,'Lorri 401b'!N:N,0),0)</f>
        <v>1222149.6571760182</v>
      </c>
      <c r="S505" s="25">
        <f t="shared" ca="1" si="267"/>
        <v>1681307.6569097843</v>
      </c>
    </row>
    <row r="506" spans="1:19" ht="15.75" customHeight="1" x14ac:dyDescent="0.3">
      <c r="A506" s="37">
        <v>66355</v>
      </c>
      <c r="B506" s="409">
        <f t="shared" ref="B506:C506" si="507">($A506-B$9)/365.25</f>
        <v>99.791923340177959</v>
      </c>
      <c r="C506" s="409">
        <f t="shared" si="507"/>
        <v>95.181382614647504</v>
      </c>
      <c r="E506" s="25">
        <f>IF(C506&gt;$B$7,0,'Combined Retirement'!$D$13/12)</f>
        <v>0</v>
      </c>
      <c r="F506" s="25">
        <f>IF(H506=0,'Combined Retirement'!$D$32,0)+'Combined Retirement'!$B$24</f>
        <v>2870.372285649099</v>
      </c>
      <c r="G506" s="25">
        <f>'Combined Retirement'!$C$24</f>
        <v>3525.4531757812501</v>
      </c>
      <c r="H506" s="25">
        <f>IF(B506&lt;62,0,'Combined Retirement'!$I$14)</f>
        <v>2192</v>
      </c>
      <c r="I506" s="25">
        <f>IF(C506&lt;62,0,'Combined Retirement'!$I$13)</f>
        <v>2420</v>
      </c>
      <c r="J506" s="25">
        <f t="shared" si="263"/>
        <v>7863.2184191855868</v>
      </c>
      <c r="K506" s="25">
        <f t="shared" si="264"/>
        <v>20282.026119384056</v>
      </c>
      <c r="L506" s="25"/>
      <c r="N506" s="25">
        <f>'Combined Retirement'!$C$18/12</f>
        <v>39153.069999999992</v>
      </c>
      <c r="O506" s="25">
        <f t="shared" si="265"/>
        <v>11007.82546143035</v>
      </c>
      <c r="P506" s="25">
        <f t="shared" si="266"/>
        <v>28145.244538569641</v>
      </c>
      <c r="Q506" s="25">
        <f t="array" aca="1" ref="Q506" ca="1">INDEX('Isaac 401k'!L:L,MATCH('Retirement Calculator'!A506,'Isaac 401k'!N:N,0),0)</f>
        <v>453175.17623672454</v>
      </c>
      <c r="R506" s="25">
        <f t="array" aca="1" ref="R506" ca="1">INDEX('Lorri 401b'!L:L,MATCH('Retirement Calculator'!A506,'Lorri 401b'!N:N,0),0)</f>
        <v>1206875.4128527036</v>
      </c>
      <c r="S506" s="25">
        <f t="shared" ca="1" si="267"/>
        <v>1660050.5890894281</v>
      </c>
    </row>
    <row r="507" spans="1:19" ht="15.75" customHeight="1" x14ac:dyDescent="0.3">
      <c r="A507" s="37">
        <v>66385</v>
      </c>
      <c r="B507" s="409">
        <f t="shared" ref="B507:C507" si="508">($A507-B$9)/365.25</f>
        <v>99.87405886379193</v>
      </c>
      <c r="C507" s="409">
        <f t="shared" si="508"/>
        <v>95.26351813826146</v>
      </c>
      <c r="E507" s="25">
        <f>IF(C507&gt;$B$7,0,'Combined Retirement'!$D$13/12)</f>
        <v>0</v>
      </c>
      <c r="F507" s="25">
        <f>IF(H507=0,'Combined Retirement'!$D$32,0)+'Combined Retirement'!$B$24</f>
        <v>2870.372285649099</v>
      </c>
      <c r="G507" s="25">
        <f>'Combined Retirement'!$C$24</f>
        <v>3525.4531757812501</v>
      </c>
      <c r="H507" s="25">
        <f>IF(B507&lt;62,0,'Combined Retirement'!$I$14)</f>
        <v>2192</v>
      </c>
      <c r="I507" s="25">
        <f>IF(C507&lt;62,0,'Combined Retirement'!$I$13)</f>
        <v>2420</v>
      </c>
      <c r="J507" s="25">
        <f t="shared" si="263"/>
        <v>7863.2184191855868</v>
      </c>
      <c r="K507" s="25">
        <f t="shared" si="264"/>
        <v>20282.026119384056</v>
      </c>
      <c r="L507" s="25"/>
      <c r="N507" s="25">
        <f>'Combined Retirement'!$C$18/12</f>
        <v>39153.069999999992</v>
      </c>
      <c r="O507" s="25">
        <f t="shared" si="265"/>
        <v>11007.82546143035</v>
      </c>
      <c r="P507" s="25">
        <f t="shared" si="266"/>
        <v>28145.244538569641</v>
      </c>
      <c r="Q507" s="25">
        <f t="array" aca="1" ref="Q507" ca="1">INDEX('Isaac 401k'!L:L,MATCH('Retirement Calculator'!A507,'Isaac 401k'!N:N,0),0)</f>
        <v>447167.42430844536</v>
      </c>
      <c r="R507" s="25">
        <f t="array" aca="1" ref="R507" ca="1">INDEX('Lorri 401b'!L:L,MATCH('Retirement Calculator'!A507,'Lorri 401b'!N:N,0),0)</f>
        <v>1191537.5258447086</v>
      </c>
      <c r="S507" s="25">
        <f t="shared" ca="1" si="267"/>
        <v>1638704.9501531539</v>
      </c>
    </row>
    <row r="508" spans="1:19" ht="15.75" customHeight="1" x14ac:dyDescent="0.3">
      <c r="A508" s="37">
        <v>66416</v>
      </c>
      <c r="B508" s="409">
        <f t="shared" ref="B508:C508" si="509">($A508-B$9)/365.25</f>
        <v>99.958932238193015</v>
      </c>
      <c r="C508" s="409">
        <f t="shared" si="509"/>
        <v>95.348391512662559</v>
      </c>
      <c r="E508" s="25">
        <f>IF(C508&gt;$B$7,0,'Combined Retirement'!$D$13/12)</f>
        <v>0</v>
      </c>
      <c r="F508" s="25">
        <f>IF(H508=0,'Combined Retirement'!$D$32,0)+'Combined Retirement'!$B$24</f>
        <v>2870.372285649099</v>
      </c>
      <c r="G508" s="25">
        <f>'Combined Retirement'!$C$24</f>
        <v>3525.4531757812501</v>
      </c>
      <c r="H508" s="25">
        <f>IF(B508&lt;62,0,'Combined Retirement'!$I$14)</f>
        <v>2192</v>
      </c>
      <c r="I508" s="25">
        <f>IF(C508&lt;62,0,'Combined Retirement'!$I$13)</f>
        <v>2420</v>
      </c>
      <c r="J508" s="25">
        <f t="shared" si="263"/>
        <v>7863.2184191855868</v>
      </c>
      <c r="K508" s="25">
        <f t="shared" si="264"/>
        <v>20282.026119384056</v>
      </c>
      <c r="L508" s="25"/>
      <c r="N508" s="25">
        <f>'Combined Retirement'!$C$18/12</f>
        <v>39153.069999999992</v>
      </c>
      <c r="O508" s="25">
        <f t="shared" si="265"/>
        <v>11007.82546143035</v>
      </c>
      <c r="P508" s="25">
        <f t="shared" si="266"/>
        <v>28145.244538569641</v>
      </c>
      <c r="Q508" s="25">
        <f t="array" aca="1" ref="Q508" ca="1">INDEX('Isaac 401k'!L:L,MATCH('Retirement Calculator'!A508,'Isaac 401k'!N:N,0),0)</f>
        <v>441134.640080465</v>
      </c>
      <c r="R508" s="25">
        <f t="array" aca="1" ref="R508" ca="1">INDEX('Lorri 401b'!L:L,MATCH('Retirement Calculator'!A508,'Lorri 401b'!N:N,0),0)</f>
        <v>1176135.7309741802</v>
      </c>
      <c r="S508" s="25">
        <f t="shared" ca="1" si="267"/>
        <v>1617270.3710546452</v>
      </c>
    </row>
    <row r="509" spans="1:19" ht="15.75" customHeight="1" x14ac:dyDescent="0.3">
      <c r="A509" s="37">
        <v>66446</v>
      </c>
      <c r="B509" s="409">
        <f t="shared" ref="B509:C509" si="510">($A509-B$9)/365.25</f>
        <v>100.04106776180699</v>
      </c>
      <c r="C509" s="409">
        <f t="shared" si="510"/>
        <v>95.43052703627653</v>
      </c>
      <c r="E509" s="25">
        <f>IF(C509&gt;$B$7,0,'Combined Retirement'!$D$13/12)</f>
        <v>0</v>
      </c>
      <c r="F509" s="25">
        <f>IF(H509=0,'Combined Retirement'!$D$32,0)+'Combined Retirement'!$B$24</f>
        <v>2870.372285649099</v>
      </c>
      <c r="G509" s="25">
        <f>'Combined Retirement'!$C$24</f>
        <v>3525.4531757812501</v>
      </c>
      <c r="H509" s="25">
        <f>IF(B509&lt;62,0,'Combined Retirement'!$I$14)</f>
        <v>2192</v>
      </c>
      <c r="I509" s="25">
        <f>IF(C509&lt;62,0,'Combined Retirement'!$I$13)</f>
        <v>2420</v>
      </c>
      <c r="J509" s="25">
        <f t="shared" si="263"/>
        <v>7863.2184191855868</v>
      </c>
      <c r="K509" s="25">
        <f t="shared" si="264"/>
        <v>20282.026119384056</v>
      </c>
      <c r="L509" s="25"/>
      <c r="N509" s="25">
        <f>'Combined Retirement'!$C$18/12</f>
        <v>39153.069999999992</v>
      </c>
      <c r="O509" s="25">
        <f t="shared" si="265"/>
        <v>11007.82546143035</v>
      </c>
      <c r="P509" s="25">
        <f t="shared" si="266"/>
        <v>28145.244538569641</v>
      </c>
      <c r="Q509" s="25">
        <f t="array" aca="1" ref="Q509" ca="1">INDEX('Isaac 401k'!L:L,MATCH('Retirement Calculator'!A509,'Isaac 401k'!N:N,0),0)</f>
        <v>435076.71925153473</v>
      </c>
      <c r="R509" s="25">
        <f t="array" aca="1" ref="R509" ca="1">INDEX('Lorri 401b'!L:L,MATCH('Retirement Calculator'!A509,'Lorri 401b'!N:N,0),0)</f>
        <v>1160669.7619583579</v>
      </c>
      <c r="S509" s="25">
        <f t="shared" ca="1" si="267"/>
        <v>1595746.4812098925</v>
      </c>
    </row>
    <row r="510" spans="1:19" ht="15.75" customHeight="1" x14ac:dyDescent="0.3">
      <c r="A510" s="37">
        <v>66477</v>
      </c>
      <c r="B510" s="409">
        <f t="shared" ref="B510:C510" si="511">($A510-B$9)/365.25</f>
        <v>100.12594113620807</v>
      </c>
      <c r="C510" s="409">
        <f t="shared" si="511"/>
        <v>95.515400410677614</v>
      </c>
      <c r="E510" s="25">
        <f>IF(C510&gt;$B$7,0,'Combined Retirement'!$D$13/12)</f>
        <v>0</v>
      </c>
      <c r="F510" s="25">
        <f>IF(H510=0,'Combined Retirement'!$D$32,0)+'Combined Retirement'!$B$24</f>
        <v>2870.372285649099</v>
      </c>
      <c r="G510" s="25">
        <f>'Combined Retirement'!$C$24</f>
        <v>3525.4531757812501</v>
      </c>
      <c r="H510" s="25">
        <f>IF(B510&lt;62,0,'Combined Retirement'!$I$14)</f>
        <v>2192</v>
      </c>
      <c r="I510" s="25">
        <f>IF(C510&lt;62,0,'Combined Retirement'!$I$13)</f>
        <v>2420</v>
      </c>
      <c r="J510" s="25">
        <f t="shared" si="263"/>
        <v>7863.2184191855868</v>
      </c>
      <c r="K510" s="25">
        <f t="shared" si="264"/>
        <v>20282.026119384056</v>
      </c>
      <c r="L510" s="25"/>
      <c r="N510" s="25">
        <f>'Combined Retirement'!$C$18/12</f>
        <v>39153.069999999992</v>
      </c>
      <c r="O510" s="25">
        <f t="shared" si="265"/>
        <v>11007.82546143035</v>
      </c>
      <c r="P510" s="25">
        <f t="shared" si="266"/>
        <v>28145.244538569641</v>
      </c>
      <c r="Q510" s="25">
        <f t="array" aca="1" ref="Q510" ca="1">INDEX('Isaac 401k'!L:L,MATCH('Retirement Calculator'!A510,'Isaac 401k'!N:N,0),0)</f>
        <v>428993.55708581721</v>
      </c>
      <c r="R510" s="25">
        <f t="array" aca="1" ref="R510" ca="1">INDEX('Lorri 401b'!L:L,MATCH('Retirement Calculator'!A510,'Lorri 401b'!N:N,0),0)</f>
        <v>1145139.3514049696</v>
      </c>
      <c r="S510" s="25">
        <f t="shared" ca="1" si="267"/>
        <v>1574132.9084907868</v>
      </c>
    </row>
    <row r="511" spans="1:19" ht="15.75" customHeight="1" x14ac:dyDescent="0.3">
      <c r="A511" s="37">
        <v>66508</v>
      </c>
      <c r="B511" s="409">
        <f t="shared" ref="B511:C511" si="512">($A511-B$9)/365.25</f>
        <v>100.21081451060917</v>
      </c>
      <c r="C511" s="409">
        <f t="shared" si="512"/>
        <v>95.600273785078713</v>
      </c>
      <c r="E511" s="25">
        <f>IF(C511&gt;$B$7,0,'Combined Retirement'!$D$13/12)</f>
        <v>0</v>
      </c>
      <c r="F511" s="25">
        <f>IF(H511=0,'Combined Retirement'!$D$32,0)+'Combined Retirement'!$B$24</f>
        <v>2870.372285649099</v>
      </c>
      <c r="G511" s="25">
        <f>'Combined Retirement'!$C$24</f>
        <v>3525.4531757812501</v>
      </c>
      <c r="H511" s="25">
        <f>IF(B511&lt;62,0,'Combined Retirement'!$I$14)</f>
        <v>2192</v>
      </c>
      <c r="I511" s="25">
        <f>IF(C511&lt;62,0,'Combined Retirement'!$I$13)</f>
        <v>2420</v>
      </c>
      <c r="J511" s="25">
        <f t="shared" si="263"/>
        <v>7863.2184191855868</v>
      </c>
      <c r="K511" s="25">
        <f t="shared" si="264"/>
        <v>20282.026119384056</v>
      </c>
      <c r="L511" s="25"/>
      <c r="N511" s="25">
        <f>'Combined Retirement'!$C$18/12</f>
        <v>39153.069999999992</v>
      </c>
      <c r="O511" s="25">
        <f t="shared" si="265"/>
        <v>11007.82546143035</v>
      </c>
      <c r="P511" s="25">
        <f t="shared" si="266"/>
        <v>28145.244538569641</v>
      </c>
      <c r="Q511" s="25">
        <f t="array" aca="1" ref="Q511" ca="1">INDEX('Isaac 401k'!L:L,MATCH('Retirement Calculator'!A511,'Isaac 401k'!N:N,0),0)</f>
        <v>422885.0484110759</v>
      </c>
      <c r="R511" s="25">
        <f t="array" aca="1" ref="R511" ca="1">INDEX('Lorri 401b'!L:L,MATCH('Retirement Calculator'!A511,'Lorri 401b'!N:N,0),0)</f>
        <v>1129544.2308076089</v>
      </c>
      <c r="S511" s="25">
        <f t="shared" ca="1" si="267"/>
        <v>1552429.2792186849</v>
      </c>
    </row>
    <row r="512" spans="1:19" ht="15.75" customHeight="1" x14ac:dyDescent="0.3">
      <c r="A512" s="37">
        <v>66536</v>
      </c>
      <c r="B512" s="409">
        <f t="shared" ref="B512:C512" si="513">($A512-B$9)/365.25</f>
        <v>100.28747433264887</v>
      </c>
      <c r="C512" s="409">
        <f t="shared" si="513"/>
        <v>95.676933607118414</v>
      </c>
      <c r="E512" s="25">
        <f>IF(C512&gt;$B$7,0,'Combined Retirement'!$D$13/12)</f>
        <v>0</v>
      </c>
      <c r="F512" s="25">
        <f>IF(H512=0,'Combined Retirement'!$D$32,0)+'Combined Retirement'!$B$24</f>
        <v>2870.372285649099</v>
      </c>
      <c r="G512" s="25">
        <f>'Combined Retirement'!$C$24</f>
        <v>3525.4531757812501</v>
      </c>
      <c r="H512" s="25">
        <f>IF(B512&lt;62,0,'Combined Retirement'!$I$14)</f>
        <v>2192</v>
      </c>
      <c r="I512" s="25">
        <f>IF(C512&lt;62,0,'Combined Retirement'!$I$13)</f>
        <v>2420</v>
      </c>
      <c r="J512" s="25">
        <f t="shared" si="263"/>
        <v>7863.2184191855868</v>
      </c>
      <c r="K512" s="25">
        <f t="shared" si="264"/>
        <v>20282.026119384056</v>
      </c>
      <c r="L512" s="25"/>
      <c r="N512" s="25">
        <f>'Combined Retirement'!$C$18/12</f>
        <v>39153.069999999992</v>
      </c>
      <c r="O512" s="25">
        <f t="shared" si="265"/>
        <v>11007.82546143035</v>
      </c>
      <c r="P512" s="25">
        <f t="shared" si="266"/>
        <v>28145.244538569641</v>
      </c>
      <c r="Q512" s="25">
        <f t="array" aca="1" ref="Q512" ca="1">INDEX('Isaac 401k'!L:L,MATCH('Retirement Calculator'!A512,'Isaac 401k'!N:N,0),0)</f>
        <v>416751.0876168565</v>
      </c>
      <c r="R512" s="25">
        <f t="array" aca="1" ref="R512" ca="1">INDEX('Lorri 401b'!L:L,MATCH('Retirement Calculator'!A512,'Lorri 401b'!N:N,0),0)</f>
        <v>1113884.1305410925</v>
      </c>
      <c r="S512" s="25">
        <f t="shared" ca="1" si="267"/>
        <v>1530635.2181579489</v>
      </c>
    </row>
    <row r="513" spans="1:19" ht="15.75" customHeight="1" x14ac:dyDescent="0.3">
      <c r="A513" s="37">
        <v>66567</v>
      </c>
      <c r="B513" s="409">
        <f t="shared" ref="B513:C513" si="514">($A513-B$9)/365.25</f>
        <v>100.37234770704997</v>
      </c>
      <c r="C513" s="409">
        <f t="shared" si="514"/>
        <v>95.761806981519513</v>
      </c>
      <c r="E513" s="25">
        <f>IF(C513&gt;$B$7,0,'Combined Retirement'!$D$13/12)</f>
        <v>0</v>
      </c>
      <c r="F513" s="25">
        <f>IF(H513=0,'Combined Retirement'!$D$32,0)+'Combined Retirement'!$B$24</f>
        <v>2870.372285649099</v>
      </c>
      <c r="G513" s="25">
        <f>'Combined Retirement'!$C$24</f>
        <v>3525.4531757812501</v>
      </c>
      <c r="H513" s="25">
        <f>IF(B513&lt;62,0,'Combined Retirement'!$I$14)</f>
        <v>2192</v>
      </c>
      <c r="I513" s="25">
        <f>IF(C513&lt;62,0,'Combined Retirement'!$I$13)</f>
        <v>2420</v>
      </c>
      <c r="J513" s="25">
        <f t="shared" si="263"/>
        <v>7863.2184191855868</v>
      </c>
      <c r="K513" s="25">
        <f t="shared" si="264"/>
        <v>20282.026119384056</v>
      </c>
      <c r="L513" s="25"/>
      <c r="N513" s="25">
        <f>'Combined Retirement'!$C$18/12</f>
        <v>39153.069999999992</v>
      </c>
      <c r="O513" s="25">
        <f t="shared" si="265"/>
        <v>11007.82546143035</v>
      </c>
      <c r="P513" s="25">
        <f t="shared" si="266"/>
        <v>28145.244538569641</v>
      </c>
      <c r="Q513" s="25">
        <f t="array" aca="1" ref="Q513" ca="1">INDEX('Isaac 401k'!L:L,MATCH('Retirement Calculator'!A513,'Isaac 401k'!N:N,0),0)</f>
        <v>410591.56865266117</v>
      </c>
      <c r="R513" s="25">
        <f t="array" aca="1" ref="R513" ca="1">INDEX('Lorri 401b'!L:L,MATCH('Retirement Calculator'!A513,'Lorri 401b'!N:N,0),0)</f>
        <v>1098158.7798567989</v>
      </c>
      <c r="S513" s="25">
        <f t="shared" ca="1" si="267"/>
        <v>1508750.3485094602</v>
      </c>
    </row>
    <row r="514" spans="1:19" ht="15.75" customHeight="1" x14ac:dyDescent="0.3">
      <c r="A514" s="37">
        <v>66597</v>
      </c>
      <c r="B514" s="409">
        <f t="shared" ref="B514:C514" si="515">($A514-B$9)/365.25</f>
        <v>100.45448323066393</v>
      </c>
      <c r="C514" s="409">
        <f t="shared" si="515"/>
        <v>95.843942505133469</v>
      </c>
      <c r="E514" s="25">
        <f>IF(C514&gt;$B$7,0,'Combined Retirement'!$D$13/12)</f>
        <v>0</v>
      </c>
      <c r="F514" s="25">
        <f>IF(H514=0,'Combined Retirement'!$D$32,0)+'Combined Retirement'!$B$24</f>
        <v>2870.372285649099</v>
      </c>
      <c r="G514" s="25">
        <f>'Combined Retirement'!$C$24</f>
        <v>3525.4531757812501</v>
      </c>
      <c r="H514" s="25">
        <f>IF(B514&lt;62,0,'Combined Retirement'!$I$14)</f>
        <v>2192</v>
      </c>
      <c r="I514" s="25">
        <f>IF(C514&lt;62,0,'Combined Retirement'!$I$13)</f>
        <v>2420</v>
      </c>
      <c r="J514" s="25">
        <f t="shared" si="263"/>
        <v>7863.2184191855868</v>
      </c>
      <c r="K514" s="25">
        <f t="shared" si="264"/>
        <v>20282.026119384056</v>
      </c>
      <c r="L514" s="25"/>
      <c r="N514" s="25">
        <f>'Combined Retirement'!$C$18/12</f>
        <v>39153.069999999992</v>
      </c>
      <c r="O514" s="25">
        <f t="shared" si="265"/>
        <v>11007.82546143035</v>
      </c>
      <c r="P514" s="25">
        <f t="shared" si="266"/>
        <v>28145.244538569641</v>
      </c>
      <c r="Q514" s="25">
        <f t="array" aca="1" ref="Q514" ca="1">INDEX('Isaac 401k'!L:L,MATCH('Retirement Calculator'!A514,'Isaac 401k'!N:N,0),0)</f>
        <v>404406.38502611505</v>
      </c>
      <c r="R514" s="25">
        <f t="array" aca="1" ref="R514" ca="1">INDEX('Lorri 401b'!L:L,MATCH('Retirement Calculator'!A514,'Lorri 401b'!N:N,0),0)</f>
        <v>1082367.9068779876</v>
      </c>
      <c r="S514" s="25">
        <f t="shared" ca="1" si="267"/>
        <v>1486774.2919041025</v>
      </c>
    </row>
    <row r="515" spans="1:19" ht="15.75" customHeight="1" x14ac:dyDescent="0.3">
      <c r="A515" s="37">
        <v>66628</v>
      </c>
      <c r="B515" s="409">
        <f t="shared" ref="B515:C515" si="516">($A515-B$9)/365.25</f>
        <v>100.53935660506502</v>
      </c>
      <c r="C515" s="409">
        <f t="shared" si="516"/>
        <v>95.928815879534568</v>
      </c>
      <c r="E515" s="25">
        <f>IF(C515&gt;$B$7,0,'Combined Retirement'!$D$13/12)</f>
        <v>0</v>
      </c>
      <c r="F515" s="25">
        <f>IF(H515=0,'Combined Retirement'!$D$32,0)+'Combined Retirement'!$B$24</f>
        <v>2870.372285649099</v>
      </c>
      <c r="G515" s="25">
        <f>'Combined Retirement'!$C$24</f>
        <v>3525.4531757812501</v>
      </c>
      <c r="H515" s="25">
        <f>IF(B515&lt;62,0,'Combined Retirement'!$I$14)</f>
        <v>2192</v>
      </c>
      <c r="I515" s="25">
        <f>IF(C515&lt;62,0,'Combined Retirement'!$I$13)</f>
        <v>2420</v>
      </c>
      <c r="J515" s="25">
        <f t="shared" si="263"/>
        <v>7863.2184191855868</v>
      </c>
      <c r="K515" s="25">
        <f t="shared" si="264"/>
        <v>20282.026119384056</v>
      </c>
      <c r="L515" s="25"/>
      <c r="N515" s="25">
        <f>'Combined Retirement'!$C$18/12</f>
        <v>39153.069999999992</v>
      </c>
      <c r="O515" s="25">
        <f t="shared" si="265"/>
        <v>11007.82546143035</v>
      </c>
      <c r="P515" s="25">
        <f t="shared" si="266"/>
        <v>28145.244538569641</v>
      </c>
      <c r="Q515" s="25">
        <f t="array" aca="1" ref="Q515" ca="1">INDEX('Isaac 401k'!L:L,MATCH('Retirement Calculator'!A515,'Isaac 401k'!N:N,0),0)</f>
        <v>398195.42980112496</v>
      </c>
      <c r="R515" s="25">
        <f t="array" aca="1" ref="R515" ca="1">INDEX('Lorri 401b'!L:L,MATCH('Retirement Calculator'!A515,'Lorri 401b'!N:N,0),0)</f>
        <v>1066511.2385950978</v>
      </c>
      <c r="S515" s="25">
        <f t="shared" ca="1" si="267"/>
        <v>1464706.6683962229</v>
      </c>
    </row>
    <row r="516" spans="1:19" ht="15.75" customHeight="1" x14ac:dyDescent="0.3">
      <c r="A516" s="37">
        <v>66658</v>
      </c>
      <c r="B516" s="409">
        <f t="shared" ref="B516:C516" si="517">($A516-B$9)/365.25</f>
        <v>100.62149212867898</v>
      </c>
      <c r="C516" s="409">
        <f t="shared" si="517"/>
        <v>96.010951403148525</v>
      </c>
      <c r="E516" s="25">
        <f>IF(C516&gt;$B$7,0,'Combined Retirement'!$D$13/12)</f>
        <v>0</v>
      </c>
      <c r="F516" s="25">
        <f>IF(H516=0,'Combined Retirement'!$D$32,0)+'Combined Retirement'!$B$24</f>
        <v>2870.372285649099</v>
      </c>
      <c r="G516" s="25">
        <f>'Combined Retirement'!$C$24</f>
        <v>3525.4531757812501</v>
      </c>
      <c r="H516" s="25">
        <f>IF(B516&lt;62,0,'Combined Retirement'!$I$14)</f>
        <v>2192</v>
      </c>
      <c r="I516" s="25">
        <f>IF(C516&lt;62,0,'Combined Retirement'!$I$13)</f>
        <v>2420</v>
      </c>
      <c r="J516" s="25">
        <f t="shared" si="263"/>
        <v>7863.2184191855868</v>
      </c>
      <c r="K516" s="25">
        <f t="shared" si="264"/>
        <v>20282.026119384056</v>
      </c>
      <c r="L516" s="25"/>
      <c r="N516" s="25">
        <f>'Combined Retirement'!$C$18/12</f>
        <v>39153.069999999992</v>
      </c>
      <c r="O516" s="25">
        <f t="shared" si="265"/>
        <v>11007.82546143035</v>
      </c>
      <c r="P516" s="25">
        <f t="shared" si="266"/>
        <v>28145.244538569641</v>
      </c>
      <c r="Q516" s="25">
        <f t="array" aca="1" ref="Q516" ca="1">INDEX('Isaac 401k'!L:L,MATCH('Retirement Calculator'!A516,'Isaac 401k'!N:N,0),0)</f>
        <v>391958.59559603076</v>
      </c>
      <c r="R516" s="25">
        <f t="array" aca="1" ref="R516" ca="1">INDEX('Lorri 401b'!L:L,MATCH('Retirement Calculator'!A516,'Lorri 401b'!N:N,0),0)</f>
        <v>1050588.5008610291</v>
      </c>
      <c r="S516" s="25">
        <f t="shared" ca="1" si="267"/>
        <v>1442547.09645706</v>
      </c>
    </row>
    <row r="517" spans="1:19" ht="15.75" customHeight="1" x14ac:dyDescent="0.3">
      <c r="A517" s="37">
        <v>66689</v>
      </c>
      <c r="B517" s="409">
        <f t="shared" ref="B517:C517" si="518">($A517-B$9)/365.25</f>
        <v>100.70636550308008</v>
      </c>
      <c r="C517" s="409">
        <f t="shared" si="518"/>
        <v>96.095824777549623</v>
      </c>
      <c r="E517" s="25">
        <f>IF(C517&gt;$B$7,0,'Combined Retirement'!$D$13/12)</f>
        <v>0</v>
      </c>
      <c r="F517" s="25">
        <f>IF(H517=0,'Combined Retirement'!$D$32,0)+'Combined Retirement'!$B$24</f>
        <v>2870.372285649099</v>
      </c>
      <c r="G517" s="25">
        <f>'Combined Retirement'!$C$24</f>
        <v>3525.4531757812501</v>
      </c>
      <c r="H517" s="25">
        <f>IF(B517&lt;62,0,'Combined Retirement'!$I$14)</f>
        <v>2192</v>
      </c>
      <c r="I517" s="25">
        <f>IF(C517&lt;62,0,'Combined Retirement'!$I$13)</f>
        <v>2420</v>
      </c>
      <c r="J517" s="25">
        <f t="shared" si="263"/>
        <v>7863.2184191855868</v>
      </c>
      <c r="K517" s="25">
        <f t="shared" si="264"/>
        <v>20282.026119384056</v>
      </c>
      <c r="L517" s="25"/>
      <c r="N517" s="25">
        <f>'Combined Retirement'!$C$18/12</f>
        <v>39153.069999999992</v>
      </c>
      <c r="O517" s="25">
        <f t="shared" si="265"/>
        <v>11007.82546143035</v>
      </c>
      <c r="P517" s="25">
        <f t="shared" si="266"/>
        <v>28145.244538569641</v>
      </c>
      <c r="Q517" s="25">
        <f t="array" aca="1" ref="Q517" ca="1">INDEX('Isaac 401k'!L:L,MATCH('Retirement Calculator'!A517,'Isaac 401k'!N:N,0),0)</f>
        <v>385695.7745817487</v>
      </c>
      <c r="R517" s="25">
        <f t="array" aca="1" ref="R517" ca="1">INDEX('Lorri 401b'!L:L,MATCH('Retirement Calculator'!A517,'Lorri 401b'!N:N,0),0)</f>
        <v>1034599.4183864018</v>
      </c>
      <c r="S517" s="25">
        <f t="shared" ca="1" si="267"/>
        <v>1420295.1929681506</v>
      </c>
    </row>
    <row r="518" spans="1:19" ht="15.75" customHeight="1" x14ac:dyDescent="0.3">
      <c r="A518" s="37">
        <v>66720</v>
      </c>
      <c r="B518" s="409">
        <f t="shared" ref="B518:C518" si="519">($A518-B$9)/365.25</f>
        <v>100.79123887748118</v>
      </c>
      <c r="C518" s="409">
        <f t="shared" si="519"/>
        <v>96.180698151950722</v>
      </c>
      <c r="E518" s="25">
        <f>IF(C518&gt;$B$7,0,'Combined Retirement'!$D$13/12)</f>
        <v>0</v>
      </c>
      <c r="F518" s="25">
        <f>IF(H518=0,'Combined Retirement'!$D$32,0)+'Combined Retirement'!$B$24</f>
        <v>2870.372285649099</v>
      </c>
      <c r="G518" s="25">
        <f>'Combined Retirement'!$C$24</f>
        <v>3525.4531757812501</v>
      </c>
      <c r="H518" s="25">
        <f>IF(B518&lt;62,0,'Combined Retirement'!$I$14)</f>
        <v>2192</v>
      </c>
      <c r="I518" s="25">
        <f>IF(C518&lt;62,0,'Combined Retirement'!$I$13)</f>
        <v>2420</v>
      </c>
      <c r="J518" s="25">
        <f t="shared" si="263"/>
        <v>7863.2184191855868</v>
      </c>
      <c r="K518" s="25">
        <f t="shared" si="264"/>
        <v>20282.026119384056</v>
      </c>
      <c r="L518" s="25"/>
      <c r="N518" s="25">
        <f>'Combined Retirement'!$C$18/12</f>
        <v>39153.069999999992</v>
      </c>
      <c r="O518" s="25">
        <f t="shared" si="265"/>
        <v>11007.82546143035</v>
      </c>
      <c r="P518" s="25">
        <f t="shared" si="266"/>
        <v>28145.244538569641</v>
      </c>
      <c r="Q518" s="25">
        <f t="array" aca="1" ref="Q518" ca="1">INDEX('Isaac 401k'!L:L,MATCH('Retirement Calculator'!A518,'Isaac 401k'!N:N,0),0)</f>
        <v>379406.8584799071</v>
      </c>
      <c r="R518" s="25">
        <f t="array" aca="1" ref="R518" ca="1">INDEX('Lorri 401b'!L:L,MATCH('Retirement Calculator'!A518,'Lorri 401b'!N:N,0),0)</f>
        <v>1018543.714734797</v>
      </c>
      <c r="S518" s="25">
        <f t="shared" ca="1" si="267"/>
        <v>1397950.5732147042</v>
      </c>
    </row>
    <row r="519" spans="1:19" ht="15.75" customHeight="1" x14ac:dyDescent="0.3">
      <c r="A519" s="37">
        <v>66750</v>
      </c>
      <c r="B519" s="409">
        <f t="shared" ref="B519:C519" si="520">($A519-B$9)/365.25</f>
        <v>100.87337440109513</v>
      </c>
      <c r="C519" s="409">
        <f t="shared" si="520"/>
        <v>96.262833675564679</v>
      </c>
      <c r="E519" s="25">
        <f>IF(C519&gt;$B$7,0,'Combined Retirement'!$D$13/12)</f>
        <v>0</v>
      </c>
      <c r="F519" s="25">
        <f>IF(H519=0,'Combined Retirement'!$D$32,0)+'Combined Retirement'!$B$24</f>
        <v>2870.372285649099</v>
      </c>
      <c r="G519" s="25">
        <f>'Combined Retirement'!$C$24</f>
        <v>3525.4531757812501</v>
      </c>
      <c r="H519" s="25">
        <f>IF(B519&lt;62,0,'Combined Retirement'!$I$14)</f>
        <v>2192</v>
      </c>
      <c r="I519" s="25">
        <f>IF(C519&lt;62,0,'Combined Retirement'!$I$13)</f>
        <v>2420</v>
      </c>
      <c r="J519" s="25">
        <f t="shared" si="263"/>
        <v>7863.2184191855868</v>
      </c>
      <c r="K519" s="25">
        <f t="shared" si="264"/>
        <v>20282.026119384056</v>
      </c>
      <c r="L519" s="25"/>
      <c r="N519" s="25">
        <f>'Combined Retirement'!$C$18/12</f>
        <v>39153.069999999992</v>
      </c>
      <c r="O519" s="25">
        <f t="shared" si="265"/>
        <v>11007.82546143035</v>
      </c>
      <c r="P519" s="25">
        <f t="shared" si="266"/>
        <v>28145.244538569641</v>
      </c>
      <c r="Q519" s="25">
        <f t="array" aca="1" ref="Q519" ca="1">INDEX('Isaac 401k'!L:L,MATCH('Retirement Calculator'!A519,'Isaac 401k'!N:N,0),0)</f>
        <v>373091.73856097448</v>
      </c>
      <c r="R519" s="25">
        <f t="array" aca="1" ref="R519" ca="1">INDEX('Lorri 401b'!L:L,MATCH('Retirement Calculator'!A519,'Lorri 401b'!N:N,0),0)</f>
        <v>1002421.1123179771</v>
      </c>
      <c r="S519" s="25">
        <f t="shared" ca="1" si="267"/>
        <v>1375512.8508789516</v>
      </c>
    </row>
    <row r="520" spans="1:19" ht="15.75" customHeight="1" x14ac:dyDescent="0.3">
      <c r="A520" s="37">
        <v>66781</v>
      </c>
      <c r="B520" s="409">
        <f t="shared" ref="B520:C520" si="521">($A520-B$9)/365.25</f>
        <v>100.95824777549623</v>
      </c>
      <c r="C520" s="409">
        <f t="shared" si="521"/>
        <v>96.347707049965777</v>
      </c>
      <c r="E520" s="25">
        <f>IF(C520&gt;$B$7,0,'Combined Retirement'!$D$13/12)</f>
        <v>0</v>
      </c>
      <c r="F520" s="25">
        <f>IF(H520=0,'Combined Retirement'!$D$32,0)+'Combined Retirement'!$B$24</f>
        <v>2870.372285649099</v>
      </c>
      <c r="G520" s="25">
        <f>'Combined Retirement'!$C$24</f>
        <v>3525.4531757812501</v>
      </c>
      <c r="H520" s="25">
        <f>IF(B520&lt;62,0,'Combined Retirement'!$I$14)</f>
        <v>2192</v>
      </c>
      <c r="I520" s="25">
        <f>IF(C520&lt;62,0,'Combined Retirement'!$I$13)</f>
        <v>2420</v>
      </c>
      <c r="J520" s="25">
        <f t="shared" si="263"/>
        <v>7863.2184191855868</v>
      </c>
      <c r="K520" s="25">
        <f t="shared" si="264"/>
        <v>20282.026119384056</v>
      </c>
      <c r="L520" s="25"/>
      <c r="N520" s="25">
        <f>'Combined Retirement'!$C$18/12</f>
        <v>39153.069999999992</v>
      </c>
      <c r="O520" s="25">
        <f t="shared" si="265"/>
        <v>11007.82546143035</v>
      </c>
      <c r="P520" s="25">
        <f t="shared" si="266"/>
        <v>28145.244538569641</v>
      </c>
      <c r="Q520" s="25">
        <f t="array" aca="1" ref="Q520" ca="1">INDEX('Isaac 401k'!L:L,MATCH('Retirement Calculator'!A520,'Isaac 401k'!N:N,0),0)</f>
        <v>366750.30564237968</v>
      </c>
      <c r="R520" s="25">
        <f t="array" aca="1" ref="R520" ca="1">INDEX('Lorri 401b'!L:L,MATCH('Retirement Calculator'!A520,'Lorri 401b'!N:N,0),0)</f>
        <v>986231.3323910872</v>
      </c>
      <c r="S520" s="25">
        <f t="shared" ca="1" si="267"/>
        <v>1352981.6380334669</v>
      </c>
    </row>
    <row r="521" spans="1:19" ht="15.75" customHeight="1" x14ac:dyDescent="0.3">
      <c r="A521" s="37">
        <v>66811</v>
      </c>
      <c r="B521" s="409">
        <f t="shared" ref="B521:C521" si="522">($A521-B$9)/365.25</f>
        <v>101.0403832991102</v>
      </c>
      <c r="C521" s="409">
        <f t="shared" si="522"/>
        <v>96.429842573579734</v>
      </c>
      <c r="E521" s="25">
        <f>IF(C521&gt;$B$7,0,'Combined Retirement'!$D$13/12)</f>
        <v>0</v>
      </c>
      <c r="F521" s="25">
        <f>IF(H521=0,'Combined Retirement'!$D$32,0)+'Combined Retirement'!$B$24</f>
        <v>2870.372285649099</v>
      </c>
      <c r="G521" s="25">
        <f>'Combined Retirement'!$C$24</f>
        <v>3525.4531757812501</v>
      </c>
      <c r="H521" s="25">
        <f>IF(B521&lt;62,0,'Combined Retirement'!$I$14)</f>
        <v>2192</v>
      </c>
      <c r="I521" s="25">
        <f>IF(C521&lt;62,0,'Combined Retirement'!$I$13)</f>
        <v>2420</v>
      </c>
      <c r="J521" s="25">
        <f t="shared" ref="J521:J775" si="523">IF(C521&lt;59.5,P521,P521*$J$7)</f>
        <v>7863.2184191855868</v>
      </c>
      <c r="K521" s="25">
        <f t="shared" ref="K521:K775" si="524">IF(C521&lt;59.5,0,IF(C521&lt;$B$7,0,P521*$K$7))</f>
        <v>20282.026119384056</v>
      </c>
      <c r="L521" s="25"/>
      <c r="N521" s="25">
        <f>'Combined Retirement'!$C$18/12</f>
        <v>39153.069999999992</v>
      </c>
      <c r="O521" s="25">
        <f t="shared" ref="O521:O775" si="525">SUM(E521:I521)</f>
        <v>11007.82546143035</v>
      </c>
      <c r="P521" s="25">
        <f t="shared" ref="P521:P775" si="526">N521-O521</f>
        <v>28145.244538569641</v>
      </c>
      <c r="Q521" s="25">
        <f t="array" aca="1" ref="Q521" ca="1">INDEX('Isaac 401k'!L:L,MATCH('Retirement Calculator'!A521,'Isaac 401k'!N:N,0),0)</f>
        <v>360382.45008662407</v>
      </c>
      <c r="R521" s="25">
        <f t="array" aca="1" ref="R521" ca="1">INDEX('Lorri 401b'!L:L,MATCH('Retirement Calculator'!A521,'Lorri 401b'!N:N,0),0)</f>
        <v>969974.09504783514</v>
      </c>
      <c r="S521" s="25">
        <f t="shared" ref="S521:S775" ca="1" si="527">SUM(Q521:R521)</f>
        <v>1330356.5451344592</v>
      </c>
    </row>
    <row r="522" spans="1:19" ht="15.75" customHeight="1" x14ac:dyDescent="0.3">
      <c r="A522" s="37">
        <v>66842</v>
      </c>
      <c r="B522" s="409">
        <f t="shared" ref="B522:C522" si="528">($A522-B$9)/365.25</f>
        <v>101.12525667351129</v>
      </c>
      <c r="C522" s="409">
        <f t="shared" si="528"/>
        <v>96.514715947980832</v>
      </c>
      <c r="E522" s="25">
        <f>IF(C522&gt;$B$7,0,'Combined Retirement'!$D$13/12)</f>
        <v>0</v>
      </c>
      <c r="F522" s="25">
        <f>IF(H522=0,'Combined Retirement'!$D$32,0)+'Combined Retirement'!$B$24</f>
        <v>2870.372285649099</v>
      </c>
      <c r="G522" s="25">
        <f>'Combined Retirement'!$C$24</f>
        <v>3525.4531757812501</v>
      </c>
      <c r="H522" s="25">
        <f>IF(B522&lt;62,0,'Combined Retirement'!$I$14)</f>
        <v>2192</v>
      </c>
      <c r="I522" s="25">
        <f>IF(C522&lt;62,0,'Combined Retirement'!$I$13)</f>
        <v>2420</v>
      </c>
      <c r="J522" s="25">
        <f t="shared" si="523"/>
        <v>7863.2184191855868</v>
      </c>
      <c r="K522" s="25">
        <f t="shared" si="524"/>
        <v>20282.026119384056</v>
      </c>
      <c r="L522" s="25"/>
      <c r="N522" s="25">
        <f>'Combined Retirement'!$C$18/12</f>
        <v>39153.069999999992</v>
      </c>
      <c r="O522" s="25">
        <f t="shared" si="525"/>
        <v>11007.82546143035</v>
      </c>
      <c r="P522" s="25">
        <f t="shared" si="526"/>
        <v>28145.244538569641</v>
      </c>
      <c r="Q522" s="25">
        <f t="array" aca="1" ref="Q522" ca="1">INDEX('Isaac 401k'!L:L,MATCH('Retirement Calculator'!A522,'Isaac 401k'!N:N,0),0)</f>
        <v>353988.06179938611</v>
      </c>
      <c r="R522" s="25">
        <f t="array" aca="1" ref="R522" ca="1">INDEX('Lorri 401b'!L:L,MATCH('Retirement Calculator'!A522,'Lorri 401b'!N:N,0),0)</f>
        <v>953649.11921565293</v>
      </c>
      <c r="S522" s="25">
        <f t="shared" ca="1" si="527"/>
        <v>1307637.1810150391</v>
      </c>
    </row>
    <row r="523" spans="1:19" ht="15.75" customHeight="1" x14ac:dyDescent="0.3">
      <c r="A523" s="37">
        <v>66873</v>
      </c>
      <c r="B523" s="409">
        <f t="shared" ref="B523:C523" si="529">($A523-B$9)/365.25</f>
        <v>101.21013004791239</v>
      </c>
      <c r="C523" s="409">
        <f t="shared" si="529"/>
        <v>96.599589322381931</v>
      </c>
      <c r="E523" s="25">
        <f>IF(C523&gt;$B$7,0,'Combined Retirement'!$D$13/12)</f>
        <v>0</v>
      </c>
      <c r="F523" s="25">
        <f>IF(H523=0,'Combined Retirement'!$D$32,0)+'Combined Retirement'!$B$24</f>
        <v>2870.372285649099</v>
      </c>
      <c r="G523" s="25">
        <f>'Combined Retirement'!$C$24</f>
        <v>3525.4531757812501</v>
      </c>
      <c r="H523" s="25">
        <f>IF(B523&lt;62,0,'Combined Retirement'!$I$14)</f>
        <v>2192</v>
      </c>
      <c r="I523" s="25">
        <f>IF(C523&lt;62,0,'Combined Retirement'!$I$13)</f>
        <v>2420</v>
      </c>
      <c r="J523" s="25">
        <f t="shared" si="523"/>
        <v>7863.2184191855868</v>
      </c>
      <c r="K523" s="25">
        <f t="shared" si="524"/>
        <v>20282.026119384056</v>
      </c>
      <c r="L523" s="25"/>
      <c r="N523" s="25">
        <f>'Combined Retirement'!$C$18/12</f>
        <v>39153.069999999992</v>
      </c>
      <c r="O523" s="25">
        <f t="shared" si="525"/>
        <v>11007.82546143035</v>
      </c>
      <c r="P523" s="25">
        <f t="shared" si="526"/>
        <v>28145.244538569641</v>
      </c>
      <c r="Q523" s="25">
        <f t="array" aca="1" ref="Q523" ca="1">INDEX('Isaac 401k'!L:L,MATCH('Retirement Calculator'!A523,'Isaac 401k'!N:N,0),0)</f>
        <v>347567.030227618</v>
      </c>
      <c r="R523" s="25">
        <f t="array" aca="1" ref="R523" ca="1">INDEX('Lorri 401b'!L:L,MATCH('Retirement Calculator'!A523,'Lorri 401b'!N:N,0),0)</f>
        <v>937256.12265083659</v>
      </c>
      <c r="S523" s="25">
        <f t="shared" ca="1" si="527"/>
        <v>1284823.1528784547</v>
      </c>
    </row>
    <row r="524" spans="1:19" ht="15.75" customHeight="1" x14ac:dyDescent="0.3">
      <c r="A524" s="37">
        <v>66901</v>
      </c>
      <c r="B524" s="409">
        <f t="shared" ref="B524:C524" si="530">($A524-B$9)/365.25</f>
        <v>101.28678986995209</v>
      </c>
      <c r="C524" s="409">
        <f t="shared" si="530"/>
        <v>96.676249144421632</v>
      </c>
      <c r="E524" s="25">
        <f>IF(C524&gt;$B$7,0,'Combined Retirement'!$D$13/12)</f>
        <v>0</v>
      </c>
      <c r="F524" s="25">
        <f>IF(H524=0,'Combined Retirement'!$D$32,0)+'Combined Retirement'!$B$24</f>
        <v>2870.372285649099</v>
      </c>
      <c r="G524" s="25">
        <f>'Combined Retirement'!$C$24</f>
        <v>3525.4531757812501</v>
      </c>
      <c r="H524" s="25">
        <f>IF(B524&lt;62,0,'Combined Retirement'!$I$14)</f>
        <v>2192</v>
      </c>
      <c r="I524" s="25">
        <f>IF(C524&lt;62,0,'Combined Retirement'!$I$13)</f>
        <v>2420</v>
      </c>
      <c r="J524" s="25">
        <f t="shared" si="523"/>
        <v>7863.2184191855868</v>
      </c>
      <c r="K524" s="25">
        <f t="shared" si="524"/>
        <v>20282.026119384056</v>
      </c>
      <c r="L524" s="25"/>
      <c r="N524" s="25">
        <f>'Combined Retirement'!$C$18/12</f>
        <v>39153.069999999992</v>
      </c>
      <c r="O524" s="25">
        <f t="shared" si="525"/>
        <v>11007.82546143035</v>
      </c>
      <c r="P524" s="25">
        <f t="shared" si="526"/>
        <v>28145.244538569641</v>
      </c>
      <c r="Q524" s="25">
        <f t="array" aca="1" ref="Q524" ca="1">INDEX('Isaac 401k'!L:L,MATCH('Retirement Calculator'!A524,'Isaac 401k'!N:N,0),0)</f>
        <v>341119.24435763422</v>
      </c>
      <c r="R524" s="25">
        <f t="array" aca="1" ref="R524" ca="1">INDEX('Lorri 401b'!L:L,MATCH('Retirement Calculator'!A524,'Lorri 401b'!N:N,0),0)</f>
        <v>920794.82193366683</v>
      </c>
      <c r="S524" s="25">
        <f t="shared" ca="1" si="527"/>
        <v>1261914.066291301</v>
      </c>
    </row>
    <row r="525" spans="1:19" ht="15.75" customHeight="1" x14ac:dyDescent="0.3">
      <c r="A525" s="37">
        <v>66932</v>
      </c>
      <c r="B525" s="409">
        <f t="shared" ref="B525:C525" si="531">($A525-B$9)/365.25</f>
        <v>101.37166324435319</v>
      </c>
      <c r="C525" s="409">
        <f t="shared" si="531"/>
        <v>96.761122518822731</v>
      </c>
      <c r="E525" s="25">
        <f>IF(C525&gt;$B$7,0,'Combined Retirement'!$D$13/12)</f>
        <v>0</v>
      </c>
      <c r="F525" s="25">
        <f>IF(H525=0,'Combined Retirement'!$D$32,0)+'Combined Retirement'!$B$24</f>
        <v>2870.372285649099</v>
      </c>
      <c r="G525" s="25">
        <f>'Combined Retirement'!$C$24</f>
        <v>3525.4531757812501</v>
      </c>
      <c r="H525" s="25">
        <f>IF(B525&lt;62,0,'Combined Retirement'!$I$14)</f>
        <v>2192</v>
      </c>
      <c r="I525" s="25">
        <f>IF(C525&lt;62,0,'Combined Retirement'!$I$13)</f>
        <v>2420</v>
      </c>
      <c r="J525" s="25">
        <f t="shared" si="523"/>
        <v>7863.2184191855868</v>
      </c>
      <c r="K525" s="25">
        <f t="shared" si="524"/>
        <v>20282.026119384056</v>
      </c>
      <c r="L525" s="25"/>
      <c r="N525" s="25">
        <f>'Combined Retirement'!$C$18/12</f>
        <v>39153.069999999992</v>
      </c>
      <c r="O525" s="25">
        <f t="shared" si="525"/>
        <v>11007.82546143035</v>
      </c>
      <c r="P525" s="25">
        <f t="shared" si="526"/>
        <v>28145.244538569641</v>
      </c>
      <c r="Q525" s="25">
        <f t="array" aca="1" ref="Q525" ca="1">INDEX('Isaac 401k'!L:L,MATCH('Retirement Calculator'!A525,'Isaac 401k'!N:N,0),0)</f>
        <v>334644.59271319216</v>
      </c>
      <c r="R525" s="25">
        <f t="array" aca="1" ref="R525" ca="1">INDEX('Lorri 401b'!L:L,MATCH('Retirement Calculator'!A525,'Lorri 401b'!N:N,0),0)</f>
        <v>904264.93246350891</v>
      </c>
      <c r="S525" s="25">
        <f t="shared" ca="1" si="527"/>
        <v>1238909.5251767011</v>
      </c>
    </row>
    <row r="526" spans="1:19" ht="15.75" customHeight="1" x14ac:dyDescent="0.3">
      <c r="A526" s="37">
        <v>66962</v>
      </c>
      <c r="B526" s="409">
        <f t="shared" ref="B526:C526" si="532">($A526-B$9)/365.25</f>
        <v>101.45379876796714</v>
      </c>
      <c r="C526" s="409">
        <f t="shared" si="532"/>
        <v>96.843258042436688</v>
      </c>
      <c r="E526" s="25">
        <f>IF(C526&gt;$B$7,0,'Combined Retirement'!$D$13/12)</f>
        <v>0</v>
      </c>
      <c r="F526" s="25">
        <f>IF(H526=0,'Combined Retirement'!$D$32,0)+'Combined Retirement'!$B$24</f>
        <v>2870.372285649099</v>
      </c>
      <c r="G526" s="25">
        <f>'Combined Retirement'!$C$24</f>
        <v>3525.4531757812501</v>
      </c>
      <c r="H526" s="25">
        <f>IF(B526&lt;62,0,'Combined Retirement'!$I$14)</f>
        <v>2192</v>
      </c>
      <c r="I526" s="25">
        <f>IF(C526&lt;62,0,'Combined Retirement'!$I$13)</f>
        <v>2420</v>
      </c>
      <c r="J526" s="25">
        <f t="shared" si="523"/>
        <v>7863.2184191855868</v>
      </c>
      <c r="K526" s="25">
        <f t="shared" si="524"/>
        <v>20282.026119384056</v>
      </c>
      <c r="L526" s="25"/>
      <c r="N526" s="25">
        <f>'Combined Retirement'!$C$18/12</f>
        <v>39153.069999999992</v>
      </c>
      <c r="O526" s="25">
        <f t="shared" si="525"/>
        <v>11007.82546143035</v>
      </c>
      <c r="P526" s="25">
        <f t="shared" si="526"/>
        <v>28145.244538569641</v>
      </c>
      <c r="Q526" s="25">
        <f t="array" aca="1" ref="Q526" ca="1">INDEX('Isaac 401k'!L:L,MATCH('Retirement Calculator'!A526,'Isaac 401k'!N:N,0),0)</f>
        <v>328142.9633535649</v>
      </c>
      <c r="R526" s="25">
        <f t="array" aca="1" ref="R526" ca="1">INDEX('Lorri 401b'!L:L,MATCH('Retirement Calculator'!A526,'Lorri 401b'!N:N,0),0)</f>
        <v>887666.16845389199</v>
      </c>
      <c r="S526" s="25">
        <f t="shared" ca="1" si="527"/>
        <v>1215809.131807457</v>
      </c>
    </row>
    <row r="527" spans="1:19" ht="15.75" customHeight="1" x14ac:dyDescent="0.3">
      <c r="A527" s="37">
        <v>66993</v>
      </c>
      <c r="B527" s="409">
        <f t="shared" ref="B527:C527" si="533">($A527-B$9)/365.25</f>
        <v>101.53867214236824</v>
      </c>
      <c r="C527" s="409">
        <f t="shared" si="533"/>
        <v>96.928131416837786</v>
      </c>
      <c r="E527" s="25">
        <f>IF(C527&gt;$B$7,0,'Combined Retirement'!$D$13/12)</f>
        <v>0</v>
      </c>
      <c r="F527" s="25">
        <f>IF(H527=0,'Combined Retirement'!$D$32,0)+'Combined Retirement'!$B$24</f>
        <v>2870.372285649099</v>
      </c>
      <c r="G527" s="25">
        <f>'Combined Retirement'!$C$24</f>
        <v>3525.4531757812501</v>
      </c>
      <c r="H527" s="25">
        <f>IF(B527&lt;62,0,'Combined Retirement'!$I$14)</f>
        <v>2192</v>
      </c>
      <c r="I527" s="25">
        <f>IF(C527&lt;62,0,'Combined Retirement'!$I$13)</f>
        <v>2420</v>
      </c>
      <c r="J527" s="25">
        <f t="shared" si="523"/>
        <v>7863.2184191855868</v>
      </c>
      <c r="K527" s="25">
        <f t="shared" si="524"/>
        <v>20282.026119384056</v>
      </c>
      <c r="L527" s="25"/>
      <c r="N527" s="25">
        <f>'Combined Retirement'!$C$18/12</f>
        <v>39153.069999999992</v>
      </c>
      <c r="O527" s="25">
        <f t="shared" si="525"/>
        <v>11007.82546143035</v>
      </c>
      <c r="P527" s="25">
        <f t="shared" si="526"/>
        <v>28145.244538569641</v>
      </c>
      <c r="Q527" s="25">
        <f t="array" aca="1" ref="Q527" ca="1">INDEX('Isaac 401k'!L:L,MATCH('Retirement Calculator'!A527,'Isaac 401k'!N:N,0),0)</f>
        <v>321614.2438716059</v>
      </c>
      <c r="R527" s="25">
        <f t="array" aca="1" ref="R527" ca="1">INDEX('Lorri 401b'!L:L,MATCH('Retirement Calculator'!A527,'Lorri 401b'!N:N,0),0)</f>
        <v>870998.24292756838</v>
      </c>
      <c r="S527" s="25">
        <f t="shared" ca="1" si="527"/>
        <v>1192612.4867991742</v>
      </c>
    </row>
    <row r="528" spans="1:19" ht="15.75" customHeight="1" x14ac:dyDescent="0.3">
      <c r="A528" s="37">
        <v>67023</v>
      </c>
      <c r="B528" s="409">
        <f t="shared" ref="B528:C528" si="534">($A528-B$9)/365.25</f>
        <v>101.6208076659822</v>
      </c>
      <c r="C528" s="409">
        <f t="shared" si="534"/>
        <v>97.010266940451743</v>
      </c>
      <c r="E528" s="25">
        <f>IF(C528&gt;$B$7,0,'Combined Retirement'!$D$13/12)</f>
        <v>0</v>
      </c>
      <c r="F528" s="25">
        <f>IF(H528=0,'Combined Retirement'!$D$32,0)+'Combined Retirement'!$B$24</f>
        <v>2870.372285649099</v>
      </c>
      <c r="G528" s="25">
        <f>'Combined Retirement'!$C$24</f>
        <v>3525.4531757812501</v>
      </c>
      <c r="H528" s="25">
        <f>IF(B528&lt;62,0,'Combined Retirement'!$I$14)</f>
        <v>2192</v>
      </c>
      <c r="I528" s="25">
        <f>IF(C528&lt;62,0,'Combined Retirement'!$I$13)</f>
        <v>2420</v>
      </c>
      <c r="J528" s="25">
        <f t="shared" si="523"/>
        <v>7863.2184191855868</v>
      </c>
      <c r="K528" s="25">
        <f t="shared" si="524"/>
        <v>20282.026119384056</v>
      </c>
      <c r="L528" s="25"/>
      <c r="N528" s="25">
        <f>'Combined Retirement'!$C$18/12</f>
        <v>39153.069999999992</v>
      </c>
      <c r="O528" s="25">
        <f t="shared" si="525"/>
        <v>11007.82546143035</v>
      </c>
      <c r="P528" s="25">
        <f t="shared" si="526"/>
        <v>28145.244538569641</v>
      </c>
      <c r="Q528" s="25">
        <f t="array" aca="1" ref="Q528" ca="1">INDEX('Isaac 401k'!L:L,MATCH('Retirement Calculator'!A528,'Isaac 401k'!N:N,0),0)</f>
        <v>315058.32139180537</v>
      </c>
      <c r="R528" s="25">
        <f t="array" aca="1" ref="R528" ca="1">INDEX('Lorri 401b'!L:L,MATCH('Retirement Calculator'!A528,'Lorri 401b'!N:N,0),0)</f>
        <v>854260.86771155172</v>
      </c>
      <c r="S528" s="25">
        <f t="shared" ca="1" si="527"/>
        <v>1169319.189103357</v>
      </c>
    </row>
    <row r="529" spans="1:19" ht="15.75" customHeight="1" x14ac:dyDescent="0.3">
      <c r="A529" s="37">
        <v>67054</v>
      </c>
      <c r="B529" s="409">
        <f t="shared" ref="B529:C529" si="535">($A529-B$9)/365.25</f>
        <v>101.7056810403833</v>
      </c>
      <c r="C529" s="409">
        <f t="shared" si="535"/>
        <v>97.095140314852841</v>
      </c>
      <c r="E529" s="25">
        <f>IF(C529&gt;$B$7,0,'Combined Retirement'!$D$13/12)</f>
        <v>0</v>
      </c>
      <c r="F529" s="25">
        <f>IF(H529=0,'Combined Retirement'!$D$32,0)+'Combined Retirement'!$B$24</f>
        <v>2870.372285649099</v>
      </c>
      <c r="G529" s="25">
        <f>'Combined Retirement'!$C$24</f>
        <v>3525.4531757812501</v>
      </c>
      <c r="H529" s="25">
        <f>IF(B529&lt;62,0,'Combined Retirement'!$I$14)</f>
        <v>2192</v>
      </c>
      <c r="I529" s="25">
        <f>IF(C529&lt;62,0,'Combined Retirement'!$I$13)</f>
        <v>2420</v>
      </c>
      <c r="J529" s="25">
        <f t="shared" si="523"/>
        <v>7863.2184191855868</v>
      </c>
      <c r="K529" s="25">
        <f t="shared" si="524"/>
        <v>20282.026119384056</v>
      </c>
      <c r="L529" s="25"/>
      <c r="N529" s="25">
        <f>'Combined Retirement'!$C$18/12</f>
        <v>39153.069999999992</v>
      </c>
      <c r="O529" s="25">
        <f t="shared" si="525"/>
        <v>11007.82546143035</v>
      </c>
      <c r="P529" s="25">
        <f t="shared" si="526"/>
        <v>28145.244538569641</v>
      </c>
      <c r="Q529" s="25">
        <f t="array" aca="1" ref="Q529" ca="1">INDEX('Isaac 401k'!L:L,MATCH('Retirement Calculator'!A529,'Isaac 401k'!N:N,0),0)</f>
        <v>308475.08256833901</v>
      </c>
      <c r="R529" s="25">
        <f t="array" aca="1" ref="R529" ca="1">INDEX('Lorri 401b'!L:L,MATCH('Retirement Calculator'!A529,'Lorri 401b'!N:N,0),0)</f>
        <v>837453.75343213498</v>
      </c>
      <c r="S529" s="25">
        <f t="shared" ca="1" si="527"/>
        <v>1145928.8360004739</v>
      </c>
    </row>
    <row r="530" spans="1:19" ht="15.75" customHeight="1" x14ac:dyDescent="0.3">
      <c r="A530" s="37">
        <v>67085</v>
      </c>
      <c r="B530" s="409">
        <f t="shared" ref="B530:C530" si="536">($A530-B$9)/365.25</f>
        <v>101.7905544147844</v>
      </c>
      <c r="C530" s="409">
        <f t="shared" si="536"/>
        <v>97.18001368925394</v>
      </c>
      <c r="E530" s="25">
        <f>IF(C530&gt;$B$7,0,'Combined Retirement'!$D$13/12)</f>
        <v>0</v>
      </c>
      <c r="F530" s="25">
        <f>IF(H530=0,'Combined Retirement'!$D$32,0)+'Combined Retirement'!$B$24</f>
        <v>2870.372285649099</v>
      </c>
      <c r="G530" s="25">
        <f>'Combined Retirement'!$C$24</f>
        <v>3525.4531757812501</v>
      </c>
      <c r="H530" s="25">
        <f>IF(B530&lt;62,0,'Combined Retirement'!$I$14)</f>
        <v>2192</v>
      </c>
      <c r="I530" s="25">
        <f>IF(C530&lt;62,0,'Combined Retirement'!$I$13)</f>
        <v>2420</v>
      </c>
      <c r="J530" s="25">
        <f t="shared" si="523"/>
        <v>7863.2184191855868</v>
      </c>
      <c r="K530" s="25">
        <f t="shared" si="524"/>
        <v>20282.026119384056</v>
      </c>
      <c r="L530" s="25"/>
      <c r="N530" s="25">
        <f>'Combined Retirement'!$C$18/12</f>
        <v>39153.069999999992</v>
      </c>
      <c r="O530" s="25">
        <f t="shared" si="525"/>
        <v>11007.82546143035</v>
      </c>
      <c r="P530" s="25">
        <f t="shared" si="526"/>
        <v>28145.244538569641</v>
      </c>
      <c r="Q530" s="25">
        <f t="array" aca="1" ref="Q530" ca="1">INDEX('Isaac 401k'!L:L,MATCH('Retirement Calculator'!A530,'Isaac 401k'!N:N,0),0)</f>
        <v>301864.41358310822</v>
      </c>
      <c r="R530" s="25">
        <f t="array" aca="1" ref="R530" ca="1">INDEX('Lorri 401b'!L:L,MATCH('Retirement Calculator'!A530,'Lorri 401b'!N:N,0),0)</f>
        <v>820576.60950988729</v>
      </c>
      <c r="S530" s="25">
        <f t="shared" ca="1" si="527"/>
        <v>1122441.0230929954</v>
      </c>
    </row>
    <row r="531" spans="1:19" ht="15.75" customHeight="1" x14ac:dyDescent="0.3">
      <c r="A531" s="37">
        <v>67115</v>
      </c>
      <c r="B531" s="409">
        <f t="shared" ref="B531:C531" si="537">($A531-B$9)/365.25</f>
        <v>101.87268993839835</v>
      </c>
      <c r="C531" s="409">
        <f t="shared" si="537"/>
        <v>97.262149212867897</v>
      </c>
      <c r="E531" s="25">
        <f>IF(C531&gt;$B$7,0,'Combined Retirement'!$D$13/12)</f>
        <v>0</v>
      </c>
      <c r="F531" s="25">
        <f>IF(H531=0,'Combined Retirement'!$D$32,0)+'Combined Retirement'!$B$24</f>
        <v>2870.372285649099</v>
      </c>
      <c r="G531" s="25">
        <f>'Combined Retirement'!$C$24</f>
        <v>3525.4531757812501</v>
      </c>
      <c r="H531" s="25">
        <f>IF(B531&lt;62,0,'Combined Retirement'!$I$14)</f>
        <v>2192</v>
      </c>
      <c r="I531" s="25">
        <f>IF(C531&lt;62,0,'Combined Retirement'!$I$13)</f>
        <v>2420</v>
      </c>
      <c r="J531" s="25">
        <f t="shared" si="523"/>
        <v>7863.2184191855868</v>
      </c>
      <c r="K531" s="25">
        <f t="shared" si="524"/>
        <v>20282.026119384056</v>
      </c>
      <c r="L531" s="25"/>
      <c r="N531" s="25">
        <f>'Combined Retirement'!$C$18/12</f>
        <v>39153.069999999992</v>
      </c>
      <c r="O531" s="25">
        <f t="shared" si="525"/>
        <v>11007.82546143035</v>
      </c>
      <c r="P531" s="25">
        <f t="shared" si="526"/>
        <v>28145.244538569641</v>
      </c>
      <c r="Q531" s="25">
        <f t="array" aca="1" ref="Q531" ca="1">INDEX('Isaac 401k'!L:L,MATCH('Retirement Calculator'!A531,'Isaac 401k'!N:N,0),0)</f>
        <v>295226.20014377229</v>
      </c>
      <c r="R531" s="25">
        <f t="array" aca="1" ref="R531" ca="1">INDEX('Lorri 401b'!L:L,MATCH('Retirement Calculator'!A531,'Lorri 401b'!N:N,0),0)</f>
        <v>803629.14415463025</v>
      </c>
      <c r="S531" s="25">
        <f t="shared" ca="1" si="527"/>
        <v>1098855.3442984025</v>
      </c>
    </row>
    <row r="532" spans="1:19" ht="15.75" customHeight="1" x14ac:dyDescent="0.3">
      <c r="A532" s="37">
        <v>67146</v>
      </c>
      <c r="B532" s="409">
        <f t="shared" ref="B532:C532" si="538">($A532-B$9)/365.25</f>
        <v>101.95756331279945</v>
      </c>
      <c r="C532" s="409">
        <f t="shared" si="538"/>
        <v>97.347022587268995</v>
      </c>
      <c r="E532" s="25">
        <f>IF(C532&gt;$B$7,0,'Combined Retirement'!$D$13/12)</f>
        <v>0</v>
      </c>
      <c r="F532" s="25">
        <f>IF(H532=0,'Combined Retirement'!$D$32,0)+'Combined Retirement'!$B$24</f>
        <v>2870.372285649099</v>
      </c>
      <c r="G532" s="25">
        <f>'Combined Retirement'!$C$24</f>
        <v>3525.4531757812501</v>
      </c>
      <c r="H532" s="25">
        <f>IF(B532&lt;62,0,'Combined Retirement'!$I$14)</f>
        <v>2192</v>
      </c>
      <c r="I532" s="25">
        <f>IF(C532&lt;62,0,'Combined Retirement'!$I$13)</f>
        <v>2420</v>
      </c>
      <c r="J532" s="25">
        <f t="shared" si="523"/>
        <v>7863.2184191855868</v>
      </c>
      <c r="K532" s="25">
        <f t="shared" si="524"/>
        <v>20282.026119384056</v>
      </c>
      <c r="L532" s="25"/>
      <c r="N532" s="25">
        <f>'Combined Retirement'!$C$18/12</f>
        <v>39153.069999999992</v>
      </c>
      <c r="O532" s="25">
        <f t="shared" si="525"/>
        <v>11007.82546143035</v>
      </c>
      <c r="P532" s="25">
        <f t="shared" si="526"/>
        <v>28145.244538569641</v>
      </c>
      <c r="Q532" s="25">
        <f t="array" aca="1" ref="Q532" ca="1">INDEX('Isaac 401k'!L:L,MATCH('Retirement Calculator'!A532,'Isaac 401k'!N:N,0),0)</f>
        <v>288560.32748177246</v>
      </c>
      <c r="R532" s="25">
        <f t="array" aca="1" ref="R532" ca="1">INDEX('Lorri 401b'!L:L,MATCH('Retirement Calculator'!A532,'Lorri 401b'!N:N,0),0)</f>
        <v>786611.06436039298</v>
      </c>
      <c r="S532" s="25">
        <f t="shared" ca="1" si="527"/>
        <v>1075171.3918421655</v>
      </c>
    </row>
    <row r="533" spans="1:19" ht="15.75" customHeight="1" x14ac:dyDescent="0.3">
      <c r="A533" s="37">
        <v>67176</v>
      </c>
      <c r="B533" s="409">
        <f t="shared" ref="B533:C533" si="539">($A533-B$9)/365.25</f>
        <v>102.03969883641342</v>
      </c>
      <c r="C533" s="409">
        <f t="shared" si="539"/>
        <v>97.429158110882952</v>
      </c>
      <c r="E533" s="25">
        <f>IF(C533&gt;$B$7,0,'Combined Retirement'!$D$13/12)</f>
        <v>0</v>
      </c>
      <c r="F533" s="25">
        <f>IF(H533=0,'Combined Retirement'!$D$32,0)+'Combined Retirement'!$B$24</f>
        <v>2870.372285649099</v>
      </c>
      <c r="G533" s="25">
        <f>'Combined Retirement'!$C$24</f>
        <v>3525.4531757812501</v>
      </c>
      <c r="H533" s="25">
        <f>IF(B533&lt;62,0,'Combined Retirement'!$I$14)</f>
        <v>2192</v>
      </c>
      <c r="I533" s="25">
        <f>IF(C533&lt;62,0,'Combined Retirement'!$I$13)</f>
        <v>2420</v>
      </c>
      <c r="J533" s="25">
        <f t="shared" si="523"/>
        <v>7863.2184191855868</v>
      </c>
      <c r="K533" s="25">
        <f t="shared" si="524"/>
        <v>20282.026119384056</v>
      </c>
      <c r="L533" s="25"/>
      <c r="N533" s="25">
        <f>'Combined Retirement'!$C$18/12</f>
        <v>39153.069999999992</v>
      </c>
      <c r="O533" s="25">
        <f t="shared" si="525"/>
        <v>11007.82546143035</v>
      </c>
      <c r="P533" s="25">
        <f t="shared" si="526"/>
        <v>28145.244538569641</v>
      </c>
      <c r="Q533" s="25">
        <f t="array" aca="1" ref="Q533" ca="1">INDEX('Isaac 401k'!L:L,MATCH('Retirement Calculator'!A533,'Isaac 401k'!N:N,0),0)</f>
        <v>281866.68035034765</v>
      </c>
      <c r="R533" s="25">
        <f t="array" aca="1" ref="R533" ca="1">INDEX('Lorri 401b'!L:L,MATCH('Retirement Calculator'!A533,'Lorri 401b'!N:N,0),0)</f>
        <v>769522.07590034639</v>
      </c>
      <c r="S533" s="25">
        <f t="shared" ca="1" si="527"/>
        <v>1051388.7562506939</v>
      </c>
    </row>
    <row r="534" spans="1:19" ht="15.75" customHeight="1" x14ac:dyDescent="0.3">
      <c r="A534" s="37">
        <v>67207</v>
      </c>
      <c r="B534" s="409">
        <f t="shared" ref="B534:C534" si="540">($A534-B$9)/365.25</f>
        <v>102.12457221081451</v>
      </c>
      <c r="C534" s="409">
        <f t="shared" si="540"/>
        <v>97.51403148528405</v>
      </c>
      <c r="E534" s="25">
        <f>IF(C534&gt;$B$7,0,'Combined Retirement'!$D$13/12)</f>
        <v>0</v>
      </c>
      <c r="F534" s="25">
        <f>IF(H534=0,'Combined Retirement'!$D$32,0)+'Combined Retirement'!$B$24</f>
        <v>2870.372285649099</v>
      </c>
      <c r="G534" s="25">
        <f>'Combined Retirement'!$C$24</f>
        <v>3525.4531757812501</v>
      </c>
      <c r="H534" s="25">
        <f>IF(B534&lt;62,0,'Combined Retirement'!$I$14)</f>
        <v>2192</v>
      </c>
      <c r="I534" s="25">
        <f>IF(C534&lt;62,0,'Combined Retirement'!$I$13)</f>
        <v>2420</v>
      </c>
      <c r="J534" s="25">
        <f t="shared" si="523"/>
        <v>7863.2184191855868</v>
      </c>
      <c r="K534" s="25">
        <f t="shared" si="524"/>
        <v>20282.026119384056</v>
      </c>
      <c r="L534" s="25"/>
      <c r="N534" s="25">
        <f>'Combined Retirement'!$C$18/12</f>
        <v>39153.069999999992</v>
      </c>
      <c r="O534" s="25">
        <f t="shared" si="525"/>
        <v>11007.82546143035</v>
      </c>
      <c r="P534" s="25">
        <f t="shared" si="526"/>
        <v>28145.244538569641</v>
      </c>
      <c r="Q534" s="25">
        <f t="array" aca="1" ref="Q534" ca="1">INDEX('Isaac 401k'!L:L,MATCH('Retirement Calculator'!A534,'Isaac 401k'!N:N,0),0)</f>
        <v>275145.14302254189</v>
      </c>
      <c r="R534" s="25">
        <f t="array" aca="1" ref="R534" ca="1">INDEX('Lorri 401b'!L:L,MATCH('Retirement Calculator'!A534,'Lorri 401b'!N:N,0),0)</f>
        <v>752361.88332171633</v>
      </c>
      <c r="S534" s="25">
        <f t="shared" ca="1" si="527"/>
        <v>1027507.0263442582</v>
      </c>
    </row>
    <row r="535" spans="1:19" ht="15.75" customHeight="1" x14ac:dyDescent="0.3">
      <c r="A535" s="37">
        <v>67238</v>
      </c>
      <c r="B535" s="409">
        <f t="shared" ref="B535:C535" si="541">($A535-B$9)/365.25</f>
        <v>102.2094455852156</v>
      </c>
      <c r="C535" s="409">
        <f t="shared" si="541"/>
        <v>97.598904859685149</v>
      </c>
      <c r="E535" s="25">
        <f>IF(C535&gt;$B$7,0,'Combined Retirement'!$D$13/12)</f>
        <v>0</v>
      </c>
      <c r="F535" s="25">
        <f>IF(H535=0,'Combined Retirement'!$D$32,0)+'Combined Retirement'!$B$24</f>
        <v>2870.372285649099</v>
      </c>
      <c r="G535" s="25">
        <f>'Combined Retirement'!$C$24</f>
        <v>3525.4531757812501</v>
      </c>
      <c r="H535" s="25">
        <f>IF(B535&lt;62,0,'Combined Retirement'!$I$14)</f>
        <v>2192</v>
      </c>
      <c r="I535" s="25">
        <f>IF(C535&lt;62,0,'Combined Retirement'!$I$13)</f>
        <v>2420</v>
      </c>
      <c r="J535" s="25">
        <f t="shared" si="523"/>
        <v>7863.2184191855868</v>
      </c>
      <c r="K535" s="25">
        <f t="shared" si="524"/>
        <v>20282.026119384056</v>
      </c>
      <c r="L535" s="25"/>
      <c r="N535" s="25">
        <f>'Combined Retirement'!$C$18/12</f>
        <v>39153.069999999992</v>
      </c>
      <c r="O535" s="25">
        <f t="shared" si="525"/>
        <v>11007.82546143035</v>
      </c>
      <c r="P535" s="25">
        <f t="shared" si="526"/>
        <v>28145.244538569641</v>
      </c>
      <c r="Q535" s="25">
        <f t="array" aca="1" ref="Q535" ca="1">INDEX('Isaac 401k'!L:L,MATCH('Retirement Calculator'!A535,'Isaac 401k'!N:N,0),0)</f>
        <v>268395.59928920359</v>
      </c>
      <c r="R535" s="25">
        <f t="array" aca="1" ref="R535" ca="1">INDEX('Lorri 401b'!L:L,MATCH('Retirement Calculator'!A535,'Lorri 401b'!N:N,0),0)</f>
        <v>735130.18994067528</v>
      </c>
      <c r="S535" s="25">
        <f t="shared" ca="1" si="527"/>
        <v>1003525.7892298789</v>
      </c>
    </row>
    <row r="536" spans="1:19" ht="15.75" customHeight="1" x14ac:dyDescent="0.3">
      <c r="A536" s="37">
        <v>67267</v>
      </c>
      <c r="B536" s="409">
        <f t="shared" ref="B536:C536" si="542">($A536-B$9)/365.25</f>
        <v>102.28884325804243</v>
      </c>
      <c r="C536" s="409">
        <f t="shared" si="542"/>
        <v>97.678302532511978</v>
      </c>
      <c r="E536" s="25">
        <f>IF(C536&gt;$B$7,0,'Combined Retirement'!$D$13/12)</f>
        <v>0</v>
      </c>
      <c r="F536" s="25">
        <f>IF(H536=0,'Combined Retirement'!$D$32,0)+'Combined Retirement'!$B$24</f>
        <v>2870.372285649099</v>
      </c>
      <c r="G536" s="25">
        <f>'Combined Retirement'!$C$24</f>
        <v>3525.4531757812501</v>
      </c>
      <c r="H536" s="25">
        <f>IF(B536&lt;62,0,'Combined Retirement'!$I$14)</f>
        <v>2192</v>
      </c>
      <c r="I536" s="25">
        <f>IF(C536&lt;62,0,'Combined Retirement'!$I$13)</f>
        <v>2420</v>
      </c>
      <c r="J536" s="25">
        <f t="shared" si="523"/>
        <v>7863.2184191855868</v>
      </c>
      <c r="K536" s="25">
        <f t="shared" si="524"/>
        <v>20282.026119384056</v>
      </c>
      <c r="L536" s="25"/>
      <c r="N536" s="25">
        <f>'Combined Retirement'!$C$18/12</f>
        <v>39153.069999999992</v>
      </c>
      <c r="O536" s="25">
        <f t="shared" si="525"/>
        <v>11007.82546143035</v>
      </c>
      <c r="P536" s="25">
        <f t="shared" si="526"/>
        <v>28145.244538569641</v>
      </c>
      <c r="Q536" s="25">
        <f t="array" aca="1" ref="Q536" ca="1">INDEX('Isaac 401k'!L:L,MATCH('Retirement Calculator'!A536,'Isaac 401k'!N:N,0),0)</f>
        <v>261617.93245697641</v>
      </c>
      <c r="R536" s="25">
        <f t="array" aca="1" ref="R536" ca="1">INDEX('Lorri 401b'!L:L,MATCH('Retirement Calculator'!A536,'Lorri 401b'!N:N,0),0)</f>
        <v>717826.69783721317</v>
      </c>
      <c r="S536" s="25">
        <f t="shared" ca="1" si="527"/>
        <v>979444.63029418956</v>
      </c>
    </row>
    <row r="537" spans="1:19" ht="15.75" customHeight="1" x14ac:dyDescent="0.3">
      <c r="A537" s="37">
        <v>67298</v>
      </c>
      <c r="B537" s="409">
        <f t="shared" ref="B537:C537" si="543">($A537-B$9)/365.25</f>
        <v>102.37371663244353</v>
      </c>
      <c r="C537" s="409">
        <f t="shared" si="543"/>
        <v>97.763175906913077</v>
      </c>
      <c r="E537" s="25">
        <f>IF(C537&gt;$B$7,0,'Combined Retirement'!$D$13/12)</f>
        <v>0</v>
      </c>
      <c r="F537" s="25">
        <f>IF(H537=0,'Combined Retirement'!$D$32,0)+'Combined Retirement'!$B$24</f>
        <v>2870.372285649099</v>
      </c>
      <c r="G537" s="25">
        <f>'Combined Retirement'!$C$24</f>
        <v>3525.4531757812501</v>
      </c>
      <c r="H537" s="25">
        <f>IF(B537&lt;62,0,'Combined Retirement'!$I$14)</f>
        <v>2192</v>
      </c>
      <c r="I537" s="25">
        <f>IF(C537&lt;62,0,'Combined Retirement'!$I$13)</f>
        <v>2420</v>
      </c>
      <c r="J537" s="25">
        <f t="shared" si="523"/>
        <v>7863.2184191855868</v>
      </c>
      <c r="K537" s="25">
        <f t="shared" si="524"/>
        <v>20282.026119384056</v>
      </c>
      <c r="L537" s="25"/>
      <c r="N537" s="25">
        <f>'Combined Retirement'!$C$18/12</f>
        <v>39153.069999999992</v>
      </c>
      <c r="O537" s="25">
        <f t="shared" si="525"/>
        <v>11007.82546143035</v>
      </c>
      <c r="P537" s="25">
        <f t="shared" si="526"/>
        <v>28145.244538569641</v>
      </c>
      <c r="Q537" s="25">
        <f t="array" aca="1" ref="Q537" ca="1">INDEX('Isaac 401k'!L:L,MATCH('Retirement Calculator'!A537,'Isaac 401k'!N:N,0),0)</f>
        <v>254812.02534628162</v>
      </c>
      <c r="R537" s="25">
        <f t="array" aca="1" ref="R537" ca="1">INDEX('Lorri 401b'!L:L,MATCH('Retirement Calculator'!A537,'Lorri 401b'!N:N,0),0)</f>
        <v>700451.10784998664</v>
      </c>
      <c r="S537" s="25">
        <f t="shared" ca="1" si="527"/>
        <v>955263.13319626823</v>
      </c>
    </row>
    <row r="538" spans="1:19" ht="15.75" customHeight="1" x14ac:dyDescent="0.3">
      <c r="A538" s="37">
        <v>67328</v>
      </c>
      <c r="B538" s="409">
        <f t="shared" ref="B538:C538" si="544">($A538-B$9)/365.25</f>
        <v>102.45585215605749</v>
      </c>
      <c r="C538" s="409">
        <f t="shared" si="544"/>
        <v>97.845311430527033</v>
      </c>
      <c r="E538" s="25">
        <f>IF(C538&gt;$B$7,0,'Combined Retirement'!$D$13/12)</f>
        <v>0</v>
      </c>
      <c r="F538" s="25">
        <f>IF(H538=0,'Combined Retirement'!$D$32,0)+'Combined Retirement'!$B$24</f>
        <v>2870.372285649099</v>
      </c>
      <c r="G538" s="25">
        <f>'Combined Retirement'!$C$24</f>
        <v>3525.4531757812501</v>
      </c>
      <c r="H538" s="25">
        <f>IF(B538&lt;62,0,'Combined Retirement'!$I$14)</f>
        <v>2192</v>
      </c>
      <c r="I538" s="25">
        <f>IF(C538&lt;62,0,'Combined Retirement'!$I$13)</f>
        <v>2420</v>
      </c>
      <c r="J538" s="25">
        <f t="shared" si="523"/>
        <v>7863.2184191855868</v>
      </c>
      <c r="K538" s="25">
        <f t="shared" si="524"/>
        <v>20282.026119384056</v>
      </c>
      <c r="L538" s="25"/>
      <c r="N538" s="25">
        <f>'Combined Retirement'!$C$18/12</f>
        <v>39153.069999999992</v>
      </c>
      <c r="O538" s="25">
        <f t="shared" si="525"/>
        <v>11007.82546143035</v>
      </c>
      <c r="P538" s="25">
        <f t="shared" si="526"/>
        <v>28145.244538569641</v>
      </c>
      <c r="Q538" s="25">
        <f t="array" aca="1" ref="Q538" ca="1">INDEX('Isaac 401k'!L:L,MATCH('Retirement Calculator'!A538,'Isaac 401k'!N:N,0),0)</f>
        <v>247977.76028929229</v>
      </c>
      <c r="R538" s="25">
        <f t="array" aca="1" ref="R538" ca="1">INDEX('Lorri 401b'!L:L,MATCH('Retirement Calculator'!A538,'Lorri 401b'!N:N,0),0)</f>
        <v>683003.11957114667</v>
      </c>
      <c r="S538" s="25">
        <f t="shared" ca="1" si="527"/>
        <v>930980.87986043899</v>
      </c>
    </row>
    <row r="539" spans="1:19" ht="15.75" customHeight="1" x14ac:dyDescent="0.3">
      <c r="A539" s="37">
        <v>67359</v>
      </c>
      <c r="B539" s="409">
        <f t="shared" ref="B539:C539" si="545">($A539-B$9)/365.25</f>
        <v>102.54072553045859</v>
      </c>
      <c r="C539" s="409">
        <f t="shared" si="545"/>
        <v>97.930184804928132</v>
      </c>
      <c r="E539" s="25">
        <f>IF(C539&gt;$B$7,0,'Combined Retirement'!$D$13/12)</f>
        <v>0</v>
      </c>
      <c r="F539" s="25">
        <f>IF(H539=0,'Combined Retirement'!$D$32,0)+'Combined Retirement'!$B$24</f>
        <v>2870.372285649099</v>
      </c>
      <c r="G539" s="25">
        <f>'Combined Retirement'!$C$24</f>
        <v>3525.4531757812501</v>
      </c>
      <c r="H539" s="25">
        <f>IF(B539&lt;62,0,'Combined Retirement'!$I$14)</f>
        <v>2192</v>
      </c>
      <c r="I539" s="25">
        <f>IF(C539&lt;62,0,'Combined Retirement'!$I$13)</f>
        <v>2420</v>
      </c>
      <c r="J539" s="25">
        <f t="shared" si="523"/>
        <v>7863.2184191855868</v>
      </c>
      <c r="K539" s="25">
        <f t="shared" si="524"/>
        <v>20282.026119384056</v>
      </c>
      <c r="L539" s="25"/>
      <c r="N539" s="25">
        <f>'Combined Retirement'!$C$18/12</f>
        <v>39153.069999999992</v>
      </c>
      <c r="O539" s="25">
        <f t="shared" si="525"/>
        <v>11007.82546143035</v>
      </c>
      <c r="P539" s="25">
        <f t="shared" si="526"/>
        <v>28145.244538569641</v>
      </c>
      <c r="Q539" s="25">
        <f t="array" aca="1" ref="Q539" ca="1">INDEX('Isaac 401k'!L:L,MATCH('Retirement Calculator'!A539,'Isaac 401k'!N:N,0),0)</f>
        <v>241115.01912789882</v>
      </c>
      <c r="R539" s="25">
        <f t="array" aca="1" ref="R539" ca="1">INDEX('Lorri 401b'!L:L,MATCH('Retirement Calculator'!A539,'Lorri 401b'!N:N,0),0)</f>
        <v>665482.43134114495</v>
      </c>
      <c r="S539" s="25">
        <f t="shared" ca="1" si="527"/>
        <v>906597.4504690438</v>
      </c>
    </row>
    <row r="540" spans="1:19" ht="15.75" customHeight="1" x14ac:dyDescent="0.3">
      <c r="A540" s="37">
        <v>67389</v>
      </c>
      <c r="B540" s="409">
        <f t="shared" ref="B540:C540" si="546">($A540-B$9)/365.25</f>
        <v>102.62286105407256</v>
      </c>
      <c r="C540" s="409">
        <f t="shared" si="546"/>
        <v>98.012320328542089</v>
      </c>
      <c r="E540" s="25">
        <f>IF(C540&gt;$B$7,0,'Combined Retirement'!$D$13/12)</f>
        <v>0</v>
      </c>
      <c r="F540" s="25">
        <f>IF(H540=0,'Combined Retirement'!$D$32,0)+'Combined Retirement'!$B$24</f>
        <v>2870.372285649099</v>
      </c>
      <c r="G540" s="25">
        <f>'Combined Retirement'!$C$24</f>
        <v>3525.4531757812501</v>
      </c>
      <c r="H540" s="25">
        <f>IF(B540&lt;62,0,'Combined Retirement'!$I$14)</f>
        <v>2192</v>
      </c>
      <c r="I540" s="25">
        <f>IF(C540&lt;62,0,'Combined Retirement'!$I$13)</f>
        <v>2420</v>
      </c>
      <c r="J540" s="25">
        <f t="shared" si="523"/>
        <v>7863.2184191855868</v>
      </c>
      <c r="K540" s="25">
        <f t="shared" si="524"/>
        <v>20282.026119384056</v>
      </c>
      <c r="L540" s="25"/>
      <c r="N540" s="25">
        <f>'Combined Retirement'!$C$18/12</f>
        <v>39153.069999999992</v>
      </c>
      <c r="O540" s="25">
        <f t="shared" si="525"/>
        <v>11007.82546143035</v>
      </c>
      <c r="P540" s="25">
        <f t="shared" si="526"/>
        <v>28145.244538569641</v>
      </c>
      <c r="Q540" s="25">
        <f t="array" aca="1" ref="Q540" ca="1">INDEX('Isaac 401k'!L:L,MATCH('Retirement Calculator'!A540,'Isaac 401k'!N:N,0),0)</f>
        <v>234223.68321166621</v>
      </c>
      <c r="R540" s="25">
        <f t="array" aca="1" ref="R540" ca="1">INDEX('Lorri 401b'!L:L,MATCH('Retirement Calculator'!A540,'Lorri 401b'!N:N,0),0)</f>
        <v>647888.74024351814</v>
      </c>
      <c r="S540" s="25">
        <f t="shared" ca="1" si="527"/>
        <v>882112.42345518433</v>
      </c>
    </row>
    <row r="541" spans="1:19" ht="15.75" customHeight="1" x14ac:dyDescent="0.3">
      <c r="A541" s="37">
        <v>67420</v>
      </c>
      <c r="B541" s="409">
        <f t="shared" ref="B541:C541" si="547">($A541-B$9)/365.25</f>
        <v>102.70773442847364</v>
      </c>
      <c r="C541" s="409">
        <f t="shared" si="547"/>
        <v>98.097193702943187</v>
      </c>
      <c r="E541" s="25">
        <f>IF(C541&gt;$B$7,0,'Combined Retirement'!$D$13/12)</f>
        <v>0</v>
      </c>
      <c r="F541" s="25">
        <f>IF(H541=0,'Combined Retirement'!$D$32,0)+'Combined Retirement'!$B$24</f>
        <v>2870.372285649099</v>
      </c>
      <c r="G541" s="25">
        <f>'Combined Retirement'!$C$24</f>
        <v>3525.4531757812501</v>
      </c>
      <c r="H541" s="25">
        <f>IF(B541&lt;62,0,'Combined Retirement'!$I$14)</f>
        <v>2192</v>
      </c>
      <c r="I541" s="25">
        <f>IF(C541&lt;62,0,'Combined Retirement'!$I$13)</f>
        <v>2420</v>
      </c>
      <c r="J541" s="25">
        <f t="shared" si="523"/>
        <v>7863.2184191855868</v>
      </c>
      <c r="K541" s="25">
        <f t="shared" si="524"/>
        <v>20282.026119384056</v>
      </c>
      <c r="L541" s="25"/>
      <c r="N541" s="25">
        <f>'Combined Retirement'!$C$18/12</f>
        <v>39153.069999999992</v>
      </c>
      <c r="O541" s="25">
        <f t="shared" si="525"/>
        <v>11007.82546143035</v>
      </c>
      <c r="P541" s="25">
        <f t="shared" si="526"/>
        <v>28145.244538569641</v>
      </c>
      <c r="Q541" s="25">
        <f t="array" aca="1" ref="Q541" ca="1">INDEX('Isaac 401k'!L:L,MATCH('Retirement Calculator'!A541,'Isaac 401k'!N:N,0),0)</f>
        <v>227303.63339578264</v>
      </c>
      <c r="R541" s="25">
        <f t="array" aca="1" ref="R541" ca="1">INDEX('Lorri 401b'!L:L,MATCH('Retirement Calculator'!A541,'Lorri 401b'!N:N,0),0)</f>
        <v>630221.74209965125</v>
      </c>
      <c r="S541" s="25">
        <f t="shared" ca="1" si="527"/>
        <v>857525.37549543392</v>
      </c>
    </row>
    <row r="542" spans="1:19" ht="15.75" customHeight="1" x14ac:dyDescent="0.3">
      <c r="A542" s="37">
        <v>67451</v>
      </c>
      <c r="B542" s="409">
        <f t="shared" ref="B542:C542" si="548">($A542-B$9)/365.25</f>
        <v>102.79260780287474</v>
      </c>
      <c r="C542" s="409">
        <f t="shared" si="548"/>
        <v>98.182067077344286</v>
      </c>
      <c r="E542" s="25">
        <f>IF(C542&gt;$B$7,0,'Combined Retirement'!$D$13/12)</f>
        <v>0</v>
      </c>
      <c r="F542" s="25">
        <f>IF(H542=0,'Combined Retirement'!$D$32,0)+'Combined Retirement'!$B$24</f>
        <v>2870.372285649099</v>
      </c>
      <c r="G542" s="25">
        <f>'Combined Retirement'!$C$24</f>
        <v>3525.4531757812501</v>
      </c>
      <c r="H542" s="25">
        <f>IF(B542&lt;62,0,'Combined Retirement'!$I$14)</f>
        <v>2192</v>
      </c>
      <c r="I542" s="25">
        <f>IF(C542&lt;62,0,'Combined Retirement'!$I$13)</f>
        <v>2420</v>
      </c>
      <c r="J542" s="25">
        <f t="shared" si="523"/>
        <v>7863.2184191855868</v>
      </c>
      <c r="K542" s="25">
        <f t="shared" si="524"/>
        <v>20282.026119384056</v>
      </c>
      <c r="L542" s="25"/>
      <c r="N542" s="25">
        <f>'Combined Retirement'!$C$18/12</f>
        <v>39153.069999999992</v>
      </c>
      <c r="O542" s="25">
        <f t="shared" si="525"/>
        <v>11007.82546143035</v>
      </c>
      <c r="P542" s="25">
        <f t="shared" si="526"/>
        <v>28145.244538569641</v>
      </c>
      <c r="Q542" s="25">
        <f t="array" aca="1" ref="Q542" ca="1">INDEX('Isaac 401k'!L:L,MATCH('Retirement Calculator'!A542,'Isaac 401k'!N:N,0),0)</f>
        <v>220354.75003899954</v>
      </c>
      <c r="R542" s="25">
        <f t="array" aca="1" ref="R542" ca="1">INDEX('Lorri 401b'!L:L,MATCH('Retirement Calculator'!A542,'Lorri 401b'!N:N,0),0)</f>
        <v>612481.13146351825</v>
      </c>
      <c r="S542" s="25">
        <f t="shared" ca="1" si="527"/>
        <v>832835.88150251773</v>
      </c>
    </row>
    <row r="543" spans="1:19" ht="15.75" customHeight="1" x14ac:dyDescent="0.3">
      <c r="A543" s="37">
        <v>67481</v>
      </c>
      <c r="B543" s="409">
        <f t="shared" ref="B543:C543" si="549">($A543-B$9)/365.25</f>
        <v>102.87474332648871</v>
      </c>
      <c r="C543" s="409">
        <f t="shared" si="549"/>
        <v>98.264202600958242</v>
      </c>
      <c r="E543" s="25">
        <f>IF(C543&gt;$B$7,0,'Combined Retirement'!$D$13/12)</f>
        <v>0</v>
      </c>
      <c r="F543" s="25">
        <f>IF(H543=0,'Combined Retirement'!$D$32,0)+'Combined Retirement'!$B$24</f>
        <v>2870.372285649099</v>
      </c>
      <c r="G543" s="25">
        <f>'Combined Retirement'!$C$24</f>
        <v>3525.4531757812501</v>
      </c>
      <c r="H543" s="25">
        <f>IF(B543&lt;62,0,'Combined Retirement'!$I$14)</f>
        <v>2192</v>
      </c>
      <c r="I543" s="25">
        <f>IF(C543&lt;62,0,'Combined Retirement'!$I$13)</f>
        <v>2420</v>
      </c>
      <c r="J543" s="25">
        <f t="shared" si="523"/>
        <v>7863.2184191855868</v>
      </c>
      <c r="K543" s="25">
        <f t="shared" si="524"/>
        <v>20282.026119384056</v>
      </c>
      <c r="L543" s="25"/>
      <c r="N543" s="25">
        <f>'Combined Retirement'!$C$18/12</f>
        <v>39153.069999999992</v>
      </c>
      <c r="O543" s="25">
        <f t="shared" si="525"/>
        <v>11007.82546143035</v>
      </c>
      <c r="P543" s="25">
        <f t="shared" si="526"/>
        <v>28145.244538569641</v>
      </c>
      <c r="Q543" s="25">
        <f t="array" aca="1" ref="Q543" ca="1">INDEX('Isaac 401k'!L:L,MATCH('Retirement Calculator'!A543,'Isaac 401k'!N:N,0),0)</f>
        <v>213376.9130015632</v>
      </c>
      <c r="R543" s="25">
        <f t="array" aca="1" ref="R543" ca="1">INDEX('Lorri 401b'!L:L,MATCH('Retirement Calculator'!A543,'Lorri 401b'!N:N,0),0)</f>
        <v>594666.60161640134</v>
      </c>
      <c r="S543" s="25">
        <f t="shared" ca="1" si="527"/>
        <v>808043.51461796451</v>
      </c>
    </row>
    <row r="544" spans="1:19" ht="15.75" customHeight="1" x14ac:dyDescent="0.3">
      <c r="A544" s="37">
        <v>67512</v>
      </c>
      <c r="B544" s="409">
        <f t="shared" ref="B544:C544" si="550">($A544-B$9)/365.25</f>
        <v>102.9596167008898</v>
      </c>
      <c r="C544" s="409">
        <f t="shared" si="550"/>
        <v>98.349075975359341</v>
      </c>
      <c r="E544" s="25">
        <f>IF(C544&gt;$B$7,0,'Combined Retirement'!$D$13/12)</f>
        <v>0</v>
      </c>
      <c r="F544" s="25">
        <f>IF(H544=0,'Combined Retirement'!$D$32,0)+'Combined Retirement'!$B$24</f>
        <v>2870.372285649099</v>
      </c>
      <c r="G544" s="25">
        <f>'Combined Retirement'!$C$24</f>
        <v>3525.4531757812501</v>
      </c>
      <c r="H544" s="25">
        <f>IF(B544&lt;62,0,'Combined Retirement'!$I$14)</f>
        <v>2192</v>
      </c>
      <c r="I544" s="25">
        <f>IF(C544&lt;62,0,'Combined Retirement'!$I$13)</f>
        <v>2420</v>
      </c>
      <c r="J544" s="25">
        <f t="shared" si="523"/>
        <v>7863.2184191855868</v>
      </c>
      <c r="K544" s="25">
        <f t="shared" si="524"/>
        <v>20282.026119384056</v>
      </c>
      <c r="L544" s="25"/>
      <c r="N544" s="25">
        <f>'Combined Retirement'!$C$18/12</f>
        <v>39153.069999999992</v>
      </c>
      <c r="O544" s="25">
        <f t="shared" si="525"/>
        <v>11007.82546143035</v>
      </c>
      <c r="P544" s="25">
        <f t="shared" si="526"/>
        <v>28145.244538569641</v>
      </c>
      <c r="Q544" s="25">
        <f t="array" aca="1" ref="Q544" ca="1">INDEX('Isaac 401k'!L:L,MATCH('Retirement Calculator'!A544,'Isaac 401k'!N:N,0),0)</f>
        <v>206370.00164313751</v>
      </c>
      <c r="R544" s="25">
        <f t="array" aca="1" ref="R544" ca="1">INDEX('Lorri 401b'!L:L,MATCH('Retirement Calculator'!A544,'Lorri 401b'!N:N,0),0)</f>
        <v>576777.84456158814</v>
      </c>
      <c r="S544" s="25">
        <f t="shared" ca="1" si="527"/>
        <v>783147.84620472568</v>
      </c>
    </row>
    <row r="545" spans="1:19" ht="15.75" customHeight="1" x14ac:dyDescent="0.3">
      <c r="A545" s="37">
        <v>67542</v>
      </c>
      <c r="B545" s="409">
        <f t="shared" ref="B545:C545" si="551">($A545-B$9)/365.25</f>
        <v>103.04175222450377</v>
      </c>
      <c r="C545" s="409">
        <f t="shared" si="551"/>
        <v>98.431211498973312</v>
      </c>
      <c r="E545" s="25">
        <f>IF(C545&gt;$B$7,0,'Combined Retirement'!$D$13/12)</f>
        <v>0</v>
      </c>
      <c r="F545" s="25">
        <f>IF(H545=0,'Combined Retirement'!$D$32,0)+'Combined Retirement'!$B$24</f>
        <v>2870.372285649099</v>
      </c>
      <c r="G545" s="25">
        <f>'Combined Retirement'!$C$24</f>
        <v>3525.4531757812501</v>
      </c>
      <c r="H545" s="25">
        <f>IF(B545&lt;62,0,'Combined Retirement'!$I$14)</f>
        <v>2192</v>
      </c>
      <c r="I545" s="25">
        <f>IF(C545&lt;62,0,'Combined Retirement'!$I$13)</f>
        <v>2420</v>
      </c>
      <c r="J545" s="25">
        <f t="shared" si="523"/>
        <v>7863.2184191855868</v>
      </c>
      <c r="K545" s="25">
        <f t="shared" si="524"/>
        <v>20282.026119384056</v>
      </c>
      <c r="L545" s="25"/>
      <c r="N545" s="25">
        <f>'Combined Retirement'!$C$18/12</f>
        <v>39153.069999999992</v>
      </c>
      <c r="O545" s="25">
        <f t="shared" si="525"/>
        <v>11007.82546143035</v>
      </c>
      <c r="P545" s="25">
        <f t="shared" si="526"/>
        <v>28145.244538569641</v>
      </c>
      <c r="Q545" s="25">
        <f t="array" aca="1" ref="Q545" ca="1">INDEX('Isaac 401k'!L:L,MATCH('Retirement Calculator'!A545,'Isaac 401k'!N:N,0),0)</f>
        <v>199333.89482071839</v>
      </c>
      <c r="R545" s="25">
        <f t="array" aca="1" ref="R545" ca="1">INDEX('Lorri 401b'!L:L,MATCH('Retirement Calculator'!A545,'Lorri 401b'!N:N,0),0)</f>
        <v>558814.55101904657</v>
      </c>
      <c r="S545" s="25">
        <f t="shared" ca="1" si="527"/>
        <v>758148.44583976502</v>
      </c>
    </row>
    <row r="546" spans="1:19" ht="15.75" customHeight="1" x14ac:dyDescent="0.3">
      <c r="A546" s="37">
        <v>67573</v>
      </c>
      <c r="B546" s="409">
        <f t="shared" ref="B546:C546" si="552">($A546-B$9)/365.25</f>
        <v>103.12662559890487</v>
      </c>
      <c r="C546" s="409">
        <f t="shared" si="552"/>
        <v>98.516084873374396</v>
      </c>
      <c r="E546" s="25">
        <f>IF(C546&gt;$B$7,0,'Combined Retirement'!$D$13/12)</f>
        <v>0</v>
      </c>
      <c r="F546" s="25">
        <f>IF(H546=0,'Combined Retirement'!$D$32,0)+'Combined Retirement'!$B$24</f>
        <v>2870.372285649099</v>
      </c>
      <c r="G546" s="25">
        <f>'Combined Retirement'!$C$24</f>
        <v>3525.4531757812501</v>
      </c>
      <c r="H546" s="25">
        <f>IF(B546&lt;62,0,'Combined Retirement'!$I$14)</f>
        <v>2192</v>
      </c>
      <c r="I546" s="25">
        <f>IF(C546&lt;62,0,'Combined Retirement'!$I$13)</f>
        <v>2420</v>
      </c>
      <c r="J546" s="25">
        <f t="shared" si="523"/>
        <v>7863.2184191855868</v>
      </c>
      <c r="K546" s="25">
        <f t="shared" si="524"/>
        <v>20282.026119384056</v>
      </c>
      <c r="L546" s="25"/>
      <c r="N546" s="25">
        <f>'Combined Retirement'!$C$18/12</f>
        <v>39153.069999999992</v>
      </c>
      <c r="O546" s="25">
        <f t="shared" si="525"/>
        <v>11007.82546143035</v>
      </c>
      <c r="P546" s="25">
        <f t="shared" si="526"/>
        <v>28145.244538569641</v>
      </c>
      <c r="Q546" s="25">
        <f t="array" aca="1" ref="Q546" ca="1">INDEX('Isaac 401k'!L:L,MATCH('Retirement Calculator'!A546,'Isaac 401k'!N:N,0),0)</f>
        <v>192268.4708865392</v>
      </c>
      <c r="R546" s="25">
        <f t="array" aca="1" ref="R546" ca="1">INDEX('Lorri 401b'!L:L,MATCH('Retirement Calculator'!A546,'Lorri 401b'!N:N,0),0)</f>
        <v>540776.41042007774</v>
      </c>
      <c r="S546" s="25">
        <f t="shared" ca="1" si="527"/>
        <v>733044.88130661694</v>
      </c>
    </row>
    <row r="547" spans="1:19" ht="15.75" customHeight="1" x14ac:dyDescent="0.3">
      <c r="A547" s="37">
        <v>67604</v>
      </c>
      <c r="B547" s="409">
        <f t="shared" ref="B547:C547" si="553">($A547-B$9)/365.25</f>
        <v>103.21149897330595</v>
      </c>
      <c r="C547" s="409">
        <f t="shared" si="553"/>
        <v>98.600958247775495</v>
      </c>
      <c r="E547" s="25">
        <f>IF(C547&gt;$B$7,0,'Combined Retirement'!$D$13/12)</f>
        <v>0</v>
      </c>
      <c r="F547" s="25">
        <f>IF(H547=0,'Combined Retirement'!$D$32,0)+'Combined Retirement'!$B$24</f>
        <v>2870.372285649099</v>
      </c>
      <c r="G547" s="25">
        <f>'Combined Retirement'!$C$24</f>
        <v>3525.4531757812501</v>
      </c>
      <c r="H547" s="25">
        <f>IF(B547&lt;62,0,'Combined Retirement'!$I$14)</f>
        <v>2192</v>
      </c>
      <c r="I547" s="25">
        <f>IF(C547&lt;62,0,'Combined Retirement'!$I$13)</f>
        <v>2420</v>
      </c>
      <c r="J547" s="25">
        <f t="shared" si="523"/>
        <v>7863.2184191855868</v>
      </c>
      <c r="K547" s="25">
        <f t="shared" si="524"/>
        <v>20282.026119384056</v>
      </c>
      <c r="L547" s="25"/>
      <c r="N547" s="25">
        <f>'Combined Retirement'!$C$18/12</f>
        <v>39153.069999999992</v>
      </c>
      <c r="O547" s="25">
        <f t="shared" si="525"/>
        <v>11007.82546143035</v>
      </c>
      <c r="P547" s="25">
        <f t="shared" si="526"/>
        <v>28145.244538569641</v>
      </c>
      <c r="Q547" s="25">
        <f t="array" aca="1" ref="Q547" ca="1">INDEX('Isaac 401k'!L:L,MATCH('Retirement Calculator'!A547,'Isaac 401k'!N:N,0),0)</f>
        <v>185173.60768596761</v>
      </c>
      <c r="R547" s="25">
        <f t="array" aca="1" ref="R547" ca="1">INDEX('Lorri 401b'!L:L,MATCH('Retirement Calculator'!A547,'Lorri 401b'!N:N,0),0)</f>
        <v>522663.11090194661</v>
      </c>
      <c r="S547" s="25">
        <f t="shared" ca="1" si="527"/>
        <v>707836.71858791425</v>
      </c>
    </row>
    <row r="548" spans="1:19" ht="15.75" customHeight="1" x14ac:dyDescent="0.3">
      <c r="A548" s="37">
        <v>67632</v>
      </c>
      <c r="B548" s="409">
        <f t="shared" ref="B548:C548" si="554">($A548-B$9)/365.25</f>
        <v>103.28815879534565</v>
      </c>
      <c r="C548" s="409">
        <f t="shared" si="554"/>
        <v>98.677618069815196</v>
      </c>
      <c r="E548" s="25">
        <f>IF(C548&gt;$B$7,0,'Combined Retirement'!$D$13/12)</f>
        <v>0</v>
      </c>
      <c r="F548" s="25">
        <f>IF(H548=0,'Combined Retirement'!$D$32,0)+'Combined Retirement'!$B$24</f>
        <v>2870.372285649099</v>
      </c>
      <c r="G548" s="25">
        <f>'Combined Retirement'!$C$24</f>
        <v>3525.4531757812501</v>
      </c>
      <c r="H548" s="25">
        <f>IF(B548&lt;62,0,'Combined Retirement'!$I$14)</f>
        <v>2192</v>
      </c>
      <c r="I548" s="25">
        <f>IF(C548&lt;62,0,'Combined Retirement'!$I$13)</f>
        <v>2420</v>
      </c>
      <c r="J548" s="25">
        <f t="shared" si="523"/>
        <v>7863.2184191855868</v>
      </c>
      <c r="K548" s="25">
        <f t="shared" si="524"/>
        <v>20282.026119384056</v>
      </c>
      <c r="L548" s="25"/>
      <c r="N548" s="25">
        <f>'Combined Retirement'!$C$18/12</f>
        <v>39153.069999999992</v>
      </c>
      <c r="O548" s="25">
        <f t="shared" si="525"/>
        <v>11007.82546143035</v>
      </c>
      <c r="P548" s="25">
        <f t="shared" si="526"/>
        <v>28145.244538569641</v>
      </c>
      <c r="Q548" s="25">
        <f t="array" aca="1" ref="Q548" ca="1">INDEX('Isaac 401k'!L:L,MATCH('Retirement Calculator'!A548,'Isaac 401k'!N:N,0),0)</f>
        <v>178049.18255539364</v>
      </c>
      <c r="R548" s="25">
        <f t="array" aca="1" ref="R548" ca="1">INDEX('Lorri 401b'!L:L,MATCH('Retirement Calculator'!A548,'Lorri 401b'!N:N,0),0)</f>
        <v>504474.33930248988</v>
      </c>
      <c r="S548" s="25">
        <f t="shared" ca="1" si="527"/>
        <v>682523.52185788355</v>
      </c>
    </row>
    <row r="549" spans="1:19" ht="15.75" customHeight="1" x14ac:dyDescent="0.3">
      <c r="A549" s="37">
        <v>67663</v>
      </c>
      <c r="B549" s="409">
        <f t="shared" ref="B549:C549" si="555">($A549-B$9)/365.25</f>
        <v>103.37303216974675</v>
      </c>
      <c r="C549" s="409">
        <f t="shared" si="555"/>
        <v>98.762491444216295</v>
      </c>
      <c r="E549" s="25">
        <f>IF(C549&gt;$B$7,0,'Combined Retirement'!$D$13/12)</f>
        <v>0</v>
      </c>
      <c r="F549" s="25">
        <f>IF(H549=0,'Combined Retirement'!$D$32,0)+'Combined Retirement'!$B$24</f>
        <v>2870.372285649099</v>
      </c>
      <c r="G549" s="25">
        <f>'Combined Retirement'!$C$24</f>
        <v>3525.4531757812501</v>
      </c>
      <c r="H549" s="25">
        <f>IF(B549&lt;62,0,'Combined Retirement'!$I$14)</f>
        <v>2192</v>
      </c>
      <c r="I549" s="25">
        <f>IF(C549&lt;62,0,'Combined Retirement'!$I$13)</f>
        <v>2420</v>
      </c>
      <c r="J549" s="25">
        <f t="shared" si="523"/>
        <v>7863.2184191855868</v>
      </c>
      <c r="K549" s="25">
        <f t="shared" si="524"/>
        <v>20282.026119384056</v>
      </c>
      <c r="L549" s="25"/>
      <c r="N549" s="25">
        <f>'Combined Retirement'!$C$18/12</f>
        <v>39153.069999999992</v>
      </c>
      <c r="O549" s="25">
        <f t="shared" si="525"/>
        <v>11007.82546143035</v>
      </c>
      <c r="P549" s="25">
        <f t="shared" si="526"/>
        <v>28145.244538569641</v>
      </c>
      <c r="Q549" s="25">
        <f t="array" aca="1" ref="Q549" ca="1">INDEX('Isaac 401k'!L:L,MATCH('Retirement Calculator'!A549,'Isaac 401k'!N:N,0),0)</f>
        <v>170895.07232010891</v>
      </c>
      <c r="R549" s="25">
        <f t="array" aca="1" ref="R549" ca="1">INDEX('Lorri 401b'!L:L,MATCH('Retirement Calculator'!A549,'Lorri 401b'!N:N,0),0)</f>
        <v>486209.78115470213</v>
      </c>
      <c r="S549" s="25">
        <f t="shared" ca="1" si="527"/>
        <v>657104.85347481107</v>
      </c>
    </row>
    <row r="550" spans="1:19" ht="15.75" customHeight="1" x14ac:dyDescent="0.3">
      <c r="A550" s="37">
        <v>67693</v>
      </c>
      <c r="B550" s="409">
        <f t="shared" ref="B550:C550" si="556">($A550-B$9)/365.25</f>
        <v>103.45516769336071</v>
      </c>
      <c r="C550" s="409">
        <f t="shared" si="556"/>
        <v>98.844626967830251</v>
      </c>
      <c r="E550" s="25">
        <f>IF(C550&gt;$B$7,0,'Combined Retirement'!$D$13/12)</f>
        <v>0</v>
      </c>
      <c r="F550" s="25">
        <f>IF(H550=0,'Combined Retirement'!$D$32,0)+'Combined Retirement'!$B$24</f>
        <v>2870.372285649099</v>
      </c>
      <c r="G550" s="25">
        <f>'Combined Retirement'!$C$24</f>
        <v>3525.4531757812501</v>
      </c>
      <c r="H550" s="25">
        <f>IF(B550&lt;62,0,'Combined Retirement'!$I$14)</f>
        <v>2192</v>
      </c>
      <c r="I550" s="25">
        <f>IF(C550&lt;62,0,'Combined Retirement'!$I$13)</f>
        <v>2420</v>
      </c>
      <c r="J550" s="25">
        <f t="shared" si="523"/>
        <v>7863.2184191855868</v>
      </c>
      <c r="K550" s="25">
        <f t="shared" si="524"/>
        <v>20282.026119384056</v>
      </c>
      <c r="L550" s="25"/>
      <c r="N550" s="25">
        <f>'Combined Retirement'!$C$18/12</f>
        <v>39153.069999999992</v>
      </c>
      <c r="O550" s="25">
        <f t="shared" si="525"/>
        <v>11007.82546143035</v>
      </c>
      <c r="P550" s="25">
        <f t="shared" si="526"/>
        <v>28145.244538569641</v>
      </c>
      <c r="Q550" s="25">
        <f t="array" aca="1" ref="Q550" ca="1">INDEX('Isaac 401k'!L:L,MATCH('Retirement Calculator'!A550,'Isaac 401k'!N:N,0),0)</f>
        <v>163711.15329217719</v>
      </c>
      <c r="R550" s="25">
        <f t="array" aca="1" ref="R550" ca="1">INDEX('Lorri 401b'!L:L,MATCH('Retirement Calculator'!A550,'Lorri 401b'!N:N,0),0)</f>
        <v>467869.12068129861</v>
      </c>
      <c r="S550" s="25">
        <f t="shared" ca="1" si="527"/>
        <v>631580.27397347579</v>
      </c>
    </row>
    <row r="551" spans="1:19" ht="15.75" customHeight="1" x14ac:dyDescent="0.3">
      <c r="A551" s="37">
        <v>67724</v>
      </c>
      <c r="B551" s="409">
        <f t="shared" ref="B551:C551" si="557">($A551-B$9)/365.25</f>
        <v>103.54004106776181</v>
      </c>
      <c r="C551" s="409">
        <f t="shared" si="557"/>
        <v>98.92950034223135</v>
      </c>
      <c r="E551" s="25">
        <f>IF(C551&gt;$B$7,0,'Combined Retirement'!$D$13/12)</f>
        <v>0</v>
      </c>
      <c r="F551" s="25">
        <f>IF(H551=0,'Combined Retirement'!$D$32,0)+'Combined Retirement'!$B$24</f>
        <v>2870.372285649099</v>
      </c>
      <c r="G551" s="25">
        <f>'Combined Retirement'!$C$24</f>
        <v>3525.4531757812501</v>
      </c>
      <c r="H551" s="25">
        <f>IF(B551&lt;62,0,'Combined Retirement'!$I$14)</f>
        <v>2192</v>
      </c>
      <c r="I551" s="25">
        <f>IF(C551&lt;62,0,'Combined Retirement'!$I$13)</f>
        <v>2420</v>
      </c>
      <c r="J551" s="25">
        <f t="shared" si="523"/>
        <v>7863.2184191855868</v>
      </c>
      <c r="K551" s="25">
        <f t="shared" si="524"/>
        <v>20282.026119384056</v>
      </c>
      <c r="L551" s="25"/>
      <c r="N551" s="25">
        <f>'Combined Retirement'!$C$18/12</f>
        <v>39153.069999999992</v>
      </c>
      <c r="O551" s="25">
        <f t="shared" si="525"/>
        <v>11007.82546143035</v>
      </c>
      <c r="P551" s="25">
        <f t="shared" si="526"/>
        <v>28145.244538569641</v>
      </c>
      <c r="Q551" s="25">
        <f t="array" aca="1" ref="Q551" ca="1">INDEX('Isaac 401k'!L:L,MATCH('Retirement Calculator'!A551,'Isaac 401k'!N:N,0),0)</f>
        <v>156497.30126829573</v>
      </c>
      <c r="R551" s="25">
        <f t="array" aca="1" ref="R551" ca="1">INDEX('Lorri 401b'!L:L,MATCH('Retirement Calculator'!A551,'Lorri 401b'!N:N,0),0)</f>
        <v>449452.04078925587</v>
      </c>
      <c r="S551" s="25">
        <f t="shared" ca="1" si="527"/>
        <v>605949.34205755161</v>
      </c>
    </row>
    <row r="552" spans="1:19" ht="15.75" customHeight="1" x14ac:dyDescent="0.3">
      <c r="A552" s="37">
        <v>67754</v>
      </c>
      <c r="B552" s="409">
        <f t="shared" ref="B552:C552" si="558">($A552-B$9)/365.25</f>
        <v>103.62217659137578</v>
      </c>
      <c r="C552" s="409">
        <f t="shared" si="558"/>
        <v>99.011635865845307</v>
      </c>
      <c r="E552" s="25">
        <f>IF(C552&gt;$B$7,0,'Combined Retirement'!$D$13/12)</f>
        <v>0</v>
      </c>
      <c r="F552" s="25">
        <f>IF(H552=0,'Combined Retirement'!$D$32,0)+'Combined Retirement'!$B$24</f>
        <v>2870.372285649099</v>
      </c>
      <c r="G552" s="25">
        <f>'Combined Retirement'!$C$24</f>
        <v>3525.4531757812501</v>
      </c>
      <c r="H552" s="25">
        <f>IF(B552&lt;62,0,'Combined Retirement'!$I$14)</f>
        <v>2192</v>
      </c>
      <c r="I552" s="25">
        <f>IF(C552&lt;62,0,'Combined Retirement'!$I$13)</f>
        <v>2420</v>
      </c>
      <c r="J552" s="25">
        <f t="shared" si="523"/>
        <v>7863.2184191855868</v>
      </c>
      <c r="K552" s="25">
        <f t="shared" si="524"/>
        <v>20282.026119384056</v>
      </c>
      <c r="L552" s="25"/>
      <c r="N552" s="25">
        <f>'Combined Retirement'!$C$18/12</f>
        <v>39153.069999999992</v>
      </c>
      <c r="O552" s="25">
        <f t="shared" si="525"/>
        <v>11007.82546143035</v>
      </c>
      <c r="P552" s="25">
        <f t="shared" si="526"/>
        <v>28145.244538569641</v>
      </c>
      <c r="Q552" s="25">
        <f t="array" aca="1" ref="Q552" ca="1">INDEX('Isaac 401k'!L:L,MATCH('Retirement Calculator'!A552,'Isaac 401k'!N:N,0),0)</f>
        <v>149253.39152764811</v>
      </c>
      <c r="R552" s="25">
        <f t="array" aca="1" ref="R552" ca="1">INDEX('Lorri 401b'!L:L,MATCH('Retirement Calculator'!A552,'Lorri 401b'!N:N,0),0)</f>
        <v>430958.22306432965</v>
      </c>
      <c r="S552" s="25">
        <f t="shared" ca="1" si="527"/>
        <v>580211.61459197779</v>
      </c>
    </row>
    <row r="553" spans="1:19" ht="15.75" customHeight="1" x14ac:dyDescent="0.3">
      <c r="A553" s="37">
        <v>67785</v>
      </c>
      <c r="B553" s="409">
        <f t="shared" ref="B553:C553" si="559">($A553-B$9)/365.25</f>
        <v>103.70704996577686</v>
      </c>
      <c r="C553" s="409">
        <f t="shared" si="559"/>
        <v>99.096509240246405</v>
      </c>
      <c r="E553" s="25">
        <f>IF(C553&gt;$B$7,0,'Combined Retirement'!$D$13/12)</f>
        <v>0</v>
      </c>
      <c r="F553" s="25">
        <f>IF(H553=0,'Combined Retirement'!$D$32,0)+'Combined Retirement'!$B$24</f>
        <v>2870.372285649099</v>
      </c>
      <c r="G553" s="25">
        <f>'Combined Retirement'!$C$24</f>
        <v>3525.4531757812501</v>
      </c>
      <c r="H553" s="25">
        <f>IF(B553&lt;62,0,'Combined Retirement'!$I$14)</f>
        <v>2192</v>
      </c>
      <c r="I553" s="25">
        <f>IF(C553&lt;62,0,'Combined Retirement'!$I$13)</f>
        <v>2420</v>
      </c>
      <c r="J553" s="25">
        <f t="shared" si="523"/>
        <v>7863.2184191855868</v>
      </c>
      <c r="K553" s="25">
        <f t="shared" si="524"/>
        <v>20282.026119384056</v>
      </c>
      <c r="L553" s="25"/>
      <c r="N553" s="25">
        <f>'Combined Retirement'!$C$18/12</f>
        <v>39153.069999999992</v>
      </c>
      <c r="O553" s="25">
        <f t="shared" si="525"/>
        <v>11007.82546143035</v>
      </c>
      <c r="P553" s="25">
        <f t="shared" si="526"/>
        <v>28145.244538569641</v>
      </c>
      <c r="Q553" s="25">
        <f t="array" aca="1" ref="Q553" ca="1">INDEX('Isaac 401k'!L:L,MATCH('Retirement Calculator'!A553,'Isaac 401k'!N:N,0),0)</f>
        <v>141979.2988297478</v>
      </c>
      <c r="R553" s="25">
        <f t="array" aca="1" ref="R553" ca="1">INDEX('Lorri 401b'!L:L,MATCH('Retirement Calculator'!A553,'Lorri 401b'!N:N,0),0)</f>
        <v>412387.34776554955</v>
      </c>
      <c r="S553" s="25">
        <f t="shared" ca="1" si="527"/>
        <v>554366.64659529738</v>
      </c>
    </row>
    <row r="554" spans="1:19" ht="15.75" customHeight="1" x14ac:dyDescent="0.3">
      <c r="A554" s="37">
        <v>67816</v>
      </c>
      <c r="B554" s="409">
        <f t="shared" ref="B554:C554" si="560">($A554-B$9)/365.25</f>
        <v>103.79192334017796</v>
      </c>
      <c r="C554" s="409">
        <f t="shared" si="560"/>
        <v>99.181382614647504</v>
      </c>
      <c r="E554" s="25">
        <f>IF(C554&gt;$B$7,0,'Combined Retirement'!$D$13/12)</f>
        <v>0</v>
      </c>
      <c r="F554" s="25">
        <f>IF(H554=0,'Combined Retirement'!$D$32,0)+'Combined Retirement'!$B$24</f>
        <v>2870.372285649099</v>
      </c>
      <c r="G554" s="25">
        <f>'Combined Retirement'!$C$24</f>
        <v>3525.4531757812501</v>
      </c>
      <c r="H554" s="25">
        <f>IF(B554&lt;62,0,'Combined Retirement'!$I$14)</f>
        <v>2192</v>
      </c>
      <c r="I554" s="25">
        <f>IF(C554&lt;62,0,'Combined Retirement'!$I$13)</f>
        <v>2420</v>
      </c>
      <c r="J554" s="25">
        <f t="shared" si="523"/>
        <v>7863.2184191855868</v>
      </c>
      <c r="K554" s="25">
        <f t="shared" si="524"/>
        <v>20282.026119384056</v>
      </c>
      <c r="L554" s="25"/>
      <c r="N554" s="25">
        <f>'Combined Retirement'!$C$18/12</f>
        <v>39153.069999999992</v>
      </c>
      <c r="O554" s="25">
        <f t="shared" si="525"/>
        <v>11007.82546143035</v>
      </c>
      <c r="P554" s="25">
        <f t="shared" si="526"/>
        <v>28145.244538569641</v>
      </c>
      <c r="Q554" s="25">
        <f t="array" aca="1" ref="Q554" ca="1">INDEX('Isaac 401k'!L:L,MATCH('Retirement Calculator'!A554,'Isaac 401k'!N:N,0),0)</f>
        <v>134674.8974122729</v>
      </c>
      <c r="R554" s="25">
        <f t="array" aca="1" ref="R554" ca="1">INDEX('Lorri 401b'!L:L,MATCH('Retirement Calculator'!A554,'Lorri 401b'!N:N,0),0)</f>
        <v>393739.09381969122</v>
      </c>
      <c r="S554" s="25">
        <f t="shared" ca="1" si="527"/>
        <v>528413.99123196409</v>
      </c>
    </row>
    <row r="555" spans="1:19" ht="15.75" customHeight="1" x14ac:dyDescent="0.3">
      <c r="A555" s="37">
        <v>67846</v>
      </c>
      <c r="B555" s="409">
        <f t="shared" ref="B555:C555" si="561">($A555-B$9)/365.25</f>
        <v>103.87405886379193</v>
      </c>
      <c r="C555" s="409">
        <f t="shared" si="561"/>
        <v>99.26351813826146</v>
      </c>
      <c r="E555" s="25">
        <f>IF(C555&gt;$B$7,0,'Combined Retirement'!$D$13/12)</f>
        <v>0</v>
      </c>
      <c r="F555" s="25">
        <f>IF(H555=0,'Combined Retirement'!$D$32,0)+'Combined Retirement'!$B$24</f>
        <v>2870.372285649099</v>
      </c>
      <c r="G555" s="25">
        <f>'Combined Retirement'!$C$24</f>
        <v>3525.4531757812501</v>
      </c>
      <c r="H555" s="25">
        <f>IF(B555&lt;62,0,'Combined Retirement'!$I$14)</f>
        <v>2192</v>
      </c>
      <c r="I555" s="25">
        <f>IF(C555&lt;62,0,'Combined Retirement'!$I$13)</f>
        <v>2420</v>
      </c>
      <c r="J555" s="25">
        <f t="shared" si="523"/>
        <v>7863.2184191855868</v>
      </c>
      <c r="K555" s="25">
        <f t="shared" si="524"/>
        <v>20282.026119384056</v>
      </c>
      <c r="L555" s="25"/>
      <c r="N555" s="25">
        <f>'Combined Retirement'!$C$18/12</f>
        <v>39153.069999999992</v>
      </c>
      <c r="O555" s="25">
        <f t="shared" si="525"/>
        <v>11007.82546143035</v>
      </c>
      <c r="P555" s="25">
        <f t="shared" si="526"/>
        <v>28145.244538569641</v>
      </c>
      <c r="Q555" s="25">
        <f t="array" aca="1" ref="Q555" ca="1">INDEX('Isaac 401k'!L:L,MATCH('Retirement Calculator'!A555,'Isaac 401k'!N:N,0),0)</f>
        <v>127340.06098889184</v>
      </c>
      <c r="R555" s="25">
        <f t="array" aca="1" ref="R555" ca="1">INDEX('Lorri 401b'!L:L,MATCH('Retirement Calculator'!A555,'Lorri 401b'!N:N,0),0)</f>
        <v>375013.13881572511</v>
      </c>
      <c r="S555" s="25">
        <f t="shared" ca="1" si="527"/>
        <v>502353.19980461698</v>
      </c>
    </row>
    <row r="556" spans="1:19" ht="15.75" customHeight="1" x14ac:dyDescent="0.3">
      <c r="A556" s="37">
        <v>67877</v>
      </c>
      <c r="B556" s="409">
        <f t="shared" ref="B556:C556" si="562">($A556-B$9)/365.25</f>
        <v>103.95893223819301</v>
      </c>
      <c r="C556" s="409">
        <f t="shared" si="562"/>
        <v>99.348391512662559</v>
      </c>
      <c r="E556" s="25">
        <f>IF(C556&gt;$B$7,0,'Combined Retirement'!$D$13/12)</f>
        <v>0</v>
      </c>
      <c r="F556" s="25">
        <f>IF(H556=0,'Combined Retirement'!$D$32,0)+'Combined Retirement'!$B$24</f>
        <v>2870.372285649099</v>
      </c>
      <c r="G556" s="25">
        <f>'Combined Retirement'!$C$24</f>
        <v>3525.4531757812501</v>
      </c>
      <c r="H556" s="25">
        <f>IF(B556&lt;62,0,'Combined Retirement'!$I$14)</f>
        <v>2192</v>
      </c>
      <c r="I556" s="25">
        <f>IF(C556&lt;62,0,'Combined Retirement'!$I$13)</f>
        <v>2420</v>
      </c>
      <c r="J556" s="25">
        <f t="shared" si="523"/>
        <v>7863.2184191855868</v>
      </c>
      <c r="K556" s="25">
        <f t="shared" si="524"/>
        <v>20282.026119384056</v>
      </c>
      <c r="L556" s="25"/>
      <c r="N556" s="25">
        <f>'Combined Retirement'!$C$18/12</f>
        <v>39153.069999999992</v>
      </c>
      <c r="O556" s="25">
        <f t="shared" si="525"/>
        <v>11007.82546143035</v>
      </c>
      <c r="P556" s="25">
        <f t="shared" si="526"/>
        <v>28145.244538569641</v>
      </c>
      <c r="Q556" s="25">
        <f t="array" aca="1" ref="Q556" ca="1">INDEX('Isaac 401k'!L:L,MATCH('Retirement Calculator'!A556,'Isaac 401k'!N:N,0),0)</f>
        <v>119974.66274708003</v>
      </c>
      <c r="R556" s="25">
        <f t="array" aca="1" ref="R556" ca="1">INDEX('Lorri 401b'!L:L,MATCH('Retirement Calculator'!A556,'Lorri 401b'!N:N,0),0)</f>
        <v>356209.15899924247</v>
      </c>
      <c r="S556" s="25">
        <f t="shared" ca="1" si="527"/>
        <v>476183.8217463225</v>
      </c>
    </row>
    <row r="557" spans="1:19" ht="15.75" customHeight="1" x14ac:dyDescent="0.3">
      <c r="A557" s="37">
        <v>67907</v>
      </c>
      <c r="B557" s="409">
        <f t="shared" ref="B557:C557" si="563">($A557-B$9)/365.25</f>
        <v>104.04106776180699</v>
      </c>
      <c r="C557" s="409">
        <f t="shared" si="563"/>
        <v>99.43052703627653</v>
      </c>
      <c r="E557" s="25">
        <f>IF(C557&gt;$B$7,0,'Combined Retirement'!$D$13/12)</f>
        <v>0</v>
      </c>
      <c r="F557" s="25">
        <f>IF(H557=0,'Combined Retirement'!$D$32,0)+'Combined Retirement'!$B$24</f>
        <v>2870.372285649099</v>
      </c>
      <c r="G557" s="25">
        <f>'Combined Retirement'!$C$24</f>
        <v>3525.4531757812501</v>
      </c>
      <c r="H557" s="25">
        <f>IF(B557&lt;62,0,'Combined Retirement'!$I$14)</f>
        <v>2192</v>
      </c>
      <c r="I557" s="25">
        <f>IF(C557&lt;62,0,'Combined Retirement'!$I$13)</f>
        <v>2420</v>
      </c>
      <c r="J557" s="25">
        <f t="shared" si="523"/>
        <v>7863.2184191855868</v>
      </c>
      <c r="K557" s="25">
        <f t="shared" si="524"/>
        <v>20282.026119384056</v>
      </c>
      <c r="L557" s="25"/>
      <c r="N557" s="25">
        <f>'Combined Retirement'!$C$18/12</f>
        <v>39153.069999999992</v>
      </c>
      <c r="O557" s="25">
        <f t="shared" si="525"/>
        <v>11007.82546143035</v>
      </c>
      <c r="P557" s="25">
        <f t="shared" si="526"/>
        <v>28145.244538569641</v>
      </c>
      <c r="Q557" s="25">
        <f t="array" aca="1" ref="Q557" ca="1">INDEX('Isaac 401k'!L:L,MATCH('Retirement Calculator'!A557,'Isaac 401k'!N:N,0),0)</f>
        <v>112578.57534592733</v>
      </c>
      <c r="R557" s="25">
        <f t="array" aca="1" ref="R557" ca="1">INDEX('Lorri 401b'!L:L,MATCH('Retirement Calculator'!A557,'Lorri 401b'!N:N,0),0)</f>
        <v>337326.82926685782</v>
      </c>
      <c r="S557" s="25">
        <f t="shared" ca="1" si="527"/>
        <v>449905.40461278515</v>
      </c>
    </row>
    <row r="558" spans="1:19" ht="15.75" customHeight="1" x14ac:dyDescent="0.3">
      <c r="A558" s="37">
        <v>67938</v>
      </c>
      <c r="B558" s="409">
        <f t="shared" ref="B558:C558" si="564">($A558-B$9)/365.25</f>
        <v>104.12594113620807</v>
      </c>
      <c r="C558" s="409">
        <f t="shared" si="564"/>
        <v>99.515400410677614</v>
      </c>
      <c r="E558" s="25">
        <f>IF(C558&gt;$B$7,0,'Combined Retirement'!$D$13/12)</f>
        <v>0</v>
      </c>
      <c r="F558" s="25">
        <f>IF(H558=0,'Combined Retirement'!$D$32,0)+'Combined Retirement'!$B$24</f>
        <v>2870.372285649099</v>
      </c>
      <c r="G558" s="25">
        <f>'Combined Retirement'!$C$24</f>
        <v>3525.4531757812501</v>
      </c>
      <c r="H558" s="25">
        <f>IF(B558&lt;62,0,'Combined Retirement'!$I$14)</f>
        <v>2192</v>
      </c>
      <c r="I558" s="25">
        <f>IF(C558&lt;62,0,'Combined Retirement'!$I$13)</f>
        <v>2420</v>
      </c>
      <c r="J558" s="25">
        <f t="shared" si="523"/>
        <v>7863.2184191855868</v>
      </c>
      <c r="K558" s="25">
        <f t="shared" si="524"/>
        <v>20282.026119384056</v>
      </c>
      <c r="L558" s="25"/>
      <c r="N558" s="25">
        <f>'Combined Retirement'!$C$18/12</f>
        <v>39153.069999999992</v>
      </c>
      <c r="O558" s="25">
        <f t="shared" si="525"/>
        <v>11007.82546143035</v>
      </c>
      <c r="P558" s="25">
        <f t="shared" si="526"/>
        <v>28145.244538569641</v>
      </c>
      <c r="Q558" s="25">
        <f t="array" aca="1" ref="Q558" ca="1">INDEX('Isaac 401k'!L:L,MATCH('Retirement Calculator'!A558,'Isaac 401k'!N:N,0),0)</f>
        <v>105151.6709139365</v>
      </c>
      <c r="R558" s="25">
        <f t="array" aca="1" ref="R558" ca="1">INDEX('Lorri 401b'!L:L,MATCH('Retirement Calculator'!A558,'Lorri 401b'!N:N,0),0)</f>
        <v>318365.82316058828</v>
      </c>
      <c r="S558" s="25">
        <f t="shared" ca="1" si="527"/>
        <v>423517.49407452479</v>
      </c>
    </row>
    <row r="559" spans="1:19" ht="15.75" customHeight="1" x14ac:dyDescent="0.3">
      <c r="A559" s="37">
        <v>67969</v>
      </c>
      <c r="B559" s="409">
        <f t="shared" ref="B559:C559" si="565">($A559-B$9)/365.25</f>
        <v>104.21081451060917</v>
      </c>
      <c r="C559" s="409">
        <f t="shared" si="565"/>
        <v>99.600273785078713</v>
      </c>
      <c r="E559" s="25">
        <f>IF(C559&gt;$B$7,0,'Combined Retirement'!$D$13/12)</f>
        <v>0</v>
      </c>
      <c r="F559" s="25">
        <f>IF(H559=0,'Combined Retirement'!$D$32,0)+'Combined Retirement'!$B$24</f>
        <v>2870.372285649099</v>
      </c>
      <c r="G559" s="25">
        <f>'Combined Retirement'!$C$24</f>
        <v>3525.4531757812501</v>
      </c>
      <c r="H559" s="25">
        <f>IF(B559&lt;62,0,'Combined Retirement'!$I$14)</f>
        <v>2192</v>
      </c>
      <c r="I559" s="25">
        <f>IF(C559&lt;62,0,'Combined Retirement'!$I$13)</f>
        <v>2420</v>
      </c>
      <c r="J559" s="25">
        <f t="shared" si="523"/>
        <v>7863.2184191855868</v>
      </c>
      <c r="K559" s="25">
        <f t="shared" si="524"/>
        <v>20282.026119384056</v>
      </c>
      <c r="L559" s="25"/>
      <c r="N559" s="25">
        <f>'Combined Retirement'!$C$18/12</f>
        <v>39153.069999999992</v>
      </c>
      <c r="O559" s="25">
        <f t="shared" si="525"/>
        <v>11007.82546143035</v>
      </c>
      <c r="P559" s="25">
        <f t="shared" si="526"/>
        <v>28145.244538569641</v>
      </c>
      <c r="Q559" s="25">
        <f t="array" aca="1" ref="Q559" ca="1">INDEX('Isaac 401k'!L:L,MATCH('Retirement Calculator'!A559,'Isaac 401k'!N:N,0),0)</f>
        <v>97693.821046812373</v>
      </c>
      <c r="R559" s="25">
        <f t="array" aca="1" ref="R559" ca="1">INDEX('Lorri 401b'!L:L,MATCH('Retirement Calculator'!A559,'Lorri 401b'!N:N,0),0)</f>
        <v>299325.81286220928</v>
      </c>
      <c r="S559" s="25">
        <f t="shared" ca="1" si="527"/>
        <v>397019.63390902162</v>
      </c>
    </row>
    <row r="560" spans="1:19" ht="15.75" customHeight="1" x14ac:dyDescent="0.3">
      <c r="A560" s="37">
        <v>67997</v>
      </c>
      <c r="B560" s="409">
        <f t="shared" ref="B560:C560" si="566">($A560-B$9)/365.25</f>
        <v>104.28747433264887</v>
      </c>
      <c r="C560" s="409">
        <f t="shared" si="566"/>
        <v>99.676933607118414</v>
      </c>
      <c r="E560" s="25">
        <f>IF(C560&gt;$B$7,0,'Combined Retirement'!$D$13/12)</f>
        <v>0</v>
      </c>
      <c r="F560" s="25">
        <f>IF(H560=0,'Combined Retirement'!$D$32,0)+'Combined Retirement'!$B$24</f>
        <v>2870.372285649099</v>
      </c>
      <c r="G560" s="25">
        <f>'Combined Retirement'!$C$24</f>
        <v>3525.4531757812501</v>
      </c>
      <c r="H560" s="25">
        <f>IF(B560&lt;62,0,'Combined Retirement'!$I$14)</f>
        <v>2192</v>
      </c>
      <c r="I560" s="25">
        <f>IF(C560&lt;62,0,'Combined Retirement'!$I$13)</f>
        <v>2420</v>
      </c>
      <c r="J560" s="25">
        <f t="shared" si="523"/>
        <v>7863.2184191855868</v>
      </c>
      <c r="K560" s="25">
        <f t="shared" si="524"/>
        <v>20282.026119384056</v>
      </c>
      <c r="L560" s="25"/>
      <c r="N560" s="25">
        <f>'Combined Retirement'!$C$18/12</f>
        <v>39153.069999999992</v>
      </c>
      <c r="O560" s="25">
        <f t="shared" si="525"/>
        <v>11007.82546143035</v>
      </c>
      <c r="P560" s="25">
        <f t="shared" si="526"/>
        <v>28145.244538569641</v>
      </c>
      <c r="Q560" s="25">
        <f t="array" aca="1" ref="Q560" ca="1">INDEX('Isaac 401k'!L:L,MATCH('Retirement Calculator'!A560,'Isaac 401k'!N:N,0),0)</f>
        <v>90204.896805241893</v>
      </c>
      <c r="R560" s="25">
        <f t="array" aca="1" ref="R560" ca="1">INDEX('Lorri 401b'!L:L,MATCH('Retirement Calculator'!A560,'Lorri 401b'!N:N,0),0)</f>
        <v>280206.46918758703</v>
      </c>
      <c r="S560" s="25">
        <f t="shared" ca="1" si="527"/>
        <v>370411.36599282891</v>
      </c>
    </row>
    <row r="561" spans="1:19" ht="15.75" customHeight="1" x14ac:dyDescent="0.3">
      <c r="A561" s="37">
        <v>68028</v>
      </c>
      <c r="B561" s="409">
        <f t="shared" ref="B561:C561" si="567">($A561-B$9)/365.25</f>
        <v>104.37234770704997</v>
      </c>
      <c r="C561" s="409">
        <f t="shared" si="567"/>
        <v>99.761806981519513</v>
      </c>
      <c r="E561" s="25">
        <f>IF(C561&gt;$B$7,0,'Combined Retirement'!$D$13/12)</f>
        <v>0</v>
      </c>
      <c r="F561" s="25">
        <f>IF(H561=0,'Combined Retirement'!$D$32,0)+'Combined Retirement'!$B$24</f>
        <v>2870.372285649099</v>
      </c>
      <c r="G561" s="25">
        <f>'Combined Retirement'!$C$24</f>
        <v>3525.4531757812501</v>
      </c>
      <c r="H561" s="25">
        <f>IF(B561&lt;62,0,'Combined Retirement'!$I$14)</f>
        <v>2192</v>
      </c>
      <c r="I561" s="25">
        <f>IF(C561&lt;62,0,'Combined Retirement'!$I$13)</f>
        <v>2420</v>
      </c>
      <c r="J561" s="25">
        <f t="shared" si="523"/>
        <v>7863.2184191855868</v>
      </c>
      <c r="K561" s="25">
        <f t="shared" si="524"/>
        <v>20282.026119384056</v>
      </c>
      <c r="L561" s="25"/>
      <c r="N561" s="25">
        <f>'Combined Retirement'!$C$18/12</f>
        <v>39153.069999999992</v>
      </c>
      <c r="O561" s="25">
        <f t="shared" si="525"/>
        <v>11007.82546143035</v>
      </c>
      <c r="P561" s="25">
        <f t="shared" si="526"/>
        <v>28145.244538569641</v>
      </c>
      <c r="Q561" s="25">
        <f t="array" aca="1" ref="Q561" ca="1">INDEX('Isaac 401k'!L:L,MATCH('Retirement Calculator'!A561,'Isaac 401k'!N:N,0),0)</f>
        <v>82684.768712664867</v>
      </c>
      <c r="R561" s="25">
        <f t="array" aca="1" ref="R561" ca="1">INDEX('Lorri 401b'!L:L,MATCH('Retirement Calculator'!A561,'Lorri 401b'!N:N,0),0)</f>
        <v>261007.46158098718</v>
      </c>
      <c r="S561" s="25">
        <f t="shared" ca="1" si="527"/>
        <v>343692.23029365204</v>
      </c>
    </row>
    <row r="562" spans="1:19" ht="15.75" customHeight="1" x14ac:dyDescent="0.3">
      <c r="A562" s="37">
        <v>68058</v>
      </c>
      <c r="B562" s="409">
        <f t="shared" ref="B562:C562" si="568">($A562-B$9)/365.25</f>
        <v>104.45448323066393</v>
      </c>
      <c r="C562" s="409">
        <f t="shared" si="568"/>
        <v>99.843942505133469</v>
      </c>
      <c r="E562" s="25">
        <f>IF(C562&gt;$B$7,0,'Combined Retirement'!$D$13/12)</f>
        <v>0</v>
      </c>
      <c r="F562" s="25">
        <f>IF(H562=0,'Combined Retirement'!$D$32,0)+'Combined Retirement'!$B$24</f>
        <v>2870.372285649099</v>
      </c>
      <c r="G562" s="25">
        <f>'Combined Retirement'!$C$24</f>
        <v>3525.4531757812501</v>
      </c>
      <c r="H562" s="25">
        <f>IF(B562&lt;62,0,'Combined Retirement'!$I$14)</f>
        <v>2192</v>
      </c>
      <c r="I562" s="25">
        <f>IF(C562&lt;62,0,'Combined Retirement'!$I$13)</f>
        <v>2420</v>
      </c>
      <c r="J562" s="25">
        <f t="shared" si="523"/>
        <v>7863.2184191855868</v>
      </c>
      <c r="K562" s="25">
        <f t="shared" si="524"/>
        <v>20282.026119384056</v>
      </c>
      <c r="L562" s="25"/>
      <c r="N562" s="25">
        <f>'Combined Retirement'!$C$18/12</f>
        <v>39153.069999999992</v>
      </c>
      <c r="O562" s="25">
        <f t="shared" si="525"/>
        <v>11007.82546143035</v>
      </c>
      <c r="P562" s="25">
        <f t="shared" si="526"/>
        <v>28145.244538569641</v>
      </c>
      <c r="Q562" s="25">
        <f t="array" aca="1" ref="Q562" ca="1">INDEX('Isaac 401k'!L:L,MATCH('Retirement Calculator'!A562,'Isaac 401k'!N:N,0),0)</f>
        <v>75133.306753035446</v>
      </c>
      <c r="R562" s="25">
        <f t="array" aca="1" ref="R562" ca="1">INDEX('Lorri 401b'!L:L,MATCH('Retirement Calculator'!A562,'Lorri 401b'!N:N,0),0)</f>
        <v>241728.45810935978</v>
      </c>
      <c r="S562" s="25">
        <f t="shared" ca="1" si="527"/>
        <v>316861.76486239524</v>
      </c>
    </row>
    <row r="563" spans="1:19" ht="15.75" customHeight="1" x14ac:dyDescent="0.3">
      <c r="A563" s="37">
        <v>68089</v>
      </c>
      <c r="B563" s="409">
        <f t="shared" ref="B563:C563" si="569">($A563-B$9)/365.25</f>
        <v>104.53935660506502</v>
      </c>
      <c r="C563" s="409">
        <f t="shared" si="569"/>
        <v>99.928815879534568</v>
      </c>
      <c r="E563" s="25">
        <f>IF(C563&gt;$B$7,0,'Combined Retirement'!$D$13/12)</f>
        <v>0</v>
      </c>
      <c r="F563" s="25">
        <f>IF(H563=0,'Combined Retirement'!$D$32,0)+'Combined Retirement'!$B$24</f>
        <v>2870.372285649099</v>
      </c>
      <c r="G563" s="25">
        <f>'Combined Retirement'!$C$24</f>
        <v>3525.4531757812501</v>
      </c>
      <c r="H563" s="25">
        <f>IF(B563&lt;62,0,'Combined Retirement'!$I$14)</f>
        <v>2192</v>
      </c>
      <c r="I563" s="25">
        <f>IF(C563&lt;62,0,'Combined Retirement'!$I$13)</f>
        <v>2420</v>
      </c>
      <c r="J563" s="25">
        <f t="shared" si="523"/>
        <v>7863.2184191855868</v>
      </c>
      <c r="K563" s="25">
        <f t="shared" si="524"/>
        <v>20282.026119384056</v>
      </c>
      <c r="L563" s="25"/>
      <c r="N563" s="25">
        <f>'Combined Retirement'!$C$18/12</f>
        <v>39153.069999999992</v>
      </c>
      <c r="O563" s="25">
        <f t="shared" si="525"/>
        <v>11007.82546143035</v>
      </c>
      <c r="P563" s="25">
        <f t="shared" si="526"/>
        <v>28145.244538569641</v>
      </c>
      <c r="Q563" s="25">
        <f t="array" aca="1" ref="Q563" ca="1">INDEX('Isaac 401k'!L:L,MATCH('Retirement Calculator'!A563,'Isaac 401k'!N:N,0),0)</f>
        <v>67550.380368574231</v>
      </c>
      <c r="R563" s="25">
        <f t="array" aca="1" ref="R563" ca="1">INDEX('Lorri 401b'!L:L,MATCH('Retirement Calculator'!A563,'Lorri 401b'!N:N,0),0)</f>
        <v>222369.12545660062</v>
      </c>
      <c r="S563" s="25">
        <f t="shared" ca="1" si="527"/>
        <v>289919.50582517486</v>
      </c>
    </row>
    <row r="564" spans="1:19" ht="15.75" customHeight="1" x14ac:dyDescent="0.3">
      <c r="A564" s="37">
        <v>68119</v>
      </c>
      <c r="B564" s="409">
        <f t="shared" ref="B564:C564" si="570">($A564-B$9)/365.25</f>
        <v>104.62149212867898</v>
      </c>
      <c r="C564" s="409">
        <f t="shared" si="570"/>
        <v>100.01095140314852</v>
      </c>
      <c r="E564" s="25">
        <f>IF(C564&gt;$B$7,0,'Combined Retirement'!$D$13/12)</f>
        <v>0</v>
      </c>
      <c r="F564" s="25">
        <f>IF(H564=0,'Combined Retirement'!$D$32,0)+'Combined Retirement'!$B$24</f>
        <v>2870.372285649099</v>
      </c>
      <c r="G564" s="25">
        <f>'Combined Retirement'!$C$24</f>
        <v>3525.4531757812501</v>
      </c>
      <c r="H564" s="25">
        <f>IF(B564&lt;62,0,'Combined Retirement'!$I$14)</f>
        <v>2192</v>
      </c>
      <c r="I564" s="25">
        <f>IF(C564&lt;62,0,'Combined Retirement'!$I$13)</f>
        <v>2420</v>
      </c>
      <c r="J564" s="25">
        <f t="shared" si="523"/>
        <v>7863.2184191855868</v>
      </c>
      <c r="K564" s="25">
        <f t="shared" si="524"/>
        <v>20282.026119384056</v>
      </c>
      <c r="L564" s="25"/>
      <c r="N564" s="25">
        <f>'Combined Retirement'!$C$18/12</f>
        <v>39153.069999999992</v>
      </c>
      <c r="O564" s="25">
        <f t="shared" si="525"/>
        <v>11007.82546143035</v>
      </c>
      <c r="P564" s="25">
        <f t="shared" si="526"/>
        <v>28145.244538569641</v>
      </c>
      <c r="Q564" s="25">
        <f t="array" aca="1" ref="Q564" ca="1">INDEX('Isaac 401k'!L:L,MATCH('Retirement Calculator'!A564,'Isaac 401k'!N:N,0),0)</f>
        <v>59935.858457511102</v>
      </c>
      <c r="R564" s="25">
        <f t="array" aca="1" ref="R564" ca="1">INDEX('Lorri 401b'!L:L,MATCH('Retirement Calculator'!A564,'Lorri 401b'!N:N,0),0)</f>
        <v>202929.12891778833</v>
      </c>
      <c r="S564" s="25">
        <f t="shared" ca="1" si="527"/>
        <v>262864.98737529945</v>
      </c>
    </row>
    <row r="565" spans="1:19" ht="15.75" customHeight="1" x14ac:dyDescent="0.3">
      <c r="A565" s="37">
        <v>68150</v>
      </c>
      <c r="B565" s="409">
        <f t="shared" ref="B565:C565" si="571">($A565-B$9)/365.25</f>
        <v>104.70636550308008</v>
      </c>
      <c r="C565" s="409">
        <f t="shared" si="571"/>
        <v>100.09582477754962</v>
      </c>
      <c r="E565" s="25">
        <f>IF(C565&gt;$B$7,0,'Combined Retirement'!$D$13/12)</f>
        <v>0</v>
      </c>
      <c r="F565" s="25">
        <f>IF(H565=0,'Combined Retirement'!$D$32,0)+'Combined Retirement'!$B$24</f>
        <v>2870.372285649099</v>
      </c>
      <c r="G565" s="25">
        <f>'Combined Retirement'!$C$24</f>
        <v>3525.4531757812501</v>
      </c>
      <c r="H565" s="25">
        <f>IF(B565&lt;62,0,'Combined Retirement'!$I$14)</f>
        <v>2192</v>
      </c>
      <c r="I565" s="25">
        <f>IF(C565&lt;62,0,'Combined Retirement'!$I$13)</f>
        <v>2420</v>
      </c>
      <c r="J565" s="25">
        <f t="shared" si="523"/>
        <v>7863.2184191855868</v>
      </c>
      <c r="K565" s="25">
        <f t="shared" si="524"/>
        <v>20282.026119384056</v>
      </c>
      <c r="L565" s="25"/>
      <c r="N565" s="25">
        <f>'Combined Retirement'!$C$18/12</f>
        <v>39153.069999999992</v>
      </c>
      <c r="O565" s="25">
        <f t="shared" si="525"/>
        <v>11007.82546143035</v>
      </c>
      <c r="P565" s="25">
        <f t="shared" si="526"/>
        <v>28145.244538569641</v>
      </c>
      <c r="Q565" s="25">
        <f t="array" aca="1" ref="Q565" ca="1">INDEX('Isaac 401k'!L:L,MATCH('Retirement Calculator'!A565,'Isaac 401k'!N:N,0),0)</f>
        <v>52289.609371818537</v>
      </c>
      <c r="R565" s="25">
        <f t="array" aca="1" ref="R565" ca="1">INDEX('Lorri 401b'!L:L,MATCH('Retirement Calculator'!A565,'Lorri 401b'!N:N,0),0)</f>
        <v>183408.13239339765</v>
      </c>
      <c r="S565" s="25">
        <f t="shared" ca="1" si="527"/>
        <v>235697.7417652162</v>
      </c>
    </row>
    <row r="566" spans="1:19" ht="15.75" customHeight="1" x14ac:dyDescent="0.3">
      <c r="A566" s="37">
        <v>68181</v>
      </c>
      <c r="B566" s="409">
        <f t="shared" ref="B566:C566" si="572">($A566-B$9)/365.25</f>
        <v>104.79123887748118</v>
      </c>
      <c r="C566" s="409">
        <f t="shared" si="572"/>
        <v>100.18069815195072</v>
      </c>
      <c r="E566" s="25">
        <f>IF(C566&gt;$B$7,0,'Combined Retirement'!$D$13/12)</f>
        <v>0</v>
      </c>
      <c r="F566" s="25">
        <f>IF(H566=0,'Combined Retirement'!$D$32,0)+'Combined Retirement'!$B$24</f>
        <v>2870.372285649099</v>
      </c>
      <c r="G566" s="25">
        <f>'Combined Retirement'!$C$24</f>
        <v>3525.4531757812501</v>
      </c>
      <c r="H566" s="25">
        <f>IF(B566&lt;62,0,'Combined Retirement'!$I$14)</f>
        <v>2192</v>
      </c>
      <c r="I566" s="25">
        <f>IF(C566&lt;62,0,'Combined Retirement'!$I$13)</f>
        <v>2420</v>
      </c>
      <c r="J566" s="25">
        <f t="shared" si="523"/>
        <v>7863.2184191855868</v>
      </c>
      <c r="K566" s="25">
        <f t="shared" si="524"/>
        <v>20282.026119384056</v>
      </c>
      <c r="L566" s="25"/>
      <c r="N566" s="25">
        <f>'Combined Retirement'!$C$18/12</f>
        <v>39153.069999999992</v>
      </c>
      <c r="O566" s="25">
        <f t="shared" si="525"/>
        <v>11007.82546143035</v>
      </c>
      <c r="P566" s="25">
        <f t="shared" si="526"/>
        <v>28145.244538569641</v>
      </c>
      <c r="Q566" s="25">
        <f t="array" aca="1" ref="Q566" ca="1">INDEX('Isaac 401k'!L:L,MATCH('Retirement Calculator'!A566,'Isaac 401k'!N:N,0),0)</f>
        <v>44611.50091493559</v>
      </c>
      <c r="R566" s="25">
        <f t="array" aca="1" ref="R566" ca="1">INDEX('Lorri 401b'!L:L,MATCH('Retirement Calculator'!A566,'Lorri 401b'!N:N,0),0)</f>
        <v>163805.79838348864</v>
      </c>
      <c r="S566" s="25">
        <f t="shared" ca="1" si="527"/>
        <v>208417.29929842422</v>
      </c>
    </row>
    <row r="567" spans="1:19" ht="15.75" customHeight="1" x14ac:dyDescent="0.3">
      <c r="A567" s="37">
        <v>68211</v>
      </c>
      <c r="B567" s="409">
        <f t="shared" ref="B567:C567" si="573">($A567-B$9)/365.25</f>
        <v>104.87337440109513</v>
      </c>
      <c r="C567" s="409">
        <f t="shared" si="573"/>
        <v>100.26283367556468</v>
      </c>
      <c r="E567" s="25">
        <f>IF(C567&gt;$B$7,0,'Combined Retirement'!$D$13/12)</f>
        <v>0</v>
      </c>
      <c r="F567" s="25">
        <f>IF(H567=0,'Combined Retirement'!$D$32,0)+'Combined Retirement'!$B$24</f>
        <v>2870.372285649099</v>
      </c>
      <c r="G567" s="25">
        <f>'Combined Retirement'!$C$24</f>
        <v>3525.4531757812501</v>
      </c>
      <c r="H567" s="25">
        <f>IF(B567&lt;62,0,'Combined Retirement'!$I$14)</f>
        <v>2192</v>
      </c>
      <c r="I567" s="25">
        <f>IF(C567&lt;62,0,'Combined Retirement'!$I$13)</f>
        <v>2420</v>
      </c>
      <c r="J567" s="25">
        <f t="shared" si="523"/>
        <v>7863.2184191855868</v>
      </c>
      <c r="K567" s="25">
        <f t="shared" si="524"/>
        <v>20282.026119384056</v>
      </c>
      <c r="L567" s="25"/>
      <c r="N567" s="25">
        <f>'Combined Retirement'!$C$18/12</f>
        <v>39153.069999999992</v>
      </c>
      <c r="O567" s="25">
        <f t="shared" si="525"/>
        <v>11007.82546143035</v>
      </c>
      <c r="P567" s="25">
        <f t="shared" si="526"/>
        <v>28145.244538569641</v>
      </c>
      <c r="Q567" s="25">
        <f t="array" aca="1" ref="Q567" ca="1">INDEX('Isaac 401k'!L:L,MATCH('Retirement Calculator'!A567,'Isaac 401k'!N:N,0),0)</f>
        <v>36901.400339482294</v>
      </c>
      <c r="R567" s="25">
        <f t="array" aca="1" ref="R567" ca="1">INDEX('Lorri 401b'!L:L,MATCH('Retirement Calculator'!A567,'Lorri 401b'!N:N,0),0)</f>
        <v>144121.78798187166</v>
      </c>
      <c r="S567" s="25">
        <f t="shared" ca="1" si="527"/>
        <v>181023.18832135395</v>
      </c>
    </row>
    <row r="568" spans="1:19" ht="15.75" customHeight="1" x14ac:dyDescent="0.3">
      <c r="A568" s="37">
        <v>68242</v>
      </c>
      <c r="B568" s="409">
        <f t="shared" ref="B568:C568" si="574">($A568-B$9)/365.25</f>
        <v>104.95824777549623</v>
      </c>
      <c r="C568" s="409">
        <f t="shared" si="574"/>
        <v>100.34770704996578</v>
      </c>
      <c r="E568" s="25">
        <f>IF(C568&gt;$B$7,0,'Combined Retirement'!$D$13/12)</f>
        <v>0</v>
      </c>
      <c r="F568" s="25">
        <f>IF(H568=0,'Combined Retirement'!$D$32,0)+'Combined Retirement'!$B$24</f>
        <v>2870.372285649099</v>
      </c>
      <c r="G568" s="25">
        <f>'Combined Retirement'!$C$24</f>
        <v>3525.4531757812501</v>
      </c>
      <c r="H568" s="25">
        <f>IF(B568&lt;62,0,'Combined Retirement'!$I$14)</f>
        <v>2192</v>
      </c>
      <c r="I568" s="25">
        <f>IF(C568&lt;62,0,'Combined Retirement'!$I$13)</f>
        <v>2420</v>
      </c>
      <c r="J568" s="25">
        <f t="shared" si="523"/>
        <v>7863.2184191855868</v>
      </c>
      <c r="K568" s="25">
        <f t="shared" si="524"/>
        <v>20282.026119384056</v>
      </c>
      <c r="L568" s="25"/>
      <c r="N568" s="25">
        <f>'Combined Retirement'!$C$18/12</f>
        <v>39153.069999999992</v>
      </c>
      <c r="O568" s="25">
        <f t="shared" si="525"/>
        <v>11007.82546143035</v>
      </c>
      <c r="P568" s="25">
        <f t="shared" si="526"/>
        <v>28145.244538569641</v>
      </c>
      <c r="Q568" s="25">
        <f t="array" aca="1" ref="Q568" ca="1">INDEX('Isaac 401k'!L:L,MATCH('Retirement Calculator'!A568,'Isaac 401k'!N:N,0),0)</f>
        <v>29159.174344964613</v>
      </c>
      <c r="R568" s="25">
        <f t="array" aca="1" ref="R568" ca="1">INDEX('Lorri 401b'!L:L,MATCH('Retirement Calculator'!A568,'Lorri 401b'!N:N,0),0)</f>
        <v>124355.76087024796</v>
      </c>
      <c r="S568" s="25">
        <f t="shared" ca="1" si="527"/>
        <v>153514.93521521258</v>
      </c>
    </row>
    <row r="569" spans="1:19" ht="15.75" customHeight="1" x14ac:dyDescent="0.3">
      <c r="A569" s="37">
        <v>68272</v>
      </c>
      <c r="B569" s="409">
        <f t="shared" ref="B569:C569" si="575">($A569-B$9)/365.25</f>
        <v>105.0403832991102</v>
      </c>
      <c r="C569" s="409">
        <f t="shared" si="575"/>
        <v>100.42984257357973</v>
      </c>
      <c r="E569" s="25">
        <f>IF(C569&gt;$B$7,0,'Combined Retirement'!$D$13/12)</f>
        <v>0</v>
      </c>
      <c r="F569" s="25">
        <f>IF(H569=0,'Combined Retirement'!$D$32,0)+'Combined Retirement'!$B$24</f>
        <v>2870.372285649099</v>
      </c>
      <c r="G569" s="25">
        <f>'Combined Retirement'!$C$24</f>
        <v>3525.4531757812501</v>
      </c>
      <c r="H569" s="25">
        <f>IF(B569&lt;62,0,'Combined Retirement'!$I$14)</f>
        <v>2192</v>
      </c>
      <c r="I569" s="25">
        <f>IF(C569&lt;62,0,'Combined Retirement'!$I$13)</f>
        <v>2420</v>
      </c>
      <c r="J569" s="25">
        <f t="shared" si="523"/>
        <v>7863.2184191855868</v>
      </c>
      <c r="K569" s="25">
        <f t="shared" si="524"/>
        <v>20282.026119384056</v>
      </c>
      <c r="L569" s="25"/>
      <c r="N569" s="25">
        <f>'Combined Retirement'!$C$18/12</f>
        <v>39153.069999999992</v>
      </c>
      <c r="O569" s="25">
        <f t="shared" si="525"/>
        <v>11007.82546143035</v>
      </c>
      <c r="P569" s="25">
        <f t="shared" si="526"/>
        <v>28145.244538569641</v>
      </c>
      <c r="Q569" s="25">
        <f t="array" aca="1" ref="Q569" ca="1">INDEX('Isaac 401k'!L:L,MATCH('Retirement Calculator'!A569,'Isaac 401k'!N:N,0),0)</f>
        <v>21384.689075469771</v>
      </c>
      <c r="R569" s="25">
        <f t="array" aca="1" ref="R569" ca="1">INDEX('Lorri 401b'!L:L,MATCH('Retirement Calculator'!A569,'Lorri 401b'!N:N,0),0)</f>
        <v>104507.37531232584</v>
      </c>
      <c r="S569" s="25">
        <f t="shared" ca="1" si="527"/>
        <v>125892.0643877956</v>
      </c>
    </row>
    <row r="570" spans="1:19" ht="15.75" customHeight="1" x14ac:dyDescent="0.3">
      <c r="A570" s="37">
        <v>68303</v>
      </c>
      <c r="B570" s="409">
        <f t="shared" ref="B570:C570" si="576">($A570-B$9)/365.25</f>
        <v>105.12525667351129</v>
      </c>
      <c r="C570" s="409">
        <f t="shared" si="576"/>
        <v>100.51471594798083</v>
      </c>
      <c r="E570" s="25">
        <f>IF(C570&gt;$B$7,0,'Combined Retirement'!$D$13/12)</f>
        <v>0</v>
      </c>
      <c r="F570" s="25">
        <f>IF(H570=0,'Combined Retirement'!$D$32,0)+'Combined Retirement'!$B$24</f>
        <v>2870.372285649099</v>
      </c>
      <c r="G570" s="25">
        <f>'Combined Retirement'!$C$24</f>
        <v>3525.4531757812501</v>
      </c>
      <c r="H570" s="25">
        <f>IF(B570&lt;62,0,'Combined Retirement'!$I$14)</f>
        <v>2192</v>
      </c>
      <c r="I570" s="25">
        <f>IF(C570&lt;62,0,'Combined Retirement'!$I$13)</f>
        <v>2420</v>
      </c>
      <c r="J570" s="25">
        <f t="shared" si="523"/>
        <v>7863.2184191855868</v>
      </c>
      <c r="K570" s="25">
        <f t="shared" si="524"/>
        <v>20282.026119384056</v>
      </c>
      <c r="L570" s="25"/>
      <c r="N570" s="25">
        <f>'Combined Retirement'!$C$18/12</f>
        <v>39153.069999999992</v>
      </c>
      <c r="O570" s="25">
        <f t="shared" si="525"/>
        <v>11007.82546143035</v>
      </c>
      <c r="P570" s="25">
        <f t="shared" si="526"/>
        <v>28145.244538569641</v>
      </c>
      <c r="Q570" s="25">
        <f t="array" aca="1" ref="Q570" ca="1">INDEX('Isaac 401k'!L:L,MATCH('Retirement Calculator'!A570,'Isaac 401k'!N:N,0),0)</f>
        <v>13577.810117352035</v>
      </c>
      <c r="R570" s="25">
        <f t="array" aca="1" ref="R570" ca="1">INDEX('Lorri 401b'!L:L,MATCH('Retirement Calculator'!A570,'Lorri 401b'!N:N,0),0)</f>
        <v>84576.288147912375</v>
      </c>
      <c r="S570" s="25">
        <f t="shared" ca="1" si="527"/>
        <v>98154.098265264416</v>
      </c>
    </row>
    <row r="571" spans="1:19" ht="15.75" customHeight="1" x14ac:dyDescent="0.3">
      <c r="A571" s="37">
        <v>68334</v>
      </c>
      <c r="B571" s="409">
        <f t="shared" ref="B571:C571" si="577">($A571-B$9)/365.25</f>
        <v>105.21013004791239</v>
      </c>
      <c r="C571" s="409">
        <f t="shared" si="577"/>
        <v>100.59958932238193</v>
      </c>
      <c r="E571" s="25">
        <f>IF(C571&gt;$B$7,0,'Combined Retirement'!$D$13/12)</f>
        <v>0</v>
      </c>
      <c r="F571" s="25">
        <f>IF(H571=0,'Combined Retirement'!$D$32,0)+'Combined Retirement'!$B$24</f>
        <v>2870.372285649099</v>
      </c>
      <c r="G571" s="25">
        <f>'Combined Retirement'!$C$24</f>
        <v>3525.4531757812501</v>
      </c>
      <c r="H571" s="25">
        <f>IF(B571&lt;62,0,'Combined Retirement'!$I$14)</f>
        <v>2192</v>
      </c>
      <c r="I571" s="25">
        <f>IF(C571&lt;62,0,'Combined Retirement'!$I$13)</f>
        <v>2420</v>
      </c>
      <c r="J571" s="25">
        <f t="shared" si="523"/>
        <v>7863.2184191855868</v>
      </c>
      <c r="K571" s="25">
        <f t="shared" si="524"/>
        <v>20282.026119384056</v>
      </c>
      <c r="L571" s="25"/>
      <c r="N571" s="25">
        <f>'Combined Retirement'!$C$18/12</f>
        <v>39153.069999999992</v>
      </c>
      <c r="O571" s="25">
        <f t="shared" si="525"/>
        <v>11007.82546143035</v>
      </c>
      <c r="P571" s="25">
        <f t="shared" si="526"/>
        <v>28145.244538569641</v>
      </c>
      <c r="Q571" s="25">
        <f t="array" aca="1" ref="Q571" ca="1">INDEX('Isaac 401k'!L:L,MATCH('Retirement Calculator'!A571,'Isaac 401k'!N:N,0),0)</f>
        <v>5738.4024969088086</v>
      </c>
      <c r="R571" s="25">
        <f t="array" aca="1" ref="R571" ca="1">INDEX('Lorri 401b'!L:L,MATCH('Retirement Calculator'!A571,'Lorri 401b'!N:N,0),0)</f>
        <v>64562.154786980522</v>
      </c>
      <c r="S571" s="25">
        <f t="shared" ca="1" si="527"/>
        <v>70300.557283889328</v>
      </c>
    </row>
    <row r="572" spans="1:19" ht="15.75" customHeight="1" x14ac:dyDescent="0.3">
      <c r="A572" s="37">
        <v>68362</v>
      </c>
      <c r="B572" s="409">
        <f t="shared" ref="B572:C572" si="578">($A572-B$9)/365.25</f>
        <v>105.28678986995209</v>
      </c>
      <c r="C572" s="409">
        <f t="shared" si="578"/>
        <v>100.67624914442163</v>
      </c>
      <c r="E572" s="25">
        <f>IF(C572&gt;$B$7,0,'Combined Retirement'!$D$13/12)</f>
        <v>0</v>
      </c>
      <c r="F572" s="25">
        <f>IF(H572=0,'Combined Retirement'!$D$32,0)+'Combined Retirement'!$B$24</f>
        <v>2870.372285649099</v>
      </c>
      <c r="G572" s="25">
        <f>'Combined Retirement'!$C$24</f>
        <v>3525.4531757812501</v>
      </c>
      <c r="H572" s="25">
        <f>IF(B572&lt;62,0,'Combined Retirement'!$I$14)</f>
        <v>2192</v>
      </c>
      <c r="I572" s="25">
        <f>IF(C572&lt;62,0,'Combined Retirement'!$I$13)</f>
        <v>2420</v>
      </c>
      <c r="J572" s="25">
        <f t="shared" si="523"/>
        <v>7863.2184191855868</v>
      </c>
      <c r="K572" s="25">
        <f t="shared" si="524"/>
        <v>20282.026119384056</v>
      </c>
      <c r="L572" s="25"/>
      <c r="N572" s="25">
        <f>'Combined Retirement'!$C$18/12</f>
        <v>39153.069999999992</v>
      </c>
      <c r="O572" s="25">
        <f t="shared" si="525"/>
        <v>11007.82546143035</v>
      </c>
      <c r="P572" s="25">
        <f t="shared" si="526"/>
        <v>28145.244538569641</v>
      </c>
      <c r="Q572" s="25">
        <f t="array" aca="1" ref="Q572" ca="1">INDEX('Isaac 401k'!L:L,MATCH('Retirement Calculator'!A572,'Isaac 401k'!N:N,0),0)</f>
        <v>-2133.6693219529316</v>
      </c>
      <c r="R572" s="25">
        <f t="array" aca="1" ref="R572" ca="1">INDEX('Lorri 401b'!L:L,MATCH('Retirement Calculator'!A572,'Lorri 401b'!N:N,0),0)</f>
        <v>44464.629203711454</v>
      </c>
      <c r="S572" s="25">
        <f t="shared" ca="1" si="527"/>
        <v>42330.959881758521</v>
      </c>
    </row>
    <row r="573" spans="1:19" ht="15.75" customHeight="1" x14ac:dyDescent="0.3">
      <c r="A573" s="37">
        <v>68393</v>
      </c>
      <c r="B573" s="409">
        <f t="shared" ref="B573:C573" si="579">($A573-B$9)/365.25</f>
        <v>105.37166324435319</v>
      </c>
      <c r="C573" s="409">
        <f t="shared" si="579"/>
        <v>100.76112251882273</v>
      </c>
      <c r="E573" s="25">
        <f>IF(C573&gt;$B$7,0,'Combined Retirement'!$D$13/12)</f>
        <v>0</v>
      </c>
      <c r="F573" s="25">
        <f>IF(H573=0,'Combined Retirement'!$D$32,0)+'Combined Retirement'!$B$24</f>
        <v>2870.372285649099</v>
      </c>
      <c r="G573" s="25">
        <f>'Combined Retirement'!$C$24</f>
        <v>3525.4531757812501</v>
      </c>
      <c r="H573" s="25">
        <f>IF(B573&lt;62,0,'Combined Retirement'!$I$14)</f>
        <v>2192</v>
      </c>
      <c r="I573" s="25">
        <f>IF(C573&lt;62,0,'Combined Retirement'!$I$13)</f>
        <v>2420</v>
      </c>
      <c r="J573" s="25">
        <f t="shared" si="523"/>
        <v>7863.2184191855868</v>
      </c>
      <c r="K573" s="25">
        <f t="shared" si="524"/>
        <v>20282.026119384056</v>
      </c>
      <c r="L573" s="25"/>
      <c r="N573" s="25">
        <f>'Combined Retirement'!$C$18/12</f>
        <v>39153.069999999992</v>
      </c>
      <c r="O573" s="25">
        <f t="shared" si="525"/>
        <v>11007.82546143035</v>
      </c>
      <c r="P573" s="25">
        <f t="shared" si="526"/>
        <v>28145.244538569641</v>
      </c>
      <c r="Q573" s="25">
        <f t="array" aca="1" ref="Q573" ca="1">INDEX('Isaac 401k'!L:L,MATCH('Retirement Calculator'!A573,'Isaac 401k'!N:N,0),0)</f>
        <v>-10038.541440059929</v>
      </c>
      <c r="R573" s="25">
        <f t="array" aca="1" ref="R573" ca="1">INDEX('Lorri 401b'!L:L,MATCH('Retirement Calculator'!A573,'Lorri 401b'!N:N,0),0)</f>
        <v>24283.363930512096</v>
      </c>
      <c r="S573" s="25">
        <f t="shared" ca="1" si="527"/>
        <v>14244.822490452167</v>
      </c>
    </row>
    <row r="574" spans="1:19" ht="15.75" customHeight="1" x14ac:dyDescent="0.3">
      <c r="A574" s="37">
        <v>68423</v>
      </c>
      <c r="B574" s="409">
        <f t="shared" ref="B574:C574" si="580">($A574-B$9)/365.25</f>
        <v>105.45379876796714</v>
      </c>
      <c r="C574" s="409">
        <f t="shared" si="580"/>
        <v>100.84325804243669</v>
      </c>
      <c r="E574" s="25">
        <f>IF(C574&gt;$B$7,0,'Combined Retirement'!$D$13/12)</f>
        <v>0</v>
      </c>
      <c r="F574" s="25">
        <f>IF(H574=0,'Combined Retirement'!$D$32,0)+'Combined Retirement'!$B$24</f>
        <v>2870.372285649099</v>
      </c>
      <c r="G574" s="25">
        <f>'Combined Retirement'!$C$24</f>
        <v>3525.4531757812501</v>
      </c>
      <c r="H574" s="25">
        <f>IF(B574&lt;62,0,'Combined Retirement'!$I$14)</f>
        <v>2192</v>
      </c>
      <c r="I574" s="25">
        <f>IF(C574&lt;62,0,'Combined Retirement'!$I$13)</f>
        <v>2420</v>
      </c>
      <c r="J574" s="25">
        <f t="shared" si="523"/>
        <v>7863.2184191855868</v>
      </c>
      <c r="K574" s="25">
        <f t="shared" si="524"/>
        <v>20282.026119384056</v>
      </c>
      <c r="L574" s="25"/>
      <c r="N574" s="25">
        <f>'Combined Retirement'!$C$18/12</f>
        <v>39153.069999999992</v>
      </c>
      <c r="O574" s="25">
        <f t="shared" si="525"/>
        <v>11007.82546143035</v>
      </c>
      <c r="P574" s="25">
        <f t="shared" si="526"/>
        <v>28145.244538569641</v>
      </c>
      <c r="Q574" s="25">
        <f t="array" aca="1" ref="Q574" ca="1">INDEX('Isaac 401k'!L:L,MATCH('Retirement Calculator'!A574,'Isaac 401k'!N:N,0),0)</f>
        <v>-17976.350525325706</v>
      </c>
      <c r="R574" s="25">
        <f t="array" aca="1" ref="R574" ca="1">INDEX('Lorri 401b'!L:L,MATCH('Retirement Calculator'!A574,'Lorri 401b'!N:N,0),0)</f>
        <v>4018.0100520077399</v>
      </c>
      <c r="S574" s="25">
        <f t="shared" ca="1" si="527"/>
        <v>-13958.340473317967</v>
      </c>
    </row>
    <row r="575" spans="1:19" ht="15.75" customHeight="1" x14ac:dyDescent="0.3">
      <c r="A575" s="37">
        <v>68454</v>
      </c>
      <c r="B575" s="409">
        <f t="shared" ref="B575:C575" si="581">($A575-B$9)/365.25</f>
        <v>105.53867214236824</v>
      </c>
      <c r="C575" s="409">
        <f t="shared" si="581"/>
        <v>100.92813141683779</v>
      </c>
      <c r="E575" s="25">
        <f>IF(C575&gt;$B$7,0,'Combined Retirement'!$D$13/12)</f>
        <v>0</v>
      </c>
      <c r="F575" s="25">
        <f>IF(H575=0,'Combined Retirement'!$D$32,0)+'Combined Retirement'!$B$24</f>
        <v>2870.372285649099</v>
      </c>
      <c r="G575" s="25">
        <f>'Combined Retirement'!$C$24</f>
        <v>3525.4531757812501</v>
      </c>
      <c r="H575" s="25">
        <f>IF(B575&lt;62,0,'Combined Retirement'!$I$14)</f>
        <v>2192</v>
      </c>
      <c r="I575" s="25">
        <f>IF(C575&lt;62,0,'Combined Retirement'!$I$13)</f>
        <v>2420</v>
      </c>
      <c r="J575" s="25">
        <f t="shared" si="523"/>
        <v>7863.2184191855868</v>
      </c>
      <c r="K575" s="25">
        <f t="shared" si="524"/>
        <v>20282.026119384056</v>
      </c>
      <c r="L575" s="25"/>
      <c r="N575" s="25">
        <f>'Combined Retirement'!$C$18/12</f>
        <v>39153.069999999992</v>
      </c>
      <c r="O575" s="25">
        <f t="shared" si="525"/>
        <v>11007.82546143035</v>
      </c>
      <c r="P575" s="25">
        <f t="shared" si="526"/>
        <v>28145.244538569641</v>
      </c>
      <c r="Q575" s="25">
        <f t="array" aca="1" ref="Q575" ca="1">INDEX('Isaac 401k'!L:L,MATCH('Retirement Calculator'!A575,'Isaac 401k'!N:N,0),0)</f>
        <v>-25947.233815113424</v>
      </c>
      <c r="R575" s="25">
        <f t="array" aca="1" ref="R575" ca="1">INDEX('Lorri 401b'!L:L,MATCH('Retirement Calculator'!A575,'Lorri 401b'!N:N,0),0)</f>
        <v>-16331.782800990384</v>
      </c>
      <c r="S575" s="25">
        <f t="shared" ca="1" si="527"/>
        <v>-42279.016616103807</v>
      </c>
    </row>
    <row r="576" spans="1:19" ht="15.75" customHeight="1" x14ac:dyDescent="0.3">
      <c r="A576" s="37">
        <v>68484</v>
      </c>
      <c r="B576" s="409">
        <f t="shared" ref="B576:C576" si="582">($A576-B$9)/365.25</f>
        <v>105.6208076659822</v>
      </c>
      <c r="C576" s="409">
        <f t="shared" si="582"/>
        <v>101.01026694045174</v>
      </c>
      <c r="E576" s="25">
        <f>IF(C576&gt;$B$7,0,'Combined Retirement'!$D$13/12)</f>
        <v>0</v>
      </c>
      <c r="F576" s="25">
        <f>IF(H576=0,'Combined Retirement'!$D$32,0)+'Combined Retirement'!$B$24</f>
        <v>2870.372285649099</v>
      </c>
      <c r="G576" s="25">
        <f>'Combined Retirement'!$C$24</f>
        <v>3525.4531757812501</v>
      </c>
      <c r="H576" s="25">
        <f>IF(B576&lt;62,0,'Combined Retirement'!$I$14)</f>
        <v>2192</v>
      </c>
      <c r="I576" s="25">
        <f>IF(C576&lt;62,0,'Combined Retirement'!$I$13)</f>
        <v>2420</v>
      </c>
      <c r="J576" s="25">
        <f t="shared" si="523"/>
        <v>7863.2184191855868</v>
      </c>
      <c r="K576" s="25">
        <f t="shared" si="524"/>
        <v>20282.026119384056</v>
      </c>
      <c r="L576" s="25"/>
      <c r="N576" s="25">
        <f>'Combined Retirement'!$C$18/12</f>
        <v>39153.069999999992</v>
      </c>
      <c r="O576" s="25">
        <f t="shared" si="525"/>
        <v>11007.82546143035</v>
      </c>
      <c r="P576" s="25">
        <f t="shared" si="526"/>
        <v>28145.244538569641</v>
      </c>
      <c r="Q576" s="25">
        <f t="array" aca="1" ref="Q576" ca="1">INDEX('Isaac 401k'!L:L,MATCH('Retirement Calculator'!A576,'Isaac 401k'!N:N,0),0)</f>
        <v>-33951.329118608592</v>
      </c>
      <c r="R576" s="25">
        <f t="array" aca="1" ref="R576" ca="1">INDEX('Lorri 401b'!L:L,MATCH('Retirement Calculator'!A576,'Lorri 401b'!N:N,0),0)</f>
        <v>-36766.366457542666</v>
      </c>
      <c r="S576" s="25">
        <f t="shared" ca="1" si="527"/>
        <v>-70717.695576151251</v>
      </c>
    </row>
    <row r="577" spans="1:19" ht="15.75" customHeight="1" x14ac:dyDescent="0.3">
      <c r="A577" s="37">
        <v>68515</v>
      </c>
      <c r="B577" s="409">
        <f t="shared" ref="B577:C577" si="583">($A577-B$9)/365.25</f>
        <v>105.7056810403833</v>
      </c>
      <c r="C577" s="409">
        <f t="shared" si="583"/>
        <v>101.09514031485284</v>
      </c>
      <c r="E577" s="25">
        <f>IF(C577&gt;$B$7,0,'Combined Retirement'!$D$13/12)</f>
        <v>0</v>
      </c>
      <c r="F577" s="25">
        <f>IF(H577=0,'Combined Retirement'!$D$32,0)+'Combined Retirement'!$B$24</f>
        <v>2870.372285649099</v>
      </c>
      <c r="G577" s="25">
        <f>'Combined Retirement'!$C$24</f>
        <v>3525.4531757812501</v>
      </c>
      <c r="H577" s="25">
        <f>IF(B577&lt;62,0,'Combined Retirement'!$I$14)</f>
        <v>2192</v>
      </c>
      <c r="I577" s="25">
        <f>IF(C577&lt;62,0,'Combined Retirement'!$I$13)</f>
        <v>2420</v>
      </c>
      <c r="J577" s="25">
        <f t="shared" si="523"/>
        <v>7863.2184191855868</v>
      </c>
      <c r="K577" s="25">
        <f t="shared" si="524"/>
        <v>20282.026119384056</v>
      </c>
      <c r="L577" s="25"/>
      <c r="N577" s="25">
        <f>'Combined Retirement'!$C$18/12</f>
        <v>39153.069999999992</v>
      </c>
      <c r="O577" s="25">
        <f t="shared" si="525"/>
        <v>11007.82546143035</v>
      </c>
      <c r="P577" s="25">
        <f t="shared" si="526"/>
        <v>28145.244538569641</v>
      </c>
      <c r="Q577" s="25">
        <f t="array" aca="1" ref="Q577" ca="1">INDEX('Isaac 401k'!L:L,MATCH('Retirement Calculator'!A577,'Isaac 401k'!N:N,0),0)</f>
        <v>-41988.774819201652</v>
      </c>
      <c r="R577" s="25">
        <f t="array" aca="1" ref="R577" ca="1">INDEX('Lorri 401b'!L:L,MATCH('Retirement Calculator'!A577,'Lorri 401b'!N:N,0),0)</f>
        <v>-57286.09421266392</v>
      </c>
      <c r="S577" s="25">
        <f t="shared" ca="1" si="527"/>
        <v>-99274.869031865572</v>
      </c>
    </row>
    <row r="578" spans="1:19" ht="15.75" customHeight="1" x14ac:dyDescent="0.3">
      <c r="A578" s="37">
        <v>68546</v>
      </c>
      <c r="B578" s="409">
        <f t="shared" ref="B578:C578" si="584">($A578-B$9)/365.25</f>
        <v>105.7905544147844</v>
      </c>
      <c r="C578" s="409">
        <f t="shared" si="584"/>
        <v>101.18001368925394</v>
      </c>
      <c r="E578" s="25">
        <f>IF(C578&gt;$B$7,0,'Combined Retirement'!$D$13/12)</f>
        <v>0</v>
      </c>
      <c r="F578" s="25">
        <f>IF(H578=0,'Combined Retirement'!$D$32,0)+'Combined Retirement'!$B$24</f>
        <v>2870.372285649099</v>
      </c>
      <c r="G578" s="25">
        <f>'Combined Retirement'!$C$24</f>
        <v>3525.4531757812501</v>
      </c>
      <c r="H578" s="25">
        <f>IF(B578&lt;62,0,'Combined Retirement'!$I$14)</f>
        <v>2192</v>
      </c>
      <c r="I578" s="25">
        <f>IF(C578&lt;62,0,'Combined Retirement'!$I$13)</f>
        <v>2420</v>
      </c>
      <c r="J578" s="25">
        <f t="shared" si="523"/>
        <v>7863.2184191855868</v>
      </c>
      <c r="K578" s="25">
        <f t="shared" si="524"/>
        <v>20282.026119384056</v>
      </c>
      <c r="L578" s="25"/>
      <c r="N578" s="25">
        <f>'Combined Retirement'!$C$18/12</f>
        <v>39153.069999999992</v>
      </c>
      <c r="O578" s="25">
        <f t="shared" si="525"/>
        <v>11007.82546143035</v>
      </c>
      <c r="P578" s="25">
        <f t="shared" si="526"/>
        <v>28145.244538569641</v>
      </c>
      <c r="Q578" s="25">
        <f t="array" aca="1" ref="Q578" ca="1">INDEX('Isaac 401k'!L:L,MATCH('Retirement Calculator'!A578,'Isaac 401k'!N:N,0),0)</f>
        <v>-50059.709876880515</v>
      </c>
      <c r="R578" s="25">
        <f t="array" aca="1" ref="R578" ca="1">INDEX('Lorri 401b'!L:L,MATCH('Retirement Calculator'!A578,'Lorri 401b'!N:N,0),0)</f>
        <v>-77891.320833431513</v>
      </c>
      <c r="S578" s="25">
        <f t="shared" ca="1" si="527"/>
        <v>-127951.03071031203</v>
      </c>
    </row>
    <row r="579" spans="1:19" ht="15.75" customHeight="1" x14ac:dyDescent="0.3">
      <c r="A579" s="37">
        <v>68576</v>
      </c>
      <c r="B579" s="409">
        <f t="shared" ref="B579:C579" si="585">($A579-B$9)/365.25</f>
        <v>105.87268993839835</v>
      </c>
      <c r="C579" s="409">
        <f t="shared" si="585"/>
        <v>101.2621492128679</v>
      </c>
      <c r="E579" s="25">
        <f>IF(C579&gt;$B$7,0,'Combined Retirement'!$D$13/12)</f>
        <v>0</v>
      </c>
      <c r="F579" s="25">
        <f>IF(H579=0,'Combined Retirement'!$D$32,0)+'Combined Retirement'!$B$24</f>
        <v>2870.372285649099</v>
      </c>
      <c r="G579" s="25">
        <f>'Combined Retirement'!$C$24</f>
        <v>3525.4531757812501</v>
      </c>
      <c r="H579" s="25">
        <f>IF(B579&lt;62,0,'Combined Retirement'!$I$14)</f>
        <v>2192</v>
      </c>
      <c r="I579" s="25">
        <f>IF(C579&lt;62,0,'Combined Retirement'!$I$13)</f>
        <v>2420</v>
      </c>
      <c r="J579" s="25">
        <f t="shared" si="523"/>
        <v>7863.2184191855868</v>
      </c>
      <c r="K579" s="25">
        <f t="shared" si="524"/>
        <v>20282.026119384056</v>
      </c>
      <c r="L579" s="25"/>
      <c r="N579" s="25">
        <f>'Combined Retirement'!$C$18/12</f>
        <v>39153.069999999992</v>
      </c>
      <c r="O579" s="25">
        <f t="shared" si="525"/>
        <v>11007.82546143035</v>
      </c>
      <c r="P579" s="25">
        <f t="shared" si="526"/>
        <v>28145.244538569641</v>
      </c>
      <c r="Q579" s="25">
        <f t="array" aca="1" ref="Q579" ca="1">INDEX('Isaac 401k'!L:L,MATCH('Retirement Calculator'!A579,'Isaac 401k'!N:N,0),0)</f>
        <v>-58164.273830633043</v>
      </c>
      <c r="R579" s="25">
        <f t="array" aca="1" ref="R579" ca="1">INDEX('Lorri 401b'!L:L,MATCH('Retirement Calculator'!A579,'Lorri 401b'!N:N,0),0)</f>
        <v>-98582.402565118973</v>
      </c>
      <c r="S579" s="25">
        <f t="shared" ca="1" si="527"/>
        <v>-156746.676395752</v>
      </c>
    </row>
    <row r="580" spans="1:19" ht="15.75" customHeight="1" x14ac:dyDescent="0.3">
      <c r="A580" s="37">
        <v>68607</v>
      </c>
      <c r="B580" s="409">
        <f t="shared" ref="B580:C580" si="586">($A580-B$9)/365.25</f>
        <v>105.95756331279945</v>
      </c>
      <c r="C580" s="409">
        <f t="shared" si="586"/>
        <v>101.347022587269</v>
      </c>
      <c r="E580" s="25">
        <f>IF(C580&gt;$B$7,0,'Combined Retirement'!$D$13/12)</f>
        <v>0</v>
      </c>
      <c r="F580" s="25">
        <f>IF(H580=0,'Combined Retirement'!$D$32,0)+'Combined Retirement'!$B$24</f>
        <v>2870.372285649099</v>
      </c>
      <c r="G580" s="25">
        <f>'Combined Retirement'!$C$24</f>
        <v>3525.4531757812501</v>
      </c>
      <c r="H580" s="25">
        <f>IF(B580&lt;62,0,'Combined Retirement'!$I$14)</f>
        <v>2192</v>
      </c>
      <c r="I580" s="25">
        <f>IF(C580&lt;62,0,'Combined Retirement'!$I$13)</f>
        <v>2420</v>
      </c>
      <c r="J580" s="25">
        <f t="shared" si="523"/>
        <v>7863.2184191855868</v>
      </c>
      <c r="K580" s="25">
        <f t="shared" si="524"/>
        <v>20282.026119384056</v>
      </c>
      <c r="L580" s="25"/>
      <c r="N580" s="25">
        <f>'Combined Retirement'!$C$18/12</f>
        <v>39153.069999999992</v>
      </c>
      <c r="O580" s="25">
        <f t="shared" si="525"/>
        <v>11007.82546143035</v>
      </c>
      <c r="P580" s="25">
        <f t="shared" si="526"/>
        <v>28145.244538569641</v>
      </c>
      <c r="Q580" s="25">
        <f t="array" aca="1" ref="Q580" ca="1">INDEX('Isaac 401k'!L:L,MATCH('Retirement Calculator'!A580,'Isaac 401k'!N:N,0),0)</f>
        <v>-66302.606800859547</v>
      </c>
      <c r="R580" s="25">
        <f t="array" aca="1" ref="R580" ca="1">INDEX('Lorri 401b'!L:L,MATCH('Retirement Calculator'!A580,'Lorri 401b'!N:N,0),0)</f>
        <v>-119359.69713735512</v>
      </c>
      <c r="S580" s="25">
        <f t="shared" ca="1" si="527"/>
        <v>-185662.30393821467</v>
      </c>
    </row>
    <row r="581" spans="1:19" ht="15.75" customHeight="1" x14ac:dyDescent="0.3">
      <c r="A581" s="37">
        <v>68637</v>
      </c>
      <c r="B581" s="409">
        <f t="shared" ref="B581:C581" si="587">($A581-B$9)/365.25</f>
        <v>106.03969883641342</v>
      </c>
      <c r="C581" s="409">
        <f t="shared" si="587"/>
        <v>101.42915811088295</v>
      </c>
      <c r="E581" s="25">
        <f>IF(C581&gt;$B$7,0,'Combined Retirement'!$D$13/12)</f>
        <v>0</v>
      </c>
      <c r="F581" s="25">
        <f>IF(H581=0,'Combined Retirement'!$D$32,0)+'Combined Retirement'!$B$24</f>
        <v>2870.372285649099</v>
      </c>
      <c r="G581" s="25">
        <f>'Combined Retirement'!$C$24</f>
        <v>3525.4531757812501</v>
      </c>
      <c r="H581" s="25">
        <f>IF(B581&lt;62,0,'Combined Retirement'!$I$14)</f>
        <v>2192</v>
      </c>
      <c r="I581" s="25">
        <f>IF(C581&lt;62,0,'Combined Retirement'!$I$13)</f>
        <v>2420</v>
      </c>
      <c r="J581" s="25">
        <f t="shared" si="523"/>
        <v>7863.2184191855868</v>
      </c>
      <c r="K581" s="25">
        <f t="shared" si="524"/>
        <v>20282.026119384056</v>
      </c>
      <c r="L581" s="25"/>
      <c r="N581" s="25">
        <f>'Combined Retirement'!$C$18/12</f>
        <v>39153.069999999992</v>
      </c>
      <c r="O581" s="25">
        <f t="shared" si="525"/>
        <v>11007.82546143035</v>
      </c>
      <c r="P581" s="25">
        <f t="shared" si="526"/>
        <v>28145.244538569641</v>
      </c>
      <c r="Q581" s="25">
        <f t="array" aca="1" ref="Q581" ca="1">INDEX('Isaac 401k'!L:L,MATCH('Retirement Calculator'!A581,'Isaac 401k'!N:N,0),0)</f>
        <v>-74474.849491795321</v>
      </c>
      <c r="R581" s="25">
        <f t="array" aca="1" ref="R581" ca="1">INDEX('Lorri 401b'!L:L,MATCH('Retirement Calculator'!A581,'Lorri 401b'!N:N,0),0)</f>
        <v>-140223.56377030892</v>
      </c>
      <c r="S581" s="25">
        <f t="shared" ca="1" si="527"/>
        <v>-214698.41326210424</v>
      </c>
    </row>
    <row r="582" spans="1:19" ht="15.75" customHeight="1" x14ac:dyDescent="0.3">
      <c r="A582" s="37">
        <v>68668</v>
      </c>
      <c r="B582" s="409">
        <f t="shared" ref="B582:C582" si="588">($A582-B$9)/365.25</f>
        <v>106.12457221081451</v>
      </c>
      <c r="C582" s="409">
        <f t="shared" si="588"/>
        <v>101.51403148528405</v>
      </c>
      <c r="E582" s="25">
        <f>IF(C582&gt;$B$7,0,'Combined Retirement'!$D$13/12)</f>
        <v>0</v>
      </c>
      <c r="F582" s="25">
        <f>IF(H582=0,'Combined Retirement'!$D$32,0)+'Combined Retirement'!$B$24</f>
        <v>2870.372285649099</v>
      </c>
      <c r="G582" s="25">
        <f>'Combined Retirement'!$C$24</f>
        <v>3525.4531757812501</v>
      </c>
      <c r="H582" s="25">
        <f>IF(B582&lt;62,0,'Combined Retirement'!$I$14)</f>
        <v>2192</v>
      </c>
      <c r="I582" s="25">
        <f>IF(C582&lt;62,0,'Combined Retirement'!$I$13)</f>
        <v>2420</v>
      </c>
      <c r="J582" s="25">
        <f t="shared" si="523"/>
        <v>7863.2184191855868</v>
      </c>
      <c r="K582" s="25">
        <f t="shared" si="524"/>
        <v>20282.026119384056</v>
      </c>
      <c r="L582" s="25"/>
      <c r="N582" s="25">
        <f>'Combined Retirement'!$C$18/12</f>
        <v>39153.069999999992</v>
      </c>
      <c r="O582" s="25">
        <f t="shared" si="525"/>
        <v>11007.82546143035</v>
      </c>
      <c r="P582" s="25">
        <f t="shared" si="526"/>
        <v>28145.244538569641</v>
      </c>
      <c r="Q582" s="25">
        <f t="array" aca="1" ref="Q582" ca="1">INDEX('Isaac 401k'!L:L,MATCH('Retirement Calculator'!A582,'Isaac 401k'!N:N,0),0)</f>
        <v>-82681.143193943339</v>
      </c>
      <c r="R582" s="25">
        <f t="array" aca="1" ref="R582" ca="1">INDEX('Lorri 401b'!L:L,MATCH('Retirement Calculator'!A582,'Lorri 401b'!N:N,0),0)</f>
        <v>-161174.36318090002</v>
      </c>
      <c r="S582" s="25">
        <f t="shared" ca="1" si="527"/>
        <v>-243855.50637484336</v>
      </c>
    </row>
    <row r="583" spans="1:19" ht="15.75" customHeight="1" x14ac:dyDescent="0.3">
      <c r="A583" s="37">
        <v>68699</v>
      </c>
      <c r="B583" s="409">
        <f t="shared" ref="B583:C583" si="589">($A583-B$9)/365.25</f>
        <v>106.2094455852156</v>
      </c>
      <c r="C583" s="409">
        <f t="shared" si="589"/>
        <v>101.59890485968515</v>
      </c>
      <c r="E583" s="25">
        <f>IF(C583&gt;$B$7,0,'Combined Retirement'!$D$13/12)</f>
        <v>0</v>
      </c>
      <c r="F583" s="25">
        <f>IF(H583=0,'Combined Retirement'!$D$32,0)+'Combined Retirement'!$B$24</f>
        <v>2870.372285649099</v>
      </c>
      <c r="G583" s="25">
        <f>'Combined Retirement'!$C$24</f>
        <v>3525.4531757812501</v>
      </c>
      <c r="H583" s="25">
        <f>IF(B583&lt;62,0,'Combined Retirement'!$I$14)</f>
        <v>2192</v>
      </c>
      <c r="I583" s="25">
        <f>IF(C583&lt;62,0,'Combined Retirement'!$I$13)</f>
        <v>2420</v>
      </c>
      <c r="J583" s="25">
        <f t="shared" si="523"/>
        <v>7863.2184191855868</v>
      </c>
      <c r="K583" s="25">
        <f t="shared" si="524"/>
        <v>20282.026119384056</v>
      </c>
      <c r="L583" s="25"/>
      <c r="N583" s="25">
        <f>'Combined Retirement'!$C$18/12</f>
        <v>39153.069999999992</v>
      </c>
      <c r="O583" s="25">
        <f t="shared" si="525"/>
        <v>11007.82546143035</v>
      </c>
      <c r="P583" s="25">
        <f t="shared" si="526"/>
        <v>28145.244538569641</v>
      </c>
      <c r="Q583" s="25">
        <f t="array" aca="1" ref="Q583" ca="1">INDEX('Isaac 401k'!L:L,MATCH('Retirement Calculator'!A583,'Isaac 401k'!N:N,0),0)</f>
        <v>-90921.629786516962</v>
      </c>
      <c r="R583" s="25">
        <f t="array" aca="1" ref="R583" ca="1">INDEX('Lorri 401b'!L:L,MATCH('Retirement Calculator'!A583,'Lorri 401b'!N:N,0),0)</f>
        <v>-182212.45758903527</v>
      </c>
      <c r="S583" s="25">
        <f t="shared" ca="1" si="527"/>
        <v>-273134.08737555222</v>
      </c>
    </row>
    <row r="584" spans="1:19" ht="15.75" customHeight="1" x14ac:dyDescent="0.3">
      <c r="A584" s="37">
        <v>68728</v>
      </c>
      <c r="B584" s="409">
        <f t="shared" ref="B584:C584" si="590">($A584-B$9)/365.25</f>
        <v>106.28884325804243</v>
      </c>
      <c r="C584" s="409">
        <f t="shared" si="590"/>
        <v>101.67830253251198</v>
      </c>
      <c r="E584" s="25">
        <f>IF(C584&gt;$B$7,0,'Combined Retirement'!$D$13/12)</f>
        <v>0</v>
      </c>
      <c r="F584" s="25">
        <f>IF(H584=0,'Combined Retirement'!$D$32,0)+'Combined Retirement'!$B$24</f>
        <v>2870.372285649099</v>
      </c>
      <c r="G584" s="25">
        <f>'Combined Retirement'!$C$24</f>
        <v>3525.4531757812501</v>
      </c>
      <c r="H584" s="25">
        <f>IF(B584&lt;62,0,'Combined Retirement'!$I$14)</f>
        <v>2192</v>
      </c>
      <c r="I584" s="25">
        <f>IF(C584&lt;62,0,'Combined Retirement'!$I$13)</f>
        <v>2420</v>
      </c>
      <c r="J584" s="25">
        <f t="shared" si="523"/>
        <v>7863.2184191855868</v>
      </c>
      <c r="K584" s="25">
        <f t="shared" si="524"/>
        <v>20282.026119384056</v>
      </c>
      <c r="L584" s="25"/>
      <c r="N584" s="25">
        <f>'Combined Retirement'!$C$18/12</f>
        <v>39153.069999999992</v>
      </c>
      <c r="O584" s="25">
        <f t="shared" si="525"/>
        <v>11007.82546143035</v>
      </c>
      <c r="P584" s="25">
        <f t="shared" si="526"/>
        <v>28145.244538569641</v>
      </c>
      <c r="Q584" s="25">
        <f t="array" aca="1" ref="Q584" ca="1">INDEX('Isaac 401k'!L:L,MATCH('Retirement Calculator'!A584,'Isaac 401k'!N:N,0),0)</f>
        <v>-99196.451739892975</v>
      </c>
      <c r="R584" s="25">
        <f t="array" aca="1" ref="R584" ca="1">INDEX('Lorri 401b'!L:L,MATCH('Retirement Calculator'!A584,'Lorri 401b'!N:N,0),0)</f>
        <v>-203338.21072387107</v>
      </c>
      <c r="S584" s="25">
        <f t="shared" ca="1" si="527"/>
        <v>-302534.66246376408</v>
      </c>
    </row>
    <row r="585" spans="1:19" ht="15.75" customHeight="1" x14ac:dyDescent="0.3">
      <c r="A585" s="37">
        <v>68759</v>
      </c>
      <c r="B585" s="409">
        <f t="shared" ref="B585:C585" si="591">($A585-B$9)/365.25</f>
        <v>106.37371663244353</v>
      </c>
      <c r="C585" s="409">
        <f t="shared" si="591"/>
        <v>101.76317590691308</v>
      </c>
      <c r="E585" s="25">
        <f>IF(C585&gt;$B$7,0,'Combined Retirement'!$D$13/12)</f>
        <v>0</v>
      </c>
      <c r="F585" s="25">
        <f>IF(H585=0,'Combined Retirement'!$D$32,0)+'Combined Retirement'!$B$24</f>
        <v>2870.372285649099</v>
      </c>
      <c r="G585" s="25">
        <f>'Combined Retirement'!$C$24</f>
        <v>3525.4531757812501</v>
      </c>
      <c r="H585" s="25">
        <f>IF(B585&lt;62,0,'Combined Retirement'!$I$14)</f>
        <v>2192</v>
      </c>
      <c r="I585" s="25">
        <f>IF(C585&lt;62,0,'Combined Retirement'!$I$13)</f>
        <v>2420</v>
      </c>
      <c r="J585" s="25">
        <f t="shared" si="523"/>
        <v>7863.2184191855868</v>
      </c>
      <c r="K585" s="25">
        <f t="shared" si="524"/>
        <v>20282.026119384056</v>
      </c>
      <c r="L585" s="25"/>
      <c r="N585" s="25">
        <f>'Combined Retirement'!$C$18/12</f>
        <v>39153.069999999992</v>
      </c>
      <c r="O585" s="25">
        <f t="shared" si="525"/>
        <v>11007.82546143035</v>
      </c>
      <c r="P585" s="25">
        <f t="shared" si="526"/>
        <v>28145.244538569641</v>
      </c>
      <c r="Q585" s="25">
        <f t="array" aca="1" ref="Q585" ca="1">INDEX('Isaac 401k'!L:L,MATCH('Retirement Calculator'!A585,'Isaac 401k'!N:N,0),0)</f>
        <v>-107505.75211807473</v>
      </c>
      <c r="R585" s="25">
        <f t="array" aca="1" ref="R585" ca="1">INDEX('Lorri 401b'!L:L,MATCH('Retirement Calculator'!A585,'Lorri 401b'!N:N,0),0)</f>
        <v>-224551.98783010201</v>
      </c>
      <c r="S585" s="25">
        <f t="shared" ca="1" si="527"/>
        <v>-332057.73994817672</v>
      </c>
    </row>
    <row r="586" spans="1:19" ht="15.75" customHeight="1" x14ac:dyDescent="0.3">
      <c r="A586" s="37">
        <v>68789</v>
      </c>
      <c r="B586" s="409">
        <f t="shared" ref="B586:C586" si="592">($A586-B$9)/365.25</f>
        <v>106.45585215605749</v>
      </c>
      <c r="C586" s="409">
        <f t="shared" si="592"/>
        <v>101.84531143052703</v>
      </c>
      <c r="E586" s="25">
        <f>IF(C586&gt;$B$7,0,'Combined Retirement'!$D$13/12)</f>
        <v>0</v>
      </c>
      <c r="F586" s="25">
        <f>IF(H586=0,'Combined Retirement'!$D$32,0)+'Combined Retirement'!$B$24</f>
        <v>2870.372285649099</v>
      </c>
      <c r="G586" s="25">
        <f>'Combined Retirement'!$C$24</f>
        <v>3525.4531757812501</v>
      </c>
      <c r="H586" s="25">
        <f>IF(B586&lt;62,0,'Combined Retirement'!$I$14)</f>
        <v>2192</v>
      </c>
      <c r="I586" s="25">
        <f>IF(C586&lt;62,0,'Combined Retirement'!$I$13)</f>
        <v>2420</v>
      </c>
      <c r="J586" s="25">
        <f t="shared" si="523"/>
        <v>7863.2184191855868</v>
      </c>
      <c r="K586" s="25">
        <f t="shared" si="524"/>
        <v>20282.026119384056</v>
      </c>
      <c r="L586" s="25"/>
      <c r="N586" s="25">
        <f>'Combined Retirement'!$C$18/12</f>
        <v>39153.069999999992</v>
      </c>
      <c r="O586" s="25">
        <f t="shared" si="525"/>
        <v>11007.82546143035</v>
      </c>
      <c r="P586" s="25">
        <f t="shared" si="526"/>
        <v>28145.244538569641</v>
      </c>
      <c r="Q586" s="25">
        <f t="array" aca="1" ref="Q586" ca="1">INDEX('Isaac 401k'!L:L,MATCH('Retirement Calculator'!A586,'Isaac 401k'!N:N,0),0)</f>
        <v>-115849.67458116557</v>
      </c>
      <c r="R586" s="25">
        <f t="array" aca="1" ref="R586" ca="1">INDEX('Lorri 401b'!L:L,MATCH('Retirement Calculator'!A586,'Lorri 401b'!N:N,0),0)</f>
        <v>-245854.15567427559</v>
      </c>
      <c r="S586" s="25">
        <f t="shared" ca="1" si="527"/>
        <v>-361703.83025544113</v>
      </c>
    </row>
    <row r="587" spans="1:19" ht="15.75" customHeight="1" x14ac:dyDescent="0.3">
      <c r="A587" s="37">
        <v>68820</v>
      </c>
      <c r="B587" s="409">
        <f t="shared" ref="B587:C587" si="593">($A587-B$9)/365.25</f>
        <v>106.54072553045859</v>
      </c>
      <c r="C587" s="409">
        <f t="shared" si="593"/>
        <v>101.93018480492813</v>
      </c>
      <c r="E587" s="25">
        <f>IF(C587&gt;$B$7,0,'Combined Retirement'!$D$13/12)</f>
        <v>0</v>
      </c>
      <c r="F587" s="25">
        <f>IF(H587=0,'Combined Retirement'!$D$32,0)+'Combined Retirement'!$B$24</f>
        <v>2870.372285649099</v>
      </c>
      <c r="G587" s="25">
        <f>'Combined Retirement'!$C$24</f>
        <v>3525.4531757812501</v>
      </c>
      <c r="H587" s="25">
        <f>IF(B587&lt;62,0,'Combined Retirement'!$I$14)</f>
        <v>2192</v>
      </c>
      <c r="I587" s="25">
        <f>IF(C587&lt;62,0,'Combined Retirement'!$I$13)</f>
        <v>2420</v>
      </c>
      <c r="J587" s="25">
        <f t="shared" si="523"/>
        <v>7863.2184191855868</v>
      </c>
      <c r="K587" s="25">
        <f t="shared" si="524"/>
        <v>20282.026119384056</v>
      </c>
      <c r="L587" s="25"/>
      <c r="N587" s="25">
        <f>'Combined Retirement'!$C$18/12</f>
        <v>39153.069999999992</v>
      </c>
      <c r="O587" s="25">
        <f t="shared" si="525"/>
        <v>11007.82546143035</v>
      </c>
      <c r="P587" s="25">
        <f t="shared" si="526"/>
        <v>28145.244538569641</v>
      </c>
      <c r="Q587" s="25">
        <f t="array" aca="1" ref="Q587" ca="1">INDEX('Isaac 401k'!L:L,MATCH('Retirement Calculator'!A587,'Isaac 401k'!N:N,0),0)</f>
        <v>-124228.36338785263</v>
      </c>
      <c r="R587" s="25">
        <f t="array" aca="1" ref="R587" ca="1">INDEX('Lorri 401b'!L:L,MATCH('Retirement Calculator'!A587,'Lorri 401b'!N:N,0),0)</f>
        <v>-267245.08255113324</v>
      </c>
      <c r="S587" s="25">
        <f t="shared" ca="1" si="527"/>
        <v>-391473.44593898585</v>
      </c>
    </row>
    <row r="588" spans="1:19" ht="15.75" customHeight="1" x14ac:dyDescent="0.3">
      <c r="A588" s="37">
        <v>68850</v>
      </c>
      <c r="B588" s="409">
        <f t="shared" ref="B588:C588" si="594">($A588-B$9)/365.25</f>
        <v>106.62286105407256</v>
      </c>
      <c r="C588" s="409">
        <f t="shared" si="594"/>
        <v>102.01232032854209</v>
      </c>
      <c r="E588" s="25">
        <f>IF(C588&gt;$B$7,0,'Combined Retirement'!$D$13/12)</f>
        <v>0</v>
      </c>
      <c r="F588" s="25">
        <f>IF(H588=0,'Combined Retirement'!$D$32,0)+'Combined Retirement'!$B$24</f>
        <v>2870.372285649099</v>
      </c>
      <c r="G588" s="25">
        <f>'Combined Retirement'!$C$24</f>
        <v>3525.4531757812501</v>
      </c>
      <c r="H588" s="25">
        <f>IF(B588&lt;62,0,'Combined Retirement'!$I$14)</f>
        <v>2192</v>
      </c>
      <c r="I588" s="25">
        <f>IF(C588&lt;62,0,'Combined Retirement'!$I$13)</f>
        <v>2420</v>
      </c>
      <c r="J588" s="25">
        <f t="shared" si="523"/>
        <v>7863.2184191855868</v>
      </c>
      <c r="K588" s="25">
        <f t="shared" si="524"/>
        <v>20282.026119384056</v>
      </c>
      <c r="L588" s="25"/>
      <c r="N588" s="25">
        <f>'Combined Retirement'!$C$18/12</f>
        <v>39153.069999999992</v>
      </c>
      <c r="O588" s="25">
        <f t="shared" si="525"/>
        <v>11007.82546143035</v>
      </c>
      <c r="P588" s="25">
        <f t="shared" si="526"/>
        <v>28145.244538569641</v>
      </c>
      <c r="Q588" s="25">
        <f t="array" aca="1" ref="Q588" ca="1">INDEX('Isaac 401k'!L:L,MATCH('Retirement Calculator'!A588,'Isaac 401k'!N:N,0),0)</f>
        <v>-132641.96339790089</v>
      </c>
      <c r="R588" s="25">
        <f t="array" aca="1" ref="R588" ca="1">INDEX('Lorri 401b'!L:L,MATCH('Retirement Calculator'!A588,'Lorri 401b'!N:N,0),0)</f>
        <v>-288725.13828997774</v>
      </c>
      <c r="S588" s="25">
        <f t="shared" ca="1" si="527"/>
        <v>-421367.1016878786</v>
      </c>
    </row>
    <row r="589" spans="1:19" ht="15.75" customHeight="1" x14ac:dyDescent="0.3">
      <c r="A589" s="37">
        <v>68881</v>
      </c>
      <c r="B589" s="409">
        <f t="shared" ref="B589:C589" si="595">($A589-B$9)/365.25</f>
        <v>106.70773442847364</v>
      </c>
      <c r="C589" s="409">
        <f t="shared" si="595"/>
        <v>102.09719370294319</v>
      </c>
      <c r="E589" s="25">
        <f>IF(C589&gt;$B$7,0,'Combined Retirement'!$D$13/12)</f>
        <v>0</v>
      </c>
      <c r="F589" s="25">
        <f>IF(H589=0,'Combined Retirement'!$D$32,0)+'Combined Retirement'!$B$24</f>
        <v>2870.372285649099</v>
      </c>
      <c r="G589" s="25">
        <f>'Combined Retirement'!$C$24</f>
        <v>3525.4531757812501</v>
      </c>
      <c r="H589" s="25">
        <f>IF(B589&lt;62,0,'Combined Retirement'!$I$14)</f>
        <v>2192</v>
      </c>
      <c r="I589" s="25">
        <f>IF(C589&lt;62,0,'Combined Retirement'!$I$13)</f>
        <v>2420</v>
      </c>
      <c r="J589" s="25">
        <f t="shared" si="523"/>
        <v>7863.2184191855868</v>
      </c>
      <c r="K589" s="25">
        <f t="shared" si="524"/>
        <v>20282.026119384056</v>
      </c>
      <c r="L589" s="25"/>
      <c r="N589" s="25">
        <f>'Combined Retirement'!$C$18/12</f>
        <v>39153.069999999992</v>
      </c>
      <c r="O589" s="25">
        <f t="shared" si="525"/>
        <v>11007.82546143035</v>
      </c>
      <c r="P589" s="25">
        <f t="shared" si="526"/>
        <v>28145.244538569641</v>
      </c>
      <c r="Q589" s="25">
        <f t="array" aca="1" ref="Q589" ca="1">INDEX('Isaac 401k'!L:L,MATCH('Retirement Calculator'!A589,'Isaac 401k'!N:N,0),0)</f>
        <v>-141090.62007465767</v>
      </c>
      <c r="R589" s="25">
        <f t="array" aca="1" ref="R589" ca="1">INDEX('Lorri 401b'!L:L,MATCH('Retirement Calculator'!A589,'Lorri 401b'!N:N,0),0)</f>
        <v>-310294.69426106743</v>
      </c>
      <c r="S589" s="25">
        <f t="shared" ca="1" si="527"/>
        <v>-451385.3143357251</v>
      </c>
    </row>
    <row r="590" spans="1:19" ht="15.75" customHeight="1" x14ac:dyDescent="0.3">
      <c r="A590" s="37">
        <v>68912</v>
      </c>
      <c r="B590" s="409">
        <f t="shared" ref="B590:C590" si="596">($A590-B$9)/365.25</f>
        <v>106.79260780287474</v>
      </c>
      <c r="C590" s="409">
        <f t="shared" si="596"/>
        <v>102.18206707734429</v>
      </c>
      <c r="E590" s="25">
        <f>IF(C590&gt;$B$7,0,'Combined Retirement'!$D$13/12)</f>
        <v>0</v>
      </c>
      <c r="F590" s="25">
        <f>IF(H590=0,'Combined Retirement'!$D$32,0)+'Combined Retirement'!$B$24</f>
        <v>2870.372285649099</v>
      </c>
      <c r="G590" s="25">
        <f>'Combined Retirement'!$C$24</f>
        <v>3525.4531757812501</v>
      </c>
      <c r="H590" s="25">
        <f>IF(B590&lt;62,0,'Combined Retirement'!$I$14)</f>
        <v>2192</v>
      </c>
      <c r="I590" s="25">
        <f>IF(C590&lt;62,0,'Combined Retirement'!$I$13)</f>
        <v>2420</v>
      </c>
      <c r="J590" s="25">
        <f t="shared" si="523"/>
        <v>7863.2184191855868</v>
      </c>
      <c r="K590" s="25">
        <f t="shared" si="524"/>
        <v>20282.026119384056</v>
      </c>
      <c r="L590" s="25"/>
      <c r="N590" s="25">
        <f>'Combined Retirement'!$C$18/12</f>
        <v>39153.069999999992</v>
      </c>
      <c r="O590" s="25">
        <f t="shared" si="525"/>
        <v>11007.82546143035</v>
      </c>
      <c r="P590" s="25">
        <f t="shared" si="526"/>
        <v>28145.244538569641</v>
      </c>
      <c r="Q590" s="25">
        <f t="array" aca="1" ref="Q590" ca="1">INDEX('Isaac 401k'!L:L,MATCH('Retirement Calculator'!A590,'Isaac 401k'!N:N,0),0)</f>
        <v>-149574.47948756759</v>
      </c>
      <c r="R590" s="25">
        <f t="array" aca="1" ref="R590" ca="1">INDEX('Lorri 401b'!L:L,MATCH('Retirement Calculator'!A590,'Lorri 401b'!N:N,0),0)</f>
        <v>-331954.12338203669</v>
      </c>
      <c r="S590" s="25">
        <f t="shared" ca="1" si="527"/>
        <v>-481528.60286960425</v>
      </c>
    </row>
    <row r="591" spans="1:19" ht="15.75" customHeight="1" x14ac:dyDescent="0.3">
      <c r="A591" s="37">
        <v>68942</v>
      </c>
      <c r="B591" s="409">
        <f t="shared" ref="B591:C591" si="597">($A591-B$9)/365.25</f>
        <v>106.87474332648871</v>
      </c>
      <c r="C591" s="409">
        <f t="shared" si="597"/>
        <v>102.26420260095824</v>
      </c>
      <c r="E591" s="25">
        <f>IF(C591&gt;$B$7,0,'Combined Retirement'!$D$13/12)</f>
        <v>0</v>
      </c>
      <c r="F591" s="25">
        <f>IF(H591=0,'Combined Retirement'!$D$32,0)+'Combined Retirement'!$B$24</f>
        <v>2870.372285649099</v>
      </c>
      <c r="G591" s="25">
        <f>'Combined Retirement'!$C$24</f>
        <v>3525.4531757812501</v>
      </c>
      <c r="H591" s="25">
        <f>IF(B591&lt;62,0,'Combined Retirement'!$I$14)</f>
        <v>2192</v>
      </c>
      <c r="I591" s="25">
        <f>IF(C591&lt;62,0,'Combined Retirement'!$I$13)</f>
        <v>2420</v>
      </c>
      <c r="J591" s="25">
        <f t="shared" si="523"/>
        <v>7863.2184191855868</v>
      </c>
      <c r="K591" s="25">
        <f t="shared" si="524"/>
        <v>20282.026119384056</v>
      </c>
      <c r="L591" s="25"/>
      <c r="N591" s="25">
        <f>'Combined Retirement'!$C$18/12</f>
        <v>39153.069999999992</v>
      </c>
      <c r="O591" s="25">
        <f t="shared" si="525"/>
        <v>11007.82546143035</v>
      </c>
      <c r="P591" s="25">
        <f t="shared" si="526"/>
        <v>28145.244538569641</v>
      </c>
      <c r="Q591" s="25">
        <f t="array" aca="1" ref="Q591" ca="1">INDEX('Isaac 401k'!L:L,MATCH('Retirement Calculator'!A591,'Isaac 401k'!N:N,0),0)</f>
        <v>-158093.68831469797</v>
      </c>
      <c r="R591" s="25">
        <f t="array" aca="1" ref="R591" ca="1">INDEX('Lorri 401b'!L:L,MATCH('Retirement Calculator'!A591,'Lorri 401b'!N:N,0),0)</f>
        <v>-353703.80012434331</v>
      </c>
      <c r="S591" s="25">
        <f t="shared" ca="1" si="527"/>
        <v>-511797.48843904131</v>
      </c>
    </row>
    <row r="592" spans="1:19" ht="15.75" customHeight="1" x14ac:dyDescent="0.3">
      <c r="A592" s="37">
        <v>68973</v>
      </c>
      <c r="B592" s="409">
        <f t="shared" ref="B592:C592" si="598">($A592-B$9)/365.25</f>
        <v>106.9596167008898</v>
      </c>
      <c r="C592" s="409">
        <f t="shared" si="598"/>
        <v>102.34907597535934</v>
      </c>
      <c r="E592" s="25">
        <f>IF(C592&gt;$B$7,0,'Combined Retirement'!$D$13/12)</f>
        <v>0</v>
      </c>
      <c r="F592" s="25">
        <f>IF(H592=0,'Combined Retirement'!$D$32,0)+'Combined Retirement'!$B$24</f>
        <v>2870.372285649099</v>
      </c>
      <c r="G592" s="25">
        <f>'Combined Retirement'!$C$24</f>
        <v>3525.4531757812501</v>
      </c>
      <c r="H592" s="25">
        <f>IF(B592&lt;62,0,'Combined Retirement'!$I$14)</f>
        <v>2192</v>
      </c>
      <c r="I592" s="25">
        <f>IF(C592&lt;62,0,'Combined Retirement'!$I$13)</f>
        <v>2420</v>
      </c>
      <c r="J592" s="25">
        <f t="shared" si="523"/>
        <v>7863.2184191855868</v>
      </c>
      <c r="K592" s="25">
        <f t="shared" si="524"/>
        <v>20282.026119384056</v>
      </c>
      <c r="L592" s="25"/>
      <c r="N592" s="25">
        <f>'Combined Retirement'!$C$18/12</f>
        <v>39153.069999999992</v>
      </c>
      <c r="O592" s="25">
        <f t="shared" si="525"/>
        <v>11007.82546143035</v>
      </c>
      <c r="P592" s="25">
        <f t="shared" si="526"/>
        <v>28145.244538569641</v>
      </c>
      <c r="Q592" s="25">
        <f t="array" aca="1" ref="Q592" ca="1">INDEX('Isaac 401k'!L:L,MATCH('Retirement Calculator'!A592,'Isaac 401k'!N:N,0),0)</f>
        <v>-166648.39384527472</v>
      </c>
      <c r="R592" s="25">
        <f t="array" aca="1" ref="R592" ca="1">INDEX('Lorri 401b'!L:L,MATCH('Retirement Calculator'!A592,'Lorri 401b'!N:N,0),0)</f>
        <v>-375544.10051974287</v>
      </c>
      <c r="S592" s="25">
        <f t="shared" ca="1" si="527"/>
        <v>-542192.49436501763</v>
      </c>
    </row>
    <row r="593" spans="1:19" ht="15.75" customHeight="1" x14ac:dyDescent="0.3">
      <c r="A593" s="37">
        <v>69003</v>
      </c>
      <c r="B593" s="409">
        <f t="shared" ref="B593:C593" si="599">($A593-B$9)/365.25</f>
        <v>107.04175222450377</v>
      </c>
      <c r="C593" s="409">
        <f t="shared" si="599"/>
        <v>102.43121149897331</v>
      </c>
      <c r="E593" s="25">
        <f>IF(C593&gt;$B$7,0,'Combined Retirement'!$D$13/12)</f>
        <v>0</v>
      </c>
      <c r="F593" s="25">
        <f>IF(H593=0,'Combined Retirement'!$D$32,0)+'Combined Retirement'!$B$24</f>
        <v>2870.372285649099</v>
      </c>
      <c r="G593" s="25">
        <f>'Combined Retirement'!$C$24</f>
        <v>3525.4531757812501</v>
      </c>
      <c r="H593" s="25">
        <f>IF(B593&lt;62,0,'Combined Retirement'!$I$14)</f>
        <v>2192</v>
      </c>
      <c r="I593" s="25">
        <f>IF(C593&lt;62,0,'Combined Retirement'!$I$13)</f>
        <v>2420</v>
      </c>
      <c r="J593" s="25">
        <f t="shared" si="523"/>
        <v>7863.2184191855868</v>
      </c>
      <c r="K593" s="25">
        <f t="shared" si="524"/>
        <v>20282.026119384056</v>
      </c>
      <c r="L593" s="25"/>
      <c r="N593" s="25">
        <f>'Combined Retirement'!$C$18/12</f>
        <v>39153.069999999992</v>
      </c>
      <c r="O593" s="25">
        <f t="shared" si="525"/>
        <v>11007.82546143035</v>
      </c>
      <c r="P593" s="25">
        <f t="shared" si="526"/>
        <v>28145.244538569641</v>
      </c>
      <c r="Q593" s="25">
        <f t="array" aca="1" ref="Q593" ca="1">INDEX('Isaac 401k'!L:L,MATCH('Retirement Calculator'!A593,'Isaac 401k'!N:N,0),0)</f>
        <v>-175238.74398222889</v>
      </c>
      <c r="R593" s="25">
        <f t="array" aca="1" ref="R593" ca="1">INDEX('Lorri 401b'!L:L,MATCH('Retirement Calculator'!A593,'Lorri 401b'!N:N,0),0)</f>
        <v>-397475.40216678992</v>
      </c>
      <c r="S593" s="25">
        <f t="shared" ca="1" si="527"/>
        <v>-572714.14614901878</v>
      </c>
    </row>
    <row r="594" spans="1:19" ht="15.75" customHeight="1" x14ac:dyDescent="0.3">
      <c r="A594" s="37">
        <v>69034</v>
      </c>
      <c r="B594" s="409">
        <f t="shared" ref="B594:C594" si="600">($A594-B$9)/365.25</f>
        <v>107.12662559890487</v>
      </c>
      <c r="C594" s="409">
        <f t="shared" si="600"/>
        <v>102.5160848733744</v>
      </c>
      <c r="E594" s="25">
        <f>IF(C594&gt;$B$7,0,'Combined Retirement'!$D$13/12)</f>
        <v>0</v>
      </c>
      <c r="F594" s="25">
        <f>IF(H594=0,'Combined Retirement'!$D$32,0)+'Combined Retirement'!$B$24</f>
        <v>2870.372285649099</v>
      </c>
      <c r="G594" s="25">
        <f>'Combined Retirement'!$C$24</f>
        <v>3525.4531757812501</v>
      </c>
      <c r="H594" s="25">
        <f>IF(B594&lt;62,0,'Combined Retirement'!$I$14)</f>
        <v>2192</v>
      </c>
      <c r="I594" s="25">
        <f>IF(C594&lt;62,0,'Combined Retirement'!$I$13)</f>
        <v>2420</v>
      </c>
      <c r="J594" s="25">
        <f t="shared" si="523"/>
        <v>7863.2184191855868</v>
      </c>
      <c r="K594" s="25">
        <f t="shared" si="524"/>
        <v>20282.026119384056</v>
      </c>
      <c r="L594" s="25"/>
      <c r="N594" s="25">
        <f>'Combined Retirement'!$C$18/12</f>
        <v>39153.069999999992</v>
      </c>
      <c r="O594" s="25">
        <f t="shared" si="525"/>
        <v>11007.82546143035</v>
      </c>
      <c r="P594" s="25">
        <f t="shared" si="526"/>
        <v>28145.244538569641</v>
      </c>
      <c r="Q594" s="25">
        <f t="array" aca="1" ref="Q594" ca="1">INDEX('Isaac 401k'!L:L,MATCH('Retirement Calculator'!A594,'Isaac 401k'!N:N,0),0)</f>
        <v>-183864.88724475369</v>
      </c>
      <c r="R594" s="25">
        <f t="array" aca="1" ref="R594" ca="1">INDEX('Lorri 401b'!L:L,MATCH('Retirement Calculator'!A594,'Lorri 401b'!N:N,0),0)</f>
        <v>-419498.08423736633</v>
      </c>
      <c r="S594" s="25">
        <f t="shared" ca="1" si="527"/>
        <v>-603362.97148211999</v>
      </c>
    </row>
    <row r="595" spans="1:19" ht="15.75" customHeight="1" x14ac:dyDescent="0.3">
      <c r="A595" s="37">
        <v>69065</v>
      </c>
      <c r="B595" s="409">
        <f t="shared" ref="B595:C595" si="601">($A595-B$9)/365.25</f>
        <v>107.21149897330595</v>
      </c>
      <c r="C595" s="409">
        <f t="shared" si="601"/>
        <v>102.60095824777549</v>
      </c>
      <c r="E595" s="25">
        <f>IF(C595&gt;$B$7,0,'Combined Retirement'!$D$13/12)</f>
        <v>0</v>
      </c>
      <c r="F595" s="25">
        <f>IF(H595=0,'Combined Retirement'!$D$32,0)+'Combined Retirement'!$B$24</f>
        <v>2870.372285649099</v>
      </c>
      <c r="G595" s="25">
        <f>'Combined Retirement'!$C$24</f>
        <v>3525.4531757812501</v>
      </c>
      <c r="H595" s="25">
        <f>IF(B595&lt;62,0,'Combined Retirement'!$I$14)</f>
        <v>2192</v>
      </c>
      <c r="I595" s="25">
        <f>IF(C595&lt;62,0,'Combined Retirement'!$I$13)</f>
        <v>2420</v>
      </c>
      <c r="J595" s="25">
        <f t="shared" si="523"/>
        <v>7863.2184191855868</v>
      </c>
      <c r="K595" s="25">
        <f t="shared" si="524"/>
        <v>20282.026119384056</v>
      </c>
      <c r="L595" s="25"/>
      <c r="N595" s="25">
        <f>'Combined Retirement'!$C$18/12</f>
        <v>39153.069999999992</v>
      </c>
      <c r="O595" s="25">
        <f t="shared" si="525"/>
        <v>11007.82546143035</v>
      </c>
      <c r="P595" s="25">
        <f t="shared" si="526"/>
        <v>28145.244538569641</v>
      </c>
      <c r="Q595" s="25">
        <f t="array" aca="1" ref="Q595" ca="1">INDEX('Isaac 401k'!L:L,MATCH('Retirement Calculator'!A595,'Isaac 401k'!N:N,0),0)</f>
        <v>-192526.97277087235</v>
      </c>
      <c r="R595" s="25">
        <f t="array" aca="1" ref="R595" ca="1">INDEX('Lorri 401b'!L:L,MATCH('Retirement Calculator'!A595,'Lorri 401b'!N:N,0),0)</f>
        <v>-441612.52748323686</v>
      </c>
      <c r="S595" s="25">
        <f t="shared" ca="1" si="527"/>
        <v>-634139.50025410927</v>
      </c>
    </row>
    <row r="596" spans="1:19" ht="15.75" customHeight="1" x14ac:dyDescent="0.3">
      <c r="A596" s="37">
        <v>69093</v>
      </c>
      <c r="B596" s="409">
        <f t="shared" ref="B596:C596" si="602">($A596-B$9)/365.25</f>
        <v>107.28815879534565</v>
      </c>
      <c r="C596" s="409">
        <f t="shared" si="602"/>
        <v>102.6776180698152</v>
      </c>
      <c r="E596" s="25">
        <f>IF(C596&gt;$B$7,0,'Combined Retirement'!$D$13/12)</f>
        <v>0</v>
      </c>
      <c r="F596" s="25">
        <f>IF(H596=0,'Combined Retirement'!$D$32,0)+'Combined Retirement'!$B$24</f>
        <v>2870.372285649099</v>
      </c>
      <c r="G596" s="25">
        <f>'Combined Retirement'!$C$24</f>
        <v>3525.4531757812501</v>
      </c>
      <c r="H596" s="25">
        <f>IF(B596&lt;62,0,'Combined Retirement'!$I$14)</f>
        <v>2192</v>
      </c>
      <c r="I596" s="25">
        <f>IF(C596&lt;62,0,'Combined Retirement'!$I$13)</f>
        <v>2420</v>
      </c>
      <c r="J596" s="25">
        <f t="shared" si="523"/>
        <v>7863.2184191855868</v>
      </c>
      <c r="K596" s="25">
        <f t="shared" si="524"/>
        <v>20282.026119384056</v>
      </c>
      <c r="L596" s="25"/>
      <c r="N596" s="25">
        <f>'Combined Retirement'!$C$18/12</f>
        <v>39153.069999999992</v>
      </c>
      <c r="O596" s="25">
        <f t="shared" si="525"/>
        <v>11007.82546143035</v>
      </c>
      <c r="P596" s="25">
        <f t="shared" si="526"/>
        <v>28145.244538569641</v>
      </c>
      <c r="Q596" s="25">
        <f t="array" aca="1" ref="Q596" ca="1">INDEX('Isaac 401k'!L:L,MATCH('Retirement Calculator'!A596,'Isaac 401k'!N:N,0),0)</f>
        <v>-201225.15032001652</v>
      </c>
      <c r="R596" s="25">
        <f t="array" aca="1" ref="R596" ca="1">INDEX('Lorri 401b'!L:L,MATCH('Retirement Calculator'!A596,'Lorri 401b'!N:N,0),0)</f>
        <v>-463819.11424263183</v>
      </c>
      <c r="S596" s="25">
        <f t="shared" ca="1" si="527"/>
        <v>-665044.26456264837</v>
      </c>
    </row>
    <row r="597" spans="1:19" ht="15.75" customHeight="1" x14ac:dyDescent="0.3">
      <c r="A597" s="37">
        <v>69124</v>
      </c>
      <c r="B597" s="409">
        <f t="shared" ref="B597:C597" si="603">($A597-B$9)/365.25</f>
        <v>107.37303216974675</v>
      </c>
      <c r="C597" s="409">
        <f t="shared" si="603"/>
        <v>102.76249144421629</v>
      </c>
      <c r="E597" s="25">
        <f>IF(C597&gt;$B$7,0,'Combined Retirement'!$D$13/12)</f>
        <v>0</v>
      </c>
      <c r="F597" s="25">
        <f>IF(H597=0,'Combined Retirement'!$D$32,0)+'Combined Retirement'!$B$24</f>
        <v>2870.372285649099</v>
      </c>
      <c r="G597" s="25">
        <f>'Combined Retirement'!$C$24</f>
        <v>3525.4531757812501</v>
      </c>
      <c r="H597" s="25">
        <f>IF(B597&lt;62,0,'Combined Retirement'!$I$14)</f>
        <v>2192</v>
      </c>
      <c r="I597" s="25">
        <f>IF(C597&lt;62,0,'Combined Retirement'!$I$13)</f>
        <v>2420</v>
      </c>
      <c r="J597" s="25">
        <f t="shared" si="523"/>
        <v>7863.2184191855868</v>
      </c>
      <c r="K597" s="25">
        <f t="shared" si="524"/>
        <v>20282.026119384056</v>
      </c>
      <c r="L597" s="25"/>
      <c r="N597" s="25">
        <f>'Combined Retirement'!$C$18/12</f>
        <v>39153.069999999992</v>
      </c>
      <c r="O597" s="25">
        <f t="shared" si="525"/>
        <v>11007.82546143035</v>
      </c>
      <c r="P597" s="25">
        <f t="shared" si="526"/>
        <v>28145.244538569641</v>
      </c>
      <c r="Q597" s="25">
        <f t="array" aca="1" ref="Q597" ca="1">INDEX('Isaac 401k'!L:L,MATCH('Retirement Calculator'!A597,'Isaac 401k'!N:N,0),0)</f>
        <v>-209959.57027561544</v>
      </c>
      <c r="R597" s="25">
        <f t="array" aca="1" ref="R597" ca="1">INDEX('Lorri 401b'!L:L,MATCH('Retirement Calculator'!A597,'Lorri 401b'!N:N,0),0)</f>
        <v>-486118.2284468576</v>
      </c>
      <c r="S597" s="25">
        <f t="shared" ca="1" si="527"/>
        <v>-696077.79872247297</v>
      </c>
    </row>
    <row r="598" spans="1:19" ht="15.75" customHeight="1" x14ac:dyDescent="0.3">
      <c r="A598" s="37">
        <v>69154</v>
      </c>
      <c r="B598" s="409">
        <f t="shared" ref="B598:C598" si="604">($A598-B$9)/365.25</f>
        <v>107.45516769336071</v>
      </c>
      <c r="C598" s="409">
        <f t="shared" si="604"/>
        <v>102.84462696783025</v>
      </c>
      <c r="E598" s="25">
        <f>IF(C598&gt;$B$7,0,'Combined Retirement'!$D$13/12)</f>
        <v>0</v>
      </c>
      <c r="F598" s="25">
        <f>IF(H598=0,'Combined Retirement'!$D$32,0)+'Combined Retirement'!$B$24</f>
        <v>2870.372285649099</v>
      </c>
      <c r="G598" s="25">
        <f>'Combined Retirement'!$C$24</f>
        <v>3525.4531757812501</v>
      </c>
      <c r="H598" s="25">
        <f>IF(B598&lt;62,0,'Combined Retirement'!$I$14)</f>
        <v>2192</v>
      </c>
      <c r="I598" s="25">
        <f>IF(C598&lt;62,0,'Combined Retirement'!$I$13)</f>
        <v>2420</v>
      </c>
      <c r="J598" s="25">
        <f t="shared" si="523"/>
        <v>7863.2184191855868</v>
      </c>
      <c r="K598" s="25">
        <f t="shared" si="524"/>
        <v>20282.026119384056</v>
      </c>
      <c r="L598" s="25"/>
      <c r="N598" s="25">
        <f>'Combined Retirement'!$C$18/12</f>
        <v>39153.069999999992</v>
      </c>
      <c r="O598" s="25">
        <f t="shared" si="525"/>
        <v>11007.82546143035</v>
      </c>
      <c r="P598" s="25">
        <f t="shared" si="526"/>
        <v>28145.244538569641</v>
      </c>
      <c r="Q598" s="25">
        <f t="array" aca="1" ref="Q598" ca="1">INDEX('Isaac 401k'!L:L,MATCH('Retirement Calculator'!A598,'Isaac 401k'!N:N,0),0)</f>
        <v>-218730.38364769603</v>
      </c>
      <c r="R598" s="25">
        <f t="array" aca="1" ref="R598" ca="1">INDEX('Lorri 401b'!L:L,MATCH('Retirement Calculator'!A598,'Lorri 401b'!N:N,0),0)</f>
        <v>-508510.25562693429</v>
      </c>
      <c r="S598" s="25">
        <f t="shared" ca="1" si="527"/>
        <v>-727240.63927463035</v>
      </c>
    </row>
    <row r="599" spans="1:19" ht="15.75" customHeight="1" x14ac:dyDescent="0.3">
      <c r="A599" s="37">
        <v>69185</v>
      </c>
      <c r="B599" s="409">
        <f t="shared" ref="B599:C599" si="605">($A599-B$9)/365.25</f>
        <v>107.54004106776181</v>
      </c>
      <c r="C599" s="409">
        <f t="shared" si="605"/>
        <v>102.92950034223135</v>
      </c>
      <c r="E599" s="25">
        <f>IF(C599&gt;$B$7,0,'Combined Retirement'!$D$13/12)</f>
        <v>0</v>
      </c>
      <c r="F599" s="25">
        <f>IF(H599=0,'Combined Retirement'!$D$32,0)+'Combined Retirement'!$B$24</f>
        <v>2870.372285649099</v>
      </c>
      <c r="G599" s="25">
        <f>'Combined Retirement'!$C$24</f>
        <v>3525.4531757812501</v>
      </c>
      <c r="H599" s="25">
        <f>IF(B599&lt;62,0,'Combined Retirement'!$I$14)</f>
        <v>2192</v>
      </c>
      <c r="I599" s="25">
        <f>IF(C599&lt;62,0,'Combined Retirement'!$I$13)</f>
        <v>2420</v>
      </c>
      <c r="J599" s="25">
        <f t="shared" si="523"/>
        <v>7863.2184191855868</v>
      </c>
      <c r="K599" s="25">
        <f t="shared" si="524"/>
        <v>20282.026119384056</v>
      </c>
      <c r="L599" s="25"/>
      <c r="N599" s="25">
        <f>'Combined Retirement'!$C$18/12</f>
        <v>39153.069999999992</v>
      </c>
      <c r="O599" s="25">
        <f t="shared" si="525"/>
        <v>11007.82546143035</v>
      </c>
      <c r="P599" s="25">
        <f t="shared" si="526"/>
        <v>28145.244538569641</v>
      </c>
      <c r="Q599" s="25">
        <f t="array" aca="1" ref="Q599" ca="1">INDEX('Isaac 401k'!L:L,MATCH('Retirement Calculator'!A599,'Isaac 401k'!N:N,0),0)</f>
        <v>-227537.74207549362</v>
      </c>
      <c r="R599" s="25">
        <f t="array" aca="1" ref="R599" ca="1">INDEX('Lorri 401b'!L:L,MATCH('Retirement Calculator'!A599,'Lorri 401b'!N:N,0),0)</f>
        <v>-530995.58292026131</v>
      </c>
      <c r="S599" s="25">
        <f t="shared" ca="1" si="527"/>
        <v>-758533.32499575499</v>
      </c>
    </row>
    <row r="600" spans="1:19" ht="15.75" customHeight="1" x14ac:dyDescent="0.3">
      <c r="A600" s="37">
        <v>69215</v>
      </c>
      <c r="B600" s="409">
        <f t="shared" ref="B600:C600" si="606">($A600-B$9)/365.25</f>
        <v>107.62217659137578</v>
      </c>
      <c r="C600" s="409">
        <f t="shared" si="606"/>
        <v>103.01163586584531</v>
      </c>
      <c r="E600" s="25">
        <f>IF(C600&gt;$B$7,0,'Combined Retirement'!$D$13/12)</f>
        <v>0</v>
      </c>
      <c r="F600" s="25">
        <f>IF(H600=0,'Combined Retirement'!$D$32,0)+'Combined Retirement'!$B$24</f>
        <v>2870.372285649099</v>
      </c>
      <c r="G600" s="25">
        <f>'Combined Retirement'!$C$24</f>
        <v>3525.4531757812501</v>
      </c>
      <c r="H600" s="25">
        <f>IF(B600&lt;62,0,'Combined Retirement'!$I$14)</f>
        <v>2192</v>
      </c>
      <c r="I600" s="25">
        <f>IF(C600&lt;62,0,'Combined Retirement'!$I$13)</f>
        <v>2420</v>
      </c>
      <c r="J600" s="25">
        <f t="shared" si="523"/>
        <v>7863.2184191855868</v>
      </c>
      <c r="K600" s="25">
        <f t="shared" si="524"/>
        <v>20282.026119384056</v>
      </c>
      <c r="L600" s="25"/>
      <c r="N600" s="25">
        <f>'Combined Retirement'!$C$18/12</f>
        <v>39153.069999999992</v>
      </c>
      <c r="O600" s="25">
        <f t="shared" si="525"/>
        <v>11007.82546143035</v>
      </c>
      <c r="P600" s="25">
        <f t="shared" si="526"/>
        <v>28145.244538569641</v>
      </c>
      <c r="Q600" s="25">
        <f t="array" aca="1" ref="Q600" ca="1">INDEX('Isaac 401k'!L:L,MATCH('Retirement Calculator'!A600,'Isaac 401k'!N:N,0),0)</f>
        <v>-236381.79783007369</v>
      </c>
      <c r="R600" s="25">
        <f t="array" aca="1" ref="R600" ca="1">INDEX('Lorri 401b'!L:L,MATCH('Retirement Calculator'!A600,'Lorri 401b'!N:N,0),0)</f>
        <v>-553574.59907731065</v>
      </c>
      <c r="S600" s="25">
        <f t="shared" ca="1" si="527"/>
        <v>-789956.39690738427</v>
      </c>
    </row>
    <row r="601" spans="1:19" ht="15.75" customHeight="1" x14ac:dyDescent="0.3">
      <c r="A601" s="37">
        <v>69246</v>
      </c>
      <c r="B601" s="409">
        <f t="shared" ref="B601:C601" si="607">($A601-B$9)/365.25</f>
        <v>107.70704996577686</v>
      </c>
      <c r="C601" s="409">
        <f t="shared" si="607"/>
        <v>103.09650924024641</v>
      </c>
      <c r="E601" s="25">
        <f>IF(C601&gt;$B$7,0,'Combined Retirement'!$D$13/12)</f>
        <v>0</v>
      </c>
      <c r="F601" s="25">
        <f>IF(H601=0,'Combined Retirement'!$D$32,0)+'Combined Retirement'!$B$24</f>
        <v>2870.372285649099</v>
      </c>
      <c r="G601" s="25">
        <f>'Combined Retirement'!$C$24</f>
        <v>3525.4531757812501</v>
      </c>
      <c r="H601" s="25">
        <f>IF(B601&lt;62,0,'Combined Retirement'!$I$14)</f>
        <v>2192</v>
      </c>
      <c r="I601" s="25">
        <f>IF(C601&lt;62,0,'Combined Retirement'!$I$13)</f>
        <v>2420</v>
      </c>
      <c r="J601" s="25">
        <f t="shared" si="523"/>
        <v>7863.2184191855868</v>
      </c>
      <c r="K601" s="25">
        <f t="shared" si="524"/>
        <v>20282.026119384056</v>
      </c>
      <c r="L601" s="25"/>
      <c r="N601" s="25">
        <f>'Combined Retirement'!$C$18/12</f>
        <v>39153.069999999992</v>
      </c>
      <c r="O601" s="25">
        <f t="shared" si="525"/>
        <v>11007.82546143035</v>
      </c>
      <c r="P601" s="25">
        <f t="shared" si="526"/>
        <v>28145.244538569641</v>
      </c>
      <c r="Q601" s="25">
        <f t="array" aca="1" ref="Q601" ca="1">INDEX('Isaac 401k'!L:L,MATCH('Retirement Calculator'!A601,'Isaac 401k'!N:N,0),0)</f>
        <v>-245262.70381696452</v>
      </c>
      <c r="R601" s="25">
        <f t="array" aca="1" ref="R601" ca="1">INDEX('Lorri 401b'!L:L,MATCH('Retirement Calculator'!A601,'Lorri 401b'!N:N,0),0)</f>
        <v>-576247.69446834759</v>
      </c>
      <c r="S601" s="25">
        <f t="shared" ca="1" si="527"/>
        <v>-821510.39828531211</v>
      </c>
    </row>
    <row r="602" spans="1:19" ht="15.75" customHeight="1" x14ac:dyDescent="0.3">
      <c r="A602" s="37">
        <v>69277</v>
      </c>
      <c r="B602" s="409">
        <f t="shared" ref="B602:C602" si="608">($A602-B$9)/365.25</f>
        <v>107.79192334017796</v>
      </c>
      <c r="C602" s="409">
        <f t="shared" si="608"/>
        <v>103.1813826146475</v>
      </c>
      <c r="E602" s="25">
        <f>IF(C602&gt;$B$7,0,'Combined Retirement'!$D$13/12)</f>
        <v>0</v>
      </c>
      <c r="F602" s="25">
        <f>IF(H602=0,'Combined Retirement'!$D$32,0)+'Combined Retirement'!$B$24</f>
        <v>2870.372285649099</v>
      </c>
      <c r="G602" s="25">
        <f>'Combined Retirement'!$C$24</f>
        <v>3525.4531757812501</v>
      </c>
      <c r="H602" s="25">
        <f>IF(B602&lt;62,0,'Combined Retirement'!$I$14)</f>
        <v>2192</v>
      </c>
      <c r="I602" s="25">
        <f>IF(C602&lt;62,0,'Combined Retirement'!$I$13)</f>
        <v>2420</v>
      </c>
      <c r="J602" s="25">
        <f t="shared" si="523"/>
        <v>7863.2184191855868</v>
      </c>
      <c r="K602" s="25">
        <f t="shared" si="524"/>
        <v>20282.026119384056</v>
      </c>
      <c r="L602" s="25"/>
      <c r="N602" s="25">
        <f>'Combined Retirement'!$C$18/12</f>
        <v>39153.069999999992</v>
      </c>
      <c r="O602" s="25">
        <f t="shared" si="525"/>
        <v>11007.82546143035</v>
      </c>
      <c r="P602" s="25">
        <f t="shared" si="526"/>
        <v>28145.244538569641</v>
      </c>
      <c r="Q602" s="25">
        <f t="array" aca="1" ref="Q602" ca="1">INDEX('Isaac 401k'!L:L,MATCH('Retirement Calculator'!A602,'Isaac 401k'!N:N,0),0)</f>
        <v>-254180.61357880072</v>
      </c>
      <c r="R602" s="25">
        <f t="array" aca="1" ref="R602" ca="1">INDEX('Lorri 401b'!L:L,MATCH('Retirement Calculator'!A602,'Lorri 401b'!N:N,0),0)</f>
        <v>-599015.2610901806</v>
      </c>
      <c r="S602" s="25">
        <f t="shared" ca="1" si="527"/>
        <v>-853195.8746689813</v>
      </c>
    </row>
    <row r="603" spans="1:19" ht="15.75" customHeight="1" x14ac:dyDescent="0.3">
      <c r="A603" s="37">
        <v>69307</v>
      </c>
      <c r="B603" s="409">
        <f t="shared" ref="B603:C603" si="609">($A603-B$9)/365.25</f>
        <v>107.87405886379193</v>
      </c>
      <c r="C603" s="409">
        <f t="shared" si="609"/>
        <v>103.26351813826146</v>
      </c>
      <c r="E603" s="25">
        <f>IF(C603&gt;$B$7,0,'Combined Retirement'!$D$13/12)</f>
        <v>0</v>
      </c>
      <c r="F603" s="25">
        <f>IF(H603=0,'Combined Retirement'!$D$32,0)+'Combined Retirement'!$B$24</f>
        <v>2870.372285649099</v>
      </c>
      <c r="G603" s="25">
        <f>'Combined Retirement'!$C$24</f>
        <v>3525.4531757812501</v>
      </c>
      <c r="H603" s="25">
        <f>IF(B603&lt;62,0,'Combined Retirement'!$I$14)</f>
        <v>2192</v>
      </c>
      <c r="I603" s="25">
        <f>IF(C603&lt;62,0,'Combined Retirement'!$I$13)</f>
        <v>2420</v>
      </c>
      <c r="J603" s="25">
        <f t="shared" si="523"/>
        <v>7863.2184191855868</v>
      </c>
      <c r="K603" s="25">
        <f t="shared" si="524"/>
        <v>20282.026119384056</v>
      </c>
      <c r="L603" s="25"/>
      <c r="N603" s="25">
        <f>'Combined Retirement'!$C$18/12</f>
        <v>39153.069999999992</v>
      </c>
      <c r="O603" s="25">
        <f t="shared" si="525"/>
        <v>11007.82546143035</v>
      </c>
      <c r="P603" s="25">
        <f t="shared" si="526"/>
        <v>28145.244538569641</v>
      </c>
      <c r="Q603" s="25">
        <f t="array" aca="1" ref="Q603" ca="1">INDEX('Isaac 401k'!L:L,MATCH('Retirement Calculator'!A603,'Isaac 401k'!N:N,0),0)</f>
        <v>-263135.68129797792</v>
      </c>
      <c r="R603" s="25">
        <f t="array" aca="1" ref="R603" ca="1">INDEX('Lorri 401b'!L:L,MATCH('Retirement Calculator'!A603,'Lorri 401b'!N:N,0),0)</f>
        <v>-621877.69257293793</v>
      </c>
      <c r="S603" s="25">
        <f t="shared" ca="1" si="527"/>
        <v>-885013.37387091585</v>
      </c>
    </row>
    <row r="604" spans="1:19" ht="15.75" customHeight="1" x14ac:dyDescent="0.3">
      <c r="A604" s="37">
        <v>69338</v>
      </c>
      <c r="B604" s="409">
        <f t="shared" ref="B604:C604" si="610">($A604-B$9)/365.25</f>
        <v>107.95893223819301</v>
      </c>
      <c r="C604" s="409">
        <f t="shared" si="610"/>
        <v>103.34839151266256</v>
      </c>
      <c r="E604" s="25">
        <f>IF(C604&gt;$B$7,0,'Combined Retirement'!$D$13/12)</f>
        <v>0</v>
      </c>
      <c r="F604" s="25">
        <f>IF(H604=0,'Combined Retirement'!$D$32,0)+'Combined Retirement'!$B$24</f>
        <v>2870.372285649099</v>
      </c>
      <c r="G604" s="25">
        <f>'Combined Retirement'!$C$24</f>
        <v>3525.4531757812501</v>
      </c>
      <c r="H604" s="25">
        <f>IF(B604&lt;62,0,'Combined Retirement'!$I$14)</f>
        <v>2192</v>
      </c>
      <c r="I604" s="25">
        <f>IF(C604&lt;62,0,'Combined Retirement'!$I$13)</f>
        <v>2420</v>
      </c>
      <c r="J604" s="25">
        <f t="shared" si="523"/>
        <v>7863.2184191855868</v>
      </c>
      <c r="K604" s="25">
        <f t="shared" si="524"/>
        <v>20282.026119384056</v>
      </c>
      <c r="L604" s="25"/>
      <c r="N604" s="25">
        <f>'Combined Retirement'!$C$18/12</f>
        <v>39153.069999999992</v>
      </c>
      <c r="O604" s="25">
        <f t="shared" si="525"/>
        <v>11007.82546143035</v>
      </c>
      <c r="P604" s="25">
        <f t="shared" si="526"/>
        <v>28145.244538569641</v>
      </c>
      <c r="Q604" s="25">
        <f t="array" aca="1" ref="Q604" ca="1">INDEX('Isaac 401k'!L:L,MATCH('Retirement Calculator'!A604,'Isaac 401k'!N:N,0),0)</f>
        <v>-272128.06179931836</v>
      </c>
      <c r="R604" s="25">
        <f t="array" aca="1" ref="R604" ca="1">INDEX('Lorri 401b'!L:L,MATCH('Retirement Calculator'!A604,'Lorri 401b'!N:N,0),0)</f>
        <v>-644835.38418687333</v>
      </c>
      <c r="S604" s="25">
        <f t="shared" ca="1" si="527"/>
        <v>-916963.44598619174</v>
      </c>
    </row>
    <row r="605" spans="1:19" ht="15.75" customHeight="1" x14ac:dyDescent="0.3">
      <c r="A605" s="37">
        <v>69368</v>
      </c>
      <c r="B605" s="409">
        <f t="shared" ref="B605:C605" si="611">($A605-B$9)/365.25</f>
        <v>108.04106776180699</v>
      </c>
      <c r="C605" s="409">
        <f t="shared" si="611"/>
        <v>103.43052703627653</v>
      </c>
      <c r="E605" s="25">
        <f>IF(C605&gt;$B$7,0,'Combined Retirement'!$D$13/12)</f>
        <v>0</v>
      </c>
      <c r="F605" s="25">
        <f>IF(H605=0,'Combined Retirement'!$D$32,0)+'Combined Retirement'!$B$24</f>
        <v>2870.372285649099</v>
      </c>
      <c r="G605" s="25">
        <f>'Combined Retirement'!$C$24</f>
        <v>3525.4531757812501</v>
      </c>
      <c r="H605" s="25">
        <f>IF(B605&lt;62,0,'Combined Retirement'!$I$14)</f>
        <v>2192</v>
      </c>
      <c r="I605" s="25">
        <f>IF(C605&lt;62,0,'Combined Retirement'!$I$13)</f>
        <v>2420</v>
      </c>
      <c r="J605" s="25">
        <f t="shared" si="523"/>
        <v>7863.2184191855868</v>
      </c>
      <c r="K605" s="25">
        <f t="shared" si="524"/>
        <v>20282.026119384056</v>
      </c>
      <c r="L605" s="25"/>
      <c r="N605" s="25">
        <f>'Combined Retirement'!$C$18/12</f>
        <v>39153.069999999992</v>
      </c>
      <c r="O605" s="25">
        <f t="shared" si="525"/>
        <v>11007.82546143035</v>
      </c>
      <c r="P605" s="25">
        <f t="shared" si="526"/>
        <v>28145.244538569641</v>
      </c>
      <c r="Q605" s="25">
        <f t="array" aca="1" ref="Q605" ca="1">INDEX('Isaac 401k'!L:L,MATCH('Retirement Calculator'!A605,'Isaac 401k'!N:N,0),0)</f>
        <v>-281157.91055274772</v>
      </c>
      <c r="R605" s="25">
        <f t="array" aca="1" ref="R605" ca="1">INDEX('Lorri 401b'!L:L,MATCH('Retirement Calculator'!A605,'Lorri 401b'!N:N,0),0)</f>
        <v>-667888.73284920014</v>
      </c>
      <c r="S605" s="25">
        <f t="shared" ca="1" si="527"/>
        <v>-949046.6434019478</v>
      </c>
    </row>
    <row r="606" spans="1:19" ht="15.75" customHeight="1" x14ac:dyDescent="0.3">
      <c r="A606" s="37">
        <v>69399</v>
      </c>
      <c r="B606" s="409">
        <f t="shared" ref="B606:C606" si="612">($A606-B$9)/365.25</f>
        <v>108.12594113620807</v>
      </c>
      <c r="C606" s="409">
        <f t="shared" si="612"/>
        <v>103.51540041067761</v>
      </c>
      <c r="E606" s="25">
        <f>IF(C606&gt;$B$7,0,'Combined Retirement'!$D$13/12)</f>
        <v>0</v>
      </c>
      <c r="F606" s="25">
        <f>IF(H606=0,'Combined Retirement'!$D$32,0)+'Combined Retirement'!$B$24</f>
        <v>2870.372285649099</v>
      </c>
      <c r="G606" s="25">
        <f>'Combined Retirement'!$C$24</f>
        <v>3525.4531757812501</v>
      </c>
      <c r="H606" s="25">
        <f>IF(B606&lt;62,0,'Combined Retirement'!$I$14)</f>
        <v>2192</v>
      </c>
      <c r="I606" s="25">
        <f>IF(C606&lt;62,0,'Combined Retirement'!$I$13)</f>
        <v>2420</v>
      </c>
      <c r="J606" s="25">
        <f t="shared" si="523"/>
        <v>7863.2184191855868</v>
      </c>
      <c r="K606" s="25">
        <f t="shared" si="524"/>
        <v>20282.026119384056</v>
      </c>
      <c r="L606" s="25"/>
      <c r="N606" s="25">
        <f>'Combined Retirement'!$C$18/12</f>
        <v>39153.069999999992</v>
      </c>
      <c r="O606" s="25">
        <f t="shared" si="525"/>
        <v>11007.82546143035</v>
      </c>
      <c r="P606" s="25">
        <f t="shared" si="526"/>
        <v>28145.244538569641</v>
      </c>
      <c r="Q606" s="25">
        <f t="array" aca="1" ref="Q606" ca="1">INDEX('Isaac 401k'!L:L,MATCH('Retirement Calculator'!A606,'Isaac 401k'!N:N,0),0)</f>
        <v>-290225.38367598306</v>
      </c>
      <c r="R606" s="25">
        <f t="array" aca="1" ref="R606" ca="1">INDEX('Lorri 401b'!L:L,MATCH('Retirement Calculator'!A606,'Lorri 401b'!N:N,0),0)</f>
        <v>-691038.13713095337</v>
      </c>
      <c r="S606" s="25">
        <f t="shared" ca="1" si="527"/>
        <v>-981263.52080693643</v>
      </c>
    </row>
    <row r="607" spans="1:19" ht="15.75" customHeight="1" x14ac:dyDescent="0.3">
      <c r="A607" s="37">
        <v>69430</v>
      </c>
      <c r="B607" s="409">
        <f t="shared" ref="B607:C607" si="613">($A607-B$9)/365.25</f>
        <v>108.21081451060917</v>
      </c>
      <c r="C607" s="409">
        <f t="shared" si="613"/>
        <v>103.60027378507871</v>
      </c>
      <c r="E607" s="25">
        <f>IF(C607&gt;$B$7,0,'Combined Retirement'!$D$13/12)</f>
        <v>0</v>
      </c>
      <c r="F607" s="25">
        <f>IF(H607=0,'Combined Retirement'!$D$32,0)+'Combined Retirement'!$B$24</f>
        <v>2870.372285649099</v>
      </c>
      <c r="G607" s="25">
        <f>'Combined Retirement'!$C$24</f>
        <v>3525.4531757812501</v>
      </c>
      <c r="H607" s="25">
        <f>IF(B607&lt;62,0,'Combined Retirement'!$I$14)</f>
        <v>2192</v>
      </c>
      <c r="I607" s="25">
        <f>IF(C607&lt;62,0,'Combined Retirement'!$I$13)</f>
        <v>2420</v>
      </c>
      <c r="J607" s="25">
        <f t="shared" si="523"/>
        <v>7863.2184191855868</v>
      </c>
      <c r="K607" s="25">
        <f t="shared" si="524"/>
        <v>20282.026119384056</v>
      </c>
      <c r="L607" s="25"/>
      <c r="N607" s="25">
        <f>'Combined Retirement'!$C$18/12</f>
        <v>39153.069999999992</v>
      </c>
      <c r="O607" s="25">
        <f t="shared" si="525"/>
        <v>11007.82546143035</v>
      </c>
      <c r="P607" s="25">
        <f t="shared" si="526"/>
        <v>28145.244538569641</v>
      </c>
      <c r="Q607" s="25">
        <f t="array" aca="1" ref="Q607" ca="1">INDEX('Isaac 401k'!L:L,MATCH('Retirement Calculator'!A607,'Isaac 401k'!N:N,0),0)</f>
        <v>-299330.63793723186</v>
      </c>
      <c r="R607" s="25">
        <f t="array" aca="1" ref="R607" ca="1">INDEX('Lorri 401b'!L:L,MATCH('Retirement Calculator'!A607,'Lorri 401b'!N:N,0),0)</f>
        <v>-714283.99726388056</v>
      </c>
      <c r="S607" s="25">
        <f t="shared" ca="1" si="527"/>
        <v>-1013614.6352011124</v>
      </c>
    </row>
    <row r="608" spans="1:19" ht="15.75" customHeight="1" x14ac:dyDescent="0.3">
      <c r="A608" s="37">
        <v>69458</v>
      </c>
      <c r="B608" s="409">
        <f t="shared" ref="B608:C608" si="614">($A608-B$9)/365.25</f>
        <v>108.28747433264887</v>
      </c>
      <c r="C608" s="409">
        <f t="shared" si="614"/>
        <v>103.67693360711841</v>
      </c>
      <c r="E608" s="25">
        <f>IF(C608&gt;$B$7,0,'Combined Retirement'!$D$13/12)</f>
        <v>0</v>
      </c>
      <c r="F608" s="25">
        <f>IF(H608=0,'Combined Retirement'!$D$32,0)+'Combined Retirement'!$B$24</f>
        <v>2870.372285649099</v>
      </c>
      <c r="G608" s="25">
        <f>'Combined Retirement'!$C$24</f>
        <v>3525.4531757812501</v>
      </c>
      <c r="H608" s="25">
        <f>IF(B608&lt;62,0,'Combined Retirement'!$I$14)</f>
        <v>2192</v>
      </c>
      <c r="I608" s="25">
        <f>IF(C608&lt;62,0,'Combined Retirement'!$I$13)</f>
        <v>2420</v>
      </c>
      <c r="J608" s="25">
        <f t="shared" si="523"/>
        <v>7863.2184191855868</v>
      </c>
      <c r="K608" s="25">
        <f t="shared" si="524"/>
        <v>20282.026119384056</v>
      </c>
      <c r="L608" s="25"/>
      <c r="N608" s="25">
        <f>'Combined Retirement'!$C$18/12</f>
        <v>39153.069999999992</v>
      </c>
      <c r="O608" s="25">
        <f t="shared" si="525"/>
        <v>11007.82546143035</v>
      </c>
      <c r="P608" s="25">
        <f t="shared" si="526"/>
        <v>28145.244538569641</v>
      </c>
      <c r="Q608" s="25">
        <f t="array" aca="1" ref="Q608" ca="1">INDEX('Isaac 401k'!L:L,MATCH('Retirement Calculator'!A608,'Isaac 401k'!N:N,0),0)</f>
        <v>-308473.83075790253</v>
      </c>
      <c r="R608" s="25">
        <f t="array" aca="1" ref="R608" ca="1">INDEX('Lorri 401b'!L:L,MATCH('Retirement Calculator'!A608,'Lorri 401b'!N:N,0),0)</f>
        <v>-737626.71514736162</v>
      </c>
      <c r="S608" s="25">
        <f t="shared" ca="1" si="527"/>
        <v>-1046100.5459052641</v>
      </c>
    </row>
    <row r="609" spans="1:19" ht="15.75" customHeight="1" x14ac:dyDescent="0.3">
      <c r="A609" s="37">
        <v>69489</v>
      </c>
      <c r="B609" s="409">
        <f t="shared" ref="B609:C609" si="615">($A609-B$9)/365.25</f>
        <v>108.37234770704997</v>
      </c>
      <c r="C609" s="409">
        <f t="shared" si="615"/>
        <v>103.76180698151951</v>
      </c>
      <c r="E609" s="25">
        <f>IF(C609&gt;$B$7,0,'Combined Retirement'!$D$13/12)</f>
        <v>0</v>
      </c>
      <c r="F609" s="25">
        <f>IF(H609=0,'Combined Retirement'!$D$32,0)+'Combined Retirement'!$B$24</f>
        <v>2870.372285649099</v>
      </c>
      <c r="G609" s="25">
        <f>'Combined Retirement'!$C$24</f>
        <v>3525.4531757812501</v>
      </c>
      <c r="H609" s="25">
        <f>IF(B609&lt;62,0,'Combined Retirement'!$I$14)</f>
        <v>2192</v>
      </c>
      <c r="I609" s="25">
        <f>IF(C609&lt;62,0,'Combined Retirement'!$I$13)</f>
        <v>2420</v>
      </c>
      <c r="J609" s="25">
        <f t="shared" si="523"/>
        <v>7863.2184191855868</v>
      </c>
      <c r="K609" s="25">
        <f t="shared" si="524"/>
        <v>20282.026119384056</v>
      </c>
      <c r="L609" s="25"/>
      <c r="N609" s="25">
        <f>'Combined Retirement'!$C$18/12</f>
        <v>39153.069999999992</v>
      </c>
      <c r="O609" s="25">
        <f t="shared" si="525"/>
        <v>11007.82546143035</v>
      </c>
      <c r="P609" s="25">
        <f t="shared" si="526"/>
        <v>28145.244538569641</v>
      </c>
      <c r="Q609" s="25">
        <f t="array" aca="1" ref="Q609" ca="1">INDEX('Isaac 401k'!L:L,MATCH('Retirement Calculator'!A609,'Isaac 401k'!N:N,0),0)</f>
        <v>-317655.12021532602</v>
      </c>
      <c r="R609" s="25">
        <f t="array" aca="1" ref="R609" ca="1">INDEX('Lorri 401b'!L:L,MATCH('Retirement Calculator'!A609,'Lorri 401b'!N:N,0),0)</f>
        <v>-761066.69435535721</v>
      </c>
      <c r="S609" s="25">
        <f t="shared" ca="1" si="527"/>
        <v>-1078721.8145706833</v>
      </c>
    </row>
    <row r="610" spans="1:19" ht="15.75" customHeight="1" x14ac:dyDescent="0.3">
      <c r="A610" s="37">
        <v>69519</v>
      </c>
      <c r="B610" s="409">
        <f t="shared" ref="B610:C610" si="616">($A610-B$9)/365.25</f>
        <v>108.45448323066393</v>
      </c>
      <c r="C610" s="409">
        <f t="shared" si="616"/>
        <v>103.84394250513347</v>
      </c>
      <c r="E610" s="25">
        <f>IF(C610&gt;$B$7,0,'Combined Retirement'!$D$13/12)</f>
        <v>0</v>
      </c>
      <c r="F610" s="25">
        <f>IF(H610=0,'Combined Retirement'!$D$32,0)+'Combined Retirement'!$B$24</f>
        <v>2870.372285649099</v>
      </c>
      <c r="G610" s="25">
        <f>'Combined Retirement'!$C$24</f>
        <v>3525.4531757812501</v>
      </c>
      <c r="H610" s="25">
        <f>IF(B610&lt;62,0,'Combined Retirement'!$I$14)</f>
        <v>2192</v>
      </c>
      <c r="I610" s="25">
        <f>IF(C610&lt;62,0,'Combined Retirement'!$I$13)</f>
        <v>2420</v>
      </c>
      <c r="J610" s="25">
        <f t="shared" si="523"/>
        <v>7863.2184191855868</v>
      </c>
      <c r="K610" s="25">
        <f t="shared" si="524"/>
        <v>20282.026119384056</v>
      </c>
      <c r="L610" s="25"/>
      <c r="N610" s="25">
        <f>'Combined Retirement'!$C$18/12</f>
        <v>39153.069999999992</v>
      </c>
      <c r="O610" s="25">
        <f t="shared" si="525"/>
        <v>11007.82546143035</v>
      </c>
      <c r="P610" s="25">
        <f t="shared" si="526"/>
        <v>28145.244538569641</v>
      </c>
      <c r="Q610" s="25">
        <f t="array" aca="1" ref="Q610" ca="1">INDEX('Isaac 401k'!L:L,MATCH('Retirement Calculator'!A610,'Isaac 401k'!N:N,0),0)</f>
        <v>-326874.66504548874</v>
      </c>
      <c r="R610" s="25">
        <f t="array" aca="1" ref="R610" ca="1">INDEX('Lorri 401b'!L:L,MATCH('Retirement Calculator'!A610,'Lorri 401b'!N:N,0),0)</f>
        <v>-784604.34014338604</v>
      </c>
      <c r="S610" s="25">
        <f t="shared" ca="1" si="527"/>
        <v>-1111479.0051888749</v>
      </c>
    </row>
    <row r="611" spans="1:19" ht="15.75" customHeight="1" x14ac:dyDescent="0.3">
      <c r="A611" s="37">
        <v>69550</v>
      </c>
      <c r="B611" s="409">
        <f t="shared" ref="B611:C611" si="617">($A611-B$9)/365.25</f>
        <v>108.53935660506502</v>
      </c>
      <c r="C611" s="409">
        <f t="shared" si="617"/>
        <v>103.92881587953457</v>
      </c>
      <c r="E611" s="25">
        <f>IF(C611&gt;$B$7,0,'Combined Retirement'!$D$13/12)</f>
        <v>0</v>
      </c>
      <c r="F611" s="25">
        <f>IF(H611=0,'Combined Retirement'!$D$32,0)+'Combined Retirement'!$B$24</f>
        <v>2870.372285649099</v>
      </c>
      <c r="G611" s="25">
        <f>'Combined Retirement'!$C$24</f>
        <v>3525.4531757812501</v>
      </c>
      <c r="H611" s="25">
        <f>IF(B611&lt;62,0,'Combined Retirement'!$I$14)</f>
        <v>2192</v>
      </c>
      <c r="I611" s="25">
        <f>IF(C611&lt;62,0,'Combined Retirement'!$I$13)</f>
        <v>2420</v>
      </c>
      <c r="J611" s="25">
        <f t="shared" si="523"/>
        <v>7863.2184191855868</v>
      </c>
      <c r="K611" s="25">
        <f t="shared" si="524"/>
        <v>20282.026119384056</v>
      </c>
      <c r="L611" s="25"/>
      <c r="N611" s="25">
        <f>'Combined Retirement'!$C$18/12</f>
        <v>39153.069999999992</v>
      </c>
      <c r="O611" s="25">
        <f t="shared" si="525"/>
        <v>11007.82546143035</v>
      </c>
      <c r="P611" s="25">
        <f t="shared" si="526"/>
        <v>28145.244538569641</v>
      </c>
      <c r="Q611" s="25">
        <f t="array" aca="1" ref="Q611" ca="1">INDEX('Isaac 401k'!L:L,MATCH('Retirement Calculator'!A611,'Isaac 401k'!N:N,0),0)</f>
        <v>-336132.62464577716</v>
      </c>
      <c r="R611" s="25">
        <f t="array" aca="1" ref="R611" ca="1">INDEX('Lorri 401b'!L:L,MATCH('Retirement Calculator'!A611,'Lorri 401b'!N:N,0),0)</f>
        <v>-808240.05945553165</v>
      </c>
      <c r="S611" s="25">
        <f t="shared" ca="1" si="527"/>
        <v>-1144372.6841013087</v>
      </c>
    </row>
    <row r="612" spans="1:19" ht="15.75" customHeight="1" x14ac:dyDescent="0.3">
      <c r="A612" s="37">
        <v>69580</v>
      </c>
      <c r="B612" s="409">
        <f t="shared" ref="B612:C612" si="618">($A612-B$9)/365.25</f>
        <v>108.62149212867898</v>
      </c>
      <c r="C612" s="409">
        <f t="shared" si="618"/>
        <v>104.01095140314852</v>
      </c>
      <c r="E612" s="25">
        <f>IF(C612&gt;$B$7,0,'Combined Retirement'!$D$13/12)</f>
        <v>0</v>
      </c>
      <c r="F612" s="25">
        <f>IF(H612=0,'Combined Retirement'!$D$32,0)+'Combined Retirement'!$B$24</f>
        <v>2870.372285649099</v>
      </c>
      <c r="G612" s="25">
        <f>'Combined Retirement'!$C$24</f>
        <v>3525.4531757812501</v>
      </c>
      <c r="H612" s="25">
        <f>IF(B612&lt;62,0,'Combined Retirement'!$I$14)</f>
        <v>2192</v>
      </c>
      <c r="I612" s="25">
        <f>IF(C612&lt;62,0,'Combined Retirement'!$I$13)</f>
        <v>2420</v>
      </c>
      <c r="J612" s="25">
        <f t="shared" si="523"/>
        <v>7863.2184191855868</v>
      </c>
      <c r="K612" s="25">
        <f t="shared" si="524"/>
        <v>20282.026119384056</v>
      </c>
      <c r="L612" s="25"/>
      <c r="N612" s="25">
        <f>'Combined Retirement'!$C$18/12</f>
        <v>39153.069999999992</v>
      </c>
      <c r="O612" s="25">
        <f t="shared" si="525"/>
        <v>11007.82546143035</v>
      </c>
      <c r="P612" s="25">
        <f t="shared" si="526"/>
        <v>28145.244538569641</v>
      </c>
      <c r="Q612" s="25">
        <f t="array" aca="1" ref="Q612" ca="1">INDEX('Isaac 401k'!L:L,MATCH('Retirement Calculator'!A612,'Isaac 401k'!N:N,0),0)</f>
        <v>-345429.15907773346</v>
      </c>
      <c r="R612" s="25">
        <f t="array" aca="1" ref="R612" ca="1">INDEX('Lorri 401b'!L:L,MATCH('Retirement Calculator'!A612,'Lorri 401b'!N:N,0),0)</f>
        <v>-831974.26093147788</v>
      </c>
      <c r="S612" s="25">
        <f t="shared" ca="1" si="527"/>
        <v>-1177403.4200092114</v>
      </c>
    </row>
    <row r="613" spans="1:19" ht="15.75" customHeight="1" x14ac:dyDescent="0.3">
      <c r="A613" s="37">
        <v>69611</v>
      </c>
      <c r="B613" s="409">
        <f t="shared" ref="B613:C613" si="619">($A613-B$9)/365.25</f>
        <v>108.70636550308008</v>
      </c>
      <c r="C613" s="409">
        <f t="shared" si="619"/>
        <v>104.09582477754962</v>
      </c>
      <c r="E613" s="25">
        <f>IF(C613&gt;$B$7,0,'Combined Retirement'!$D$13/12)</f>
        <v>0</v>
      </c>
      <c r="F613" s="25">
        <f>IF(H613=0,'Combined Retirement'!$D$32,0)+'Combined Retirement'!$B$24</f>
        <v>2870.372285649099</v>
      </c>
      <c r="G613" s="25">
        <f>'Combined Retirement'!$C$24</f>
        <v>3525.4531757812501</v>
      </c>
      <c r="H613" s="25">
        <f>IF(B613&lt;62,0,'Combined Retirement'!$I$14)</f>
        <v>2192</v>
      </c>
      <c r="I613" s="25">
        <f>IF(C613&lt;62,0,'Combined Retirement'!$I$13)</f>
        <v>2420</v>
      </c>
      <c r="J613" s="25">
        <f t="shared" si="523"/>
        <v>7863.2184191855868</v>
      </c>
      <c r="K613" s="25">
        <f t="shared" si="524"/>
        <v>20282.026119384056</v>
      </c>
      <c r="L613" s="25"/>
      <c r="N613" s="25">
        <f>'Combined Retirement'!$C$18/12</f>
        <v>39153.069999999992</v>
      </c>
      <c r="O613" s="25">
        <f t="shared" si="525"/>
        <v>11007.82546143035</v>
      </c>
      <c r="P613" s="25">
        <f t="shared" si="526"/>
        <v>28145.244538569641</v>
      </c>
      <c r="Q613" s="25">
        <f t="array" aca="1" ref="Q613" ca="1">INDEX('Isaac 401k'!L:L,MATCH('Retirement Calculator'!A613,'Isaac 401k'!N:N,0),0)</f>
        <v>-354764.42906982289</v>
      </c>
      <c r="R613" s="25">
        <f t="array" aca="1" ref="R613" ca="1">INDEX('Lorri 401b'!L:L,MATCH('Retirement Calculator'!A613,'Lorri 401b'!N:N,0),0)</f>
        <v>-855807.35491357394</v>
      </c>
      <c r="S613" s="25">
        <f t="shared" ca="1" si="527"/>
        <v>-1210571.7839833968</v>
      </c>
    </row>
    <row r="614" spans="1:19" ht="15.75" customHeight="1" x14ac:dyDescent="0.3">
      <c r="A614" s="37">
        <v>69642</v>
      </c>
      <c r="B614" s="409">
        <f t="shared" ref="B614:C614" si="620">($A614-B$9)/365.25</f>
        <v>108.79123887748118</v>
      </c>
      <c r="C614" s="409">
        <f t="shared" si="620"/>
        <v>104.18069815195072</v>
      </c>
      <c r="E614" s="25">
        <f>IF(C614&gt;$B$7,0,'Combined Retirement'!$D$13/12)</f>
        <v>0</v>
      </c>
      <c r="F614" s="25">
        <f>IF(H614=0,'Combined Retirement'!$D$32,0)+'Combined Retirement'!$B$24</f>
        <v>2870.372285649099</v>
      </c>
      <c r="G614" s="25">
        <f>'Combined Retirement'!$C$24</f>
        <v>3525.4531757812501</v>
      </c>
      <c r="H614" s="25">
        <f>IF(B614&lt;62,0,'Combined Retirement'!$I$14)</f>
        <v>2192</v>
      </c>
      <c r="I614" s="25">
        <f>IF(C614&lt;62,0,'Combined Retirement'!$I$13)</f>
        <v>2420</v>
      </c>
      <c r="J614" s="25">
        <f t="shared" si="523"/>
        <v>7863.2184191855868</v>
      </c>
      <c r="K614" s="25">
        <f t="shared" si="524"/>
        <v>20282.026119384056</v>
      </c>
      <c r="L614" s="25"/>
      <c r="N614" s="25">
        <f>'Combined Retirement'!$C$18/12</f>
        <v>39153.069999999992</v>
      </c>
      <c r="O614" s="25">
        <f t="shared" si="525"/>
        <v>11007.82546143035</v>
      </c>
      <c r="P614" s="25">
        <f t="shared" si="526"/>
        <v>28145.244538569641</v>
      </c>
      <c r="Q614" s="25">
        <f t="array" aca="1" ref="Q614" ca="1">INDEX('Isaac 401k'!L:L,MATCH('Retirement Calculator'!A614,'Isaac 401k'!N:N,0),0)</f>
        <v>-364138.59602021269</v>
      </c>
      <c r="R614" s="25">
        <f t="array" aca="1" ref="R614" ca="1">INDEX('Lorri 401b'!L:L,MATCH('Retirement Calculator'!A614,'Lorri 401b'!N:N,0),0)</f>
        <v>-879739.75345392874</v>
      </c>
      <c r="S614" s="25">
        <f t="shared" ca="1" si="527"/>
        <v>-1243878.3494741414</v>
      </c>
    </row>
    <row r="615" spans="1:19" ht="15.75" customHeight="1" x14ac:dyDescent="0.3">
      <c r="A615" s="37">
        <v>69672</v>
      </c>
      <c r="B615" s="409">
        <f t="shared" ref="B615:C615" si="621">($A615-B$9)/365.25</f>
        <v>108.87337440109513</v>
      </c>
      <c r="C615" s="409">
        <f t="shared" si="621"/>
        <v>104.26283367556468</v>
      </c>
      <c r="E615" s="25">
        <f>IF(C615&gt;$B$7,0,'Combined Retirement'!$D$13/12)</f>
        <v>0</v>
      </c>
      <c r="F615" s="25">
        <f>IF(H615=0,'Combined Retirement'!$D$32,0)+'Combined Retirement'!$B$24</f>
        <v>2870.372285649099</v>
      </c>
      <c r="G615" s="25">
        <f>'Combined Retirement'!$C$24</f>
        <v>3525.4531757812501</v>
      </c>
      <c r="H615" s="25">
        <f>IF(B615&lt;62,0,'Combined Retirement'!$I$14)</f>
        <v>2192</v>
      </c>
      <c r="I615" s="25">
        <f>IF(C615&lt;62,0,'Combined Retirement'!$I$13)</f>
        <v>2420</v>
      </c>
      <c r="J615" s="25">
        <f t="shared" si="523"/>
        <v>7863.2184191855868</v>
      </c>
      <c r="K615" s="25">
        <f t="shared" si="524"/>
        <v>20282.026119384056</v>
      </c>
      <c r="L615" s="25"/>
      <c r="N615" s="25">
        <f>'Combined Retirement'!$C$18/12</f>
        <v>39153.069999999992</v>
      </c>
      <c r="O615" s="25">
        <f t="shared" si="525"/>
        <v>11007.82546143035</v>
      </c>
      <c r="P615" s="25">
        <f t="shared" si="526"/>
        <v>28145.244538569641</v>
      </c>
      <c r="Q615" s="25">
        <f t="array" aca="1" ref="Q615" ca="1">INDEX('Isaac 401k'!L:L,MATCH('Retirement Calculator'!A615,'Isaac 401k'!N:N,0),0)</f>
        <v>-373551.82199956244</v>
      </c>
      <c r="R615" s="25">
        <f t="array" aca="1" ref="R615" ca="1">INDEX('Lorri 401b'!L:L,MATCH('Retirement Calculator'!A615,'Lorri 401b'!N:N,0),0)</f>
        <v>-903771.87032153492</v>
      </c>
      <c r="S615" s="25">
        <f t="shared" ca="1" si="527"/>
        <v>-1277323.6923210975</v>
      </c>
    </row>
    <row r="616" spans="1:19" ht="15.75" customHeight="1" x14ac:dyDescent="0.3">
      <c r="A616" s="37">
        <v>69703</v>
      </c>
      <c r="B616" s="409">
        <f t="shared" ref="B616:C616" si="622">($A616-B$9)/365.25</f>
        <v>108.95824777549623</v>
      </c>
      <c r="C616" s="409">
        <f t="shared" si="622"/>
        <v>104.34770704996578</v>
      </c>
      <c r="E616" s="25">
        <f>IF(C616&gt;$B$7,0,'Combined Retirement'!$D$13/12)</f>
        <v>0</v>
      </c>
      <c r="F616" s="25">
        <f>IF(H616=0,'Combined Retirement'!$D$32,0)+'Combined Retirement'!$B$24</f>
        <v>2870.372285649099</v>
      </c>
      <c r="G616" s="25">
        <f>'Combined Retirement'!$C$24</f>
        <v>3525.4531757812501</v>
      </c>
      <c r="H616" s="25">
        <f>IF(B616&lt;62,0,'Combined Retirement'!$I$14)</f>
        <v>2192</v>
      </c>
      <c r="I616" s="25">
        <f>IF(C616&lt;62,0,'Combined Retirement'!$I$13)</f>
        <v>2420</v>
      </c>
      <c r="J616" s="25">
        <f t="shared" si="523"/>
        <v>7863.2184191855868</v>
      </c>
      <c r="K616" s="25">
        <f t="shared" si="524"/>
        <v>20282.026119384056</v>
      </c>
      <c r="L616" s="25"/>
      <c r="N616" s="25">
        <f>'Combined Retirement'!$C$18/12</f>
        <v>39153.069999999992</v>
      </c>
      <c r="O616" s="25">
        <f t="shared" si="525"/>
        <v>11007.82546143035</v>
      </c>
      <c r="P616" s="25">
        <f t="shared" si="526"/>
        <v>28145.244538569641</v>
      </c>
      <c r="Q616" s="25">
        <f t="array" aca="1" ref="Q616" ca="1">INDEX('Isaac 401k'!L:L,MATCH('Retirement Calculator'!A616,'Isaac 401k'!N:N,0),0)</f>
        <v>-383004.26975382614</v>
      </c>
      <c r="R616" s="25">
        <f t="array" aca="1" ref="R616" ca="1">INDEX('Lorri 401b'!L:L,MATCH('Retirement Calculator'!A616,'Lorri 401b'!N:N,0),0)</f>
        <v>-927904.12100942282</v>
      </c>
      <c r="S616" s="25">
        <f t="shared" ca="1" si="527"/>
        <v>-1310908.390763249</v>
      </c>
    </row>
    <row r="617" spans="1:19" ht="15.75" customHeight="1" x14ac:dyDescent="0.3">
      <c r="A617" s="37">
        <v>69733</v>
      </c>
      <c r="B617" s="409">
        <f t="shared" ref="B617:C617" si="623">($A617-B$9)/365.25</f>
        <v>109.0403832991102</v>
      </c>
      <c r="C617" s="409">
        <f t="shared" si="623"/>
        <v>104.42984257357973</v>
      </c>
      <c r="E617" s="25">
        <f>IF(C617&gt;$B$7,0,'Combined Retirement'!$D$13/12)</f>
        <v>0</v>
      </c>
      <c r="F617" s="25">
        <f>IF(H617=0,'Combined Retirement'!$D$32,0)+'Combined Retirement'!$B$24</f>
        <v>2870.372285649099</v>
      </c>
      <c r="G617" s="25">
        <f>'Combined Retirement'!$C$24</f>
        <v>3525.4531757812501</v>
      </c>
      <c r="H617" s="25">
        <f>IF(B617&lt;62,0,'Combined Retirement'!$I$14)</f>
        <v>2192</v>
      </c>
      <c r="I617" s="25">
        <f>IF(C617&lt;62,0,'Combined Retirement'!$I$13)</f>
        <v>2420</v>
      </c>
      <c r="J617" s="25">
        <f t="shared" si="523"/>
        <v>7863.2184191855868</v>
      </c>
      <c r="K617" s="25">
        <f t="shared" si="524"/>
        <v>20282.026119384056</v>
      </c>
      <c r="L617" s="25"/>
      <c r="N617" s="25">
        <f>'Combined Retirement'!$C$18/12</f>
        <v>39153.069999999992</v>
      </c>
      <c r="O617" s="25">
        <f t="shared" si="525"/>
        <v>11007.82546143035</v>
      </c>
      <c r="P617" s="25">
        <f t="shared" si="526"/>
        <v>28145.244538569641</v>
      </c>
      <c r="Q617" s="25">
        <f t="array" aca="1" ref="Q617" ca="1">INDEX('Isaac 401k'!L:L,MATCH('Retirement Calculator'!A617,'Isaac 401k'!N:N,0),0)</f>
        <v>-392496.10270706599</v>
      </c>
      <c r="R617" s="25">
        <f t="array" aca="1" ref="R617" ca="1">INDEX('Lorri 401b'!L:L,MATCH('Retirement Calculator'!A617,'Lorri 401b'!N:N,0),0)</f>
        <v>-952136.92274184362</v>
      </c>
      <c r="S617" s="25">
        <f t="shared" ca="1" si="527"/>
        <v>-1344633.0254489095</v>
      </c>
    </row>
    <row r="618" spans="1:19" ht="15.75" customHeight="1" x14ac:dyDescent="0.3">
      <c r="A618" s="37">
        <v>69764</v>
      </c>
      <c r="B618" s="409">
        <f t="shared" ref="B618:C618" si="624">($A618-B$9)/365.25</f>
        <v>109.12525667351129</v>
      </c>
      <c r="C618" s="409">
        <f t="shared" si="624"/>
        <v>104.51471594798083</v>
      </c>
      <c r="E618" s="25">
        <f>IF(C618&gt;$B$7,0,'Combined Retirement'!$D$13/12)</f>
        <v>0</v>
      </c>
      <c r="F618" s="25">
        <f>IF(H618=0,'Combined Retirement'!$D$32,0)+'Combined Retirement'!$B$24</f>
        <v>2870.372285649099</v>
      </c>
      <c r="G618" s="25">
        <f>'Combined Retirement'!$C$24</f>
        <v>3525.4531757812501</v>
      </c>
      <c r="H618" s="25">
        <f>IF(B618&lt;62,0,'Combined Retirement'!$I$14)</f>
        <v>2192</v>
      </c>
      <c r="I618" s="25">
        <f>IF(C618&lt;62,0,'Combined Retirement'!$I$13)</f>
        <v>2420</v>
      </c>
      <c r="J618" s="25">
        <f t="shared" si="523"/>
        <v>7863.2184191855868</v>
      </c>
      <c r="K618" s="25">
        <f t="shared" si="524"/>
        <v>20282.026119384056</v>
      </c>
      <c r="L618" s="25"/>
      <c r="N618" s="25">
        <f>'Combined Retirement'!$C$18/12</f>
        <v>39153.069999999992</v>
      </c>
      <c r="O618" s="25">
        <f t="shared" si="525"/>
        <v>11007.82546143035</v>
      </c>
      <c r="P618" s="25">
        <f t="shared" si="526"/>
        <v>28145.244538569641</v>
      </c>
      <c r="Q618" s="25">
        <f t="array" aca="1" ref="Q618" ca="1">INDEX('Isaac 401k'!L:L,MATCH('Retirement Calculator'!A618,'Isaac 401k'!N:N,0),0)</f>
        <v>-402027.48496427765</v>
      </c>
      <c r="R618" s="25">
        <f t="array" aca="1" ref="R618" ca="1">INDEX('Lorri 401b'!L:L,MATCH('Retirement Calculator'!A618,'Lorri 401b'!N:N,0),0)</f>
        <v>-976470.69448148285</v>
      </c>
      <c r="S618" s="25">
        <f t="shared" ca="1" si="527"/>
        <v>-1378498.1794457606</v>
      </c>
    </row>
    <row r="619" spans="1:19" ht="15.75" customHeight="1" x14ac:dyDescent="0.3">
      <c r="A619" s="37">
        <v>69795</v>
      </c>
      <c r="B619" s="409">
        <f t="shared" ref="B619:C619" si="625">($A619-B$9)/365.25</f>
        <v>109.21013004791239</v>
      </c>
      <c r="C619" s="409">
        <f t="shared" si="625"/>
        <v>104.59958932238193</v>
      </c>
      <c r="E619" s="25">
        <f>IF(C619&gt;$B$7,0,'Combined Retirement'!$D$13/12)</f>
        <v>0</v>
      </c>
      <c r="F619" s="25">
        <f>IF(H619=0,'Combined Retirement'!$D$32,0)+'Combined Retirement'!$B$24</f>
        <v>2870.372285649099</v>
      </c>
      <c r="G619" s="25">
        <f>'Combined Retirement'!$C$24</f>
        <v>3525.4531757812501</v>
      </c>
      <c r="H619" s="25">
        <f>IF(B619&lt;62,0,'Combined Retirement'!$I$14)</f>
        <v>2192</v>
      </c>
      <c r="I619" s="25">
        <f>IF(C619&lt;62,0,'Combined Retirement'!$I$13)</f>
        <v>2420</v>
      </c>
      <c r="J619" s="25">
        <f t="shared" si="523"/>
        <v>7863.2184191855868</v>
      </c>
      <c r="K619" s="25">
        <f t="shared" si="524"/>
        <v>20282.026119384056</v>
      </c>
      <c r="L619" s="25"/>
      <c r="N619" s="25">
        <f>'Combined Retirement'!$C$18/12</f>
        <v>39153.069999999992</v>
      </c>
      <c r="O619" s="25">
        <f t="shared" si="525"/>
        <v>11007.82546143035</v>
      </c>
      <c r="P619" s="25">
        <f t="shared" si="526"/>
        <v>28145.244538569641</v>
      </c>
      <c r="Q619" s="25">
        <f t="array" aca="1" ref="Q619" ca="1">INDEX('Isaac 401k'!L:L,MATCH('Retirement Calculator'!A619,'Isaac 401k'!N:N,0),0)</f>
        <v>-411598.58131422772</v>
      </c>
      <c r="R619" s="25">
        <f t="array" aca="1" ref="R619" ca="1">INDEX('Lorri 401b'!L:L,MATCH('Retirement Calculator'!A619,'Lorri 401b'!N:N,0),0)</f>
        <v>-1000905.8569367039</v>
      </c>
      <c r="S619" s="25">
        <f t="shared" ca="1" si="527"/>
        <v>-1412504.4382509317</v>
      </c>
    </row>
    <row r="620" spans="1:19" ht="15.75" customHeight="1" x14ac:dyDescent="0.3">
      <c r="A620" s="37">
        <v>69823</v>
      </c>
      <c r="B620" s="409">
        <f t="shared" ref="B620:C620" si="626">($A620-B$9)/365.25</f>
        <v>109.28678986995209</v>
      </c>
      <c r="C620" s="409">
        <f t="shared" si="626"/>
        <v>104.67624914442163</v>
      </c>
      <c r="E620" s="25">
        <f>IF(C620&gt;$B$7,0,'Combined Retirement'!$D$13/12)</f>
        <v>0</v>
      </c>
      <c r="F620" s="25">
        <f>IF(H620=0,'Combined Retirement'!$D$32,0)+'Combined Retirement'!$B$24</f>
        <v>2870.372285649099</v>
      </c>
      <c r="G620" s="25">
        <f>'Combined Retirement'!$C$24</f>
        <v>3525.4531757812501</v>
      </c>
      <c r="H620" s="25">
        <f>IF(B620&lt;62,0,'Combined Retirement'!$I$14)</f>
        <v>2192</v>
      </c>
      <c r="I620" s="25">
        <f>IF(C620&lt;62,0,'Combined Retirement'!$I$13)</f>
        <v>2420</v>
      </c>
      <c r="J620" s="25">
        <f t="shared" si="523"/>
        <v>7863.2184191855868</v>
      </c>
      <c r="K620" s="25">
        <f t="shared" si="524"/>
        <v>20282.026119384056</v>
      </c>
      <c r="L620" s="25"/>
      <c r="N620" s="25">
        <f>'Combined Retirement'!$C$18/12</f>
        <v>39153.069999999992</v>
      </c>
      <c r="O620" s="25">
        <f t="shared" si="525"/>
        <v>11007.82546143035</v>
      </c>
      <c r="P620" s="25">
        <f t="shared" si="526"/>
        <v>28145.244538569641</v>
      </c>
      <c r="Q620" s="25">
        <f t="array" aca="1" ref="Q620" ca="1">INDEX('Isaac 401k'!L:L,MATCH('Retirement Calculator'!A620,'Isaac 401k'!N:N,0),0)</f>
        <v>-421209.55723230256</v>
      </c>
      <c r="R620" s="25">
        <f t="array" aca="1" ref="R620" ca="1">INDEX('Lorri 401b'!L:L,MATCH('Retirement Calculator'!A620,'Lorri 401b'!N:N,0),0)</f>
        <v>-1025442.8325688217</v>
      </c>
      <c r="S620" s="25">
        <f t="shared" ca="1" si="527"/>
        <v>-1446652.3898011243</v>
      </c>
    </row>
    <row r="621" spans="1:19" ht="15.75" customHeight="1" x14ac:dyDescent="0.3">
      <c r="A621" s="37">
        <v>69854</v>
      </c>
      <c r="B621" s="409">
        <f t="shared" ref="B621:C621" si="627">($A621-B$9)/365.25</f>
        <v>109.37166324435319</v>
      </c>
      <c r="C621" s="409">
        <f t="shared" si="627"/>
        <v>104.76112251882273</v>
      </c>
      <c r="E621" s="25">
        <f>IF(C621&gt;$B$7,0,'Combined Retirement'!$D$13/12)</f>
        <v>0</v>
      </c>
      <c r="F621" s="25">
        <f>IF(H621=0,'Combined Retirement'!$D$32,0)+'Combined Retirement'!$B$24</f>
        <v>2870.372285649099</v>
      </c>
      <c r="G621" s="25">
        <f>'Combined Retirement'!$C$24</f>
        <v>3525.4531757812501</v>
      </c>
      <c r="H621" s="25">
        <f>IF(B621&lt;62,0,'Combined Retirement'!$I$14)</f>
        <v>2192</v>
      </c>
      <c r="I621" s="25">
        <f>IF(C621&lt;62,0,'Combined Retirement'!$I$13)</f>
        <v>2420</v>
      </c>
      <c r="J621" s="25">
        <f t="shared" si="523"/>
        <v>7863.2184191855868</v>
      </c>
      <c r="K621" s="25">
        <f t="shared" si="524"/>
        <v>20282.026119384056</v>
      </c>
      <c r="L621" s="25"/>
      <c r="N621" s="25">
        <f>'Combined Retirement'!$C$18/12</f>
        <v>39153.069999999992</v>
      </c>
      <c r="O621" s="25">
        <f t="shared" si="525"/>
        <v>11007.82546143035</v>
      </c>
      <c r="P621" s="25">
        <f t="shared" si="526"/>
        <v>28145.244538569641</v>
      </c>
      <c r="Q621" s="25">
        <f t="array" aca="1" ref="Q621" ca="1">INDEX('Isaac 401k'!L:L,MATCH('Retirement Calculator'!A621,'Isaac 401k'!N:N,0),0)</f>
        <v>-430860.57888336934</v>
      </c>
      <c r="R621" s="25">
        <f t="array" aca="1" ref="R621" ca="1">INDEX('Lorri 401b'!L:L,MATCH('Retirement Calculator'!A621,'Lorri 401b'!N:N,0),0)</f>
        <v>-1050082.0455994066</v>
      </c>
      <c r="S621" s="25">
        <f t="shared" ca="1" si="527"/>
        <v>-1480942.624482776</v>
      </c>
    </row>
    <row r="622" spans="1:19" ht="15.75" customHeight="1" x14ac:dyDescent="0.3">
      <c r="A622" s="37">
        <v>69884</v>
      </c>
      <c r="B622" s="409">
        <f t="shared" ref="B622:C622" si="628">($A622-B$9)/365.25</f>
        <v>109.45379876796714</v>
      </c>
      <c r="C622" s="409">
        <f t="shared" si="628"/>
        <v>104.84325804243669</v>
      </c>
      <c r="E622" s="25">
        <f>IF(C622&gt;$B$7,0,'Combined Retirement'!$D$13/12)</f>
        <v>0</v>
      </c>
      <c r="F622" s="25">
        <f>IF(H622=0,'Combined Retirement'!$D$32,0)+'Combined Retirement'!$B$24</f>
        <v>2870.372285649099</v>
      </c>
      <c r="G622" s="25">
        <f>'Combined Retirement'!$C$24</f>
        <v>3525.4531757812501</v>
      </c>
      <c r="H622" s="25">
        <f>IF(B622&lt;62,0,'Combined Retirement'!$I$14)</f>
        <v>2192</v>
      </c>
      <c r="I622" s="25">
        <f>IF(C622&lt;62,0,'Combined Retirement'!$I$13)</f>
        <v>2420</v>
      </c>
      <c r="J622" s="25">
        <f t="shared" si="523"/>
        <v>7863.2184191855868</v>
      </c>
      <c r="K622" s="25">
        <f t="shared" si="524"/>
        <v>20282.026119384056</v>
      </c>
      <c r="L622" s="25"/>
      <c r="N622" s="25">
        <f>'Combined Retirement'!$C$18/12</f>
        <v>39153.069999999992</v>
      </c>
      <c r="O622" s="25">
        <f t="shared" si="525"/>
        <v>11007.82546143035</v>
      </c>
      <c r="P622" s="25">
        <f t="shared" si="526"/>
        <v>28145.244538569641</v>
      </c>
      <c r="Q622" s="25">
        <f t="array" aca="1" ref="Q622" ca="1">INDEX('Isaac 401k'!L:L,MATCH('Retirement Calculator'!A622,'Isaac 401k'!N:N,0),0)</f>
        <v>-440551.81312464894</v>
      </c>
      <c r="R622" s="25">
        <f t="array" aca="1" ref="R622" ca="1">INDEX('Lorri 401b'!L:L,MATCH('Retirement Calculator'!A622,'Lorri 401b'!N:N,0),0)</f>
        <v>-1074823.9220176188</v>
      </c>
      <c r="S622" s="25">
        <f t="shared" ca="1" si="527"/>
        <v>-1515375.7351422678</v>
      </c>
    </row>
    <row r="623" spans="1:19" ht="15.75" customHeight="1" x14ac:dyDescent="0.3">
      <c r="A623" s="37">
        <v>69915</v>
      </c>
      <c r="B623" s="409">
        <f t="shared" ref="B623:C623" si="629">($A623-B$9)/365.25</f>
        <v>109.53867214236824</v>
      </c>
      <c r="C623" s="409">
        <f t="shared" si="629"/>
        <v>104.92813141683779</v>
      </c>
      <c r="E623" s="25">
        <f>IF(C623&gt;$B$7,0,'Combined Retirement'!$D$13/12)</f>
        <v>0</v>
      </c>
      <c r="F623" s="25">
        <f>IF(H623=0,'Combined Retirement'!$D$32,0)+'Combined Retirement'!$B$24</f>
        <v>2870.372285649099</v>
      </c>
      <c r="G623" s="25">
        <f>'Combined Retirement'!$C$24</f>
        <v>3525.4531757812501</v>
      </c>
      <c r="H623" s="25">
        <f>IF(B623&lt;62,0,'Combined Retirement'!$I$14)</f>
        <v>2192</v>
      </c>
      <c r="I623" s="25">
        <f>IF(C623&lt;62,0,'Combined Retirement'!$I$13)</f>
        <v>2420</v>
      </c>
      <c r="J623" s="25">
        <f t="shared" si="523"/>
        <v>7863.2184191855868</v>
      </c>
      <c r="K623" s="25">
        <f t="shared" si="524"/>
        <v>20282.026119384056</v>
      </c>
      <c r="L623" s="25"/>
      <c r="N623" s="25">
        <f>'Combined Retirement'!$C$18/12</f>
        <v>39153.069999999992</v>
      </c>
      <c r="O623" s="25">
        <f t="shared" si="525"/>
        <v>11007.82546143035</v>
      </c>
      <c r="P623" s="25">
        <f t="shared" si="526"/>
        <v>28145.244538569641</v>
      </c>
      <c r="Q623" s="25">
        <f t="array" aca="1" ref="Q623" ca="1">INDEX('Isaac 401k'!L:L,MATCH('Retirement Calculator'!A623,'Isaac 401k'!N:N,0),0)</f>
        <v>-450283.42750860052</v>
      </c>
      <c r="R623" s="25">
        <f t="array" aca="1" ref="R623" ca="1">INDEX('Lorri 401b'!L:L,MATCH('Retirement Calculator'!A623,'Lorri 401b'!N:N,0),0)</f>
        <v>-1099668.8895875737</v>
      </c>
      <c r="S623" s="25">
        <f t="shared" ca="1" si="527"/>
        <v>-1549952.3170961742</v>
      </c>
    </row>
    <row r="624" spans="1:19" ht="15.75" customHeight="1" x14ac:dyDescent="0.3">
      <c r="A624" s="37">
        <v>69945</v>
      </c>
      <c r="B624" s="409">
        <f t="shared" ref="B624:C624" si="630">($A624-B$9)/365.25</f>
        <v>109.6208076659822</v>
      </c>
      <c r="C624" s="409">
        <f t="shared" si="630"/>
        <v>105.01026694045174</v>
      </c>
      <c r="E624" s="25">
        <f>IF(C624&gt;$B$7,0,'Combined Retirement'!$D$13/12)</f>
        <v>0</v>
      </c>
      <c r="F624" s="25">
        <f>IF(H624=0,'Combined Retirement'!$D$32,0)+'Combined Retirement'!$B$24</f>
        <v>2870.372285649099</v>
      </c>
      <c r="G624" s="25">
        <f>'Combined Retirement'!$C$24</f>
        <v>3525.4531757812501</v>
      </c>
      <c r="H624" s="25">
        <f>IF(B624&lt;62,0,'Combined Retirement'!$I$14)</f>
        <v>2192</v>
      </c>
      <c r="I624" s="25">
        <f>IF(C624&lt;62,0,'Combined Retirement'!$I$13)</f>
        <v>2420</v>
      </c>
      <c r="J624" s="25">
        <f t="shared" si="523"/>
        <v>7863.2184191855868</v>
      </c>
      <c r="K624" s="25">
        <f t="shared" si="524"/>
        <v>20282.026119384056</v>
      </c>
      <c r="L624" s="25"/>
      <c r="N624" s="25">
        <f>'Combined Retirement'!$C$18/12</f>
        <v>39153.069999999992</v>
      </c>
      <c r="O624" s="25">
        <f t="shared" si="525"/>
        <v>11007.82546143035</v>
      </c>
      <c r="P624" s="25">
        <f t="shared" si="526"/>
        <v>28145.244538569641</v>
      </c>
      <c r="Q624" s="25">
        <f t="array" aca="1" ref="Q624" ca="1">INDEX('Isaac 401k'!L:L,MATCH('Retirement Calculator'!A624,'Isaac 401k'!N:N,0),0)</f>
        <v>-460055.59028581856</v>
      </c>
      <c r="R624" s="25">
        <f t="array" aca="1" ref="R624" ca="1">INDEX('Lorri 401b'!L:L,MATCH('Retirement Calculator'!A624,'Lorri 401b'!N:N,0),0)</f>
        <v>-1124617.3778557368</v>
      </c>
      <c r="S624" s="25">
        <f t="shared" ca="1" si="527"/>
        <v>-1584672.9681415553</v>
      </c>
    </row>
    <row r="625" spans="1:19" ht="15.75" customHeight="1" x14ac:dyDescent="0.3">
      <c r="A625" s="37">
        <v>69976</v>
      </c>
      <c r="B625" s="409">
        <f t="shared" ref="B625:C625" si="631">($A625-B$9)/365.25</f>
        <v>109.7056810403833</v>
      </c>
      <c r="C625" s="409">
        <f t="shared" si="631"/>
        <v>105.09514031485284</v>
      </c>
      <c r="E625" s="25">
        <f>IF(C625&gt;$B$7,0,'Combined Retirement'!$D$13/12)</f>
        <v>0</v>
      </c>
      <c r="F625" s="25">
        <f>IF(H625=0,'Combined Retirement'!$D$32,0)+'Combined Retirement'!$B$24</f>
        <v>2870.372285649099</v>
      </c>
      <c r="G625" s="25">
        <f>'Combined Retirement'!$C$24</f>
        <v>3525.4531757812501</v>
      </c>
      <c r="H625" s="25">
        <f>IF(B625&lt;62,0,'Combined Retirement'!$I$14)</f>
        <v>2192</v>
      </c>
      <c r="I625" s="25">
        <f>IF(C625&lt;62,0,'Combined Retirement'!$I$13)</f>
        <v>2420</v>
      </c>
      <c r="J625" s="25">
        <f t="shared" si="523"/>
        <v>7863.2184191855868</v>
      </c>
      <c r="K625" s="25">
        <f t="shared" si="524"/>
        <v>20282.026119384056</v>
      </c>
      <c r="L625" s="25"/>
      <c r="N625" s="25">
        <f>'Combined Retirement'!$C$18/12</f>
        <v>39153.069999999992</v>
      </c>
      <c r="O625" s="25">
        <f t="shared" si="525"/>
        <v>11007.82546143035</v>
      </c>
      <c r="P625" s="25">
        <f t="shared" si="526"/>
        <v>28145.244538569641</v>
      </c>
      <c r="Q625" s="25">
        <f t="array" aca="1" ref="Q625" ca="1">INDEX('Isaac 401k'!L:L,MATCH('Retirement Calculator'!A625,'Isaac 401k'!N:N,0),0)</f>
        <v>-469868.47040794167</v>
      </c>
      <c r="R625" s="25">
        <f t="array" aca="1" ref="R625" ca="1">INDEX('Lorri 401b'!L:L,MATCH('Retirement Calculator'!A625,'Lorri 401b'!N:N,0),0)</f>
        <v>-1149669.8181583504</v>
      </c>
      <c r="S625" s="25">
        <f t="shared" ca="1" si="527"/>
        <v>-1619538.288566292</v>
      </c>
    </row>
    <row r="626" spans="1:19" ht="15.75" customHeight="1" x14ac:dyDescent="0.3">
      <c r="A626" s="37">
        <v>70007</v>
      </c>
      <c r="B626" s="409">
        <f t="shared" ref="B626:C626" si="632">($A626-B$9)/365.25</f>
        <v>109.7905544147844</v>
      </c>
      <c r="C626" s="409">
        <f t="shared" si="632"/>
        <v>105.18001368925394</v>
      </c>
      <c r="E626" s="25">
        <f>IF(C626&gt;$B$7,0,'Combined Retirement'!$D$13/12)</f>
        <v>0</v>
      </c>
      <c r="F626" s="25">
        <f>IF(H626=0,'Combined Retirement'!$D$32,0)+'Combined Retirement'!$B$24</f>
        <v>2870.372285649099</v>
      </c>
      <c r="G626" s="25">
        <f>'Combined Retirement'!$C$24</f>
        <v>3525.4531757812501</v>
      </c>
      <c r="H626" s="25">
        <f>IF(B626&lt;62,0,'Combined Retirement'!$I$14)</f>
        <v>2192</v>
      </c>
      <c r="I626" s="25">
        <f>IF(C626&lt;62,0,'Combined Retirement'!$I$13)</f>
        <v>2420</v>
      </c>
      <c r="J626" s="25">
        <f t="shared" si="523"/>
        <v>7863.2184191855868</v>
      </c>
      <c r="K626" s="25">
        <f t="shared" si="524"/>
        <v>20282.026119384056</v>
      </c>
      <c r="L626" s="25"/>
      <c r="N626" s="25">
        <f>'Combined Retirement'!$C$18/12</f>
        <v>39153.069999999992</v>
      </c>
      <c r="O626" s="25">
        <f t="shared" si="525"/>
        <v>11007.82546143035</v>
      </c>
      <c r="P626" s="25">
        <f t="shared" si="526"/>
        <v>28145.244538569641</v>
      </c>
      <c r="Q626" s="25">
        <f t="array" aca="1" ref="Q626" ca="1">INDEX('Isaac 401k'!L:L,MATCH('Retirement Calculator'!A626,'Isaac 401k'!N:N,0),0)</f>
        <v>-479722.23753057362</v>
      </c>
      <c r="R626" s="25">
        <f t="array" aca="1" ref="R626" ca="1">INDEX('Lorri 401b'!L:L,MATCH('Retirement Calculator'!A626,'Lorri 401b'!N:N,0),0)</f>
        <v>-1174826.6436288916</v>
      </c>
      <c r="S626" s="25">
        <f t="shared" ca="1" si="527"/>
        <v>-1654548.8811594653</v>
      </c>
    </row>
    <row r="627" spans="1:19" ht="15.75" customHeight="1" x14ac:dyDescent="0.3">
      <c r="A627" s="37">
        <v>70037</v>
      </c>
      <c r="B627" s="409">
        <f t="shared" ref="B627:C627" si="633">($A627-B$9)/365.25</f>
        <v>109.87268993839835</v>
      </c>
      <c r="C627" s="409">
        <f t="shared" si="633"/>
        <v>105.2621492128679</v>
      </c>
      <c r="E627" s="25">
        <f>IF(C627&gt;$B$7,0,'Combined Retirement'!$D$13/12)</f>
        <v>0</v>
      </c>
      <c r="F627" s="25">
        <f>IF(H627=0,'Combined Retirement'!$D$32,0)+'Combined Retirement'!$B$24</f>
        <v>2870.372285649099</v>
      </c>
      <c r="G627" s="25">
        <f>'Combined Retirement'!$C$24</f>
        <v>3525.4531757812501</v>
      </c>
      <c r="H627" s="25">
        <f>IF(B627&lt;62,0,'Combined Retirement'!$I$14)</f>
        <v>2192</v>
      </c>
      <c r="I627" s="25">
        <f>IF(C627&lt;62,0,'Combined Retirement'!$I$13)</f>
        <v>2420</v>
      </c>
      <c r="J627" s="25">
        <f t="shared" si="523"/>
        <v>7863.2184191855868</v>
      </c>
      <c r="K627" s="25">
        <f t="shared" si="524"/>
        <v>20282.026119384056</v>
      </c>
      <c r="L627" s="25"/>
      <c r="N627" s="25">
        <f>'Combined Retirement'!$C$18/12</f>
        <v>39153.069999999992</v>
      </c>
      <c r="O627" s="25">
        <f t="shared" si="525"/>
        <v>11007.82546143035</v>
      </c>
      <c r="P627" s="25">
        <f t="shared" si="526"/>
        <v>28145.244538569641</v>
      </c>
      <c r="Q627" s="25">
        <f t="array" aca="1" ref="Q627" ca="1">INDEX('Isaac 401k'!L:L,MATCH('Retirement Calculator'!A627,'Isaac 401k'!N:N,0),0)</f>
        <v>-489617.06201621657</v>
      </c>
      <c r="R627" s="25">
        <f t="array" aca="1" ref="R627" ca="1">INDEX('Lorri 401b'!L:L,MATCH('Retirement Calculator'!A627,'Lorri 401b'!N:N,0),0)</f>
        <v>-1200088.28920556</v>
      </c>
      <c r="S627" s="25">
        <f t="shared" ca="1" si="527"/>
        <v>-1689705.3512217766</v>
      </c>
    </row>
    <row r="628" spans="1:19" ht="15.75" customHeight="1" x14ac:dyDescent="0.3">
      <c r="A628" s="37">
        <v>70068</v>
      </c>
      <c r="B628" s="409">
        <f t="shared" ref="B628:C628" si="634">($A628-B$9)/365.25</f>
        <v>109.95756331279945</v>
      </c>
      <c r="C628" s="409">
        <f t="shared" si="634"/>
        <v>105.347022587269</v>
      </c>
      <c r="E628" s="25">
        <f>IF(C628&gt;$B$7,0,'Combined Retirement'!$D$13/12)</f>
        <v>0</v>
      </c>
      <c r="F628" s="25">
        <f>IF(H628=0,'Combined Retirement'!$D$32,0)+'Combined Retirement'!$B$24</f>
        <v>2870.372285649099</v>
      </c>
      <c r="G628" s="25">
        <f>'Combined Retirement'!$C$24</f>
        <v>3525.4531757812501</v>
      </c>
      <c r="H628" s="25">
        <f>IF(B628&lt;62,0,'Combined Retirement'!$I$14)</f>
        <v>2192</v>
      </c>
      <c r="I628" s="25">
        <f>IF(C628&lt;62,0,'Combined Retirement'!$I$13)</f>
        <v>2420</v>
      </c>
      <c r="J628" s="25">
        <f t="shared" si="523"/>
        <v>7863.2184191855868</v>
      </c>
      <c r="K628" s="25">
        <f t="shared" si="524"/>
        <v>20282.026119384056</v>
      </c>
      <c r="L628" s="25"/>
      <c r="N628" s="25">
        <f>'Combined Retirement'!$C$18/12</f>
        <v>39153.069999999992</v>
      </c>
      <c r="O628" s="25">
        <f t="shared" si="525"/>
        <v>11007.82546143035</v>
      </c>
      <c r="P628" s="25">
        <f t="shared" si="526"/>
        <v>28145.244538569641</v>
      </c>
      <c r="Q628" s="25">
        <f t="array" aca="1" ref="Q628" ca="1">INDEX('Isaac 401k'!L:L,MATCH('Retirement Calculator'!A628,'Isaac 401k'!N:N,0),0)</f>
        <v>-499553.11493721633</v>
      </c>
      <c r="R628" s="25">
        <f t="array" aca="1" ref="R628" ca="1">INDEX('Lorri 401b'!L:L,MATCH('Retirement Calculator'!A628,'Lorri 401b'!N:N,0),0)</f>
        <v>-1225455.191638798</v>
      </c>
      <c r="S628" s="25">
        <f t="shared" ca="1" si="527"/>
        <v>-1725008.3065760143</v>
      </c>
    </row>
    <row r="629" spans="1:19" ht="15.75" customHeight="1" x14ac:dyDescent="0.3">
      <c r="A629" s="37">
        <v>70098</v>
      </c>
      <c r="B629" s="409">
        <f t="shared" ref="B629:C629" si="635">($A629-B$9)/365.25</f>
        <v>110.03969883641342</v>
      </c>
      <c r="C629" s="409">
        <f t="shared" si="635"/>
        <v>105.42915811088295</v>
      </c>
      <c r="E629" s="25">
        <f>IF(C629&gt;$B$7,0,'Combined Retirement'!$D$13/12)</f>
        <v>0</v>
      </c>
      <c r="F629" s="25">
        <f>IF(H629=0,'Combined Retirement'!$D$32,0)+'Combined Retirement'!$B$24</f>
        <v>2870.372285649099</v>
      </c>
      <c r="G629" s="25">
        <f>'Combined Retirement'!$C$24</f>
        <v>3525.4531757812501</v>
      </c>
      <c r="H629" s="25">
        <f>IF(B629&lt;62,0,'Combined Retirement'!$I$14)</f>
        <v>2192</v>
      </c>
      <c r="I629" s="25">
        <f>IF(C629&lt;62,0,'Combined Retirement'!$I$13)</f>
        <v>2420</v>
      </c>
      <c r="J629" s="25">
        <f t="shared" si="523"/>
        <v>7863.2184191855868</v>
      </c>
      <c r="K629" s="25">
        <f t="shared" si="524"/>
        <v>20282.026119384056</v>
      </c>
      <c r="L629" s="25"/>
      <c r="N629" s="25">
        <f>'Combined Retirement'!$C$18/12</f>
        <v>39153.069999999992</v>
      </c>
      <c r="O629" s="25">
        <f t="shared" si="525"/>
        <v>11007.82546143035</v>
      </c>
      <c r="P629" s="25">
        <f t="shared" si="526"/>
        <v>28145.244538569641</v>
      </c>
      <c r="Q629" s="25">
        <f t="array" aca="1" ref="Q629" ca="1">INDEX('Isaac 401k'!L:L,MATCH('Retirement Calculator'!A629,'Isaac 401k'!N:N,0),0)</f>
        <v>-509530.5680787203</v>
      </c>
      <c r="R629" s="25">
        <f t="array" aca="1" ref="R629" ca="1">INDEX('Lorri 401b'!L:L,MATCH('Retirement Calculator'!A629,'Lorri 401b'!N:N,0),0)</f>
        <v>-1250927.7894988412</v>
      </c>
      <c r="S629" s="25">
        <f t="shared" ca="1" si="527"/>
        <v>-1760458.3575775614</v>
      </c>
    </row>
    <row r="630" spans="1:19" ht="15.75" customHeight="1" x14ac:dyDescent="0.3">
      <c r="A630" s="37">
        <v>70129</v>
      </c>
      <c r="B630" s="409">
        <f t="shared" ref="B630:C630" si="636">($A630-B$9)/365.25</f>
        <v>110.12457221081451</v>
      </c>
      <c r="C630" s="409">
        <f t="shared" si="636"/>
        <v>105.51403148528405</v>
      </c>
      <c r="E630" s="25">
        <f>IF(C630&gt;$B$7,0,'Combined Retirement'!$D$13/12)</f>
        <v>0</v>
      </c>
      <c r="F630" s="25">
        <f>IF(H630=0,'Combined Retirement'!$D$32,0)+'Combined Retirement'!$B$24</f>
        <v>2870.372285649099</v>
      </c>
      <c r="G630" s="25">
        <f>'Combined Retirement'!$C$24</f>
        <v>3525.4531757812501</v>
      </c>
      <c r="H630" s="25">
        <f>IF(B630&lt;62,0,'Combined Retirement'!$I$14)</f>
        <v>2192</v>
      </c>
      <c r="I630" s="25">
        <f>IF(C630&lt;62,0,'Combined Retirement'!$I$13)</f>
        <v>2420</v>
      </c>
      <c r="J630" s="25">
        <f t="shared" si="523"/>
        <v>7863.2184191855868</v>
      </c>
      <c r="K630" s="25">
        <f t="shared" si="524"/>
        <v>20282.026119384056</v>
      </c>
      <c r="L630" s="25"/>
      <c r="N630" s="25">
        <f>'Combined Retirement'!$C$18/12</f>
        <v>39153.069999999992</v>
      </c>
      <c r="O630" s="25">
        <f t="shared" si="525"/>
        <v>11007.82546143035</v>
      </c>
      <c r="P630" s="25">
        <f t="shared" si="526"/>
        <v>28145.244538569641</v>
      </c>
      <c r="Q630" s="25">
        <f t="array" aca="1" ref="Q630" ca="1">INDEX('Isaac 401k'!L:L,MATCH('Retirement Calculator'!A630,'Isaac 401k'!N:N,0),0)</f>
        <v>-519549.59394164721</v>
      </c>
      <c r="R630" s="25">
        <f t="array" aca="1" ref="R630" ca="1">INDEX('Lorri 401b'!L:L,MATCH('Retirement Calculator'!A630,'Lorri 401b'!N:N,0),0)</f>
        <v>-1276506.5231833011</v>
      </c>
      <c r="S630" s="25">
        <f t="shared" ca="1" si="527"/>
        <v>-1796056.1171249482</v>
      </c>
    </row>
    <row r="631" spans="1:19" ht="15.75" customHeight="1" x14ac:dyDescent="0.3">
      <c r="A631" s="37">
        <v>70160</v>
      </c>
      <c r="B631" s="409">
        <f t="shared" ref="B631:C631" si="637">($A631-B$9)/365.25</f>
        <v>110.2094455852156</v>
      </c>
      <c r="C631" s="409">
        <f t="shared" si="637"/>
        <v>105.59890485968515</v>
      </c>
      <c r="E631" s="25">
        <f>IF(C631&gt;$B$7,0,'Combined Retirement'!$D$13/12)</f>
        <v>0</v>
      </c>
      <c r="F631" s="25">
        <f>IF(H631=0,'Combined Retirement'!$D$32,0)+'Combined Retirement'!$B$24</f>
        <v>2870.372285649099</v>
      </c>
      <c r="G631" s="25">
        <f>'Combined Retirement'!$C$24</f>
        <v>3525.4531757812501</v>
      </c>
      <c r="H631" s="25">
        <f>IF(B631&lt;62,0,'Combined Retirement'!$I$14)</f>
        <v>2192</v>
      </c>
      <c r="I631" s="25">
        <f>IF(C631&lt;62,0,'Combined Retirement'!$I$13)</f>
        <v>2420</v>
      </c>
      <c r="J631" s="25">
        <f t="shared" si="523"/>
        <v>7863.2184191855868</v>
      </c>
      <c r="K631" s="25">
        <f t="shared" si="524"/>
        <v>20282.026119384056</v>
      </c>
      <c r="L631" s="25"/>
      <c r="N631" s="25">
        <f>'Combined Retirement'!$C$18/12</f>
        <v>39153.069999999992</v>
      </c>
      <c r="O631" s="25">
        <f t="shared" si="525"/>
        <v>11007.82546143035</v>
      </c>
      <c r="P631" s="25">
        <f t="shared" si="526"/>
        <v>28145.244538569641</v>
      </c>
      <c r="Q631" s="25">
        <f t="array" aca="1" ref="Q631" ca="1">INDEX('Isaac 401k'!L:L,MATCH('Retirement Calculator'!A631,'Isaac 401k'!N:N,0),0)</f>
        <v>-529610.36574566958</v>
      </c>
      <c r="R631" s="25">
        <f t="array" aca="1" ref="R631" ca="1">INDEX('Lorri 401b'!L:L,MATCH('Retirement Calculator'!A631,'Lorri 401b'!N:N,0),0)</f>
        <v>-1302191.8349247796</v>
      </c>
      <c r="S631" s="25">
        <f t="shared" ca="1" si="527"/>
        <v>-1831802.2006704491</v>
      </c>
    </row>
    <row r="632" spans="1:19" ht="15.75" customHeight="1" x14ac:dyDescent="0.3">
      <c r="A632" s="37">
        <v>70189</v>
      </c>
      <c r="B632" s="409">
        <f t="shared" ref="B632:C632" si="638">($A632-B$9)/365.25</f>
        <v>110.28884325804243</v>
      </c>
      <c r="C632" s="409">
        <f t="shared" si="638"/>
        <v>105.67830253251198</v>
      </c>
      <c r="E632" s="25">
        <f>IF(C632&gt;$B$7,0,'Combined Retirement'!$D$13/12)</f>
        <v>0</v>
      </c>
      <c r="F632" s="25">
        <f>IF(H632=0,'Combined Retirement'!$D$32,0)+'Combined Retirement'!$B$24</f>
        <v>2870.372285649099</v>
      </c>
      <c r="G632" s="25">
        <f>'Combined Retirement'!$C$24</f>
        <v>3525.4531757812501</v>
      </c>
      <c r="H632" s="25">
        <f>IF(B632&lt;62,0,'Combined Retirement'!$I$14)</f>
        <v>2192</v>
      </c>
      <c r="I632" s="25">
        <f>IF(C632&lt;62,0,'Combined Retirement'!$I$13)</f>
        <v>2420</v>
      </c>
      <c r="J632" s="25">
        <f t="shared" si="523"/>
        <v>7863.2184191855868</v>
      </c>
      <c r="K632" s="25">
        <f t="shared" si="524"/>
        <v>20282.026119384056</v>
      </c>
      <c r="L632" s="25"/>
      <c r="N632" s="25">
        <f>'Combined Retirement'!$C$18/12</f>
        <v>39153.069999999992</v>
      </c>
      <c r="O632" s="25">
        <f t="shared" si="525"/>
        <v>11007.82546143035</v>
      </c>
      <c r="P632" s="25">
        <f t="shared" si="526"/>
        <v>28145.244538569641</v>
      </c>
      <c r="Q632" s="25">
        <f t="array" aca="1" ref="Q632" ca="1">INDEX('Isaac 401k'!L:L,MATCH('Retirement Calculator'!A632,'Isaac 401k'!N:N,0),0)</f>
        <v>-539713.05743220879</v>
      </c>
      <c r="R632" s="25">
        <f t="array" aca="1" ref="R632" ca="1">INDEX('Lorri 401b'!L:L,MATCH('Retirement Calculator'!A632,'Lorri 401b'!N:N,0),0)</f>
        <v>-1327984.1687985142</v>
      </c>
      <c r="S632" s="25">
        <f t="shared" ca="1" si="527"/>
        <v>-1867697.2262307229</v>
      </c>
    </row>
    <row r="633" spans="1:19" ht="15.75" customHeight="1" x14ac:dyDescent="0.3">
      <c r="A633" s="37">
        <v>70220</v>
      </c>
      <c r="B633" s="409">
        <f t="shared" ref="B633:C633" si="639">($A633-B$9)/365.25</f>
        <v>110.37371663244353</v>
      </c>
      <c r="C633" s="409">
        <f t="shared" si="639"/>
        <v>105.76317590691308</v>
      </c>
      <c r="E633" s="25">
        <f>IF(C633&gt;$B$7,0,'Combined Retirement'!$D$13/12)</f>
        <v>0</v>
      </c>
      <c r="F633" s="25">
        <f>IF(H633=0,'Combined Retirement'!$D$32,0)+'Combined Retirement'!$B$24</f>
        <v>2870.372285649099</v>
      </c>
      <c r="G633" s="25">
        <f>'Combined Retirement'!$C$24</f>
        <v>3525.4531757812501</v>
      </c>
      <c r="H633" s="25">
        <f>IF(B633&lt;62,0,'Combined Retirement'!$I$14)</f>
        <v>2192</v>
      </c>
      <c r="I633" s="25">
        <f>IF(C633&lt;62,0,'Combined Retirement'!$I$13)</f>
        <v>2420</v>
      </c>
      <c r="J633" s="25">
        <f t="shared" si="523"/>
        <v>7863.2184191855868</v>
      </c>
      <c r="K633" s="25">
        <f t="shared" si="524"/>
        <v>20282.026119384056</v>
      </c>
      <c r="L633" s="25"/>
      <c r="N633" s="25">
        <f>'Combined Retirement'!$C$18/12</f>
        <v>39153.069999999992</v>
      </c>
      <c r="O633" s="25">
        <f t="shared" si="525"/>
        <v>11007.82546143035</v>
      </c>
      <c r="P633" s="25">
        <f t="shared" si="526"/>
        <v>28145.244538569641</v>
      </c>
      <c r="Q633" s="25">
        <f t="array" aca="1" ref="Q633" ca="1">INDEX('Isaac 401k'!L:L,MATCH('Retirement Calculator'!A633,'Isaac 401k'!N:N,0),0)</f>
        <v>-549857.84366744186</v>
      </c>
      <c r="R633" s="25">
        <f t="array" aca="1" ref="R633" ca="1">INDEX('Lorri 401b'!L:L,MATCH('Retirement Calculator'!A633,'Lorri 401b'!N:N,0),0)</f>
        <v>-1353883.9707300561</v>
      </c>
      <c r="S633" s="25">
        <f t="shared" ca="1" si="527"/>
        <v>-1903741.814397498</v>
      </c>
    </row>
    <row r="634" spans="1:19" ht="15.75" customHeight="1" x14ac:dyDescent="0.3">
      <c r="A634" s="37">
        <v>70250</v>
      </c>
      <c r="B634" s="409">
        <f t="shared" ref="B634:C634" si="640">($A634-B$9)/365.25</f>
        <v>110.45585215605749</v>
      </c>
      <c r="C634" s="409">
        <f t="shared" si="640"/>
        <v>105.84531143052703</v>
      </c>
      <c r="E634" s="25">
        <f>IF(C634&gt;$B$7,0,'Combined Retirement'!$D$13/12)</f>
        <v>0</v>
      </c>
      <c r="F634" s="25">
        <f>IF(H634=0,'Combined Retirement'!$D$32,0)+'Combined Retirement'!$B$24</f>
        <v>2870.372285649099</v>
      </c>
      <c r="G634" s="25">
        <f>'Combined Retirement'!$C$24</f>
        <v>3525.4531757812501</v>
      </c>
      <c r="H634" s="25">
        <f>IF(B634&lt;62,0,'Combined Retirement'!$I$14)</f>
        <v>2192</v>
      </c>
      <c r="I634" s="25">
        <f>IF(C634&lt;62,0,'Combined Retirement'!$I$13)</f>
        <v>2420</v>
      </c>
      <c r="J634" s="25">
        <f t="shared" si="523"/>
        <v>7863.2184191855868</v>
      </c>
      <c r="K634" s="25">
        <f t="shared" si="524"/>
        <v>20282.026119384056</v>
      </c>
      <c r="L634" s="25"/>
      <c r="N634" s="25">
        <f>'Combined Retirement'!$C$18/12</f>
        <v>39153.069999999992</v>
      </c>
      <c r="O634" s="25">
        <f t="shared" si="525"/>
        <v>11007.82546143035</v>
      </c>
      <c r="P634" s="25">
        <f t="shared" si="526"/>
        <v>28145.244538569641</v>
      </c>
      <c r="Q634" s="25">
        <f t="array" aca="1" ref="Q634" ca="1">INDEX('Isaac 401k'!L:L,MATCH('Retirement Calculator'!A634,'Isaac 401k'!N:N,0),0)</f>
        <v>-560044.89984532178</v>
      </c>
      <c r="R634" s="25">
        <f t="array" aca="1" ref="R634" ca="1">INDEX('Lorri 401b'!L:L,MATCH('Retirement Calculator'!A634,'Lorri 401b'!N:N,0),0)</f>
        <v>-1379891.6885029795</v>
      </c>
      <c r="S634" s="25">
        <f t="shared" ca="1" si="527"/>
        <v>-1939936.5883483011</v>
      </c>
    </row>
    <row r="635" spans="1:19" ht="15.75" customHeight="1" x14ac:dyDescent="0.3">
      <c r="A635" s="37">
        <v>70281</v>
      </c>
      <c r="B635" s="409">
        <f t="shared" ref="B635:C635" si="641">($A635-B$9)/365.25</f>
        <v>110.54072553045859</v>
      </c>
      <c r="C635" s="409">
        <f t="shared" si="641"/>
        <v>105.93018480492813</v>
      </c>
      <c r="E635" s="25">
        <f>IF(C635&gt;$B$7,0,'Combined Retirement'!$D$13/12)</f>
        <v>0</v>
      </c>
      <c r="F635" s="25">
        <f>IF(H635=0,'Combined Retirement'!$D$32,0)+'Combined Retirement'!$B$24</f>
        <v>2870.372285649099</v>
      </c>
      <c r="G635" s="25">
        <f>'Combined Retirement'!$C$24</f>
        <v>3525.4531757812501</v>
      </c>
      <c r="H635" s="25">
        <f>IF(B635&lt;62,0,'Combined Retirement'!$I$14)</f>
        <v>2192</v>
      </c>
      <c r="I635" s="25">
        <f>IF(C635&lt;62,0,'Combined Retirement'!$I$13)</f>
        <v>2420</v>
      </c>
      <c r="J635" s="25">
        <f t="shared" si="523"/>
        <v>7863.2184191855868</v>
      </c>
      <c r="K635" s="25">
        <f t="shared" si="524"/>
        <v>20282.026119384056</v>
      </c>
      <c r="L635" s="25"/>
      <c r="N635" s="25">
        <f>'Combined Retirement'!$C$18/12</f>
        <v>39153.069999999992</v>
      </c>
      <c r="O635" s="25">
        <f t="shared" si="525"/>
        <v>11007.82546143035</v>
      </c>
      <c r="P635" s="25">
        <f t="shared" si="526"/>
        <v>28145.244538569641</v>
      </c>
      <c r="Q635" s="25">
        <f t="array" aca="1" ref="Q635" ca="1">INDEX('Isaac 401k'!L:L,MATCH('Retirement Calculator'!A635,'Isaac 401k'!N:N,0),0)</f>
        <v>-570274.40209060954</v>
      </c>
      <c r="R635" s="25">
        <f t="array" aca="1" ref="R635" ca="1">INDEX('Lorri 401b'!L:L,MATCH('Retirement Calculator'!A635,'Lorri 401b'!N:N,0),0)</f>
        <v>-1406007.7717666232</v>
      </c>
      <c r="S635" s="25">
        <f t="shared" ca="1" si="527"/>
        <v>-1976282.1738572328</v>
      </c>
    </row>
    <row r="636" spans="1:19" ht="15.75" customHeight="1" x14ac:dyDescent="0.3">
      <c r="A636" s="37">
        <v>70311</v>
      </c>
      <c r="B636" s="409">
        <f t="shared" ref="B636:C636" si="642">($A636-B$9)/365.25</f>
        <v>110.62286105407256</v>
      </c>
      <c r="C636" s="409">
        <f t="shared" si="642"/>
        <v>106.01232032854209</v>
      </c>
      <c r="E636" s="25">
        <f>IF(C636&gt;$B$7,0,'Combined Retirement'!$D$13/12)</f>
        <v>0</v>
      </c>
      <c r="F636" s="25">
        <f>IF(H636=0,'Combined Retirement'!$D$32,0)+'Combined Retirement'!$B$24</f>
        <v>2870.372285649099</v>
      </c>
      <c r="G636" s="25">
        <f>'Combined Retirement'!$C$24</f>
        <v>3525.4531757812501</v>
      </c>
      <c r="H636" s="25">
        <f>IF(B636&lt;62,0,'Combined Retirement'!$I$14)</f>
        <v>2192</v>
      </c>
      <c r="I636" s="25">
        <f>IF(C636&lt;62,0,'Combined Retirement'!$I$13)</f>
        <v>2420</v>
      </c>
      <c r="J636" s="25">
        <f t="shared" si="523"/>
        <v>7863.2184191855868</v>
      </c>
      <c r="K636" s="25">
        <f t="shared" si="524"/>
        <v>20282.026119384056</v>
      </c>
      <c r="L636" s="25"/>
      <c r="N636" s="25">
        <f>'Combined Retirement'!$C$18/12</f>
        <v>39153.069999999992</v>
      </c>
      <c r="O636" s="25">
        <f t="shared" si="525"/>
        <v>11007.82546143035</v>
      </c>
      <c r="P636" s="25">
        <f t="shared" si="526"/>
        <v>28145.244538569641</v>
      </c>
      <c r="Q636" s="25">
        <f t="array" aca="1" ref="Q636" ca="1">INDEX('Isaac 401k'!L:L,MATCH('Retirement Calculator'!A636,'Isaac 401k'!N:N,0),0)</f>
        <v>-580546.52726191934</v>
      </c>
      <c r="R636" s="25">
        <f t="array" aca="1" ref="R636" ca="1">INDEX('Lorri 401b'!L:L,MATCH('Retirement Calculator'!A636,'Lorri 401b'!N:N,0),0)</f>
        <v>-1432232.6720438655</v>
      </c>
      <c r="S636" s="25">
        <f t="shared" ca="1" si="527"/>
        <v>-2012779.1993057849</v>
      </c>
    </row>
    <row r="637" spans="1:19" ht="15.75" customHeight="1" x14ac:dyDescent="0.3">
      <c r="A637" s="37">
        <v>70342</v>
      </c>
      <c r="B637" s="409">
        <f t="shared" ref="B637:C637" si="643">($A637-B$9)/365.25</f>
        <v>110.70773442847364</v>
      </c>
      <c r="C637" s="409">
        <f t="shared" si="643"/>
        <v>106.09719370294319</v>
      </c>
      <c r="E637" s="25">
        <f>IF(C637&gt;$B$7,0,'Combined Retirement'!$D$13/12)</f>
        <v>0</v>
      </c>
      <c r="F637" s="25">
        <f>IF(H637=0,'Combined Retirement'!$D$32,0)+'Combined Retirement'!$B$24</f>
        <v>2870.372285649099</v>
      </c>
      <c r="G637" s="25">
        <f>'Combined Retirement'!$C$24</f>
        <v>3525.4531757812501</v>
      </c>
      <c r="H637" s="25">
        <f>IF(B637&lt;62,0,'Combined Retirement'!$I$14)</f>
        <v>2192</v>
      </c>
      <c r="I637" s="25">
        <f>IF(C637&lt;62,0,'Combined Retirement'!$I$13)</f>
        <v>2420</v>
      </c>
      <c r="J637" s="25">
        <f t="shared" si="523"/>
        <v>7863.2184191855868</v>
      </c>
      <c r="K637" s="25">
        <f t="shared" si="524"/>
        <v>20282.026119384056</v>
      </c>
      <c r="L637" s="25"/>
      <c r="N637" s="25">
        <f>'Combined Retirement'!$C$18/12</f>
        <v>39153.069999999992</v>
      </c>
      <c r="O637" s="25">
        <f t="shared" si="525"/>
        <v>11007.82546143035</v>
      </c>
      <c r="P637" s="25">
        <f t="shared" si="526"/>
        <v>28145.244538569641</v>
      </c>
      <c r="Q637" s="25">
        <f t="array" aca="1" ref="Q637" ca="1">INDEX('Isaac 401k'!L:L,MATCH('Retirement Calculator'!A637,'Isaac 401k'!N:N,0),0)</f>
        <v>-590861.45295477624</v>
      </c>
      <c r="R637" s="25">
        <f t="array" aca="1" ref="R637" ca="1">INDEX('Lorri 401b'!L:L,MATCH('Retirement Calculator'!A637,'Lorri 401b'!N:N,0),0)</f>
        <v>-1458566.8427389297</v>
      </c>
      <c r="S637" s="25">
        <f t="shared" ca="1" si="527"/>
        <v>-2049428.2956937058</v>
      </c>
    </row>
    <row r="638" spans="1:19" ht="15.75" customHeight="1" x14ac:dyDescent="0.3">
      <c r="A638" s="37">
        <v>70373</v>
      </c>
      <c r="B638" s="409">
        <f t="shared" ref="B638:C638" si="644">($A638-B$9)/365.25</f>
        <v>110.79260780287474</v>
      </c>
      <c r="C638" s="409">
        <f t="shared" si="644"/>
        <v>106.18206707734429</v>
      </c>
      <c r="E638" s="25">
        <f>IF(C638&gt;$B$7,0,'Combined Retirement'!$D$13/12)</f>
        <v>0</v>
      </c>
      <c r="F638" s="25">
        <f>IF(H638=0,'Combined Retirement'!$D$32,0)+'Combined Retirement'!$B$24</f>
        <v>2870.372285649099</v>
      </c>
      <c r="G638" s="25">
        <f>'Combined Retirement'!$C$24</f>
        <v>3525.4531757812501</v>
      </c>
      <c r="H638" s="25">
        <f>IF(B638&lt;62,0,'Combined Retirement'!$I$14)</f>
        <v>2192</v>
      </c>
      <c r="I638" s="25">
        <f>IF(C638&lt;62,0,'Combined Retirement'!$I$13)</f>
        <v>2420</v>
      </c>
      <c r="J638" s="25">
        <f t="shared" si="523"/>
        <v>7863.2184191855868</v>
      </c>
      <c r="K638" s="25">
        <f t="shared" si="524"/>
        <v>20282.026119384056</v>
      </c>
      <c r="L638" s="25"/>
      <c r="N638" s="25">
        <f>'Combined Retirement'!$C$18/12</f>
        <v>39153.069999999992</v>
      </c>
      <c r="O638" s="25">
        <f t="shared" si="525"/>
        <v>11007.82546143035</v>
      </c>
      <c r="P638" s="25">
        <f t="shared" si="526"/>
        <v>28145.244538569641</v>
      </c>
      <c r="Q638" s="25">
        <f t="array" aca="1" ref="Q638" ca="1">INDEX('Isaac 401k'!L:L,MATCH('Retirement Calculator'!A638,'Isaac 401k'!N:N,0),0)</f>
        <v>-601219.35750468669</v>
      </c>
      <c r="R638" s="25">
        <f t="array" aca="1" ref="R638" ca="1">INDEX('Lorri 401b'!L:L,MATCH('Retirement Calculator'!A638,'Lorri 401b'!N:N,0),0)</f>
        <v>-1485010.7391452233</v>
      </c>
      <c r="S638" s="25">
        <f t="shared" ca="1" si="527"/>
        <v>-2086230.0966499099</v>
      </c>
    </row>
    <row r="639" spans="1:19" ht="15.75" customHeight="1" x14ac:dyDescent="0.3">
      <c r="A639" s="37">
        <v>70403</v>
      </c>
      <c r="B639" s="409">
        <f t="shared" ref="B639:C639" si="645">($A639-B$9)/365.25</f>
        <v>110.87474332648871</v>
      </c>
      <c r="C639" s="409">
        <f t="shared" si="645"/>
        <v>106.26420260095824</v>
      </c>
      <c r="E639" s="25">
        <f>IF(C639&gt;$B$7,0,'Combined Retirement'!$D$13/12)</f>
        <v>0</v>
      </c>
      <c r="F639" s="25">
        <f>IF(H639=0,'Combined Retirement'!$D$32,0)+'Combined Retirement'!$B$24</f>
        <v>2870.372285649099</v>
      </c>
      <c r="G639" s="25">
        <f>'Combined Retirement'!$C$24</f>
        <v>3525.4531757812501</v>
      </c>
      <c r="H639" s="25">
        <f>IF(B639&lt;62,0,'Combined Retirement'!$I$14)</f>
        <v>2192</v>
      </c>
      <c r="I639" s="25">
        <f>IF(C639&lt;62,0,'Combined Retirement'!$I$13)</f>
        <v>2420</v>
      </c>
      <c r="J639" s="25">
        <f t="shared" si="523"/>
        <v>7863.2184191855868</v>
      </c>
      <c r="K639" s="25">
        <f t="shared" si="524"/>
        <v>20282.026119384056</v>
      </c>
      <c r="L639" s="25"/>
      <c r="N639" s="25">
        <f>'Combined Retirement'!$C$18/12</f>
        <v>39153.069999999992</v>
      </c>
      <c r="O639" s="25">
        <f t="shared" si="525"/>
        <v>11007.82546143035</v>
      </c>
      <c r="P639" s="25">
        <f t="shared" si="526"/>
        <v>28145.244538569641</v>
      </c>
      <c r="Q639" s="25">
        <f t="array" aca="1" ref="Q639" ca="1">INDEX('Isaac 401k'!L:L,MATCH('Retirement Calculator'!A639,'Isaac 401k'!N:N,0),0)</f>
        <v>-611620.41999022174</v>
      </c>
      <c r="R639" s="25">
        <f t="array" aca="1" ref="R639" ca="1">INDEX('Lorri 401b'!L:L,MATCH('Retirement Calculator'!A639,'Lorri 401b'!N:N,0),0)</f>
        <v>-1511564.8184532097</v>
      </c>
      <c r="S639" s="25">
        <f t="shared" ca="1" si="527"/>
        <v>-2123185.2384434314</v>
      </c>
    </row>
    <row r="640" spans="1:19" ht="15.75" customHeight="1" x14ac:dyDescent="0.3">
      <c r="A640" s="37">
        <v>70434</v>
      </c>
      <c r="B640" s="409">
        <f t="shared" ref="B640:C640" si="646">($A640-B$9)/365.25</f>
        <v>110.9596167008898</v>
      </c>
      <c r="C640" s="409">
        <f t="shared" si="646"/>
        <v>106.34907597535934</v>
      </c>
      <c r="E640" s="25">
        <f>IF(C640&gt;$B$7,0,'Combined Retirement'!$D$13/12)</f>
        <v>0</v>
      </c>
      <c r="F640" s="25">
        <f>IF(H640=0,'Combined Retirement'!$D$32,0)+'Combined Retirement'!$B$24</f>
        <v>2870.372285649099</v>
      </c>
      <c r="G640" s="25">
        <f>'Combined Retirement'!$C$24</f>
        <v>3525.4531757812501</v>
      </c>
      <c r="H640" s="25">
        <f>IF(B640&lt;62,0,'Combined Retirement'!$I$14)</f>
        <v>2192</v>
      </c>
      <c r="I640" s="25">
        <f>IF(C640&lt;62,0,'Combined Retirement'!$I$13)</f>
        <v>2420</v>
      </c>
      <c r="J640" s="25">
        <f t="shared" si="523"/>
        <v>7863.2184191855868</v>
      </c>
      <c r="K640" s="25">
        <f t="shared" si="524"/>
        <v>20282.026119384056</v>
      </c>
      <c r="L640" s="25"/>
      <c r="N640" s="25">
        <f>'Combined Retirement'!$C$18/12</f>
        <v>39153.069999999992</v>
      </c>
      <c r="O640" s="25">
        <f t="shared" si="525"/>
        <v>11007.82546143035</v>
      </c>
      <c r="P640" s="25">
        <f t="shared" si="526"/>
        <v>28145.244538569641</v>
      </c>
      <c r="Q640" s="25">
        <f t="array" aca="1" ref="Q640" ca="1">INDEX('Isaac 401k'!L:L,MATCH('Retirement Calculator'!A640,'Isaac 401k'!N:N,0),0)</f>
        <v>-622064.82023611316</v>
      </c>
      <c r="R640" s="25">
        <f t="array" aca="1" ref="R640" ca="1">INDEX('Lorri 401b'!L:L,MATCH('Retirement Calculator'!A640,'Lorri 401b'!N:N,0),0)</f>
        <v>-1538229.5397583127</v>
      </c>
      <c r="S640" s="25">
        <f t="shared" ca="1" si="527"/>
        <v>-2160294.3599944259</v>
      </c>
    </row>
    <row r="641" spans="1:19" ht="15.75" customHeight="1" x14ac:dyDescent="0.3">
      <c r="A641" s="37">
        <v>70464</v>
      </c>
      <c r="B641" s="409">
        <f t="shared" ref="B641:C641" si="647">($A641-B$9)/365.25</f>
        <v>111.04175222450377</v>
      </c>
      <c r="C641" s="409">
        <f t="shared" si="647"/>
        <v>106.43121149897331</v>
      </c>
      <c r="E641" s="25">
        <f>IF(C641&gt;$B$7,0,'Combined Retirement'!$D$13/12)</f>
        <v>0</v>
      </c>
      <c r="F641" s="25">
        <f>IF(H641=0,'Combined Retirement'!$D$32,0)+'Combined Retirement'!$B$24</f>
        <v>2870.372285649099</v>
      </c>
      <c r="G641" s="25">
        <f>'Combined Retirement'!$C$24</f>
        <v>3525.4531757812501</v>
      </c>
      <c r="H641" s="25">
        <f>IF(B641&lt;62,0,'Combined Retirement'!$I$14)</f>
        <v>2192</v>
      </c>
      <c r="I641" s="25">
        <f>IF(C641&lt;62,0,'Combined Retirement'!$I$13)</f>
        <v>2420</v>
      </c>
      <c r="J641" s="25">
        <f t="shared" si="523"/>
        <v>7863.2184191855868</v>
      </c>
      <c r="K641" s="25">
        <f t="shared" si="524"/>
        <v>20282.026119384056</v>
      </c>
      <c r="L641" s="25"/>
      <c r="N641" s="25">
        <f>'Combined Retirement'!$C$18/12</f>
        <v>39153.069999999992</v>
      </c>
      <c r="O641" s="25">
        <f t="shared" si="525"/>
        <v>11007.82546143035</v>
      </c>
      <c r="P641" s="25">
        <f t="shared" si="526"/>
        <v>28145.244538569641</v>
      </c>
      <c r="Q641" s="25">
        <f t="array" aca="1" ref="Q641" ca="1">INDEX('Isaac 401k'!L:L,MATCH('Retirement Calculator'!A641,'Isaac 401k'!N:N,0),0)</f>
        <v>-632552.73881636246</v>
      </c>
      <c r="R641" s="25">
        <f t="array" aca="1" ref="R641" ca="1">INDEX('Lorri 401b'!L:L,MATCH('Retirement Calculator'!A641,'Lorri 401b'!N:N,0),0)</f>
        <v>-1565005.3640688539</v>
      </c>
      <c r="S641" s="25">
        <f t="shared" ca="1" si="527"/>
        <v>-2197558.1028852165</v>
      </c>
    </row>
    <row r="642" spans="1:19" ht="15.75" customHeight="1" x14ac:dyDescent="0.3">
      <c r="A642" s="37">
        <v>70495</v>
      </c>
      <c r="B642" s="409">
        <f t="shared" ref="B642:C642" si="648">($A642-B$9)/365.25</f>
        <v>111.12662559890487</v>
      </c>
      <c r="C642" s="409">
        <f t="shared" si="648"/>
        <v>106.5160848733744</v>
      </c>
      <c r="E642" s="25">
        <f>IF(C642&gt;$B$7,0,'Combined Retirement'!$D$13/12)</f>
        <v>0</v>
      </c>
      <c r="F642" s="25">
        <f>IF(H642=0,'Combined Retirement'!$D$32,0)+'Combined Retirement'!$B$24</f>
        <v>2870.372285649099</v>
      </c>
      <c r="G642" s="25">
        <f>'Combined Retirement'!$C$24</f>
        <v>3525.4531757812501</v>
      </c>
      <c r="H642" s="25">
        <f>IF(B642&lt;62,0,'Combined Retirement'!$I$14)</f>
        <v>2192</v>
      </c>
      <c r="I642" s="25">
        <f>IF(C642&lt;62,0,'Combined Retirement'!$I$13)</f>
        <v>2420</v>
      </c>
      <c r="J642" s="25">
        <f t="shared" si="523"/>
        <v>7863.2184191855868</v>
      </c>
      <c r="K642" s="25">
        <f t="shared" si="524"/>
        <v>20282.026119384056</v>
      </c>
      <c r="L642" s="25"/>
      <c r="N642" s="25">
        <f>'Combined Retirement'!$C$18/12</f>
        <v>39153.069999999992</v>
      </c>
      <c r="O642" s="25">
        <f t="shared" si="525"/>
        <v>11007.82546143035</v>
      </c>
      <c r="P642" s="25">
        <f t="shared" si="526"/>
        <v>28145.244538569641</v>
      </c>
      <c r="Q642" s="25">
        <f t="array" aca="1" ref="Q642" ca="1">INDEX('Isaac 401k'!L:L,MATCH('Retirement Calculator'!A642,'Isaac 401k'!N:N,0),0)</f>
        <v>-643084.35705736279</v>
      </c>
      <c r="R642" s="25">
        <f t="array" aca="1" ref="R642" ca="1">INDEX('Lorri 401b'!L:L,MATCH('Retirement Calculator'!A642,'Lorri 401b'!N:N,0),0)</f>
        <v>-1591892.7543140221</v>
      </c>
      <c r="S642" s="25">
        <f t="shared" ca="1" si="527"/>
        <v>-2234977.1113713849</v>
      </c>
    </row>
    <row r="643" spans="1:19" ht="15.75" customHeight="1" x14ac:dyDescent="0.3">
      <c r="A643" s="37">
        <v>70526</v>
      </c>
      <c r="B643" s="409">
        <f t="shared" ref="B643:C643" si="649">($A643-B$9)/365.25</f>
        <v>111.21149897330595</v>
      </c>
      <c r="C643" s="409">
        <f t="shared" si="649"/>
        <v>106.60095824777549</v>
      </c>
      <c r="E643" s="25">
        <f>IF(C643&gt;$B$7,0,'Combined Retirement'!$D$13/12)</f>
        <v>0</v>
      </c>
      <c r="F643" s="25">
        <f>IF(H643=0,'Combined Retirement'!$D$32,0)+'Combined Retirement'!$B$24</f>
        <v>2870.372285649099</v>
      </c>
      <c r="G643" s="25">
        <f>'Combined Retirement'!$C$24</f>
        <v>3525.4531757812501</v>
      </c>
      <c r="H643" s="25">
        <f>IF(B643&lt;62,0,'Combined Retirement'!$I$14)</f>
        <v>2192</v>
      </c>
      <c r="I643" s="25">
        <f>IF(C643&lt;62,0,'Combined Retirement'!$I$13)</f>
        <v>2420</v>
      </c>
      <c r="J643" s="25">
        <f t="shared" si="523"/>
        <v>7863.2184191855868</v>
      </c>
      <c r="K643" s="25">
        <f t="shared" si="524"/>
        <v>20282.026119384056</v>
      </c>
      <c r="L643" s="25"/>
      <c r="N643" s="25">
        <f>'Combined Retirement'!$C$18/12</f>
        <v>39153.069999999992</v>
      </c>
      <c r="O643" s="25">
        <f t="shared" si="525"/>
        <v>11007.82546143035</v>
      </c>
      <c r="P643" s="25">
        <f t="shared" si="526"/>
        <v>28145.244538569641</v>
      </c>
      <c r="Q643" s="25">
        <f t="array" aca="1" ref="Q643" ca="1">INDEX('Isaac 401k'!L:L,MATCH('Retirement Calculator'!A643,'Isaac 401k'!N:N,0),0)</f>
        <v>-653659.85704103403</v>
      </c>
      <c r="R643" s="25">
        <f t="array" aca="1" ref="R643" ca="1">INDEX('Lorri 401b'!L:L,MATCH('Retirement Calculator'!A643,'Lorri 401b'!N:N,0),0)</f>
        <v>-1618892.1753518786</v>
      </c>
      <c r="S643" s="25">
        <f t="shared" ca="1" si="527"/>
        <v>-2272552.0323929125</v>
      </c>
    </row>
    <row r="644" spans="1:19" ht="15.75" customHeight="1" x14ac:dyDescent="0.3">
      <c r="A644" s="37">
        <v>70554</v>
      </c>
      <c r="B644" s="409">
        <f t="shared" ref="B644:C644" si="650">($A644-B$9)/365.25</f>
        <v>111.28815879534565</v>
      </c>
      <c r="C644" s="409">
        <f t="shared" si="650"/>
        <v>106.6776180698152</v>
      </c>
      <c r="E644" s="25">
        <f>IF(C644&gt;$B$7,0,'Combined Retirement'!$D$13/12)</f>
        <v>0</v>
      </c>
      <c r="F644" s="25">
        <f>IF(H644=0,'Combined Retirement'!$D$32,0)+'Combined Retirement'!$B$24</f>
        <v>2870.372285649099</v>
      </c>
      <c r="G644" s="25">
        <f>'Combined Retirement'!$C$24</f>
        <v>3525.4531757812501</v>
      </c>
      <c r="H644" s="25">
        <f>IF(B644&lt;62,0,'Combined Retirement'!$I$14)</f>
        <v>2192</v>
      </c>
      <c r="I644" s="25">
        <f>IF(C644&lt;62,0,'Combined Retirement'!$I$13)</f>
        <v>2420</v>
      </c>
      <c r="J644" s="25">
        <f t="shared" si="523"/>
        <v>7863.2184191855868</v>
      </c>
      <c r="K644" s="25">
        <f t="shared" si="524"/>
        <v>20282.026119384056</v>
      </c>
      <c r="L644" s="25"/>
      <c r="N644" s="25">
        <f>'Combined Retirement'!$C$18/12</f>
        <v>39153.069999999992</v>
      </c>
      <c r="O644" s="25">
        <f t="shared" si="525"/>
        <v>11007.82546143035</v>
      </c>
      <c r="P644" s="25">
        <f t="shared" si="526"/>
        <v>28145.244538569641</v>
      </c>
      <c r="Q644" s="25">
        <f t="array" aca="1" ref="Q644" ca="1">INDEX('Isaac 401k'!L:L,MATCH('Retirement Calculator'!A644,'Isaac 401k'!N:N,0),0)</f>
        <v>-664279.42160797061</v>
      </c>
      <c r="R644" s="25">
        <f t="array" aca="1" ref="R644" ca="1">INDEX('Lorri 401b'!L:L,MATCH('Retirement Calculator'!A644,'Lorri 401b'!N:N,0),0)</f>
        <v>-1646004.0939773929</v>
      </c>
      <c r="S644" s="25">
        <f t="shared" ca="1" si="527"/>
        <v>-2310283.5155853634</v>
      </c>
    </row>
    <row r="645" spans="1:19" ht="15.75" customHeight="1" x14ac:dyDescent="0.3">
      <c r="A645" s="37">
        <v>70585</v>
      </c>
      <c r="B645" s="409">
        <f t="shared" ref="B645:C645" si="651">($A645-B$9)/365.25</f>
        <v>111.37303216974675</v>
      </c>
      <c r="C645" s="409">
        <f t="shared" si="651"/>
        <v>106.76249144421629</v>
      </c>
      <c r="E645" s="25">
        <f>IF(C645&gt;$B$7,0,'Combined Retirement'!$D$13/12)</f>
        <v>0</v>
      </c>
      <c r="F645" s="25">
        <f>IF(H645=0,'Combined Retirement'!$D$32,0)+'Combined Retirement'!$B$24</f>
        <v>2870.372285649099</v>
      </c>
      <c r="G645" s="25">
        <f>'Combined Retirement'!$C$24</f>
        <v>3525.4531757812501</v>
      </c>
      <c r="H645" s="25">
        <f>IF(B645&lt;62,0,'Combined Retirement'!$I$14)</f>
        <v>2192</v>
      </c>
      <c r="I645" s="25">
        <f>IF(C645&lt;62,0,'Combined Retirement'!$I$13)</f>
        <v>2420</v>
      </c>
      <c r="J645" s="25">
        <f t="shared" si="523"/>
        <v>7863.2184191855868</v>
      </c>
      <c r="K645" s="25">
        <f t="shared" si="524"/>
        <v>20282.026119384056</v>
      </c>
      <c r="L645" s="25"/>
      <c r="N645" s="25">
        <f>'Combined Retirement'!$C$18/12</f>
        <v>39153.069999999992</v>
      </c>
      <c r="O645" s="25">
        <f t="shared" si="525"/>
        <v>11007.82546143035</v>
      </c>
      <c r="P645" s="25">
        <f t="shared" si="526"/>
        <v>28145.244538569641</v>
      </c>
      <c r="Q645" s="25">
        <f t="array" aca="1" ref="Q645" ca="1">INDEX('Isaac 401k'!L:L,MATCH('Retirement Calculator'!A645,'Isaac 401k'!N:N,0),0)</f>
        <v>-674943.23436060268</v>
      </c>
      <c r="R645" s="25">
        <f t="array" aca="1" ref="R645" ca="1">INDEX('Lorri 401b'!L:L,MATCH('Retirement Calculator'!A645,'Lorri 401b'!N:N,0),0)</f>
        <v>-1673228.9789305134</v>
      </c>
      <c r="S645" s="25">
        <f t="shared" ca="1" si="527"/>
        <v>-2348172.2132911161</v>
      </c>
    </row>
    <row r="646" spans="1:19" ht="15.75" customHeight="1" x14ac:dyDescent="0.3">
      <c r="A646" s="37">
        <v>70615</v>
      </c>
      <c r="B646" s="409">
        <f t="shared" ref="B646:C646" si="652">($A646-B$9)/365.25</f>
        <v>111.45516769336071</v>
      </c>
      <c r="C646" s="409">
        <f t="shared" si="652"/>
        <v>106.84462696783025</v>
      </c>
      <c r="E646" s="25">
        <f>IF(C646&gt;$B$7,0,'Combined Retirement'!$D$13/12)</f>
        <v>0</v>
      </c>
      <c r="F646" s="25">
        <f>IF(H646=0,'Combined Retirement'!$D$32,0)+'Combined Retirement'!$B$24</f>
        <v>2870.372285649099</v>
      </c>
      <c r="G646" s="25">
        <f>'Combined Retirement'!$C$24</f>
        <v>3525.4531757812501</v>
      </c>
      <c r="H646" s="25">
        <f>IF(B646&lt;62,0,'Combined Retirement'!$I$14)</f>
        <v>2192</v>
      </c>
      <c r="I646" s="25">
        <f>IF(C646&lt;62,0,'Combined Retirement'!$I$13)</f>
        <v>2420</v>
      </c>
      <c r="J646" s="25">
        <f t="shared" si="523"/>
        <v>7863.2184191855868</v>
      </c>
      <c r="K646" s="25">
        <f t="shared" si="524"/>
        <v>20282.026119384056</v>
      </c>
      <c r="L646" s="25"/>
      <c r="N646" s="25">
        <f>'Combined Retirement'!$C$18/12</f>
        <v>39153.069999999992</v>
      </c>
      <c r="O646" s="25">
        <f t="shared" si="525"/>
        <v>11007.82546143035</v>
      </c>
      <c r="P646" s="25">
        <f t="shared" si="526"/>
        <v>28145.244538569641</v>
      </c>
      <c r="Q646" s="25">
        <f t="array" aca="1" ref="Q646" ca="1">INDEX('Isaac 401k'!L:L,MATCH('Retirement Calculator'!A646,'Isaac 401k'!N:N,0),0)</f>
        <v>-685651.47966637078</v>
      </c>
      <c r="R646" s="25">
        <f t="array" aca="1" ref="R646" ca="1">INDEX('Lorri 401b'!L:L,MATCH('Retirement Calculator'!A646,'Lorri 401b'!N:N,0),0)</f>
        <v>-1700567.3009042719</v>
      </c>
      <c r="S646" s="25">
        <f t="shared" ca="1" si="527"/>
        <v>-2386218.7805706426</v>
      </c>
    </row>
    <row r="647" spans="1:19" ht="15.75" customHeight="1" x14ac:dyDescent="0.3">
      <c r="A647" s="37">
        <v>70646</v>
      </c>
      <c r="B647" s="409">
        <f t="shared" ref="B647:C647" si="653">($A647-B$9)/365.25</f>
        <v>111.54004106776181</v>
      </c>
      <c r="C647" s="409">
        <f t="shared" si="653"/>
        <v>106.92950034223135</v>
      </c>
      <c r="E647" s="25">
        <f>IF(C647&gt;$B$7,0,'Combined Retirement'!$D$13/12)</f>
        <v>0</v>
      </c>
      <c r="F647" s="25">
        <f>IF(H647=0,'Combined Retirement'!$D$32,0)+'Combined Retirement'!$B$24</f>
        <v>2870.372285649099</v>
      </c>
      <c r="G647" s="25">
        <f>'Combined Retirement'!$C$24</f>
        <v>3525.4531757812501</v>
      </c>
      <c r="H647" s="25">
        <f>IF(B647&lt;62,0,'Combined Retirement'!$I$14)</f>
        <v>2192</v>
      </c>
      <c r="I647" s="25">
        <f>IF(C647&lt;62,0,'Combined Retirement'!$I$13)</f>
        <v>2420</v>
      </c>
      <c r="J647" s="25">
        <f t="shared" si="523"/>
        <v>7863.2184191855868</v>
      </c>
      <c r="K647" s="25">
        <f t="shared" si="524"/>
        <v>20282.026119384056</v>
      </c>
      <c r="L647" s="25"/>
      <c r="N647" s="25">
        <f>'Combined Retirement'!$C$18/12</f>
        <v>39153.069999999992</v>
      </c>
      <c r="O647" s="25">
        <f t="shared" si="525"/>
        <v>11007.82546143035</v>
      </c>
      <c r="P647" s="25">
        <f t="shared" si="526"/>
        <v>28145.244538569641</v>
      </c>
      <c r="Q647" s="25">
        <f t="array" aca="1" ref="Q647" ca="1">INDEX('Isaac 401k'!L:L,MATCH('Retirement Calculator'!A647,'Isaac 401k'!N:N,0),0)</f>
        <v>-696404.34266091289</v>
      </c>
      <c r="R647" s="25">
        <f t="array" aca="1" ref="R647" ca="1">INDEX('Lorri 401b'!L:L,MATCH('Retirement Calculator'!A647,'Lorri 401b'!N:N,0),0)</f>
        <v>-1728019.5325529212</v>
      </c>
      <c r="S647" s="25">
        <f t="shared" ca="1" si="527"/>
        <v>-2424423.875213834</v>
      </c>
    </row>
    <row r="648" spans="1:19" ht="15.75" customHeight="1" x14ac:dyDescent="0.3">
      <c r="A648" s="37">
        <v>70676</v>
      </c>
      <c r="B648" s="409">
        <f t="shared" ref="B648:C648" si="654">($A648-B$9)/365.25</f>
        <v>111.62217659137578</v>
      </c>
      <c r="C648" s="409">
        <f t="shared" si="654"/>
        <v>107.01163586584531</v>
      </c>
      <c r="E648" s="25">
        <f>IF(C648&gt;$B$7,0,'Combined Retirement'!$D$13/12)</f>
        <v>0</v>
      </c>
      <c r="F648" s="25">
        <f>IF(H648=0,'Combined Retirement'!$D$32,0)+'Combined Retirement'!$B$24</f>
        <v>2870.372285649099</v>
      </c>
      <c r="G648" s="25">
        <f>'Combined Retirement'!$C$24</f>
        <v>3525.4531757812501</v>
      </c>
      <c r="H648" s="25">
        <f>IF(B648&lt;62,0,'Combined Retirement'!$I$14)</f>
        <v>2192</v>
      </c>
      <c r="I648" s="25">
        <f>IF(C648&lt;62,0,'Combined Retirement'!$I$13)</f>
        <v>2420</v>
      </c>
      <c r="J648" s="25">
        <f t="shared" si="523"/>
        <v>7863.2184191855868</v>
      </c>
      <c r="K648" s="25">
        <f t="shared" si="524"/>
        <v>20282.026119384056</v>
      </c>
      <c r="L648" s="25"/>
      <c r="N648" s="25">
        <f>'Combined Retirement'!$C$18/12</f>
        <v>39153.069999999992</v>
      </c>
      <c r="O648" s="25">
        <f t="shared" si="525"/>
        <v>11007.82546143035</v>
      </c>
      <c r="P648" s="25">
        <f t="shared" si="526"/>
        <v>28145.244538569641</v>
      </c>
      <c r="Q648" s="25">
        <f t="array" aca="1" ref="Q648" ca="1">INDEX('Isaac 401k'!L:L,MATCH('Retirement Calculator'!A648,'Isaac 401k'!N:N,0),0)</f>
        <v>-707202.00925126555</v>
      </c>
      <c r="R648" s="25">
        <f t="array" aca="1" ref="R648" ca="1">INDEX('Lorri 401b'!L:L,MATCH('Retirement Calculator'!A648,'Lorri 401b'!N:N,0),0)</f>
        <v>-1755586.1485001065</v>
      </c>
      <c r="S648" s="25">
        <f t="shared" ca="1" si="527"/>
        <v>-2462788.1577513721</v>
      </c>
    </row>
    <row r="649" spans="1:19" ht="15.75" customHeight="1" x14ac:dyDescent="0.3">
      <c r="A649" s="37">
        <v>70707</v>
      </c>
      <c r="B649" s="409">
        <f t="shared" ref="B649:C649" si="655">($A649-B$9)/365.25</f>
        <v>111.70704996577686</v>
      </c>
      <c r="C649" s="409">
        <f t="shared" si="655"/>
        <v>107.09650924024641</v>
      </c>
      <c r="E649" s="25">
        <f>IF(C649&gt;$B$7,0,'Combined Retirement'!$D$13/12)</f>
        <v>0</v>
      </c>
      <c r="F649" s="25">
        <f>IF(H649=0,'Combined Retirement'!$D$32,0)+'Combined Retirement'!$B$24</f>
        <v>2870.372285649099</v>
      </c>
      <c r="G649" s="25">
        <f>'Combined Retirement'!$C$24</f>
        <v>3525.4531757812501</v>
      </c>
      <c r="H649" s="25">
        <f>IF(B649&lt;62,0,'Combined Retirement'!$I$14)</f>
        <v>2192</v>
      </c>
      <c r="I649" s="25">
        <f>IF(C649&lt;62,0,'Combined Retirement'!$I$13)</f>
        <v>2420</v>
      </c>
      <c r="J649" s="25">
        <f t="shared" si="523"/>
        <v>7863.2184191855868</v>
      </c>
      <c r="K649" s="25">
        <f t="shared" si="524"/>
        <v>20282.026119384056</v>
      </c>
      <c r="L649" s="25"/>
      <c r="N649" s="25">
        <f>'Combined Retirement'!$C$18/12</f>
        <v>39153.069999999992</v>
      </c>
      <c r="O649" s="25">
        <f t="shared" si="525"/>
        <v>11007.82546143035</v>
      </c>
      <c r="P649" s="25">
        <f t="shared" si="526"/>
        <v>28145.244538569641</v>
      </c>
      <c r="Q649" s="25">
        <f t="array" aca="1" ref="Q649" ca="1">INDEX('Isaac 401k'!L:L,MATCH('Retirement Calculator'!A649,'Isaac 401k'!N:N,0),0)</f>
        <v>-718044.66611907806</v>
      </c>
      <c r="R649" s="25">
        <f t="array" aca="1" ref="R649" ca="1">INDEX('Lorri 401b'!L:L,MATCH('Retirement Calculator'!A649,'Lorri 401b'!N:N,0),0)</f>
        <v>-1783267.6253470718</v>
      </c>
      <c r="S649" s="25">
        <f t="shared" ca="1" si="527"/>
        <v>-2501312.29146615</v>
      </c>
    </row>
    <row r="650" spans="1:19" ht="15.75" customHeight="1" x14ac:dyDescent="0.3">
      <c r="A650" s="37">
        <v>70738</v>
      </c>
      <c r="B650" s="409">
        <f t="shared" ref="B650:C650" si="656">($A650-B$9)/365.25</f>
        <v>111.79192334017796</v>
      </c>
      <c r="C650" s="409">
        <f t="shared" si="656"/>
        <v>107.1813826146475</v>
      </c>
      <c r="E650" s="25">
        <f>IF(C650&gt;$B$7,0,'Combined Retirement'!$D$13/12)</f>
        <v>0</v>
      </c>
      <c r="F650" s="25">
        <f>IF(H650=0,'Combined Retirement'!$D$32,0)+'Combined Retirement'!$B$24</f>
        <v>2870.372285649099</v>
      </c>
      <c r="G650" s="25">
        <f>'Combined Retirement'!$C$24</f>
        <v>3525.4531757812501</v>
      </c>
      <c r="H650" s="25">
        <f>IF(B650&lt;62,0,'Combined Retirement'!$I$14)</f>
        <v>2192</v>
      </c>
      <c r="I650" s="25">
        <f>IF(C650&lt;62,0,'Combined Retirement'!$I$13)</f>
        <v>2420</v>
      </c>
      <c r="J650" s="25">
        <f t="shared" si="523"/>
        <v>7863.2184191855868</v>
      </c>
      <c r="K650" s="25">
        <f t="shared" si="524"/>
        <v>20282.026119384056</v>
      </c>
      <c r="L650" s="25"/>
      <c r="N650" s="25">
        <f>'Combined Retirement'!$C$18/12</f>
        <v>39153.069999999992</v>
      </c>
      <c r="O650" s="25">
        <f t="shared" si="525"/>
        <v>11007.82546143035</v>
      </c>
      <c r="P650" s="25">
        <f t="shared" si="526"/>
        <v>28145.244538569641</v>
      </c>
      <c r="Q650" s="25">
        <f t="array" aca="1" ref="Q650" ca="1">INDEX('Isaac 401k'!L:L,MATCH('Retirement Calculator'!A650,'Isaac 401k'!N:N,0),0)</f>
        <v>-728932.50072383974</v>
      </c>
      <c r="R650" s="25">
        <f t="array" aca="1" ref="R650" ca="1">INDEX('Lorri 401b'!L:L,MATCH('Retirement Calculator'!A650,'Lorri 401b'!N:N,0),0)</f>
        <v>-1811064.4416808994</v>
      </c>
      <c r="S650" s="25">
        <f t="shared" ca="1" si="527"/>
        <v>-2539996.9424047391</v>
      </c>
    </row>
    <row r="651" spans="1:19" ht="15.75" customHeight="1" x14ac:dyDescent="0.3">
      <c r="A651" s="37">
        <v>70768</v>
      </c>
      <c r="B651" s="409">
        <f t="shared" ref="B651:C651" si="657">($A651-B$9)/365.25</f>
        <v>111.87405886379193</v>
      </c>
      <c r="C651" s="409">
        <f t="shared" si="657"/>
        <v>107.26351813826146</v>
      </c>
      <c r="E651" s="25">
        <f>IF(C651&gt;$B$7,0,'Combined Retirement'!$D$13/12)</f>
        <v>0</v>
      </c>
      <c r="F651" s="25">
        <f>IF(H651=0,'Combined Retirement'!$D$32,0)+'Combined Retirement'!$B$24</f>
        <v>2870.372285649099</v>
      </c>
      <c r="G651" s="25">
        <f>'Combined Retirement'!$C$24</f>
        <v>3525.4531757812501</v>
      </c>
      <c r="H651" s="25">
        <f>IF(B651&lt;62,0,'Combined Retirement'!$I$14)</f>
        <v>2192</v>
      </c>
      <c r="I651" s="25">
        <f>IF(C651&lt;62,0,'Combined Retirement'!$I$13)</f>
        <v>2420</v>
      </c>
      <c r="J651" s="25">
        <f t="shared" si="523"/>
        <v>7863.2184191855868</v>
      </c>
      <c r="K651" s="25">
        <f t="shared" si="524"/>
        <v>20282.026119384056</v>
      </c>
      <c r="L651" s="25"/>
      <c r="N651" s="25">
        <f>'Combined Retirement'!$C$18/12</f>
        <v>39153.069999999992</v>
      </c>
      <c r="O651" s="25">
        <f t="shared" si="525"/>
        <v>11007.82546143035</v>
      </c>
      <c r="P651" s="25">
        <f t="shared" si="526"/>
        <v>28145.244538569641</v>
      </c>
      <c r="Q651" s="25">
        <f t="array" aca="1" ref="Q651" ca="1">INDEX('Isaac 401k'!L:L,MATCH('Retirement Calculator'!A651,'Isaac 401k'!N:N,0),0)</f>
        <v>-739865.70130612131</v>
      </c>
      <c r="R651" s="25">
        <f t="array" aca="1" ref="R651" ca="1">INDEX('Lorri 401b'!L:L,MATCH('Retirement Calculator'!A651,'Lorri 401b'!N:N,0),0)</f>
        <v>-1838977.0780827845</v>
      </c>
      <c r="S651" s="25">
        <f t="shared" ca="1" si="527"/>
        <v>-2578842.779388906</v>
      </c>
    </row>
    <row r="652" spans="1:19" ht="15.75" customHeight="1" x14ac:dyDescent="0.3">
      <c r="A652" s="37">
        <v>70799</v>
      </c>
      <c r="B652" s="409">
        <f t="shared" ref="B652:C652" si="658">($A652-B$9)/365.25</f>
        <v>111.95893223819301</v>
      </c>
      <c r="C652" s="409">
        <f t="shared" si="658"/>
        <v>107.34839151266256</v>
      </c>
      <c r="E652" s="25">
        <f>IF(C652&gt;$B$7,0,'Combined Retirement'!$D$13/12)</f>
        <v>0</v>
      </c>
      <c r="F652" s="25">
        <f>IF(H652=0,'Combined Retirement'!$D$32,0)+'Combined Retirement'!$B$24</f>
        <v>2870.372285649099</v>
      </c>
      <c r="G652" s="25">
        <f>'Combined Retirement'!$C$24</f>
        <v>3525.4531757812501</v>
      </c>
      <c r="H652" s="25">
        <f>IF(B652&lt;62,0,'Combined Retirement'!$I$14)</f>
        <v>2192</v>
      </c>
      <c r="I652" s="25">
        <f>IF(C652&lt;62,0,'Combined Retirement'!$I$13)</f>
        <v>2420</v>
      </c>
      <c r="J652" s="25">
        <f t="shared" si="523"/>
        <v>7863.2184191855868</v>
      </c>
      <c r="K652" s="25">
        <f t="shared" si="524"/>
        <v>20282.026119384056</v>
      </c>
      <c r="L652" s="25"/>
      <c r="N652" s="25">
        <f>'Combined Retirement'!$C$18/12</f>
        <v>39153.069999999992</v>
      </c>
      <c r="O652" s="25">
        <f t="shared" si="525"/>
        <v>11007.82546143035</v>
      </c>
      <c r="P652" s="25">
        <f t="shared" si="526"/>
        <v>28145.244538569641</v>
      </c>
      <c r="Q652" s="25">
        <f t="array" aca="1" ref="Q652" ca="1">INDEX('Isaac 401k'!L:L,MATCH('Retirement Calculator'!A652,'Isaac 401k'!N:N,0),0)</f>
        <v>-750844.45689082902</v>
      </c>
      <c r="R652" s="25">
        <f t="array" aca="1" ref="R652" ca="1">INDEX('Lorri 401b'!L:L,MATCH('Retirement Calculator'!A652,'Lorri 401b'!N:N,0),0)</f>
        <v>-1867006.0171363442</v>
      </c>
      <c r="S652" s="25">
        <f t="shared" ca="1" si="527"/>
        <v>-2617850.4740271731</v>
      </c>
    </row>
    <row r="653" spans="1:19" ht="15.75" customHeight="1" x14ac:dyDescent="0.3">
      <c r="A653" s="37">
        <v>70829</v>
      </c>
      <c r="B653" s="409">
        <f t="shared" ref="B653:C653" si="659">($A653-B$9)/365.25</f>
        <v>112.04106776180699</v>
      </c>
      <c r="C653" s="409">
        <f t="shared" si="659"/>
        <v>107.43052703627653</v>
      </c>
      <c r="E653" s="25">
        <f>IF(C653&gt;$B$7,0,'Combined Retirement'!$D$13/12)</f>
        <v>0</v>
      </c>
      <c r="F653" s="25">
        <f>IF(H653=0,'Combined Retirement'!$D$32,0)+'Combined Retirement'!$B$24</f>
        <v>2870.372285649099</v>
      </c>
      <c r="G653" s="25">
        <f>'Combined Retirement'!$C$24</f>
        <v>3525.4531757812501</v>
      </c>
      <c r="H653" s="25">
        <f>IF(B653&lt;62,0,'Combined Retirement'!$I$14)</f>
        <v>2192</v>
      </c>
      <c r="I653" s="25">
        <f>IF(C653&lt;62,0,'Combined Retirement'!$I$13)</f>
        <v>2420</v>
      </c>
      <c r="J653" s="25">
        <f t="shared" si="523"/>
        <v>7863.2184191855868</v>
      </c>
      <c r="K653" s="25">
        <f t="shared" si="524"/>
        <v>20282.026119384056</v>
      </c>
      <c r="L653" s="25"/>
      <c r="N653" s="25">
        <f>'Combined Retirement'!$C$18/12</f>
        <v>39153.069999999992</v>
      </c>
      <c r="O653" s="25">
        <f t="shared" si="525"/>
        <v>11007.82546143035</v>
      </c>
      <c r="P653" s="25">
        <f t="shared" si="526"/>
        <v>28145.244538569641</v>
      </c>
      <c r="Q653" s="25">
        <f t="array" aca="1" ref="Q653" ca="1">INDEX('Isaac 401k'!L:L,MATCH('Retirement Calculator'!A653,'Isaac 401k'!N:N,0),0)</f>
        <v>-761868.95729047304</v>
      </c>
      <c r="R653" s="25">
        <f t="array" aca="1" ref="R653" ca="1">INDEX('Lorri 401b'!L:L,MATCH('Retirement Calculator'!A653,'Lorri 401b'!N:N,0),0)</f>
        <v>-1895151.7434359605</v>
      </c>
      <c r="S653" s="25">
        <f t="shared" ca="1" si="527"/>
        <v>-2657020.7007264337</v>
      </c>
    </row>
    <row r="654" spans="1:19" ht="15.75" customHeight="1" x14ac:dyDescent="0.3">
      <c r="A654" s="37">
        <v>70860</v>
      </c>
      <c r="B654" s="409">
        <f t="shared" ref="B654:C654" si="660">($A654-B$9)/365.25</f>
        <v>112.12594113620807</v>
      </c>
      <c r="C654" s="409">
        <f t="shared" si="660"/>
        <v>107.51540041067761</v>
      </c>
      <c r="E654" s="25">
        <f>IF(C654&gt;$B$7,0,'Combined Retirement'!$D$13/12)</f>
        <v>0</v>
      </c>
      <c r="F654" s="25">
        <f>IF(H654=0,'Combined Retirement'!$D$32,0)+'Combined Retirement'!$B$24</f>
        <v>2870.372285649099</v>
      </c>
      <c r="G654" s="25">
        <f>'Combined Retirement'!$C$24</f>
        <v>3525.4531757812501</v>
      </c>
      <c r="H654" s="25">
        <f>IF(B654&lt;62,0,'Combined Retirement'!$I$14)</f>
        <v>2192</v>
      </c>
      <c r="I654" s="25">
        <f>IF(C654&lt;62,0,'Combined Retirement'!$I$13)</f>
        <v>2420</v>
      </c>
      <c r="J654" s="25">
        <f t="shared" si="523"/>
        <v>7863.2184191855868</v>
      </c>
      <c r="K654" s="25">
        <f t="shared" si="524"/>
        <v>20282.026119384056</v>
      </c>
      <c r="L654" s="25"/>
      <c r="N654" s="25">
        <f>'Combined Retirement'!$C$18/12</f>
        <v>39153.069999999992</v>
      </c>
      <c r="O654" s="25">
        <f t="shared" si="525"/>
        <v>11007.82546143035</v>
      </c>
      <c r="P654" s="25">
        <f t="shared" si="526"/>
        <v>28145.244538569641</v>
      </c>
      <c r="Q654" s="25">
        <f t="array" aca="1" ref="Q654" ca="1">INDEX('Isaac 401k'!L:L,MATCH('Retirement Calculator'!A654,'Isaac 401k'!N:N,0),0)</f>
        <v>-772939.39310844894</v>
      </c>
      <c r="R654" s="25">
        <f t="array" aca="1" ref="R654" ca="1">INDEX('Lorri 401b'!L:L,MATCH('Retirement Calculator'!A654,'Lorri 401b'!N:N,0),0)</f>
        <v>-1923414.7435951584</v>
      </c>
      <c r="S654" s="25">
        <f t="shared" ca="1" si="527"/>
        <v>-2696354.1367036076</v>
      </c>
    </row>
    <row r="655" spans="1:19" ht="15.75" customHeight="1" x14ac:dyDescent="0.3">
      <c r="A655" s="37">
        <v>70891</v>
      </c>
      <c r="B655" s="409">
        <f t="shared" ref="B655:C655" si="661">($A655-B$9)/365.25</f>
        <v>112.21081451060917</v>
      </c>
      <c r="C655" s="409">
        <f t="shared" si="661"/>
        <v>107.60027378507871</v>
      </c>
      <c r="E655" s="25">
        <f>IF(C655&gt;$B$7,0,'Combined Retirement'!$D$13/12)</f>
        <v>0</v>
      </c>
      <c r="F655" s="25">
        <f>IF(H655=0,'Combined Retirement'!$D$32,0)+'Combined Retirement'!$B$24</f>
        <v>2870.372285649099</v>
      </c>
      <c r="G655" s="25">
        <f>'Combined Retirement'!$C$24</f>
        <v>3525.4531757812501</v>
      </c>
      <c r="H655" s="25">
        <f>IF(B655&lt;62,0,'Combined Retirement'!$I$14)</f>
        <v>2192</v>
      </c>
      <c r="I655" s="25">
        <f>IF(C655&lt;62,0,'Combined Retirement'!$I$13)</f>
        <v>2420</v>
      </c>
      <c r="J655" s="25">
        <f t="shared" si="523"/>
        <v>7863.2184191855868</v>
      </c>
      <c r="K655" s="25">
        <f t="shared" si="524"/>
        <v>20282.026119384056</v>
      </c>
      <c r="L655" s="25"/>
      <c r="N655" s="25">
        <f>'Combined Retirement'!$C$18/12</f>
        <v>39153.069999999992</v>
      </c>
      <c r="O655" s="25">
        <f t="shared" si="525"/>
        <v>11007.82546143035</v>
      </c>
      <c r="P655" s="25">
        <f t="shared" si="526"/>
        <v>28145.244538569641</v>
      </c>
      <c r="Q655" s="25">
        <f t="array" aca="1" ref="Q655" ca="1">INDEX('Isaac 401k'!L:L,MATCH('Retirement Calculator'!A655,'Isaac 401k'!N:N,0),0)</f>
        <v>-784055.95574233308</v>
      </c>
      <c r="R655" s="25">
        <f t="array" aca="1" ref="R655" ca="1">INDEX('Lorri 401b'!L:L,MATCH('Retirement Calculator'!A655,'Lorri 401b'!N:N,0),0)</f>
        <v>-1951795.5062550197</v>
      </c>
      <c r="S655" s="25">
        <f t="shared" ca="1" si="527"/>
        <v>-2735851.4619973525</v>
      </c>
    </row>
    <row r="656" spans="1:19" ht="15.75" customHeight="1" x14ac:dyDescent="0.3">
      <c r="A656" s="37">
        <v>70919</v>
      </c>
      <c r="B656" s="409">
        <f t="shared" ref="B656:C656" si="662">($A656-B$9)/365.25</f>
        <v>112.28747433264887</v>
      </c>
      <c r="C656" s="409">
        <f t="shared" si="662"/>
        <v>107.67693360711841</v>
      </c>
      <c r="E656" s="25">
        <f>IF(C656&gt;$B$7,0,'Combined Retirement'!$D$13/12)</f>
        <v>0</v>
      </c>
      <c r="F656" s="25">
        <f>IF(H656=0,'Combined Retirement'!$D$32,0)+'Combined Retirement'!$B$24</f>
        <v>2870.372285649099</v>
      </c>
      <c r="G656" s="25">
        <f>'Combined Retirement'!$C$24</f>
        <v>3525.4531757812501</v>
      </c>
      <c r="H656" s="25">
        <f>IF(B656&lt;62,0,'Combined Retirement'!$I$14)</f>
        <v>2192</v>
      </c>
      <c r="I656" s="25">
        <f>IF(C656&lt;62,0,'Combined Retirement'!$I$13)</f>
        <v>2420</v>
      </c>
      <c r="J656" s="25">
        <f t="shared" si="523"/>
        <v>7863.2184191855868</v>
      </c>
      <c r="K656" s="25">
        <f t="shared" si="524"/>
        <v>20282.026119384056</v>
      </c>
      <c r="L656" s="25"/>
      <c r="N656" s="25">
        <f>'Combined Retirement'!$C$18/12</f>
        <v>39153.069999999992</v>
      </c>
      <c r="O656" s="25">
        <f t="shared" si="525"/>
        <v>11007.82546143035</v>
      </c>
      <c r="P656" s="25">
        <f t="shared" si="526"/>
        <v>28145.244538569641</v>
      </c>
      <c r="Q656" s="25">
        <f t="array" aca="1" ref="Q656" ca="1">INDEX('Isaac 401k'!L:L,MATCH('Retirement Calculator'!A656,'Isaac 401k'!N:N,0),0)</f>
        <v>-795218.83738719171</v>
      </c>
      <c r="R656" s="25">
        <f t="array" aca="1" ref="R656" ca="1">INDEX('Lorri 401b'!L:L,MATCH('Retirement Calculator'!A656,'Lorri 401b'!N:N,0),0)</f>
        <v>-1980294.5220926304</v>
      </c>
      <c r="S656" s="25">
        <f t="shared" ca="1" si="527"/>
        <v>-2775513.3594798222</v>
      </c>
    </row>
    <row r="657" spans="1:19" ht="15.75" customHeight="1" x14ac:dyDescent="0.3">
      <c r="A657" s="37">
        <v>70950</v>
      </c>
      <c r="B657" s="409">
        <f t="shared" ref="B657:C657" si="663">($A657-B$9)/365.25</f>
        <v>112.37234770704997</v>
      </c>
      <c r="C657" s="409">
        <f t="shared" si="663"/>
        <v>107.76180698151951</v>
      </c>
      <c r="E657" s="25">
        <f>IF(C657&gt;$B$7,0,'Combined Retirement'!$D$13/12)</f>
        <v>0</v>
      </c>
      <c r="F657" s="25">
        <f>IF(H657=0,'Combined Retirement'!$D$32,0)+'Combined Retirement'!$B$24</f>
        <v>2870.372285649099</v>
      </c>
      <c r="G657" s="25">
        <f>'Combined Retirement'!$C$24</f>
        <v>3525.4531757812501</v>
      </c>
      <c r="H657" s="25">
        <f>IF(B657&lt;62,0,'Combined Retirement'!$I$14)</f>
        <v>2192</v>
      </c>
      <c r="I657" s="25">
        <f>IF(C657&lt;62,0,'Combined Retirement'!$I$13)</f>
        <v>2420</v>
      </c>
      <c r="J657" s="25">
        <f t="shared" si="523"/>
        <v>7863.2184191855868</v>
      </c>
      <c r="K657" s="25">
        <f t="shared" si="524"/>
        <v>20282.026119384056</v>
      </c>
      <c r="L657" s="25"/>
      <c r="N657" s="25">
        <f>'Combined Retirement'!$C$18/12</f>
        <v>39153.069999999992</v>
      </c>
      <c r="O657" s="25">
        <f t="shared" si="525"/>
        <v>11007.82546143035</v>
      </c>
      <c r="P657" s="25">
        <f t="shared" si="526"/>
        <v>28145.244538569641</v>
      </c>
      <c r="Q657" s="25">
        <f t="array" aca="1" ref="Q657" ca="1">INDEX('Isaac 401k'!L:L,MATCH('Retirement Calculator'!A657,'Isaac 401k'!N:N,0),0)</f>
        <v>-806428.23103890393</v>
      </c>
      <c r="R657" s="25">
        <f t="array" aca="1" ref="R657" ca="1">INDEX('Lorri 401b'!L:L,MATCH('Retirement Calculator'!A657,'Lorri 401b'!N:N,0),0)</f>
        <v>-2008912.2838295645</v>
      </c>
      <c r="S657" s="25">
        <f t="shared" ca="1" si="527"/>
        <v>-2815340.5148684685</v>
      </c>
    </row>
    <row r="658" spans="1:19" ht="15.75" customHeight="1" x14ac:dyDescent="0.3">
      <c r="A658" s="37">
        <v>70980</v>
      </c>
      <c r="B658" s="409">
        <f t="shared" ref="B658:C658" si="664">($A658-B$9)/365.25</f>
        <v>112.45448323066393</v>
      </c>
      <c r="C658" s="409">
        <f t="shared" si="664"/>
        <v>107.84394250513347</v>
      </c>
      <c r="E658" s="25">
        <f>IF(C658&gt;$B$7,0,'Combined Retirement'!$D$13/12)</f>
        <v>0</v>
      </c>
      <c r="F658" s="25">
        <f>IF(H658=0,'Combined Retirement'!$D$32,0)+'Combined Retirement'!$B$24</f>
        <v>2870.372285649099</v>
      </c>
      <c r="G658" s="25">
        <f>'Combined Retirement'!$C$24</f>
        <v>3525.4531757812501</v>
      </c>
      <c r="H658" s="25">
        <f>IF(B658&lt;62,0,'Combined Retirement'!$I$14)</f>
        <v>2192</v>
      </c>
      <c r="I658" s="25">
        <f>IF(C658&lt;62,0,'Combined Retirement'!$I$13)</f>
        <v>2420</v>
      </c>
      <c r="J658" s="25">
        <f t="shared" si="523"/>
        <v>7863.2184191855868</v>
      </c>
      <c r="K658" s="25">
        <f t="shared" si="524"/>
        <v>20282.026119384056</v>
      </c>
      <c r="L658" s="25"/>
      <c r="N658" s="25">
        <f>'Combined Retirement'!$C$18/12</f>
        <v>39153.069999999992</v>
      </c>
      <c r="O658" s="25">
        <f t="shared" si="525"/>
        <v>11007.82546143035</v>
      </c>
      <c r="P658" s="25">
        <f t="shared" si="526"/>
        <v>28145.244538569641</v>
      </c>
      <c r="Q658" s="25">
        <f t="array" aca="1" ref="Q658" ca="1">INDEX('Isaac 401k'!L:L,MATCH('Retirement Calculator'!A658,'Isaac 401k'!N:N,0),0)</f>
        <v>-817684.33049749827</v>
      </c>
      <c r="R658" s="25">
        <f t="array" aca="1" ref="R658" ca="1">INDEX('Lorri 401b'!L:L,MATCH('Retirement Calculator'!A658,'Lorri 401b'!N:N,0),0)</f>
        <v>-2037649.2862404024</v>
      </c>
      <c r="S658" s="25">
        <f t="shared" ca="1" si="527"/>
        <v>-2855333.6167379008</v>
      </c>
    </row>
    <row r="659" spans="1:19" ht="15.75" customHeight="1" x14ac:dyDescent="0.3">
      <c r="A659" s="37">
        <v>71011</v>
      </c>
      <c r="B659" s="409">
        <f t="shared" ref="B659:C659" si="665">($A659-B$9)/365.25</f>
        <v>112.53935660506502</v>
      </c>
      <c r="C659" s="409">
        <f t="shared" si="665"/>
        <v>107.92881587953457</v>
      </c>
      <c r="E659" s="25">
        <f>IF(C659&gt;$B$7,0,'Combined Retirement'!$D$13/12)</f>
        <v>0</v>
      </c>
      <c r="F659" s="25">
        <f>IF(H659=0,'Combined Retirement'!$D$32,0)+'Combined Retirement'!$B$24</f>
        <v>2870.372285649099</v>
      </c>
      <c r="G659" s="25">
        <f>'Combined Retirement'!$C$24</f>
        <v>3525.4531757812501</v>
      </c>
      <c r="H659" s="25">
        <f>IF(B659&lt;62,0,'Combined Retirement'!$I$14)</f>
        <v>2192</v>
      </c>
      <c r="I659" s="25">
        <f>IF(C659&lt;62,0,'Combined Retirement'!$I$13)</f>
        <v>2420</v>
      </c>
      <c r="J659" s="25">
        <f t="shared" si="523"/>
        <v>7863.2184191855868</v>
      </c>
      <c r="K659" s="25">
        <f t="shared" si="524"/>
        <v>20282.026119384056</v>
      </c>
      <c r="L659" s="25"/>
      <c r="N659" s="25">
        <f>'Combined Retirement'!$C$18/12</f>
        <v>39153.069999999992</v>
      </c>
      <c r="O659" s="25">
        <f t="shared" si="525"/>
        <v>11007.82546143035</v>
      </c>
      <c r="P659" s="25">
        <f t="shared" si="526"/>
        <v>28145.244538569641</v>
      </c>
      <c r="Q659" s="25">
        <f t="array" aca="1" ref="Q659" ca="1">INDEX('Isaac 401k'!L:L,MATCH('Retirement Calculator'!A659,'Isaac 401k'!N:N,0),0)</f>
        <v>-828987.33037050336</v>
      </c>
      <c r="R659" s="25">
        <f t="array" aca="1" ref="R659" ca="1">INDEX('Lorri 401b'!L:L,MATCH('Retirement Calculator'!A659,'Lorri 401b'!N:N,0),0)</f>
        <v>-2066506.0261612856</v>
      </c>
      <c r="S659" s="25">
        <f t="shared" ca="1" si="527"/>
        <v>-2895493.3565317891</v>
      </c>
    </row>
    <row r="660" spans="1:19" ht="15.75" customHeight="1" x14ac:dyDescent="0.3">
      <c r="A660" s="37">
        <v>71041</v>
      </c>
      <c r="B660" s="409">
        <f t="shared" ref="B660:C660" si="666">($A660-B$9)/365.25</f>
        <v>112.62149212867898</v>
      </c>
      <c r="C660" s="409">
        <f t="shared" si="666"/>
        <v>108.01095140314852</v>
      </c>
      <c r="E660" s="25">
        <f>IF(C660&gt;$B$7,0,'Combined Retirement'!$D$13/12)</f>
        <v>0</v>
      </c>
      <c r="F660" s="25">
        <f>IF(H660=0,'Combined Retirement'!$D$32,0)+'Combined Retirement'!$B$24</f>
        <v>2870.372285649099</v>
      </c>
      <c r="G660" s="25">
        <f>'Combined Retirement'!$C$24</f>
        <v>3525.4531757812501</v>
      </c>
      <c r="H660" s="25">
        <f>IF(B660&lt;62,0,'Combined Retirement'!$I$14)</f>
        <v>2192</v>
      </c>
      <c r="I660" s="25">
        <f>IF(C660&lt;62,0,'Combined Retirement'!$I$13)</f>
        <v>2420</v>
      </c>
      <c r="J660" s="25">
        <f t="shared" si="523"/>
        <v>7863.2184191855868</v>
      </c>
      <c r="K660" s="25">
        <f t="shared" si="524"/>
        <v>20282.026119384056</v>
      </c>
      <c r="L660" s="25"/>
      <c r="N660" s="25">
        <f>'Combined Retirement'!$C$18/12</f>
        <v>39153.069999999992</v>
      </c>
      <c r="O660" s="25">
        <f t="shared" si="525"/>
        <v>11007.82546143035</v>
      </c>
      <c r="P660" s="25">
        <f t="shared" si="526"/>
        <v>28145.244538569641</v>
      </c>
      <c r="Q660" s="25">
        <f t="array" aca="1" ref="Q660" ca="1">INDEX('Isaac 401k'!L:L,MATCH('Retirement Calculator'!A660,'Isaac 401k'!N:N,0),0)</f>
        <v>-840337.42607631267</v>
      </c>
      <c r="R660" s="25">
        <f t="array" aca="1" ref="R660" ca="1">INDEX('Lorri 401b'!L:L,MATCH('Retirement Calculator'!A660,'Lorri 401b'!N:N,0),0)</f>
        <v>-2095483.0024985056</v>
      </c>
      <c r="S660" s="25">
        <f t="shared" ca="1" si="527"/>
        <v>-2935820.4285748182</v>
      </c>
    </row>
    <row r="661" spans="1:19" ht="15.75" customHeight="1" x14ac:dyDescent="0.3">
      <c r="A661" s="37">
        <v>71072</v>
      </c>
      <c r="B661" s="409">
        <f t="shared" ref="B661:C661" si="667">($A661-B$9)/365.25</f>
        <v>112.70636550308008</v>
      </c>
      <c r="C661" s="409">
        <f t="shared" si="667"/>
        <v>108.09582477754962</v>
      </c>
      <c r="E661" s="25">
        <f>IF(C661&gt;$B$7,0,'Combined Retirement'!$D$13/12)</f>
        <v>0</v>
      </c>
      <c r="F661" s="25">
        <f>IF(H661=0,'Combined Retirement'!$D$32,0)+'Combined Retirement'!$B$24</f>
        <v>2870.372285649099</v>
      </c>
      <c r="G661" s="25">
        <f>'Combined Retirement'!$C$24</f>
        <v>3525.4531757812501</v>
      </c>
      <c r="H661" s="25">
        <f>IF(B661&lt;62,0,'Combined Retirement'!$I$14)</f>
        <v>2192</v>
      </c>
      <c r="I661" s="25">
        <f>IF(C661&lt;62,0,'Combined Retirement'!$I$13)</f>
        <v>2420</v>
      </c>
      <c r="J661" s="25">
        <f t="shared" si="523"/>
        <v>7863.2184191855868</v>
      </c>
      <c r="K661" s="25">
        <f t="shared" si="524"/>
        <v>20282.026119384056</v>
      </c>
      <c r="L661" s="25"/>
      <c r="N661" s="25">
        <f>'Combined Retirement'!$C$18/12</f>
        <v>39153.069999999992</v>
      </c>
      <c r="O661" s="25">
        <f t="shared" si="525"/>
        <v>11007.82546143035</v>
      </c>
      <c r="P661" s="25">
        <f t="shared" si="526"/>
        <v>28145.244538569641</v>
      </c>
      <c r="Q661" s="25">
        <f t="array" aca="1" ref="Q661" ca="1">INDEX('Isaac 401k'!L:L,MATCH('Retirement Calculator'!A661,'Isaac 401k'!N:N,0),0)</f>
        <v>-851734.81384756288</v>
      </c>
      <c r="R661" s="25">
        <f t="array" aca="1" ref="R661" ca="1">INDEX('Lorri 401b'!L:L,MATCH('Retirement Calculator'!A661,'Lorri 401b'!N:N,0),0)</f>
        <v>-2124580.716237131</v>
      </c>
      <c r="S661" s="25">
        <f t="shared" ca="1" si="527"/>
        <v>-2976315.5300846938</v>
      </c>
    </row>
    <row r="662" spans="1:19" ht="15.75" customHeight="1" x14ac:dyDescent="0.3">
      <c r="A662" s="37">
        <v>71103</v>
      </c>
      <c r="B662" s="409">
        <f t="shared" ref="B662:C662" si="668">($A662-B$9)/365.25</f>
        <v>112.79123887748118</v>
      </c>
      <c r="C662" s="409">
        <f t="shared" si="668"/>
        <v>108.18069815195072</v>
      </c>
      <c r="E662" s="25">
        <f>IF(C662&gt;$B$7,0,'Combined Retirement'!$D$13/12)</f>
        <v>0</v>
      </c>
      <c r="F662" s="25">
        <f>IF(H662=0,'Combined Retirement'!$D$32,0)+'Combined Retirement'!$B$24</f>
        <v>2870.372285649099</v>
      </c>
      <c r="G662" s="25">
        <f>'Combined Retirement'!$C$24</f>
        <v>3525.4531757812501</v>
      </c>
      <c r="H662" s="25">
        <f>IF(B662&lt;62,0,'Combined Retirement'!$I$14)</f>
        <v>2192</v>
      </c>
      <c r="I662" s="25">
        <f>IF(C662&lt;62,0,'Combined Retirement'!$I$13)</f>
        <v>2420</v>
      </c>
      <c r="J662" s="25">
        <f t="shared" si="523"/>
        <v>7863.2184191855868</v>
      </c>
      <c r="K662" s="25">
        <f t="shared" si="524"/>
        <v>20282.026119384056</v>
      </c>
      <c r="L662" s="25"/>
      <c r="N662" s="25">
        <f>'Combined Retirement'!$C$18/12</f>
        <v>39153.069999999992</v>
      </c>
      <c r="O662" s="25">
        <f t="shared" si="525"/>
        <v>11007.82546143035</v>
      </c>
      <c r="P662" s="25">
        <f t="shared" si="526"/>
        <v>28145.244538569641</v>
      </c>
      <c r="Q662" s="25">
        <f t="array" aca="1" ref="Q662" ca="1">INDEX('Isaac 401k'!L:L,MATCH('Retirement Calculator'!A662,'Isaac 401k'!N:N,0),0)</f>
        <v>-863179.69073452661</v>
      </c>
      <c r="R662" s="25">
        <f t="array" aca="1" ref="R662" ca="1">INDEX('Lorri 401b'!L:L,MATCH('Retirement Calculator'!A662,'Lorri 401b'!N:N,0),0)</f>
        <v>-2153799.6704496671</v>
      </c>
      <c r="S662" s="25">
        <f t="shared" ca="1" si="527"/>
        <v>-3016979.3611841938</v>
      </c>
    </row>
    <row r="663" spans="1:19" ht="15.75" customHeight="1" x14ac:dyDescent="0.3">
      <c r="A663" s="37">
        <v>71133</v>
      </c>
      <c r="B663" s="409">
        <f t="shared" ref="B663:C663" si="669">($A663-B$9)/365.25</f>
        <v>112.87337440109513</v>
      </c>
      <c r="C663" s="409">
        <f t="shared" si="669"/>
        <v>108.26283367556468</v>
      </c>
      <c r="E663" s="25">
        <f>IF(C663&gt;$B$7,0,'Combined Retirement'!$D$13/12)</f>
        <v>0</v>
      </c>
      <c r="F663" s="25">
        <f>IF(H663=0,'Combined Retirement'!$D$32,0)+'Combined Retirement'!$B$24</f>
        <v>2870.372285649099</v>
      </c>
      <c r="G663" s="25">
        <f>'Combined Retirement'!$C$24</f>
        <v>3525.4531757812501</v>
      </c>
      <c r="H663" s="25">
        <f>IF(B663&lt;62,0,'Combined Retirement'!$I$14)</f>
        <v>2192</v>
      </c>
      <c r="I663" s="25">
        <f>IF(C663&lt;62,0,'Combined Retirement'!$I$13)</f>
        <v>2420</v>
      </c>
      <c r="J663" s="25">
        <f t="shared" si="523"/>
        <v>7863.2184191855868</v>
      </c>
      <c r="K663" s="25">
        <f t="shared" si="524"/>
        <v>20282.026119384056</v>
      </c>
      <c r="L663" s="25"/>
      <c r="N663" s="25">
        <f>'Combined Retirement'!$C$18/12</f>
        <v>39153.069999999992</v>
      </c>
      <c r="O663" s="25">
        <f t="shared" si="525"/>
        <v>11007.82546143035</v>
      </c>
      <c r="P663" s="25">
        <f t="shared" si="526"/>
        <v>28145.244538569641</v>
      </c>
      <c r="Q663" s="25">
        <f t="array" aca="1" ref="Q663" ca="1">INDEX('Isaac 401k'!L:L,MATCH('Retirement Calculator'!A663,'Isaac 401k'!N:N,0),0)</f>
        <v>-874672.25460851938</v>
      </c>
      <c r="R663" s="25">
        <f t="array" aca="1" ref="R663" ca="1">INDEX('Lorri 401b'!L:L,MATCH('Retirement Calculator'!A663,'Lorri 401b'!N:N,0),0)</f>
        <v>-2183140.3703047554</v>
      </c>
      <c r="S663" s="25">
        <f t="shared" ca="1" si="527"/>
        <v>-3057812.6249132748</v>
      </c>
    </row>
    <row r="664" spans="1:19" ht="15.75" customHeight="1" x14ac:dyDescent="0.3">
      <c r="A664" s="37">
        <v>71164</v>
      </c>
      <c r="B664" s="409">
        <f t="shared" ref="B664:C664" si="670">($A664-B$9)/365.25</f>
        <v>112.95824777549623</v>
      </c>
      <c r="C664" s="409">
        <f t="shared" si="670"/>
        <v>108.34770704996578</v>
      </c>
      <c r="E664" s="25">
        <f>IF(C664&gt;$B$7,0,'Combined Retirement'!$D$13/12)</f>
        <v>0</v>
      </c>
      <c r="F664" s="25">
        <f>IF(H664=0,'Combined Retirement'!$D$32,0)+'Combined Retirement'!$B$24</f>
        <v>2870.372285649099</v>
      </c>
      <c r="G664" s="25">
        <f>'Combined Retirement'!$C$24</f>
        <v>3525.4531757812501</v>
      </c>
      <c r="H664" s="25">
        <f>IF(B664&lt;62,0,'Combined Retirement'!$I$14)</f>
        <v>2192</v>
      </c>
      <c r="I664" s="25">
        <f>IF(C664&lt;62,0,'Combined Retirement'!$I$13)</f>
        <v>2420</v>
      </c>
      <c r="J664" s="25">
        <f t="shared" si="523"/>
        <v>7863.2184191855868</v>
      </c>
      <c r="K664" s="25">
        <f t="shared" si="524"/>
        <v>20282.026119384056</v>
      </c>
      <c r="L664" s="25"/>
      <c r="N664" s="25">
        <f>'Combined Retirement'!$C$18/12</f>
        <v>39153.069999999992</v>
      </c>
      <c r="O664" s="25">
        <f t="shared" si="525"/>
        <v>11007.82546143035</v>
      </c>
      <c r="P664" s="25">
        <f t="shared" si="526"/>
        <v>28145.244538569641</v>
      </c>
      <c r="Q664" s="25">
        <f t="array" aca="1" ref="Q664" ca="1">INDEX('Isaac 401k'!L:L,MATCH('Retirement Calculator'!A664,'Isaac 401k'!N:N,0),0)</f>
        <v>-886212.70416532038</v>
      </c>
      <c r="R664" s="25">
        <f t="array" aca="1" ref="R664" ca="1">INDEX('Lorri 401b'!L:L,MATCH('Retirement Calculator'!A664,'Lorri 401b'!N:N,0),0)</f>
        <v>-2212603.3230759068</v>
      </c>
      <c r="S664" s="25">
        <f t="shared" ca="1" si="527"/>
        <v>-3098816.0272412272</v>
      </c>
    </row>
    <row r="665" spans="1:19" ht="15.75" customHeight="1" x14ac:dyDescent="0.3">
      <c r="A665" s="37">
        <v>71194</v>
      </c>
      <c r="B665" s="409">
        <f t="shared" ref="B665:C665" si="671">($A665-B$9)/365.25</f>
        <v>113.0403832991102</v>
      </c>
      <c r="C665" s="409">
        <f t="shared" si="671"/>
        <v>108.42984257357973</v>
      </c>
      <c r="E665" s="25">
        <f>IF(C665&gt;$B$7,0,'Combined Retirement'!$D$13/12)</f>
        <v>0</v>
      </c>
      <c r="F665" s="25">
        <f>IF(H665=0,'Combined Retirement'!$D$32,0)+'Combined Retirement'!$B$24</f>
        <v>2870.372285649099</v>
      </c>
      <c r="G665" s="25">
        <f>'Combined Retirement'!$C$24</f>
        <v>3525.4531757812501</v>
      </c>
      <c r="H665" s="25">
        <f>IF(B665&lt;62,0,'Combined Retirement'!$I$14)</f>
        <v>2192</v>
      </c>
      <c r="I665" s="25">
        <f>IF(C665&lt;62,0,'Combined Retirement'!$I$13)</f>
        <v>2420</v>
      </c>
      <c r="J665" s="25">
        <f t="shared" si="523"/>
        <v>7863.2184191855868</v>
      </c>
      <c r="K665" s="25">
        <f t="shared" si="524"/>
        <v>20282.026119384056</v>
      </c>
      <c r="L665" s="25"/>
      <c r="N665" s="25">
        <f>'Combined Retirement'!$C$18/12</f>
        <v>39153.069999999992</v>
      </c>
      <c r="O665" s="25">
        <f t="shared" si="525"/>
        <v>11007.82546143035</v>
      </c>
      <c r="P665" s="25">
        <f t="shared" si="526"/>
        <v>28145.244538569641</v>
      </c>
      <c r="Q665" s="25">
        <f t="array" aca="1" ref="Q665" ca="1">INDEX('Isaac 401k'!L:L,MATCH('Retirement Calculator'!A665,'Isaac 401k'!N:N,0),0)</f>
        <v>-897801.23892860813</v>
      </c>
      <c r="R665" s="25">
        <f t="array" aca="1" ref="R665" ca="1">INDEX('Lorri 401b'!L:L,MATCH('Retirement Calculator'!A665,'Lorri 401b'!N:N,0),0)</f>
        <v>-2242189.0381502714</v>
      </c>
      <c r="S665" s="25">
        <f t="shared" ca="1" si="527"/>
        <v>-3139990.2770788795</v>
      </c>
    </row>
    <row r="666" spans="1:19" ht="15.75" customHeight="1" x14ac:dyDescent="0.3">
      <c r="A666" s="37">
        <v>71225</v>
      </c>
      <c r="B666" s="409">
        <f t="shared" ref="B666:C666" si="672">($A666-B$9)/365.25</f>
        <v>113.12525667351129</v>
      </c>
      <c r="C666" s="409">
        <f t="shared" si="672"/>
        <v>108.51471594798083</v>
      </c>
      <c r="E666" s="25">
        <f>IF(C666&gt;$B$7,0,'Combined Retirement'!$D$13/12)</f>
        <v>0</v>
      </c>
      <c r="F666" s="25">
        <f>IF(H666=0,'Combined Retirement'!$D$32,0)+'Combined Retirement'!$B$24</f>
        <v>2870.372285649099</v>
      </c>
      <c r="G666" s="25">
        <f>'Combined Retirement'!$C$24</f>
        <v>3525.4531757812501</v>
      </c>
      <c r="H666" s="25">
        <f>IF(B666&lt;62,0,'Combined Retirement'!$I$14)</f>
        <v>2192</v>
      </c>
      <c r="I666" s="25">
        <f>IF(C666&lt;62,0,'Combined Retirement'!$I$13)</f>
        <v>2420</v>
      </c>
      <c r="J666" s="25">
        <f t="shared" si="523"/>
        <v>7863.2184191855868</v>
      </c>
      <c r="K666" s="25">
        <f t="shared" si="524"/>
        <v>20282.026119384056</v>
      </c>
      <c r="L666" s="25"/>
      <c r="N666" s="25">
        <f>'Combined Retirement'!$C$18/12</f>
        <v>39153.069999999992</v>
      </c>
      <c r="O666" s="25">
        <f t="shared" si="525"/>
        <v>11007.82546143035</v>
      </c>
      <c r="P666" s="25">
        <f t="shared" si="526"/>
        <v>28145.244538569641</v>
      </c>
      <c r="Q666" s="25">
        <f t="array" aca="1" ref="Q666" ca="1">INDEX('Isaac 401k'!L:L,MATCH('Retirement Calculator'!A666,'Isaac 401k'!N:N,0),0)</f>
        <v>-909438.0592534095</v>
      </c>
      <c r="R666" s="25">
        <f t="array" aca="1" ref="R666" ca="1">INDEX('Lorri 401b'!L:L,MATCH('Retirement Calculator'!A666,'Lorri 401b'!N:N,0),0)</f>
        <v>-2271898.0270374455</v>
      </c>
      <c r="S666" s="25">
        <f t="shared" ca="1" si="527"/>
        <v>-3181336.086290855</v>
      </c>
    </row>
    <row r="667" spans="1:19" ht="15.75" customHeight="1" x14ac:dyDescent="0.3">
      <c r="A667" s="37">
        <v>71256</v>
      </c>
      <c r="B667" s="409">
        <f t="shared" ref="B667:C667" si="673">($A667-B$9)/365.25</f>
        <v>113.21013004791239</v>
      </c>
      <c r="C667" s="409">
        <f t="shared" si="673"/>
        <v>108.59958932238193</v>
      </c>
      <c r="E667" s="25">
        <f>IF(C667&gt;$B$7,0,'Combined Retirement'!$D$13/12)</f>
        <v>0</v>
      </c>
      <c r="F667" s="25">
        <f>IF(H667=0,'Combined Retirement'!$D$32,0)+'Combined Retirement'!$B$24</f>
        <v>2870.372285649099</v>
      </c>
      <c r="G667" s="25">
        <f>'Combined Retirement'!$C$24</f>
        <v>3525.4531757812501</v>
      </c>
      <c r="H667" s="25">
        <f>IF(B667&lt;62,0,'Combined Retirement'!$I$14)</f>
        <v>2192</v>
      </c>
      <c r="I667" s="25">
        <f>IF(C667&lt;62,0,'Combined Retirement'!$I$13)</f>
        <v>2420</v>
      </c>
      <c r="J667" s="25">
        <f t="shared" si="523"/>
        <v>7863.2184191855868</v>
      </c>
      <c r="K667" s="25">
        <f t="shared" si="524"/>
        <v>20282.026119384056</v>
      </c>
      <c r="L667" s="25"/>
      <c r="N667" s="25">
        <f>'Combined Retirement'!$C$18/12</f>
        <v>39153.069999999992</v>
      </c>
      <c r="O667" s="25">
        <f t="shared" si="525"/>
        <v>11007.82546143035</v>
      </c>
      <c r="P667" s="25">
        <f t="shared" si="526"/>
        <v>28145.244538569641</v>
      </c>
      <c r="Q667" s="25">
        <f t="array" aca="1" ref="Q667" ca="1">INDEX('Isaac 401k'!L:L,MATCH('Retirement Calculator'!A667,'Isaac 401k'!N:N,0),0)</f>
        <v>-921123.36632956425</v>
      </c>
      <c r="R667" s="25">
        <f t="array" aca="1" ref="R667" ca="1">INDEX('Lorri 401b'!L:L,MATCH('Retirement Calculator'!A667,'Lorri 401b'!N:N,0),0)</f>
        <v>-2301730.8033783161</v>
      </c>
      <c r="S667" s="25">
        <f t="shared" ca="1" si="527"/>
        <v>-3222854.1697078804</v>
      </c>
    </row>
    <row r="668" spans="1:19" ht="15.75" customHeight="1" x14ac:dyDescent="0.3">
      <c r="A668" s="37">
        <v>71284</v>
      </c>
      <c r="B668" s="409">
        <f t="shared" ref="B668:C668" si="674">($A668-B$9)/365.25</f>
        <v>113.28678986995209</v>
      </c>
      <c r="C668" s="409">
        <f t="shared" si="674"/>
        <v>108.67624914442163</v>
      </c>
      <c r="E668" s="25">
        <f>IF(C668&gt;$B$7,0,'Combined Retirement'!$D$13/12)</f>
        <v>0</v>
      </c>
      <c r="F668" s="25">
        <f>IF(H668=0,'Combined Retirement'!$D$32,0)+'Combined Retirement'!$B$24</f>
        <v>2870.372285649099</v>
      </c>
      <c r="G668" s="25">
        <f>'Combined Retirement'!$C$24</f>
        <v>3525.4531757812501</v>
      </c>
      <c r="H668" s="25">
        <f>IF(B668&lt;62,0,'Combined Retirement'!$I$14)</f>
        <v>2192</v>
      </c>
      <c r="I668" s="25">
        <f>IF(C668&lt;62,0,'Combined Retirement'!$I$13)</f>
        <v>2420</v>
      </c>
      <c r="J668" s="25">
        <f t="shared" si="523"/>
        <v>7863.2184191855868</v>
      </c>
      <c r="K668" s="25">
        <f t="shared" si="524"/>
        <v>20282.026119384056</v>
      </c>
      <c r="L668" s="25"/>
      <c r="N668" s="25">
        <f>'Combined Retirement'!$C$18/12</f>
        <v>39153.069999999992</v>
      </c>
      <c r="O668" s="25">
        <f t="shared" si="525"/>
        <v>11007.82546143035</v>
      </c>
      <c r="P668" s="25">
        <f t="shared" si="526"/>
        <v>28145.244538569641</v>
      </c>
      <c r="Q668" s="25">
        <f t="array" aca="1" ref="Q668" ca="1">INDEX('Isaac 401k'!L:L,MATCH('Retirement Calculator'!A668,'Isaac 401k'!N:N,0),0)</f>
        <v>-932857.362185203</v>
      </c>
      <c r="R668" s="25">
        <f t="array" aca="1" ref="R668" ca="1">INDEX('Lorri 401b'!L:L,MATCH('Retirement Calculator'!A668,'Lorri 401b'!N:N,0),0)</f>
        <v>-2331687.8829539404</v>
      </c>
      <c r="S668" s="25">
        <f t="shared" ca="1" si="527"/>
        <v>-3264545.2451391434</v>
      </c>
    </row>
    <row r="669" spans="1:19" ht="15.75" customHeight="1" x14ac:dyDescent="0.3">
      <c r="A669" s="37">
        <v>71315</v>
      </c>
      <c r="B669" s="409">
        <f t="shared" ref="B669:C669" si="675">($A669-B$9)/365.25</f>
        <v>113.37166324435319</v>
      </c>
      <c r="C669" s="409">
        <f t="shared" si="675"/>
        <v>108.76112251882273</v>
      </c>
      <c r="E669" s="25">
        <f>IF(C669&gt;$B$7,0,'Combined Retirement'!$D$13/12)</f>
        <v>0</v>
      </c>
      <c r="F669" s="25">
        <f>IF(H669=0,'Combined Retirement'!$D$32,0)+'Combined Retirement'!$B$24</f>
        <v>2870.372285649099</v>
      </c>
      <c r="G669" s="25">
        <f>'Combined Retirement'!$C$24</f>
        <v>3525.4531757812501</v>
      </c>
      <c r="H669" s="25">
        <f>IF(B669&lt;62,0,'Combined Retirement'!$I$14)</f>
        <v>2192</v>
      </c>
      <c r="I669" s="25">
        <f>IF(C669&lt;62,0,'Combined Retirement'!$I$13)</f>
        <v>2420</v>
      </c>
      <c r="J669" s="25">
        <f t="shared" si="523"/>
        <v>7863.2184191855868</v>
      </c>
      <c r="K669" s="25">
        <f t="shared" si="524"/>
        <v>20282.026119384056</v>
      </c>
      <c r="L669" s="25"/>
      <c r="N669" s="25">
        <f>'Combined Retirement'!$C$18/12</f>
        <v>39153.069999999992</v>
      </c>
      <c r="O669" s="25">
        <f t="shared" si="525"/>
        <v>11007.82546143035</v>
      </c>
      <c r="P669" s="25">
        <f t="shared" si="526"/>
        <v>28145.244538569641</v>
      </c>
      <c r="Q669" s="25">
        <f t="array" aca="1" ref="Q669" ca="1">INDEX('Isaac 401k'!L:L,MATCH('Retirement Calculator'!A669,'Isaac 401k'!N:N,0),0)</f>
        <v>-944640.24969024025</v>
      </c>
      <c r="R669" s="25">
        <f t="array" aca="1" ref="R669" ca="1">INDEX('Lorri 401b'!L:L,MATCH('Retirement Calculator'!A669,'Lorri 401b'!N:N,0),0)</f>
        <v>-2361769.7836944633</v>
      </c>
      <c r="S669" s="25">
        <f t="shared" ca="1" si="527"/>
        <v>-3306410.0333847036</v>
      </c>
    </row>
    <row r="670" spans="1:19" ht="15.75" customHeight="1" x14ac:dyDescent="0.3">
      <c r="A670" s="37">
        <v>71345</v>
      </c>
      <c r="B670" s="409">
        <f t="shared" ref="B670:C670" si="676">($A670-B$9)/365.25</f>
        <v>113.45379876796714</v>
      </c>
      <c r="C670" s="409">
        <f t="shared" si="676"/>
        <v>108.84325804243669</v>
      </c>
      <c r="E670" s="25">
        <f>IF(C670&gt;$B$7,0,'Combined Retirement'!$D$13/12)</f>
        <v>0</v>
      </c>
      <c r="F670" s="25">
        <f>IF(H670=0,'Combined Retirement'!$D$32,0)+'Combined Retirement'!$B$24</f>
        <v>2870.372285649099</v>
      </c>
      <c r="G670" s="25">
        <f>'Combined Retirement'!$C$24</f>
        <v>3525.4531757812501</v>
      </c>
      <c r="H670" s="25">
        <f>IF(B670&lt;62,0,'Combined Retirement'!$I$14)</f>
        <v>2192</v>
      </c>
      <c r="I670" s="25">
        <f>IF(C670&lt;62,0,'Combined Retirement'!$I$13)</f>
        <v>2420</v>
      </c>
      <c r="J670" s="25">
        <f t="shared" si="523"/>
        <v>7863.2184191855868</v>
      </c>
      <c r="K670" s="25">
        <f t="shared" si="524"/>
        <v>20282.026119384056</v>
      </c>
      <c r="L670" s="25"/>
      <c r="N670" s="25">
        <f>'Combined Retirement'!$C$18/12</f>
        <v>39153.069999999992</v>
      </c>
      <c r="O670" s="25">
        <f t="shared" si="525"/>
        <v>11007.82546143035</v>
      </c>
      <c r="P670" s="25">
        <f t="shared" si="526"/>
        <v>28145.244538569641</v>
      </c>
      <c r="Q670" s="25">
        <f t="array" aca="1" ref="Q670" ca="1">INDEX('Isaac 401k'!L:L,MATCH('Retirement Calculator'!A670,'Isaac 401k'!N:N,0),0)</f>
        <v>-956472.23255988176</v>
      </c>
      <c r="R670" s="25">
        <f t="array" aca="1" ref="R670" ca="1">INDEX('Lorri 401b'!L:L,MATCH('Retirement Calculator'!A670,'Lorri 401b'!N:N,0),0)</f>
        <v>-2391977.0256880717</v>
      </c>
      <c r="S670" s="25">
        <f t="shared" ca="1" si="527"/>
        <v>-3348449.2582479534</v>
      </c>
    </row>
    <row r="671" spans="1:19" ht="15.75" customHeight="1" x14ac:dyDescent="0.3">
      <c r="A671" s="37">
        <v>71376</v>
      </c>
      <c r="B671" s="409">
        <f t="shared" ref="B671:C671" si="677">($A671-B$9)/365.25</f>
        <v>113.53867214236824</v>
      </c>
      <c r="C671" s="409">
        <f t="shared" si="677"/>
        <v>108.92813141683779</v>
      </c>
      <c r="E671" s="25">
        <f>IF(C671&gt;$B$7,0,'Combined Retirement'!$D$13/12)</f>
        <v>0</v>
      </c>
      <c r="F671" s="25">
        <f>IF(H671=0,'Combined Retirement'!$D$32,0)+'Combined Retirement'!$B$24</f>
        <v>2870.372285649099</v>
      </c>
      <c r="G671" s="25">
        <f>'Combined Retirement'!$C$24</f>
        <v>3525.4531757812501</v>
      </c>
      <c r="H671" s="25">
        <f>IF(B671&lt;62,0,'Combined Retirement'!$I$14)</f>
        <v>2192</v>
      </c>
      <c r="I671" s="25">
        <f>IF(C671&lt;62,0,'Combined Retirement'!$I$13)</f>
        <v>2420</v>
      </c>
      <c r="J671" s="25">
        <f t="shared" si="523"/>
        <v>7863.2184191855868</v>
      </c>
      <c r="K671" s="25">
        <f t="shared" si="524"/>
        <v>20282.026119384056</v>
      </c>
      <c r="L671" s="25"/>
      <c r="N671" s="25">
        <f>'Combined Retirement'!$C$18/12</f>
        <v>39153.069999999992</v>
      </c>
      <c r="O671" s="25">
        <f t="shared" si="525"/>
        <v>11007.82546143035</v>
      </c>
      <c r="P671" s="25">
        <f t="shared" si="526"/>
        <v>28145.244538569641</v>
      </c>
      <c r="Q671" s="25">
        <f t="array" aca="1" ref="Q671" ca="1">INDEX('Isaac 401k'!L:L,MATCH('Retirement Calculator'!A671,'Isaac 401k'!N:N,0),0)</f>
        <v>-968353.51535814686</v>
      </c>
      <c r="R671" s="25">
        <f t="array" aca="1" ref="R671" ca="1">INDEX('Lorri 401b'!L:L,MATCH('Retirement Calculator'!A671,'Lorri 401b'!N:N,0),0)</f>
        <v>-2422310.1311899866</v>
      </c>
      <c r="S671" s="25">
        <f t="shared" ca="1" si="527"/>
        <v>-3390663.6465481333</v>
      </c>
    </row>
    <row r="672" spans="1:19" ht="15.75" customHeight="1" x14ac:dyDescent="0.3">
      <c r="A672" s="37">
        <v>71406</v>
      </c>
      <c r="B672" s="409">
        <f t="shared" ref="B672:C672" si="678">($A672-B$9)/365.25</f>
        <v>113.6208076659822</v>
      </c>
      <c r="C672" s="409">
        <f t="shared" si="678"/>
        <v>109.01026694045174</v>
      </c>
      <c r="E672" s="25">
        <f>IF(C672&gt;$B$7,0,'Combined Retirement'!$D$13/12)</f>
        <v>0</v>
      </c>
      <c r="F672" s="25">
        <f>IF(H672=0,'Combined Retirement'!$D$32,0)+'Combined Retirement'!$B$24</f>
        <v>2870.372285649099</v>
      </c>
      <c r="G672" s="25">
        <f>'Combined Retirement'!$C$24</f>
        <v>3525.4531757812501</v>
      </c>
      <c r="H672" s="25">
        <f>IF(B672&lt;62,0,'Combined Retirement'!$I$14)</f>
        <v>2192</v>
      </c>
      <c r="I672" s="25">
        <f>IF(C672&lt;62,0,'Combined Retirement'!$I$13)</f>
        <v>2420</v>
      </c>
      <c r="J672" s="25">
        <f t="shared" si="523"/>
        <v>7863.2184191855868</v>
      </c>
      <c r="K672" s="25">
        <f t="shared" si="524"/>
        <v>20282.026119384056</v>
      </c>
      <c r="L672" s="25"/>
      <c r="N672" s="25">
        <f>'Combined Retirement'!$C$18/12</f>
        <v>39153.069999999992</v>
      </c>
      <c r="O672" s="25">
        <f t="shared" si="525"/>
        <v>11007.82546143035</v>
      </c>
      <c r="P672" s="25">
        <f t="shared" si="526"/>
        <v>28145.244538569641</v>
      </c>
      <c r="Q672" s="25">
        <f t="array" aca="1" ref="Q672" ca="1">INDEX('Isaac 401k'!L:L,MATCH('Retirement Calculator'!A672,'Isaac 401k'!N:N,0),0)</f>
        <v>-980284.30350140471</v>
      </c>
      <c r="R672" s="25">
        <f t="array" aca="1" ref="R672" ca="1">INDEX('Lorri 401b'!L:L,MATCH('Retirement Calculator'!A672,'Lorri 401b'!N:N,0),0)</f>
        <v>-2452769.6246314929</v>
      </c>
      <c r="S672" s="25">
        <f t="shared" ca="1" si="527"/>
        <v>-3433053.9281328977</v>
      </c>
    </row>
    <row r="673" spans="1:19" ht="15.75" customHeight="1" x14ac:dyDescent="0.3">
      <c r="A673" s="37">
        <v>71437</v>
      </c>
      <c r="B673" s="409">
        <f t="shared" ref="B673:C673" si="679">($A673-B$9)/365.25</f>
        <v>113.7056810403833</v>
      </c>
      <c r="C673" s="409">
        <f t="shared" si="679"/>
        <v>109.09514031485284</v>
      </c>
      <c r="E673" s="25">
        <f>IF(C673&gt;$B$7,0,'Combined Retirement'!$D$13/12)</f>
        <v>0</v>
      </c>
      <c r="F673" s="25">
        <f>IF(H673=0,'Combined Retirement'!$D$32,0)+'Combined Retirement'!$B$24</f>
        <v>2870.372285649099</v>
      </c>
      <c r="G673" s="25">
        <f>'Combined Retirement'!$C$24</f>
        <v>3525.4531757812501</v>
      </c>
      <c r="H673" s="25">
        <f>IF(B673&lt;62,0,'Combined Retirement'!$I$14)</f>
        <v>2192</v>
      </c>
      <c r="I673" s="25">
        <f>IF(C673&lt;62,0,'Combined Retirement'!$I$13)</f>
        <v>2420</v>
      </c>
      <c r="J673" s="25">
        <f t="shared" si="523"/>
        <v>7863.2184191855868</v>
      </c>
      <c r="K673" s="25">
        <f t="shared" si="524"/>
        <v>20282.026119384056</v>
      </c>
      <c r="L673" s="25"/>
      <c r="N673" s="25">
        <f>'Combined Retirement'!$C$18/12</f>
        <v>39153.069999999992</v>
      </c>
      <c r="O673" s="25">
        <f t="shared" si="525"/>
        <v>11007.82546143035</v>
      </c>
      <c r="P673" s="25">
        <f t="shared" si="526"/>
        <v>28145.244538569641</v>
      </c>
      <c r="Q673" s="25">
        <f t="array" aca="1" ref="Q673" ca="1">INDEX('Isaac 401k'!L:L,MATCH('Retirement Calculator'!A673,'Isaac 401k'!N:N,0),0)</f>
        <v>-992264.80326192605</v>
      </c>
      <c r="R673" s="25">
        <f t="array" aca="1" ref="R673" ca="1">INDEX('Lorri 401b'!L:L,MATCH('Retirement Calculator'!A673,'Lorri 401b'!N:N,0),0)</f>
        <v>-2483356.0326290056</v>
      </c>
      <c r="S673" s="25">
        <f t="shared" ca="1" si="527"/>
        <v>-3475620.8358909315</v>
      </c>
    </row>
    <row r="674" spans="1:19" ht="15.75" customHeight="1" x14ac:dyDescent="0.3">
      <c r="A674" s="37">
        <v>71468</v>
      </c>
      <c r="B674" s="409">
        <f t="shared" ref="B674:C674" si="680">($A674-B$9)/365.25</f>
        <v>113.7905544147844</v>
      </c>
      <c r="C674" s="409">
        <f t="shared" si="680"/>
        <v>109.18001368925394</v>
      </c>
      <c r="E674" s="25">
        <f>IF(C674&gt;$B$7,0,'Combined Retirement'!$D$13/12)</f>
        <v>0</v>
      </c>
      <c r="F674" s="25">
        <f>IF(H674=0,'Combined Retirement'!$D$32,0)+'Combined Retirement'!$B$24</f>
        <v>2870.372285649099</v>
      </c>
      <c r="G674" s="25">
        <f>'Combined Retirement'!$C$24</f>
        <v>3525.4531757812501</v>
      </c>
      <c r="H674" s="25">
        <f>IF(B674&lt;62,0,'Combined Retirement'!$I$14)</f>
        <v>2192</v>
      </c>
      <c r="I674" s="25">
        <f>IF(C674&lt;62,0,'Combined Retirement'!$I$13)</f>
        <v>2420</v>
      </c>
      <c r="J674" s="25">
        <f t="shared" si="523"/>
        <v>7863.2184191855868</v>
      </c>
      <c r="K674" s="25">
        <f t="shared" si="524"/>
        <v>20282.026119384056</v>
      </c>
      <c r="L674" s="25"/>
      <c r="N674" s="25">
        <f>'Combined Retirement'!$C$18/12</f>
        <v>39153.069999999992</v>
      </c>
      <c r="O674" s="25">
        <f t="shared" si="525"/>
        <v>11007.82546143035</v>
      </c>
      <c r="P674" s="25">
        <f t="shared" si="526"/>
        <v>28145.244538569641</v>
      </c>
      <c r="Q674" s="25">
        <f t="array" aca="1" ref="Q674" ca="1">INDEX('Isaac 401k'!L:L,MATCH('Retirement Calculator'!A674,'Isaac 401k'!N:N,0),0)</f>
        <v>-1004295.2217714497</v>
      </c>
      <c r="R674" s="25">
        <f t="array" aca="1" ref="R674" ca="1">INDEX('Lorri 401b'!L:L,MATCH('Retirement Calculator'!A674,'Lorri 401b'!N:N,0),0)</f>
        <v>-2514069.8839931744</v>
      </c>
      <c r="S674" s="25">
        <f t="shared" ca="1" si="527"/>
        <v>-3518365.1057646242</v>
      </c>
    </row>
    <row r="675" spans="1:19" ht="15.75" customHeight="1" x14ac:dyDescent="0.3">
      <c r="A675" s="37">
        <v>71498</v>
      </c>
      <c r="B675" s="409">
        <f t="shared" ref="B675:C675" si="681">($A675-B$9)/365.25</f>
        <v>113.87268993839835</v>
      </c>
      <c r="C675" s="409">
        <f t="shared" si="681"/>
        <v>109.2621492128679</v>
      </c>
      <c r="E675" s="25">
        <f>IF(C675&gt;$B$7,0,'Combined Retirement'!$D$13/12)</f>
        <v>0</v>
      </c>
      <c r="F675" s="25">
        <f>IF(H675=0,'Combined Retirement'!$D$32,0)+'Combined Retirement'!$B$24</f>
        <v>2870.372285649099</v>
      </c>
      <c r="G675" s="25">
        <f>'Combined Retirement'!$C$24</f>
        <v>3525.4531757812501</v>
      </c>
      <c r="H675" s="25">
        <f>IF(B675&lt;62,0,'Combined Retirement'!$I$14)</f>
        <v>2192</v>
      </c>
      <c r="I675" s="25">
        <f>IF(C675&lt;62,0,'Combined Retirement'!$I$13)</f>
        <v>2420</v>
      </c>
      <c r="J675" s="25">
        <f t="shared" si="523"/>
        <v>7863.2184191855868</v>
      </c>
      <c r="K675" s="25">
        <f t="shared" si="524"/>
        <v>20282.026119384056</v>
      </c>
      <c r="L675" s="25"/>
      <c r="N675" s="25">
        <f>'Combined Retirement'!$C$18/12</f>
        <v>39153.069999999992</v>
      </c>
      <c r="O675" s="25">
        <f t="shared" si="525"/>
        <v>11007.82546143035</v>
      </c>
      <c r="P675" s="25">
        <f t="shared" si="526"/>
        <v>28145.244538569641</v>
      </c>
      <c r="Q675" s="25">
        <f t="array" aca="1" ref="Q675" ca="1">INDEX('Isaac 401k'!L:L,MATCH('Retirement Calculator'!A675,'Isaac 401k'!N:N,0),0)</f>
        <v>-1016375.7670247629</v>
      </c>
      <c r="R675" s="25">
        <f t="array" aca="1" ref="R675" ca="1">INDEX('Lorri 401b'!L:L,MATCH('Retirement Calculator'!A675,'Lorri 401b'!N:N,0),0)</f>
        <v>-2544911.7097380273</v>
      </c>
      <c r="S675" s="25">
        <f t="shared" ca="1" si="527"/>
        <v>-3561287.4767627902</v>
      </c>
    </row>
    <row r="676" spans="1:19" ht="15.75" customHeight="1" x14ac:dyDescent="0.3">
      <c r="A676" s="37">
        <v>71529</v>
      </c>
      <c r="B676" s="409">
        <f t="shared" ref="B676:C676" si="682">($A676-B$9)/365.25</f>
        <v>113.95756331279945</v>
      </c>
      <c r="C676" s="409">
        <f t="shared" si="682"/>
        <v>109.347022587269</v>
      </c>
      <c r="E676" s="25">
        <f>IF(C676&gt;$B$7,0,'Combined Retirement'!$D$13/12)</f>
        <v>0</v>
      </c>
      <c r="F676" s="25">
        <f>IF(H676=0,'Combined Retirement'!$D$32,0)+'Combined Retirement'!$B$24</f>
        <v>2870.372285649099</v>
      </c>
      <c r="G676" s="25">
        <f>'Combined Retirement'!$C$24</f>
        <v>3525.4531757812501</v>
      </c>
      <c r="H676" s="25">
        <f>IF(B676&lt;62,0,'Combined Retirement'!$I$14)</f>
        <v>2192</v>
      </c>
      <c r="I676" s="25">
        <f>IF(C676&lt;62,0,'Combined Retirement'!$I$13)</f>
        <v>2420</v>
      </c>
      <c r="J676" s="25">
        <f t="shared" si="523"/>
        <v>7863.2184191855868</v>
      </c>
      <c r="K676" s="25">
        <f t="shared" si="524"/>
        <v>20282.026119384056</v>
      </c>
      <c r="L676" s="25"/>
      <c r="N676" s="25">
        <f>'Combined Retirement'!$C$18/12</f>
        <v>39153.069999999992</v>
      </c>
      <c r="O676" s="25">
        <f t="shared" si="525"/>
        <v>11007.82546143035</v>
      </c>
      <c r="P676" s="25">
        <f t="shared" si="526"/>
        <v>28145.244538569641</v>
      </c>
      <c r="Q676" s="25">
        <f t="array" aca="1" ref="Q676" ca="1">INDEX('Isaac 401k'!L:L,MATCH('Retirement Calculator'!A676,'Isaac 401k'!N:N,0),0)</f>
        <v>-1028506.6478832983</v>
      </c>
      <c r="R676" s="25">
        <f t="array" aca="1" ref="R676" ca="1">INDEX('Lorri 401b'!L:L,MATCH('Retirement Calculator'!A676,'Lorri 401b'!N:N,0),0)</f>
        <v>-2575882.0430901507</v>
      </c>
      <c r="S676" s="25">
        <f t="shared" ca="1" si="527"/>
        <v>-3604388.690973449</v>
      </c>
    </row>
    <row r="677" spans="1:19" ht="15.75" customHeight="1" x14ac:dyDescent="0.3">
      <c r="A677" s="37">
        <v>71559</v>
      </c>
      <c r="B677" s="409">
        <f t="shared" ref="B677:C677" si="683">($A677-B$9)/365.25</f>
        <v>114.03969883641342</v>
      </c>
      <c r="C677" s="409">
        <f t="shared" si="683"/>
        <v>109.42915811088295</v>
      </c>
      <c r="E677" s="25">
        <f>IF(C677&gt;$B$7,0,'Combined Retirement'!$D$13/12)</f>
        <v>0</v>
      </c>
      <c r="F677" s="25">
        <f>IF(H677=0,'Combined Retirement'!$D$32,0)+'Combined Retirement'!$B$24</f>
        <v>2870.372285649099</v>
      </c>
      <c r="G677" s="25">
        <f>'Combined Retirement'!$C$24</f>
        <v>3525.4531757812501</v>
      </c>
      <c r="H677" s="25">
        <f>IF(B677&lt;62,0,'Combined Retirement'!$I$14)</f>
        <v>2192</v>
      </c>
      <c r="I677" s="25">
        <f>IF(C677&lt;62,0,'Combined Retirement'!$I$13)</f>
        <v>2420</v>
      </c>
      <c r="J677" s="25">
        <f t="shared" si="523"/>
        <v>7863.2184191855868</v>
      </c>
      <c r="K677" s="25">
        <f t="shared" si="524"/>
        <v>20282.026119384056</v>
      </c>
      <c r="L677" s="25"/>
      <c r="N677" s="25">
        <f>'Combined Retirement'!$C$18/12</f>
        <v>39153.069999999992</v>
      </c>
      <c r="O677" s="25">
        <f t="shared" si="525"/>
        <v>11007.82546143035</v>
      </c>
      <c r="P677" s="25">
        <f t="shared" si="526"/>
        <v>28145.244538569641</v>
      </c>
      <c r="Q677" s="25">
        <f t="array" aca="1" ref="Q677" ca="1">INDEX('Isaac 401k'!L:L,MATCH('Retirement Calculator'!A677,'Isaac 401k'!N:N,0),0)</f>
        <v>-1040688.0740787443</v>
      </c>
      <c r="R677" s="25">
        <f t="array" aca="1" ref="R677" ca="1">INDEX('Lorri 401b'!L:L,MATCH('Retirement Calculator'!A677,'Lorri 401b'!N:N,0),0)</f>
        <v>-2606981.4194979076</v>
      </c>
      <c r="S677" s="25">
        <f t="shared" ca="1" si="527"/>
        <v>-3647669.4935766519</v>
      </c>
    </row>
    <row r="678" spans="1:19" ht="15.75" customHeight="1" x14ac:dyDescent="0.3">
      <c r="A678" s="37">
        <v>71590</v>
      </c>
      <c r="B678" s="409">
        <f t="shared" ref="B678:C678" si="684">($A678-B$9)/365.25</f>
        <v>114.12457221081451</v>
      </c>
      <c r="C678" s="409">
        <f t="shared" si="684"/>
        <v>109.51403148528405</v>
      </c>
      <c r="E678" s="25">
        <f>IF(C678&gt;$B$7,0,'Combined Retirement'!$D$13/12)</f>
        <v>0</v>
      </c>
      <c r="F678" s="25">
        <f>IF(H678=0,'Combined Retirement'!$D$32,0)+'Combined Retirement'!$B$24</f>
        <v>2870.372285649099</v>
      </c>
      <c r="G678" s="25">
        <f>'Combined Retirement'!$C$24</f>
        <v>3525.4531757812501</v>
      </c>
      <c r="H678" s="25">
        <f>IF(B678&lt;62,0,'Combined Retirement'!$I$14)</f>
        <v>2192</v>
      </c>
      <c r="I678" s="25">
        <f>IF(C678&lt;62,0,'Combined Retirement'!$I$13)</f>
        <v>2420</v>
      </c>
      <c r="J678" s="25">
        <f t="shared" si="523"/>
        <v>7863.2184191855868</v>
      </c>
      <c r="K678" s="25">
        <f t="shared" si="524"/>
        <v>20282.026119384056</v>
      </c>
      <c r="L678" s="25"/>
      <c r="N678" s="25">
        <f>'Combined Retirement'!$C$18/12</f>
        <v>39153.069999999992</v>
      </c>
      <c r="O678" s="25">
        <f t="shared" si="525"/>
        <v>11007.82546143035</v>
      </c>
      <c r="P678" s="25">
        <f t="shared" si="526"/>
        <v>28145.244538569641</v>
      </c>
      <c r="Q678" s="25">
        <f t="array" aca="1" ref="Q678" ca="1">INDEX('Isaac 401k'!L:L,MATCH('Retirement Calculator'!A678,'Isaac 401k'!N:N,0),0)</f>
        <v>-1052920.2562166713</v>
      </c>
      <c r="R678" s="25">
        <f t="array" aca="1" ref="R678" ca="1">INDEX('Lorri 401b'!L:L,MATCH('Retirement Calculator'!A678,'Lorri 401b'!N:N,0),0)</f>
        <v>-2638210.376640697</v>
      </c>
      <c r="S678" s="25">
        <f t="shared" ca="1" si="527"/>
        <v>-3691130.6328573683</v>
      </c>
    </row>
    <row r="679" spans="1:19" ht="15.75" customHeight="1" x14ac:dyDescent="0.3">
      <c r="A679" s="37">
        <v>71621</v>
      </c>
      <c r="B679" s="409">
        <f t="shared" ref="B679:C679" si="685">($A679-B$9)/365.25</f>
        <v>114.2094455852156</v>
      </c>
      <c r="C679" s="409">
        <f t="shared" si="685"/>
        <v>109.59890485968515</v>
      </c>
      <c r="E679" s="25">
        <f>IF(C679&gt;$B$7,0,'Combined Retirement'!$D$13/12)</f>
        <v>0</v>
      </c>
      <c r="F679" s="25">
        <f>IF(H679=0,'Combined Retirement'!$D$32,0)+'Combined Retirement'!$B$24</f>
        <v>2870.372285649099</v>
      </c>
      <c r="G679" s="25">
        <f>'Combined Retirement'!$C$24</f>
        <v>3525.4531757812501</v>
      </c>
      <c r="H679" s="25">
        <f>IF(B679&lt;62,0,'Combined Retirement'!$I$14)</f>
        <v>2192</v>
      </c>
      <c r="I679" s="25">
        <f>IF(C679&lt;62,0,'Combined Retirement'!$I$13)</f>
        <v>2420</v>
      </c>
      <c r="J679" s="25">
        <f t="shared" si="523"/>
        <v>7863.2184191855868</v>
      </c>
      <c r="K679" s="25">
        <f t="shared" si="524"/>
        <v>20282.026119384056</v>
      </c>
      <c r="L679" s="25"/>
      <c r="N679" s="25">
        <f>'Combined Retirement'!$C$18/12</f>
        <v>39153.069999999992</v>
      </c>
      <c r="O679" s="25">
        <f t="shared" si="525"/>
        <v>11007.82546143035</v>
      </c>
      <c r="P679" s="25">
        <f t="shared" si="526"/>
        <v>28145.244538569641</v>
      </c>
      <c r="Q679" s="25">
        <f t="array" aca="1" ref="Q679" ca="1">INDEX('Isaac 401k'!L:L,MATCH('Retirement Calculator'!A679,'Isaac 401k'!N:N,0),0)</f>
        <v>-1065203.4057801729</v>
      </c>
      <c r="R679" s="25">
        <f t="array" aca="1" ref="R679" ca="1">INDEX('Lorri 401b'!L:L,MATCH('Retirement Calculator'!A679,'Lorri 401b'!N:N,0),0)</f>
        <v>-2669569.4544382482</v>
      </c>
      <c r="S679" s="25">
        <f t="shared" ca="1" si="527"/>
        <v>-3734772.8602184211</v>
      </c>
    </row>
    <row r="680" spans="1:19" ht="15.75" customHeight="1" x14ac:dyDescent="0.3">
      <c r="A680" s="37">
        <v>71650</v>
      </c>
      <c r="B680" s="409">
        <f t="shared" ref="B680:C680" si="686">($A680-B$9)/365.25</f>
        <v>114.28884325804243</v>
      </c>
      <c r="C680" s="409">
        <f t="shared" si="686"/>
        <v>109.67830253251198</v>
      </c>
      <c r="E680" s="25">
        <f>IF(C680&gt;$B$7,0,'Combined Retirement'!$D$13/12)</f>
        <v>0</v>
      </c>
      <c r="F680" s="25">
        <f>IF(H680=0,'Combined Retirement'!$D$32,0)+'Combined Retirement'!$B$24</f>
        <v>2870.372285649099</v>
      </c>
      <c r="G680" s="25">
        <f>'Combined Retirement'!$C$24</f>
        <v>3525.4531757812501</v>
      </c>
      <c r="H680" s="25">
        <f>IF(B680&lt;62,0,'Combined Retirement'!$I$14)</f>
        <v>2192</v>
      </c>
      <c r="I680" s="25">
        <f>IF(C680&lt;62,0,'Combined Retirement'!$I$13)</f>
        <v>2420</v>
      </c>
      <c r="J680" s="25">
        <f t="shared" si="523"/>
        <v>7863.2184191855868</v>
      </c>
      <c r="K680" s="25">
        <f t="shared" si="524"/>
        <v>20282.026119384056</v>
      </c>
      <c r="L680" s="25"/>
      <c r="N680" s="25">
        <f>'Combined Retirement'!$C$18/12</f>
        <v>39153.069999999992</v>
      </c>
      <c r="O680" s="25">
        <f t="shared" si="525"/>
        <v>11007.82546143035</v>
      </c>
      <c r="P680" s="25">
        <f t="shared" si="526"/>
        <v>28145.244538569641</v>
      </c>
      <c r="Q680" s="25">
        <f t="array" aca="1" ref="Q680" ca="1">INDEX('Isaac 401k'!L:L,MATCH('Retirement Calculator'!A680,'Isaac 401k'!N:N,0),0)</f>
        <v>-1077537.7351335224</v>
      </c>
      <c r="R680" s="25">
        <f t="array" aca="1" ref="R680" ca="1">INDEX('Lorri 401b'!L:L,MATCH('Retirement Calculator'!A680,'Lorri 401b'!N:N,0),0)</f>
        <v>-2701059.1950599556</v>
      </c>
      <c r="S680" s="25">
        <f t="shared" ca="1" si="527"/>
        <v>-3778596.9301934782</v>
      </c>
    </row>
    <row r="681" spans="1:19" ht="15.75" customHeight="1" x14ac:dyDescent="0.3">
      <c r="A681" s="37">
        <v>71681</v>
      </c>
      <c r="B681" s="409">
        <f t="shared" ref="B681:C681" si="687">($A681-B$9)/365.25</f>
        <v>114.37371663244353</v>
      </c>
      <c r="C681" s="409">
        <f t="shared" si="687"/>
        <v>109.76317590691308</v>
      </c>
      <c r="E681" s="25">
        <f>IF(C681&gt;$B$7,0,'Combined Retirement'!$D$13/12)</f>
        <v>0</v>
      </c>
      <c r="F681" s="25">
        <f>IF(H681=0,'Combined Retirement'!$D$32,0)+'Combined Retirement'!$B$24</f>
        <v>2870.372285649099</v>
      </c>
      <c r="G681" s="25">
        <f>'Combined Retirement'!$C$24</f>
        <v>3525.4531757812501</v>
      </c>
      <c r="H681" s="25">
        <f>IF(B681&lt;62,0,'Combined Retirement'!$I$14)</f>
        <v>2192</v>
      </c>
      <c r="I681" s="25">
        <f>IF(C681&lt;62,0,'Combined Retirement'!$I$13)</f>
        <v>2420</v>
      </c>
      <c r="J681" s="25">
        <f t="shared" si="523"/>
        <v>7863.2184191855868</v>
      </c>
      <c r="K681" s="25">
        <f t="shared" si="524"/>
        <v>20282.026119384056</v>
      </c>
      <c r="L681" s="25"/>
      <c r="N681" s="25">
        <f>'Combined Retirement'!$C$18/12</f>
        <v>39153.069999999992</v>
      </c>
      <c r="O681" s="25">
        <f t="shared" si="525"/>
        <v>11007.82546143035</v>
      </c>
      <c r="P681" s="25">
        <f t="shared" si="526"/>
        <v>28145.244538569641</v>
      </c>
      <c r="Q681" s="25">
        <f t="array" aca="1" ref="Q681" ca="1">INDEX('Isaac 401k'!L:L,MATCH('Retirement Calculator'!A681,'Isaac 401k'!N:N,0),0)</f>
        <v>-1089923.4575258442</v>
      </c>
      <c r="R681" s="25">
        <f t="array" aca="1" ref="R681" ca="1">INDEX('Lorri 401b'!L:L,MATCH('Retirement Calculator'!A681,'Lorri 401b'!N:N,0),0)</f>
        <v>-2732680.1429342534</v>
      </c>
      <c r="S681" s="25">
        <f t="shared" ca="1" si="527"/>
        <v>-3822603.6004600977</v>
      </c>
    </row>
    <row r="682" spans="1:19" ht="15.75" customHeight="1" x14ac:dyDescent="0.3">
      <c r="A682" s="37">
        <v>71711</v>
      </c>
      <c r="B682" s="409">
        <f t="shared" ref="B682:C682" si="688">($A682-B$9)/365.25</f>
        <v>114.45585215605749</v>
      </c>
      <c r="C682" s="409">
        <f t="shared" si="688"/>
        <v>109.84531143052703</v>
      </c>
      <c r="E682" s="25">
        <f>IF(C682&gt;$B$7,0,'Combined Retirement'!$D$13/12)</f>
        <v>0</v>
      </c>
      <c r="F682" s="25">
        <f>IF(H682=0,'Combined Retirement'!$D$32,0)+'Combined Retirement'!$B$24</f>
        <v>2870.372285649099</v>
      </c>
      <c r="G682" s="25">
        <f>'Combined Retirement'!$C$24</f>
        <v>3525.4531757812501</v>
      </c>
      <c r="H682" s="25">
        <f>IF(B682&lt;62,0,'Combined Retirement'!$I$14)</f>
        <v>2192</v>
      </c>
      <c r="I682" s="25">
        <f>IF(C682&lt;62,0,'Combined Retirement'!$I$13)</f>
        <v>2420</v>
      </c>
      <c r="J682" s="25">
        <f t="shared" si="523"/>
        <v>7863.2184191855868</v>
      </c>
      <c r="K682" s="25">
        <f t="shared" si="524"/>
        <v>20282.026119384056</v>
      </c>
      <c r="L682" s="25"/>
      <c r="N682" s="25">
        <f>'Combined Retirement'!$C$18/12</f>
        <v>39153.069999999992</v>
      </c>
      <c r="O682" s="25">
        <f t="shared" si="525"/>
        <v>11007.82546143035</v>
      </c>
      <c r="P682" s="25">
        <f t="shared" si="526"/>
        <v>28145.244538569641</v>
      </c>
      <c r="Q682" s="25">
        <f t="array" aca="1" ref="Q682" ca="1">INDEX('Isaac 401k'!L:L,MATCH('Retirement Calculator'!A682,'Isaac 401k'!N:N,0),0)</f>
        <v>-1102360.7870948007</v>
      </c>
      <c r="R682" s="25">
        <f t="array" aca="1" ref="R682" ca="1">INDEX('Lorri 401b'!L:L,MATCH('Retirement Calculator'!A682,'Lorri 401b'!N:N,0),0)</f>
        <v>-2764432.8447580277</v>
      </c>
      <c r="S682" s="25">
        <f t="shared" ca="1" si="527"/>
        <v>-3866793.6318528284</v>
      </c>
    </row>
    <row r="683" spans="1:19" ht="15.75" customHeight="1" x14ac:dyDescent="0.3">
      <c r="A683" s="37">
        <v>71742</v>
      </c>
      <c r="B683" s="409">
        <f t="shared" ref="B683:C683" si="689">($A683-B$9)/365.25</f>
        <v>114.54072553045859</v>
      </c>
      <c r="C683" s="409">
        <f t="shared" si="689"/>
        <v>109.93018480492813</v>
      </c>
      <c r="E683" s="25">
        <f>IF(C683&gt;$B$7,0,'Combined Retirement'!$D$13/12)</f>
        <v>0</v>
      </c>
      <c r="F683" s="25">
        <f>IF(H683=0,'Combined Retirement'!$D$32,0)+'Combined Retirement'!$B$24</f>
        <v>2870.372285649099</v>
      </c>
      <c r="G683" s="25">
        <f>'Combined Retirement'!$C$24</f>
        <v>3525.4531757812501</v>
      </c>
      <c r="H683" s="25">
        <f>IF(B683&lt;62,0,'Combined Retirement'!$I$14)</f>
        <v>2192</v>
      </c>
      <c r="I683" s="25">
        <f>IF(C683&lt;62,0,'Combined Retirement'!$I$13)</f>
        <v>2420</v>
      </c>
      <c r="J683" s="25">
        <f t="shared" si="523"/>
        <v>7863.2184191855868</v>
      </c>
      <c r="K683" s="25">
        <f t="shared" si="524"/>
        <v>20282.026119384056</v>
      </c>
      <c r="L683" s="25"/>
      <c r="N683" s="25">
        <f>'Combined Retirement'!$C$18/12</f>
        <v>39153.069999999992</v>
      </c>
      <c r="O683" s="25">
        <f t="shared" si="525"/>
        <v>11007.82546143035</v>
      </c>
      <c r="P683" s="25">
        <f t="shared" si="526"/>
        <v>28145.244538569641</v>
      </c>
      <c r="Q683" s="25">
        <f t="array" aca="1" ref="Q683" ca="1">INDEX('Isaac 401k'!L:L,MATCH('Retirement Calculator'!A683,'Isaac 401k'!N:N,0),0)</f>
        <v>-1114849.9388702947</v>
      </c>
      <c r="R683" s="25">
        <f t="array" aca="1" ref="R683" ca="1">INDEX('Lorri 401b'!L:L,MATCH('Retirement Calculator'!A683,'Lorri 401b'!N:N,0),0)</f>
        <v>-2796317.8495060676</v>
      </c>
      <c r="S683" s="25">
        <f t="shared" ca="1" si="527"/>
        <v>-3911167.7883763621</v>
      </c>
    </row>
    <row r="684" spans="1:19" ht="15.75" customHeight="1" x14ac:dyDescent="0.3">
      <c r="A684" s="37">
        <v>71772</v>
      </c>
      <c r="B684" s="409">
        <f t="shared" ref="B684:C684" si="690">($A684-B$9)/365.25</f>
        <v>114.62286105407256</v>
      </c>
      <c r="C684" s="409">
        <f t="shared" si="690"/>
        <v>110.01232032854209</v>
      </c>
      <c r="E684" s="25">
        <f>IF(C684&gt;$B$7,0,'Combined Retirement'!$D$13/12)</f>
        <v>0</v>
      </c>
      <c r="F684" s="25">
        <f>IF(H684=0,'Combined Retirement'!$D$32,0)+'Combined Retirement'!$B$24</f>
        <v>2870.372285649099</v>
      </c>
      <c r="G684" s="25">
        <f>'Combined Retirement'!$C$24</f>
        <v>3525.4531757812501</v>
      </c>
      <c r="H684" s="25">
        <f>IF(B684&lt;62,0,'Combined Retirement'!$I$14)</f>
        <v>2192</v>
      </c>
      <c r="I684" s="25">
        <f>IF(C684&lt;62,0,'Combined Retirement'!$I$13)</f>
        <v>2420</v>
      </c>
      <c r="J684" s="25">
        <f t="shared" si="523"/>
        <v>7863.2184191855868</v>
      </c>
      <c r="K684" s="25">
        <f t="shared" si="524"/>
        <v>20282.026119384056</v>
      </c>
      <c r="L684" s="25"/>
      <c r="N684" s="25">
        <f>'Combined Retirement'!$C$18/12</f>
        <v>39153.069999999992</v>
      </c>
      <c r="O684" s="25">
        <f t="shared" si="525"/>
        <v>11007.82546143035</v>
      </c>
      <c r="P684" s="25">
        <f t="shared" si="526"/>
        <v>28145.244538569641</v>
      </c>
      <c r="Q684" s="25">
        <f t="array" aca="1" ref="Q684" ca="1">INDEX('Isaac 401k'!L:L,MATCH('Retirement Calculator'!A684,'Isaac 401k'!N:N,0),0)</f>
        <v>-1127391.1287781864</v>
      </c>
      <c r="R684" s="25">
        <f t="array" aca="1" ref="R684" ca="1">INDEX('Lorri 401b'!L:L,MATCH('Retirement Calculator'!A684,'Lorri 401b'!N:N,0),0)</f>
        <v>-2828335.7084405576</v>
      </c>
      <c r="S684" s="25">
        <f t="shared" ca="1" si="527"/>
        <v>-3955726.8372187437</v>
      </c>
    </row>
    <row r="685" spans="1:19" ht="15.75" customHeight="1" x14ac:dyDescent="0.3">
      <c r="A685" s="37">
        <v>71803</v>
      </c>
      <c r="B685" s="409">
        <f t="shared" ref="B685:C685" si="691">($A685-B$9)/365.25</f>
        <v>114.70773442847364</v>
      </c>
      <c r="C685" s="409">
        <f t="shared" si="691"/>
        <v>110.09719370294319</v>
      </c>
      <c r="E685" s="25">
        <f>IF(C685&gt;$B$7,0,'Combined Retirement'!$D$13/12)</f>
        <v>0</v>
      </c>
      <c r="F685" s="25">
        <f>IF(H685=0,'Combined Retirement'!$D$32,0)+'Combined Retirement'!$B$24</f>
        <v>2870.372285649099</v>
      </c>
      <c r="G685" s="25">
        <f>'Combined Retirement'!$C$24</f>
        <v>3525.4531757812501</v>
      </c>
      <c r="H685" s="25">
        <f>IF(B685&lt;62,0,'Combined Retirement'!$I$14)</f>
        <v>2192</v>
      </c>
      <c r="I685" s="25">
        <f>IF(C685&lt;62,0,'Combined Retirement'!$I$13)</f>
        <v>2420</v>
      </c>
      <c r="J685" s="25">
        <f t="shared" si="523"/>
        <v>7863.2184191855868</v>
      </c>
      <c r="K685" s="25">
        <f t="shared" si="524"/>
        <v>20282.026119384056</v>
      </c>
      <c r="L685" s="25"/>
      <c r="N685" s="25">
        <f>'Combined Retirement'!$C$18/12</f>
        <v>39153.069999999992</v>
      </c>
      <c r="O685" s="25">
        <f t="shared" si="525"/>
        <v>11007.82546143035</v>
      </c>
      <c r="P685" s="25">
        <f t="shared" si="526"/>
        <v>28145.244538569641</v>
      </c>
      <c r="Q685" s="25">
        <f t="array" aca="1" ref="Q685" ca="1">INDEX('Isaac 401k'!L:L,MATCH('Retirement Calculator'!A685,'Isaac 401k'!N:N,0),0)</f>
        <v>-1139984.5736440278</v>
      </c>
      <c r="R685" s="25">
        <f t="array" aca="1" ref="R685" ca="1">INDEX('Lorri 401b'!L:L,MATCH('Retirement Calculator'!A685,'Lorri 401b'!N:N,0),0)</f>
        <v>-2860486.9751206078</v>
      </c>
      <c r="S685" s="25">
        <f t="shared" ca="1" si="527"/>
        <v>-4000471.5487646358</v>
      </c>
    </row>
    <row r="686" spans="1:19" ht="15.75" customHeight="1" x14ac:dyDescent="0.3">
      <c r="A686" s="37">
        <v>71834</v>
      </c>
      <c r="B686" s="409">
        <f t="shared" ref="B686:C686" si="692">($A686-B$9)/365.25</f>
        <v>114.79260780287474</v>
      </c>
      <c r="C686" s="409">
        <f t="shared" si="692"/>
        <v>110.18206707734429</v>
      </c>
      <c r="E686" s="25">
        <f>IF(C686&gt;$B$7,0,'Combined Retirement'!$D$13/12)</f>
        <v>0</v>
      </c>
      <c r="F686" s="25">
        <f>IF(H686=0,'Combined Retirement'!$D$32,0)+'Combined Retirement'!$B$24</f>
        <v>2870.372285649099</v>
      </c>
      <c r="G686" s="25">
        <f>'Combined Retirement'!$C$24</f>
        <v>3525.4531757812501</v>
      </c>
      <c r="H686" s="25">
        <f>IF(B686&lt;62,0,'Combined Retirement'!$I$14)</f>
        <v>2192</v>
      </c>
      <c r="I686" s="25">
        <f>IF(C686&lt;62,0,'Combined Retirement'!$I$13)</f>
        <v>2420</v>
      </c>
      <c r="J686" s="25">
        <f t="shared" si="523"/>
        <v>7863.2184191855868</v>
      </c>
      <c r="K686" s="25">
        <f t="shared" si="524"/>
        <v>20282.026119384056</v>
      </c>
      <c r="L686" s="25"/>
      <c r="N686" s="25">
        <f>'Combined Retirement'!$C$18/12</f>
        <v>39153.069999999992</v>
      </c>
      <c r="O686" s="25">
        <f t="shared" si="525"/>
        <v>11007.82546143035</v>
      </c>
      <c r="P686" s="25">
        <f t="shared" si="526"/>
        <v>28145.244538569641</v>
      </c>
      <c r="Q686" s="25">
        <f t="array" aca="1" ref="Q686" ca="1">INDEX('Isaac 401k'!L:L,MATCH('Retirement Calculator'!A686,'Isaac 401k'!N:N,0),0)</f>
        <v>-1152630.49119681</v>
      </c>
      <c r="R686" s="25">
        <f t="array" aca="1" ref="R686" ca="1">INDEX('Lorri 401b'!L:L,MATCH('Retirement Calculator'!A686,'Lorri 401b'!N:N,0),0)</f>
        <v>-2892772.2054118249</v>
      </c>
      <c r="S686" s="25">
        <f t="shared" ca="1" si="527"/>
        <v>-4045402.6966086347</v>
      </c>
    </row>
    <row r="687" spans="1:19" ht="15.75" customHeight="1" x14ac:dyDescent="0.3">
      <c r="A687" s="37">
        <v>71864</v>
      </c>
      <c r="B687" s="409">
        <f t="shared" ref="B687:C687" si="693">($A687-B$9)/365.25</f>
        <v>114.87474332648871</v>
      </c>
      <c r="C687" s="409">
        <f t="shared" si="693"/>
        <v>110.26420260095824</v>
      </c>
      <c r="E687" s="25">
        <f>IF(C687&gt;$B$7,0,'Combined Retirement'!$D$13/12)</f>
        <v>0</v>
      </c>
      <c r="F687" s="25">
        <f>IF(H687=0,'Combined Retirement'!$D$32,0)+'Combined Retirement'!$B$24</f>
        <v>2870.372285649099</v>
      </c>
      <c r="G687" s="25">
        <f>'Combined Retirement'!$C$24</f>
        <v>3525.4531757812501</v>
      </c>
      <c r="H687" s="25">
        <f>IF(B687&lt;62,0,'Combined Retirement'!$I$14)</f>
        <v>2192</v>
      </c>
      <c r="I687" s="25">
        <f>IF(C687&lt;62,0,'Combined Retirement'!$I$13)</f>
        <v>2420</v>
      </c>
      <c r="J687" s="25">
        <f t="shared" si="523"/>
        <v>7863.2184191855868</v>
      </c>
      <c r="K687" s="25">
        <f t="shared" si="524"/>
        <v>20282.026119384056</v>
      </c>
      <c r="L687" s="25"/>
      <c r="N687" s="25">
        <f>'Combined Retirement'!$C$18/12</f>
        <v>39153.069999999992</v>
      </c>
      <c r="O687" s="25">
        <f t="shared" si="525"/>
        <v>11007.82546143035</v>
      </c>
      <c r="P687" s="25">
        <f t="shared" si="526"/>
        <v>28145.244538569641</v>
      </c>
      <c r="Q687" s="25">
        <f t="array" aca="1" ref="Q687" ca="1">INDEX('Isaac 401k'!L:L,MATCH('Retirement Calculator'!A687,'Isaac 401k'!N:N,0),0)</f>
        <v>-1165329.1000727289</v>
      </c>
      <c r="R687" s="25">
        <f t="array" aca="1" ref="R687" ca="1">INDEX('Lorri 401b'!L:L,MATCH('Retirement Calculator'!A687,'Lorri 401b'!N:N,0),0)</f>
        <v>-2925191.9574959222</v>
      </c>
      <c r="S687" s="25">
        <f t="shared" ca="1" si="527"/>
        <v>-4090521.0575686512</v>
      </c>
    </row>
    <row r="688" spans="1:19" ht="15.75" customHeight="1" x14ac:dyDescent="0.3">
      <c r="A688" s="37">
        <v>71895</v>
      </c>
      <c r="B688" s="409">
        <f t="shared" ref="B688:C688" si="694">($A688-B$9)/365.25</f>
        <v>114.9596167008898</v>
      </c>
      <c r="C688" s="409">
        <f t="shared" si="694"/>
        <v>110.34907597535934</v>
      </c>
      <c r="E688" s="25">
        <f>IF(C688&gt;$B$7,0,'Combined Retirement'!$D$13/12)</f>
        <v>0</v>
      </c>
      <c r="F688" s="25">
        <f>IF(H688=0,'Combined Retirement'!$D$32,0)+'Combined Retirement'!$B$24</f>
        <v>2870.372285649099</v>
      </c>
      <c r="G688" s="25">
        <f>'Combined Retirement'!$C$24</f>
        <v>3525.4531757812501</v>
      </c>
      <c r="H688" s="25">
        <f>IF(B688&lt;62,0,'Combined Retirement'!$I$14)</f>
        <v>2192</v>
      </c>
      <c r="I688" s="25">
        <f>IF(C688&lt;62,0,'Combined Retirement'!$I$13)</f>
        <v>2420</v>
      </c>
      <c r="J688" s="25">
        <f t="shared" si="523"/>
        <v>7863.2184191855868</v>
      </c>
      <c r="K688" s="25">
        <f t="shared" si="524"/>
        <v>20282.026119384056</v>
      </c>
      <c r="L688" s="25"/>
      <c r="N688" s="25">
        <f>'Combined Retirement'!$C$18/12</f>
        <v>39153.069999999992</v>
      </c>
      <c r="O688" s="25">
        <f t="shared" si="525"/>
        <v>11007.82546143035</v>
      </c>
      <c r="P688" s="25">
        <f t="shared" si="526"/>
        <v>28145.244538569641</v>
      </c>
      <c r="Q688" s="25">
        <f t="array" aca="1" ref="Q688" ca="1">INDEX('Isaac 401k'!L:L,MATCH('Retirement Calculator'!A688,'Isaac 401k'!N:N,0),0)</f>
        <v>-1178080.6198189643</v>
      </c>
      <c r="R688" s="25">
        <f t="array" aca="1" ref="R688" ca="1">INDEX('Lorri 401b'!L:L,MATCH('Retirement Calculator'!A688,'Lorri 401b'!N:N,0),0)</f>
        <v>-2957746.7918803701</v>
      </c>
      <c r="S688" s="25">
        <f t="shared" ca="1" si="527"/>
        <v>-4135827.4116993342</v>
      </c>
    </row>
    <row r="689" spans="1:19" ht="15.75" customHeight="1" x14ac:dyDescent="0.3">
      <c r="A689" s="37">
        <v>71925</v>
      </c>
      <c r="B689" s="409">
        <f t="shared" ref="B689:C689" si="695">($A689-B$9)/365.25</f>
        <v>115.04175222450377</v>
      </c>
      <c r="C689" s="409">
        <f t="shared" si="695"/>
        <v>110.43121149897331</v>
      </c>
      <c r="E689" s="25">
        <f>IF(C689&gt;$B$7,0,'Combined Retirement'!$D$13/12)</f>
        <v>0</v>
      </c>
      <c r="F689" s="25">
        <f>IF(H689=0,'Combined Retirement'!$D$32,0)+'Combined Retirement'!$B$24</f>
        <v>2870.372285649099</v>
      </c>
      <c r="G689" s="25">
        <f>'Combined Retirement'!$C$24</f>
        <v>3525.4531757812501</v>
      </c>
      <c r="H689" s="25">
        <f>IF(B689&lt;62,0,'Combined Retirement'!$I$14)</f>
        <v>2192</v>
      </c>
      <c r="I689" s="25">
        <f>IF(C689&lt;62,0,'Combined Retirement'!$I$13)</f>
        <v>2420</v>
      </c>
      <c r="J689" s="25">
        <f t="shared" si="523"/>
        <v>7863.2184191855868</v>
      </c>
      <c r="K689" s="25">
        <f t="shared" si="524"/>
        <v>20282.026119384056</v>
      </c>
      <c r="L689" s="25"/>
      <c r="N689" s="25">
        <f>'Combined Retirement'!$C$18/12</f>
        <v>39153.069999999992</v>
      </c>
      <c r="O689" s="25">
        <f t="shared" si="525"/>
        <v>11007.82546143035</v>
      </c>
      <c r="P689" s="25">
        <f t="shared" si="526"/>
        <v>28145.244538569641</v>
      </c>
      <c r="Q689" s="25">
        <f t="array" aca="1" ref="Q689" ca="1">INDEX('Isaac 401k'!L:L,MATCH('Retirement Calculator'!A689,'Isaac 401k'!N:N,0),0)</f>
        <v>-1190885.2708974755</v>
      </c>
      <c r="R689" s="25">
        <f t="array" aca="1" ref="R689" ca="1">INDEX('Lorri 401b'!L:L,MATCH('Retirement Calculator'!A689,'Lorri 401b'!N:N,0),0)</f>
        <v>-2990437.2714080866</v>
      </c>
      <c r="S689" s="25">
        <f t="shared" ca="1" si="527"/>
        <v>-4181322.5423055622</v>
      </c>
    </row>
    <row r="690" spans="1:19" ht="15.75" customHeight="1" x14ac:dyDescent="0.3">
      <c r="A690" s="37">
        <v>71956</v>
      </c>
      <c r="B690" s="409">
        <f t="shared" ref="B690:C690" si="696">($A690-B$9)/365.25</f>
        <v>115.12662559890487</v>
      </c>
      <c r="C690" s="409">
        <f t="shared" si="696"/>
        <v>110.5160848733744</v>
      </c>
      <c r="E690" s="25">
        <f>IF(C690&gt;$B$7,0,'Combined Retirement'!$D$13/12)</f>
        <v>0</v>
      </c>
      <c r="F690" s="25">
        <f>IF(H690=0,'Combined Retirement'!$D$32,0)+'Combined Retirement'!$B$24</f>
        <v>2870.372285649099</v>
      </c>
      <c r="G690" s="25">
        <f>'Combined Retirement'!$C$24</f>
        <v>3525.4531757812501</v>
      </c>
      <c r="H690" s="25">
        <f>IF(B690&lt;62,0,'Combined Retirement'!$I$14)</f>
        <v>2192</v>
      </c>
      <c r="I690" s="25">
        <f>IF(C690&lt;62,0,'Combined Retirement'!$I$13)</f>
        <v>2420</v>
      </c>
      <c r="J690" s="25">
        <f t="shared" si="523"/>
        <v>7863.2184191855868</v>
      </c>
      <c r="K690" s="25">
        <f t="shared" si="524"/>
        <v>20282.026119384056</v>
      </c>
      <c r="L690" s="25"/>
      <c r="N690" s="25">
        <f>'Combined Retirement'!$C$18/12</f>
        <v>39153.069999999992</v>
      </c>
      <c r="O690" s="25">
        <f t="shared" si="525"/>
        <v>11007.82546143035</v>
      </c>
      <c r="P690" s="25">
        <f t="shared" si="526"/>
        <v>28145.244538569641</v>
      </c>
      <c r="Q690" s="25">
        <f t="array" aca="1" ref="Q690" ca="1">INDEX('Isaac 401k'!L:L,MATCH('Retirement Calculator'!A690,'Isaac 401k'!N:N,0),0)</f>
        <v>-1203743.2746888138</v>
      </c>
      <c r="R690" s="25">
        <f t="array" aca="1" ref="R690" ca="1">INDEX('Lorri 401b'!L:L,MATCH('Retirement Calculator'!A690,'Lorri 401b'!N:N,0),0)</f>
        <v>-3023263.9612671686</v>
      </c>
      <c r="S690" s="25">
        <f t="shared" ca="1" si="527"/>
        <v>-4227007.2359559825</v>
      </c>
    </row>
    <row r="691" spans="1:19" ht="15.75" customHeight="1" x14ac:dyDescent="0.3">
      <c r="A691" s="37">
        <v>71987</v>
      </c>
      <c r="B691" s="409">
        <f t="shared" ref="B691:C691" si="697">($A691-B$9)/365.25</f>
        <v>115.21149897330595</v>
      </c>
      <c r="C691" s="409">
        <f t="shared" si="697"/>
        <v>110.60095824777549</v>
      </c>
      <c r="E691" s="25">
        <f>IF(C691&gt;$B$7,0,'Combined Retirement'!$D$13/12)</f>
        <v>0</v>
      </c>
      <c r="F691" s="25">
        <f>IF(H691=0,'Combined Retirement'!$D$32,0)+'Combined Retirement'!$B$24</f>
        <v>2870.372285649099</v>
      </c>
      <c r="G691" s="25">
        <f>'Combined Retirement'!$C$24</f>
        <v>3525.4531757812501</v>
      </c>
      <c r="H691" s="25">
        <f>IF(B691&lt;62,0,'Combined Retirement'!$I$14)</f>
        <v>2192</v>
      </c>
      <c r="I691" s="25">
        <f>IF(C691&lt;62,0,'Combined Retirement'!$I$13)</f>
        <v>2420</v>
      </c>
      <c r="J691" s="25">
        <f t="shared" si="523"/>
        <v>7863.2184191855868</v>
      </c>
      <c r="K691" s="25">
        <f t="shared" si="524"/>
        <v>20282.026119384056</v>
      </c>
      <c r="L691" s="25"/>
      <c r="N691" s="25">
        <f>'Combined Retirement'!$C$18/12</f>
        <v>39153.069999999992</v>
      </c>
      <c r="O691" s="25">
        <f t="shared" si="525"/>
        <v>11007.82546143035</v>
      </c>
      <c r="P691" s="25">
        <f t="shared" si="526"/>
        <v>28145.244538569641</v>
      </c>
      <c r="Q691" s="25">
        <f t="array" aca="1" ref="Q691" ca="1">INDEX('Isaac 401k'!L:L,MATCH('Retirement Calculator'!A691,'Isaac 401k'!N:N,0),0)</f>
        <v>-1216654.8534959494</v>
      </c>
      <c r="R691" s="25">
        <f t="array" aca="1" ref="R691" ca="1">INDEX('Lorri 401b'!L:L,MATCH('Retirement Calculator'!A691,'Lorri 401b'!N:N,0),0)</f>
        <v>-3056227.4290006631</v>
      </c>
      <c r="S691" s="25">
        <f t="shared" ca="1" si="527"/>
        <v>-4272882.2824966125</v>
      </c>
    </row>
    <row r="692" spans="1:19" ht="15.75" customHeight="1" x14ac:dyDescent="0.3">
      <c r="A692" s="37">
        <v>72015</v>
      </c>
      <c r="B692" s="409">
        <f t="shared" ref="B692:C692" si="698">($A692-B$9)/365.25</f>
        <v>115.28815879534565</v>
      </c>
      <c r="C692" s="409">
        <f t="shared" si="698"/>
        <v>110.6776180698152</v>
      </c>
      <c r="E692" s="25">
        <f>IF(C692&gt;$B$7,0,'Combined Retirement'!$D$13/12)</f>
        <v>0</v>
      </c>
      <c r="F692" s="25">
        <f>IF(H692=0,'Combined Retirement'!$D$32,0)+'Combined Retirement'!$B$24</f>
        <v>2870.372285649099</v>
      </c>
      <c r="G692" s="25">
        <f>'Combined Retirement'!$C$24</f>
        <v>3525.4531757812501</v>
      </c>
      <c r="H692" s="25">
        <f>IF(B692&lt;62,0,'Combined Retirement'!$I$14)</f>
        <v>2192</v>
      </c>
      <c r="I692" s="25">
        <f>IF(C692&lt;62,0,'Combined Retirement'!$I$13)</f>
        <v>2420</v>
      </c>
      <c r="J692" s="25">
        <f t="shared" si="523"/>
        <v>7863.2184191855868</v>
      </c>
      <c r="K692" s="25">
        <f t="shared" si="524"/>
        <v>20282.026119384056</v>
      </c>
      <c r="L692" s="25"/>
      <c r="N692" s="25">
        <f>'Combined Retirement'!$C$18/12</f>
        <v>39153.069999999992</v>
      </c>
      <c r="O692" s="25">
        <f t="shared" si="525"/>
        <v>11007.82546143035</v>
      </c>
      <c r="P692" s="25">
        <f t="shared" si="526"/>
        <v>28145.244538569641</v>
      </c>
      <c r="Q692" s="25">
        <f t="array" aca="1" ref="Q692" ca="1">INDEX('Isaac 401k'!L:L,MATCH('Retirement Calculator'!A692,'Isaac 401k'!N:N,0),0)</f>
        <v>-1229620.2305481147</v>
      </c>
      <c r="R692" s="25">
        <f t="array" aca="1" ref="R692" ca="1">INDEX('Lorri 401b'!L:L,MATCH('Retirement Calculator'!A692,'Lorri 401b'!N:N,0),0)</f>
        <v>-3089328.2445163806</v>
      </c>
      <c r="S692" s="25">
        <f t="shared" ca="1" si="527"/>
        <v>-4318948.4750644956</v>
      </c>
    </row>
    <row r="693" spans="1:19" ht="15.75" customHeight="1" x14ac:dyDescent="0.3">
      <c r="A693" s="37">
        <v>72046</v>
      </c>
      <c r="B693" s="409">
        <f t="shared" ref="B693:C693" si="699">($A693-B$9)/365.25</f>
        <v>115.37303216974675</v>
      </c>
      <c r="C693" s="409">
        <f t="shared" si="699"/>
        <v>110.76249144421629</v>
      </c>
      <c r="E693" s="25">
        <f>IF(C693&gt;$B$7,0,'Combined Retirement'!$D$13/12)</f>
        <v>0</v>
      </c>
      <c r="F693" s="25">
        <f>IF(H693=0,'Combined Retirement'!$D$32,0)+'Combined Retirement'!$B$24</f>
        <v>2870.372285649099</v>
      </c>
      <c r="G693" s="25">
        <f>'Combined Retirement'!$C$24</f>
        <v>3525.4531757812501</v>
      </c>
      <c r="H693" s="25">
        <f>IF(B693&lt;62,0,'Combined Retirement'!$I$14)</f>
        <v>2192</v>
      </c>
      <c r="I693" s="25">
        <f>IF(C693&lt;62,0,'Combined Retirement'!$I$13)</f>
        <v>2420</v>
      </c>
      <c r="J693" s="25">
        <f t="shared" si="523"/>
        <v>7863.2184191855868</v>
      </c>
      <c r="K693" s="25">
        <f t="shared" si="524"/>
        <v>20282.026119384056</v>
      </c>
      <c r="L693" s="25"/>
      <c r="N693" s="25">
        <f>'Combined Retirement'!$C$18/12</f>
        <v>39153.069999999992</v>
      </c>
      <c r="O693" s="25">
        <f t="shared" si="525"/>
        <v>11007.82546143035</v>
      </c>
      <c r="P693" s="25">
        <f t="shared" si="526"/>
        <v>28145.244538569641</v>
      </c>
      <c r="Q693" s="25">
        <f t="array" aca="1" ref="Q693" ca="1">INDEX('Isaac 401k'!L:L,MATCH('Retirement Calculator'!A693,'Isaac 401k'!N:N,0),0)</f>
        <v>-1242639.6300046642</v>
      </c>
      <c r="R693" s="25">
        <f t="array" aca="1" ref="R693" ca="1">INDEX('Lorri 401b'!L:L,MATCH('Retirement Calculator'!A693,'Lorri 401b'!N:N,0),0)</f>
        <v>-3122566.9800967467</v>
      </c>
      <c r="S693" s="25">
        <f t="shared" ca="1" si="527"/>
        <v>-4365206.6101014111</v>
      </c>
    </row>
    <row r="694" spans="1:19" ht="15.75" customHeight="1" x14ac:dyDescent="0.3">
      <c r="A694" s="37">
        <v>72076</v>
      </c>
      <c r="B694" s="409">
        <f t="shared" ref="B694:C694" si="700">($A694-B$9)/365.25</f>
        <v>115.45516769336071</v>
      </c>
      <c r="C694" s="409">
        <f t="shared" si="700"/>
        <v>110.84462696783025</v>
      </c>
      <c r="E694" s="25">
        <f>IF(C694&gt;$B$7,0,'Combined Retirement'!$D$13/12)</f>
        <v>0</v>
      </c>
      <c r="F694" s="25">
        <f>IF(H694=0,'Combined Retirement'!$D$32,0)+'Combined Retirement'!$B$24</f>
        <v>2870.372285649099</v>
      </c>
      <c r="G694" s="25">
        <f>'Combined Retirement'!$C$24</f>
        <v>3525.4531757812501</v>
      </c>
      <c r="H694" s="25">
        <f>IF(B694&lt;62,0,'Combined Retirement'!$I$14)</f>
        <v>2192</v>
      </c>
      <c r="I694" s="25">
        <f>IF(C694&lt;62,0,'Combined Retirement'!$I$13)</f>
        <v>2420</v>
      </c>
      <c r="J694" s="25">
        <f t="shared" si="523"/>
        <v>7863.2184191855868</v>
      </c>
      <c r="K694" s="25">
        <f t="shared" si="524"/>
        <v>20282.026119384056</v>
      </c>
      <c r="L694" s="25"/>
      <c r="N694" s="25">
        <f>'Combined Retirement'!$C$18/12</f>
        <v>39153.069999999992</v>
      </c>
      <c r="O694" s="25">
        <f t="shared" si="525"/>
        <v>11007.82546143035</v>
      </c>
      <c r="P694" s="25">
        <f t="shared" si="526"/>
        <v>28145.244538569641</v>
      </c>
      <c r="Q694" s="25">
        <f t="array" aca="1" ref="Q694" ca="1">INDEX('Isaac 401k'!L:L,MATCH('Retirement Calculator'!A694,'Isaac 401k'!N:N,0),0)</f>
        <v>-1255713.2769589492</v>
      </c>
      <c r="R694" s="25">
        <f t="array" aca="1" ref="R694" ca="1">INDEX('Lorri 401b'!L:L,MATCH('Retirement Calculator'!A694,'Lorri 401b'!N:N,0),0)</f>
        <v>-3155944.2104086978</v>
      </c>
      <c r="S694" s="25">
        <f t="shared" ca="1" si="527"/>
        <v>-4411657.4873676468</v>
      </c>
    </row>
    <row r="695" spans="1:19" ht="15.75" customHeight="1" x14ac:dyDescent="0.3">
      <c r="A695" s="37">
        <v>72107</v>
      </c>
      <c r="B695" s="409">
        <f t="shared" ref="B695:C695" si="701">($A695-B$9)/365.25</f>
        <v>115.54004106776181</v>
      </c>
      <c r="C695" s="409">
        <f t="shared" si="701"/>
        <v>110.92950034223135</v>
      </c>
      <c r="E695" s="25">
        <f>IF(C695&gt;$B$7,0,'Combined Retirement'!$D$13/12)</f>
        <v>0</v>
      </c>
      <c r="F695" s="25">
        <f>IF(H695=0,'Combined Retirement'!$D$32,0)+'Combined Retirement'!$B$24</f>
        <v>2870.372285649099</v>
      </c>
      <c r="G695" s="25">
        <f>'Combined Retirement'!$C$24</f>
        <v>3525.4531757812501</v>
      </c>
      <c r="H695" s="25">
        <f>IF(B695&lt;62,0,'Combined Retirement'!$I$14)</f>
        <v>2192</v>
      </c>
      <c r="I695" s="25">
        <f>IF(C695&lt;62,0,'Combined Retirement'!$I$13)</f>
        <v>2420</v>
      </c>
      <c r="J695" s="25">
        <f t="shared" si="523"/>
        <v>7863.2184191855868</v>
      </c>
      <c r="K695" s="25">
        <f t="shared" si="524"/>
        <v>20282.026119384056</v>
      </c>
      <c r="L695" s="25"/>
      <c r="N695" s="25">
        <f>'Combined Retirement'!$C$18/12</f>
        <v>39153.069999999992</v>
      </c>
      <c r="O695" s="25">
        <f t="shared" si="525"/>
        <v>11007.82546143035</v>
      </c>
      <c r="P695" s="25">
        <f t="shared" si="526"/>
        <v>28145.244538569641</v>
      </c>
      <c r="Q695" s="25">
        <f t="array" aca="1" ref="Q695" ca="1">INDEX('Isaac 401k'!L:L,MATCH('Retirement Calculator'!A695,'Isaac 401k'!N:N,0),0)</f>
        <v>-1268841.3974422102</v>
      </c>
      <c r="R695" s="25">
        <f t="array" aca="1" ref="R695" ca="1">INDEX('Lorri 401b'!L:L,MATCH('Retirement Calculator'!A695,'Lorri 401b'!N:N,0),0)</f>
        <v>-3189460.5125136157</v>
      </c>
      <c r="S695" s="25">
        <f t="shared" ca="1" si="527"/>
        <v>-4458301.9099558257</v>
      </c>
    </row>
    <row r="696" spans="1:19" ht="15.75" customHeight="1" x14ac:dyDescent="0.3">
      <c r="A696" s="37">
        <v>72137</v>
      </c>
      <c r="B696" s="409">
        <f t="shared" ref="B696:C696" si="702">($A696-B$9)/365.25</f>
        <v>115.62217659137578</v>
      </c>
      <c r="C696" s="409">
        <f t="shared" si="702"/>
        <v>111.01163586584531</v>
      </c>
      <c r="E696" s="25">
        <f>IF(C696&gt;$B$7,0,'Combined Retirement'!$D$13/12)</f>
        <v>0</v>
      </c>
      <c r="F696" s="25">
        <f>IF(H696=0,'Combined Retirement'!$D$32,0)+'Combined Retirement'!$B$24</f>
        <v>2870.372285649099</v>
      </c>
      <c r="G696" s="25">
        <f>'Combined Retirement'!$C$24</f>
        <v>3525.4531757812501</v>
      </c>
      <c r="H696" s="25">
        <f>IF(B696&lt;62,0,'Combined Retirement'!$I$14)</f>
        <v>2192</v>
      </c>
      <c r="I696" s="25">
        <f>IF(C696&lt;62,0,'Combined Retirement'!$I$13)</f>
        <v>2420</v>
      </c>
      <c r="J696" s="25">
        <f t="shared" si="523"/>
        <v>7863.2184191855868</v>
      </c>
      <c r="K696" s="25">
        <f t="shared" si="524"/>
        <v>20282.026119384056</v>
      </c>
      <c r="L696" s="25"/>
      <c r="N696" s="25">
        <f>'Combined Retirement'!$C$18/12</f>
        <v>39153.069999999992</v>
      </c>
      <c r="O696" s="25">
        <f t="shared" si="525"/>
        <v>11007.82546143035</v>
      </c>
      <c r="P696" s="25">
        <f t="shared" si="526"/>
        <v>28145.244538569641</v>
      </c>
      <c r="Q696" s="25">
        <f t="array" aca="1" ref="Q696" ca="1">INDEX('Isaac 401k'!L:L,MATCH('Retirement Calculator'!A696,'Isaac 401k'!N:N,0),0)</f>
        <v>-1282024.2184274851</v>
      </c>
      <c r="R696" s="25">
        <f t="array" aca="1" ref="R696" ca="1">INDEX('Lorri 401b'!L:L,MATCH('Retirement Calculator'!A696,'Lorri 401b'!N:N,0),0)</f>
        <v>-3223116.4658773039</v>
      </c>
      <c r="S696" s="25">
        <f t="shared" ca="1" si="527"/>
        <v>-4505140.6843047887</v>
      </c>
    </row>
    <row r="697" spans="1:19" ht="15.75" customHeight="1" x14ac:dyDescent="0.3">
      <c r="A697" s="37">
        <v>72168</v>
      </c>
      <c r="B697" s="409">
        <f t="shared" ref="B697:C697" si="703">($A697-B$9)/365.25</f>
        <v>115.70704996577686</v>
      </c>
      <c r="C697" s="409">
        <f t="shared" si="703"/>
        <v>111.09650924024641</v>
      </c>
      <c r="E697" s="25">
        <f>IF(C697&gt;$B$7,0,'Combined Retirement'!$D$13/12)</f>
        <v>0</v>
      </c>
      <c r="F697" s="25">
        <f>IF(H697=0,'Combined Retirement'!$D$32,0)+'Combined Retirement'!$B$24</f>
        <v>2870.372285649099</v>
      </c>
      <c r="G697" s="25">
        <f>'Combined Retirement'!$C$24</f>
        <v>3525.4531757812501</v>
      </c>
      <c r="H697" s="25">
        <f>IF(B697&lt;62,0,'Combined Retirement'!$I$14)</f>
        <v>2192</v>
      </c>
      <c r="I697" s="25">
        <f>IF(C697&lt;62,0,'Combined Retirement'!$I$13)</f>
        <v>2420</v>
      </c>
      <c r="J697" s="25">
        <f t="shared" si="523"/>
        <v>7863.2184191855868</v>
      </c>
      <c r="K697" s="25">
        <f t="shared" si="524"/>
        <v>20282.026119384056</v>
      </c>
      <c r="L697" s="25"/>
      <c r="N697" s="25">
        <f>'Combined Retirement'!$C$18/12</f>
        <v>39153.069999999992</v>
      </c>
      <c r="O697" s="25">
        <f t="shared" si="525"/>
        <v>11007.82546143035</v>
      </c>
      <c r="P697" s="25">
        <f t="shared" si="526"/>
        <v>28145.244538569641</v>
      </c>
      <c r="Q697" s="25">
        <f t="array" aca="1" ref="Q697" ca="1">INDEX('Isaac 401k'!L:L,MATCH('Retirement Calculator'!A697,'Isaac 401k'!N:N,0),0)</f>
        <v>-1295261.9678335318</v>
      </c>
      <c r="R697" s="25">
        <f t="array" aca="1" ref="R697" ca="1">INDEX('Lorri 401b'!L:L,MATCH('Retirement Calculator'!A697,'Lorri 401b'!N:N,0),0)</f>
        <v>-3256912.6523800073</v>
      </c>
      <c r="S697" s="25">
        <f t="shared" ca="1" si="527"/>
        <v>-4552174.6202135393</v>
      </c>
    </row>
    <row r="698" spans="1:19" ht="15.75" customHeight="1" x14ac:dyDescent="0.3">
      <c r="A698" s="37">
        <v>72199</v>
      </c>
      <c r="B698" s="409">
        <f t="shared" ref="B698:C698" si="704">($A698-B$9)/365.25</f>
        <v>115.79192334017796</v>
      </c>
      <c r="C698" s="409">
        <f t="shared" si="704"/>
        <v>111.1813826146475</v>
      </c>
      <c r="E698" s="25">
        <f>IF(C698&gt;$B$7,0,'Combined Retirement'!$D$13/12)</f>
        <v>0</v>
      </c>
      <c r="F698" s="25">
        <f>IF(H698=0,'Combined Retirement'!$D$32,0)+'Combined Retirement'!$B$24</f>
        <v>2870.372285649099</v>
      </c>
      <c r="G698" s="25">
        <f>'Combined Retirement'!$C$24</f>
        <v>3525.4531757812501</v>
      </c>
      <c r="H698" s="25">
        <f>IF(B698&lt;62,0,'Combined Retirement'!$I$14)</f>
        <v>2192</v>
      </c>
      <c r="I698" s="25">
        <f>IF(C698&lt;62,0,'Combined Retirement'!$I$13)</f>
        <v>2420</v>
      </c>
      <c r="J698" s="25">
        <f t="shared" si="523"/>
        <v>7863.2184191855868</v>
      </c>
      <c r="K698" s="25">
        <f t="shared" si="524"/>
        <v>20282.026119384056</v>
      </c>
      <c r="L698" s="25"/>
      <c r="N698" s="25">
        <f>'Combined Retirement'!$C$18/12</f>
        <v>39153.069999999992</v>
      </c>
      <c r="O698" s="25">
        <f t="shared" si="525"/>
        <v>11007.82546143035</v>
      </c>
      <c r="P698" s="25">
        <f t="shared" si="526"/>
        <v>28145.244538569641</v>
      </c>
      <c r="Q698" s="25">
        <f t="array" aca="1" ref="Q698" ca="1">INDEX('Isaac 401k'!L:L,MATCH('Retirement Calculator'!A698,'Isaac 401k'!N:N,0),0)</f>
        <v>-1308554.8745287703</v>
      </c>
      <c r="R698" s="25">
        <f t="array" aca="1" ref="R698" ca="1">INDEX('Lorri 401b'!L:L,MATCH('Retirement Calculator'!A698,'Lorri 401b'!N:N,0),0)</f>
        <v>-3290849.6563264723</v>
      </c>
      <c r="S698" s="25">
        <f t="shared" ca="1" si="527"/>
        <v>-4599404.5308552422</v>
      </c>
    </row>
    <row r="699" spans="1:19" ht="15.75" customHeight="1" x14ac:dyDescent="0.3">
      <c r="A699" s="37">
        <v>72229</v>
      </c>
      <c r="B699" s="409">
        <f t="shared" ref="B699:C699" si="705">($A699-B$9)/365.25</f>
        <v>115.87405886379193</v>
      </c>
      <c r="C699" s="409">
        <f t="shared" si="705"/>
        <v>111.26351813826146</v>
      </c>
      <c r="E699" s="25">
        <f>IF(C699&gt;$B$7,0,'Combined Retirement'!$D$13/12)</f>
        <v>0</v>
      </c>
      <c r="F699" s="25">
        <f>IF(H699=0,'Combined Retirement'!$D$32,0)+'Combined Retirement'!$B$24</f>
        <v>2870.372285649099</v>
      </c>
      <c r="G699" s="25">
        <f>'Combined Retirement'!$C$24</f>
        <v>3525.4531757812501</v>
      </c>
      <c r="H699" s="25">
        <f>IF(B699&lt;62,0,'Combined Retirement'!$I$14)</f>
        <v>2192</v>
      </c>
      <c r="I699" s="25">
        <f>IF(C699&lt;62,0,'Combined Retirement'!$I$13)</f>
        <v>2420</v>
      </c>
      <c r="J699" s="25">
        <f t="shared" si="523"/>
        <v>7863.2184191855868</v>
      </c>
      <c r="K699" s="25">
        <f t="shared" si="524"/>
        <v>20282.026119384056</v>
      </c>
      <c r="L699" s="25"/>
      <c r="N699" s="25">
        <f>'Combined Retirement'!$C$18/12</f>
        <v>39153.069999999992</v>
      </c>
      <c r="O699" s="25">
        <f t="shared" si="525"/>
        <v>11007.82546143035</v>
      </c>
      <c r="P699" s="25">
        <f t="shared" si="526"/>
        <v>28145.244538569641</v>
      </c>
      <c r="Q699" s="25">
        <f t="array" aca="1" ref="Q699" ca="1">INDEX('Isaac 401k'!L:L,MATCH('Retirement Calculator'!A699,'Isaac 401k'!N:N,0),0)</f>
        <v>-1321903.1683352392</v>
      </c>
      <c r="R699" s="25">
        <f t="array" aca="1" ref="R699" ca="1">INDEX('Lorri 401b'!L:L,MATCH('Retirement Calculator'!A699,'Lorri 401b'!N:N,0),0)</f>
        <v>-3324928.0644560475</v>
      </c>
      <c r="S699" s="25">
        <f t="shared" ca="1" si="527"/>
        <v>-4646831.2327912869</v>
      </c>
    </row>
    <row r="700" spans="1:19" ht="15.75" customHeight="1" x14ac:dyDescent="0.3">
      <c r="A700" s="37">
        <v>72260</v>
      </c>
      <c r="B700" s="409">
        <f t="shared" ref="B700:C700" si="706">($A700-B$9)/365.25</f>
        <v>115.95893223819301</v>
      </c>
      <c r="C700" s="409">
        <f t="shared" si="706"/>
        <v>111.34839151266256</v>
      </c>
      <c r="E700" s="25">
        <f>IF(C700&gt;$B$7,0,'Combined Retirement'!$D$13/12)</f>
        <v>0</v>
      </c>
      <c r="F700" s="25">
        <f>IF(H700=0,'Combined Retirement'!$D$32,0)+'Combined Retirement'!$B$24</f>
        <v>2870.372285649099</v>
      </c>
      <c r="G700" s="25">
        <f>'Combined Retirement'!$C$24</f>
        <v>3525.4531757812501</v>
      </c>
      <c r="H700" s="25">
        <f>IF(B700&lt;62,0,'Combined Retirement'!$I$14)</f>
        <v>2192</v>
      </c>
      <c r="I700" s="25">
        <f>IF(C700&lt;62,0,'Combined Retirement'!$I$13)</f>
        <v>2420</v>
      </c>
      <c r="J700" s="25">
        <f t="shared" si="523"/>
        <v>7863.2184191855868</v>
      </c>
      <c r="K700" s="25">
        <f t="shared" si="524"/>
        <v>20282.026119384056</v>
      </c>
      <c r="L700" s="25"/>
      <c r="N700" s="25">
        <f>'Combined Retirement'!$C$18/12</f>
        <v>39153.069999999992</v>
      </c>
      <c r="O700" s="25">
        <f t="shared" si="525"/>
        <v>11007.82546143035</v>
      </c>
      <c r="P700" s="25">
        <f t="shared" si="526"/>
        <v>28145.244538569641</v>
      </c>
      <c r="Q700" s="25">
        <f t="array" aca="1" ref="Q700" ca="1">INDEX('Isaac 401k'!L:L,MATCH('Retirement Calculator'!A700,'Isaac 401k'!N:N,0),0)</f>
        <v>-1335307.0800325682</v>
      </c>
      <c r="R700" s="25">
        <f t="array" aca="1" ref="R700" ca="1">INDEX('Lorri 401b'!L:L,MATCH('Retirement Calculator'!A700,'Lorri 401b'!N:N,0),0)</f>
        <v>-3359148.465952829</v>
      </c>
      <c r="S700" s="25">
        <f t="shared" ca="1" si="527"/>
        <v>-4694455.545985397</v>
      </c>
    </row>
    <row r="701" spans="1:19" ht="15.75" customHeight="1" x14ac:dyDescent="0.3">
      <c r="A701" s="37">
        <v>72290</v>
      </c>
      <c r="B701" s="409">
        <f t="shared" ref="B701:C701" si="707">($A701-B$9)/365.25</f>
        <v>116.04106776180699</v>
      </c>
      <c r="C701" s="409">
        <f t="shared" si="707"/>
        <v>111.43052703627653</v>
      </c>
      <c r="E701" s="25">
        <f>IF(C701&gt;$B$7,0,'Combined Retirement'!$D$13/12)</f>
        <v>0</v>
      </c>
      <c r="F701" s="25">
        <f>IF(H701=0,'Combined Retirement'!$D$32,0)+'Combined Retirement'!$B$24</f>
        <v>2870.372285649099</v>
      </c>
      <c r="G701" s="25">
        <f>'Combined Retirement'!$C$24</f>
        <v>3525.4531757812501</v>
      </c>
      <c r="H701" s="25">
        <f>IF(B701&lt;62,0,'Combined Retirement'!$I$14)</f>
        <v>2192</v>
      </c>
      <c r="I701" s="25">
        <f>IF(C701&lt;62,0,'Combined Retirement'!$I$13)</f>
        <v>2420</v>
      </c>
      <c r="J701" s="25">
        <f t="shared" si="523"/>
        <v>7863.2184191855868</v>
      </c>
      <c r="K701" s="25">
        <f t="shared" si="524"/>
        <v>20282.026119384056</v>
      </c>
      <c r="L701" s="25"/>
      <c r="N701" s="25">
        <f>'Combined Retirement'!$C$18/12</f>
        <v>39153.069999999992</v>
      </c>
      <c r="O701" s="25">
        <f t="shared" si="525"/>
        <v>11007.82546143035</v>
      </c>
      <c r="P701" s="25">
        <f t="shared" si="526"/>
        <v>28145.244538569641</v>
      </c>
      <c r="Q701" s="25">
        <f t="array" aca="1" ref="Q701" ca="1">INDEX('Isaac 401k'!L:L,MATCH('Retirement Calculator'!A701,'Isaac 401k'!N:N,0),0)</f>
        <v>-1348766.8413619695</v>
      </c>
      <c r="R701" s="25">
        <f t="array" aca="1" ref="R701" ca="1">INDEX('Lorri 401b'!L:L,MATCH('Retirement Calculator'!A701,'Lorri 401b'!N:N,0),0)</f>
        <v>-3393511.4524558471</v>
      </c>
      <c r="S701" s="25">
        <f t="shared" ca="1" si="527"/>
        <v>-4742278.2938178163</v>
      </c>
    </row>
    <row r="702" spans="1:19" ht="15.75" customHeight="1" x14ac:dyDescent="0.3">
      <c r="A702" s="37">
        <v>72321</v>
      </c>
      <c r="B702" s="409">
        <f t="shared" ref="B702:C702" si="708">($A702-B$9)/365.25</f>
        <v>116.12594113620807</v>
      </c>
      <c r="C702" s="409">
        <f t="shared" si="708"/>
        <v>111.51540041067761</v>
      </c>
      <c r="E702" s="25">
        <f>IF(C702&gt;$B$7,0,'Combined Retirement'!$D$13/12)</f>
        <v>0</v>
      </c>
      <c r="F702" s="25">
        <f>IF(H702=0,'Combined Retirement'!$D$32,0)+'Combined Retirement'!$B$24</f>
        <v>2870.372285649099</v>
      </c>
      <c r="G702" s="25">
        <f>'Combined Retirement'!$C$24</f>
        <v>3525.4531757812501</v>
      </c>
      <c r="H702" s="25">
        <f>IF(B702&lt;62,0,'Combined Retirement'!$I$14)</f>
        <v>2192</v>
      </c>
      <c r="I702" s="25">
        <f>IF(C702&lt;62,0,'Combined Retirement'!$I$13)</f>
        <v>2420</v>
      </c>
      <c r="J702" s="25">
        <f t="shared" si="523"/>
        <v>7863.2184191855868</v>
      </c>
      <c r="K702" s="25">
        <f t="shared" si="524"/>
        <v>20282.026119384056</v>
      </c>
      <c r="L702" s="25"/>
      <c r="N702" s="25">
        <f>'Combined Retirement'!$C$18/12</f>
        <v>39153.069999999992</v>
      </c>
      <c r="O702" s="25">
        <f t="shared" si="525"/>
        <v>11007.82546143035</v>
      </c>
      <c r="P702" s="25">
        <f t="shared" si="526"/>
        <v>28145.244538569641</v>
      </c>
      <c r="Q702" s="25">
        <f t="array" aca="1" ref="Q702" ca="1">INDEX('Isaac 401k'!L:L,MATCH('Retirement Calculator'!A702,'Isaac 401k'!N:N,0),0)</f>
        <v>-1362282.6850302431</v>
      </c>
      <c r="R702" s="25">
        <f t="array" aca="1" ref="R702" ca="1">INDEX('Lorri 401b'!L:L,MATCH('Retirement Calculator'!A702,'Lorri 401b'!N:N,0),0)</f>
        <v>-3428017.6180692944</v>
      </c>
      <c r="S702" s="25">
        <f t="shared" ca="1" si="527"/>
        <v>-4790300.3030995373</v>
      </c>
    </row>
    <row r="703" spans="1:19" ht="15.75" customHeight="1" x14ac:dyDescent="0.3">
      <c r="A703" s="37">
        <v>72352</v>
      </c>
      <c r="B703" s="409">
        <f t="shared" ref="B703:C703" si="709">($A703-B$9)/365.25</f>
        <v>116.21081451060917</v>
      </c>
      <c r="C703" s="409">
        <f t="shared" si="709"/>
        <v>111.60027378507871</v>
      </c>
      <c r="E703" s="25">
        <f>IF(C703&gt;$B$7,0,'Combined Retirement'!$D$13/12)</f>
        <v>0</v>
      </c>
      <c r="F703" s="25">
        <f>IF(H703=0,'Combined Retirement'!$D$32,0)+'Combined Retirement'!$B$24</f>
        <v>2870.372285649099</v>
      </c>
      <c r="G703" s="25">
        <f>'Combined Retirement'!$C$24</f>
        <v>3525.4531757812501</v>
      </c>
      <c r="H703" s="25">
        <f>IF(B703&lt;62,0,'Combined Retirement'!$I$14)</f>
        <v>2192</v>
      </c>
      <c r="I703" s="25">
        <f>IF(C703&lt;62,0,'Combined Retirement'!$I$13)</f>
        <v>2420</v>
      </c>
      <c r="J703" s="25">
        <f t="shared" si="523"/>
        <v>7863.2184191855868</v>
      </c>
      <c r="K703" s="25">
        <f t="shared" si="524"/>
        <v>20282.026119384056</v>
      </c>
      <c r="L703" s="25"/>
      <c r="N703" s="25">
        <f>'Combined Retirement'!$C$18/12</f>
        <v>39153.069999999992</v>
      </c>
      <c r="O703" s="25">
        <f t="shared" si="525"/>
        <v>11007.82546143035</v>
      </c>
      <c r="P703" s="25">
        <f t="shared" si="526"/>
        <v>28145.244538569641</v>
      </c>
      <c r="Q703" s="25">
        <f t="array" aca="1" ref="Q703" ca="1">INDEX('Isaac 401k'!L:L,MATCH('Retirement Calculator'!A703,'Isaac 401k'!N:N,0),0)</f>
        <v>-1375854.8447138013</v>
      </c>
      <c r="R703" s="25">
        <f t="array" aca="1" ref="R703" ca="1">INDEX('Lorri 401b'!L:L,MATCH('Retirement Calculator'!A703,'Lorri 401b'!N:N,0),0)</f>
        <v>-3462667.5593727981</v>
      </c>
      <c r="S703" s="25">
        <f t="shared" ca="1" si="527"/>
        <v>-4838522.4040865991</v>
      </c>
    </row>
    <row r="704" spans="1:19" ht="15.75" customHeight="1" x14ac:dyDescent="0.3">
      <c r="A704" s="37">
        <v>72380</v>
      </c>
      <c r="B704" s="409">
        <f t="shared" ref="B704:C704" si="710">($A704-B$9)/365.25</f>
        <v>116.28747433264887</v>
      </c>
      <c r="C704" s="409">
        <f t="shared" si="710"/>
        <v>111.67693360711841</v>
      </c>
      <c r="E704" s="25">
        <f>IF(C704&gt;$B$7,0,'Combined Retirement'!$D$13/12)</f>
        <v>0</v>
      </c>
      <c r="F704" s="25">
        <f>IF(H704=0,'Combined Retirement'!$D$32,0)+'Combined Retirement'!$B$24</f>
        <v>2870.372285649099</v>
      </c>
      <c r="G704" s="25">
        <f>'Combined Retirement'!$C$24</f>
        <v>3525.4531757812501</v>
      </c>
      <c r="H704" s="25">
        <f>IF(B704&lt;62,0,'Combined Retirement'!$I$14)</f>
        <v>2192</v>
      </c>
      <c r="I704" s="25">
        <f>IF(C704&lt;62,0,'Combined Retirement'!$I$13)</f>
        <v>2420</v>
      </c>
      <c r="J704" s="25">
        <f t="shared" si="523"/>
        <v>7863.2184191855868</v>
      </c>
      <c r="K704" s="25">
        <f t="shared" si="524"/>
        <v>20282.026119384056</v>
      </c>
      <c r="L704" s="25"/>
      <c r="N704" s="25">
        <f>'Combined Retirement'!$C$18/12</f>
        <v>39153.069999999992</v>
      </c>
      <c r="O704" s="25">
        <f t="shared" si="525"/>
        <v>11007.82546143035</v>
      </c>
      <c r="P704" s="25">
        <f t="shared" si="526"/>
        <v>28145.244538569641</v>
      </c>
      <c r="Q704" s="25">
        <f t="array" aca="1" ref="Q704" ca="1">INDEX('Isaac 401k'!L:L,MATCH('Retirement Calculator'!A704,'Isaac 401k'!N:N,0),0)</f>
        <v>-1389483.5550627077</v>
      </c>
      <c r="R704" s="25">
        <f t="array" aca="1" ref="R704" ca="1">INDEX('Lorri 401b'!L:L,MATCH('Retirement Calculator'!A704,'Lorri 401b'!N:N,0),0)</f>
        <v>-3497461.8754317327</v>
      </c>
      <c r="S704" s="25">
        <f t="shared" ca="1" si="527"/>
        <v>-4886945.4304944407</v>
      </c>
    </row>
    <row r="705" spans="1:19" ht="15.75" customHeight="1" x14ac:dyDescent="0.3">
      <c r="A705" s="37">
        <v>72411</v>
      </c>
      <c r="B705" s="409">
        <f t="shared" ref="B705:C705" si="711">($A705-B$9)/365.25</f>
        <v>116.37234770704997</v>
      </c>
      <c r="C705" s="409">
        <f t="shared" si="711"/>
        <v>111.76180698151951</v>
      </c>
      <c r="E705" s="25">
        <f>IF(C705&gt;$B$7,0,'Combined Retirement'!$D$13/12)</f>
        <v>0</v>
      </c>
      <c r="F705" s="25">
        <f>IF(H705=0,'Combined Retirement'!$D$32,0)+'Combined Retirement'!$B$24</f>
        <v>2870.372285649099</v>
      </c>
      <c r="G705" s="25">
        <f>'Combined Retirement'!$C$24</f>
        <v>3525.4531757812501</v>
      </c>
      <c r="H705" s="25">
        <f>IF(B705&lt;62,0,'Combined Retirement'!$I$14)</f>
        <v>2192</v>
      </c>
      <c r="I705" s="25">
        <f>IF(C705&lt;62,0,'Combined Retirement'!$I$13)</f>
        <v>2420</v>
      </c>
      <c r="J705" s="25">
        <f t="shared" si="523"/>
        <v>7863.2184191855868</v>
      </c>
      <c r="K705" s="25">
        <f t="shared" si="524"/>
        <v>20282.026119384056</v>
      </c>
      <c r="L705" s="25"/>
      <c r="N705" s="25">
        <f>'Combined Retirement'!$C$18/12</f>
        <v>39153.069999999992</v>
      </c>
      <c r="O705" s="25">
        <f t="shared" si="525"/>
        <v>11007.82546143035</v>
      </c>
      <c r="P705" s="25">
        <f t="shared" si="526"/>
        <v>28145.244538569641</v>
      </c>
      <c r="Q705" s="25">
        <f t="array" aca="1" ref="Q705" ca="1">INDEX('Isaac 401k'!L:L,MATCH('Retirement Calculator'!A705,'Isaac 401k'!N:N,0),0)</f>
        <v>-1403169.0517047346</v>
      </c>
      <c r="R705" s="25">
        <f t="array" aca="1" ref="R705" ca="1">INDEX('Lorri 401b'!L:L,MATCH('Retirement Calculator'!A705,'Lorri 401b'!N:N,0),0)</f>
        <v>-3532401.1678075795</v>
      </c>
      <c r="S705" s="25">
        <f t="shared" ca="1" si="527"/>
        <v>-4935570.2195123136</v>
      </c>
    </row>
    <row r="706" spans="1:19" ht="15.75" customHeight="1" x14ac:dyDescent="0.3">
      <c r="A706" s="37">
        <v>72441</v>
      </c>
      <c r="B706" s="409">
        <f t="shared" ref="B706:C706" si="712">($A706-B$9)/365.25</f>
        <v>116.45448323066393</v>
      </c>
      <c r="C706" s="409">
        <f t="shared" si="712"/>
        <v>111.84394250513347</v>
      </c>
      <c r="E706" s="25">
        <f>IF(C706&gt;$B$7,0,'Combined Retirement'!$D$13/12)</f>
        <v>0</v>
      </c>
      <c r="F706" s="25">
        <f>IF(H706=0,'Combined Retirement'!$D$32,0)+'Combined Retirement'!$B$24</f>
        <v>2870.372285649099</v>
      </c>
      <c r="G706" s="25">
        <f>'Combined Retirement'!$C$24</f>
        <v>3525.4531757812501</v>
      </c>
      <c r="H706" s="25">
        <f>IF(B706&lt;62,0,'Combined Retirement'!$I$14)</f>
        <v>2192</v>
      </c>
      <c r="I706" s="25">
        <f>IF(C706&lt;62,0,'Combined Retirement'!$I$13)</f>
        <v>2420</v>
      </c>
      <c r="J706" s="25">
        <f t="shared" si="523"/>
        <v>7863.2184191855868</v>
      </c>
      <c r="K706" s="25">
        <f t="shared" si="524"/>
        <v>20282.026119384056</v>
      </c>
      <c r="L706" s="25"/>
      <c r="N706" s="25">
        <f>'Combined Retirement'!$C$18/12</f>
        <v>39153.069999999992</v>
      </c>
      <c r="O706" s="25">
        <f t="shared" si="525"/>
        <v>11007.82546143035</v>
      </c>
      <c r="P706" s="25">
        <f t="shared" si="526"/>
        <v>28145.244538569641</v>
      </c>
      <c r="Q706" s="25">
        <f t="array" aca="1" ref="Q706" ca="1">INDEX('Isaac 401k'!L:L,MATCH('Retirement Calculator'!A706,'Isaac 401k'!N:N,0),0)</f>
        <v>-1416911.5712494366</v>
      </c>
      <c r="R706" s="25">
        <f t="array" aca="1" ref="R706" ca="1">INDEX('Lorri 401b'!L:L,MATCH('Retirement Calculator'!A706,'Lorri 401b'!N:N,0),0)</f>
        <v>-3567486.0405683257</v>
      </c>
      <c r="S706" s="25">
        <f t="shared" ca="1" si="527"/>
        <v>-4984397.6118177623</v>
      </c>
    </row>
    <row r="707" spans="1:19" ht="15.75" customHeight="1" x14ac:dyDescent="0.3">
      <c r="A707" s="37">
        <v>72472</v>
      </c>
      <c r="B707" s="409">
        <f t="shared" ref="B707:C707" si="713">($A707-B$9)/365.25</f>
        <v>116.53935660506502</v>
      </c>
      <c r="C707" s="409">
        <f t="shared" si="713"/>
        <v>111.92881587953457</v>
      </c>
      <c r="E707" s="25">
        <f>IF(C707&gt;$B$7,0,'Combined Retirement'!$D$13/12)</f>
        <v>0</v>
      </c>
      <c r="F707" s="25">
        <f>IF(H707=0,'Combined Retirement'!$D$32,0)+'Combined Retirement'!$B$24</f>
        <v>2870.372285649099</v>
      </c>
      <c r="G707" s="25">
        <f>'Combined Retirement'!$C$24</f>
        <v>3525.4531757812501</v>
      </c>
      <c r="H707" s="25">
        <f>IF(B707&lt;62,0,'Combined Retirement'!$I$14)</f>
        <v>2192</v>
      </c>
      <c r="I707" s="25">
        <f>IF(C707&lt;62,0,'Combined Retirement'!$I$13)</f>
        <v>2420</v>
      </c>
      <c r="J707" s="25">
        <f t="shared" si="523"/>
        <v>7863.2184191855868</v>
      </c>
      <c r="K707" s="25">
        <f t="shared" si="524"/>
        <v>20282.026119384056</v>
      </c>
      <c r="L707" s="25"/>
      <c r="N707" s="25">
        <f>'Combined Retirement'!$C$18/12</f>
        <v>39153.069999999992</v>
      </c>
      <c r="O707" s="25">
        <f t="shared" si="525"/>
        <v>11007.82546143035</v>
      </c>
      <c r="P707" s="25">
        <f t="shared" si="526"/>
        <v>28145.244538569641</v>
      </c>
      <c r="Q707" s="25">
        <f t="array" aca="1" ref="Q707" ca="1">INDEX('Isaac 401k'!L:L,MATCH('Retirement Calculator'!A707,'Isaac 401k'!N:N,0),0)</f>
        <v>-1430711.3512922414</v>
      </c>
      <c r="R707" s="25">
        <f t="array" aca="1" ref="R707" ca="1">INDEX('Lorri 401b'!L:L,MATCH('Retirement Calculator'!A707,'Lorri 401b'!N:N,0),0)</f>
        <v>-3602717.1002989085</v>
      </c>
      <c r="S707" s="25">
        <f t="shared" ca="1" si="527"/>
        <v>-5033428.4515911499</v>
      </c>
    </row>
    <row r="708" spans="1:19" ht="15.75" customHeight="1" x14ac:dyDescent="0.3">
      <c r="A708" s="37">
        <v>72502</v>
      </c>
      <c r="B708" s="409">
        <f t="shared" ref="B708:C708" si="714">($A708-B$9)/365.25</f>
        <v>116.62149212867898</v>
      </c>
      <c r="C708" s="409">
        <f t="shared" si="714"/>
        <v>112.01095140314852</v>
      </c>
      <c r="E708" s="25">
        <f>IF(C708&gt;$B$7,0,'Combined Retirement'!$D$13/12)</f>
        <v>0</v>
      </c>
      <c r="F708" s="25">
        <f>IF(H708=0,'Combined Retirement'!$D$32,0)+'Combined Retirement'!$B$24</f>
        <v>2870.372285649099</v>
      </c>
      <c r="G708" s="25">
        <f>'Combined Retirement'!$C$24</f>
        <v>3525.4531757812501</v>
      </c>
      <c r="H708" s="25">
        <f>IF(B708&lt;62,0,'Combined Retirement'!$I$14)</f>
        <v>2192</v>
      </c>
      <c r="I708" s="25">
        <f>IF(C708&lt;62,0,'Combined Retirement'!$I$13)</f>
        <v>2420</v>
      </c>
      <c r="J708" s="25">
        <f t="shared" si="523"/>
        <v>7863.2184191855868</v>
      </c>
      <c r="K708" s="25">
        <f t="shared" si="524"/>
        <v>20282.026119384056</v>
      </c>
      <c r="L708" s="25"/>
      <c r="N708" s="25">
        <f>'Combined Retirement'!$C$18/12</f>
        <v>39153.069999999992</v>
      </c>
      <c r="O708" s="25">
        <f t="shared" si="525"/>
        <v>11007.82546143035</v>
      </c>
      <c r="P708" s="25">
        <f t="shared" si="526"/>
        <v>28145.244538569641</v>
      </c>
      <c r="Q708" s="25">
        <f t="array" aca="1" ref="Q708" ca="1">INDEX('Isaac 401k'!L:L,MATCH('Retirement Calculator'!A708,'Isaac 401k'!N:N,0),0)</f>
        <v>-1444568.6304185579</v>
      </c>
      <c r="R708" s="25">
        <f t="array" aca="1" ref="R708" ca="1">INDEX('Lorri 401b'!L:L,MATCH('Retirement Calculator'!A708,'Lorri 401b'!N:N,0),0)</f>
        <v>-3638094.9561117021</v>
      </c>
      <c r="S708" s="25">
        <f t="shared" ca="1" si="527"/>
        <v>-5082663.5865302598</v>
      </c>
    </row>
    <row r="709" spans="1:19" ht="15.75" customHeight="1" x14ac:dyDescent="0.3">
      <c r="A709" s="37">
        <v>72533</v>
      </c>
      <c r="B709" s="409">
        <f t="shared" ref="B709:C709" si="715">($A709-B$9)/365.25</f>
        <v>116.70636550308008</v>
      </c>
      <c r="C709" s="409">
        <f t="shared" si="715"/>
        <v>112.09582477754962</v>
      </c>
      <c r="E709" s="25">
        <f>IF(C709&gt;$B$7,0,'Combined Retirement'!$D$13/12)</f>
        <v>0</v>
      </c>
      <c r="F709" s="25">
        <f>IF(H709=0,'Combined Retirement'!$D$32,0)+'Combined Retirement'!$B$24</f>
        <v>2870.372285649099</v>
      </c>
      <c r="G709" s="25">
        <f>'Combined Retirement'!$C$24</f>
        <v>3525.4531757812501</v>
      </c>
      <c r="H709" s="25">
        <f>IF(B709&lt;62,0,'Combined Retirement'!$I$14)</f>
        <v>2192</v>
      </c>
      <c r="I709" s="25">
        <f>IF(C709&lt;62,0,'Combined Retirement'!$I$13)</f>
        <v>2420</v>
      </c>
      <c r="J709" s="25">
        <f t="shared" si="523"/>
        <v>7863.2184191855868</v>
      </c>
      <c r="K709" s="25">
        <f t="shared" si="524"/>
        <v>20282.026119384056</v>
      </c>
      <c r="L709" s="25"/>
      <c r="N709" s="25">
        <f>'Combined Retirement'!$C$18/12</f>
        <v>39153.069999999992</v>
      </c>
      <c r="O709" s="25">
        <f t="shared" si="525"/>
        <v>11007.82546143035</v>
      </c>
      <c r="P709" s="25">
        <f t="shared" si="526"/>
        <v>28145.244538569641</v>
      </c>
      <c r="Q709" s="25">
        <f t="array" aca="1" ref="Q709" ca="1">INDEX('Isaac 401k'!L:L,MATCH('Retirement Calculator'!A709,'Isaac 401k'!N:N,0),0)</f>
        <v>-1458483.6482079008</v>
      </c>
      <c r="R709" s="25">
        <f t="array" aca="1" ref="R709" ca="1">INDEX('Lorri 401b'!L:L,MATCH('Retirement Calculator'!A709,'Lorri 401b'!N:N,0),0)</f>
        <v>-3673620.219657049</v>
      </c>
      <c r="S709" s="25">
        <f t="shared" ca="1" si="527"/>
        <v>-5132103.8678649496</v>
      </c>
    </row>
    <row r="710" spans="1:19" ht="15.75" customHeight="1" x14ac:dyDescent="0.3">
      <c r="A710" s="37">
        <v>72564</v>
      </c>
      <c r="B710" s="409">
        <f t="shared" ref="B710:C710" si="716">($A710-B$9)/365.25</f>
        <v>116.79123887748118</v>
      </c>
      <c r="C710" s="409">
        <f t="shared" si="716"/>
        <v>112.18069815195072</v>
      </c>
      <c r="E710" s="25">
        <f>IF(C710&gt;$B$7,0,'Combined Retirement'!$D$13/12)</f>
        <v>0</v>
      </c>
      <c r="F710" s="25">
        <f>IF(H710=0,'Combined Retirement'!$D$32,0)+'Combined Retirement'!$B$24</f>
        <v>2870.372285649099</v>
      </c>
      <c r="G710" s="25">
        <f>'Combined Retirement'!$C$24</f>
        <v>3525.4531757812501</v>
      </c>
      <c r="H710" s="25">
        <f>IF(B710&lt;62,0,'Combined Retirement'!$I$14)</f>
        <v>2192</v>
      </c>
      <c r="I710" s="25">
        <f>IF(C710&lt;62,0,'Combined Retirement'!$I$13)</f>
        <v>2420</v>
      </c>
      <c r="J710" s="25">
        <f t="shared" si="523"/>
        <v>7863.2184191855868</v>
      </c>
      <c r="K710" s="25">
        <f t="shared" si="524"/>
        <v>20282.026119384056</v>
      </c>
      <c r="L710" s="25"/>
      <c r="N710" s="25">
        <f>'Combined Retirement'!$C$18/12</f>
        <v>39153.069999999992</v>
      </c>
      <c r="O710" s="25">
        <f t="shared" si="525"/>
        <v>11007.82546143035</v>
      </c>
      <c r="P710" s="25">
        <f t="shared" si="526"/>
        <v>28145.244538569641</v>
      </c>
      <c r="Q710" s="25">
        <f t="array" aca="1" ref="Q710" ca="1">INDEX('Isaac 401k'!L:L,MATCH('Retirement Calculator'!A710,'Isaac 401k'!N:N,0),0)</f>
        <v>-1472456.6452380326</v>
      </c>
      <c r="R710" s="25">
        <f t="array" aca="1" ref="R710" ca="1">INDEX('Lorri 401b'!L:L,MATCH('Retirement Calculator'!A710,'Lorri 401b'!N:N,0),0)</f>
        <v>-3709293.5051338347</v>
      </c>
      <c r="S710" s="25">
        <f t="shared" ca="1" si="527"/>
        <v>-5181750.1503718672</v>
      </c>
    </row>
    <row r="711" spans="1:19" ht="15.75" customHeight="1" x14ac:dyDescent="0.3">
      <c r="A711" s="37">
        <v>72594</v>
      </c>
      <c r="B711" s="409">
        <f t="shared" ref="B711:C711" si="717">($A711-B$9)/365.25</f>
        <v>116.87337440109513</v>
      </c>
      <c r="C711" s="409">
        <f t="shared" si="717"/>
        <v>112.26283367556468</v>
      </c>
      <c r="E711" s="25">
        <f>IF(C711&gt;$B$7,0,'Combined Retirement'!$D$13/12)</f>
        <v>0</v>
      </c>
      <c r="F711" s="25">
        <f>IF(H711=0,'Combined Retirement'!$D$32,0)+'Combined Retirement'!$B$24</f>
        <v>2870.372285649099</v>
      </c>
      <c r="G711" s="25">
        <f>'Combined Retirement'!$C$24</f>
        <v>3525.4531757812501</v>
      </c>
      <c r="H711" s="25">
        <f>IF(B711&lt;62,0,'Combined Retirement'!$I$14)</f>
        <v>2192</v>
      </c>
      <c r="I711" s="25">
        <f>IF(C711&lt;62,0,'Combined Retirement'!$I$13)</f>
        <v>2420</v>
      </c>
      <c r="J711" s="25">
        <f t="shared" si="523"/>
        <v>7863.2184191855868</v>
      </c>
      <c r="K711" s="25">
        <f t="shared" si="524"/>
        <v>20282.026119384056</v>
      </c>
      <c r="L711" s="25"/>
      <c r="N711" s="25">
        <f>'Combined Retirement'!$C$18/12</f>
        <v>39153.069999999992</v>
      </c>
      <c r="O711" s="25">
        <f t="shared" si="525"/>
        <v>11007.82546143035</v>
      </c>
      <c r="P711" s="25">
        <f t="shared" si="526"/>
        <v>28145.244538569641</v>
      </c>
      <c r="Q711" s="25">
        <f t="array" aca="1" ref="Q711" ca="1">INDEX('Isaac 401k'!L:L,MATCH('Retirement Calculator'!A711,'Isaac 401k'!N:N,0),0)</f>
        <v>-1486487.8630891233</v>
      </c>
      <c r="R711" s="25">
        <f t="array" aca="1" ref="R711" ca="1">INDEX('Lorri 401b'!L:L,MATCH('Retirement Calculator'!A711,'Lorri 401b'!N:N,0),0)</f>
        <v>-3745115.4293001071</v>
      </c>
      <c r="S711" s="25">
        <f t="shared" ca="1" si="527"/>
        <v>-5231603.2923892308</v>
      </c>
    </row>
    <row r="712" spans="1:19" ht="15.75" customHeight="1" x14ac:dyDescent="0.3">
      <c r="A712" s="37">
        <v>72625</v>
      </c>
      <c r="B712" s="409">
        <f t="shared" ref="B712:C712" si="718">($A712-B$9)/365.25</f>
        <v>116.95824777549623</v>
      </c>
      <c r="C712" s="409">
        <f t="shared" si="718"/>
        <v>112.34770704996578</v>
      </c>
      <c r="E712" s="25">
        <f>IF(C712&gt;$B$7,0,'Combined Retirement'!$D$13/12)</f>
        <v>0</v>
      </c>
      <c r="F712" s="25">
        <f>IF(H712=0,'Combined Retirement'!$D$32,0)+'Combined Retirement'!$B$24</f>
        <v>2870.372285649099</v>
      </c>
      <c r="G712" s="25">
        <f>'Combined Retirement'!$C$24</f>
        <v>3525.4531757812501</v>
      </c>
      <c r="H712" s="25">
        <f>IF(B712&lt;62,0,'Combined Retirement'!$I$14)</f>
        <v>2192</v>
      </c>
      <c r="I712" s="25">
        <f>IF(C712&lt;62,0,'Combined Retirement'!$I$13)</f>
        <v>2420</v>
      </c>
      <c r="J712" s="25">
        <f t="shared" si="523"/>
        <v>7863.2184191855868</v>
      </c>
      <c r="K712" s="25">
        <f t="shared" si="524"/>
        <v>20282.026119384056</v>
      </c>
      <c r="L712" s="25"/>
      <c r="N712" s="25">
        <f>'Combined Retirement'!$C$18/12</f>
        <v>39153.069999999992</v>
      </c>
      <c r="O712" s="25">
        <f t="shared" si="525"/>
        <v>11007.82546143035</v>
      </c>
      <c r="P712" s="25">
        <f t="shared" si="526"/>
        <v>28145.244538569641</v>
      </c>
      <c r="Q712" s="25">
        <f t="array" aca="1" ref="Q712" ca="1">INDEX('Isaac 401k'!L:L,MATCH('Retirement Calculator'!A712,'Isaac 401k'!N:N,0),0)</f>
        <v>-1500577.5443479267</v>
      </c>
      <c r="R712" s="25">
        <f t="array" aca="1" ref="R712" ca="1">INDEX('Lorri 401b'!L:L,MATCH('Retirement Calculator'!A712,'Lorri 401b'!N:N,0),0)</f>
        <v>-3781086.6114837388</v>
      </c>
      <c r="S712" s="25">
        <f t="shared" ca="1" si="527"/>
        <v>-5281664.1558316657</v>
      </c>
    </row>
    <row r="713" spans="1:19" ht="15.75" customHeight="1" x14ac:dyDescent="0.3">
      <c r="A713" s="37">
        <v>72655</v>
      </c>
      <c r="B713" s="409">
        <f t="shared" ref="B713:C713" si="719">($A713-B$9)/365.25</f>
        <v>117.0403832991102</v>
      </c>
      <c r="C713" s="409">
        <f t="shared" si="719"/>
        <v>112.42984257357973</v>
      </c>
      <c r="E713" s="25">
        <f>IF(C713&gt;$B$7,0,'Combined Retirement'!$D$13/12)</f>
        <v>0</v>
      </c>
      <c r="F713" s="25">
        <f>IF(H713=0,'Combined Retirement'!$D$32,0)+'Combined Retirement'!$B$24</f>
        <v>2870.372285649099</v>
      </c>
      <c r="G713" s="25">
        <f>'Combined Retirement'!$C$24</f>
        <v>3525.4531757812501</v>
      </c>
      <c r="H713" s="25">
        <f>IF(B713&lt;62,0,'Combined Retirement'!$I$14)</f>
        <v>2192</v>
      </c>
      <c r="I713" s="25">
        <f>IF(C713&lt;62,0,'Combined Retirement'!$I$13)</f>
        <v>2420</v>
      </c>
      <c r="J713" s="25">
        <f t="shared" si="523"/>
        <v>7863.2184191855868</v>
      </c>
      <c r="K713" s="25">
        <f t="shared" si="524"/>
        <v>20282.026119384056</v>
      </c>
      <c r="L713" s="25"/>
      <c r="N713" s="25">
        <f>'Combined Retirement'!$C$18/12</f>
        <v>39153.069999999992</v>
      </c>
      <c r="O713" s="25">
        <f t="shared" si="525"/>
        <v>11007.82546143035</v>
      </c>
      <c r="P713" s="25">
        <f t="shared" si="526"/>
        <v>28145.244538569641</v>
      </c>
      <c r="Q713" s="25">
        <f t="array" aca="1" ref="Q713" ca="1">INDEX('Isaac 401k'!L:L,MATCH('Retirement Calculator'!A713,'Isaac 401k'!N:N,0),0)</f>
        <v>-1514725.9326119754</v>
      </c>
      <c r="R713" s="25">
        <f t="array" aca="1" ref="R713" ca="1">INDEX('Lorri 401b'!L:L,MATCH('Retirement Calculator'!A713,'Lorri 401b'!N:N,0),0)</f>
        <v>-3817207.6735931356</v>
      </c>
      <c r="S713" s="25">
        <f t="shared" ca="1" si="527"/>
        <v>-5331933.6062051114</v>
      </c>
    </row>
    <row r="714" spans="1:19" ht="15.75" customHeight="1" x14ac:dyDescent="0.3">
      <c r="A714" s="37">
        <v>72686</v>
      </c>
      <c r="B714" s="409">
        <f t="shared" ref="B714:C714" si="720">($A714-B$9)/365.25</f>
        <v>117.12525667351129</v>
      </c>
      <c r="C714" s="409">
        <f t="shared" si="720"/>
        <v>112.51471594798083</v>
      </c>
      <c r="E714" s="25">
        <f>IF(C714&gt;$B$7,0,'Combined Retirement'!$D$13/12)</f>
        <v>0</v>
      </c>
      <c r="F714" s="25">
        <f>IF(H714=0,'Combined Retirement'!$D$32,0)+'Combined Retirement'!$B$24</f>
        <v>2870.372285649099</v>
      </c>
      <c r="G714" s="25">
        <f>'Combined Retirement'!$C$24</f>
        <v>3525.4531757812501</v>
      </c>
      <c r="H714" s="25">
        <f>IF(B714&lt;62,0,'Combined Retirement'!$I$14)</f>
        <v>2192</v>
      </c>
      <c r="I714" s="25">
        <f>IF(C714&lt;62,0,'Combined Retirement'!$I$13)</f>
        <v>2420</v>
      </c>
      <c r="J714" s="25">
        <f t="shared" si="523"/>
        <v>7863.2184191855868</v>
      </c>
      <c r="K714" s="25">
        <f t="shared" si="524"/>
        <v>20282.026119384056</v>
      </c>
      <c r="L714" s="25"/>
      <c r="N714" s="25">
        <f>'Combined Retirement'!$C$18/12</f>
        <v>39153.069999999992</v>
      </c>
      <c r="O714" s="25">
        <f t="shared" si="525"/>
        <v>11007.82546143035</v>
      </c>
      <c r="P714" s="25">
        <f t="shared" si="526"/>
        <v>28145.244538569641</v>
      </c>
      <c r="Q714" s="25">
        <f t="array" aca="1" ref="Q714" ca="1">INDEX('Isaac 401k'!L:L,MATCH('Retirement Calculator'!A714,'Isaac 401k'!N:N,0),0)</f>
        <v>-1528933.2724937908</v>
      </c>
      <c r="R714" s="25">
        <f t="array" aca="1" ref="R714" ca="1">INDEX('Lorri 401b'!L:L,MATCH('Retirement Calculator'!A714,'Lorri 401b'!N:N,0),0)</f>
        <v>-3853479.2401279882</v>
      </c>
      <c r="S714" s="25">
        <f t="shared" ca="1" si="527"/>
        <v>-5382412.512621779</v>
      </c>
    </row>
    <row r="715" spans="1:19" ht="15.75" customHeight="1" x14ac:dyDescent="0.3">
      <c r="A715" s="37">
        <v>72717</v>
      </c>
      <c r="B715" s="409">
        <f t="shared" ref="B715:C715" si="721">($A715-B$9)/365.25</f>
        <v>117.21013004791239</v>
      </c>
      <c r="C715" s="409">
        <f t="shared" si="721"/>
        <v>112.59958932238193</v>
      </c>
      <c r="E715" s="25">
        <f>IF(C715&gt;$B$7,0,'Combined Retirement'!$D$13/12)</f>
        <v>0</v>
      </c>
      <c r="F715" s="25">
        <f>IF(H715=0,'Combined Retirement'!$D$32,0)+'Combined Retirement'!$B$24</f>
        <v>2870.372285649099</v>
      </c>
      <c r="G715" s="25">
        <f>'Combined Retirement'!$C$24</f>
        <v>3525.4531757812501</v>
      </c>
      <c r="H715" s="25">
        <f>IF(B715&lt;62,0,'Combined Retirement'!$I$14)</f>
        <v>2192</v>
      </c>
      <c r="I715" s="25">
        <f>IF(C715&lt;62,0,'Combined Retirement'!$I$13)</f>
        <v>2420</v>
      </c>
      <c r="J715" s="25">
        <f t="shared" si="523"/>
        <v>7863.2184191855868</v>
      </c>
      <c r="K715" s="25">
        <f t="shared" si="524"/>
        <v>20282.026119384056</v>
      </c>
      <c r="L715" s="25"/>
      <c r="N715" s="25">
        <f>'Combined Retirement'!$C$18/12</f>
        <v>39153.069999999992</v>
      </c>
      <c r="O715" s="25">
        <f t="shared" si="525"/>
        <v>11007.82546143035</v>
      </c>
      <c r="P715" s="25">
        <f t="shared" si="526"/>
        <v>28145.244538569641</v>
      </c>
      <c r="Q715" s="25">
        <f t="array" aca="1" ref="Q715" ca="1">INDEX('Isaac 401k'!L:L,MATCH('Retirement Calculator'!A715,'Isaac 401k'!N:N,0),0)</f>
        <v>-1543199.8096251138</v>
      </c>
      <c r="R715" s="25">
        <f t="array" aca="1" ref="R715" ca="1">INDEX('Lorri 401b'!L:L,MATCH('Retirement Calculator'!A715,'Lorri 401b'!N:N,0),0)</f>
        <v>-3889901.9381900695</v>
      </c>
      <c r="S715" s="25">
        <f t="shared" ca="1" si="527"/>
        <v>-5433101.7478151834</v>
      </c>
    </row>
    <row r="716" spans="1:19" ht="15.75" customHeight="1" x14ac:dyDescent="0.3">
      <c r="A716" s="37">
        <v>72745</v>
      </c>
      <c r="B716" s="409">
        <f t="shared" ref="B716:C716" si="722">($A716-B$9)/365.25</f>
        <v>117.28678986995209</v>
      </c>
      <c r="C716" s="409">
        <f t="shared" si="722"/>
        <v>112.67624914442163</v>
      </c>
      <c r="E716" s="25">
        <f>IF(C716&gt;$B$7,0,'Combined Retirement'!$D$13/12)</f>
        <v>0</v>
      </c>
      <c r="F716" s="25">
        <f>IF(H716=0,'Combined Retirement'!$D$32,0)+'Combined Retirement'!$B$24</f>
        <v>2870.372285649099</v>
      </c>
      <c r="G716" s="25">
        <f>'Combined Retirement'!$C$24</f>
        <v>3525.4531757812501</v>
      </c>
      <c r="H716" s="25">
        <f>IF(B716&lt;62,0,'Combined Retirement'!$I$14)</f>
        <v>2192</v>
      </c>
      <c r="I716" s="25">
        <f>IF(C716&lt;62,0,'Combined Retirement'!$I$13)</f>
        <v>2420</v>
      </c>
      <c r="J716" s="25">
        <f t="shared" si="523"/>
        <v>7863.2184191855868</v>
      </c>
      <c r="K716" s="25">
        <f t="shared" si="524"/>
        <v>20282.026119384056</v>
      </c>
      <c r="L716" s="25"/>
      <c r="N716" s="25">
        <f>'Combined Retirement'!$C$18/12</f>
        <v>39153.069999999992</v>
      </c>
      <c r="O716" s="25">
        <f t="shared" si="525"/>
        <v>11007.82546143035</v>
      </c>
      <c r="P716" s="25">
        <f t="shared" si="526"/>
        <v>28145.244538569641</v>
      </c>
      <c r="Q716" s="25">
        <f t="array" aca="1" ref="Q716" ca="1">INDEX('Isaac 401k'!L:L,MATCH('Retirement Calculator'!A716,'Isaac 401k'!N:N,0),0)</f>
        <v>-1557525.7906611506</v>
      </c>
      <c r="R716" s="25">
        <f t="array" aca="1" ref="R716" ca="1">INDEX('Lorri 401b'!L:L,MATCH('Retirement Calculator'!A716,'Lorri 401b'!N:N,0),0)</f>
        <v>-3926476.3974940763</v>
      </c>
      <c r="S716" s="25">
        <f t="shared" ca="1" si="527"/>
        <v>-5484002.1881552264</v>
      </c>
    </row>
    <row r="717" spans="1:19" ht="15.75" customHeight="1" x14ac:dyDescent="0.3">
      <c r="A717" s="37">
        <v>72776</v>
      </c>
      <c r="B717" s="409">
        <f t="shared" ref="B717:C717" si="723">($A717-B$9)/365.25</f>
        <v>117.37166324435319</v>
      </c>
      <c r="C717" s="409">
        <f t="shared" si="723"/>
        <v>112.76112251882273</v>
      </c>
      <c r="E717" s="25">
        <f>IF(C717&gt;$B$7,0,'Combined Retirement'!$D$13/12)</f>
        <v>0</v>
      </c>
      <c r="F717" s="25">
        <f>IF(H717=0,'Combined Retirement'!$D$32,0)+'Combined Retirement'!$B$24</f>
        <v>2870.372285649099</v>
      </c>
      <c r="G717" s="25">
        <f>'Combined Retirement'!$C$24</f>
        <v>3525.4531757812501</v>
      </c>
      <c r="H717" s="25">
        <f>IF(B717&lt;62,0,'Combined Retirement'!$I$14)</f>
        <v>2192</v>
      </c>
      <c r="I717" s="25">
        <f>IF(C717&lt;62,0,'Combined Retirement'!$I$13)</f>
        <v>2420</v>
      </c>
      <c r="J717" s="25">
        <f t="shared" si="523"/>
        <v>7863.2184191855868</v>
      </c>
      <c r="K717" s="25">
        <f t="shared" si="524"/>
        <v>20282.026119384056</v>
      </c>
      <c r="L717" s="25"/>
      <c r="N717" s="25">
        <f>'Combined Retirement'!$C$18/12</f>
        <v>39153.069999999992</v>
      </c>
      <c r="O717" s="25">
        <f t="shared" si="525"/>
        <v>11007.82546143035</v>
      </c>
      <c r="P717" s="25">
        <f t="shared" si="526"/>
        <v>28145.244538569641</v>
      </c>
      <c r="Q717" s="25">
        <f t="array" aca="1" ref="Q717" ca="1">INDEX('Isaac 401k'!L:L,MATCH('Retirement Calculator'!A717,'Isaac 401k'!N:N,0),0)</f>
        <v>-1571911.4632848375</v>
      </c>
      <c r="R717" s="25">
        <f t="array" aca="1" ref="R717" ca="1">INDEX('Lorri 401b'!L:L,MATCH('Retirement Calculator'!A717,'Lorri 401b'!N:N,0),0)</f>
        <v>-3963203.2503785165</v>
      </c>
      <c r="S717" s="25">
        <f t="shared" ca="1" si="527"/>
        <v>-5535114.7136633545</v>
      </c>
    </row>
    <row r="718" spans="1:19" ht="15.75" customHeight="1" x14ac:dyDescent="0.3">
      <c r="A718" s="37">
        <v>72806</v>
      </c>
      <c r="B718" s="409">
        <f t="shared" ref="B718:C718" si="724">($A718-B$9)/365.25</f>
        <v>117.45379876796714</v>
      </c>
      <c r="C718" s="409">
        <f t="shared" si="724"/>
        <v>112.84325804243669</v>
      </c>
      <c r="E718" s="25">
        <f>IF(C718&gt;$B$7,0,'Combined Retirement'!$D$13/12)</f>
        <v>0</v>
      </c>
      <c r="F718" s="25">
        <f>IF(H718=0,'Combined Retirement'!$D$32,0)+'Combined Retirement'!$B$24</f>
        <v>2870.372285649099</v>
      </c>
      <c r="G718" s="25">
        <f>'Combined Retirement'!$C$24</f>
        <v>3525.4531757812501</v>
      </c>
      <c r="H718" s="25">
        <f>IF(B718&lt;62,0,'Combined Retirement'!$I$14)</f>
        <v>2192</v>
      </c>
      <c r="I718" s="25">
        <f>IF(C718&lt;62,0,'Combined Retirement'!$I$13)</f>
        <v>2420</v>
      </c>
      <c r="J718" s="25">
        <f t="shared" si="523"/>
        <v>7863.2184191855868</v>
      </c>
      <c r="K718" s="25">
        <f t="shared" si="524"/>
        <v>20282.026119384056</v>
      </c>
      <c r="L718" s="25"/>
      <c r="N718" s="25">
        <f>'Combined Retirement'!$C$18/12</f>
        <v>39153.069999999992</v>
      </c>
      <c r="O718" s="25">
        <f t="shared" si="525"/>
        <v>11007.82546143035</v>
      </c>
      <c r="P718" s="25">
        <f t="shared" si="526"/>
        <v>28145.244538569641</v>
      </c>
      <c r="Q718" s="25">
        <f t="array" aca="1" ref="Q718" ca="1">INDEX('Isaac 401k'!L:L,MATCH('Retirement Calculator'!A718,'Isaac 401k'!N:N,0),0)</f>
        <v>-1586357.0762111233</v>
      </c>
      <c r="R718" s="25">
        <f t="array" aca="1" ref="R718" ca="1">INDEX('Lorri 401b'!L:L,MATCH('Retirement Calculator'!A718,'Lorri 401b'!N:N,0),0)</f>
        <v>-4000083.1318166419</v>
      </c>
      <c r="S718" s="25">
        <f t="shared" ca="1" si="527"/>
        <v>-5586440.2080277652</v>
      </c>
    </row>
    <row r="719" spans="1:19" ht="15.75" customHeight="1" x14ac:dyDescent="0.3">
      <c r="A719" s="37">
        <v>72837</v>
      </c>
      <c r="B719" s="409">
        <f t="shared" ref="B719:C719" si="725">($A719-B$9)/365.25</f>
        <v>117.53867214236824</v>
      </c>
      <c r="C719" s="409">
        <f t="shared" si="725"/>
        <v>112.92813141683779</v>
      </c>
      <c r="E719" s="25">
        <f>IF(C719&gt;$B$7,0,'Combined Retirement'!$D$13/12)</f>
        <v>0</v>
      </c>
      <c r="F719" s="25">
        <f>IF(H719=0,'Combined Retirement'!$D$32,0)+'Combined Retirement'!$B$24</f>
        <v>2870.372285649099</v>
      </c>
      <c r="G719" s="25">
        <f>'Combined Retirement'!$C$24</f>
        <v>3525.4531757812501</v>
      </c>
      <c r="H719" s="25">
        <f>IF(B719&lt;62,0,'Combined Retirement'!$I$14)</f>
        <v>2192</v>
      </c>
      <c r="I719" s="25">
        <f>IF(C719&lt;62,0,'Combined Retirement'!$I$13)</f>
        <v>2420</v>
      </c>
      <c r="J719" s="25">
        <f t="shared" si="523"/>
        <v>7863.2184191855868</v>
      </c>
      <c r="K719" s="25">
        <f t="shared" si="524"/>
        <v>20282.026119384056</v>
      </c>
      <c r="L719" s="25"/>
      <c r="N719" s="25">
        <f>'Combined Retirement'!$C$18/12</f>
        <v>39153.069999999992</v>
      </c>
      <c r="O719" s="25">
        <f t="shared" si="525"/>
        <v>11007.82546143035</v>
      </c>
      <c r="P719" s="25">
        <f t="shared" si="526"/>
        <v>28145.244538569641</v>
      </c>
      <c r="Q719" s="25">
        <f t="array" aca="1" ref="Q719" ca="1">INDEX('Isaac 401k'!L:L,MATCH('Retirement Calculator'!A719,'Isaac 401k'!N:N,0),0)</f>
        <v>-1600862.8791912685</v>
      </c>
      <c r="R719" s="25">
        <f t="array" aca="1" ref="R719" ca="1">INDEX('Lorri 401b'!L:L,MATCH('Retirement Calculator'!A719,'Lorri 401b'!N:N,0),0)</f>
        <v>-4037116.6794274258</v>
      </c>
      <c r="S719" s="25">
        <f t="shared" ca="1" si="527"/>
        <v>-5637979.5586186945</v>
      </c>
    </row>
    <row r="720" spans="1:19" ht="15.75" customHeight="1" x14ac:dyDescent="0.3">
      <c r="A720" s="37">
        <v>72867</v>
      </c>
      <c r="B720" s="409">
        <f t="shared" ref="B720:C720" si="726">($A720-B$9)/365.25</f>
        <v>117.6208076659822</v>
      </c>
      <c r="C720" s="409">
        <f t="shared" si="726"/>
        <v>113.01026694045174</v>
      </c>
      <c r="E720" s="25">
        <f>IF(C720&gt;$B$7,0,'Combined Retirement'!$D$13/12)</f>
        <v>0</v>
      </c>
      <c r="F720" s="25">
        <f>IF(H720=0,'Combined Retirement'!$D$32,0)+'Combined Retirement'!$B$24</f>
        <v>2870.372285649099</v>
      </c>
      <c r="G720" s="25">
        <f>'Combined Retirement'!$C$24</f>
        <v>3525.4531757812501</v>
      </c>
      <c r="H720" s="25">
        <f>IF(B720&lt;62,0,'Combined Retirement'!$I$14)</f>
        <v>2192</v>
      </c>
      <c r="I720" s="25">
        <f>IF(C720&lt;62,0,'Combined Retirement'!$I$13)</f>
        <v>2420</v>
      </c>
      <c r="J720" s="25">
        <f t="shared" si="523"/>
        <v>7863.2184191855868</v>
      </c>
      <c r="K720" s="25">
        <f t="shared" si="524"/>
        <v>20282.026119384056</v>
      </c>
      <c r="L720" s="25"/>
      <c r="N720" s="25">
        <f>'Combined Retirement'!$C$18/12</f>
        <v>39153.069999999992</v>
      </c>
      <c r="O720" s="25">
        <f t="shared" si="525"/>
        <v>11007.82546143035</v>
      </c>
      <c r="P720" s="25">
        <f t="shared" si="526"/>
        <v>28145.244538569641</v>
      </c>
      <c r="Q720" s="25">
        <f t="array" aca="1" ref="Q720" ca="1">INDEX('Isaac 401k'!L:L,MATCH('Retirement Calculator'!A720,'Isaac 401k'!N:N,0),0)</f>
        <v>-1615429.1230171644</v>
      </c>
      <c r="R720" s="25">
        <f t="array" aca="1" ref="R720" ca="1">INDEX('Lorri 401b'!L:L,MATCH('Retirement Calculator'!A720,'Lorri 401b'!N:N,0),0)</f>
        <v>-4074304.5334865884</v>
      </c>
      <c r="S720" s="25">
        <f t="shared" ca="1" si="527"/>
        <v>-5689733.6565037528</v>
      </c>
    </row>
    <row r="721" spans="1:19" ht="15.75" customHeight="1" x14ac:dyDescent="0.3">
      <c r="A721" s="37">
        <v>72898</v>
      </c>
      <c r="B721" s="409">
        <f t="shared" ref="B721:C721" si="727">($A721-B$9)/365.25</f>
        <v>117.7056810403833</v>
      </c>
      <c r="C721" s="409">
        <f t="shared" si="727"/>
        <v>113.09514031485284</v>
      </c>
      <c r="E721" s="25">
        <f>IF(C721&gt;$B$7,0,'Combined Retirement'!$D$13/12)</f>
        <v>0</v>
      </c>
      <c r="F721" s="25">
        <f>IF(H721=0,'Combined Retirement'!$D$32,0)+'Combined Retirement'!$B$24</f>
        <v>2870.372285649099</v>
      </c>
      <c r="G721" s="25">
        <f>'Combined Retirement'!$C$24</f>
        <v>3525.4531757812501</v>
      </c>
      <c r="H721" s="25">
        <f>IF(B721&lt;62,0,'Combined Retirement'!$I$14)</f>
        <v>2192</v>
      </c>
      <c r="I721" s="25">
        <f>IF(C721&lt;62,0,'Combined Retirement'!$I$13)</f>
        <v>2420</v>
      </c>
      <c r="J721" s="25">
        <f t="shared" si="523"/>
        <v>7863.2184191855868</v>
      </c>
      <c r="K721" s="25">
        <f t="shared" si="524"/>
        <v>20282.026119384056</v>
      </c>
      <c r="L721" s="25"/>
      <c r="N721" s="25">
        <f>'Combined Retirement'!$C$18/12</f>
        <v>39153.069999999992</v>
      </c>
      <c r="O721" s="25">
        <f t="shared" si="525"/>
        <v>11007.82546143035</v>
      </c>
      <c r="P721" s="25">
        <f t="shared" si="526"/>
        <v>28145.244538569641</v>
      </c>
      <c r="Q721" s="25">
        <f t="array" aca="1" ref="Q721" ca="1">INDEX('Isaac 401k'!L:L,MATCH('Retirement Calculator'!A721,'Isaac 401k'!N:N,0),0)</f>
        <v>-1630056.0595256682</v>
      </c>
      <c r="R721" s="25">
        <f t="array" aca="1" ref="R721" ca="1">INDEX('Lorri 401b'!L:L,MATCH('Retirement Calculator'!A721,'Lorri 401b'!N:N,0),0)</f>
        <v>-4111647.3369376641</v>
      </c>
      <c r="S721" s="25">
        <f t="shared" ca="1" si="527"/>
        <v>-5741703.3964633327</v>
      </c>
    </row>
    <row r="722" spans="1:19" ht="15.75" customHeight="1" x14ac:dyDescent="0.3">
      <c r="A722" s="37">
        <v>72929</v>
      </c>
      <c r="B722" s="409">
        <f t="shared" ref="B722:C722" si="728">($A722-B$9)/365.25</f>
        <v>117.7905544147844</v>
      </c>
      <c r="C722" s="409">
        <f t="shared" si="728"/>
        <v>113.18001368925394</v>
      </c>
      <c r="E722" s="25">
        <f>IF(C722&gt;$B$7,0,'Combined Retirement'!$D$13/12)</f>
        <v>0</v>
      </c>
      <c r="F722" s="25">
        <f>IF(H722=0,'Combined Retirement'!$D$32,0)+'Combined Retirement'!$B$24</f>
        <v>2870.372285649099</v>
      </c>
      <c r="G722" s="25">
        <f>'Combined Retirement'!$C$24</f>
        <v>3525.4531757812501</v>
      </c>
      <c r="H722" s="25">
        <f>IF(B722&lt;62,0,'Combined Retirement'!$I$14)</f>
        <v>2192</v>
      </c>
      <c r="I722" s="25">
        <f>IF(C722&lt;62,0,'Combined Retirement'!$I$13)</f>
        <v>2420</v>
      </c>
      <c r="J722" s="25">
        <f t="shared" si="523"/>
        <v>7863.2184191855868</v>
      </c>
      <c r="K722" s="25">
        <f t="shared" si="524"/>
        <v>20282.026119384056</v>
      </c>
      <c r="L722" s="25"/>
      <c r="N722" s="25">
        <f>'Combined Retirement'!$C$18/12</f>
        <v>39153.069999999992</v>
      </c>
      <c r="O722" s="25">
        <f t="shared" si="525"/>
        <v>11007.82546143035</v>
      </c>
      <c r="P722" s="25">
        <f t="shared" si="526"/>
        <v>28145.244538569641</v>
      </c>
      <c r="Q722" s="25">
        <f t="array" aca="1" ref="Q722" ca="1">INDEX('Isaac 401k'!L:L,MATCH('Retirement Calculator'!A722,'Isaac 401k'!N:N,0),0)</f>
        <v>-1644743.9416029574</v>
      </c>
      <c r="R722" s="25">
        <f t="array" aca="1" ref="R722" ca="1">INDEX('Lorri 401b'!L:L,MATCH('Retirement Calculator'!A722,'Lorri 401b'!N:N,0),0)</f>
        <v>-4149145.7354031191</v>
      </c>
      <c r="S722" s="25">
        <f t="shared" ca="1" si="527"/>
        <v>-5793889.677006077</v>
      </c>
    </row>
    <row r="723" spans="1:19" ht="15.75" customHeight="1" x14ac:dyDescent="0.3">
      <c r="A723" s="37">
        <v>72959</v>
      </c>
      <c r="B723" s="409">
        <f t="shared" ref="B723:C723" si="729">($A723-B$9)/365.25</f>
        <v>117.87268993839835</v>
      </c>
      <c r="C723" s="409">
        <f t="shared" si="729"/>
        <v>113.2621492128679</v>
      </c>
      <c r="E723" s="25">
        <f>IF(C723&gt;$B$7,0,'Combined Retirement'!$D$13/12)</f>
        <v>0</v>
      </c>
      <c r="F723" s="25">
        <f>IF(H723=0,'Combined Retirement'!$D$32,0)+'Combined Retirement'!$B$24</f>
        <v>2870.372285649099</v>
      </c>
      <c r="G723" s="25">
        <f>'Combined Retirement'!$C$24</f>
        <v>3525.4531757812501</v>
      </c>
      <c r="H723" s="25">
        <f>IF(B723&lt;62,0,'Combined Retirement'!$I$14)</f>
        <v>2192</v>
      </c>
      <c r="I723" s="25">
        <f>IF(C723&lt;62,0,'Combined Retirement'!$I$13)</f>
        <v>2420</v>
      </c>
      <c r="J723" s="25">
        <f t="shared" si="523"/>
        <v>7863.2184191855868</v>
      </c>
      <c r="K723" s="25">
        <f t="shared" si="524"/>
        <v>20282.026119384056</v>
      </c>
      <c r="L723" s="25"/>
      <c r="N723" s="25">
        <f>'Combined Retirement'!$C$18/12</f>
        <v>39153.069999999992</v>
      </c>
      <c r="O723" s="25">
        <f t="shared" si="525"/>
        <v>11007.82546143035</v>
      </c>
      <c r="P723" s="25">
        <f t="shared" si="526"/>
        <v>28145.244538569641</v>
      </c>
      <c r="Q723" s="25">
        <f t="array" aca="1" ref="Q723" ca="1">INDEX('Isaac 401k'!L:L,MATCH('Retirement Calculator'!A723,'Isaac 401k'!N:N,0),0)</f>
        <v>-1659493.0231889021</v>
      </c>
      <c r="R723" s="25">
        <f t="array" aca="1" ref="R723" ca="1">INDEX('Lorri 401b'!L:L,MATCH('Retirement Calculator'!A723,'Lorri 401b'!N:N,0),0)</f>
        <v>-4186800.3771955133</v>
      </c>
      <c r="S723" s="25">
        <f t="shared" ca="1" si="527"/>
        <v>-5846293.4003844149</v>
      </c>
    </row>
    <row r="724" spans="1:19" ht="15.75" customHeight="1" x14ac:dyDescent="0.3">
      <c r="A724" s="37">
        <v>72990</v>
      </c>
      <c r="B724" s="409">
        <f t="shared" ref="B724:C724" si="730">($A724-B$9)/365.25</f>
        <v>117.95756331279945</v>
      </c>
      <c r="C724" s="409">
        <f t="shared" si="730"/>
        <v>113.347022587269</v>
      </c>
      <c r="E724" s="25">
        <f>IF(C724&gt;$B$7,0,'Combined Retirement'!$D$13/12)</f>
        <v>0</v>
      </c>
      <c r="F724" s="25">
        <f>IF(H724=0,'Combined Retirement'!$D$32,0)+'Combined Retirement'!$B$24</f>
        <v>2870.372285649099</v>
      </c>
      <c r="G724" s="25">
        <f>'Combined Retirement'!$C$24</f>
        <v>3525.4531757812501</v>
      </c>
      <c r="H724" s="25">
        <f>IF(B724&lt;62,0,'Combined Retirement'!$I$14)</f>
        <v>2192</v>
      </c>
      <c r="I724" s="25">
        <f>IF(C724&lt;62,0,'Combined Retirement'!$I$13)</f>
        <v>2420</v>
      </c>
      <c r="J724" s="25">
        <f t="shared" si="523"/>
        <v>7863.2184191855868</v>
      </c>
      <c r="K724" s="25">
        <f t="shared" si="524"/>
        <v>20282.026119384056</v>
      </c>
      <c r="L724" s="25"/>
      <c r="N724" s="25">
        <f>'Combined Retirement'!$C$18/12</f>
        <v>39153.069999999992</v>
      </c>
      <c r="O724" s="25">
        <f t="shared" si="525"/>
        <v>11007.82546143035</v>
      </c>
      <c r="P724" s="25">
        <f t="shared" si="526"/>
        <v>28145.244538569641</v>
      </c>
      <c r="Q724" s="25">
        <f t="array" aca="1" ref="Q724" ca="1">INDEX('Isaac 401k'!L:L,MATCH('Retirement Calculator'!A724,'Isaac 401k'!N:N,0),0)</f>
        <v>-1674303.5592814547</v>
      </c>
      <c r="R724" s="25">
        <f t="array" aca="1" ref="R724" ca="1">INDEX('Lorri 401b'!L:L,MATCH('Retirement Calculator'!A724,'Lorri 401b'!N:N,0),0)</f>
        <v>-4224611.91332871</v>
      </c>
      <c r="S724" s="25">
        <f t="shared" ca="1" si="527"/>
        <v>-5898915.4726101644</v>
      </c>
    </row>
    <row r="725" spans="1:19" ht="15.75" customHeight="1" x14ac:dyDescent="0.3">
      <c r="A725" s="37">
        <v>73020</v>
      </c>
      <c r="B725" s="409">
        <f t="shared" ref="B725:C725" si="731">($A725-B$9)/365.25</f>
        <v>118.03969883641342</v>
      </c>
      <c r="C725" s="409">
        <f t="shared" si="731"/>
        <v>113.42915811088295</v>
      </c>
      <c r="E725" s="25">
        <f>IF(C725&gt;$B$7,0,'Combined Retirement'!$D$13/12)</f>
        <v>0</v>
      </c>
      <c r="F725" s="25">
        <f>IF(H725=0,'Combined Retirement'!$D$32,0)+'Combined Retirement'!$B$24</f>
        <v>2870.372285649099</v>
      </c>
      <c r="G725" s="25">
        <f>'Combined Retirement'!$C$24</f>
        <v>3525.4531757812501</v>
      </c>
      <c r="H725" s="25">
        <f>IF(B725&lt;62,0,'Combined Retirement'!$I$14)</f>
        <v>2192</v>
      </c>
      <c r="I725" s="25">
        <f>IF(C725&lt;62,0,'Combined Retirement'!$I$13)</f>
        <v>2420</v>
      </c>
      <c r="J725" s="25">
        <f t="shared" si="523"/>
        <v>7863.2184191855868</v>
      </c>
      <c r="K725" s="25">
        <f t="shared" si="524"/>
        <v>20282.026119384056</v>
      </c>
      <c r="L725" s="25"/>
      <c r="N725" s="25">
        <f>'Combined Retirement'!$C$18/12</f>
        <v>39153.069999999992</v>
      </c>
      <c r="O725" s="25">
        <f t="shared" si="525"/>
        <v>11007.82546143035</v>
      </c>
      <c r="P725" s="25">
        <f t="shared" si="526"/>
        <v>28145.244538569641</v>
      </c>
      <c r="Q725" s="25">
        <f t="array" aca="1" ref="Q725" ca="1">INDEX('Isaac 401k'!L:L,MATCH('Retirement Calculator'!A725,'Isaac 401k'!N:N,0),0)</f>
        <v>-1689175.8059410595</v>
      </c>
      <c r="R725" s="25">
        <f t="array" aca="1" ref="R725" ca="1">INDEX('Lorri 401b'!L:L,MATCH('Retirement Calculator'!A725,'Lorri 401b'!N:N,0),0)</f>
        <v>-4262580.9975291276</v>
      </c>
      <c r="S725" s="25">
        <f t="shared" ca="1" si="527"/>
        <v>-5951756.8034701869</v>
      </c>
    </row>
    <row r="726" spans="1:19" ht="15.75" customHeight="1" x14ac:dyDescent="0.3">
      <c r="A726" s="37">
        <v>73051</v>
      </c>
      <c r="B726" s="409">
        <f t="shared" ref="B726:C726" si="732">($A726-B$9)/365.25</f>
        <v>118.12457221081451</v>
      </c>
      <c r="C726" s="409">
        <f t="shared" si="732"/>
        <v>113.51403148528405</v>
      </c>
      <c r="E726" s="25">
        <f>IF(C726&gt;$B$7,0,'Combined Retirement'!$D$13/12)</f>
        <v>0</v>
      </c>
      <c r="F726" s="25">
        <f>IF(H726=0,'Combined Retirement'!$D$32,0)+'Combined Retirement'!$B$24</f>
        <v>2870.372285649099</v>
      </c>
      <c r="G726" s="25">
        <f>'Combined Retirement'!$C$24</f>
        <v>3525.4531757812501</v>
      </c>
      <c r="H726" s="25">
        <f>IF(B726&lt;62,0,'Combined Retirement'!$I$14)</f>
        <v>2192</v>
      </c>
      <c r="I726" s="25">
        <f>IF(C726&lt;62,0,'Combined Retirement'!$I$13)</f>
        <v>2420</v>
      </c>
      <c r="J726" s="25">
        <f t="shared" si="523"/>
        <v>7863.2184191855868</v>
      </c>
      <c r="K726" s="25">
        <f t="shared" si="524"/>
        <v>20282.026119384056</v>
      </c>
      <c r="L726" s="25"/>
      <c r="N726" s="25">
        <f>'Combined Retirement'!$C$18/12</f>
        <v>39153.069999999992</v>
      </c>
      <c r="O726" s="25">
        <f t="shared" si="525"/>
        <v>11007.82546143035</v>
      </c>
      <c r="P726" s="25">
        <f t="shared" si="526"/>
        <v>28145.244538569641</v>
      </c>
      <c r="Q726" s="25">
        <f t="array" aca="1" ref="Q726" ca="1">INDEX('Isaac 401k'!L:L,MATCH('Retirement Calculator'!A726,'Isaac 401k'!N:N,0),0)</f>
        <v>-1704110.0202950793</v>
      </c>
      <c r="R726" s="25">
        <f t="array" aca="1" ref="R726" ca="1">INDEX('Lorri 401b'!L:L,MATCH('Retirement Calculator'!A726,'Lorri 401b'!N:N,0),0)</f>
        <v>-4300708.2862470467</v>
      </c>
      <c r="S726" s="25">
        <f t="shared" ca="1" si="527"/>
        <v>-6004818.3065421265</v>
      </c>
    </row>
    <row r="727" spans="1:19" ht="15.75" customHeight="1" x14ac:dyDescent="0.3">
      <c r="A727" s="37">
        <v>73082</v>
      </c>
      <c r="B727" s="409">
        <f t="shared" ref="B727:C727" si="733">($A727-B$9)/365.25</f>
        <v>118.2094455852156</v>
      </c>
      <c r="C727" s="409">
        <f t="shared" si="733"/>
        <v>113.59890485968515</v>
      </c>
      <c r="E727" s="25">
        <f>IF(C727&gt;$B$7,0,'Combined Retirement'!$D$13/12)</f>
        <v>0</v>
      </c>
      <c r="F727" s="25">
        <f>IF(H727=0,'Combined Retirement'!$D$32,0)+'Combined Retirement'!$B$24</f>
        <v>2870.372285649099</v>
      </c>
      <c r="G727" s="25">
        <f>'Combined Retirement'!$C$24</f>
        <v>3525.4531757812501</v>
      </c>
      <c r="H727" s="25">
        <f>IF(B727&lt;62,0,'Combined Retirement'!$I$14)</f>
        <v>2192</v>
      </c>
      <c r="I727" s="25">
        <f>IF(C727&lt;62,0,'Combined Retirement'!$I$13)</f>
        <v>2420</v>
      </c>
      <c r="J727" s="25">
        <f t="shared" si="523"/>
        <v>7863.2184191855868</v>
      </c>
      <c r="K727" s="25">
        <f t="shared" si="524"/>
        <v>20282.026119384056</v>
      </c>
      <c r="L727" s="25"/>
      <c r="N727" s="25">
        <f>'Combined Retirement'!$C$18/12</f>
        <v>39153.069999999992</v>
      </c>
      <c r="O727" s="25">
        <f t="shared" si="525"/>
        <v>11007.82546143035</v>
      </c>
      <c r="P727" s="25">
        <f t="shared" si="526"/>
        <v>28145.244538569641</v>
      </c>
      <c r="Q727" s="25">
        <f t="array" aca="1" ref="Q727" ca="1">INDEX('Isaac 401k'!L:L,MATCH('Retirement Calculator'!A727,'Isaac 401k'!N:N,0),0)</f>
        <v>-1719106.4605422411</v>
      </c>
      <c r="R727" s="25">
        <f t="array" aca="1" ref="R727" ca="1">INDEX('Lorri 401b'!L:L,MATCH('Retirement Calculator'!A727,'Lorri 401b'!N:N,0),0)</f>
        <v>-4338994.4386679577</v>
      </c>
      <c r="S727" s="25">
        <f t="shared" ca="1" si="527"/>
        <v>-6058100.8992101988</v>
      </c>
    </row>
    <row r="728" spans="1:19" ht="15.75" customHeight="1" x14ac:dyDescent="0.3">
      <c r="A728" s="37">
        <v>73110</v>
      </c>
      <c r="B728" s="409">
        <f t="shared" ref="B728:C728" si="734">($A728-B$9)/365.25</f>
        <v>118.28610540725531</v>
      </c>
      <c r="C728" s="409">
        <f t="shared" si="734"/>
        <v>113.67556468172485</v>
      </c>
      <c r="E728" s="25">
        <f>IF(C728&gt;$B$7,0,'Combined Retirement'!$D$13/12)</f>
        <v>0</v>
      </c>
      <c r="F728" s="25">
        <f>IF(H728=0,'Combined Retirement'!$D$32,0)+'Combined Retirement'!$B$24</f>
        <v>2870.372285649099</v>
      </c>
      <c r="G728" s="25">
        <f>'Combined Retirement'!$C$24</f>
        <v>3525.4531757812501</v>
      </c>
      <c r="H728" s="25">
        <f>IF(B728&lt;62,0,'Combined Retirement'!$I$14)</f>
        <v>2192</v>
      </c>
      <c r="I728" s="25">
        <f>IF(C728&lt;62,0,'Combined Retirement'!$I$13)</f>
        <v>2420</v>
      </c>
      <c r="J728" s="25">
        <f t="shared" si="523"/>
        <v>7863.2184191855868</v>
      </c>
      <c r="K728" s="25">
        <f t="shared" si="524"/>
        <v>20282.026119384056</v>
      </c>
      <c r="L728" s="25"/>
      <c r="N728" s="25">
        <f>'Combined Retirement'!$C$18/12</f>
        <v>39153.069999999992</v>
      </c>
      <c r="O728" s="25">
        <f t="shared" si="525"/>
        <v>11007.82546143035</v>
      </c>
      <c r="P728" s="25">
        <f t="shared" si="526"/>
        <v>28145.244538569641</v>
      </c>
      <c r="Q728" s="25">
        <f t="array" aca="1" ref="Q728" ca="1">INDEX('Isaac 401k'!L:L,MATCH('Retirement Calculator'!A728,'Isaac 401k'!N:N,0),0)</f>
        <v>-1734165.3859570993</v>
      </c>
      <c r="R728" s="25">
        <f t="array" aca="1" ref="R728" ca="1">INDEX('Lorri 401b'!L:L,MATCH('Retirement Calculator'!A728,'Lorri 401b'!N:N,0),0)</f>
        <v>-4377440.1167239556</v>
      </c>
      <c r="S728" s="25">
        <f t="shared" ca="1" si="527"/>
        <v>-6111605.5026810551</v>
      </c>
    </row>
    <row r="729" spans="1:19" ht="15.75" customHeight="1" x14ac:dyDescent="0.3">
      <c r="A729" s="37">
        <v>73141</v>
      </c>
      <c r="B729" s="409">
        <f t="shared" ref="B729:C729" si="735">($A729-B$9)/365.25</f>
        <v>118.3709787816564</v>
      </c>
      <c r="C729" s="409">
        <f t="shared" si="735"/>
        <v>113.76043805612593</v>
      </c>
      <c r="E729" s="25">
        <f>IF(C729&gt;$B$7,0,'Combined Retirement'!$D$13/12)</f>
        <v>0</v>
      </c>
      <c r="F729" s="25">
        <f>IF(H729=0,'Combined Retirement'!$D$32,0)+'Combined Retirement'!$B$24</f>
        <v>2870.372285649099</v>
      </c>
      <c r="G729" s="25">
        <f>'Combined Retirement'!$C$24</f>
        <v>3525.4531757812501</v>
      </c>
      <c r="H729" s="25">
        <f>IF(B729&lt;62,0,'Combined Retirement'!$I$14)</f>
        <v>2192</v>
      </c>
      <c r="I729" s="25">
        <f>IF(C729&lt;62,0,'Combined Retirement'!$I$13)</f>
        <v>2420</v>
      </c>
      <c r="J729" s="25">
        <f t="shared" si="523"/>
        <v>7863.2184191855868</v>
      </c>
      <c r="K729" s="25">
        <f t="shared" si="524"/>
        <v>20282.026119384056</v>
      </c>
      <c r="L729" s="25"/>
      <c r="N729" s="25">
        <f>'Combined Retirement'!$C$18/12</f>
        <v>39153.069999999992</v>
      </c>
      <c r="O729" s="25">
        <f t="shared" si="525"/>
        <v>11007.82546143035</v>
      </c>
      <c r="P729" s="25">
        <f t="shared" si="526"/>
        <v>28145.244538569641</v>
      </c>
      <c r="Q729" s="25">
        <f t="array" aca="1" ref="Q729" ca="1">INDEX('Isaac 401k'!L:L,MATCH('Retirement Calculator'!A729,'Isaac 401k'!N:N,0),0)</f>
        <v>-1749287.0568945194</v>
      </c>
      <c r="R729" s="25">
        <f t="array" aca="1" ref="R729" ca="1">INDEX('Lorri 401b'!L:L,MATCH('Retirement Calculator'!A729,'Lorri 401b'!N:N,0),0)</f>
        <v>-4416045.9851051867</v>
      </c>
      <c r="S729" s="25">
        <f t="shared" ca="1" si="527"/>
        <v>-6165333.0419997061</v>
      </c>
    </row>
    <row r="730" spans="1:19" ht="15.75" customHeight="1" x14ac:dyDescent="0.3">
      <c r="A730" s="37">
        <v>73171</v>
      </c>
      <c r="B730" s="409">
        <f t="shared" ref="B730:C730" si="736">($A730-B$9)/365.25</f>
        <v>118.45311430527036</v>
      </c>
      <c r="C730" s="409">
        <f t="shared" si="736"/>
        <v>113.84257357973991</v>
      </c>
      <c r="E730" s="25">
        <f>IF(C730&gt;$B$7,0,'Combined Retirement'!$D$13/12)</f>
        <v>0</v>
      </c>
      <c r="F730" s="25">
        <f>IF(H730=0,'Combined Retirement'!$D$32,0)+'Combined Retirement'!$B$24</f>
        <v>2870.372285649099</v>
      </c>
      <c r="G730" s="25">
        <f>'Combined Retirement'!$C$24</f>
        <v>3525.4531757812501</v>
      </c>
      <c r="H730" s="25">
        <f>IF(B730&lt;62,0,'Combined Retirement'!$I$14)</f>
        <v>2192</v>
      </c>
      <c r="I730" s="25">
        <f>IF(C730&lt;62,0,'Combined Retirement'!$I$13)</f>
        <v>2420</v>
      </c>
      <c r="J730" s="25">
        <f t="shared" si="523"/>
        <v>7863.2184191855868</v>
      </c>
      <c r="K730" s="25">
        <f t="shared" si="524"/>
        <v>20282.026119384056</v>
      </c>
      <c r="L730" s="25"/>
      <c r="N730" s="25">
        <f>'Combined Retirement'!$C$18/12</f>
        <v>39153.069999999992</v>
      </c>
      <c r="O730" s="25">
        <f t="shared" si="525"/>
        <v>11007.82546143035</v>
      </c>
      <c r="P730" s="25">
        <f t="shared" si="526"/>
        <v>28145.244538569641</v>
      </c>
      <c r="Q730" s="25">
        <f t="array" aca="1" ref="Q730" ca="1">INDEX('Isaac 401k'!L:L,MATCH('Retirement Calculator'!A730,'Isaac 401k'!N:N,0),0)</f>
        <v>-1764471.7347941787</v>
      </c>
      <c r="R730" s="25">
        <f t="array" aca="1" ref="R730" ca="1">INDEX('Lorri 401b'!L:L,MATCH('Retirement Calculator'!A730,'Lorri 401b'!N:N,0),0)</f>
        <v>-4454812.71127134</v>
      </c>
      <c r="S730" s="25">
        <f t="shared" ca="1" si="527"/>
        <v>-6219284.446065519</v>
      </c>
    </row>
    <row r="731" spans="1:19" ht="15.75" customHeight="1" x14ac:dyDescent="0.3">
      <c r="A731" s="37">
        <v>73202</v>
      </c>
      <c r="B731" s="409">
        <f t="shared" ref="B731:C731" si="737">($A731-B$9)/365.25</f>
        <v>118.53798767967146</v>
      </c>
      <c r="C731" s="409">
        <f t="shared" si="737"/>
        <v>113.927446954141</v>
      </c>
      <c r="E731" s="25">
        <f>IF(C731&gt;$B$7,0,'Combined Retirement'!$D$13/12)</f>
        <v>0</v>
      </c>
      <c r="F731" s="25">
        <f>IF(H731=0,'Combined Retirement'!$D$32,0)+'Combined Retirement'!$B$24</f>
        <v>2870.372285649099</v>
      </c>
      <c r="G731" s="25">
        <f>'Combined Retirement'!$C$24</f>
        <v>3525.4531757812501</v>
      </c>
      <c r="H731" s="25">
        <f>IF(B731&lt;62,0,'Combined Retirement'!$I$14)</f>
        <v>2192</v>
      </c>
      <c r="I731" s="25">
        <f>IF(C731&lt;62,0,'Combined Retirement'!$I$13)</f>
        <v>2420</v>
      </c>
      <c r="J731" s="25">
        <f t="shared" si="523"/>
        <v>7863.2184191855868</v>
      </c>
      <c r="K731" s="25">
        <f t="shared" si="524"/>
        <v>20282.026119384056</v>
      </c>
      <c r="L731" s="25"/>
      <c r="N731" s="25">
        <f>'Combined Retirement'!$C$18/12</f>
        <v>39153.069999999992</v>
      </c>
      <c r="O731" s="25">
        <f t="shared" si="525"/>
        <v>11007.82546143035</v>
      </c>
      <c r="P731" s="25">
        <f t="shared" si="526"/>
        <v>28145.244538569641</v>
      </c>
      <c r="Q731" s="25">
        <f t="array" aca="1" ref="Q731" ca="1">INDEX('Isaac 401k'!L:L,MATCH('Retirement Calculator'!A731,'Isaac 401k'!N:N,0),0)</f>
        <v>-1779719.6821850867</v>
      </c>
      <c r="R731" s="25">
        <f t="array" aca="1" ref="R731" ca="1">INDEX('Lorri 401b'!L:L,MATCH('Retirement Calculator'!A731,'Lorri 401b'!N:N,0),0)</f>
        <v>-4493740.9654631857</v>
      </c>
      <c r="S731" s="25">
        <f t="shared" ca="1" si="527"/>
        <v>-6273460.6476482721</v>
      </c>
    </row>
    <row r="732" spans="1:19" ht="15.75" customHeight="1" x14ac:dyDescent="0.3">
      <c r="A732" s="37">
        <v>73232</v>
      </c>
      <c r="B732" s="409">
        <f t="shared" ref="B732:C732" si="738">($A732-B$9)/365.25</f>
        <v>118.62012320328542</v>
      </c>
      <c r="C732" s="409">
        <f t="shared" si="738"/>
        <v>114.00958247775496</v>
      </c>
      <c r="E732" s="25">
        <f>IF(C732&gt;$B$7,0,'Combined Retirement'!$D$13/12)</f>
        <v>0</v>
      </c>
      <c r="F732" s="25">
        <f>IF(H732=0,'Combined Retirement'!$D$32,0)+'Combined Retirement'!$B$24</f>
        <v>2870.372285649099</v>
      </c>
      <c r="G732" s="25">
        <f>'Combined Retirement'!$C$24</f>
        <v>3525.4531757812501</v>
      </c>
      <c r="H732" s="25">
        <f>IF(B732&lt;62,0,'Combined Retirement'!$I$14)</f>
        <v>2192</v>
      </c>
      <c r="I732" s="25">
        <f>IF(C732&lt;62,0,'Combined Retirement'!$I$13)</f>
        <v>2420</v>
      </c>
      <c r="J732" s="25">
        <f t="shared" si="523"/>
        <v>7863.2184191855868</v>
      </c>
      <c r="K732" s="25">
        <f t="shared" si="524"/>
        <v>20282.026119384056</v>
      </c>
      <c r="L732" s="25"/>
      <c r="N732" s="25">
        <f>'Combined Retirement'!$C$18/12</f>
        <v>39153.069999999992</v>
      </c>
      <c r="O732" s="25">
        <f t="shared" si="525"/>
        <v>11007.82546143035</v>
      </c>
      <c r="P732" s="25">
        <f t="shared" si="526"/>
        <v>28145.244538569641</v>
      </c>
      <c r="Q732" s="25">
        <f t="array" aca="1" ref="Q732" ca="1">INDEX('Isaac 401k'!L:L,MATCH('Retirement Calculator'!A732,'Isaac 401k'!N:N,0),0)</f>
        <v>-1795031.1626901233</v>
      </c>
      <c r="R732" s="25">
        <f t="array" aca="1" ref="R732" ca="1">INDEX('Lorri 401b'!L:L,MATCH('Retirement Calculator'!A732,'Lorri 401b'!N:N,0),0)</f>
        <v>-4532831.4207141642</v>
      </c>
      <c r="S732" s="25">
        <f t="shared" ca="1" si="527"/>
        <v>-6327862.5834042877</v>
      </c>
    </row>
    <row r="733" spans="1:19" ht="15.75" customHeight="1" x14ac:dyDescent="0.3">
      <c r="A733" s="37">
        <v>73263</v>
      </c>
      <c r="B733" s="409">
        <f t="shared" ref="B733:C733" si="739">($A733-B$9)/365.25</f>
        <v>118.70499657768652</v>
      </c>
      <c r="C733" s="409">
        <f t="shared" si="739"/>
        <v>114.09445585215606</v>
      </c>
      <c r="E733" s="25">
        <f>IF(C733&gt;$B$7,0,'Combined Retirement'!$D$13/12)</f>
        <v>0</v>
      </c>
      <c r="F733" s="25">
        <f>IF(H733=0,'Combined Retirement'!$D$32,0)+'Combined Retirement'!$B$24</f>
        <v>2870.372285649099</v>
      </c>
      <c r="G733" s="25">
        <f>'Combined Retirement'!$C$24</f>
        <v>3525.4531757812501</v>
      </c>
      <c r="H733" s="25">
        <f>IF(B733&lt;62,0,'Combined Retirement'!$I$14)</f>
        <v>2192</v>
      </c>
      <c r="I733" s="25">
        <f>IF(C733&lt;62,0,'Combined Retirement'!$I$13)</f>
        <v>2420</v>
      </c>
      <c r="J733" s="25">
        <f t="shared" si="523"/>
        <v>7863.2184191855868</v>
      </c>
      <c r="K733" s="25">
        <f t="shared" si="524"/>
        <v>20282.026119384056</v>
      </c>
      <c r="L733" s="25"/>
      <c r="N733" s="25">
        <f>'Combined Retirement'!$C$18/12</f>
        <v>39153.069999999992</v>
      </c>
      <c r="O733" s="25">
        <f t="shared" si="525"/>
        <v>11007.82546143035</v>
      </c>
      <c r="P733" s="25">
        <f t="shared" si="526"/>
        <v>28145.244538569641</v>
      </c>
      <c r="Q733" s="25">
        <f t="array" aca="1" ref="Q733" ca="1">INDEX('Isaac 401k'!L:L,MATCH('Retirement Calculator'!A733,'Isaac 401k'!N:N,0),0)</f>
        <v>-1810406.4410305978</v>
      </c>
      <c r="R733" s="25">
        <f t="array" aca="1" ref="R733" ca="1">INDEX('Lorri 401b'!L:L,MATCH('Retirement Calculator'!A733,'Lorri 401b'!N:N,0),0)</f>
        <v>-4572084.7528620213</v>
      </c>
      <c r="S733" s="25">
        <f t="shared" ca="1" si="527"/>
        <v>-6382491.1938926186</v>
      </c>
    </row>
    <row r="734" spans="1:19" ht="15.75" customHeight="1" x14ac:dyDescent="0.3">
      <c r="A734" s="37">
        <v>73294</v>
      </c>
      <c r="B734" s="409">
        <f t="shared" ref="B734:C734" si="740">($A734-B$9)/365.25</f>
        <v>118.78986995208761</v>
      </c>
      <c r="C734" s="409">
        <f t="shared" si="740"/>
        <v>114.17932922655716</v>
      </c>
      <c r="E734" s="25">
        <f>IF(C734&gt;$B$7,0,'Combined Retirement'!$D$13/12)</f>
        <v>0</v>
      </c>
      <c r="F734" s="25">
        <f>IF(H734=0,'Combined Retirement'!$D$32,0)+'Combined Retirement'!$B$24</f>
        <v>2870.372285649099</v>
      </c>
      <c r="G734" s="25">
        <f>'Combined Retirement'!$C$24</f>
        <v>3525.4531757812501</v>
      </c>
      <c r="H734" s="25">
        <f>IF(B734&lt;62,0,'Combined Retirement'!$I$14)</f>
        <v>2192</v>
      </c>
      <c r="I734" s="25">
        <f>IF(C734&lt;62,0,'Combined Retirement'!$I$13)</f>
        <v>2420</v>
      </c>
      <c r="J734" s="25">
        <f t="shared" si="523"/>
        <v>7863.2184191855868</v>
      </c>
      <c r="K734" s="25">
        <f t="shared" si="524"/>
        <v>20282.026119384056</v>
      </c>
      <c r="L734" s="25"/>
      <c r="N734" s="25">
        <f>'Combined Retirement'!$C$18/12</f>
        <v>39153.069999999992</v>
      </c>
      <c r="O734" s="25">
        <f t="shared" si="525"/>
        <v>11007.82546143035</v>
      </c>
      <c r="P734" s="25">
        <f t="shared" si="526"/>
        <v>28145.244538569641</v>
      </c>
      <c r="Q734" s="25">
        <f t="array" aca="1" ref="Q734" ca="1">INDEX('Isaac 401k'!L:L,MATCH('Retirement Calculator'!A734,'Isaac 401k'!N:N,0),0)</f>
        <v>-1825845.783030824</v>
      </c>
      <c r="R734" s="25">
        <f t="array" aca="1" ref="R734" ca="1">INDEX('Lorri 401b'!L:L,MATCH('Retirement Calculator'!A734,'Lorri 401b'!N:N,0),0)</f>
        <v>-4611501.6405604947</v>
      </c>
      <c r="S734" s="25">
        <f t="shared" ca="1" si="527"/>
        <v>-6437347.4235913185</v>
      </c>
    </row>
    <row r="735" spans="1:19" ht="15.75" customHeight="1" x14ac:dyDescent="0.3">
      <c r="A735" s="37">
        <v>73324</v>
      </c>
      <c r="B735" s="409">
        <f t="shared" ref="B735:C735" si="741">($A735-B$9)/365.25</f>
        <v>118.87200547570157</v>
      </c>
      <c r="C735" s="409">
        <f t="shared" si="741"/>
        <v>114.26146475017111</v>
      </c>
      <c r="E735" s="25">
        <f>IF(C735&gt;$B$7,0,'Combined Retirement'!$D$13/12)</f>
        <v>0</v>
      </c>
      <c r="F735" s="25">
        <f>IF(H735=0,'Combined Retirement'!$D$32,0)+'Combined Retirement'!$B$24</f>
        <v>2870.372285649099</v>
      </c>
      <c r="G735" s="25">
        <f>'Combined Retirement'!$C$24</f>
        <v>3525.4531757812501</v>
      </c>
      <c r="H735" s="25">
        <f>IF(B735&lt;62,0,'Combined Retirement'!$I$14)</f>
        <v>2192</v>
      </c>
      <c r="I735" s="25">
        <f>IF(C735&lt;62,0,'Combined Retirement'!$I$13)</f>
        <v>2420</v>
      </c>
      <c r="J735" s="25">
        <f t="shared" si="523"/>
        <v>7863.2184191855868</v>
      </c>
      <c r="K735" s="25">
        <f t="shared" si="524"/>
        <v>20282.026119384056</v>
      </c>
      <c r="L735" s="25"/>
      <c r="N735" s="25">
        <f>'Combined Retirement'!$C$18/12</f>
        <v>39153.069999999992</v>
      </c>
      <c r="O735" s="25">
        <f t="shared" si="525"/>
        <v>11007.82546143035</v>
      </c>
      <c r="P735" s="25">
        <f t="shared" si="526"/>
        <v>28145.244538569641</v>
      </c>
      <c r="Q735" s="25">
        <f t="array" aca="1" ref="Q735" ca="1">INDEX('Isaac 401k'!L:L,MATCH('Retirement Calculator'!A735,'Isaac 401k'!N:N,0),0)</f>
        <v>-1841349.455622718</v>
      </c>
      <c r="R735" s="25">
        <f t="array" aca="1" ref="R735" ca="1">INDEX('Lorri 401b'!L:L,MATCH('Retirement Calculator'!A735,'Lorri 401b'!N:N,0),0)</f>
        <v>-4651082.7652910445</v>
      </c>
      <c r="S735" s="25">
        <f t="shared" ca="1" si="527"/>
        <v>-6492432.2209137622</v>
      </c>
    </row>
    <row r="736" spans="1:19" ht="15.75" customHeight="1" x14ac:dyDescent="0.3">
      <c r="A736" s="37">
        <v>73355</v>
      </c>
      <c r="B736" s="409">
        <f t="shared" ref="B736:C736" si="742">($A736-B$9)/365.25</f>
        <v>118.95687885010267</v>
      </c>
      <c r="C736" s="409">
        <f t="shared" si="742"/>
        <v>114.34633812457221</v>
      </c>
      <c r="E736" s="25">
        <f>IF(C736&gt;$B$7,0,'Combined Retirement'!$D$13/12)</f>
        <v>0</v>
      </c>
      <c r="F736" s="25">
        <f>IF(H736=0,'Combined Retirement'!$D$32,0)+'Combined Retirement'!$B$24</f>
        <v>2870.372285649099</v>
      </c>
      <c r="G736" s="25">
        <f>'Combined Retirement'!$C$24</f>
        <v>3525.4531757812501</v>
      </c>
      <c r="H736" s="25">
        <f>IF(B736&lt;62,0,'Combined Retirement'!$I$14)</f>
        <v>2192</v>
      </c>
      <c r="I736" s="25">
        <f>IF(C736&lt;62,0,'Combined Retirement'!$I$13)</f>
        <v>2420</v>
      </c>
      <c r="J736" s="25">
        <f t="shared" si="523"/>
        <v>7863.2184191855868</v>
      </c>
      <c r="K736" s="25">
        <f t="shared" si="524"/>
        <v>20282.026119384056</v>
      </c>
      <c r="L736" s="25"/>
      <c r="N736" s="25">
        <f>'Combined Retirement'!$C$18/12</f>
        <v>39153.069999999992</v>
      </c>
      <c r="O736" s="25">
        <f t="shared" si="525"/>
        <v>11007.82546143035</v>
      </c>
      <c r="P736" s="25">
        <f t="shared" si="526"/>
        <v>28145.244538569641</v>
      </c>
      <c r="Q736" s="25">
        <f t="array" aca="1" ref="Q736" ca="1">INDEX('Isaac 401k'!L:L,MATCH('Retirement Calculator'!A736,'Isaac 401k'!N:N,0),0)</f>
        <v>-1856917.7268504116</v>
      </c>
      <c r="R736" s="25">
        <f t="array" aca="1" ref="R736" ca="1">INDEX('Lorri 401b'!L:L,MATCH('Retirement Calculator'!A736,'Lorri 401b'!N:N,0),0)</f>
        <v>-4690828.8113746382</v>
      </c>
      <c r="S736" s="25">
        <f t="shared" ca="1" si="527"/>
        <v>-6547746.5382250501</v>
      </c>
    </row>
    <row r="737" spans="1:19" ht="15.75" customHeight="1" x14ac:dyDescent="0.3">
      <c r="A737" s="37">
        <v>73385</v>
      </c>
      <c r="B737" s="409">
        <f t="shared" ref="B737:C737" si="743">($A737-B$9)/365.25</f>
        <v>119.03901437371663</v>
      </c>
      <c r="C737" s="409">
        <f t="shared" si="743"/>
        <v>114.42847364818617</v>
      </c>
      <c r="E737" s="25">
        <f>IF(C737&gt;$B$7,0,'Combined Retirement'!$D$13/12)</f>
        <v>0</v>
      </c>
      <c r="F737" s="25">
        <f>IF(H737=0,'Combined Retirement'!$D$32,0)+'Combined Retirement'!$B$24</f>
        <v>2870.372285649099</v>
      </c>
      <c r="G737" s="25">
        <f>'Combined Retirement'!$C$24</f>
        <v>3525.4531757812501</v>
      </c>
      <c r="H737" s="25">
        <f>IF(B737&lt;62,0,'Combined Retirement'!$I$14)</f>
        <v>2192</v>
      </c>
      <c r="I737" s="25">
        <f>IF(C737&lt;62,0,'Combined Retirement'!$I$13)</f>
        <v>2420</v>
      </c>
      <c r="J737" s="25">
        <f t="shared" si="523"/>
        <v>7863.2184191855868</v>
      </c>
      <c r="K737" s="25">
        <f t="shared" si="524"/>
        <v>20282.026119384056</v>
      </c>
      <c r="L737" s="25"/>
      <c r="N737" s="25">
        <f>'Combined Retirement'!$C$18/12</f>
        <v>39153.069999999992</v>
      </c>
      <c r="O737" s="25">
        <f t="shared" si="525"/>
        <v>11007.82546143035</v>
      </c>
      <c r="P737" s="25">
        <f t="shared" si="526"/>
        <v>28145.244538569641</v>
      </c>
      <c r="Q737" s="25">
        <f t="array" aca="1" ref="Q737" ca="1">INDEX('Isaac 401k'!L:L,MATCH('Retirement Calculator'!A737,'Isaac 401k'!N:N,0),0)</f>
        <v>-1872550.8658748872</v>
      </c>
      <c r="R737" s="25">
        <f t="array" aca="1" ref="R737" ca="1">INDEX('Lorri 401b'!L:L,MATCH('Retirement Calculator'!A737,'Lorri 401b'!N:N,0),0)</f>
        <v>-4730740.4659835808</v>
      </c>
      <c r="S737" s="25">
        <f t="shared" ca="1" si="527"/>
        <v>-6603291.3318584682</v>
      </c>
    </row>
    <row r="738" spans="1:19" ht="15.75" customHeight="1" x14ac:dyDescent="0.3">
      <c r="A738" s="37">
        <v>73416</v>
      </c>
      <c r="B738" s="409">
        <f t="shared" ref="B738:C738" si="744">($A738-B$9)/365.25</f>
        <v>119.12388774811772</v>
      </c>
      <c r="C738" s="409">
        <f t="shared" si="744"/>
        <v>114.51334702258727</v>
      </c>
      <c r="E738" s="25">
        <f>IF(C738&gt;$B$7,0,'Combined Retirement'!$D$13/12)</f>
        <v>0</v>
      </c>
      <c r="F738" s="25">
        <f>IF(H738=0,'Combined Retirement'!$D$32,0)+'Combined Retirement'!$B$24</f>
        <v>2870.372285649099</v>
      </c>
      <c r="G738" s="25">
        <f>'Combined Retirement'!$C$24</f>
        <v>3525.4531757812501</v>
      </c>
      <c r="H738" s="25">
        <f>IF(B738&lt;62,0,'Combined Retirement'!$I$14)</f>
        <v>2192</v>
      </c>
      <c r="I738" s="25">
        <f>IF(C738&lt;62,0,'Combined Retirement'!$I$13)</f>
        <v>2420</v>
      </c>
      <c r="J738" s="25">
        <f t="shared" si="523"/>
        <v>7863.2184191855868</v>
      </c>
      <c r="K738" s="25">
        <f t="shared" si="524"/>
        <v>20282.026119384056</v>
      </c>
      <c r="L738" s="25"/>
      <c r="N738" s="25">
        <f>'Combined Retirement'!$C$18/12</f>
        <v>39153.069999999992</v>
      </c>
      <c r="O738" s="25">
        <f t="shared" si="525"/>
        <v>11007.82546143035</v>
      </c>
      <c r="P738" s="25">
        <f t="shared" si="526"/>
        <v>28145.244538569641</v>
      </c>
      <c r="Q738" s="25">
        <f t="array" aca="1" ref="Q738" ca="1">INDEX('Isaac 401k'!L:L,MATCH('Retirement Calculator'!A738,'Isaac 401k'!N:N,0),0)</f>
        <v>-1888249.1429786314</v>
      </c>
      <c r="R738" s="25">
        <f t="array" aca="1" ref="R738" ca="1">INDEX('Lorri 401b'!L:L,MATCH('Retirement Calculator'!A738,'Lorri 401b'!N:N,0),0)</f>
        <v>-4770818.4191533942</v>
      </c>
      <c r="S738" s="25">
        <f t="shared" ca="1" si="527"/>
        <v>-6659067.5621320251</v>
      </c>
    </row>
    <row r="739" spans="1:19" ht="15.75" customHeight="1" x14ac:dyDescent="0.3">
      <c r="A739" s="37">
        <v>73447</v>
      </c>
      <c r="B739" s="409">
        <f t="shared" ref="B739:C739" si="745">($A739-B$9)/365.25</f>
        <v>119.20876112251882</v>
      </c>
      <c r="C739" s="409">
        <f t="shared" si="745"/>
        <v>114.59822039698837</v>
      </c>
      <c r="E739" s="25">
        <f>IF(C739&gt;$B$7,0,'Combined Retirement'!$D$13/12)</f>
        <v>0</v>
      </c>
      <c r="F739" s="25">
        <f>IF(H739=0,'Combined Retirement'!$D$32,0)+'Combined Retirement'!$B$24</f>
        <v>2870.372285649099</v>
      </c>
      <c r="G739" s="25">
        <f>'Combined Retirement'!$C$24</f>
        <v>3525.4531757812501</v>
      </c>
      <c r="H739" s="25">
        <f>IF(B739&lt;62,0,'Combined Retirement'!$I$14)</f>
        <v>2192</v>
      </c>
      <c r="I739" s="25">
        <f>IF(C739&lt;62,0,'Combined Retirement'!$I$13)</f>
        <v>2420</v>
      </c>
      <c r="J739" s="25">
        <f t="shared" si="523"/>
        <v>7863.2184191855868</v>
      </c>
      <c r="K739" s="25">
        <f t="shared" si="524"/>
        <v>20282.026119384056</v>
      </c>
      <c r="L739" s="25"/>
      <c r="N739" s="25">
        <f>'Combined Retirement'!$C$18/12</f>
        <v>39153.069999999992</v>
      </c>
      <c r="O739" s="25">
        <f t="shared" si="525"/>
        <v>11007.82546143035</v>
      </c>
      <c r="P739" s="25">
        <f t="shared" si="526"/>
        <v>28145.244538569641</v>
      </c>
      <c r="Q739" s="25">
        <f t="array" aca="1" ref="Q739" ca="1">INDEX('Isaac 401k'!L:L,MATCH('Retirement Calculator'!A739,'Isaac 401k'!N:N,0),0)</f>
        <v>-1904012.8295703079</v>
      </c>
      <c r="R739" s="25">
        <f t="array" aca="1" ref="R739" ca="1">INDEX('Lorri 401b'!L:L,MATCH('Retirement Calculator'!A739,'Lorri 401b'!N:N,0),0)</f>
        <v>-4811063.3637947477</v>
      </c>
      <c r="S739" s="25">
        <f t="shared" ca="1" si="527"/>
        <v>-6715076.1933650561</v>
      </c>
    </row>
    <row r="740" spans="1:19" ht="15.75" customHeight="1" x14ac:dyDescent="0.3">
      <c r="A740" s="37">
        <v>73475</v>
      </c>
      <c r="B740" s="409">
        <f t="shared" ref="B740:C740" si="746">($A740-B$9)/365.25</f>
        <v>119.28542094455852</v>
      </c>
      <c r="C740" s="409">
        <f t="shared" si="746"/>
        <v>114.67488021902807</v>
      </c>
      <c r="E740" s="25">
        <f>IF(C740&gt;$B$7,0,'Combined Retirement'!$D$13/12)</f>
        <v>0</v>
      </c>
      <c r="F740" s="25">
        <f>IF(H740=0,'Combined Retirement'!$D$32,0)+'Combined Retirement'!$B$24</f>
        <v>2870.372285649099</v>
      </c>
      <c r="G740" s="25">
        <f>'Combined Retirement'!$C$24</f>
        <v>3525.4531757812501</v>
      </c>
      <c r="H740" s="25">
        <f>IF(B740&lt;62,0,'Combined Retirement'!$I$14)</f>
        <v>2192</v>
      </c>
      <c r="I740" s="25">
        <f>IF(C740&lt;62,0,'Combined Retirement'!$I$13)</f>
        <v>2420</v>
      </c>
      <c r="J740" s="25">
        <f t="shared" si="523"/>
        <v>7863.2184191855868</v>
      </c>
      <c r="K740" s="25">
        <f t="shared" si="524"/>
        <v>20282.026119384056</v>
      </c>
      <c r="L740" s="25"/>
      <c r="N740" s="25">
        <f>'Combined Retirement'!$C$18/12</f>
        <v>39153.069999999992</v>
      </c>
      <c r="O740" s="25">
        <f t="shared" si="525"/>
        <v>11007.82546143035</v>
      </c>
      <c r="P740" s="25">
        <f t="shared" si="526"/>
        <v>28145.244538569641</v>
      </c>
      <c r="Q740" s="25">
        <f t="array" aca="1" ref="Q740" ca="1">INDEX('Isaac 401k'!L:L,MATCH('Retirement Calculator'!A740,'Isaac 401k'!N:N,0),0)</f>
        <v>-1919842.1981894497</v>
      </c>
      <c r="R740" s="25">
        <f t="array" aca="1" ref="R740" ca="1">INDEX('Lorri 401b'!L:L,MATCH('Retirement Calculator'!A740,'Lorri 401b'!N:N,0),0)</f>
        <v>-4851475.9957054406</v>
      </c>
      <c r="S740" s="25">
        <f t="shared" ca="1" si="527"/>
        <v>-6771318.1938948901</v>
      </c>
    </row>
    <row r="741" spans="1:19" ht="15.75" customHeight="1" x14ac:dyDescent="0.3">
      <c r="A741" s="37">
        <v>73506</v>
      </c>
      <c r="B741" s="409">
        <f t="shared" ref="B741:C741" si="747">($A741-B$9)/365.25</f>
        <v>119.37029431895962</v>
      </c>
      <c r="C741" s="409">
        <f t="shared" si="747"/>
        <v>114.75975359342915</v>
      </c>
      <c r="E741" s="25">
        <f>IF(C741&gt;$B$7,0,'Combined Retirement'!$D$13/12)</f>
        <v>0</v>
      </c>
      <c r="F741" s="25">
        <f>IF(H741=0,'Combined Retirement'!$D$32,0)+'Combined Retirement'!$B$24</f>
        <v>2870.372285649099</v>
      </c>
      <c r="G741" s="25">
        <f>'Combined Retirement'!$C$24</f>
        <v>3525.4531757812501</v>
      </c>
      <c r="H741" s="25">
        <f>IF(B741&lt;62,0,'Combined Retirement'!$I$14)</f>
        <v>2192</v>
      </c>
      <c r="I741" s="25">
        <f>IF(C741&lt;62,0,'Combined Retirement'!$I$13)</f>
        <v>2420</v>
      </c>
      <c r="J741" s="25">
        <f t="shared" si="523"/>
        <v>7863.2184191855868</v>
      </c>
      <c r="K741" s="25">
        <f t="shared" si="524"/>
        <v>20282.026119384056</v>
      </c>
      <c r="L741" s="25"/>
      <c r="N741" s="25">
        <f>'Combined Retirement'!$C$18/12</f>
        <v>39153.069999999992</v>
      </c>
      <c r="O741" s="25">
        <f t="shared" si="525"/>
        <v>11007.82546143035</v>
      </c>
      <c r="P741" s="25">
        <f t="shared" si="526"/>
        <v>28145.244538569641</v>
      </c>
      <c r="Q741" s="25">
        <f t="array" aca="1" ref="Q741" ca="1">INDEX('Isaac 401k'!L:L,MATCH('Retirement Calculator'!A741,'Isaac 401k'!N:N,0),0)</f>
        <v>-1935737.5225111714</v>
      </c>
      <c r="R741" s="25">
        <f t="array" aca="1" ref="R741" ca="1">INDEX('Lorri 401b'!L:L,MATCH('Retirement Calculator'!A741,'Lorri 401b'!N:N,0),0)</f>
        <v>-4892057.013582428</v>
      </c>
      <c r="S741" s="25">
        <f t="shared" ca="1" si="527"/>
        <v>-6827794.5360935992</v>
      </c>
    </row>
    <row r="742" spans="1:19" ht="15.75" customHeight="1" x14ac:dyDescent="0.3">
      <c r="A742" s="37">
        <v>73536</v>
      </c>
      <c r="B742" s="409">
        <f t="shared" ref="B742:C742" si="748">($A742-B$9)/365.25</f>
        <v>119.45242984257358</v>
      </c>
      <c r="C742" s="409">
        <f t="shared" si="748"/>
        <v>114.84188911704312</v>
      </c>
      <c r="E742" s="25">
        <f>IF(C742&gt;$B$7,0,'Combined Retirement'!$D$13/12)</f>
        <v>0</v>
      </c>
      <c r="F742" s="25">
        <f>IF(H742=0,'Combined Retirement'!$D$32,0)+'Combined Retirement'!$B$24</f>
        <v>2870.372285649099</v>
      </c>
      <c r="G742" s="25">
        <f>'Combined Retirement'!$C$24</f>
        <v>3525.4531757812501</v>
      </c>
      <c r="H742" s="25">
        <f>IF(B742&lt;62,0,'Combined Retirement'!$I$14)</f>
        <v>2192</v>
      </c>
      <c r="I742" s="25">
        <f>IF(C742&lt;62,0,'Combined Retirement'!$I$13)</f>
        <v>2420</v>
      </c>
      <c r="J742" s="25">
        <f t="shared" si="523"/>
        <v>7863.2184191855868</v>
      </c>
      <c r="K742" s="25">
        <f t="shared" si="524"/>
        <v>20282.026119384056</v>
      </c>
      <c r="L742" s="25"/>
      <c r="N742" s="25">
        <f>'Combined Retirement'!$C$18/12</f>
        <v>39153.069999999992</v>
      </c>
      <c r="O742" s="25">
        <f t="shared" si="525"/>
        <v>11007.82546143035</v>
      </c>
      <c r="P742" s="25">
        <f t="shared" si="526"/>
        <v>28145.244538569641</v>
      </c>
      <c r="Q742" s="25">
        <f t="array" aca="1" ref="Q742" ca="1">INDEX('Isaac 401k'!L:L,MATCH('Retirement Calculator'!A742,'Isaac 401k'!N:N,0),0)</f>
        <v>-1951699.0773509003</v>
      </c>
      <c r="R742" s="25">
        <f t="array" aca="1" ref="R742" ca="1">INDEX('Lorri 401b'!L:L,MATCH('Retirement Calculator'!A742,'Lorri 401b'!N:N,0),0)</f>
        <v>-4932807.1190339029</v>
      </c>
      <c r="S742" s="25">
        <f t="shared" ca="1" si="527"/>
        <v>-6884506.1963848034</v>
      </c>
    </row>
    <row r="743" spans="1:19" ht="15.75" customHeight="1" x14ac:dyDescent="0.3">
      <c r="A743" s="37">
        <v>73567</v>
      </c>
      <c r="B743" s="409">
        <f t="shared" ref="B743:C743" si="749">($A743-B$9)/365.25</f>
        <v>119.53730321697468</v>
      </c>
      <c r="C743" s="409">
        <f t="shared" si="749"/>
        <v>114.92676249144422</v>
      </c>
      <c r="E743" s="25">
        <f>IF(C743&gt;$B$7,0,'Combined Retirement'!$D$13/12)</f>
        <v>0</v>
      </c>
      <c r="F743" s="25">
        <f>IF(H743=0,'Combined Retirement'!$D$32,0)+'Combined Retirement'!$B$24</f>
        <v>2870.372285649099</v>
      </c>
      <c r="G743" s="25">
        <f>'Combined Retirement'!$C$24</f>
        <v>3525.4531757812501</v>
      </c>
      <c r="H743" s="25">
        <f>IF(B743&lt;62,0,'Combined Retirement'!$I$14)</f>
        <v>2192</v>
      </c>
      <c r="I743" s="25">
        <f>IF(C743&lt;62,0,'Combined Retirement'!$I$13)</f>
        <v>2420</v>
      </c>
      <c r="J743" s="25">
        <f t="shared" si="523"/>
        <v>7863.2184191855868</v>
      </c>
      <c r="K743" s="25">
        <f t="shared" si="524"/>
        <v>20282.026119384056</v>
      </c>
      <c r="L743" s="25"/>
      <c r="N743" s="25">
        <f>'Combined Retirement'!$C$18/12</f>
        <v>39153.069999999992</v>
      </c>
      <c r="O743" s="25">
        <f t="shared" si="525"/>
        <v>11007.82546143035</v>
      </c>
      <c r="P743" s="25">
        <f t="shared" si="526"/>
        <v>28145.244538569641</v>
      </c>
      <c r="Q743" s="25">
        <f t="array" aca="1" ref="Q743" ca="1">INDEX('Isaac 401k'!L:L,MATCH('Retirement Calculator'!A743,'Isaac 401k'!N:N,0),0)</f>
        <v>-1967727.1386691278</v>
      </c>
      <c r="R743" s="25">
        <f t="array" aca="1" ref="R743" ca="1">INDEX('Lorri 401b'!L:L,MATCH('Retirement Calculator'!A743,'Lorri 401b'!N:N,0),0)</f>
        <v>-4973727.016591426</v>
      </c>
      <c r="S743" s="25">
        <f t="shared" ca="1" si="527"/>
        <v>-6941454.1552605536</v>
      </c>
    </row>
    <row r="744" spans="1:19" ht="15.75" customHeight="1" x14ac:dyDescent="0.3">
      <c r="A744" s="37">
        <v>73597</v>
      </c>
      <c r="B744" s="409">
        <f t="shared" ref="B744:C744" si="750">($A744-B$9)/365.25</f>
        <v>119.61943874058863</v>
      </c>
      <c r="C744" s="409">
        <f t="shared" si="750"/>
        <v>115.00889801505818</v>
      </c>
      <c r="E744" s="25">
        <f>IF(C744&gt;$B$7,0,'Combined Retirement'!$D$13/12)</f>
        <v>0</v>
      </c>
      <c r="F744" s="25">
        <f>IF(H744=0,'Combined Retirement'!$D$32,0)+'Combined Retirement'!$B$24</f>
        <v>2870.372285649099</v>
      </c>
      <c r="G744" s="25">
        <f>'Combined Retirement'!$C$24</f>
        <v>3525.4531757812501</v>
      </c>
      <c r="H744" s="25">
        <f>IF(B744&lt;62,0,'Combined Retirement'!$I$14)</f>
        <v>2192</v>
      </c>
      <c r="I744" s="25">
        <f>IF(C744&lt;62,0,'Combined Retirement'!$I$13)</f>
        <v>2420</v>
      </c>
      <c r="J744" s="25">
        <f t="shared" si="523"/>
        <v>7863.2184191855868</v>
      </c>
      <c r="K744" s="25">
        <f t="shared" si="524"/>
        <v>20282.026119384056</v>
      </c>
      <c r="L744" s="25"/>
      <c r="N744" s="25">
        <f>'Combined Retirement'!$C$18/12</f>
        <v>39153.069999999992</v>
      </c>
      <c r="O744" s="25">
        <f t="shared" si="525"/>
        <v>11007.82546143035</v>
      </c>
      <c r="P744" s="25">
        <f t="shared" si="526"/>
        <v>28145.244538569641</v>
      </c>
      <c r="Q744" s="25">
        <f t="array" aca="1" ref="Q744" ca="1">INDEX('Isaac 401k'!L:L,MATCH('Retirement Calculator'!A744,'Isaac 401k'!N:N,0),0)</f>
        <v>-1983821.9835761813</v>
      </c>
      <c r="R744" s="25">
        <f t="array" aca="1" ref="R744" ca="1">INDEX('Lorri 401b'!L:L,MATCH('Retirement Calculator'!A744,'Lorri 401b'!N:N,0),0)</f>
        <v>-5014817.4137221053</v>
      </c>
      <c r="S744" s="25">
        <f t="shared" ca="1" si="527"/>
        <v>-6998639.3972982867</v>
      </c>
    </row>
    <row r="745" spans="1:19" ht="15.75" customHeight="1" x14ac:dyDescent="0.3">
      <c r="A745" s="37">
        <v>73628</v>
      </c>
      <c r="B745" s="409">
        <f t="shared" ref="B745:C745" si="751">($A745-B$9)/365.25</f>
        <v>119.70431211498973</v>
      </c>
      <c r="C745" s="409">
        <f t="shared" si="751"/>
        <v>115.09377138945928</v>
      </c>
      <c r="E745" s="25">
        <f>IF(C745&gt;$B$7,0,'Combined Retirement'!$D$13/12)</f>
        <v>0</v>
      </c>
      <c r="F745" s="25">
        <f>IF(H745=0,'Combined Retirement'!$D$32,0)+'Combined Retirement'!$B$24</f>
        <v>2870.372285649099</v>
      </c>
      <c r="G745" s="25">
        <f>'Combined Retirement'!$C$24</f>
        <v>3525.4531757812501</v>
      </c>
      <c r="H745" s="25">
        <f>IF(B745&lt;62,0,'Combined Retirement'!$I$14)</f>
        <v>2192</v>
      </c>
      <c r="I745" s="25">
        <f>IF(C745&lt;62,0,'Combined Retirement'!$I$13)</f>
        <v>2420</v>
      </c>
      <c r="J745" s="25">
        <f t="shared" si="523"/>
        <v>7863.2184191855868</v>
      </c>
      <c r="K745" s="25">
        <f t="shared" si="524"/>
        <v>20282.026119384056</v>
      </c>
      <c r="L745" s="25"/>
      <c r="N745" s="25">
        <f>'Combined Retirement'!$C$18/12</f>
        <v>39153.069999999992</v>
      </c>
      <c r="O745" s="25">
        <f t="shared" si="525"/>
        <v>11007.82546143035</v>
      </c>
      <c r="P745" s="25">
        <f t="shared" si="526"/>
        <v>28145.244538569641</v>
      </c>
      <c r="Q745" s="25">
        <f t="array" aca="1" ref="Q745" ca="1">INDEX('Isaac 401k'!L:L,MATCH('Retirement Calculator'!A745,'Isaac 401k'!N:N,0),0)</f>
        <v>-1999983.8903370143</v>
      </c>
      <c r="R745" s="25">
        <f t="array" aca="1" ref="R745" ca="1">INDEX('Lorri 401b'!L:L,MATCH('Retirement Calculator'!A745,'Lorri 401b'!N:N,0),0)</f>
        <v>-5056079.0208408292</v>
      </c>
      <c r="S745" s="25">
        <f t="shared" ca="1" si="527"/>
        <v>-7056062.9111778438</v>
      </c>
    </row>
    <row r="746" spans="1:19" ht="15.75" customHeight="1" x14ac:dyDescent="0.3">
      <c r="A746" s="37">
        <v>73659</v>
      </c>
      <c r="B746" s="409">
        <f t="shared" ref="B746:C746" si="752">($A746-B$9)/365.25</f>
        <v>119.78918548939083</v>
      </c>
      <c r="C746" s="409">
        <f t="shared" si="752"/>
        <v>115.17864476386038</v>
      </c>
      <c r="E746" s="25">
        <f>IF(C746&gt;$B$7,0,'Combined Retirement'!$D$13/12)</f>
        <v>0</v>
      </c>
      <c r="F746" s="25">
        <f>IF(H746=0,'Combined Retirement'!$D$32,0)+'Combined Retirement'!$B$24</f>
        <v>2870.372285649099</v>
      </c>
      <c r="G746" s="25">
        <f>'Combined Retirement'!$C$24</f>
        <v>3525.4531757812501</v>
      </c>
      <c r="H746" s="25">
        <f>IF(B746&lt;62,0,'Combined Retirement'!$I$14)</f>
        <v>2192</v>
      </c>
      <c r="I746" s="25">
        <f>IF(C746&lt;62,0,'Combined Retirement'!$I$13)</f>
        <v>2420</v>
      </c>
      <c r="J746" s="25">
        <f t="shared" si="523"/>
        <v>7863.2184191855868</v>
      </c>
      <c r="K746" s="25">
        <f t="shared" si="524"/>
        <v>20282.026119384056</v>
      </c>
      <c r="L746" s="25"/>
      <c r="N746" s="25">
        <f>'Combined Retirement'!$C$18/12</f>
        <v>39153.069999999992</v>
      </c>
      <c r="O746" s="25">
        <f t="shared" si="525"/>
        <v>11007.82546143035</v>
      </c>
      <c r="P746" s="25">
        <f t="shared" si="526"/>
        <v>28145.244538569641</v>
      </c>
      <c r="Q746" s="25">
        <f t="array" aca="1" ref="Q746" ca="1">INDEX('Isaac 401k'!L:L,MATCH('Retirement Calculator'!A746,'Isaac 401k'!N:N,0),0)</f>
        <v>-2016213.1383760173</v>
      </c>
      <c r="R746" s="25">
        <f t="array" aca="1" ref="R746" ca="1">INDEX('Lorri 401b'!L:L,MATCH('Retirement Calculator'!A746,'Lorri 401b'!N:N,0),0)</f>
        <v>-5097512.5513225477</v>
      </c>
      <c r="S746" s="25">
        <f t="shared" ca="1" si="527"/>
        <v>-7113725.6896985648</v>
      </c>
    </row>
    <row r="747" spans="1:19" ht="15.75" customHeight="1" x14ac:dyDescent="0.3">
      <c r="A747" s="37">
        <v>73689</v>
      </c>
      <c r="B747" s="409">
        <f t="shared" ref="B747:C747" si="753">($A747-B$9)/365.25</f>
        <v>119.87132101300479</v>
      </c>
      <c r="C747" s="409">
        <f t="shared" si="753"/>
        <v>115.26078028747433</v>
      </c>
      <c r="E747" s="25">
        <f>IF(C747&gt;$B$7,0,'Combined Retirement'!$D$13/12)</f>
        <v>0</v>
      </c>
      <c r="F747" s="25">
        <f>IF(H747=0,'Combined Retirement'!$D$32,0)+'Combined Retirement'!$B$24</f>
        <v>2870.372285649099</v>
      </c>
      <c r="G747" s="25">
        <f>'Combined Retirement'!$C$24</f>
        <v>3525.4531757812501</v>
      </c>
      <c r="H747" s="25">
        <f>IF(B747&lt;62,0,'Combined Retirement'!$I$14)</f>
        <v>2192</v>
      </c>
      <c r="I747" s="25">
        <f>IF(C747&lt;62,0,'Combined Retirement'!$I$13)</f>
        <v>2420</v>
      </c>
      <c r="J747" s="25">
        <f t="shared" si="523"/>
        <v>7863.2184191855868</v>
      </c>
      <c r="K747" s="25">
        <f t="shared" si="524"/>
        <v>20282.026119384056</v>
      </c>
      <c r="L747" s="25"/>
      <c r="N747" s="25">
        <f>'Combined Retirement'!$C$18/12</f>
        <v>39153.069999999992</v>
      </c>
      <c r="O747" s="25">
        <f t="shared" si="525"/>
        <v>11007.82546143035</v>
      </c>
      <c r="P747" s="25">
        <f t="shared" si="526"/>
        <v>28145.244538569641</v>
      </c>
      <c r="Q747" s="25">
        <f t="array" aca="1" ref="Q747" ca="1">INDEX('Isaac 401k'!L:L,MATCH('Retirement Calculator'!A747,'Isaac 401k'!N:N,0),0)</f>
        <v>-2032510.0082818496</v>
      </c>
      <c r="R747" s="25">
        <f t="array" aca="1" ref="R747" ca="1">INDEX('Lorri 401b'!L:L,MATCH('Retirement Calculator'!A747,'Lorri 401b'!N:N,0),0)</f>
        <v>-5139118.7215146068</v>
      </c>
      <c r="S747" s="25">
        <f t="shared" ca="1" si="527"/>
        <v>-7171628.7297964562</v>
      </c>
    </row>
    <row r="748" spans="1:19" ht="15.75" customHeight="1" x14ac:dyDescent="0.3">
      <c r="A748" s="37">
        <v>73720</v>
      </c>
      <c r="B748" s="409">
        <f t="shared" ref="B748:C748" si="754">($A748-B$9)/365.25</f>
        <v>119.95619438740589</v>
      </c>
      <c r="C748" s="409">
        <f t="shared" si="754"/>
        <v>115.34565366187543</v>
      </c>
      <c r="E748" s="25">
        <f>IF(C748&gt;$B$7,0,'Combined Retirement'!$D$13/12)</f>
        <v>0</v>
      </c>
      <c r="F748" s="25">
        <f>IF(H748=0,'Combined Retirement'!$D$32,0)+'Combined Retirement'!$B$24</f>
        <v>2870.372285649099</v>
      </c>
      <c r="G748" s="25">
        <f>'Combined Retirement'!$C$24</f>
        <v>3525.4531757812501</v>
      </c>
      <c r="H748" s="25">
        <f>IF(B748&lt;62,0,'Combined Retirement'!$I$14)</f>
        <v>2192</v>
      </c>
      <c r="I748" s="25">
        <f>IF(C748&lt;62,0,'Combined Retirement'!$I$13)</f>
        <v>2420</v>
      </c>
      <c r="J748" s="25">
        <f t="shared" si="523"/>
        <v>7863.2184191855868</v>
      </c>
      <c r="K748" s="25">
        <f t="shared" si="524"/>
        <v>20282.026119384056</v>
      </c>
      <c r="L748" s="25"/>
      <c r="N748" s="25">
        <f>'Combined Retirement'!$C$18/12</f>
        <v>39153.069999999992</v>
      </c>
      <c r="O748" s="25">
        <f t="shared" si="525"/>
        <v>11007.82546143035</v>
      </c>
      <c r="P748" s="25">
        <f t="shared" si="526"/>
        <v>28145.244538569641</v>
      </c>
      <c r="Q748" s="25">
        <f t="array" aca="1" ref="Q748" ca="1">INDEX('Isaac 401k'!L:L,MATCH('Retirement Calculator'!A748,'Isaac 401k'!N:N,0),0)</f>
        <v>-2048874.7818122895</v>
      </c>
      <c r="R748" s="25">
        <f t="array" aca="1" ref="R748" ca="1">INDEX('Lorri 401b'!L:L,MATCH('Retirement Calculator'!A748,'Lorri 401b'!N:N,0),0)</f>
        <v>-5180898.2507491326</v>
      </c>
      <c r="S748" s="25">
        <f t="shared" ca="1" si="527"/>
        <v>-7229773.0325614223</v>
      </c>
    </row>
    <row r="749" spans="1:19" ht="15.75" customHeight="1" x14ac:dyDescent="0.3">
      <c r="A749" s="37">
        <v>73750</v>
      </c>
      <c r="B749" s="409">
        <f t="shared" ref="B749:C749" si="755">($A749-B$9)/365.25</f>
        <v>120.03832991101984</v>
      </c>
      <c r="C749" s="409">
        <f t="shared" si="755"/>
        <v>115.42778918548939</v>
      </c>
      <c r="E749" s="25">
        <f>IF(C749&gt;$B$7,0,'Combined Retirement'!$D$13/12)</f>
        <v>0</v>
      </c>
      <c r="F749" s="25">
        <f>IF(H749=0,'Combined Retirement'!$D$32,0)+'Combined Retirement'!$B$24</f>
        <v>2870.372285649099</v>
      </c>
      <c r="G749" s="25">
        <f>'Combined Retirement'!$C$24</f>
        <v>3525.4531757812501</v>
      </c>
      <c r="H749" s="25">
        <f>IF(B749&lt;62,0,'Combined Retirement'!$I$14)</f>
        <v>2192</v>
      </c>
      <c r="I749" s="25">
        <f>IF(C749&lt;62,0,'Combined Retirement'!$I$13)</f>
        <v>2420</v>
      </c>
      <c r="J749" s="25">
        <f t="shared" si="523"/>
        <v>7863.2184191855868</v>
      </c>
      <c r="K749" s="25">
        <f t="shared" si="524"/>
        <v>20282.026119384056</v>
      </c>
      <c r="L749" s="25"/>
      <c r="N749" s="25">
        <f>'Combined Retirement'!$C$18/12</f>
        <v>39153.069999999992</v>
      </c>
      <c r="O749" s="25">
        <f t="shared" si="525"/>
        <v>11007.82546143035</v>
      </c>
      <c r="P749" s="25">
        <f t="shared" si="526"/>
        <v>28145.244538569641</v>
      </c>
      <c r="Q749" s="25">
        <f t="array" aca="1" ref="Q749" ca="1">INDEX('Isaac 401k'!L:L,MATCH('Retirement Calculator'!A749,'Isaac 401k'!N:N,0),0)</f>
        <v>-2065307.7418991062</v>
      </c>
      <c r="R749" s="25">
        <f t="array" aca="1" ref="R749" ca="1">INDEX('Lorri 401b'!L:L,MATCH('Retirement Calculator'!A749,'Lorri 401b'!N:N,0),0)</f>
        <v>-5222851.8613554686</v>
      </c>
      <c r="S749" s="25">
        <f t="shared" ca="1" si="527"/>
        <v>-7288159.6032545753</v>
      </c>
    </row>
    <row r="750" spans="1:19" ht="15.75" customHeight="1" x14ac:dyDescent="0.3">
      <c r="A750" s="37">
        <v>73781</v>
      </c>
      <c r="B750" s="409">
        <f t="shared" ref="B750:C750" si="756">($A750-B$9)/365.25</f>
        <v>120.12320328542094</v>
      </c>
      <c r="C750" s="409">
        <f t="shared" si="756"/>
        <v>115.51266255989049</v>
      </c>
      <c r="E750" s="25">
        <f>IF(C750&gt;$B$7,0,'Combined Retirement'!$D$13/12)</f>
        <v>0</v>
      </c>
      <c r="F750" s="25">
        <f>IF(H750=0,'Combined Retirement'!$D$32,0)+'Combined Retirement'!$B$24</f>
        <v>2870.372285649099</v>
      </c>
      <c r="G750" s="25">
        <f>'Combined Retirement'!$C$24</f>
        <v>3525.4531757812501</v>
      </c>
      <c r="H750" s="25">
        <f>IF(B750&lt;62,0,'Combined Retirement'!$I$14)</f>
        <v>2192</v>
      </c>
      <c r="I750" s="25">
        <f>IF(C750&lt;62,0,'Combined Retirement'!$I$13)</f>
        <v>2420</v>
      </c>
      <c r="J750" s="25">
        <f t="shared" si="523"/>
        <v>7863.2184191855868</v>
      </c>
      <c r="K750" s="25">
        <f t="shared" si="524"/>
        <v>20282.026119384056</v>
      </c>
      <c r="L750" s="25"/>
      <c r="N750" s="25">
        <f>'Combined Retirement'!$C$18/12</f>
        <v>39153.069999999992</v>
      </c>
      <c r="O750" s="25">
        <f t="shared" si="525"/>
        <v>11007.82546143035</v>
      </c>
      <c r="P750" s="25">
        <f t="shared" si="526"/>
        <v>28145.244538569641</v>
      </c>
      <c r="Q750" s="25">
        <f t="array" aca="1" ref="Q750" ca="1">INDEX('Isaac 401k'!L:L,MATCH('Retirement Calculator'!A750,'Isaac 401k'!N:N,0),0)</f>
        <v>-2081809.1726529514</v>
      </c>
      <c r="R750" s="25">
        <f t="array" aca="1" ref="R750" ca="1">INDEX('Lorri 401b'!L:L,MATCH('Retirement Calculator'!A750,'Lorri 401b'!N:N,0),0)</f>
        <v>-5264980.2786726644</v>
      </c>
      <c r="S750" s="25">
        <f t="shared" ca="1" si="527"/>
        <v>-7346789.4513256159</v>
      </c>
    </row>
    <row r="751" spans="1:19" ht="15.75" customHeight="1" x14ac:dyDescent="0.3">
      <c r="A751" s="37">
        <v>73812</v>
      </c>
      <c r="B751" s="409">
        <f t="shared" ref="B751:C751" si="757">($A751-B$9)/365.25</f>
        <v>120.20807665982204</v>
      </c>
      <c r="C751" s="409">
        <f t="shared" si="757"/>
        <v>115.59753593429159</v>
      </c>
      <c r="E751" s="25">
        <f>IF(C751&gt;$B$7,0,'Combined Retirement'!$D$13/12)</f>
        <v>0</v>
      </c>
      <c r="F751" s="25">
        <f>IF(H751=0,'Combined Retirement'!$D$32,0)+'Combined Retirement'!$B$24</f>
        <v>2870.372285649099</v>
      </c>
      <c r="G751" s="25">
        <f>'Combined Retirement'!$C$24</f>
        <v>3525.4531757812501</v>
      </c>
      <c r="H751" s="25">
        <f>IF(B751&lt;62,0,'Combined Retirement'!$I$14)</f>
        <v>2192</v>
      </c>
      <c r="I751" s="25">
        <f>IF(C751&lt;62,0,'Combined Retirement'!$I$13)</f>
        <v>2420</v>
      </c>
      <c r="J751" s="25">
        <f t="shared" si="523"/>
        <v>7863.2184191855868</v>
      </c>
      <c r="K751" s="25">
        <f t="shared" si="524"/>
        <v>20282.026119384056</v>
      </c>
      <c r="L751" s="25"/>
      <c r="N751" s="25">
        <f>'Combined Retirement'!$C$18/12</f>
        <v>39153.069999999992</v>
      </c>
      <c r="O751" s="25">
        <f t="shared" si="525"/>
        <v>11007.82546143035</v>
      </c>
      <c r="P751" s="25">
        <f t="shared" si="526"/>
        <v>28145.244538569641</v>
      </c>
      <c r="Q751" s="25">
        <f t="array" aca="1" ref="Q751" ca="1">INDEX('Isaac 401k'!L:L,MATCH('Retirement Calculator'!A751,'Isaac 401k'!N:N,0),0)</f>
        <v>-2098379.3593682707</v>
      </c>
      <c r="R751" s="25">
        <f t="array" aca="1" ref="R751" ca="1">INDEX('Lorri 401b'!L:L,MATCH('Retirement Calculator'!A751,'Lorri 401b'!N:N,0),0)</f>
        <v>-5307284.2310620155</v>
      </c>
      <c r="S751" s="25">
        <f t="shared" ca="1" si="527"/>
        <v>-7405663.5904302858</v>
      </c>
    </row>
    <row r="752" spans="1:19" ht="15.75" customHeight="1" x14ac:dyDescent="0.3">
      <c r="A752" s="37">
        <v>73840</v>
      </c>
      <c r="B752" s="409">
        <f t="shared" ref="B752:C752" si="758">($A752-B$9)/365.25</f>
        <v>120.28473648186174</v>
      </c>
      <c r="C752" s="409">
        <f t="shared" si="758"/>
        <v>115.67419575633129</v>
      </c>
      <c r="E752" s="25">
        <f>IF(C752&gt;$B$7,0,'Combined Retirement'!$D$13/12)</f>
        <v>0</v>
      </c>
      <c r="F752" s="25">
        <f>IF(H752=0,'Combined Retirement'!$D$32,0)+'Combined Retirement'!$B$24</f>
        <v>2870.372285649099</v>
      </c>
      <c r="G752" s="25">
        <f>'Combined Retirement'!$C$24</f>
        <v>3525.4531757812501</v>
      </c>
      <c r="H752" s="25">
        <f>IF(B752&lt;62,0,'Combined Retirement'!$I$14)</f>
        <v>2192</v>
      </c>
      <c r="I752" s="25">
        <f>IF(C752&lt;62,0,'Combined Retirement'!$I$13)</f>
        <v>2420</v>
      </c>
      <c r="J752" s="25">
        <f t="shared" si="523"/>
        <v>7863.2184191855868</v>
      </c>
      <c r="K752" s="25">
        <f t="shared" si="524"/>
        <v>20282.026119384056</v>
      </c>
      <c r="L752" s="25"/>
      <c r="N752" s="25">
        <f>'Combined Retirement'!$C$18/12</f>
        <v>39153.069999999992</v>
      </c>
      <c r="O752" s="25">
        <f t="shared" si="525"/>
        <v>11007.82546143035</v>
      </c>
      <c r="P752" s="25">
        <f t="shared" si="526"/>
        <v>28145.244538569641</v>
      </c>
      <c r="Q752" s="25">
        <f t="array" aca="1" ref="Q752" ca="1">INDEX('Isaac 401k'!L:L,MATCH('Retirement Calculator'!A752,'Isaac 401k'!N:N,0),0)</f>
        <v>-2115018.5885282373</v>
      </c>
      <c r="R752" s="25">
        <f t="array" aca="1" ref="R752" ca="1">INDEX('Lorri 401b'!L:L,MATCH('Retirement Calculator'!A752,'Lorri 401b'!N:N,0),0)</f>
        <v>-5349764.449919655</v>
      </c>
      <c r="S752" s="25">
        <f t="shared" ca="1" si="527"/>
        <v>-7464783.0384478923</v>
      </c>
    </row>
    <row r="753" spans="1:19" ht="15.75" customHeight="1" x14ac:dyDescent="0.3">
      <c r="A753" s="37">
        <v>73871</v>
      </c>
      <c r="B753" s="409">
        <f t="shared" ref="B753:C753" si="759">($A753-B$9)/365.25</f>
        <v>120.36960985626284</v>
      </c>
      <c r="C753" s="409">
        <f t="shared" si="759"/>
        <v>115.75906913073237</v>
      </c>
      <c r="E753" s="25">
        <f>IF(C753&gt;$B$7,0,'Combined Retirement'!$D$13/12)</f>
        <v>0</v>
      </c>
      <c r="F753" s="25">
        <f>IF(H753=0,'Combined Retirement'!$D$32,0)+'Combined Retirement'!$B$24</f>
        <v>2870.372285649099</v>
      </c>
      <c r="G753" s="25">
        <f>'Combined Retirement'!$C$24</f>
        <v>3525.4531757812501</v>
      </c>
      <c r="H753" s="25">
        <f>IF(B753&lt;62,0,'Combined Retirement'!$I$14)</f>
        <v>2192</v>
      </c>
      <c r="I753" s="25">
        <f>IF(C753&lt;62,0,'Combined Retirement'!$I$13)</f>
        <v>2420</v>
      </c>
      <c r="J753" s="25">
        <f t="shared" si="523"/>
        <v>7863.2184191855868</v>
      </c>
      <c r="K753" s="25">
        <f t="shared" si="524"/>
        <v>20282.026119384056</v>
      </c>
      <c r="L753" s="25"/>
      <c r="N753" s="25">
        <f>'Combined Retirement'!$C$18/12</f>
        <v>39153.069999999992</v>
      </c>
      <c r="O753" s="25">
        <f t="shared" si="525"/>
        <v>11007.82546143035</v>
      </c>
      <c r="P753" s="25">
        <f t="shared" si="526"/>
        <v>28145.244538569641</v>
      </c>
      <c r="Q753" s="25">
        <f t="array" aca="1" ref="Q753" ca="1">INDEX('Isaac 401k'!L:L,MATCH('Retirement Calculator'!A753,'Isaac 401k'!N:N,0),0)</f>
        <v>-2131727.1478097038</v>
      </c>
      <c r="R753" s="25">
        <f t="array" aca="1" ref="R753" ca="1">INDEX('Lorri 401b'!L:L,MATCH('Retirement Calculator'!A753,'Lorri 401b'!N:N,0),0)</f>
        <v>-5392421.6696892017</v>
      </c>
      <c r="S753" s="25">
        <f t="shared" ca="1" si="527"/>
        <v>-7524148.8174989056</v>
      </c>
    </row>
    <row r="754" spans="1:19" ht="15.75" customHeight="1" x14ac:dyDescent="0.3">
      <c r="A754" s="37">
        <v>73901</v>
      </c>
      <c r="B754" s="409">
        <f t="shared" ref="B754:C754" si="760">($A754-B$9)/365.25</f>
        <v>120.4517453798768</v>
      </c>
      <c r="C754" s="409">
        <f t="shared" si="760"/>
        <v>115.84120465434634</v>
      </c>
      <c r="E754" s="25">
        <f>IF(C754&gt;$B$7,0,'Combined Retirement'!$D$13/12)</f>
        <v>0</v>
      </c>
      <c r="F754" s="25">
        <f>IF(H754=0,'Combined Retirement'!$D$32,0)+'Combined Retirement'!$B$24</f>
        <v>2870.372285649099</v>
      </c>
      <c r="G754" s="25">
        <f>'Combined Retirement'!$C$24</f>
        <v>3525.4531757812501</v>
      </c>
      <c r="H754" s="25">
        <f>IF(B754&lt;62,0,'Combined Retirement'!$I$14)</f>
        <v>2192</v>
      </c>
      <c r="I754" s="25">
        <f>IF(C754&lt;62,0,'Combined Retirement'!$I$13)</f>
        <v>2420</v>
      </c>
      <c r="J754" s="25">
        <f t="shared" si="523"/>
        <v>7863.2184191855868</v>
      </c>
      <c r="K754" s="25">
        <f t="shared" si="524"/>
        <v>20282.026119384056</v>
      </c>
      <c r="L754" s="25"/>
      <c r="N754" s="25">
        <f>'Combined Retirement'!$C$18/12</f>
        <v>39153.069999999992</v>
      </c>
      <c r="O754" s="25">
        <f t="shared" si="525"/>
        <v>11007.82546143035</v>
      </c>
      <c r="P754" s="25">
        <f t="shared" si="526"/>
        <v>28145.244538569641</v>
      </c>
      <c r="Q754" s="25">
        <f t="array" aca="1" ref="Q754" ca="1">INDEX('Isaac 401k'!L:L,MATCH('Retirement Calculator'!A754,'Isaac 401k'!N:N,0),0)</f>
        <v>-2148505.3260881761</v>
      </c>
      <c r="R754" s="25">
        <f t="array" aca="1" ref="R754" ca="1">INDEX('Lorri 401b'!L:L,MATCH('Retirement Calculator'!A754,'Lorri 401b'!N:N,0),0)</f>
        <v>-5435256.6278744545</v>
      </c>
      <c r="S754" s="25">
        <f t="shared" ca="1" si="527"/>
        <v>-7583761.9539626306</v>
      </c>
    </row>
    <row r="755" spans="1:19" ht="15.75" customHeight="1" x14ac:dyDescent="0.3">
      <c r="A755" s="37">
        <v>73932</v>
      </c>
      <c r="B755" s="409">
        <f t="shared" ref="B755:C755" si="761">($A755-B$9)/365.25</f>
        <v>120.5366187542779</v>
      </c>
      <c r="C755" s="409">
        <f t="shared" si="761"/>
        <v>115.92607802874743</v>
      </c>
      <c r="E755" s="25">
        <f>IF(C755&gt;$B$7,0,'Combined Retirement'!$D$13/12)</f>
        <v>0</v>
      </c>
      <c r="F755" s="25">
        <f>IF(H755=0,'Combined Retirement'!$D$32,0)+'Combined Retirement'!$B$24</f>
        <v>2870.372285649099</v>
      </c>
      <c r="G755" s="25">
        <f>'Combined Retirement'!$C$24</f>
        <v>3525.4531757812501</v>
      </c>
      <c r="H755" s="25">
        <f>IF(B755&lt;62,0,'Combined Retirement'!$I$14)</f>
        <v>2192</v>
      </c>
      <c r="I755" s="25">
        <f>IF(C755&lt;62,0,'Combined Retirement'!$I$13)</f>
        <v>2420</v>
      </c>
      <c r="J755" s="25">
        <f t="shared" si="523"/>
        <v>7863.2184191855868</v>
      </c>
      <c r="K755" s="25">
        <f t="shared" si="524"/>
        <v>20282.026119384056</v>
      </c>
      <c r="L755" s="25"/>
      <c r="N755" s="25">
        <f>'Combined Retirement'!$C$18/12</f>
        <v>39153.069999999992</v>
      </c>
      <c r="O755" s="25">
        <f t="shared" si="525"/>
        <v>11007.82546143035</v>
      </c>
      <c r="P755" s="25">
        <f t="shared" si="526"/>
        <v>28145.244538569641</v>
      </c>
      <c r="Q755" s="25">
        <f t="array" aca="1" ref="Q755" ca="1">INDEX('Isaac 401k'!L:L,MATCH('Retirement Calculator'!A755,'Isaac 401k'!N:N,0),0)</f>
        <v>-2165353.4134428087</v>
      </c>
      <c r="R755" s="25">
        <f t="array" aca="1" ref="R755" ca="1">INDEX('Lorri 401b'!L:L,MATCH('Retirement Calculator'!A755,'Lorri 401b'!N:N,0),0)</f>
        <v>-5478270.0650521461</v>
      </c>
      <c r="S755" s="25">
        <f t="shared" ca="1" si="527"/>
        <v>-7643623.4784949552</v>
      </c>
    </row>
    <row r="756" spans="1:19" ht="15.75" customHeight="1" x14ac:dyDescent="0.3">
      <c r="A756" s="37">
        <v>73962</v>
      </c>
      <c r="B756" s="409">
        <f t="shared" ref="B756:C756" si="762">($A756-B$9)/365.25</f>
        <v>120.61875427789185</v>
      </c>
      <c r="C756" s="409">
        <f t="shared" si="762"/>
        <v>116.0082135523614</v>
      </c>
      <c r="E756" s="25">
        <f>IF(C756&gt;$B$7,0,'Combined Retirement'!$D$13/12)</f>
        <v>0</v>
      </c>
      <c r="F756" s="25">
        <f>IF(H756=0,'Combined Retirement'!$D$32,0)+'Combined Retirement'!$B$24</f>
        <v>2870.372285649099</v>
      </c>
      <c r="G756" s="25">
        <f>'Combined Retirement'!$C$24</f>
        <v>3525.4531757812501</v>
      </c>
      <c r="H756" s="25">
        <f>IF(B756&lt;62,0,'Combined Retirement'!$I$14)</f>
        <v>2192</v>
      </c>
      <c r="I756" s="25">
        <f>IF(C756&lt;62,0,'Combined Retirement'!$I$13)</f>
        <v>2420</v>
      </c>
      <c r="J756" s="25">
        <f t="shared" si="523"/>
        <v>7863.2184191855868</v>
      </c>
      <c r="K756" s="25">
        <f t="shared" si="524"/>
        <v>20282.026119384056</v>
      </c>
      <c r="L756" s="25"/>
      <c r="N756" s="25">
        <f>'Combined Retirement'!$C$18/12</f>
        <v>39153.069999999992</v>
      </c>
      <c r="O756" s="25">
        <f t="shared" si="525"/>
        <v>11007.82546143035</v>
      </c>
      <c r="P756" s="25">
        <f t="shared" si="526"/>
        <v>28145.244538569641</v>
      </c>
      <c r="Q756" s="25">
        <f t="array" aca="1" ref="Q756" ca="1">INDEX('Isaac 401k'!L:L,MATCH('Retirement Calculator'!A756,'Isaac 401k'!N:N,0),0)</f>
        <v>-2182271.701161419</v>
      </c>
      <c r="R756" s="25">
        <f t="array" aca="1" ref="R756" ca="1">INDEX('Lorri 401b'!L:L,MATCH('Retirement Calculator'!A756,'Lorri 401b'!N:N,0),0)</f>
        <v>-5521462.7248847447</v>
      </c>
      <c r="S756" s="25">
        <f t="shared" ca="1" si="527"/>
        <v>-7703734.4260461638</v>
      </c>
    </row>
    <row r="757" spans="1:19" ht="15.75" customHeight="1" x14ac:dyDescent="0.3">
      <c r="A757" s="37">
        <v>73993</v>
      </c>
      <c r="B757" s="409">
        <f t="shared" ref="B757:C757" si="763">($A757-B$9)/365.25</f>
        <v>120.70362765229295</v>
      </c>
      <c r="C757" s="409">
        <f t="shared" si="763"/>
        <v>116.0930869267625</v>
      </c>
      <c r="E757" s="25">
        <f>IF(C757&gt;$B$7,0,'Combined Retirement'!$D$13/12)</f>
        <v>0</v>
      </c>
      <c r="F757" s="25">
        <f>IF(H757=0,'Combined Retirement'!$D$32,0)+'Combined Retirement'!$B$24</f>
        <v>2870.372285649099</v>
      </c>
      <c r="G757" s="25">
        <f>'Combined Retirement'!$C$24</f>
        <v>3525.4531757812501</v>
      </c>
      <c r="H757" s="25">
        <f>IF(B757&lt;62,0,'Combined Retirement'!$I$14)</f>
        <v>2192</v>
      </c>
      <c r="I757" s="25">
        <f>IF(C757&lt;62,0,'Combined Retirement'!$I$13)</f>
        <v>2420</v>
      </c>
      <c r="J757" s="25">
        <f t="shared" si="523"/>
        <v>7863.2184191855868</v>
      </c>
      <c r="K757" s="25">
        <f t="shared" si="524"/>
        <v>20282.026119384056</v>
      </c>
      <c r="L757" s="25"/>
      <c r="N757" s="25">
        <f>'Combined Retirement'!$C$18/12</f>
        <v>39153.069999999992</v>
      </c>
      <c r="O757" s="25">
        <f t="shared" si="525"/>
        <v>11007.82546143035</v>
      </c>
      <c r="P757" s="25">
        <f t="shared" si="526"/>
        <v>28145.244538569641</v>
      </c>
      <c r="Q757" s="25">
        <f t="array" aca="1" ref="Q757" ca="1">INDEX('Isaac 401k'!L:L,MATCH('Retirement Calculator'!A757,'Isaac 401k'!N:N,0),0)</f>
        <v>-2199260.4817455234</v>
      </c>
      <c r="R757" s="25">
        <f t="array" aca="1" ref="R757" ca="1">INDEX('Lorri 401b'!L:L,MATCH('Retirement Calculator'!A757,'Lorri 401b'!N:N,0),0)</f>
        <v>-5564835.3541333126</v>
      </c>
      <c r="S757" s="25">
        <f t="shared" ca="1" si="527"/>
        <v>-7764095.835878836</v>
      </c>
    </row>
    <row r="758" spans="1:19" ht="15.75" customHeight="1" x14ac:dyDescent="0.3">
      <c r="A758" s="37">
        <v>74024</v>
      </c>
      <c r="B758" s="409">
        <f t="shared" ref="B758:C758" si="764">($A758-B$9)/365.25</f>
        <v>120.78850102669405</v>
      </c>
      <c r="C758" s="409">
        <f t="shared" si="764"/>
        <v>116.17796030116358</v>
      </c>
      <c r="E758" s="25">
        <f>IF(C758&gt;$B$7,0,'Combined Retirement'!$D$13/12)</f>
        <v>0</v>
      </c>
      <c r="F758" s="25">
        <f>IF(H758=0,'Combined Retirement'!$D$32,0)+'Combined Retirement'!$B$24</f>
        <v>2870.372285649099</v>
      </c>
      <c r="G758" s="25">
        <f>'Combined Retirement'!$C$24</f>
        <v>3525.4531757812501</v>
      </c>
      <c r="H758" s="25">
        <f>IF(B758&lt;62,0,'Combined Retirement'!$I$14)</f>
        <v>2192</v>
      </c>
      <c r="I758" s="25">
        <f>IF(C758&lt;62,0,'Combined Retirement'!$I$13)</f>
        <v>2420</v>
      </c>
      <c r="J758" s="25">
        <f t="shared" si="523"/>
        <v>7863.2184191855868</v>
      </c>
      <c r="K758" s="25">
        <f t="shared" si="524"/>
        <v>20282.026119384056</v>
      </c>
      <c r="L758" s="25"/>
      <c r="N758" s="25">
        <f>'Combined Retirement'!$C$18/12</f>
        <v>39153.069999999992</v>
      </c>
      <c r="O758" s="25">
        <f t="shared" si="525"/>
        <v>11007.82546143035</v>
      </c>
      <c r="P758" s="25">
        <f t="shared" si="526"/>
        <v>28145.244538569641</v>
      </c>
      <c r="Q758" s="25">
        <f t="array" aca="1" ref="Q758" ca="1">INDEX('Isaac 401k'!L:L,MATCH('Retirement Calculator'!A758,'Isaac 401k'!N:N,0),0)</f>
        <v>-2216320.048915395</v>
      </c>
      <c r="R758" s="25">
        <f t="array" aca="1" ref="R758" ca="1">INDEX('Lorri 401b'!L:L,MATCH('Retirement Calculator'!A758,'Lorri 401b'!N:N,0),0)</f>
        <v>-5608388.7026704159</v>
      </c>
      <c r="S758" s="25">
        <f t="shared" ca="1" si="527"/>
        <v>-7824708.7515858114</v>
      </c>
    </row>
    <row r="759" spans="1:19" ht="15.75" customHeight="1" x14ac:dyDescent="0.3">
      <c r="A759" s="37">
        <v>74054</v>
      </c>
      <c r="B759" s="409">
        <f t="shared" ref="B759:C759" si="765">($A759-B$9)/365.25</f>
        <v>120.87063655030801</v>
      </c>
      <c r="C759" s="409">
        <f t="shared" si="765"/>
        <v>116.26009582477755</v>
      </c>
      <c r="E759" s="25">
        <f>IF(C759&gt;$B$7,0,'Combined Retirement'!$D$13/12)</f>
        <v>0</v>
      </c>
      <c r="F759" s="25">
        <f>IF(H759=0,'Combined Retirement'!$D$32,0)+'Combined Retirement'!$B$24</f>
        <v>2870.372285649099</v>
      </c>
      <c r="G759" s="25">
        <f>'Combined Retirement'!$C$24</f>
        <v>3525.4531757812501</v>
      </c>
      <c r="H759" s="25">
        <f>IF(B759&lt;62,0,'Combined Retirement'!$I$14)</f>
        <v>2192</v>
      </c>
      <c r="I759" s="25">
        <f>IF(C759&lt;62,0,'Combined Retirement'!$I$13)</f>
        <v>2420</v>
      </c>
      <c r="J759" s="25">
        <f t="shared" si="523"/>
        <v>7863.2184191855868</v>
      </c>
      <c r="K759" s="25">
        <f t="shared" si="524"/>
        <v>20282.026119384056</v>
      </c>
      <c r="L759" s="25"/>
      <c r="N759" s="25">
        <f>'Combined Retirement'!$C$18/12</f>
        <v>39153.069999999992</v>
      </c>
      <c r="O759" s="25">
        <f t="shared" si="525"/>
        <v>11007.82546143035</v>
      </c>
      <c r="P759" s="25">
        <f t="shared" si="526"/>
        <v>28145.244538569641</v>
      </c>
      <c r="Q759" s="25">
        <f t="array" aca="1" ref="Q759" ca="1">INDEX('Isaac 401k'!L:L,MATCH('Retirement Calculator'!A759,'Isaac 401k'!N:N,0),0)</f>
        <v>-2233450.697615141</v>
      </c>
      <c r="R759" s="25">
        <f t="array" aca="1" ref="R759" ca="1">INDEX('Lorri 401b'!L:L,MATCH('Retirement Calculator'!A759,'Lorri 401b'!N:N,0),0)</f>
        <v>-5652123.5234930906</v>
      </c>
      <c r="S759" s="25">
        <f t="shared" ca="1" si="527"/>
        <v>-7885574.2211082317</v>
      </c>
    </row>
    <row r="760" spans="1:19" ht="15.75" customHeight="1" x14ac:dyDescent="0.3">
      <c r="A760" s="37">
        <v>74085</v>
      </c>
      <c r="B760" s="409">
        <f t="shared" ref="B760:C760" si="766">($A760-B$9)/365.25</f>
        <v>120.95550992470911</v>
      </c>
      <c r="C760" s="409">
        <f t="shared" si="766"/>
        <v>116.34496919917865</v>
      </c>
      <c r="E760" s="25">
        <f>IF(C760&gt;$B$7,0,'Combined Retirement'!$D$13/12)</f>
        <v>0</v>
      </c>
      <c r="F760" s="25">
        <f>IF(H760=0,'Combined Retirement'!$D$32,0)+'Combined Retirement'!$B$24</f>
        <v>2870.372285649099</v>
      </c>
      <c r="G760" s="25">
        <f>'Combined Retirement'!$C$24</f>
        <v>3525.4531757812501</v>
      </c>
      <c r="H760" s="25">
        <f>IF(B760&lt;62,0,'Combined Retirement'!$I$14)</f>
        <v>2192</v>
      </c>
      <c r="I760" s="25">
        <f>IF(C760&lt;62,0,'Combined Retirement'!$I$13)</f>
        <v>2420</v>
      </c>
      <c r="J760" s="25">
        <f t="shared" si="523"/>
        <v>7863.2184191855868</v>
      </c>
      <c r="K760" s="25">
        <f t="shared" si="524"/>
        <v>20282.026119384056</v>
      </c>
      <c r="L760" s="25"/>
      <c r="N760" s="25">
        <f>'Combined Retirement'!$C$18/12</f>
        <v>39153.069999999992</v>
      </c>
      <c r="O760" s="25">
        <f t="shared" si="525"/>
        <v>11007.82546143035</v>
      </c>
      <c r="P760" s="25">
        <f t="shared" si="526"/>
        <v>28145.244538569641</v>
      </c>
      <c r="Q760" s="25">
        <f t="array" aca="1" ref="Q760" ca="1">INDEX('Isaac 401k'!L:L,MATCH('Retirement Calculator'!A760,'Isaac 401k'!N:N,0),0)</f>
        <v>-2250652.7240178026</v>
      </c>
      <c r="R760" s="25">
        <f t="array" aca="1" ref="R760" ca="1">INDEX('Lorri 401b'!L:L,MATCH('Retirement Calculator'!A760,'Lorri 401b'!N:N,0),0)</f>
        <v>-5696040.57273586</v>
      </c>
      <c r="S760" s="25">
        <f t="shared" ca="1" si="527"/>
        <v>-7946693.2967536626</v>
      </c>
    </row>
    <row r="761" spans="1:19" ht="15.75" customHeight="1" x14ac:dyDescent="0.3">
      <c r="A761" s="37">
        <v>74115</v>
      </c>
      <c r="B761" s="409">
        <f t="shared" ref="B761:C761" si="767">($A761-B$9)/365.25</f>
        <v>121.03764544832306</v>
      </c>
      <c r="C761" s="409">
        <f t="shared" si="767"/>
        <v>116.42710472279261</v>
      </c>
      <c r="E761" s="25">
        <f>IF(C761&gt;$B$7,0,'Combined Retirement'!$D$13/12)</f>
        <v>0</v>
      </c>
      <c r="F761" s="25">
        <f>IF(H761=0,'Combined Retirement'!$D$32,0)+'Combined Retirement'!$B$24</f>
        <v>2870.372285649099</v>
      </c>
      <c r="G761" s="25">
        <f>'Combined Retirement'!$C$24</f>
        <v>3525.4531757812501</v>
      </c>
      <c r="H761" s="25">
        <f>IF(B761&lt;62,0,'Combined Retirement'!$I$14)</f>
        <v>2192</v>
      </c>
      <c r="I761" s="25">
        <f>IF(C761&lt;62,0,'Combined Retirement'!$I$13)</f>
        <v>2420</v>
      </c>
      <c r="J761" s="25">
        <f t="shared" si="523"/>
        <v>7863.2184191855868</v>
      </c>
      <c r="K761" s="25">
        <f t="shared" si="524"/>
        <v>20282.026119384056</v>
      </c>
      <c r="L761" s="25"/>
      <c r="N761" s="25">
        <f>'Combined Retirement'!$C$18/12</f>
        <v>39153.069999999992</v>
      </c>
      <c r="O761" s="25">
        <f t="shared" si="525"/>
        <v>11007.82546143035</v>
      </c>
      <c r="P761" s="25">
        <f t="shared" si="526"/>
        <v>28145.244538569641</v>
      </c>
      <c r="Q761" s="25">
        <f t="array" aca="1" ref="Q761" ca="1">INDEX('Isaac 401k'!L:L,MATCH('Retirement Calculator'!A761,'Isaac 401k'!N:N,0),0)</f>
        <v>-2267926.4255304756</v>
      </c>
      <c r="R761" s="25">
        <f t="array" aca="1" ref="R761" ca="1">INDEX('Lorri 401b'!L:L,MATCH('Retirement Calculator'!A761,'Lorri 401b'!N:N,0),0)</f>
        <v>-5740140.6096838079</v>
      </c>
      <c r="S761" s="25">
        <f t="shared" ca="1" si="527"/>
        <v>-8008067.0352142835</v>
      </c>
    </row>
    <row r="762" spans="1:19" ht="15.75" customHeight="1" x14ac:dyDescent="0.3">
      <c r="A762" s="37">
        <v>74146</v>
      </c>
      <c r="B762" s="409">
        <f t="shared" ref="B762:C762" si="768">($A762-B$9)/365.25</f>
        <v>121.12251882272416</v>
      </c>
      <c r="C762" s="409">
        <f t="shared" si="768"/>
        <v>116.5119780971937</v>
      </c>
      <c r="E762" s="25">
        <f>IF(C762&gt;$B$7,0,'Combined Retirement'!$D$13/12)</f>
        <v>0</v>
      </c>
      <c r="F762" s="25">
        <f>IF(H762=0,'Combined Retirement'!$D$32,0)+'Combined Retirement'!$B$24</f>
        <v>2870.372285649099</v>
      </c>
      <c r="G762" s="25">
        <f>'Combined Retirement'!$C$24</f>
        <v>3525.4531757812501</v>
      </c>
      <c r="H762" s="25">
        <f>IF(B762&lt;62,0,'Combined Retirement'!$I$14)</f>
        <v>2192</v>
      </c>
      <c r="I762" s="25">
        <f>IF(C762&lt;62,0,'Combined Retirement'!$I$13)</f>
        <v>2420</v>
      </c>
      <c r="J762" s="25">
        <f t="shared" si="523"/>
        <v>7863.2184191855868</v>
      </c>
      <c r="K762" s="25">
        <f t="shared" si="524"/>
        <v>20282.026119384056</v>
      </c>
      <c r="L762" s="25"/>
      <c r="N762" s="25">
        <f>'Combined Retirement'!$C$18/12</f>
        <v>39153.069999999992</v>
      </c>
      <c r="O762" s="25">
        <f t="shared" si="525"/>
        <v>11007.82546143035</v>
      </c>
      <c r="P762" s="25">
        <f t="shared" si="526"/>
        <v>28145.244538569641</v>
      </c>
      <c r="Q762" s="25">
        <f t="array" aca="1" ref="Q762" ca="1">INDEX('Isaac 401k'!L:L,MATCH('Retirement Calculator'!A762,'Isaac 401k'!N:N,0),0)</f>
        <v>-2285272.1007994511</v>
      </c>
      <c r="R762" s="25">
        <f t="array" aca="1" ref="R762" ca="1">INDEX('Lorri 401b'!L:L,MATCH('Retirement Calculator'!A762,'Lorri 401b'!N:N,0),0)</f>
        <v>-5784424.3967857054</v>
      </c>
      <c r="S762" s="25">
        <f t="shared" ca="1" si="527"/>
        <v>-8069696.4975851569</v>
      </c>
    </row>
    <row r="763" spans="1:19" ht="15.75" customHeight="1" x14ac:dyDescent="0.3">
      <c r="A763" s="37">
        <v>74177</v>
      </c>
      <c r="B763" s="409">
        <f t="shared" ref="B763:C763" si="769">($A763-B$9)/365.25</f>
        <v>121.20739219712526</v>
      </c>
      <c r="C763" s="409">
        <f t="shared" si="769"/>
        <v>116.5968514715948</v>
      </c>
      <c r="E763" s="25">
        <f>IF(C763&gt;$B$7,0,'Combined Retirement'!$D$13/12)</f>
        <v>0</v>
      </c>
      <c r="F763" s="25">
        <f>IF(H763=0,'Combined Retirement'!$D$32,0)+'Combined Retirement'!$B$24</f>
        <v>2870.372285649099</v>
      </c>
      <c r="G763" s="25">
        <f>'Combined Retirement'!$C$24</f>
        <v>3525.4531757812501</v>
      </c>
      <c r="H763" s="25">
        <f>IF(B763&lt;62,0,'Combined Retirement'!$I$14)</f>
        <v>2192</v>
      </c>
      <c r="I763" s="25">
        <f>IF(C763&lt;62,0,'Combined Retirement'!$I$13)</f>
        <v>2420</v>
      </c>
      <c r="J763" s="25">
        <f t="shared" si="523"/>
        <v>7863.2184191855868</v>
      </c>
      <c r="K763" s="25">
        <f t="shared" si="524"/>
        <v>20282.026119384056</v>
      </c>
      <c r="L763" s="25"/>
      <c r="N763" s="25">
        <f>'Combined Retirement'!$C$18/12</f>
        <v>39153.069999999992</v>
      </c>
      <c r="O763" s="25">
        <f t="shared" si="525"/>
        <v>11007.82546143035</v>
      </c>
      <c r="P763" s="25">
        <f t="shared" si="526"/>
        <v>28145.244538569641</v>
      </c>
      <c r="Q763" s="25">
        <f t="array" aca="1" ref="Q763" ca="1">INDEX('Isaac 401k'!L:L,MATCH('Retirement Calculator'!A763,'Isaac 401k'!N:N,0),0)</f>
        <v>-2302690.0497153807</v>
      </c>
      <c r="R763" s="25">
        <f t="array" aca="1" ref="R763" ca="1">INDEX('Lorri 401b'!L:L,MATCH('Retirement Calculator'!A763,'Lorri 401b'!N:N,0),0)</f>
        <v>-5828892.6996671939</v>
      </c>
      <c r="S763" s="25">
        <f t="shared" ca="1" si="527"/>
        <v>-8131582.7493825741</v>
      </c>
    </row>
    <row r="764" spans="1:19" ht="15.75" customHeight="1" x14ac:dyDescent="0.3">
      <c r="A764" s="37">
        <v>74205</v>
      </c>
      <c r="B764" s="409">
        <f t="shared" ref="B764:C764" si="770">($A764-B$9)/365.25</f>
        <v>121.28405201916496</v>
      </c>
      <c r="C764" s="409">
        <f t="shared" si="770"/>
        <v>116.67351129363449</v>
      </c>
      <c r="E764" s="25">
        <f>IF(C764&gt;$B$7,0,'Combined Retirement'!$D$13/12)</f>
        <v>0</v>
      </c>
      <c r="F764" s="25">
        <f>IF(H764=0,'Combined Retirement'!$D$32,0)+'Combined Retirement'!$B$24</f>
        <v>2870.372285649099</v>
      </c>
      <c r="G764" s="25">
        <f>'Combined Retirement'!$C$24</f>
        <v>3525.4531757812501</v>
      </c>
      <c r="H764" s="25">
        <f>IF(B764&lt;62,0,'Combined Retirement'!$I$14)</f>
        <v>2192</v>
      </c>
      <c r="I764" s="25">
        <f>IF(C764&lt;62,0,'Combined Retirement'!$I$13)</f>
        <v>2420</v>
      </c>
      <c r="J764" s="25">
        <f t="shared" si="523"/>
        <v>7863.2184191855868</v>
      </c>
      <c r="K764" s="25">
        <f t="shared" si="524"/>
        <v>20282.026119384056</v>
      </c>
      <c r="L764" s="25"/>
      <c r="N764" s="25">
        <f>'Combined Retirement'!$C$18/12</f>
        <v>39153.069999999992</v>
      </c>
      <c r="O764" s="25">
        <f t="shared" si="525"/>
        <v>11007.82546143035</v>
      </c>
      <c r="P764" s="25">
        <f t="shared" si="526"/>
        <v>28145.244538569641</v>
      </c>
      <c r="Q764" s="25">
        <f t="array" aca="1" ref="Q764" ca="1">INDEX('Isaac 401k'!L:L,MATCH('Retirement Calculator'!A764,'Isaac 401k'!N:N,0),0)</f>
        <v>-2320180.5734184599</v>
      </c>
      <c r="R764" s="25">
        <f t="array" aca="1" ref="R764" ca="1">INDEX('Lorri 401b'!L:L,MATCH('Retirement Calculator'!A764,'Lorri 401b'!N:N,0),0)</f>
        <v>-5873546.2871440221</v>
      </c>
      <c r="S764" s="25">
        <f t="shared" ca="1" si="527"/>
        <v>-8193726.8605624819</v>
      </c>
    </row>
    <row r="765" spans="1:19" ht="15.75" customHeight="1" x14ac:dyDescent="0.3">
      <c r="A765" s="37">
        <v>74236</v>
      </c>
      <c r="B765" s="409">
        <f t="shared" ref="B765:C765" si="771">($A765-B$9)/365.25</f>
        <v>121.36892539356604</v>
      </c>
      <c r="C765" s="409">
        <f t="shared" si="771"/>
        <v>116.75838466803559</v>
      </c>
      <c r="E765" s="25">
        <f>IF(C765&gt;$B$7,0,'Combined Retirement'!$D$13/12)</f>
        <v>0</v>
      </c>
      <c r="F765" s="25">
        <f>IF(H765=0,'Combined Retirement'!$D$32,0)+'Combined Retirement'!$B$24</f>
        <v>2870.372285649099</v>
      </c>
      <c r="G765" s="25">
        <f>'Combined Retirement'!$C$24</f>
        <v>3525.4531757812501</v>
      </c>
      <c r="H765" s="25">
        <f>IF(B765&lt;62,0,'Combined Retirement'!$I$14)</f>
        <v>2192</v>
      </c>
      <c r="I765" s="25">
        <f>IF(C765&lt;62,0,'Combined Retirement'!$I$13)</f>
        <v>2420</v>
      </c>
      <c r="J765" s="25">
        <f t="shared" si="523"/>
        <v>7863.2184191855868</v>
      </c>
      <c r="K765" s="25">
        <f t="shared" si="524"/>
        <v>20282.026119384056</v>
      </c>
      <c r="L765" s="25"/>
      <c r="N765" s="25">
        <f>'Combined Retirement'!$C$18/12</f>
        <v>39153.069999999992</v>
      </c>
      <c r="O765" s="25">
        <f t="shared" si="525"/>
        <v>11007.82546143035</v>
      </c>
      <c r="P765" s="25">
        <f t="shared" si="526"/>
        <v>28145.244538569641</v>
      </c>
      <c r="Q765" s="25">
        <f t="array" aca="1" ref="Q765" ca="1">INDEX('Isaac 401k'!L:L,MATCH('Retirement Calculator'!A765,'Isaac 401k'!N:N,0),0)</f>
        <v>-2337743.9743036353</v>
      </c>
      <c r="R765" s="25">
        <f t="array" aca="1" ref="R765" ca="1">INDEX('Lorri 401b'!L:L,MATCH('Retirement Calculator'!A765,'Lorri 401b'!N:N,0),0)</f>
        <v>-5918385.9312353367</v>
      </c>
      <c r="S765" s="25">
        <f t="shared" ca="1" si="527"/>
        <v>-8256129.9055389725</v>
      </c>
    </row>
    <row r="766" spans="1:19" ht="15.75" customHeight="1" x14ac:dyDescent="0.3">
      <c r="A766" s="37">
        <v>74266</v>
      </c>
      <c r="B766" s="409">
        <f t="shared" ref="B766:C766" si="772">($A766-B$9)/365.25</f>
        <v>121.45106091718002</v>
      </c>
      <c r="C766" s="409">
        <f t="shared" si="772"/>
        <v>116.84052019164956</v>
      </c>
      <c r="E766" s="25">
        <f>IF(C766&gt;$B$7,0,'Combined Retirement'!$D$13/12)</f>
        <v>0</v>
      </c>
      <c r="F766" s="25">
        <f>IF(H766=0,'Combined Retirement'!$D$32,0)+'Combined Retirement'!$B$24</f>
        <v>2870.372285649099</v>
      </c>
      <c r="G766" s="25">
        <f>'Combined Retirement'!$C$24</f>
        <v>3525.4531757812501</v>
      </c>
      <c r="H766" s="25">
        <f>IF(B766&lt;62,0,'Combined Retirement'!$I$14)</f>
        <v>2192</v>
      </c>
      <c r="I766" s="25">
        <f>IF(C766&lt;62,0,'Combined Retirement'!$I$13)</f>
        <v>2420</v>
      </c>
      <c r="J766" s="25">
        <f t="shared" si="523"/>
        <v>7863.2184191855868</v>
      </c>
      <c r="K766" s="25">
        <f t="shared" si="524"/>
        <v>20282.026119384056</v>
      </c>
      <c r="L766" s="25"/>
      <c r="N766" s="25">
        <f>'Combined Retirement'!$C$18/12</f>
        <v>39153.069999999992</v>
      </c>
      <c r="O766" s="25">
        <f t="shared" si="525"/>
        <v>11007.82546143035</v>
      </c>
      <c r="P766" s="25">
        <f t="shared" si="526"/>
        <v>28145.244538569641</v>
      </c>
      <c r="Q766" s="25">
        <f t="array" aca="1" ref="Q766" ca="1">INDEX('Isaac 401k'!L:L,MATCH('Retirement Calculator'!A766,'Isaac 401k'!N:N,0),0)</f>
        <v>-2355380.5560258324</v>
      </c>
      <c r="R766" s="25">
        <f t="array" aca="1" ref="R766" ca="1">INDEX('Lorri 401b'!L:L,MATCH('Retirement Calculator'!A766,'Lorri 401b'!N:N,0),0)</f>
        <v>-5963412.407177032</v>
      </c>
      <c r="S766" s="25">
        <f t="shared" ca="1" si="527"/>
        <v>-8318792.9632028639</v>
      </c>
    </row>
    <row r="767" spans="1:19" ht="15.75" customHeight="1" x14ac:dyDescent="0.3">
      <c r="A767" s="37">
        <v>74297</v>
      </c>
      <c r="B767" s="409">
        <f t="shared" ref="B767:C767" si="773">($A767-B$9)/365.25</f>
        <v>121.53593429158111</v>
      </c>
      <c r="C767" s="409">
        <f t="shared" si="773"/>
        <v>116.92539356605064</v>
      </c>
      <c r="E767" s="25">
        <f>IF(C767&gt;$B$7,0,'Combined Retirement'!$D$13/12)</f>
        <v>0</v>
      </c>
      <c r="F767" s="25">
        <f>IF(H767=0,'Combined Retirement'!$D$32,0)+'Combined Retirement'!$B$24</f>
        <v>2870.372285649099</v>
      </c>
      <c r="G767" s="25">
        <f>'Combined Retirement'!$C$24</f>
        <v>3525.4531757812501</v>
      </c>
      <c r="H767" s="25">
        <f>IF(B767&lt;62,0,'Combined Retirement'!$I$14)</f>
        <v>2192</v>
      </c>
      <c r="I767" s="25">
        <f>IF(C767&lt;62,0,'Combined Retirement'!$I$13)</f>
        <v>2420</v>
      </c>
      <c r="J767" s="25">
        <f t="shared" si="523"/>
        <v>7863.2184191855868</v>
      </c>
      <c r="K767" s="25">
        <f t="shared" si="524"/>
        <v>20282.026119384056</v>
      </c>
      <c r="L767" s="25"/>
      <c r="N767" s="25">
        <f>'Combined Retirement'!$C$18/12</f>
        <v>39153.069999999992</v>
      </c>
      <c r="O767" s="25">
        <f t="shared" si="525"/>
        <v>11007.82546143035</v>
      </c>
      <c r="P767" s="25">
        <f t="shared" si="526"/>
        <v>28145.244538569641</v>
      </c>
      <c r="Q767" s="25">
        <f t="array" aca="1" ref="Q767" ca="1">INDEX('Isaac 401k'!L:L,MATCH('Retirement Calculator'!A767,'Isaac 401k'!N:N,0),0)</f>
        <v>-2373090.6235052054</v>
      </c>
      <c r="R767" s="25">
        <f t="array" aca="1" ref="R767" ca="1">INDEX('Lorri 401b'!L:L,MATCH('Retirement Calculator'!A767,'Lorri 401b'!N:N,0),0)</f>
        <v>-6008626.4934351509</v>
      </c>
      <c r="S767" s="25">
        <f t="shared" ca="1" si="527"/>
        <v>-8381717.1169403568</v>
      </c>
    </row>
    <row r="768" spans="1:19" ht="15.75" customHeight="1" x14ac:dyDescent="0.3">
      <c r="A768" s="37">
        <v>74327</v>
      </c>
      <c r="B768" s="409">
        <f t="shared" ref="B768:C768" si="774">($A768-B$9)/365.25</f>
        <v>121.61806981519507</v>
      </c>
      <c r="C768" s="409">
        <f t="shared" si="774"/>
        <v>117.00752908966462</v>
      </c>
      <c r="E768" s="25">
        <f>IF(C768&gt;$B$7,0,'Combined Retirement'!$D$13/12)</f>
        <v>0</v>
      </c>
      <c r="F768" s="25">
        <f>IF(H768=0,'Combined Retirement'!$D$32,0)+'Combined Retirement'!$B$24</f>
        <v>2870.372285649099</v>
      </c>
      <c r="G768" s="25">
        <f>'Combined Retirement'!$C$24</f>
        <v>3525.4531757812501</v>
      </c>
      <c r="H768" s="25">
        <f>IF(B768&lt;62,0,'Combined Retirement'!$I$14)</f>
        <v>2192</v>
      </c>
      <c r="I768" s="25">
        <f>IF(C768&lt;62,0,'Combined Retirement'!$I$13)</f>
        <v>2420</v>
      </c>
      <c r="J768" s="25">
        <f t="shared" si="523"/>
        <v>7863.2184191855868</v>
      </c>
      <c r="K768" s="25">
        <f t="shared" si="524"/>
        <v>20282.026119384056</v>
      </c>
      <c r="L768" s="25"/>
      <c r="N768" s="25">
        <f>'Combined Retirement'!$C$18/12</f>
        <v>39153.069999999992</v>
      </c>
      <c r="O768" s="25">
        <f t="shared" si="525"/>
        <v>11007.82546143035</v>
      </c>
      <c r="P768" s="25">
        <f t="shared" si="526"/>
        <v>28145.244538569641</v>
      </c>
      <c r="Q768" s="25">
        <f t="array" aca="1" ref="Q768" ca="1">INDEX('Isaac 401k'!L:L,MATCH('Retirement Calculator'!A768,'Isaac 401k'!N:N,0),0)</f>
        <v>-2390874.4829324093</v>
      </c>
      <c r="R768" s="25">
        <f t="array" aca="1" ref="R768" ca="1">INDEX('Lorri 401b'!L:L,MATCH('Retirement Calculator'!A768,'Lorri 401b'!N:N,0),0)</f>
        <v>-6054028.9717193451</v>
      </c>
      <c r="S768" s="25">
        <f t="shared" ca="1" si="527"/>
        <v>-8444903.4546517543</v>
      </c>
    </row>
    <row r="769" spans="1:19" ht="15.75" customHeight="1" x14ac:dyDescent="0.3">
      <c r="A769" s="37">
        <v>74358</v>
      </c>
      <c r="B769" s="409">
        <f t="shared" ref="B769:C769" si="775">($A769-B$9)/365.25</f>
        <v>121.70294318959617</v>
      </c>
      <c r="C769" s="409">
        <f t="shared" si="775"/>
        <v>117.09240246406571</v>
      </c>
      <c r="E769" s="25">
        <f>IF(C769&gt;$B$7,0,'Combined Retirement'!$D$13/12)</f>
        <v>0</v>
      </c>
      <c r="F769" s="25">
        <f>IF(H769=0,'Combined Retirement'!$D$32,0)+'Combined Retirement'!$B$24</f>
        <v>2870.372285649099</v>
      </c>
      <c r="G769" s="25">
        <f>'Combined Retirement'!$C$24</f>
        <v>3525.4531757812501</v>
      </c>
      <c r="H769" s="25">
        <f>IF(B769&lt;62,0,'Combined Retirement'!$I$14)</f>
        <v>2192</v>
      </c>
      <c r="I769" s="25">
        <f>IF(C769&lt;62,0,'Combined Retirement'!$I$13)</f>
        <v>2420</v>
      </c>
      <c r="J769" s="25">
        <f t="shared" si="523"/>
        <v>7863.2184191855868</v>
      </c>
      <c r="K769" s="25">
        <f t="shared" si="524"/>
        <v>20282.026119384056</v>
      </c>
      <c r="L769" s="25"/>
      <c r="N769" s="25">
        <f>'Combined Retirement'!$C$18/12</f>
        <v>39153.069999999992</v>
      </c>
      <c r="O769" s="25">
        <f t="shared" si="525"/>
        <v>11007.82546143035</v>
      </c>
      <c r="P769" s="25">
        <f t="shared" si="526"/>
        <v>28145.244538569641</v>
      </c>
      <c r="Q769" s="25">
        <f t="array" aca="1" ref="Q769" ca="1">INDEX('Isaac 401k'!L:L,MATCH('Retirement Calculator'!A769,'Isaac 401k'!N:N,0),0)</f>
        <v>-2408732.4417738928</v>
      </c>
      <c r="R769" s="25">
        <f t="array" aca="1" ref="R769" ca="1">INDEX('Lorri 401b'!L:L,MATCH('Retirement Calculator'!A769,'Lorri 401b'!N:N,0),0)</f>
        <v>-6099620.6269963905</v>
      </c>
      <c r="S769" s="25">
        <f t="shared" ca="1" si="527"/>
        <v>-8508353.0687702838</v>
      </c>
    </row>
    <row r="770" spans="1:19" ht="15.75" customHeight="1" x14ac:dyDescent="0.3">
      <c r="A770" s="37">
        <v>74389</v>
      </c>
      <c r="B770" s="409">
        <f t="shared" ref="B770:C770" si="776">($A770-B$9)/365.25</f>
        <v>121.78781656399727</v>
      </c>
      <c r="C770" s="409">
        <f t="shared" si="776"/>
        <v>117.1772758384668</v>
      </c>
      <c r="E770" s="25">
        <f>IF(C770&gt;$B$7,0,'Combined Retirement'!$D$13/12)</f>
        <v>0</v>
      </c>
      <c r="F770" s="25">
        <f>IF(H770=0,'Combined Retirement'!$D$32,0)+'Combined Retirement'!$B$24</f>
        <v>2870.372285649099</v>
      </c>
      <c r="G770" s="25">
        <f>'Combined Retirement'!$C$24</f>
        <v>3525.4531757812501</v>
      </c>
      <c r="H770" s="25">
        <f>IF(B770&lt;62,0,'Combined Retirement'!$I$14)</f>
        <v>2192</v>
      </c>
      <c r="I770" s="25">
        <f>IF(C770&lt;62,0,'Combined Retirement'!$I$13)</f>
        <v>2420</v>
      </c>
      <c r="J770" s="25">
        <f t="shared" si="523"/>
        <v>7863.2184191855868</v>
      </c>
      <c r="K770" s="25">
        <f t="shared" si="524"/>
        <v>20282.026119384056</v>
      </c>
      <c r="L770" s="25"/>
      <c r="N770" s="25">
        <f>'Combined Retirement'!$C$18/12</f>
        <v>39153.069999999992</v>
      </c>
      <c r="O770" s="25">
        <f t="shared" si="525"/>
        <v>11007.82546143035</v>
      </c>
      <c r="P770" s="25">
        <f t="shared" si="526"/>
        <v>28145.244538569641</v>
      </c>
      <c r="Q770" s="25">
        <f t="array" aca="1" ref="Q770" ca="1">INDEX('Isaac 401k'!L:L,MATCH('Retirement Calculator'!A770,'Isaac 401k'!N:N,0),0)</f>
        <v>-2426664.8087772159</v>
      </c>
      <c r="R770" s="25">
        <f t="array" aca="1" ref="R770" ca="1">INDEX('Lorri 401b'!L:L,MATCH('Retirement Calculator'!A770,'Lorri 401b'!N:N,0),0)</f>
        <v>-6145402.2475037565</v>
      </c>
      <c r="S770" s="25">
        <f t="shared" ca="1" si="527"/>
        <v>-8572067.0562809724</v>
      </c>
    </row>
    <row r="771" spans="1:19" ht="15.75" customHeight="1" x14ac:dyDescent="0.3">
      <c r="A771" s="37">
        <v>74419</v>
      </c>
      <c r="B771" s="409">
        <f t="shared" ref="B771:C771" si="777">($A771-B$9)/365.25</f>
        <v>121.86995208761122</v>
      </c>
      <c r="C771" s="409">
        <f t="shared" si="777"/>
        <v>117.25941136208077</v>
      </c>
      <c r="E771" s="25">
        <f>IF(C771&gt;$B$7,0,'Combined Retirement'!$D$13/12)</f>
        <v>0</v>
      </c>
      <c r="F771" s="25">
        <f>IF(H771=0,'Combined Retirement'!$D$32,0)+'Combined Retirement'!$B$24</f>
        <v>2870.372285649099</v>
      </c>
      <c r="G771" s="25">
        <f>'Combined Retirement'!$C$24</f>
        <v>3525.4531757812501</v>
      </c>
      <c r="H771" s="25">
        <f>IF(B771&lt;62,0,'Combined Retirement'!$I$14)</f>
        <v>2192</v>
      </c>
      <c r="I771" s="25">
        <f>IF(C771&lt;62,0,'Combined Retirement'!$I$13)</f>
        <v>2420</v>
      </c>
      <c r="J771" s="25">
        <f t="shared" si="523"/>
        <v>7863.2184191855868</v>
      </c>
      <c r="K771" s="25">
        <f t="shared" si="524"/>
        <v>20282.026119384056</v>
      </c>
      <c r="L771" s="25"/>
      <c r="N771" s="25">
        <f>'Combined Retirement'!$C$18/12</f>
        <v>39153.069999999992</v>
      </c>
      <c r="O771" s="25">
        <f t="shared" si="525"/>
        <v>11007.82546143035</v>
      </c>
      <c r="P771" s="25">
        <f t="shared" si="526"/>
        <v>28145.244538569641</v>
      </c>
      <c r="Q771" s="25">
        <f t="array" aca="1" ref="Q771" ca="1">INDEX('Isaac 401k'!L:L,MATCH('Retirement Calculator'!A771,'Isaac 401k'!N:N,0),0)</f>
        <v>-2444671.8939763862</v>
      </c>
      <c r="R771" s="25">
        <f t="array" aca="1" ref="R771" ca="1">INDEX('Lorri 401b'!L:L,MATCH('Retirement Calculator'!A771,'Lorri 401b'!N:N,0),0)</f>
        <v>-6191374.6247632373</v>
      </c>
      <c r="S771" s="25">
        <f t="shared" ca="1" si="527"/>
        <v>-8636046.5187396239</v>
      </c>
    </row>
    <row r="772" spans="1:19" ht="15.75" customHeight="1" x14ac:dyDescent="0.3">
      <c r="A772" s="37">
        <v>74450</v>
      </c>
      <c r="B772" s="409">
        <f t="shared" ref="B772:C772" si="778">($A772-B$9)/365.25</f>
        <v>121.95482546201232</v>
      </c>
      <c r="C772" s="409">
        <f t="shared" si="778"/>
        <v>117.34428473648187</v>
      </c>
      <c r="E772" s="25">
        <f>IF(C772&gt;$B$7,0,'Combined Retirement'!$D$13/12)</f>
        <v>0</v>
      </c>
      <c r="F772" s="25">
        <f>IF(H772=0,'Combined Retirement'!$D$32,0)+'Combined Retirement'!$B$24</f>
        <v>2870.372285649099</v>
      </c>
      <c r="G772" s="25">
        <f>'Combined Retirement'!$C$24</f>
        <v>3525.4531757812501</v>
      </c>
      <c r="H772" s="25">
        <f>IF(B772&lt;62,0,'Combined Retirement'!$I$14)</f>
        <v>2192</v>
      </c>
      <c r="I772" s="25">
        <f>IF(C772&lt;62,0,'Combined Retirement'!$I$13)</f>
        <v>2420</v>
      </c>
      <c r="J772" s="25">
        <f t="shared" si="523"/>
        <v>7863.2184191855868</v>
      </c>
      <c r="K772" s="25">
        <f t="shared" si="524"/>
        <v>20282.026119384056</v>
      </c>
      <c r="L772" s="25"/>
      <c r="N772" s="25">
        <f>'Combined Retirement'!$C$18/12</f>
        <v>39153.069999999992</v>
      </c>
      <c r="O772" s="25">
        <f t="shared" si="525"/>
        <v>11007.82546143035</v>
      </c>
      <c r="P772" s="25">
        <f t="shared" si="526"/>
        <v>28145.244538569641</v>
      </c>
      <c r="Q772" s="25">
        <f t="array" aca="1" ref="Q772" ca="1">INDEX('Isaac 401k'!L:L,MATCH('Retirement Calculator'!A772,'Isaac 401k'!N:N,0),0)</f>
        <v>-2462754.0086972197</v>
      </c>
      <c r="R772" s="25">
        <f t="array" aca="1" ref="R772" ca="1">INDEX('Lorri 401b'!L:L,MATCH('Retirement Calculator'!A772,'Lorri 401b'!N:N,0),0)</f>
        <v>-6237538.5535946321</v>
      </c>
      <c r="S772" s="25">
        <f t="shared" ca="1" si="527"/>
        <v>-8700292.5622918513</v>
      </c>
    </row>
    <row r="773" spans="1:19" ht="15.75" customHeight="1" x14ac:dyDescent="0.3">
      <c r="A773" s="37">
        <v>74480</v>
      </c>
      <c r="B773" s="409">
        <f t="shared" ref="B773:C773" si="779">($A773-B$9)/365.25</f>
        <v>122.03696098562628</v>
      </c>
      <c r="C773" s="409">
        <f t="shared" si="779"/>
        <v>117.42642026009582</v>
      </c>
      <c r="E773" s="25">
        <f>IF(C773&gt;$B$7,0,'Combined Retirement'!$D$13/12)</f>
        <v>0</v>
      </c>
      <c r="F773" s="25">
        <f>IF(H773=0,'Combined Retirement'!$D$32,0)+'Combined Retirement'!$B$24</f>
        <v>2870.372285649099</v>
      </c>
      <c r="G773" s="25">
        <f>'Combined Retirement'!$C$24</f>
        <v>3525.4531757812501</v>
      </c>
      <c r="H773" s="25">
        <f>IF(B773&lt;62,0,'Combined Retirement'!$I$14)</f>
        <v>2192</v>
      </c>
      <c r="I773" s="25">
        <f>IF(C773&lt;62,0,'Combined Retirement'!$I$13)</f>
        <v>2420</v>
      </c>
      <c r="J773" s="25">
        <f t="shared" si="523"/>
        <v>7863.2184191855868</v>
      </c>
      <c r="K773" s="25">
        <f t="shared" si="524"/>
        <v>20282.026119384056</v>
      </c>
      <c r="L773" s="25"/>
      <c r="N773" s="25">
        <f>'Combined Retirement'!$C$18/12</f>
        <v>39153.069999999992</v>
      </c>
      <c r="O773" s="25">
        <f t="shared" si="525"/>
        <v>11007.82546143035</v>
      </c>
      <c r="P773" s="25">
        <f t="shared" si="526"/>
        <v>28145.244538569641</v>
      </c>
      <c r="Q773" s="25">
        <f t="array" aca="1" ref="Q773" ca="1">INDEX('Isaac 401k'!L:L,MATCH('Retirement Calculator'!A773,'Isaac 401k'!N:N,0),0)</f>
        <v>-2480911.4655627236</v>
      </c>
      <c r="R773" s="25">
        <f t="array" aca="1" ref="R773" ca="1">INDEX('Lorri 401b'!L:L,MATCH('Retirement Calculator'!A773,'Lorri 401b'!N:N,0),0)</f>
        <v>-6283894.8321294915</v>
      </c>
      <c r="S773" s="25">
        <f t="shared" ca="1" si="527"/>
        <v>-8764806.2976922151</v>
      </c>
    </row>
    <row r="774" spans="1:19" ht="15.75" customHeight="1" x14ac:dyDescent="0.3">
      <c r="A774" s="37">
        <v>74511</v>
      </c>
      <c r="B774" s="409">
        <f t="shared" ref="B774:C774" si="780">($A774-B$9)/365.25</f>
        <v>122.12183436002738</v>
      </c>
      <c r="C774" s="409">
        <f t="shared" si="780"/>
        <v>117.51129363449692</v>
      </c>
      <c r="E774" s="25">
        <f>IF(C774&gt;$B$7,0,'Combined Retirement'!$D$13/12)</f>
        <v>0</v>
      </c>
      <c r="F774" s="25">
        <f>IF(H774=0,'Combined Retirement'!$D$32,0)+'Combined Retirement'!$B$24</f>
        <v>2870.372285649099</v>
      </c>
      <c r="G774" s="25">
        <f>'Combined Retirement'!$C$24</f>
        <v>3525.4531757812501</v>
      </c>
      <c r="H774" s="25">
        <f>IF(B774&lt;62,0,'Combined Retirement'!$I$14)</f>
        <v>2192</v>
      </c>
      <c r="I774" s="25">
        <f>IF(C774&lt;62,0,'Combined Retirement'!$I$13)</f>
        <v>2420</v>
      </c>
      <c r="J774" s="25">
        <f t="shared" si="523"/>
        <v>7863.2184191855868</v>
      </c>
      <c r="K774" s="25">
        <f t="shared" si="524"/>
        <v>20282.026119384056</v>
      </c>
      <c r="L774" s="25"/>
      <c r="N774" s="25">
        <f>'Combined Retirement'!$C$18/12</f>
        <v>39153.069999999992</v>
      </c>
      <c r="O774" s="25">
        <f t="shared" si="525"/>
        <v>11007.82546143035</v>
      </c>
      <c r="P774" s="25">
        <f t="shared" si="526"/>
        <v>28145.244538569641</v>
      </c>
      <c r="Q774" s="25">
        <f t="array" aca="1" ref="Q774" ca="1">INDEX('Isaac 401k'!L:L,MATCH('Retirement Calculator'!A774,'Isaac 401k'!N:N,0),0)</f>
        <v>-2499144.5784985004</v>
      </c>
      <c r="R774" s="25">
        <f t="array" aca="1" ref="R774" ca="1">INDEX('Lorri 401b'!L:L,MATCH('Retirement Calculator'!A774,'Lorri 401b'!N:N,0),0)</f>
        <v>-6330444.2618249124</v>
      </c>
      <c r="S774" s="25">
        <f t="shared" ca="1" si="527"/>
        <v>-8829588.8403234128</v>
      </c>
    </row>
    <row r="775" spans="1:19" ht="15.75" customHeight="1" x14ac:dyDescent="0.3">
      <c r="A775" s="37">
        <v>74542</v>
      </c>
      <c r="B775" s="409">
        <f t="shared" ref="B775:C775" si="781">($A775-B$9)/365.25</f>
        <v>122.20670773442848</v>
      </c>
      <c r="C775" s="409">
        <f t="shared" si="781"/>
        <v>117.59616700889802</v>
      </c>
      <c r="E775" s="25">
        <f>IF(C775&gt;$B$7,0,'Combined Retirement'!$D$13/12)</f>
        <v>0</v>
      </c>
      <c r="F775" s="25">
        <f>IF(H775=0,'Combined Retirement'!$D$32,0)+'Combined Retirement'!$B$24</f>
        <v>2870.372285649099</v>
      </c>
      <c r="G775" s="25">
        <f>'Combined Retirement'!$C$24</f>
        <v>3525.4531757812501</v>
      </c>
      <c r="H775" s="25">
        <f>IF(B775&lt;62,0,'Combined Retirement'!$I$14)</f>
        <v>2192</v>
      </c>
      <c r="I775" s="25">
        <f>IF(C775&lt;62,0,'Combined Retirement'!$I$13)</f>
        <v>2420</v>
      </c>
      <c r="J775" s="25">
        <f t="shared" si="523"/>
        <v>7863.2184191855868</v>
      </c>
      <c r="K775" s="25">
        <f t="shared" si="524"/>
        <v>20282.026119384056</v>
      </c>
      <c r="L775" s="25"/>
      <c r="N775" s="25">
        <f>'Combined Retirement'!$C$18/12</f>
        <v>39153.069999999992</v>
      </c>
      <c r="O775" s="25">
        <f t="shared" si="525"/>
        <v>11007.82546143035</v>
      </c>
      <c r="P775" s="25">
        <f t="shared" si="526"/>
        <v>28145.244538569641</v>
      </c>
      <c r="Q775" s="25">
        <f t="array" aca="1" ref="Q775" ca="1">INDEX('Isaac 401k'!L:L,MATCH('Retirement Calculator'!A775,'Isaac 401k'!N:N,0),0)</f>
        <v>-2517453.6627381761</v>
      </c>
      <c r="R775" s="25">
        <f t="array" aca="1" ref="R775" ca="1">INDEX('Lorri 401b'!L:L,MATCH('Retirement Calculator'!A775,'Lorri 401b'!N:N,0),0)</f>
        <v>-6377187.6474773977</v>
      </c>
      <c r="S775" s="25">
        <f t="shared" ca="1" si="527"/>
        <v>-8894641.3102155738</v>
      </c>
    </row>
    <row r="776" spans="1:19" ht="15.75" customHeight="1" x14ac:dyDescent="0.3">
      <c r="A776" s="37">
        <v>74571</v>
      </c>
      <c r="B776" s="409">
        <f t="shared" ref="B776:C776" si="782">($A776-B$9)/365.25</f>
        <v>122.28610540725531</v>
      </c>
      <c r="C776" s="409">
        <f t="shared" si="782"/>
        <v>117.67556468172485</v>
      </c>
      <c r="E776" s="25">
        <f>IF(C776&gt;$B$7,0,'Combined Retirement'!$D$13/12)</f>
        <v>0</v>
      </c>
      <c r="F776" s="25">
        <f>IF(H776=0,'Combined Retirement'!$D$32,0)+'Combined Retirement'!$B$24</f>
        <v>2870.372285649099</v>
      </c>
      <c r="G776" s="25">
        <f>'Combined Retirement'!$C$24</f>
        <v>3525.4531757812501</v>
      </c>
      <c r="H776" s="25">
        <f>IF(B776&lt;62,0,'Combined Retirement'!$I$14)</f>
        <v>2192</v>
      </c>
      <c r="I776" s="25">
        <f>IF(C776&lt;62,0,'Combined Retirement'!$I$13)</f>
        <v>2420</v>
      </c>
      <c r="J776" s="25">
        <f t="shared" ref="J776:J1030" si="783">IF(C776&lt;59.5,P776,P776*$J$7)</f>
        <v>7863.2184191855868</v>
      </c>
      <c r="K776" s="25">
        <f t="shared" ref="K776:K1030" si="784">IF(C776&lt;59.5,0,IF(C776&lt;$B$7,0,P776*$K$7))</f>
        <v>20282.026119384056</v>
      </c>
      <c r="L776" s="25"/>
      <c r="N776" s="25">
        <f>'Combined Retirement'!$C$18/12</f>
        <v>39153.069999999992</v>
      </c>
      <c r="O776" s="25">
        <f t="shared" ref="O776:O1030" si="785">SUM(E776:I776)</f>
        <v>11007.82546143035</v>
      </c>
      <c r="P776" s="25">
        <f t="shared" ref="P776:P1030" si="786">N776-O776</f>
        <v>28145.244538569641</v>
      </c>
      <c r="Q776" s="25">
        <f t="array" aca="1" ref="Q776" ca="1">INDEX('Isaac 401k'!L:L,MATCH('Retirement Calculator'!A776,'Isaac 401k'!N:N,0),0)</f>
        <v>-2535839.0348288505</v>
      </c>
      <c r="R776" s="25">
        <f t="array" aca="1" ref="R776" ca="1">INDEX('Lorri 401b'!L:L,MATCH('Retirement Calculator'!A776,'Lorri 401b'!N:N,0),0)</f>
        <v>-6424125.7972367685</v>
      </c>
      <c r="S776" s="25">
        <f t="shared" ref="S776:S1030" ca="1" si="787">SUM(Q776:R776)</f>
        <v>-8959964.8320656195</v>
      </c>
    </row>
    <row r="777" spans="1:19" ht="15.75" customHeight="1" x14ac:dyDescent="0.3">
      <c r="A777" s="37">
        <v>74602</v>
      </c>
      <c r="B777" s="409">
        <f t="shared" ref="B777:C777" si="788">($A777-B$9)/365.25</f>
        <v>122.3709787816564</v>
      </c>
      <c r="C777" s="409">
        <f t="shared" si="788"/>
        <v>117.76043805612593</v>
      </c>
      <c r="E777" s="25">
        <f>IF(C777&gt;$B$7,0,'Combined Retirement'!$D$13/12)</f>
        <v>0</v>
      </c>
      <c r="F777" s="25">
        <f>IF(H777=0,'Combined Retirement'!$D$32,0)+'Combined Retirement'!$B$24</f>
        <v>2870.372285649099</v>
      </c>
      <c r="G777" s="25">
        <f>'Combined Retirement'!$C$24</f>
        <v>3525.4531757812501</v>
      </c>
      <c r="H777" s="25">
        <f>IF(B777&lt;62,0,'Combined Retirement'!$I$14)</f>
        <v>2192</v>
      </c>
      <c r="I777" s="25">
        <f>IF(C777&lt;62,0,'Combined Retirement'!$I$13)</f>
        <v>2420</v>
      </c>
      <c r="J777" s="25">
        <f t="shared" si="783"/>
        <v>7863.2184191855868</v>
      </c>
      <c r="K777" s="25">
        <f t="shared" si="784"/>
        <v>20282.026119384056</v>
      </c>
      <c r="L777" s="25"/>
      <c r="N777" s="25">
        <f>'Combined Retirement'!$C$18/12</f>
        <v>39153.069999999992</v>
      </c>
      <c r="O777" s="25">
        <f t="shared" si="785"/>
        <v>11007.82546143035</v>
      </c>
      <c r="P777" s="25">
        <f t="shared" si="786"/>
        <v>28145.244538569641</v>
      </c>
      <c r="Q777" s="25">
        <f t="array" aca="1" ref="Q777" ca="1">INDEX('Isaac 401k'!L:L,MATCH('Retirement Calculator'!A777,'Isaac 401k'!N:N,0),0)</f>
        <v>-2554301.0126365693</v>
      </c>
      <c r="R777" s="25">
        <f t="array" aca="1" ref="R777" ca="1">INDEX('Lorri 401b'!L:L,MATCH('Retirement Calculator'!A777,'Lorri 401b'!N:N,0),0)</f>
        <v>-6471259.5226201368</v>
      </c>
      <c r="S777" s="25">
        <f t="shared" ca="1" si="787"/>
        <v>-9025560.5352567062</v>
      </c>
    </row>
    <row r="778" spans="1:19" ht="15.75" customHeight="1" x14ac:dyDescent="0.3">
      <c r="A778" s="37">
        <v>74632</v>
      </c>
      <c r="B778" s="409">
        <f t="shared" ref="B778:C778" si="789">($A778-B$9)/365.25</f>
        <v>122.45311430527036</v>
      </c>
      <c r="C778" s="409">
        <f t="shared" si="789"/>
        <v>117.84257357973991</v>
      </c>
      <c r="E778" s="25">
        <f>IF(C778&gt;$B$7,0,'Combined Retirement'!$D$13/12)</f>
        <v>0</v>
      </c>
      <c r="F778" s="25">
        <f>IF(H778=0,'Combined Retirement'!$D$32,0)+'Combined Retirement'!$B$24</f>
        <v>2870.372285649099</v>
      </c>
      <c r="G778" s="25">
        <f>'Combined Retirement'!$C$24</f>
        <v>3525.4531757812501</v>
      </c>
      <c r="H778" s="25">
        <f>IF(B778&lt;62,0,'Combined Retirement'!$I$14)</f>
        <v>2192</v>
      </c>
      <c r="I778" s="25">
        <f>IF(C778&lt;62,0,'Combined Retirement'!$I$13)</f>
        <v>2420</v>
      </c>
      <c r="J778" s="25">
        <f t="shared" si="783"/>
        <v>7863.2184191855868</v>
      </c>
      <c r="K778" s="25">
        <f t="shared" si="784"/>
        <v>20282.026119384056</v>
      </c>
      <c r="L778" s="25"/>
      <c r="N778" s="25">
        <f>'Combined Retirement'!$C$18/12</f>
        <v>39153.069999999992</v>
      </c>
      <c r="O778" s="25">
        <f t="shared" si="785"/>
        <v>11007.82546143035</v>
      </c>
      <c r="P778" s="25">
        <f t="shared" si="786"/>
        <v>28145.244538569641</v>
      </c>
      <c r="Q778" s="25">
        <f t="array" aca="1" ref="Q778" ca="1">INDEX('Isaac 401k'!L:L,MATCH('Retirement Calculator'!A778,'Isaac 401k'!N:N,0),0)</f>
        <v>-2572839.9153518202</v>
      </c>
      <c r="R778" s="25">
        <f t="array" aca="1" ref="R778" ca="1">INDEX('Lorri 401b'!L:L,MATCH('Retirement Calculator'!A778,'Lorri 401b'!N:N,0),0)</f>
        <v>-6518589.6385259358</v>
      </c>
      <c r="S778" s="25">
        <f t="shared" ca="1" si="787"/>
        <v>-9091429.553877756</v>
      </c>
    </row>
    <row r="779" spans="1:19" ht="15.75" customHeight="1" x14ac:dyDescent="0.3">
      <c r="A779" s="37">
        <v>74663</v>
      </c>
      <c r="B779" s="409">
        <f t="shared" ref="B779:C779" si="790">($A779-B$9)/365.25</f>
        <v>122.53798767967146</v>
      </c>
      <c r="C779" s="409">
        <f t="shared" si="790"/>
        <v>117.927446954141</v>
      </c>
      <c r="E779" s="25">
        <f>IF(C779&gt;$B$7,0,'Combined Retirement'!$D$13/12)</f>
        <v>0</v>
      </c>
      <c r="F779" s="25">
        <f>IF(H779=0,'Combined Retirement'!$D$32,0)+'Combined Retirement'!$B$24</f>
        <v>2870.372285649099</v>
      </c>
      <c r="G779" s="25">
        <f>'Combined Retirement'!$C$24</f>
        <v>3525.4531757812501</v>
      </c>
      <c r="H779" s="25">
        <f>IF(B779&lt;62,0,'Combined Retirement'!$I$14)</f>
        <v>2192</v>
      </c>
      <c r="I779" s="25">
        <f>IF(C779&lt;62,0,'Combined Retirement'!$I$13)</f>
        <v>2420</v>
      </c>
      <c r="J779" s="25">
        <f t="shared" si="783"/>
        <v>7863.2184191855868</v>
      </c>
      <c r="K779" s="25">
        <f t="shared" si="784"/>
        <v>20282.026119384056</v>
      </c>
      <c r="L779" s="25"/>
      <c r="N779" s="25">
        <f>'Combined Retirement'!$C$18/12</f>
        <v>39153.069999999992</v>
      </c>
      <c r="O779" s="25">
        <f t="shared" si="785"/>
        <v>11007.82546143035</v>
      </c>
      <c r="P779" s="25">
        <f t="shared" si="786"/>
        <v>28145.244538569641</v>
      </c>
      <c r="Q779" s="25">
        <f t="array" aca="1" ref="Q779" ca="1">INDEX('Isaac 401k'!L:L,MATCH('Retirement Calculator'!A779,'Isaac 401k'!N:N,0),0)</f>
        <v>-2591456.0634950516</v>
      </c>
      <c r="R779" s="25">
        <f t="array" aca="1" ref="R779" ca="1">INDEX('Lorri 401b'!L:L,MATCH('Retirement Calculator'!A779,'Lorri 401b'!N:N,0),0)</f>
        <v>-6566116.9632480089</v>
      </c>
      <c r="S779" s="25">
        <f t="shared" ca="1" si="787"/>
        <v>-9157573.02674306</v>
      </c>
    </row>
    <row r="780" spans="1:19" ht="15.75" customHeight="1" x14ac:dyDescent="0.3">
      <c r="A780" s="37">
        <v>74693</v>
      </c>
      <c r="B780" s="409">
        <f t="shared" ref="B780:C780" si="791">($A780-B$9)/365.25</f>
        <v>122.62012320328542</v>
      </c>
      <c r="C780" s="409">
        <f t="shared" si="791"/>
        <v>118.00958247775496</v>
      </c>
      <c r="E780" s="25">
        <f>IF(C780&gt;$B$7,0,'Combined Retirement'!$D$13/12)</f>
        <v>0</v>
      </c>
      <c r="F780" s="25">
        <f>IF(H780=0,'Combined Retirement'!$D$32,0)+'Combined Retirement'!$B$24</f>
        <v>2870.372285649099</v>
      </c>
      <c r="G780" s="25">
        <f>'Combined Retirement'!$C$24</f>
        <v>3525.4531757812501</v>
      </c>
      <c r="H780" s="25">
        <f>IF(B780&lt;62,0,'Combined Retirement'!$I$14)</f>
        <v>2192</v>
      </c>
      <c r="I780" s="25">
        <f>IF(C780&lt;62,0,'Combined Retirement'!$I$13)</f>
        <v>2420</v>
      </c>
      <c r="J780" s="25">
        <f t="shared" si="783"/>
        <v>7863.2184191855868</v>
      </c>
      <c r="K780" s="25">
        <f t="shared" si="784"/>
        <v>20282.026119384056</v>
      </c>
      <c r="L780" s="25"/>
      <c r="N780" s="25">
        <f>'Combined Retirement'!$C$18/12</f>
        <v>39153.069999999992</v>
      </c>
      <c r="O780" s="25">
        <f t="shared" si="785"/>
        <v>11007.82546143035</v>
      </c>
      <c r="P780" s="25">
        <f t="shared" si="786"/>
        <v>28145.244538569641</v>
      </c>
      <c r="Q780" s="25">
        <f t="array" aca="1" ref="Q780" ca="1">INDEX('Isaac 401k'!L:L,MATCH('Retirement Calculator'!A780,'Isaac 401k'!N:N,0),0)</f>
        <v>-2610149.7789222128</v>
      </c>
      <c r="R780" s="25">
        <f t="array" aca="1" ref="R780" ca="1">INDEX('Lorri 401b'!L:L,MATCH('Retirement Calculator'!A780,'Lorri 401b'!N:N,0),0)</f>
        <v>-6613842.3184897574</v>
      </c>
      <c r="S780" s="25">
        <f t="shared" ca="1" si="787"/>
        <v>-9223992.0974119697</v>
      </c>
    </row>
    <row r="781" spans="1:19" ht="15.75" customHeight="1" x14ac:dyDescent="0.3">
      <c r="A781" s="37">
        <v>74724</v>
      </c>
      <c r="B781" s="409">
        <f t="shared" ref="B781:C781" si="792">($A781-B$9)/365.25</f>
        <v>122.70499657768652</v>
      </c>
      <c r="C781" s="409">
        <f t="shared" si="792"/>
        <v>118.09445585215606</v>
      </c>
      <c r="E781" s="25">
        <f>IF(C781&gt;$B$7,0,'Combined Retirement'!$D$13/12)</f>
        <v>0</v>
      </c>
      <c r="F781" s="25">
        <f>IF(H781=0,'Combined Retirement'!$D$32,0)+'Combined Retirement'!$B$24</f>
        <v>2870.372285649099</v>
      </c>
      <c r="G781" s="25">
        <f>'Combined Retirement'!$C$24</f>
        <v>3525.4531757812501</v>
      </c>
      <c r="H781" s="25">
        <f>IF(B781&lt;62,0,'Combined Retirement'!$I$14)</f>
        <v>2192</v>
      </c>
      <c r="I781" s="25">
        <f>IF(C781&lt;62,0,'Combined Retirement'!$I$13)</f>
        <v>2420</v>
      </c>
      <c r="J781" s="25">
        <f t="shared" si="783"/>
        <v>7863.2184191855868</v>
      </c>
      <c r="K781" s="25">
        <f t="shared" si="784"/>
        <v>20282.026119384056</v>
      </c>
      <c r="L781" s="25"/>
      <c r="N781" s="25">
        <f>'Combined Retirement'!$C$18/12</f>
        <v>39153.069999999992</v>
      </c>
      <c r="O781" s="25">
        <f t="shared" si="785"/>
        <v>11007.82546143035</v>
      </c>
      <c r="P781" s="25">
        <f t="shared" si="786"/>
        <v>28145.244538569641</v>
      </c>
      <c r="Q781" s="25">
        <f t="array" aca="1" ref="Q781" ca="1">INDEX('Isaac 401k'!L:L,MATCH('Retirement Calculator'!A781,'Isaac 401k'!N:N,0),0)</f>
        <v>-2628921.3848303207</v>
      </c>
      <c r="R781" s="25">
        <f t="array" aca="1" ref="R781" ca="1">INDEX('Lorri 401b'!L:L,MATCH('Retirement Calculator'!A781,'Lorri 401b'!N:N,0),0)</f>
        <v>-6661766.5293783462</v>
      </c>
      <c r="S781" s="25">
        <f t="shared" ca="1" si="787"/>
        <v>-9290687.9142086674</v>
      </c>
    </row>
    <row r="782" spans="1:19" ht="15.75" customHeight="1" x14ac:dyDescent="0.3">
      <c r="A782" s="37">
        <v>74755</v>
      </c>
      <c r="B782" s="409">
        <f t="shared" ref="B782:C782" si="793">($A782-B$9)/365.25</f>
        <v>122.78986995208761</v>
      </c>
      <c r="C782" s="409">
        <f t="shared" si="793"/>
        <v>118.17932922655716</v>
      </c>
      <c r="E782" s="25">
        <f>IF(C782&gt;$B$7,0,'Combined Retirement'!$D$13/12)</f>
        <v>0</v>
      </c>
      <c r="F782" s="25">
        <f>IF(H782=0,'Combined Retirement'!$D$32,0)+'Combined Retirement'!$B$24</f>
        <v>2870.372285649099</v>
      </c>
      <c r="G782" s="25">
        <f>'Combined Retirement'!$C$24</f>
        <v>3525.4531757812501</v>
      </c>
      <c r="H782" s="25">
        <f>IF(B782&lt;62,0,'Combined Retirement'!$I$14)</f>
        <v>2192</v>
      </c>
      <c r="I782" s="25">
        <f>IF(C782&lt;62,0,'Combined Retirement'!$I$13)</f>
        <v>2420</v>
      </c>
      <c r="J782" s="25">
        <f t="shared" si="783"/>
        <v>7863.2184191855868</v>
      </c>
      <c r="K782" s="25">
        <f t="shared" si="784"/>
        <v>20282.026119384056</v>
      </c>
      <c r="L782" s="25"/>
      <c r="N782" s="25">
        <f>'Combined Retirement'!$C$18/12</f>
        <v>39153.069999999992</v>
      </c>
      <c r="O782" s="25">
        <f t="shared" si="785"/>
        <v>11007.82546143035</v>
      </c>
      <c r="P782" s="25">
        <f t="shared" si="786"/>
        <v>28145.244538569641</v>
      </c>
      <c r="Q782" s="25">
        <f t="array" aca="1" ref="Q782" ca="1">INDEX('Isaac 401k'!L:L,MATCH('Retirement Calculator'!A782,'Isaac 401k'!N:N,0),0)</f>
        <v>-2647771.2057630457</v>
      </c>
      <c r="R782" s="25">
        <f t="array" aca="1" ref="R782" ca="1">INDEX('Lorri 401b'!L:L,MATCH('Retirement Calculator'!A782,'Lorri 401b'!N:N,0),0)</f>
        <v>-6709890.4244789705</v>
      </c>
      <c r="S782" s="25">
        <f t="shared" ca="1" si="787"/>
        <v>-9357661.6302420162</v>
      </c>
    </row>
    <row r="783" spans="1:19" ht="15.75" customHeight="1" x14ac:dyDescent="0.3">
      <c r="A783" s="37">
        <v>74785</v>
      </c>
      <c r="B783" s="409">
        <f t="shared" ref="B783:C783" si="794">($A783-B$9)/365.25</f>
        <v>122.87200547570157</v>
      </c>
      <c r="C783" s="409">
        <f t="shared" si="794"/>
        <v>118.26146475017111</v>
      </c>
      <c r="E783" s="25">
        <f>IF(C783&gt;$B$7,0,'Combined Retirement'!$D$13/12)</f>
        <v>0</v>
      </c>
      <c r="F783" s="25">
        <f>IF(H783=0,'Combined Retirement'!$D$32,0)+'Combined Retirement'!$B$24</f>
        <v>2870.372285649099</v>
      </c>
      <c r="G783" s="25">
        <f>'Combined Retirement'!$C$24</f>
        <v>3525.4531757812501</v>
      </c>
      <c r="H783" s="25">
        <f>IF(B783&lt;62,0,'Combined Retirement'!$I$14)</f>
        <v>2192</v>
      </c>
      <c r="I783" s="25">
        <f>IF(C783&lt;62,0,'Combined Retirement'!$I$13)</f>
        <v>2420</v>
      </c>
      <c r="J783" s="25">
        <f t="shared" si="783"/>
        <v>7863.2184191855868</v>
      </c>
      <c r="K783" s="25">
        <f t="shared" si="784"/>
        <v>20282.026119384056</v>
      </c>
      <c r="L783" s="25"/>
      <c r="N783" s="25">
        <f>'Combined Retirement'!$C$18/12</f>
        <v>39153.069999999992</v>
      </c>
      <c r="O783" s="25">
        <f t="shared" si="785"/>
        <v>11007.82546143035</v>
      </c>
      <c r="P783" s="25">
        <f t="shared" si="786"/>
        <v>28145.244538569641</v>
      </c>
      <c r="Q783" s="25">
        <f t="array" aca="1" ref="Q783" ca="1">INDEX('Isaac 401k'!L:L,MATCH('Retirement Calculator'!A783,'Isaac 401k'!N:N,0),0)</f>
        <v>-2666699.5676163235</v>
      </c>
      <c r="R783" s="25">
        <f t="array" aca="1" ref="R783" ca="1">INDEX('Lorri 401b'!L:L,MATCH('Retirement Calculator'!A783,'Lorri 401b'!N:N,0),0)</f>
        <v>-6758214.8358091805</v>
      </c>
      <c r="S783" s="25">
        <f t="shared" ca="1" si="787"/>
        <v>-9424914.4034255035</v>
      </c>
    </row>
    <row r="784" spans="1:19" ht="15.75" customHeight="1" x14ac:dyDescent="0.3">
      <c r="A784" s="37">
        <v>74816</v>
      </c>
      <c r="B784" s="409">
        <f t="shared" ref="B784:C784" si="795">($A784-B$9)/365.25</f>
        <v>122.95687885010267</v>
      </c>
      <c r="C784" s="409">
        <f t="shared" si="795"/>
        <v>118.34633812457221</v>
      </c>
      <c r="E784" s="25">
        <f>IF(C784&gt;$B$7,0,'Combined Retirement'!$D$13/12)</f>
        <v>0</v>
      </c>
      <c r="F784" s="25">
        <f>IF(H784=0,'Combined Retirement'!$D$32,0)+'Combined Retirement'!$B$24</f>
        <v>2870.372285649099</v>
      </c>
      <c r="G784" s="25">
        <f>'Combined Retirement'!$C$24</f>
        <v>3525.4531757812501</v>
      </c>
      <c r="H784" s="25">
        <f>IF(B784&lt;62,0,'Combined Retirement'!$I$14)</f>
        <v>2192</v>
      </c>
      <c r="I784" s="25">
        <f>IF(C784&lt;62,0,'Combined Retirement'!$I$13)</f>
        <v>2420</v>
      </c>
      <c r="J784" s="25">
        <f t="shared" si="783"/>
        <v>7863.2184191855868</v>
      </c>
      <c r="K784" s="25">
        <f t="shared" si="784"/>
        <v>20282.026119384056</v>
      </c>
      <c r="L784" s="25"/>
      <c r="N784" s="25">
        <f>'Combined Retirement'!$C$18/12</f>
        <v>39153.069999999992</v>
      </c>
      <c r="O784" s="25">
        <f t="shared" si="785"/>
        <v>11007.82546143035</v>
      </c>
      <c r="P784" s="25">
        <f t="shared" si="786"/>
        <v>28145.244538569641</v>
      </c>
      <c r="Q784" s="25">
        <f t="array" aca="1" ref="Q784" ca="1">INDEX('Isaac 401k'!L:L,MATCH('Retirement Calculator'!A784,'Isaac 401k'!N:N,0),0)</f>
        <v>-2685706.7976439903</v>
      </c>
      <c r="R784" s="25">
        <f t="array" aca="1" ref="R784" ca="1">INDEX('Lorri 401b'!L:L,MATCH('Retirement Calculator'!A784,'Lorri 401b'!N:N,0),0)</f>
        <v>-6806740.5988532668</v>
      </c>
      <c r="S784" s="25">
        <f t="shared" ca="1" si="787"/>
        <v>-9492447.3964972571</v>
      </c>
    </row>
    <row r="785" spans="1:19" ht="15.75" customHeight="1" x14ac:dyDescent="0.3">
      <c r="A785" s="37">
        <v>74846</v>
      </c>
      <c r="B785" s="409">
        <f t="shared" ref="B785:C785" si="796">($A785-B$9)/365.25</f>
        <v>123.03901437371663</v>
      </c>
      <c r="C785" s="409">
        <f t="shared" si="796"/>
        <v>118.42847364818617</v>
      </c>
      <c r="E785" s="25">
        <f>IF(C785&gt;$B$7,0,'Combined Retirement'!$D$13/12)</f>
        <v>0</v>
      </c>
      <c r="F785" s="25">
        <f>IF(H785=0,'Combined Retirement'!$D$32,0)+'Combined Retirement'!$B$24</f>
        <v>2870.372285649099</v>
      </c>
      <c r="G785" s="25">
        <f>'Combined Retirement'!$C$24</f>
        <v>3525.4531757812501</v>
      </c>
      <c r="H785" s="25">
        <f>IF(B785&lt;62,0,'Combined Retirement'!$I$14)</f>
        <v>2192</v>
      </c>
      <c r="I785" s="25">
        <f>IF(C785&lt;62,0,'Combined Retirement'!$I$13)</f>
        <v>2420</v>
      </c>
      <c r="J785" s="25">
        <f t="shared" si="783"/>
        <v>7863.2184191855868</v>
      </c>
      <c r="K785" s="25">
        <f t="shared" si="784"/>
        <v>20282.026119384056</v>
      </c>
      <c r="L785" s="25"/>
      <c r="N785" s="25">
        <f>'Combined Retirement'!$C$18/12</f>
        <v>39153.069999999992</v>
      </c>
      <c r="O785" s="25">
        <f t="shared" si="785"/>
        <v>11007.82546143035</v>
      </c>
      <c r="P785" s="25">
        <f t="shared" si="786"/>
        <v>28145.244538569641</v>
      </c>
      <c r="Q785" s="25">
        <f t="array" aca="1" ref="Q785" ca="1">INDEX('Isaac 401k'!L:L,MATCH('Retirement Calculator'!A785,'Isaac 401k'!N:N,0),0)</f>
        <v>-2704793.2244634391</v>
      </c>
      <c r="R785" s="25">
        <f t="array" aca="1" ref="R785" ca="1">INDEX('Lorri 401b'!L:L,MATCH('Retirement Calculator'!A785,'Lorri 401b'!N:N,0),0)</f>
        <v>-6855468.552576704</v>
      </c>
      <c r="S785" s="25">
        <f t="shared" ca="1" si="787"/>
        <v>-9560261.7770401426</v>
      </c>
    </row>
    <row r="786" spans="1:19" ht="15.75" customHeight="1" x14ac:dyDescent="0.3">
      <c r="A786" s="37">
        <v>74877</v>
      </c>
      <c r="B786" s="409">
        <f t="shared" ref="B786:C786" si="797">($A786-B$9)/365.25</f>
        <v>123.12388774811772</v>
      </c>
      <c r="C786" s="409">
        <f t="shared" si="797"/>
        <v>118.51334702258727</v>
      </c>
      <c r="E786" s="25">
        <f>IF(C786&gt;$B$7,0,'Combined Retirement'!$D$13/12)</f>
        <v>0</v>
      </c>
      <c r="F786" s="25">
        <f>IF(H786=0,'Combined Retirement'!$D$32,0)+'Combined Retirement'!$B$24</f>
        <v>2870.372285649099</v>
      </c>
      <c r="G786" s="25">
        <f>'Combined Retirement'!$C$24</f>
        <v>3525.4531757812501</v>
      </c>
      <c r="H786" s="25">
        <f>IF(B786&lt;62,0,'Combined Retirement'!$I$14)</f>
        <v>2192</v>
      </c>
      <c r="I786" s="25">
        <f>IF(C786&lt;62,0,'Combined Retirement'!$I$13)</f>
        <v>2420</v>
      </c>
      <c r="J786" s="25">
        <f t="shared" si="783"/>
        <v>7863.2184191855868</v>
      </c>
      <c r="K786" s="25">
        <f t="shared" si="784"/>
        <v>20282.026119384056</v>
      </c>
      <c r="L786" s="25"/>
      <c r="N786" s="25">
        <f>'Combined Retirement'!$C$18/12</f>
        <v>39153.069999999992</v>
      </c>
      <c r="O786" s="25">
        <f t="shared" si="785"/>
        <v>11007.82546143035</v>
      </c>
      <c r="P786" s="25">
        <f t="shared" si="786"/>
        <v>28145.244538569641</v>
      </c>
      <c r="Q786" s="25">
        <f t="array" aca="1" ref="Q786" ca="1">INDEX('Isaac 401k'!L:L,MATCH('Retirement Calculator'!A786,'Isaac 401k'!N:N,0),0)</f>
        <v>-2723959.1780613023</v>
      </c>
      <c r="R786" s="25">
        <f t="array" aca="1" ref="R786" ca="1">INDEX('Lorri 401b'!L:L,MATCH('Retirement Calculator'!A786,'Lorri 401b'!N:N,0),0)</f>
        <v>-6904399.5394406551</v>
      </c>
      <c r="S786" s="25">
        <f t="shared" ca="1" si="787"/>
        <v>-9628358.717501957</v>
      </c>
    </row>
    <row r="787" spans="1:19" ht="15.75" customHeight="1" x14ac:dyDescent="0.3">
      <c r="A787" s="37">
        <v>74908</v>
      </c>
      <c r="B787" s="409">
        <f t="shared" ref="B787:C787" si="798">($A787-B$9)/365.25</f>
        <v>123.20876112251882</v>
      </c>
      <c r="C787" s="409">
        <f t="shared" si="798"/>
        <v>118.59822039698837</v>
      </c>
      <c r="E787" s="25">
        <f>IF(C787&gt;$B$7,0,'Combined Retirement'!$D$13/12)</f>
        <v>0</v>
      </c>
      <c r="F787" s="25">
        <f>IF(H787=0,'Combined Retirement'!$D$32,0)+'Combined Retirement'!$B$24</f>
        <v>2870.372285649099</v>
      </c>
      <c r="G787" s="25">
        <f>'Combined Retirement'!$C$24</f>
        <v>3525.4531757812501</v>
      </c>
      <c r="H787" s="25">
        <f>IF(B787&lt;62,0,'Combined Retirement'!$I$14)</f>
        <v>2192</v>
      </c>
      <c r="I787" s="25">
        <f>IF(C787&lt;62,0,'Combined Retirement'!$I$13)</f>
        <v>2420</v>
      </c>
      <c r="J787" s="25">
        <f t="shared" si="783"/>
        <v>7863.2184191855868</v>
      </c>
      <c r="K787" s="25">
        <f t="shared" si="784"/>
        <v>20282.026119384056</v>
      </c>
      <c r="L787" s="25"/>
      <c r="N787" s="25">
        <f>'Combined Retirement'!$C$18/12</f>
        <v>39153.069999999992</v>
      </c>
      <c r="O787" s="25">
        <f t="shared" si="785"/>
        <v>11007.82546143035</v>
      </c>
      <c r="P787" s="25">
        <f t="shared" si="786"/>
        <v>28145.244538569641</v>
      </c>
      <c r="Q787" s="25">
        <f t="array" aca="1" ref="Q787" ca="1">INDEX('Isaac 401k'!L:L,MATCH('Retirement Calculator'!A787,'Isaac 401k'!N:N,0),0)</f>
        <v>-2743204.9897991563</v>
      </c>
      <c r="R787" s="25">
        <f t="array" aca="1" ref="R787" ca="1">INDEX('Lorri 401b'!L:L,MATCH('Retirement Calculator'!A787,'Lorri 401b'!N:N,0),0)</f>
        <v>-6953534.4054165389</v>
      </c>
      <c r="S787" s="25">
        <f t="shared" ca="1" si="787"/>
        <v>-9696739.3952156957</v>
      </c>
    </row>
    <row r="788" spans="1:19" ht="15.75" customHeight="1" x14ac:dyDescent="0.3">
      <c r="A788" s="37">
        <v>74936</v>
      </c>
      <c r="B788" s="409">
        <f t="shared" ref="B788:C788" si="799">($A788-B$9)/365.25</f>
        <v>123.28542094455852</v>
      </c>
      <c r="C788" s="409">
        <f t="shared" si="799"/>
        <v>118.67488021902807</v>
      </c>
      <c r="E788" s="25">
        <f>IF(C788&gt;$B$7,0,'Combined Retirement'!$D$13/12)</f>
        <v>0</v>
      </c>
      <c r="F788" s="25">
        <f>IF(H788=0,'Combined Retirement'!$D$32,0)+'Combined Retirement'!$B$24</f>
        <v>2870.372285649099</v>
      </c>
      <c r="G788" s="25">
        <f>'Combined Retirement'!$C$24</f>
        <v>3525.4531757812501</v>
      </c>
      <c r="H788" s="25">
        <f>IF(B788&lt;62,0,'Combined Retirement'!$I$14)</f>
        <v>2192</v>
      </c>
      <c r="I788" s="25">
        <f>IF(C788&lt;62,0,'Combined Retirement'!$I$13)</f>
        <v>2420</v>
      </c>
      <c r="J788" s="25">
        <f t="shared" si="783"/>
        <v>7863.2184191855868</v>
      </c>
      <c r="K788" s="25">
        <f t="shared" si="784"/>
        <v>20282.026119384056</v>
      </c>
      <c r="L788" s="25"/>
      <c r="N788" s="25">
        <f>'Combined Retirement'!$C$18/12</f>
        <v>39153.069999999992</v>
      </c>
      <c r="O788" s="25">
        <f t="shared" si="785"/>
        <v>11007.82546143035</v>
      </c>
      <c r="P788" s="25">
        <f t="shared" si="786"/>
        <v>28145.244538569641</v>
      </c>
      <c r="Q788" s="25">
        <f t="array" aca="1" ref="Q788" ca="1">INDEX('Isaac 401k'!L:L,MATCH('Retirement Calculator'!A788,'Isaac 401k'!N:N,0),0)</f>
        <v>-2762530.9924192512</v>
      </c>
      <c r="R788" s="25">
        <f t="array" aca="1" ref="R788" ca="1">INDEX('Lorri 401b'!L:L,MATCH('Retirement Calculator'!A788,'Lorri 401b'!N:N,0),0)</f>
        <v>-7002874.0000006557</v>
      </c>
      <c r="S788" s="25">
        <f t="shared" ca="1" si="787"/>
        <v>-9765404.992419906</v>
      </c>
    </row>
    <row r="789" spans="1:19" ht="15.75" customHeight="1" x14ac:dyDescent="0.3">
      <c r="A789" s="37">
        <v>74967</v>
      </c>
      <c r="B789" s="409">
        <f t="shared" ref="B789:C789" si="800">($A789-B$9)/365.25</f>
        <v>123.37029431895962</v>
      </c>
      <c r="C789" s="409">
        <f t="shared" si="800"/>
        <v>118.75975359342915</v>
      </c>
      <c r="E789" s="25">
        <f>IF(C789&gt;$B$7,0,'Combined Retirement'!$D$13/12)</f>
        <v>0</v>
      </c>
      <c r="F789" s="25">
        <f>IF(H789=0,'Combined Retirement'!$D$32,0)+'Combined Retirement'!$B$24</f>
        <v>2870.372285649099</v>
      </c>
      <c r="G789" s="25">
        <f>'Combined Retirement'!$C$24</f>
        <v>3525.4531757812501</v>
      </c>
      <c r="H789" s="25">
        <f>IF(B789&lt;62,0,'Combined Retirement'!$I$14)</f>
        <v>2192</v>
      </c>
      <c r="I789" s="25">
        <f>IF(C789&lt;62,0,'Combined Retirement'!$I$13)</f>
        <v>2420</v>
      </c>
      <c r="J789" s="25">
        <f t="shared" si="783"/>
        <v>7863.2184191855868</v>
      </c>
      <c r="K789" s="25">
        <f t="shared" si="784"/>
        <v>20282.026119384056</v>
      </c>
      <c r="L789" s="25"/>
      <c r="N789" s="25">
        <f>'Combined Retirement'!$C$18/12</f>
        <v>39153.069999999992</v>
      </c>
      <c r="O789" s="25">
        <f t="shared" si="785"/>
        <v>11007.82546143035</v>
      </c>
      <c r="P789" s="25">
        <f t="shared" si="786"/>
        <v>28145.244538569641</v>
      </c>
      <c r="Q789" s="25">
        <f t="array" aca="1" ref="Q789" ca="1">INDEX('Isaac 401k'!L:L,MATCH('Retirement Calculator'!A789,'Isaac 401k'!N:N,0),0)</f>
        <v>-2781937.5200502635</v>
      </c>
      <c r="R789" s="25">
        <f t="array" aca="1" ref="R789" ca="1">INDEX('Lorri 401b'!L:L,MATCH('Retirement Calculator'!A789,'Lorri 401b'!N:N,0),0)</f>
        <v>-7052419.1762288734</v>
      </c>
      <c r="S789" s="25">
        <f t="shared" ca="1" si="787"/>
        <v>-9834356.6962791365</v>
      </c>
    </row>
    <row r="790" spans="1:19" ht="15.75" customHeight="1" x14ac:dyDescent="0.3">
      <c r="A790" s="37">
        <v>74997</v>
      </c>
      <c r="B790" s="409">
        <f t="shared" ref="B790:C790" si="801">($A790-B$9)/365.25</f>
        <v>123.45242984257358</v>
      </c>
      <c r="C790" s="409">
        <f t="shared" si="801"/>
        <v>118.84188911704312</v>
      </c>
      <c r="E790" s="25">
        <f>IF(C790&gt;$B$7,0,'Combined Retirement'!$D$13/12)</f>
        <v>0</v>
      </c>
      <c r="F790" s="25">
        <f>IF(H790=0,'Combined Retirement'!$D$32,0)+'Combined Retirement'!$B$24</f>
        <v>2870.372285649099</v>
      </c>
      <c r="G790" s="25">
        <f>'Combined Retirement'!$C$24</f>
        <v>3525.4531757812501</v>
      </c>
      <c r="H790" s="25">
        <f>IF(B790&lt;62,0,'Combined Retirement'!$I$14)</f>
        <v>2192</v>
      </c>
      <c r="I790" s="25">
        <f>IF(C790&lt;62,0,'Combined Retirement'!$I$13)</f>
        <v>2420</v>
      </c>
      <c r="J790" s="25">
        <f t="shared" si="783"/>
        <v>7863.2184191855868</v>
      </c>
      <c r="K790" s="25">
        <f t="shared" si="784"/>
        <v>20282.026119384056</v>
      </c>
      <c r="L790" s="25"/>
      <c r="N790" s="25">
        <f>'Combined Retirement'!$C$18/12</f>
        <v>39153.069999999992</v>
      </c>
      <c r="O790" s="25">
        <f t="shared" si="785"/>
        <v>11007.82546143035</v>
      </c>
      <c r="P790" s="25">
        <f t="shared" si="786"/>
        <v>28145.244538569641</v>
      </c>
      <c r="Q790" s="25">
        <f t="array" aca="1" ref="Q790" ca="1">INDEX('Isaac 401k'!L:L,MATCH('Retirement Calculator'!A790,'Isaac 401k'!N:N,0),0)</f>
        <v>-2801424.9082130715</v>
      </c>
      <c r="R790" s="25">
        <f t="array" aca="1" ref="R790" ca="1">INDEX('Lorri 401b'!L:L,MATCH('Retirement Calculator'!A790,'Lorri 401b'!N:N,0),0)</f>
        <v>-7102170.7906913748</v>
      </c>
      <c r="S790" s="25">
        <f t="shared" ca="1" si="787"/>
        <v>-9903595.6989044473</v>
      </c>
    </row>
    <row r="791" spans="1:19" ht="15.75" customHeight="1" x14ac:dyDescent="0.3">
      <c r="A791" s="37">
        <v>75028</v>
      </c>
      <c r="B791" s="409">
        <f t="shared" ref="B791:C791" si="802">($A791-B$9)/365.25</f>
        <v>123.53730321697468</v>
      </c>
      <c r="C791" s="409">
        <f t="shared" si="802"/>
        <v>118.92676249144422</v>
      </c>
      <c r="E791" s="25">
        <f>IF(C791&gt;$B$7,0,'Combined Retirement'!$D$13/12)</f>
        <v>0</v>
      </c>
      <c r="F791" s="25">
        <f>IF(H791=0,'Combined Retirement'!$D$32,0)+'Combined Retirement'!$B$24</f>
        <v>2870.372285649099</v>
      </c>
      <c r="G791" s="25">
        <f>'Combined Retirement'!$C$24</f>
        <v>3525.4531757812501</v>
      </c>
      <c r="H791" s="25">
        <f>IF(B791&lt;62,0,'Combined Retirement'!$I$14)</f>
        <v>2192</v>
      </c>
      <c r="I791" s="25">
        <f>IF(C791&lt;62,0,'Combined Retirement'!$I$13)</f>
        <v>2420</v>
      </c>
      <c r="J791" s="25">
        <f t="shared" si="783"/>
        <v>7863.2184191855868</v>
      </c>
      <c r="K791" s="25">
        <f t="shared" si="784"/>
        <v>20282.026119384056</v>
      </c>
      <c r="L791" s="25"/>
      <c r="N791" s="25">
        <f>'Combined Retirement'!$C$18/12</f>
        <v>39153.069999999992</v>
      </c>
      <c r="O791" s="25">
        <f t="shared" si="785"/>
        <v>11007.82546143035</v>
      </c>
      <c r="P791" s="25">
        <f t="shared" si="786"/>
        <v>28145.244538569641</v>
      </c>
      <c r="Q791" s="25">
        <f t="array" aca="1" ref="Q791" ca="1">INDEX('Isaac 401k'!L:L,MATCH('Retirement Calculator'!A791,'Isaac 401k'!N:N,0),0)</f>
        <v>-2820993.4938265579</v>
      </c>
      <c r="R791" s="25">
        <f t="array" aca="1" ref="R791" ca="1">INDEX('Lorri 401b'!L:L,MATCH('Retirement Calculator'!A791,'Lorri 401b'!N:N,0),0)</f>
        <v>-7152129.7035474703</v>
      </c>
      <c r="S791" s="25">
        <f t="shared" ca="1" si="787"/>
        <v>-9973123.1973740272</v>
      </c>
    </row>
    <row r="792" spans="1:19" ht="15.75" customHeight="1" x14ac:dyDescent="0.3">
      <c r="A792" s="37">
        <v>75058</v>
      </c>
      <c r="B792" s="409">
        <f t="shared" ref="B792:C792" si="803">($A792-B$9)/365.25</f>
        <v>123.61943874058863</v>
      </c>
      <c r="C792" s="409">
        <f t="shared" si="803"/>
        <v>119.00889801505818</v>
      </c>
      <c r="E792" s="25">
        <f>IF(C792&gt;$B$7,0,'Combined Retirement'!$D$13/12)</f>
        <v>0</v>
      </c>
      <c r="F792" s="25">
        <f>IF(H792=0,'Combined Retirement'!$D$32,0)+'Combined Retirement'!$B$24</f>
        <v>2870.372285649099</v>
      </c>
      <c r="G792" s="25">
        <f>'Combined Retirement'!$C$24</f>
        <v>3525.4531757812501</v>
      </c>
      <c r="H792" s="25">
        <f>IF(B792&lt;62,0,'Combined Retirement'!$I$14)</f>
        <v>2192</v>
      </c>
      <c r="I792" s="25">
        <f>IF(C792&lt;62,0,'Combined Retirement'!$I$13)</f>
        <v>2420</v>
      </c>
      <c r="J792" s="25">
        <f t="shared" si="783"/>
        <v>7863.2184191855868</v>
      </c>
      <c r="K792" s="25">
        <f t="shared" si="784"/>
        <v>20282.026119384056</v>
      </c>
      <c r="L792" s="25"/>
      <c r="N792" s="25">
        <f>'Combined Retirement'!$C$18/12</f>
        <v>39153.069999999992</v>
      </c>
      <c r="O792" s="25">
        <f t="shared" si="785"/>
        <v>11007.82546143035</v>
      </c>
      <c r="P792" s="25">
        <f t="shared" si="786"/>
        <v>28145.244538569641</v>
      </c>
      <c r="Q792" s="25">
        <f t="array" aca="1" ref="Q792" ca="1">INDEX('Isaac 401k'!L:L,MATCH('Retirement Calculator'!A792,'Isaac 401k'!N:N,0),0)</f>
        <v>-2840643.6152134337</v>
      </c>
      <c r="R792" s="25">
        <f t="array" aca="1" ref="R792" ca="1">INDEX('Lorri 401b'!L:L,MATCH('Retirement Calculator'!A792,'Lorri 401b'!N:N,0),0)</f>
        <v>-7202296.778540466</v>
      </c>
      <c r="S792" s="25">
        <f t="shared" ca="1" si="787"/>
        <v>-10042940.393753899</v>
      </c>
    </row>
    <row r="793" spans="1:19" ht="15.75" customHeight="1" x14ac:dyDescent="0.3">
      <c r="A793" s="37">
        <v>75089</v>
      </c>
      <c r="B793" s="409">
        <f t="shared" ref="B793:C793" si="804">($A793-B$9)/365.25</f>
        <v>123.70431211498973</v>
      </c>
      <c r="C793" s="409">
        <f t="shared" si="804"/>
        <v>119.09377138945928</v>
      </c>
      <c r="E793" s="25">
        <f>IF(C793&gt;$B$7,0,'Combined Retirement'!$D$13/12)</f>
        <v>0</v>
      </c>
      <c r="F793" s="25">
        <f>IF(H793=0,'Combined Retirement'!$D$32,0)+'Combined Retirement'!$B$24</f>
        <v>2870.372285649099</v>
      </c>
      <c r="G793" s="25">
        <f>'Combined Retirement'!$C$24</f>
        <v>3525.4531757812501</v>
      </c>
      <c r="H793" s="25">
        <f>IF(B793&lt;62,0,'Combined Retirement'!$I$14)</f>
        <v>2192</v>
      </c>
      <c r="I793" s="25">
        <f>IF(C793&lt;62,0,'Combined Retirement'!$I$13)</f>
        <v>2420</v>
      </c>
      <c r="J793" s="25">
        <f t="shared" si="783"/>
        <v>7863.2184191855868</v>
      </c>
      <c r="K793" s="25">
        <f t="shared" si="784"/>
        <v>20282.026119384056</v>
      </c>
      <c r="L793" s="25"/>
      <c r="N793" s="25">
        <f>'Combined Retirement'!$C$18/12</f>
        <v>39153.069999999992</v>
      </c>
      <c r="O793" s="25">
        <f t="shared" si="785"/>
        <v>11007.82546143035</v>
      </c>
      <c r="P793" s="25">
        <f t="shared" si="786"/>
        <v>28145.244538569641</v>
      </c>
      <c r="Q793" s="25">
        <f t="array" aca="1" ref="Q793" ca="1">INDEX('Isaac 401k'!L:L,MATCH('Retirement Calculator'!A793,'Isaac 401k'!N:N,0),0)</f>
        <v>-2860375.6121060885</v>
      </c>
      <c r="R793" s="25">
        <f t="array" aca="1" ref="R793" ca="1">INDEX('Lorri 401b'!L:L,MATCH('Retirement Calculator'!A793,'Lorri 401b'!N:N,0),0)</f>
        <v>-7252672.8830125993</v>
      </c>
      <c r="S793" s="25">
        <f t="shared" ca="1" si="787"/>
        <v>-10113048.495118689</v>
      </c>
    </row>
    <row r="794" spans="1:19" ht="15.75" customHeight="1" x14ac:dyDescent="0.3">
      <c r="A794" s="37">
        <v>75120</v>
      </c>
      <c r="B794" s="409">
        <f t="shared" ref="B794:C794" si="805">($A794-B$9)/365.25</f>
        <v>123.78918548939083</v>
      </c>
      <c r="C794" s="409">
        <f t="shared" si="805"/>
        <v>119.17864476386038</v>
      </c>
      <c r="E794" s="25">
        <f>IF(C794&gt;$B$7,0,'Combined Retirement'!$D$13/12)</f>
        <v>0</v>
      </c>
      <c r="F794" s="25">
        <f>IF(H794=0,'Combined Retirement'!$D$32,0)+'Combined Retirement'!$B$24</f>
        <v>2870.372285649099</v>
      </c>
      <c r="G794" s="25">
        <f>'Combined Retirement'!$C$24</f>
        <v>3525.4531757812501</v>
      </c>
      <c r="H794" s="25">
        <f>IF(B794&lt;62,0,'Combined Retirement'!$I$14)</f>
        <v>2192</v>
      </c>
      <c r="I794" s="25">
        <f>IF(C794&lt;62,0,'Combined Retirement'!$I$13)</f>
        <v>2420</v>
      </c>
      <c r="J794" s="25">
        <f t="shared" si="783"/>
        <v>7863.2184191855868</v>
      </c>
      <c r="K794" s="25">
        <f t="shared" si="784"/>
        <v>20282.026119384056</v>
      </c>
      <c r="L794" s="25"/>
      <c r="N794" s="25">
        <f>'Combined Retirement'!$C$18/12</f>
        <v>39153.069999999992</v>
      </c>
      <c r="O794" s="25">
        <f t="shared" si="785"/>
        <v>11007.82546143035</v>
      </c>
      <c r="P794" s="25">
        <f t="shared" si="786"/>
        <v>28145.244538569641</v>
      </c>
      <c r="Q794" s="25">
        <f t="array" aca="1" ref="Q794" ca="1">INDEX('Isaac 401k'!L:L,MATCH('Retirement Calculator'!A794,'Isaac 401k'!N:N,0),0)</f>
        <v>-2880189.8256524624</v>
      </c>
      <c r="R794" s="25">
        <f t="array" aca="1" ref="R794" ca="1">INDEX('Lorri 401b'!L:L,MATCH('Retirement Calculator'!A794,'Lorri 401b'!N:N,0),0)</f>
        <v>-7303258.8879200332</v>
      </c>
      <c r="S794" s="25">
        <f t="shared" ca="1" si="787"/>
        <v>-10183448.713572495</v>
      </c>
    </row>
    <row r="795" spans="1:19" ht="15.75" customHeight="1" x14ac:dyDescent="0.3">
      <c r="A795" s="37">
        <v>75150</v>
      </c>
      <c r="B795" s="409">
        <f t="shared" ref="B795:C795" si="806">($A795-B$9)/365.25</f>
        <v>123.87132101300479</v>
      </c>
      <c r="C795" s="409">
        <f t="shared" si="806"/>
        <v>119.26078028747433</v>
      </c>
      <c r="E795" s="25">
        <f>IF(C795&gt;$B$7,0,'Combined Retirement'!$D$13/12)</f>
        <v>0</v>
      </c>
      <c r="F795" s="25">
        <f>IF(H795=0,'Combined Retirement'!$D$32,0)+'Combined Retirement'!$B$24</f>
        <v>2870.372285649099</v>
      </c>
      <c r="G795" s="25">
        <f>'Combined Retirement'!$C$24</f>
        <v>3525.4531757812501</v>
      </c>
      <c r="H795" s="25">
        <f>IF(B795&lt;62,0,'Combined Retirement'!$I$14)</f>
        <v>2192</v>
      </c>
      <c r="I795" s="25">
        <f>IF(C795&lt;62,0,'Combined Retirement'!$I$13)</f>
        <v>2420</v>
      </c>
      <c r="J795" s="25">
        <f t="shared" si="783"/>
        <v>7863.2184191855868</v>
      </c>
      <c r="K795" s="25">
        <f t="shared" si="784"/>
        <v>20282.026119384056</v>
      </c>
      <c r="L795" s="25"/>
      <c r="N795" s="25">
        <f>'Combined Retirement'!$C$18/12</f>
        <v>39153.069999999992</v>
      </c>
      <c r="O795" s="25">
        <f t="shared" si="785"/>
        <v>11007.82546143035</v>
      </c>
      <c r="P795" s="25">
        <f t="shared" si="786"/>
        <v>28145.244538569641</v>
      </c>
      <c r="Q795" s="25">
        <f t="array" aca="1" ref="Q795" ca="1">INDEX('Isaac 401k'!L:L,MATCH('Retirement Calculator'!A795,'Isaac 401k'!N:N,0),0)</f>
        <v>-2900086.5984219462</v>
      </c>
      <c r="R795" s="25">
        <f t="array" aca="1" ref="R795" ca="1">INDEX('Lorri 401b'!L:L,MATCH('Retirement Calculator'!A795,'Lorri 401b'!N:N,0),0)</f>
        <v>-7354055.6678479146</v>
      </c>
      <c r="S795" s="25">
        <f t="shared" ca="1" si="787"/>
        <v>-10254142.266269861</v>
      </c>
    </row>
    <row r="796" spans="1:19" ht="15.75" customHeight="1" x14ac:dyDescent="0.3">
      <c r="A796" s="37">
        <v>75181</v>
      </c>
      <c r="B796" s="409">
        <f t="shared" ref="B796:C796" si="807">($A796-B$9)/365.25</f>
        <v>123.95619438740589</v>
      </c>
      <c r="C796" s="409">
        <f t="shared" si="807"/>
        <v>119.34565366187543</v>
      </c>
      <c r="E796" s="25">
        <f>IF(C796&gt;$B$7,0,'Combined Retirement'!$D$13/12)</f>
        <v>0</v>
      </c>
      <c r="F796" s="25">
        <f>IF(H796=0,'Combined Retirement'!$D$32,0)+'Combined Retirement'!$B$24</f>
        <v>2870.372285649099</v>
      </c>
      <c r="G796" s="25">
        <f>'Combined Retirement'!$C$24</f>
        <v>3525.4531757812501</v>
      </c>
      <c r="H796" s="25">
        <f>IF(B796&lt;62,0,'Combined Retirement'!$I$14)</f>
        <v>2192</v>
      </c>
      <c r="I796" s="25">
        <f>IF(C796&lt;62,0,'Combined Retirement'!$I$13)</f>
        <v>2420</v>
      </c>
      <c r="J796" s="25">
        <f t="shared" si="783"/>
        <v>7863.2184191855868</v>
      </c>
      <c r="K796" s="25">
        <f t="shared" si="784"/>
        <v>20282.026119384056</v>
      </c>
      <c r="L796" s="25"/>
      <c r="N796" s="25">
        <f>'Combined Retirement'!$C$18/12</f>
        <v>39153.069999999992</v>
      </c>
      <c r="O796" s="25">
        <f t="shared" si="785"/>
        <v>11007.82546143035</v>
      </c>
      <c r="P796" s="25">
        <f t="shared" si="786"/>
        <v>28145.244538569641</v>
      </c>
      <c r="Q796" s="25">
        <f t="array" aca="1" ref="Q796" ca="1">INDEX('Isaac 401k'!L:L,MATCH('Retirement Calculator'!A796,'Isaac 401k'!N:N,0),0)</f>
        <v>-2920066.274411303</v>
      </c>
      <c r="R796" s="25">
        <f t="array" aca="1" ref="R796" ca="1">INDEX('Lorri 401b'!L:L,MATCH('Retirement Calculator'!A796,'Lorri 401b'!N:N,0),0)</f>
        <v>-7405064.1010254957</v>
      </c>
      <c r="S796" s="25">
        <f t="shared" ca="1" si="787"/>
        <v>-10325130.375436798</v>
      </c>
    </row>
    <row r="797" spans="1:19" ht="15.75" customHeight="1" x14ac:dyDescent="0.3">
      <c r="A797" s="37">
        <v>75211</v>
      </c>
      <c r="B797" s="409">
        <f t="shared" ref="B797:C797" si="808">($A797-B$9)/365.25</f>
        <v>124.03832991101984</v>
      </c>
      <c r="C797" s="409">
        <f t="shared" si="808"/>
        <v>119.42778918548939</v>
      </c>
      <c r="E797" s="25">
        <f>IF(C797&gt;$B$7,0,'Combined Retirement'!$D$13/12)</f>
        <v>0</v>
      </c>
      <c r="F797" s="25">
        <f>IF(H797=0,'Combined Retirement'!$D$32,0)+'Combined Retirement'!$B$24</f>
        <v>2870.372285649099</v>
      </c>
      <c r="G797" s="25">
        <f>'Combined Retirement'!$C$24</f>
        <v>3525.4531757812501</v>
      </c>
      <c r="H797" s="25">
        <f>IF(B797&lt;62,0,'Combined Retirement'!$I$14)</f>
        <v>2192</v>
      </c>
      <c r="I797" s="25">
        <f>IF(C797&lt;62,0,'Combined Retirement'!$I$13)</f>
        <v>2420</v>
      </c>
      <c r="J797" s="25">
        <f t="shared" si="783"/>
        <v>7863.2184191855868</v>
      </c>
      <c r="K797" s="25">
        <f t="shared" si="784"/>
        <v>20282.026119384056</v>
      </c>
      <c r="L797" s="25"/>
      <c r="N797" s="25">
        <f>'Combined Retirement'!$C$18/12</f>
        <v>39153.069999999992</v>
      </c>
      <c r="O797" s="25">
        <f t="shared" si="785"/>
        <v>11007.82546143035</v>
      </c>
      <c r="P797" s="25">
        <f t="shared" si="786"/>
        <v>28145.244538569641</v>
      </c>
      <c r="Q797" s="25">
        <f t="array" aca="1" ref="Q797" ca="1">INDEX('Isaac 401k'!L:L,MATCH('Retirement Calculator'!A797,'Isaac 401k'!N:N,0),0)</f>
        <v>-2940129.1990506155</v>
      </c>
      <c r="R797" s="25">
        <f t="array" aca="1" ref="R797" ca="1">INDEX('Lorri 401b'!L:L,MATCH('Retirement Calculator'!A797,'Lorri 401b'!N:N,0),0)</f>
        <v>-7456285.0693413168</v>
      </c>
      <c r="S797" s="25">
        <f t="shared" ca="1" si="787"/>
        <v>-10396414.268391933</v>
      </c>
    </row>
    <row r="798" spans="1:19" ht="15.75" customHeight="1" x14ac:dyDescent="0.3">
      <c r="A798" s="37">
        <v>75242</v>
      </c>
      <c r="B798" s="409">
        <f t="shared" ref="B798:C798" si="809">($A798-B$9)/365.25</f>
        <v>124.12320328542094</v>
      </c>
      <c r="C798" s="409">
        <f t="shared" si="809"/>
        <v>119.51266255989049</v>
      </c>
      <c r="E798" s="25">
        <f>IF(C798&gt;$B$7,0,'Combined Retirement'!$D$13/12)</f>
        <v>0</v>
      </c>
      <c r="F798" s="25">
        <f>IF(H798=0,'Combined Retirement'!$D$32,0)+'Combined Retirement'!$B$24</f>
        <v>2870.372285649099</v>
      </c>
      <c r="G798" s="25">
        <f>'Combined Retirement'!$C$24</f>
        <v>3525.4531757812501</v>
      </c>
      <c r="H798" s="25">
        <f>IF(B798&lt;62,0,'Combined Retirement'!$I$14)</f>
        <v>2192</v>
      </c>
      <c r="I798" s="25">
        <f>IF(C798&lt;62,0,'Combined Retirement'!$I$13)</f>
        <v>2420</v>
      </c>
      <c r="J798" s="25">
        <f t="shared" si="783"/>
        <v>7863.2184191855868</v>
      </c>
      <c r="K798" s="25">
        <f t="shared" si="784"/>
        <v>20282.026119384056</v>
      </c>
      <c r="L798" s="25"/>
      <c r="N798" s="25">
        <f>'Combined Retirement'!$C$18/12</f>
        <v>39153.069999999992</v>
      </c>
      <c r="O798" s="25">
        <f t="shared" si="785"/>
        <v>11007.82546143035</v>
      </c>
      <c r="P798" s="25">
        <f t="shared" si="786"/>
        <v>28145.244538569641</v>
      </c>
      <c r="Q798" s="25">
        <f t="array" aca="1" ref="Q798" ca="1">INDEX('Isaac 401k'!L:L,MATCH('Retirement Calculator'!A798,'Isaac 401k'!N:N,0),0)</f>
        <v>-2960275.7192092584</v>
      </c>
      <c r="R798" s="25">
        <f t="array" aca="1" ref="R798" ca="1">INDEX('Lorri 401b'!L:L,MATCH('Retirement Calculator'!A798,'Lorri 401b'!N:N,0),0)</f>
        <v>-7507719.4583584536</v>
      </c>
      <c r="S798" s="25">
        <f t="shared" ca="1" si="787"/>
        <v>-10467995.177567713</v>
      </c>
    </row>
    <row r="799" spans="1:19" ht="15.75" customHeight="1" x14ac:dyDescent="0.3">
      <c r="A799" s="37">
        <v>75273</v>
      </c>
      <c r="B799" s="409">
        <f t="shared" ref="B799:C799" si="810">($A799-B$9)/365.25</f>
        <v>124.20807665982204</v>
      </c>
      <c r="C799" s="409">
        <f t="shared" si="810"/>
        <v>119.59753593429159</v>
      </c>
      <c r="E799" s="25">
        <f>IF(C799&gt;$B$7,0,'Combined Retirement'!$D$13/12)</f>
        <v>0</v>
      </c>
      <c r="F799" s="25">
        <f>IF(H799=0,'Combined Retirement'!$D$32,0)+'Combined Retirement'!$B$24</f>
        <v>2870.372285649099</v>
      </c>
      <c r="G799" s="25">
        <f>'Combined Retirement'!$C$24</f>
        <v>3525.4531757812501</v>
      </c>
      <c r="H799" s="25">
        <f>IF(B799&lt;62,0,'Combined Retirement'!$I$14)</f>
        <v>2192</v>
      </c>
      <c r="I799" s="25">
        <f>IF(C799&lt;62,0,'Combined Retirement'!$I$13)</f>
        <v>2420</v>
      </c>
      <c r="J799" s="25">
        <f t="shared" si="783"/>
        <v>7863.2184191855868</v>
      </c>
      <c r="K799" s="25">
        <f t="shared" si="784"/>
        <v>20282.026119384056</v>
      </c>
      <c r="L799" s="25"/>
      <c r="N799" s="25">
        <f>'Combined Retirement'!$C$18/12</f>
        <v>39153.069999999992</v>
      </c>
      <c r="O799" s="25">
        <f t="shared" si="785"/>
        <v>11007.82546143035</v>
      </c>
      <c r="P799" s="25">
        <f t="shared" si="786"/>
        <v>28145.244538569641</v>
      </c>
      <c r="Q799" s="25">
        <f t="array" aca="1" ref="Q799" ca="1">INDEX('Isaac 401k'!L:L,MATCH('Retirement Calculator'!A799,'Isaac 401k'!N:N,0),0)</f>
        <v>-2980506.1832018956</v>
      </c>
      <c r="R799" s="25">
        <f t="array" aca="1" ref="R799" ca="1">INDEX('Lorri 401b'!L:L,MATCH('Retirement Calculator'!A799,'Lorri 401b'!N:N,0),0)</f>
        <v>-7559368.1573298285</v>
      </c>
      <c r="S799" s="25">
        <f t="shared" ca="1" si="787"/>
        <v>-10539874.340531724</v>
      </c>
    </row>
    <row r="800" spans="1:19" ht="15.75" customHeight="1" x14ac:dyDescent="0.3">
      <c r="A800" s="37">
        <v>75301</v>
      </c>
      <c r="B800" s="409">
        <f t="shared" ref="B800:C800" si="811">($A800-B$9)/365.25</f>
        <v>124.28473648186174</v>
      </c>
      <c r="C800" s="409">
        <f t="shared" si="811"/>
        <v>119.67419575633129</v>
      </c>
      <c r="E800" s="25">
        <f>IF(C800&gt;$B$7,0,'Combined Retirement'!$D$13/12)</f>
        <v>0</v>
      </c>
      <c r="F800" s="25">
        <f>IF(H800=0,'Combined Retirement'!$D$32,0)+'Combined Retirement'!$B$24</f>
        <v>2870.372285649099</v>
      </c>
      <c r="G800" s="25">
        <f>'Combined Retirement'!$C$24</f>
        <v>3525.4531757812501</v>
      </c>
      <c r="H800" s="25">
        <f>IF(B800&lt;62,0,'Combined Retirement'!$I$14)</f>
        <v>2192</v>
      </c>
      <c r="I800" s="25">
        <f>IF(C800&lt;62,0,'Combined Retirement'!$I$13)</f>
        <v>2420</v>
      </c>
      <c r="J800" s="25">
        <f t="shared" si="783"/>
        <v>7863.2184191855868</v>
      </c>
      <c r="K800" s="25">
        <f t="shared" si="784"/>
        <v>20282.026119384056</v>
      </c>
      <c r="L800" s="25"/>
      <c r="N800" s="25">
        <f>'Combined Retirement'!$C$18/12</f>
        <v>39153.069999999992</v>
      </c>
      <c r="O800" s="25">
        <f t="shared" si="785"/>
        <v>11007.82546143035</v>
      </c>
      <c r="P800" s="25">
        <f t="shared" si="786"/>
        <v>28145.244538569641</v>
      </c>
      <c r="Q800" s="25">
        <f t="array" aca="1" ref="Q800" ca="1">INDEX('Isaac 401k'!L:L,MATCH('Retirement Calculator'!A800,'Isaac 401k'!N:N,0),0)</f>
        <v>-3000820.9407945019</v>
      </c>
      <c r="R800" s="25">
        <f t="array" aca="1" ref="R800" ca="1">INDEX('Lorri 401b'!L:L,MATCH('Retirement Calculator'!A800,'Lorri 401b'!N:N,0),0)</f>
        <v>-7611232.0592135843</v>
      </c>
      <c r="S800" s="25">
        <f t="shared" ca="1" si="787"/>
        <v>-10612053.000008086</v>
      </c>
    </row>
    <row r="801" spans="1:19" ht="15.75" customHeight="1" x14ac:dyDescent="0.3">
      <c r="A801" s="37">
        <v>75332</v>
      </c>
      <c r="B801" s="409">
        <f t="shared" ref="B801:C801" si="812">($A801-B$9)/365.25</f>
        <v>124.36960985626284</v>
      </c>
      <c r="C801" s="409">
        <f t="shared" si="812"/>
        <v>119.75906913073237</v>
      </c>
      <c r="E801" s="25">
        <f>IF(C801&gt;$B$7,0,'Combined Retirement'!$D$13/12)</f>
        <v>0</v>
      </c>
      <c r="F801" s="25">
        <f>IF(H801=0,'Combined Retirement'!$D$32,0)+'Combined Retirement'!$B$24</f>
        <v>2870.372285649099</v>
      </c>
      <c r="G801" s="25">
        <f>'Combined Retirement'!$C$24</f>
        <v>3525.4531757812501</v>
      </c>
      <c r="H801" s="25">
        <f>IF(B801&lt;62,0,'Combined Retirement'!$I$14)</f>
        <v>2192</v>
      </c>
      <c r="I801" s="25">
        <f>IF(C801&lt;62,0,'Combined Retirement'!$I$13)</f>
        <v>2420</v>
      </c>
      <c r="J801" s="25">
        <f t="shared" si="783"/>
        <v>7863.2184191855868</v>
      </c>
      <c r="K801" s="25">
        <f t="shared" si="784"/>
        <v>20282.026119384056</v>
      </c>
      <c r="L801" s="25"/>
      <c r="N801" s="25">
        <f>'Combined Retirement'!$C$18/12</f>
        <v>39153.069999999992</v>
      </c>
      <c r="O801" s="25">
        <f t="shared" si="785"/>
        <v>11007.82546143035</v>
      </c>
      <c r="P801" s="25">
        <f t="shared" si="786"/>
        <v>28145.244538569641</v>
      </c>
      <c r="Q801" s="25">
        <f t="array" aca="1" ref="Q801" ca="1">INDEX('Isaac 401k'!L:L,MATCH('Retirement Calculator'!A801,'Isaac 401k'!N:N,0),0)</f>
        <v>-3021220.3432104108</v>
      </c>
      <c r="R801" s="25">
        <f t="array" aca="1" ref="R801" ca="1">INDEX('Lorri 401b'!L:L,MATCH('Retirement Calculator'!A801,'Lorri 401b'!N:N,0),0)</f>
        <v>-7663312.0606885226</v>
      </c>
      <c r="S801" s="25">
        <f t="shared" ca="1" si="787"/>
        <v>-10684532.403898934</v>
      </c>
    </row>
    <row r="802" spans="1:19" ht="15.75" customHeight="1" x14ac:dyDescent="0.3">
      <c r="A802" s="37">
        <v>75362</v>
      </c>
      <c r="B802" s="409">
        <f t="shared" ref="B802:C802" si="813">($A802-B$9)/365.25</f>
        <v>124.4517453798768</v>
      </c>
      <c r="C802" s="409">
        <f t="shared" si="813"/>
        <v>119.84120465434634</v>
      </c>
      <c r="E802" s="25">
        <f>IF(C802&gt;$B$7,0,'Combined Retirement'!$D$13/12)</f>
        <v>0</v>
      </c>
      <c r="F802" s="25">
        <f>IF(H802=0,'Combined Retirement'!$D$32,0)+'Combined Retirement'!$B$24</f>
        <v>2870.372285649099</v>
      </c>
      <c r="G802" s="25">
        <f>'Combined Retirement'!$C$24</f>
        <v>3525.4531757812501</v>
      </c>
      <c r="H802" s="25">
        <f>IF(B802&lt;62,0,'Combined Retirement'!$I$14)</f>
        <v>2192</v>
      </c>
      <c r="I802" s="25">
        <f>IF(C802&lt;62,0,'Combined Retirement'!$I$13)</f>
        <v>2420</v>
      </c>
      <c r="J802" s="25">
        <f t="shared" si="783"/>
        <v>7863.2184191855868</v>
      </c>
      <c r="K802" s="25">
        <f t="shared" si="784"/>
        <v>20282.026119384056</v>
      </c>
      <c r="L802" s="25"/>
      <c r="N802" s="25">
        <f>'Combined Retirement'!$C$18/12</f>
        <v>39153.069999999992</v>
      </c>
      <c r="O802" s="25">
        <f t="shared" si="785"/>
        <v>11007.82546143035</v>
      </c>
      <c r="P802" s="25">
        <f t="shared" si="786"/>
        <v>28145.244538569641</v>
      </c>
      <c r="Q802" s="25">
        <f t="array" aca="1" ref="Q802" ca="1">INDEX('Isaac 401k'!L:L,MATCH('Retirement Calculator'!A802,'Isaac 401k'!N:N,0),0)</f>
        <v>-3041704.7431363859</v>
      </c>
      <c r="R802" s="25">
        <f t="array" aca="1" ref="R802" ca="1">INDEX('Lorri 401b'!L:L,MATCH('Retirement Calculator'!A802,'Lorri 401b'!N:N,0),0)</f>
        <v>-7715609.0621696059</v>
      </c>
      <c r="S802" s="25">
        <f t="shared" ca="1" si="787"/>
        <v>-10757313.805305991</v>
      </c>
    </row>
    <row r="803" spans="1:19" ht="15.75" customHeight="1" x14ac:dyDescent="0.3">
      <c r="A803" s="37">
        <v>75393</v>
      </c>
      <c r="B803" s="409">
        <f t="shared" ref="B803:C803" si="814">($A803-B$9)/365.25</f>
        <v>124.5366187542779</v>
      </c>
      <c r="C803" s="409">
        <f t="shared" si="814"/>
        <v>119.92607802874743</v>
      </c>
      <c r="E803" s="25">
        <f>IF(C803&gt;$B$7,0,'Combined Retirement'!$D$13/12)</f>
        <v>0</v>
      </c>
      <c r="F803" s="25">
        <f>IF(H803=0,'Combined Retirement'!$D$32,0)+'Combined Retirement'!$B$24</f>
        <v>2870.372285649099</v>
      </c>
      <c r="G803" s="25">
        <f>'Combined Retirement'!$C$24</f>
        <v>3525.4531757812501</v>
      </c>
      <c r="H803" s="25">
        <f>IF(B803&lt;62,0,'Combined Retirement'!$I$14)</f>
        <v>2192</v>
      </c>
      <c r="I803" s="25">
        <f>IF(C803&lt;62,0,'Combined Retirement'!$I$13)</f>
        <v>2420</v>
      </c>
      <c r="J803" s="25">
        <f t="shared" si="783"/>
        <v>7863.2184191855868</v>
      </c>
      <c r="K803" s="25">
        <f t="shared" si="784"/>
        <v>20282.026119384056</v>
      </c>
      <c r="L803" s="25"/>
      <c r="N803" s="25">
        <f>'Combined Retirement'!$C$18/12</f>
        <v>39153.069999999992</v>
      </c>
      <c r="O803" s="25">
        <f t="shared" si="785"/>
        <v>11007.82546143035</v>
      </c>
      <c r="P803" s="25">
        <f t="shared" si="786"/>
        <v>28145.244538569641</v>
      </c>
      <c r="Q803" s="25">
        <f t="array" aca="1" ref="Q803" ca="1">INDEX('Isaac 401k'!L:L,MATCH('Retirement Calculator'!A803,'Isaac 401k'!N:N,0),0)</f>
        <v>-3062274.4947287193</v>
      </c>
      <c r="R803" s="25">
        <f t="array" aca="1" ref="R803" ca="1">INDEX('Lorri 401b'!L:L,MATCH('Retirement Calculator'!A803,'Lorri 401b'!N:N,0),0)</f>
        <v>-7768123.9678235278</v>
      </c>
      <c r="S803" s="25">
        <f t="shared" ca="1" si="787"/>
        <v>-10830398.462552248</v>
      </c>
    </row>
    <row r="804" spans="1:19" ht="15.75" customHeight="1" x14ac:dyDescent="0.3">
      <c r="A804" s="37">
        <v>75423</v>
      </c>
      <c r="B804" s="409">
        <f t="shared" ref="B804:C804" si="815">($A804-B$9)/365.25</f>
        <v>124.61875427789185</v>
      </c>
      <c r="C804" s="409">
        <f t="shared" si="815"/>
        <v>120.0082135523614</v>
      </c>
      <c r="E804" s="25">
        <f>IF(C804&gt;$B$7,0,'Combined Retirement'!$D$13/12)</f>
        <v>0</v>
      </c>
      <c r="F804" s="25">
        <f>IF(H804=0,'Combined Retirement'!$D$32,0)+'Combined Retirement'!$B$24</f>
        <v>2870.372285649099</v>
      </c>
      <c r="G804" s="25">
        <f>'Combined Retirement'!$C$24</f>
        <v>3525.4531757812501</v>
      </c>
      <c r="H804" s="25">
        <f>IF(B804&lt;62,0,'Combined Retirement'!$I$14)</f>
        <v>2192</v>
      </c>
      <c r="I804" s="25">
        <f>IF(C804&lt;62,0,'Combined Retirement'!$I$13)</f>
        <v>2420</v>
      </c>
      <c r="J804" s="25">
        <f t="shared" si="783"/>
        <v>7863.2184191855868</v>
      </c>
      <c r="K804" s="25">
        <f t="shared" si="784"/>
        <v>20282.026119384056</v>
      </c>
      <c r="L804" s="25"/>
      <c r="N804" s="25">
        <f>'Combined Retirement'!$C$18/12</f>
        <v>39153.069999999992</v>
      </c>
      <c r="O804" s="25">
        <f t="shared" si="785"/>
        <v>11007.82546143035</v>
      </c>
      <c r="P804" s="25">
        <f t="shared" si="786"/>
        <v>28145.244538569641</v>
      </c>
      <c r="Q804" s="25">
        <f t="array" aca="1" ref="Q804" ca="1">INDEX('Isaac 401k'!L:L,MATCH('Retirement Calculator'!A804,'Isaac 401k'!N:N,0),0)</f>
        <v>-3082929.9536193544</v>
      </c>
      <c r="R804" s="25">
        <f t="array" aca="1" ref="R804" ca="1">INDEX('Lorri 401b'!L:L,MATCH('Retirement Calculator'!A804,'Lorri 401b'!N:N,0),0)</f>
        <v>-7820857.6855843402</v>
      </c>
      <c r="S804" s="25">
        <f t="shared" ca="1" si="787"/>
        <v>-10903787.639203694</v>
      </c>
    </row>
    <row r="805" spans="1:19" ht="15.75" customHeight="1" x14ac:dyDescent="0.3">
      <c r="A805" s="37">
        <v>75454</v>
      </c>
      <c r="B805" s="409">
        <f t="shared" ref="B805:C805" si="816">($A805-B$9)/365.25</f>
        <v>124.70362765229295</v>
      </c>
      <c r="C805" s="409">
        <f t="shared" si="816"/>
        <v>120.0930869267625</v>
      </c>
      <c r="E805" s="25">
        <f>IF(C805&gt;$B$7,0,'Combined Retirement'!$D$13/12)</f>
        <v>0</v>
      </c>
      <c r="F805" s="25">
        <f>IF(H805=0,'Combined Retirement'!$D$32,0)+'Combined Retirement'!$B$24</f>
        <v>2870.372285649099</v>
      </c>
      <c r="G805" s="25">
        <f>'Combined Retirement'!$C$24</f>
        <v>3525.4531757812501</v>
      </c>
      <c r="H805" s="25">
        <f>IF(B805&lt;62,0,'Combined Retirement'!$I$14)</f>
        <v>2192</v>
      </c>
      <c r="I805" s="25">
        <f>IF(C805&lt;62,0,'Combined Retirement'!$I$13)</f>
        <v>2420</v>
      </c>
      <c r="J805" s="25">
        <f t="shared" si="783"/>
        <v>7863.2184191855868</v>
      </c>
      <c r="K805" s="25">
        <f t="shared" si="784"/>
        <v>20282.026119384056</v>
      </c>
      <c r="L805" s="25"/>
      <c r="N805" s="25">
        <f>'Combined Retirement'!$C$18/12</f>
        <v>39153.069999999992</v>
      </c>
      <c r="O805" s="25">
        <f t="shared" si="785"/>
        <v>11007.82546143035</v>
      </c>
      <c r="P805" s="25">
        <f t="shared" si="786"/>
        <v>28145.244538569641</v>
      </c>
      <c r="Q805" s="25">
        <f t="array" aca="1" ref="Q805" ca="1">INDEX('Isaac 401k'!L:L,MATCH('Retirement Calculator'!A805,'Isaac 401k'!N:N,0),0)</f>
        <v>-3103671.4769220338</v>
      </c>
      <c r="R805" s="25">
        <f t="array" aca="1" ref="R805" ca="1">INDEX('Lorri 401b'!L:L,MATCH('Retirement Calculator'!A805,'Lorri 401b'!N:N,0),0)</f>
        <v>-7873811.1271691564</v>
      </c>
      <c r="S805" s="25">
        <f t="shared" ca="1" si="787"/>
        <v>-10977482.60409119</v>
      </c>
    </row>
    <row r="806" spans="1:19" ht="15.75" customHeight="1" x14ac:dyDescent="0.3">
      <c r="A806" s="37">
        <v>75485</v>
      </c>
      <c r="B806" s="409">
        <f t="shared" ref="B806:C806" si="817">($A806-B$9)/365.25</f>
        <v>124.78850102669405</v>
      </c>
      <c r="C806" s="409">
        <f t="shared" si="817"/>
        <v>120.17796030116358</v>
      </c>
      <c r="E806" s="25">
        <f>IF(C806&gt;$B$7,0,'Combined Retirement'!$D$13/12)</f>
        <v>0</v>
      </c>
      <c r="F806" s="25">
        <f>IF(H806=0,'Combined Retirement'!$D$32,0)+'Combined Retirement'!$B$24</f>
        <v>2870.372285649099</v>
      </c>
      <c r="G806" s="25">
        <f>'Combined Retirement'!$C$24</f>
        <v>3525.4531757812501</v>
      </c>
      <c r="H806" s="25">
        <f>IF(B806&lt;62,0,'Combined Retirement'!$I$14)</f>
        <v>2192</v>
      </c>
      <c r="I806" s="25">
        <f>IF(C806&lt;62,0,'Combined Retirement'!$I$13)</f>
        <v>2420</v>
      </c>
      <c r="J806" s="25">
        <f t="shared" si="783"/>
        <v>7863.2184191855868</v>
      </c>
      <c r="K806" s="25">
        <f t="shared" si="784"/>
        <v>20282.026119384056</v>
      </c>
      <c r="L806" s="25"/>
      <c r="N806" s="25">
        <f>'Combined Retirement'!$C$18/12</f>
        <v>39153.069999999992</v>
      </c>
      <c r="O806" s="25">
        <f t="shared" si="785"/>
        <v>11007.82546143035</v>
      </c>
      <c r="P806" s="25">
        <f t="shared" si="786"/>
        <v>28145.244538569641</v>
      </c>
      <c r="Q806" s="25">
        <f t="array" aca="1" ref="Q806" ca="1">INDEX('Isaac 401k'!L:L,MATCH('Retirement Calculator'!A806,'Isaac 401k'!N:N,0),0)</f>
        <v>-3124499.4232384744</v>
      </c>
      <c r="R806" s="25">
        <f t="array" aca="1" ref="R806" ca="1">INDEX('Lorri 401b'!L:L,MATCH('Retirement Calculator'!A806,'Lorri 401b'!N:N,0),0)</f>
        <v>-7926985.2080939095</v>
      </c>
      <c r="S806" s="25">
        <f t="shared" ca="1" si="787"/>
        <v>-11051484.631332384</v>
      </c>
    </row>
    <row r="807" spans="1:19" ht="15.75" customHeight="1" x14ac:dyDescent="0.3">
      <c r="A807" s="37">
        <v>75515</v>
      </c>
      <c r="B807" s="409">
        <f t="shared" ref="B807:C807" si="818">($A807-B$9)/365.25</f>
        <v>124.87063655030801</v>
      </c>
      <c r="C807" s="409">
        <f t="shared" si="818"/>
        <v>120.26009582477755</v>
      </c>
      <c r="E807" s="25">
        <f>IF(C807&gt;$B$7,0,'Combined Retirement'!$D$13/12)</f>
        <v>0</v>
      </c>
      <c r="F807" s="25">
        <f>IF(H807=0,'Combined Retirement'!$D$32,0)+'Combined Retirement'!$B$24</f>
        <v>2870.372285649099</v>
      </c>
      <c r="G807" s="25">
        <f>'Combined Retirement'!$C$24</f>
        <v>3525.4531757812501</v>
      </c>
      <c r="H807" s="25">
        <f>IF(B807&lt;62,0,'Combined Retirement'!$I$14)</f>
        <v>2192</v>
      </c>
      <c r="I807" s="25">
        <f>IF(C807&lt;62,0,'Combined Retirement'!$I$13)</f>
        <v>2420</v>
      </c>
      <c r="J807" s="25">
        <f t="shared" si="783"/>
        <v>7863.2184191855868</v>
      </c>
      <c r="K807" s="25">
        <f t="shared" si="784"/>
        <v>20282.026119384056</v>
      </c>
      <c r="L807" s="25"/>
      <c r="N807" s="25">
        <f>'Combined Retirement'!$C$18/12</f>
        <v>39153.069999999992</v>
      </c>
      <c r="O807" s="25">
        <f t="shared" si="785"/>
        <v>11007.82546143035</v>
      </c>
      <c r="P807" s="25">
        <f t="shared" si="786"/>
        <v>28145.244538569641</v>
      </c>
      <c r="Q807" s="25">
        <f t="array" aca="1" ref="Q807" ca="1">INDEX('Isaac 401k'!L:L,MATCH('Retirement Calculator'!A807,'Isaac 401k'!N:N,0),0)</f>
        <v>-3145414.1526645669</v>
      </c>
      <c r="R807" s="25">
        <f t="array" aca="1" ref="R807" ca="1">INDEX('Lorri 401b'!L:L,MATCH('Retirement Calculator'!A807,'Lorri 401b'!N:N,0),0)</f>
        <v>-7980380.8476891825</v>
      </c>
      <c r="S807" s="25">
        <f t="shared" ca="1" si="787"/>
        <v>-11125795.00035375</v>
      </c>
    </row>
    <row r="808" spans="1:19" ht="15.75" customHeight="1" x14ac:dyDescent="0.3">
      <c r="A808" s="37">
        <v>75546</v>
      </c>
      <c r="B808" s="409">
        <f t="shared" ref="B808:C808" si="819">($A808-B$9)/365.25</f>
        <v>124.95550992470911</v>
      </c>
      <c r="C808" s="409">
        <f t="shared" si="819"/>
        <v>120.34496919917865</v>
      </c>
      <c r="E808" s="25">
        <f>IF(C808&gt;$B$7,0,'Combined Retirement'!$D$13/12)</f>
        <v>0</v>
      </c>
      <c r="F808" s="25">
        <f>IF(H808=0,'Combined Retirement'!$D$32,0)+'Combined Retirement'!$B$24</f>
        <v>2870.372285649099</v>
      </c>
      <c r="G808" s="25">
        <f>'Combined Retirement'!$C$24</f>
        <v>3525.4531757812501</v>
      </c>
      <c r="H808" s="25">
        <f>IF(B808&lt;62,0,'Combined Retirement'!$I$14)</f>
        <v>2192</v>
      </c>
      <c r="I808" s="25">
        <f>IF(C808&lt;62,0,'Combined Retirement'!$I$13)</f>
        <v>2420</v>
      </c>
      <c r="J808" s="25">
        <f t="shared" si="783"/>
        <v>7863.2184191855868</v>
      </c>
      <c r="K808" s="25">
        <f t="shared" si="784"/>
        <v>20282.026119384056</v>
      </c>
      <c r="L808" s="25"/>
      <c r="N808" s="25">
        <f>'Combined Retirement'!$C$18/12</f>
        <v>39153.069999999992</v>
      </c>
      <c r="O808" s="25">
        <f t="shared" si="785"/>
        <v>11007.82546143035</v>
      </c>
      <c r="P808" s="25">
        <f t="shared" si="786"/>
        <v>28145.244538569641</v>
      </c>
      <c r="Q808" s="25">
        <f t="array" aca="1" ref="Q808" ca="1">INDEX('Isaac 401k'!L:L,MATCH('Retirement Calculator'!A808,'Isaac 401k'!N:N,0),0)</f>
        <v>-3166416.0267966012</v>
      </c>
      <c r="R808" s="25">
        <f t="array" aca="1" ref="R808" ca="1">INDEX('Lorri 401b'!L:L,MATCH('Retirement Calculator'!A808,'Lorri 401b'!N:N,0),0)</f>
        <v>-8033998.969116102</v>
      </c>
      <c r="S808" s="25">
        <f t="shared" ca="1" si="787"/>
        <v>-11200414.995912703</v>
      </c>
    </row>
    <row r="809" spans="1:19" ht="15.75" customHeight="1" x14ac:dyDescent="0.3">
      <c r="A809" s="37">
        <v>75576</v>
      </c>
      <c r="B809" s="409">
        <f t="shared" ref="B809:C809" si="820">($A809-B$9)/365.25</f>
        <v>125.03764544832306</v>
      </c>
      <c r="C809" s="409">
        <f t="shared" si="820"/>
        <v>120.42710472279261</v>
      </c>
      <c r="E809" s="25">
        <f>IF(C809&gt;$B$7,0,'Combined Retirement'!$D$13/12)</f>
        <v>0</v>
      </c>
      <c r="F809" s="25">
        <f>IF(H809=0,'Combined Retirement'!$D$32,0)+'Combined Retirement'!$B$24</f>
        <v>2870.372285649099</v>
      </c>
      <c r="G809" s="25">
        <f>'Combined Retirement'!$C$24</f>
        <v>3525.4531757812501</v>
      </c>
      <c r="H809" s="25">
        <f>IF(B809&lt;62,0,'Combined Retirement'!$I$14)</f>
        <v>2192</v>
      </c>
      <c r="I809" s="25">
        <f>IF(C809&lt;62,0,'Combined Retirement'!$I$13)</f>
        <v>2420</v>
      </c>
      <c r="J809" s="25">
        <f t="shared" si="783"/>
        <v>7863.2184191855868</v>
      </c>
      <c r="K809" s="25">
        <f t="shared" si="784"/>
        <v>20282.026119384056</v>
      </c>
      <c r="L809" s="25"/>
      <c r="N809" s="25">
        <f>'Combined Retirement'!$C$18/12</f>
        <v>39153.069999999992</v>
      </c>
      <c r="O809" s="25">
        <f t="shared" si="785"/>
        <v>11007.82546143035</v>
      </c>
      <c r="P809" s="25">
        <f t="shared" si="786"/>
        <v>28145.244538569641</v>
      </c>
      <c r="Q809" s="25">
        <f t="array" aca="1" ref="Q809" ca="1">INDEX('Isaac 401k'!L:L,MATCH('Retirement Calculator'!A809,'Isaac 401k'!N:N,0),0)</f>
        <v>-3187505.4087375193</v>
      </c>
      <c r="R809" s="25">
        <f t="array" aca="1" ref="R809" ca="1">INDEX('Lorri 401b'!L:L,MATCH('Retirement Calculator'!A809,'Lorri 401b'!N:N,0),0)</f>
        <v>-8087840.4993823003</v>
      </c>
      <c r="S809" s="25">
        <f t="shared" ca="1" si="787"/>
        <v>-11275345.90811982</v>
      </c>
    </row>
    <row r="810" spans="1:19" ht="15.75" customHeight="1" x14ac:dyDescent="0.3">
      <c r="A810" s="37">
        <v>75607</v>
      </c>
      <c r="B810" s="409">
        <f t="shared" ref="B810:C810" si="821">($A810-B$9)/365.25</f>
        <v>125.12251882272416</v>
      </c>
      <c r="C810" s="409">
        <f t="shared" si="821"/>
        <v>120.5119780971937</v>
      </c>
      <c r="E810" s="25">
        <f>IF(C810&gt;$B$7,0,'Combined Retirement'!$D$13/12)</f>
        <v>0</v>
      </c>
      <c r="F810" s="25">
        <f>IF(H810=0,'Combined Retirement'!$D$32,0)+'Combined Retirement'!$B$24</f>
        <v>2870.372285649099</v>
      </c>
      <c r="G810" s="25">
        <f>'Combined Retirement'!$C$24</f>
        <v>3525.4531757812501</v>
      </c>
      <c r="H810" s="25">
        <f>IF(B810&lt;62,0,'Combined Retirement'!$I$14)</f>
        <v>2192</v>
      </c>
      <c r="I810" s="25">
        <f>IF(C810&lt;62,0,'Combined Retirement'!$I$13)</f>
        <v>2420</v>
      </c>
      <c r="J810" s="25">
        <f t="shared" si="783"/>
        <v>7863.2184191855868</v>
      </c>
      <c r="K810" s="25">
        <f t="shared" si="784"/>
        <v>20282.026119384056</v>
      </c>
      <c r="L810" s="25"/>
      <c r="N810" s="25">
        <f>'Combined Retirement'!$C$18/12</f>
        <v>39153.069999999992</v>
      </c>
      <c r="O810" s="25">
        <f t="shared" si="785"/>
        <v>11007.82546143035</v>
      </c>
      <c r="P810" s="25">
        <f t="shared" si="786"/>
        <v>28145.244538569641</v>
      </c>
      <c r="Q810" s="25">
        <f t="array" aca="1" ref="Q810" ca="1">INDEX('Isaac 401k'!L:L,MATCH('Retirement Calculator'!A810,'Isaac 401k'!N:N,0),0)</f>
        <v>-3208682.6631031907</v>
      </c>
      <c r="R810" s="25">
        <f t="array" aca="1" ref="R810" ca="1">INDEX('Lorri 401b'!L:L,MATCH('Retirement Calculator'!A810,'Lorri 401b'!N:N,0),0)</f>
        <v>-8141906.3693579417</v>
      </c>
      <c r="S810" s="25">
        <f t="shared" ca="1" si="787"/>
        <v>-11350589.032461133</v>
      </c>
    </row>
    <row r="811" spans="1:19" ht="15.75" customHeight="1" x14ac:dyDescent="0.3">
      <c r="A811" s="37">
        <v>75638</v>
      </c>
      <c r="B811" s="409">
        <f t="shared" ref="B811:C811" si="822">($A811-B$9)/365.25</f>
        <v>125.20739219712526</v>
      </c>
      <c r="C811" s="409">
        <f t="shared" si="822"/>
        <v>120.5968514715948</v>
      </c>
      <c r="E811" s="25">
        <f>IF(C811&gt;$B$7,0,'Combined Retirement'!$D$13/12)</f>
        <v>0</v>
      </c>
      <c r="F811" s="25">
        <f>IF(H811=0,'Combined Retirement'!$D$32,0)+'Combined Retirement'!$B$24</f>
        <v>2870.372285649099</v>
      </c>
      <c r="G811" s="25">
        <f>'Combined Retirement'!$C$24</f>
        <v>3525.4531757812501</v>
      </c>
      <c r="H811" s="25">
        <f>IF(B811&lt;62,0,'Combined Retirement'!$I$14)</f>
        <v>2192</v>
      </c>
      <c r="I811" s="25">
        <f>IF(C811&lt;62,0,'Combined Retirement'!$I$13)</f>
        <v>2420</v>
      </c>
      <c r="J811" s="25">
        <f t="shared" si="783"/>
        <v>7863.2184191855868</v>
      </c>
      <c r="K811" s="25">
        <f t="shared" si="784"/>
        <v>20282.026119384056</v>
      </c>
      <c r="L811" s="25"/>
      <c r="N811" s="25">
        <f>'Combined Retirement'!$C$18/12</f>
        <v>39153.069999999992</v>
      </c>
      <c r="O811" s="25">
        <f t="shared" si="785"/>
        <v>11007.82546143035</v>
      </c>
      <c r="P811" s="25">
        <f t="shared" si="786"/>
        <v>28145.244538569641</v>
      </c>
      <c r="Q811" s="25">
        <f t="array" aca="1" ref="Q811" ca="1">INDEX('Isaac 401k'!L:L,MATCH('Retirement Calculator'!A811,'Isaac 401k'!N:N,0),0)</f>
        <v>-3229948.1560287192</v>
      </c>
      <c r="R811" s="25">
        <f t="array" aca="1" ref="R811" ca="1">INDEX('Lorri 401b'!L:L,MATCH('Retirement Calculator'!A811,'Lorri 401b'!N:N,0),0)</f>
        <v>-8196197.5137918144</v>
      </c>
      <c r="S811" s="25">
        <f t="shared" ca="1" si="787"/>
        <v>-11426145.669820534</v>
      </c>
    </row>
    <row r="812" spans="1:19" ht="15.75" customHeight="1" x14ac:dyDescent="0.3">
      <c r="A812" s="37">
        <v>75666</v>
      </c>
      <c r="B812" s="409">
        <f t="shared" ref="B812:C812" si="823">($A812-B$9)/365.25</f>
        <v>125.28405201916496</v>
      </c>
      <c r="C812" s="409">
        <f t="shared" si="823"/>
        <v>120.67351129363449</v>
      </c>
      <c r="E812" s="25">
        <f>IF(C812&gt;$B$7,0,'Combined Retirement'!$D$13/12)</f>
        <v>0</v>
      </c>
      <c r="F812" s="25">
        <f>IF(H812=0,'Combined Retirement'!$D$32,0)+'Combined Retirement'!$B$24</f>
        <v>2870.372285649099</v>
      </c>
      <c r="G812" s="25">
        <f>'Combined Retirement'!$C$24</f>
        <v>3525.4531757812501</v>
      </c>
      <c r="H812" s="25">
        <f>IF(B812&lt;62,0,'Combined Retirement'!$I$14)</f>
        <v>2192</v>
      </c>
      <c r="I812" s="25">
        <f>IF(C812&lt;62,0,'Combined Retirement'!$I$13)</f>
        <v>2420</v>
      </c>
      <c r="J812" s="25">
        <f t="shared" si="783"/>
        <v>7863.2184191855868</v>
      </c>
      <c r="K812" s="25">
        <f t="shared" si="784"/>
        <v>20282.026119384056</v>
      </c>
      <c r="L812" s="25"/>
      <c r="N812" s="25">
        <f>'Combined Retirement'!$C$18/12</f>
        <v>39153.069999999992</v>
      </c>
      <c r="O812" s="25">
        <f t="shared" si="785"/>
        <v>11007.82546143035</v>
      </c>
      <c r="P812" s="25">
        <f t="shared" si="786"/>
        <v>28145.244538569641</v>
      </c>
      <c r="Q812" s="25">
        <f t="array" aca="1" ref="Q812" ca="1">INDEX('Isaac 401k'!L:L,MATCH('Retirement Calculator'!A812,'Isaac 401k'!N:N,0),0)</f>
        <v>-3251302.255174771</v>
      </c>
      <c r="R812" s="25">
        <f t="array" aca="1" ref="R812" ca="1">INDEX('Lorri 401b'!L:L,MATCH('Retirement Calculator'!A812,'Lorri 401b'!N:N,0),0)</f>
        <v>-8250714.8713274952</v>
      </c>
      <c r="S812" s="25">
        <f t="shared" ca="1" si="787"/>
        <v>-11502017.126502266</v>
      </c>
    </row>
    <row r="813" spans="1:19" ht="15.75" customHeight="1" x14ac:dyDescent="0.3">
      <c r="A813" s="37">
        <v>75697</v>
      </c>
      <c r="B813" s="409">
        <f t="shared" ref="B813:C813" si="824">($A813-B$9)/365.25</f>
        <v>125.36892539356604</v>
      </c>
      <c r="C813" s="409">
        <f t="shared" si="824"/>
        <v>120.75838466803559</v>
      </c>
      <c r="E813" s="25">
        <f>IF(C813&gt;$B$7,0,'Combined Retirement'!$D$13/12)</f>
        <v>0</v>
      </c>
      <c r="F813" s="25">
        <f>IF(H813=0,'Combined Retirement'!$D$32,0)+'Combined Retirement'!$B$24</f>
        <v>2870.372285649099</v>
      </c>
      <c r="G813" s="25">
        <f>'Combined Retirement'!$C$24</f>
        <v>3525.4531757812501</v>
      </c>
      <c r="H813" s="25">
        <f>IF(B813&lt;62,0,'Combined Retirement'!$I$14)</f>
        <v>2192</v>
      </c>
      <c r="I813" s="25">
        <f>IF(C813&lt;62,0,'Combined Retirement'!$I$13)</f>
        <v>2420</v>
      </c>
      <c r="J813" s="25">
        <f t="shared" si="783"/>
        <v>7863.2184191855868</v>
      </c>
      <c r="K813" s="25">
        <f t="shared" si="784"/>
        <v>20282.026119384056</v>
      </c>
      <c r="L813" s="25"/>
      <c r="N813" s="25">
        <f>'Combined Retirement'!$C$18/12</f>
        <v>39153.069999999992</v>
      </c>
      <c r="O813" s="25">
        <f t="shared" si="785"/>
        <v>11007.82546143035</v>
      </c>
      <c r="P813" s="25">
        <f t="shared" si="786"/>
        <v>28145.244538569641</v>
      </c>
      <c r="Q813" s="25">
        <f t="array" aca="1" ref="Q813" ca="1">INDEX('Isaac 401k'!L:L,MATCH('Retirement Calculator'!A813,'Isaac 401k'!N:N,0),0)</f>
        <v>-3272745.329733931</v>
      </c>
      <c r="R813" s="25">
        <f t="array" aca="1" ref="R813" ca="1">INDEX('Lorri 401b'!L:L,MATCH('Retirement Calculator'!A813,'Lorri 401b'!N:N,0),0)</f>
        <v>-8305459.3845195742</v>
      </c>
      <c r="S813" s="25">
        <f t="shared" ca="1" si="787"/>
        <v>-11578204.714253506</v>
      </c>
    </row>
    <row r="814" spans="1:19" ht="15.75" customHeight="1" x14ac:dyDescent="0.3">
      <c r="A814" s="37">
        <v>75727</v>
      </c>
      <c r="B814" s="409">
        <f t="shared" ref="B814:C814" si="825">($A814-B$9)/365.25</f>
        <v>125.45106091718002</v>
      </c>
      <c r="C814" s="409">
        <f t="shared" si="825"/>
        <v>120.84052019164956</v>
      </c>
      <c r="E814" s="25">
        <f>IF(C814&gt;$B$7,0,'Combined Retirement'!$D$13/12)</f>
        <v>0</v>
      </c>
      <c r="F814" s="25">
        <f>IF(H814=0,'Combined Retirement'!$D$32,0)+'Combined Retirement'!$B$24</f>
        <v>2870.372285649099</v>
      </c>
      <c r="G814" s="25">
        <f>'Combined Retirement'!$C$24</f>
        <v>3525.4531757812501</v>
      </c>
      <c r="H814" s="25">
        <f>IF(B814&lt;62,0,'Combined Retirement'!$I$14)</f>
        <v>2192</v>
      </c>
      <c r="I814" s="25">
        <f>IF(C814&lt;62,0,'Combined Retirement'!$I$13)</f>
        <v>2420</v>
      </c>
      <c r="J814" s="25">
        <f t="shared" si="783"/>
        <v>7863.2184191855868</v>
      </c>
      <c r="K814" s="25">
        <f t="shared" si="784"/>
        <v>20282.026119384056</v>
      </c>
      <c r="L814" s="25"/>
      <c r="N814" s="25">
        <f>'Combined Retirement'!$C$18/12</f>
        <v>39153.069999999992</v>
      </c>
      <c r="O814" s="25">
        <f t="shared" si="785"/>
        <v>11007.82546143035</v>
      </c>
      <c r="P814" s="25">
        <f t="shared" si="786"/>
        <v>28145.244538569641</v>
      </c>
      <c r="Q814" s="25">
        <f t="array" aca="1" ref="Q814" ca="1">INDEX('Isaac 401k'!L:L,MATCH('Retirement Calculator'!A814,'Isaac 401k'!N:N,0),0)</f>
        <v>-3294277.7504370878</v>
      </c>
      <c r="R814" s="25">
        <f t="array" aca="1" ref="R814" ca="1">INDEX('Lorri 401b'!L:L,MATCH('Retirement Calculator'!A814,'Lorri 401b'!N:N,0),0)</f>
        <v>-8360431.9998499537</v>
      </c>
      <c r="S814" s="25">
        <f t="shared" ca="1" si="787"/>
        <v>-11654709.750287041</v>
      </c>
    </row>
    <row r="815" spans="1:19" ht="15.75" customHeight="1" x14ac:dyDescent="0.3">
      <c r="A815" s="37">
        <v>75758</v>
      </c>
      <c r="B815" s="409">
        <f t="shared" ref="B815:C815" si="826">($A815-B$9)/365.25</f>
        <v>125.53593429158111</v>
      </c>
      <c r="C815" s="409">
        <f t="shared" si="826"/>
        <v>120.92539356605064</v>
      </c>
      <c r="E815" s="25">
        <f>IF(C815&gt;$B$7,0,'Combined Retirement'!$D$13/12)</f>
        <v>0</v>
      </c>
      <c r="F815" s="25">
        <f>IF(H815=0,'Combined Retirement'!$D$32,0)+'Combined Retirement'!$B$24</f>
        <v>2870.372285649099</v>
      </c>
      <c r="G815" s="25">
        <f>'Combined Retirement'!$C$24</f>
        <v>3525.4531757812501</v>
      </c>
      <c r="H815" s="25">
        <f>IF(B815&lt;62,0,'Combined Retirement'!$I$14)</f>
        <v>2192</v>
      </c>
      <c r="I815" s="25">
        <f>IF(C815&lt;62,0,'Combined Retirement'!$I$13)</f>
        <v>2420</v>
      </c>
      <c r="J815" s="25">
        <f t="shared" si="783"/>
        <v>7863.2184191855868</v>
      </c>
      <c r="K815" s="25">
        <f t="shared" si="784"/>
        <v>20282.026119384056</v>
      </c>
      <c r="L815" s="25"/>
      <c r="N815" s="25">
        <f>'Combined Retirement'!$C$18/12</f>
        <v>39153.069999999992</v>
      </c>
      <c r="O815" s="25">
        <f t="shared" si="785"/>
        <v>11007.82546143035</v>
      </c>
      <c r="P815" s="25">
        <f t="shared" si="786"/>
        <v>28145.244538569641</v>
      </c>
      <c r="Q815" s="25">
        <f t="array" aca="1" ref="Q815" ca="1">INDEX('Isaac 401k'!L:L,MATCH('Retirement Calculator'!A815,'Isaac 401k'!N:N,0),0)</f>
        <v>-3315899.8895598412</v>
      </c>
      <c r="R815" s="25">
        <f t="array" aca="1" ref="R815" ca="1">INDEX('Lorri 401b'!L:L,MATCH('Retirement Calculator'!A815,'Lorri 401b'!N:N,0),0)</f>
        <v>-8415633.66774421</v>
      </c>
      <c r="S815" s="25">
        <f t="shared" ca="1" si="787"/>
        <v>-11731533.557304051</v>
      </c>
    </row>
    <row r="816" spans="1:19" ht="15.75" customHeight="1" x14ac:dyDescent="0.3">
      <c r="A816" s="37">
        <v>75788</v>
      </c>
      <c r="B816" s="409">
        <f t="shared" ref="B816:C816" si="827">($A816-B$9)/365.25</f>
        <v>125.61806981519507</v>
      </c>
      <c r="C816" s="409">
        <f t="shared" si="827"/>
        <v>121.00752908966462</v>
      </c>
      <c r="E816" s="25">
        <f>IF(C816&gt;$B$7,0,'Combined Retirement'!$D$13/12)</f>
        <v>0</v>
      </c>
      <c r="F816" s="25">
        <f>IF(H816=0,'Combined Retirement'!$D$32,0)+'Combined Retirement'!$B$24</f>
        <v>2870.372285649099</v>
      </c>
      <c r="G816" s="25">
        <f>'Combined Retirement'!$C$24</f>
        <v>3525.4531757812501</v>
      </c>
      <c r="H816" s="25">
        <f>IF(B816&lt;62,0,'Combined Retirement'!$I$14)</f>
        <v>2192</v>
      </c>
      <c r="I816" s="25">
        <f>IF(C816&lt;62,0,'Combined Retirement'!$I$13)</f>
        <v>2420</v>
      </c>
      <c r="J816" s="25">
        <f t="shared" si="783"/>
        <v>7863.2184191855868</v>
      </c>
      <c r="K816" s="25">
        <f t="shared" si="784"/>
        <v>20282.026119384056</v>
      </c>
      <c r="L816" s="25"/>
      <c r="N816" s="25">
        <f>'Combined Retirement'!$C$18/12</f>
        <v>39153.069999999992</v>
      </c>
      <c r="O816" s="25">
        <f t="shared" si="785"/>
        <v>11007.82546143035</v>
      </c>
      <c r="P816" s="25">
        <f t="shared" si="786"/>
        <v>28145.244538569641</v>
      </c>
      <c r="Q816" s="25">
        <f t="array" aca="1" ref="Q816" ca="1">INDEX('Isaac 401k'!L:L,MATCH('Retirement Calculator'!A816,'Isaac 401k'!N:N,0),0)</f>
        <v>-3337612.1209289394</v>
      </c>
      <c r="R816" s="25">
        <f t="array" aca="1" ref="R816" ca="1">INDEX('Lorri 401b'!L:L,MATCH('Retirement Calculator'!A816,'Lorri 401b'!N:N,0),0)</f>
        <v>-8471065.3425880261</v>
      </c>
      <c r="S816" s="25">
        <f t="shared" ca="1" si="787"/>
        <v>-11808677.463516966</v>
      </c>
    </row>
    <row r="817" spans="1:19" ht="15.75" customHeight="1" x14ac:dyDescent="0.3">
      <c r="A817" s="37">
        <v>75819</v>
      </c>
      <c r="B817" s="409">
        <f t="shared" ref="B817:C817" si="828">($A817-B$9)/365.25</f>
        <v>125.70294318959617</v>
      </c>
      <c r="C817" s="409">
        <f t="shared" si="828"/>
        <v>121.09240246406571</v>
      </c>
      <c r="E817" s="25">
        <f>IF(C817&gt;$B$7,0,'Combined Retirement'!$D$13/12)</f>
        <v>0</v>
      </c>
      <c r="F817" s="25">
        <f>IF(H817=0,'Combined Retirement'!$D$32,0)+'Combined Retirement'!$B$24</f>
        <v>2870.372285649099</v>
      </c>
      <c r="G817" s="25">
        <f>'Combined Retirement'!$C$24</f>
        <v>3525.4531757812501</v>
      </c>
      <c r="H817" s="25">
        <f>IF(B817&lt;62,0,'Combined Retirement'!$I$14)</f>
        <v>2192</v>
      </c>
      <c r="I817" s="25">
        <f>IF(C817&lt;62,0,'Combined Retirement'!$I$13)</f>
        <v>2420</v>
      </c>
      <c r="J817" s="25">
        <f t="shared" si="783"/>
        <v>7863.2184191855868</v>
      </c>
      <c r="K817" s="25">
        <f t="shared" si="784"/>
        <v>20282.026119384056</v>
      </c>
      <c r="L817" s="25"/>
      <c r="N817" s="25">
        <f>'Combined Retirement'!$C$18/12</f>
        <v>39153.069999999992</v>
      </c>
      <c r="O817" s="25">
        <f t="shared" si="785"/>
        <v>11007.82546143035</v>
      </c>
      <c r="P817" s="25">
        <f t="shared" si="786"/>
        <v>28145.244538569641</v>
      </c>
      <c r="Q817" s="25">
        <f t="array" aca="1" ref="Q817" ca="1">INDEX('Isaac 401k'!L:L,MATCH('Retirement Calculator'!A817,'Isaac 401k'!N:N,0),0)</f>
        <v>-3359414.819928742</v>
      </c>
      <c r="R817" s="25">
        <f t="array" aca="1" ref="R817" ca="1">INDEX('Lorri 401b'!L:L,MATCH('Retirement Calculator'!A817,'Lorri 401b'!N:N,0),0)</f>
        <v>-8526727.9827436917</v>
      </c>
      <c r="S817" s="25">
        <f t="shared" ca="1" si="787"/>
        <v>-11886142.802672435</v>
      </c>
    </row>
    <row r="818" spans="1:19" ht="15.75" customHeight="1" x14ac:dyDescent="0.3">
      <c r="A818" s="37">
        <v>75850</v>
      </c>
      <c r="B818" s="409">
        <f t="shared" ref="B818:C818" si="829">($A818-B$9)/365.25</f>
        <v>125.78781656399727</v>
      </c>
      <c r="C818" s="409">
        <f t="shared" si="829"/>
        <v>121.1772758384668</v>
      </c>
      <c r="E818" s="25">
        <f>IF(C818&gt;$B$7,0,'Combined Retirement'!$D$13/12)</f>
        <v>0</v>
      </c>
      <c r="F818" s="25">
        <f>IF(H818=0,'Combined Retirement'!$D$32,0)+'Combined Retirement'!$B$24</f>
        <v>2870.372285649099</v>
      </c>
      <c r="G818" s="25">
        <f>'Combined Retirement'!$C$24</f>
        <v>3525.4531757812501</v>
      </c>
      <c r="H818" s="25">
        <f>IF(B818&lt;62,0,'Combined Retirement'!$I$14)</f>
        <v>2192</v>
      </c>
      <c r="I818" s="25">
        <f>IF(C818&lt;62,0,'Combined Retirement'!$I$13)</f>
        <v>2420</v>
      </c>
      <c r="J818" s="25">
        <f t="shared" si="783"/>
        <v>7863.2184191855868</v>
      </c>
      <c r="K818" s="25">
        <f t="shared" si="784"/>
        <v>20282.026119384056</v>
      </c>
      <c r="L818" s="25"/>
      <c r="N818" s="25">
        <f>'Combined Retirement'!$C$18/12</f>
        <v>39153.069999999992</v>
      </c>
      <c r="O818" s="25">
        <f t="shared" si="785"/>
        <v>11007.82546143035</v>
      </c>
      <c r="P818" s="25">
        <f t="shared" si="786"/>
        <v>28145.244538569641</v>
      </c>
      <c r="Q818" s="25">
        <f t="array" aca="1" ref="Q818" ca="1">INDEX('Isaac 401k'!L:L,MATCH('Retirement Calculator'!A818,'Isaac 401k'!N:N,0),0)</f>
        <v>-3381308.3635077104</v>
      </c>
      <c r="R818" s="25">
        <f t="array" aca="1" ref="R818" ca="1">INDEX('Lorri 401b'!L:L,MATCH('Retirement Calculator'!A818,'Lorri 401b'!N:N,0),0)</f>
        <v>-8582622.5505666733</v>
      </c>
      <c r="S818" s="25">
        <f t="shared" ca="1" si="787"/>
        <v>-11963930.914074384</v>
      </c>
    </row>
    <row r="819" spans="1:19" ht="15.75" customHeight="1" x14ac:dyDescent="0.3">
      <c r="A819" s="37">
        <v>75880</v>
      </c>
      <c r="B819" s="409">
        <f t="shared" ref="B819:C819" si="830">($A819-B$9)/365.25</f>
        <v>125.86995208761122</v>
      </c>
      <c r="C819" s="409">
        <f t="shared" si="830"/>
        <v>121.25941136208077</v>
      </c>
      <c r="E819" s="25">
        <f>IF(C819&gt;$B$7,0,'Combined Retirement'!$D$13/12)</f>
        <v>0</v>
      </c>
      <c r="F819" s="25">
        <f>IF(H819=0,'Combined Retirement'!$D$32,0)+'Combined Retirement'!$B$24</f>
        <v>2870.372285649099</v>
      </c>
      <c r="G819" s="25">
        <f>'Combined Retirement'!$C$24</f>
        <v>3525.4531757812501</v>
      </c>
      <c r="H819" s="25">
        <f>IF(B819&lt;62,0,'Combined Retirement'!$I$14)</f>
        <v>2192</v>
      </c>
      <c r="I819" s="25">
        <f>IF(C819&lt;62,0,'Combined Retirement'!$I$13)</f>
        <v>2420</v>
      </c>
      <c r="J819" s="25">
        <f t="shared" si="783"/>
        <v>7863.2184191855868</v>
      </c>
      <c r="K819" s="25">
        <f t="shared" si="784"/>
        <v>20282.026119384056</v>
      </c>
      <c r="L819" s="25"/>
      <c r="N819" s="25">
        <f>'Combined Retirement'!$C$18/12</f>
        <v>39153.069999999992</v>
      </c>
      <c r="O819" s="25">
        <f t="shared" si="785"/>
        <v>11007.82546143035</v>
      </c>
      <c r="P819" s="25">
        <f t="shared" si="786"/>
        <v>28145.244538569641</v>
      </c>
      <c r="Q819" s="25">
        <f t="array" aca="1" ref="Q819" ca="1">INDEX('Isaac 401k'!L:L,MATCH('Retirement Calculator'!A819,'Isaac 401k'!N:N,0),0)</f>
        <v>-3403293.1301849247</v>
      </c>
      <c r="R819" s="25">
        <f t="array" aca="1" ref="R819" ca="1">INDEX('Lorri 401b'!L:L,MATCH('Retirement Calculator'!A819,'Lorri 401b'!N:N,0),0)</f>
        <v>-8638750.0124222506</v>
      </c>
      <c r="S819" s="25">
        <f t="shared" ca="1" si="787"/>
        <v>-12042043.142607175</v>
      </c>
    </row>
    <row r="820" spans="1:19" ht="15.75" customHeight="1" x14ac:dyDescent="0.3">
      <c r="A820" s="37">
        <v>75911</v>
      </c>
      <c r="B820" s="409">
        <f t="shared" ref="B820:C820" si="831">($A820-B$9)/365.25</f>
        <v>125.95482546201232</v>
      </c>
      <c r="C820" s="409">
        <f t="shared" si="831"/>
        <v>121.34428473648187</v>
      </c>
      <c r="E820" s="25">
        <f>IF(C820&gt;$B$7,0,'Combined Retirement'!$D$13/12)</f>
        <v>0</v>
      </c>
      <c r="F820" s="25">
        <f>IF(H820=0,'Combined Retirement'!$D$32,0)+'Combined Retirement'!$B$24</f>
        <v>2870.372285649099</v>
      </c>
      <c r="G820" s="25">
        <f>'Combined Retirement'!$C$24</f>
        <v>3525.4531757812501</v>
      </c>
      <c r="H820" s="25">
        <f>IF(B820&lt;62,0,'Combined Retirement'!$I$14)</f>
        <v>2192</v>
      </c>
      <c r="I820" s="25">
        <f>IF(C820&lt;62,0,'Combined Retirement'!$I$13)</f>
        <v>2420</v>
      </c>
      <c r="J820" s="25">
        <f t="shared" si="783"/>
        <v>7863.2184191855868</v>
      </c>
      <c r="K820" s="25">
        <f t="shared" si="784"/>
        <v>20282.026119384056</v>
      </c>
      <c r="L820" s="25"/>
      <c r="N820" s="25">
        <f>'Combined Retirement'!$C$18/12</f>
        <v>39153.069999999992</v>
      </c>
      <c r="O820" s="25">
        <f t="shared" si="785"/>
        <v>11007.82546143035</v>
      </c>
      <c r="P820" s="25">
        <f t="shared" si="786"/>
        <v>28145.244538569641</v>
      </c>
      <c r="Q820" s="25">
        <f t="array" aca="1" ref="Q820" ca="1">INDEX('Isaac 401k'!L:L,MATCH('Retirement Calculator'!A820,'Isaac 401k'!N:N,0),0)</f>
        <v>-3425369.5000566272</v>
      </c>
      <c r="R820" s="25">
        <f t="array" aca="1" ref="R820" ca="1">INDEX('Lorri 401b'!L:L,MATCH('Retirement Calculator'!A820,'Lorri 401b'!N:N,0),0)</f>
        <v>-8695111.3387022261</v>
      </c>
      <c r="S820" s="25">
        <f t="shared" ca="1" si="787"/>
        <v>-12120480.838758852</v>
      </c>
    </row>
    <row r="821" spans="1:19" ht="15.75" customHeight="1" x14ac:dyDescent="0.3">
      <c r="A821" s="37">
        <v>75941</v>
      </c>
      <c r="B821" s="409">
        <f t="shared" ref="B821:C821" si="832">($A821-B$9)/365.25</f>
        <v>126.03696098562628</v>
      </c>
      <c r="C821" s="409">
        <f t="shared" si="832"/>
        <v>121.42642026009582</v>
      </c>
      <c r="E821" s="25">
        <f>IF(C821&gt;$B$7,0,'Combined Retirement'!$D$13/12)</f>
        <v>0</v>
      </c>
      <c r="F821" s="25">
        <f>IF(H821=0,'Combined Retirement'!$D$32,0)+'Combined Retirement'!$B$24</f>
        <v>2870.372285649099</v>
      </c>
      <c r="G821" s="25">
        <f>'Combined Retirement'!$C$24</f>
        <v>3525.4531757812501</v>
      </c>
      <c r="H821" s="25">
        <f>IF(B821&lt;62,0,'Combined Retirement'!$I$14)</f>
        <v>2192</v>
      </c>
      <c r="I821" s="25">
        <f>IF(C821&lt;62,0,'Combined Retirement'!$I$13)</f>
        <v>2420</v>
      </c>
      <c r="J821" s="25">
        <f t="shared" si="783"/>
        <v>7863.2184191855868</v>
      </c>
      <c r="K821" s="25">
        <f t="shared" si="784"/>
        <v>20282.026119384056</v>
      </c>
      <c r="L821" s="25"/>
      <c r="N821" s="25">
        <f>'Combined Retirement'!$C$18/12</f>
        <v>39153.069999999992</v>
      </c>
      <c r="O821" s="25">
        <f t="shared" si="785"/>
        <v>11007.82546143035</v>
      </c>
      <c r="P821" s="25">
        <f t="shared" si="786"/>
        <v>28145.244538569641</v>
      </c>
      <c r="Q821" s="25">
        <f t="array" aca="1" ref="Q821" ca="1">INDEX('Isaac 401k'!L:L,MATCH('Retirement Calculator'!A821,'Isaac 401k'!N:N,0),0)</f>
        <v>-3447537.8548027952</v>
      </c>
      <c r="R821" s="25">
        <f t="array" aca="1" ref="R821" ca="1">INDEX('Lorri 401b'!L:L,MATCH('Retirement Calculator'!A821,'Lorri 401b'!N:N,0),0)</f>
        <v>-8751707.5038417019</v>
      </c>
      <c r="S821" s="25">
        <f t="shared" ca="1" si="787"/>
        <v>-12199245.358644497</v>
      </c>
    </row>
    <row r="822" spans="1:19" ht="15.75" customHeight="1" x14ac:dyDescent="0.3">
      <c r="A822" s="37">
        <v>75972</v>
      </c>
      <c r="B822" s="409">
        <f t="shared" ref="B822:C822" si="833">($A822-B$9)/365.25</f>
        <v>126.12183436002738</v>
      </c>
      <c r="C822" s="409">
        <f t="shared" si="833"/>
        <v>121.51129363449692</v>
      </c>
      <c r="E822" s="25">
        <f>IF(C822&gt;$B$7,0,'Combined Retirement'!$D$13/12)</f>
        <v>0</v>
      </c>
      <c r="F822" s="25">
        <f>IF(H822=0,'Combined Retirement'!$D$32,0)+'Combined Retirement'!$B$24</f>
        <v>2870.372285649099</v>
      </c>
      <c r="G822" s="25">
        <f>'Combined Retirement'!$C$24</f>
        <v>3525.4531757812501</v>
      </c>
      <c r="H822" s="25">
        <f>IF(B822&lt;62,0,'Combined Retirement'!$I$14)</f>
        <v>2192</v>
      </c>
      <c r="I822" s="25">
        <f>IF(C822&lt;62,0,'Combined Retirement'!$I$13)</f>
        <v>2420</v>
      </c>
      <c r="J822" s="25">
        <f t="shared" si="783"/>
        <v>7863.2184191855868</v>
      </c>
      <c r="K822" s="25">
        <f t="shared" si="784"/>
        <v>20282.026119384056</v>
      </c>
      <c r="L822" s="25"/>
      <c r="N822" s="25">
        <f>'Combined Retirement'!$C$18/12</f>
        <v>39153.069999999992</v>
      </c>
      <c r="O822" s="25">
        <f t="shared" si="785"/>
        <v>11007.82546143035</v>
      </c>
      <c r="P822" s="25">
        <f t="shared" si="786"/>
        <v>28145.244538569641</v>
      </c>
      <c r="Q822" s="25">
        <f t="array" aca="1" ref="Q822" ca="1">INDEX('Isaac 401k'!L:L,MATCH('Retirement Calculator'!A822,'Isaac 401k'!N:N,0),0)</f>
        <v>-3469798.577693739</v>
      </c>
      <c r="R822" s="25">
        <f t="array" aca="1" ref="R822" ca="1">INDEX('Lorri 401b'!L:L,MATCH('Retirement Calculator'!A822,'Lorri 401b'!N:N,0),0)</f>
        <v>-8808539.4863359239</v>
      </c>
      <c r="S822" s="25">
        <f t="shared" ca="1" si="787"/>
        <v>-12278338.064029664</v>
      </c>
    </row>
    <row r="823" spans="1:19" ht="15.75" customHeight="1" x14ac:dyDescent="0.3">
      <c r="A823" s="37">
        <v>76003</v>
      </c>
      <c r="B823" s="409">
        <f t="shared" ref="B823:C823" si="834">($A823-B$9)/365.25</f>
        <v>126.20670773442848</v>
      </c>
      <c r="C823" s="409">
        <f t="shared" si="834"/>
        <v>121.59616700889802</v>
      </c>
      <c r="E823" s="25">
        <f>IF(C823&gt;$B$7,0,'Combined Retirement'!$D$13/12)</f>
        <v>0</v>
      </c>
      <c r="F823" s="25">
        <f>IF(H823=0,'Combined Retirement'!$D$32,0)+'Combined Retirement'!$B$24</f>
        <v>2870.372285649099</v>
      </c>
      <c r="G823" s="25">
        <f>'Combined Retirement'!$C$24</f>
        <v>3525.4531757812501</v>
      </c>
      <c r="H823" s="25">
        <f>IF(B823&lt;62,0,'Combined Retirement'!$I$14)</f>
        <v>2192</v>
      </c>
      <c r="I823" s="25">
        <f>IF(C823&lt;62,0,'Combined Retirement'!$I$13)</f>
        <v>2420</v>
      </c>
      <c r="J823" s="25">
        <f t="shared" si="783"/>
        <v>7863.2184191855868</v>
      </c>
      <c r="K823" s="25">
        <f t="shared" si="784"/>
        <v>20282.026119384056</v>
      </c>
      <c r="L823" s="25"/>
      <c r="N823" s="25">
        <f>'Combined Retirement'!$C$18/12</f>
        <v>39153.069999999992</v>
      </c>
      <c r="O823" s="25">
        <f t="shared" si="785"/>
        <v>11007.82546143035</v>
      </c>
      <c r="P823" s="25">
        <f t="shared" si="786"/>
        <v>28145.244538569641</v>
      </c>
      <c r="Q823" s="25">
        <f t="array" aca="1" ref="Q823" ca="1">INDEX('Isaac 401k'!L:L,MATCH('Retirement Calculator'!A823,'Isaac 401k'!N:N,0),0)</f>
        <v>-3492152.053596728</v>
      </c>
      <c r="R823" s="25">
        <f t="array" aca="1" ref="R823" ca="1">INDEX('Lorri 401b'!L:L,MATCH('Retirement Calculator'!A823,'Lorri 401b'!N:N,0),0)</f>
        <v>-8865608.2687572055</v>
      </c>
      <c r="S823" s="25">
        <f t="shared" ca="1" si="787"/>
        <v>-12357760.322353933</v>
      </c>
    </row>
    <row r="824" spans="1:19" ht="15.75" customHeight="1" x14ac:dyDescent="0.3">
      <c r="A824" s="37">
        <v>76032</v>
      </c>
      <c r="B824" s="409">
        <f t="shared" ref="B824:C824" si="835">($A824-B$9)/365.25</f>
        <v>126.28610540725531</v>
      </c>
      <c r="C824" s="409">
        <f t="shared" si="835"/>
        <v>121.67556468172485</v>
      </c>
      <c r="E824" s="25">
        <f>IF(C824&gt;$B$7,0,'Combined Retirement'!$D$13/12)</f>
        <v>0</v>
      </c>
      <c r="F824" s="25">
        <f>IF(H824=0,'Combined Retirement'!$D$32,0)+'Combined Retirement'!$B$24</f>
        <v>2870.372285649099</v>
      </c>
      <c r="G824" s="25">
        <f>'Combined Retirement'!$C$24</f>
        <v>3525.4531757812501</v>
      </c>
      <c r="H824" s="25">
        <f>IF(B824&lt;62,0,'Combined Retirement'!$I$14)</f>
        <v>2192</v>
      </c>
      <c r="I824" s="25">
        <f>IF(C824&lt;62,0,'Combined Retirement'!$I$13)</f>
        <v>2420</v>
      </c>
      <c r="J824" s="25">
        <f t="shared" si="783"/>
        <v>7863.2184191855868</v>
      </c>
      <c r="K824" s="25">
        <f t="shared" si="784"/>
        <v>20282.026119384056</v>
      </c>
      <c r="L824" s="25"/>
      <c r="N824" s="25">
        <f>'Combined Retirement'!$C$18/12</f>
        <v>39153.069999999992</v>
      </c>
      <c r="O824" s="25">
        <f t="shared" si="785"/>
        <v>11007.82546143035</v>
      </c>
      <c r="P824" s="25">
        <f t="shared" si="786"/>
        <v>28145.244538569641</v>
      </c>
      <c r="Q824" s="25">
        <f t="array" aca="1" ref="Q824" ca="1">INDEX('Isaac 401k'!L:L,MATCH('Retirement Calculator'!A824,'Isaac 401k'!N:N,0),0)</f>
        <v>-3514598.6689826464</v>
      </c>
      <c r="R824" s="25">
        <f t="array" aca="1" ref="R824" ca="1">INDEX('Lorri 401b'!L:L,MATCH('Retirement Calculator'!A824,'Lorri 401b'!N:N,0),0)</f>
        <v>-8922914.8377719093</v>
      </c>
      <c r="S824" s="25">
        <f t="shared" ca="1" si="787"/>
        <v>-12437513.506754555</v>
      </c>
    </row>
    <row r="825" spans="1:19" ht="15.75" customHeight="1" x14ac:dyDescent="0.3">
      <c r="A825" s="37">
        <v>76063</v>
      </c>
      <c r="B825" s="409">
        <f t="shared" ref="B825:C825" si="836">($A825-B$9)/365.25</f>
        <v>126.3709787816564</v>
      </c>
      <c r="C825" s="409">
        <f t="shared" si="836"/>
        <v>121.76043805612593</v>
      </c>
      <c r="E825" s="25">
        <f>IF(C825&gt;$B$7,0,'Combined Retirement'!$D$13/12)</f>
        <v>0</v>
      </c>
      <c r="F825" s="25">
        <f>IF(H825=0,'Combined Retirement'!$D$32,0)+'Combined Retirement'!$B$24</f>
        <v>2870.372285649099</v>
      </c>
      <c r="G825" s="25">
        <f>'Combined Retirement'!$C$24</f>
        <v>3525.4531757812501</v>
      </c>
      <c r="H825" s="25">
        <f>IF(B825&lt;62,0,'Combined Retirement'!$I$14)</f>
        <v>2192</v>
      </c>
      <c r="I825" s="25">
        <f>IF(C825&lt;62,0,'Combined Retirement'!$I$13)</f>
        <v>2420</v>
      </c>
      <c r="J825" s="25">
        <f t="shared" si="783"/>
        <v>7863.2184191855868</v>
      </c>
      <c r="K825" s="25">
        <f t="shared" si="784"/>
        <v>20282.026119384056</v>
      </c>
      <c r="L825" s="25"/>
      <c r="N825" s="25">
        <f>'Combined Retirement'!$C$18/12</f>
        <v>39153.069999999992</v>
      </c>
      <c r="O825" s="25">
        <f t="shared" si="785"/>
        <v>11007.82546143035</v>
      </c>
      <c r="P825" s="25">
        <f t="shared" si="786"/>
        <v>28145.244538569641</v>
      </c>
      <c r="Q825" s="25">
        <f t="array" aca="1" ref="Q825" ca="1">INDEX('Isaac 401k'!L:L,MATCH('Retirement Calculator'!A825,'Isaac 401k'!N:N,0),0)</f>
        <v>-3537138.8119326727</v>
      </c>
      <c r="R825" s="25">
        <f t="array" aca="1" ref="R825" ca="1">INDEX('Lorri 401b'!L:L,MATCH('Retirement Calculator'!A825,'Lorri 401b'!N:N,0),0)</f>
        <v>-8980460.1841575075</v>
      </c>
      <c r="S825" s="25">
        <f t="shared" ca="1" si="787"/>
        <v>-12517598.996090181</v>
      </c>
    </row>
    <row r="826" spans="1:19" ht="15.75" customHeight="1" x14ac:dyDescent="0.3">
      <c r="A826" s="37">
        <v>76093</v>
      </c>
      <c r="B826" s="409">
        <f t="shared" ref="B826:C826" si="837">($A826-B$9)/365.25</f>
        <v>126.45311430527036</v>
      </c>
      <c r="C826" s="409">
        <f t="shared" si="837"/>
        <v>121.84257357973991</v>
      </c>
      <c r="E826" s="25">
        <f>IF(C826&gt;$B$7,0,'Combined Retirement'!$D$13/12)</f>
        <v>0</v>
      </c>
      <c r="F826" s="25">
        <f>IF(H826=0,'Combined Retirement'!$D$32,0)+'Combined Retirement'!$B$24</f>
        <v>2870.372285649099</v>
      </c>
      <c r="G826" s="25">
        <f>'Combined Retirement'!$C$24</f>
        <v>3525.4531757812501</v>
      </c>
      <c r="H826" s="25">
        <f>IF(B826&lt;62,0,'Combined Retirement'!$I$14)</f>
        <v>2192</v>
      </c>
      <c r="I826" s="25">
        <f>IF(C826&lt;62,0,'Combined Retirement'!$I$13)</f>
        <v>2420</v>
      </c>
      <c r="J826" s="25">
        <f t="shared" si="783"/>
        <v>7863.2184191855868</v>
      </c>
      <c r="K826" s="25">
        <f t="shared" si="784"/>
        <v>20282.026119384056</v>
      </c>
      <c r="L826" s="25"/>
      <c r="N826" s="25">
        <f>'Combined Retirement'!$C$18/12</f>
        <v>39153.069999999992</v>
      </c>
      <c r="O826" s="25">
        <f t="shared" si="785"/>
        <v>11007.82546143035</v>
      </c>
      <c r="P826" s="25">
        <f t="shared" si="786"/>
        <v>28145.244538569641</v>
      </c>
      <c r="Q826" s="25">
        <f t="array" aca="1" ref="Q826" ca="1">INDEX('Isaac 401k'!L:L,MATCH('Retirement Calculator'!A826,'Isaac 401k'!N:N,0),0)</f>
        <v>-3559772.8721449911</v>
      </c>
      <c r="R826" s="25">
        <f t="array" aca="1" ref="R826" ca="1">INDEX('Lorri 401b'!L:L,MATCH('Retirement Calculator'!A826,'Lorri 401b'!N:N,0),0)</f>
        <v>-9038245.3028197121</v>
      </c>
      <c r="S826" s="25">
        <f t="shared" ca="1" si="787"/>
        <v>-12598018.174964704</v>
      </c>
    </row>
    <row r="827" spans="1:19" ht="15.75" customHeight="1" x14ac:dyDescent="0.3">
      <c r="A827" s="37">
        <v>76124</v>
      </c>
      <c r="B827" s="409">
        <f t="shared" ref="B827:C827" si="838">($A827-B$9)/365.25</f>
        <v>126.53798767967146</v>
      </c>
      <c r="C827" s="409">
        <f t="shared" si="838"/>
        <v>121.927446954141</v>
      </c>
      <c r="E827" s="25">
        <f>IF(C827&gt;$B$7,0,'Combined Retirement'!$D$13/12)</f>
        <v>0</v>
      </c>
      <c r="F827" s="25">
        <f>IF(H827=0,'Combined Retirement'!$D$32,0)+'Combined Retirement'!$B$24</f>
        <v>2870.372285649099</v>
      </c>
      <c r="G827" s="25">
        <f>'Combined Retirement'!$C$24</f>
        <v>3525.4531757812501</v>
      </c>
      <c r="H827" s="25">
        <f>IF(B827&lt;62,0,'Combined Retirement'!$I$14)</f>
        <v>2192</v>
      </c>
      <c r="I827" s="25">
        <f>IF(C827&lt;62,0,'Combined Retirement'!$I$13)</f>
        <v>2420</v>
      </c>
      <c r="J827" s="25">
        <f t="shared" si="783"/>
        <v>7863.2184191855868</v>
      </c>
      <c r="K827" s="25">
        <f t="shared" si="784"/>
        <v>20282.026119384056</v>
      </c>
      <c r="L827" s="25"/>
      <c r="N827" s="25">
        <f>'Combined Retirement'!$C$18/12</f>
        <v>39153.069999999992</v>
      </c>
      <c r="O827" s="25">
        <f t="shared" si="785"/>
        <v>11007.82546143035</v>
      </c>
      <c r="P827" s="25">
        <f t="shared" si="786"/>
        <v>28145.244538569641</v>
      </c>
      <c r="Q827" s="25">
        <f t="array" aca="1" ref="Q827" ca="1">INDEX('Isaac 401k'!L:L,MATCH('Retirement Calculator'!A827,'Isaac 401k'!N:N,0),0)</f>
        <v>-3582501.2409415273</v>
      </c>
      <c r="R827" s="25">
        <f t="array" aca="1" ref="R827" ca="1">INDEX('Lorri 401b'!L:L,MATCH('Retirement Calculator'!A827,'Lorri 401b'!N:N,0),0)</f>
        <v>-9096271.1928096768</v>
      </c>
      <c r="S827" s="25">
        <f t="shared" ca="1" si="787"/>
        <v>-12678772.433751203</v>
      </c>
    </row>
    <row r="828" spans="1:19" ht="15.75" customHeight="1" x14ac:dyDescent="0.3">
      <c r="A828" s="37">
        <v>76154</v>
      </c>
      <c r="B828" s="409">
        <f t="shared" ref="B828:C828" si="839">($A828-B$9)/365.25</f>
        <v>126.62012320328542</v>
      </c>
      <c r="C828" s="409">
        <f t="shared" si="839"/>
        <v>122.00958247775496</v>
      </c>
      <c r="E828" s="25">
        <f>IF(C828&gt;$B$7,0,'Combined Retirement'!$D$13/12)</f>
        <v>0</v>
      </c>
      <c r="F828" s="25">
        <f>IF(H828=0,'Combined Retirement'!$D$32,0)+'Combined Retirement'!$B$24</f>
        <v>2870.372285649099</v>
      </c>
      <c r="G828" s="25">
        <f>'Combined Retirement'!$C$24</f>
        <v>3525.4531757812501</v>
      </c>
      <c r="H828" s="25">
        <f>IF(B828&lt;62,0,'Combined Retirement'!$I$14)</f>
        <v>2192</v>
      </c>
      <c r="I828" s="25">
        <f>IF(C828&lt;62,0,'Combined Retirement'!$I$13)</f>
        <v>2420</v>
      </c>
      <c r="J828" s="25">
        <f t="shared" si="783"/>
        <v>7863.2184191855868</v>
      </c>
      <c r="K828" s="25">
        <f t="shared" si="784"/>
        <v>20282.026119384056</v>
      </c>
      <c r="L828" s="25"/>
      <c r="N828" s="25">
        <f>'Combined Retirement'!$C$18/12</f>
        <v>39153.069999999992</v>
      </c>
      <c r="O828" s="25">
        <f t="shared" si="785"/>
        <v>11007.82546143035</v>
      </c>
      <c r="P828" s="25">
        <f t="shared" si="786"/>
        <v>28145.244538569641</v>
      </c>
      <c r="Q828" s="25">
        <f t="array" aca="1" ref="Q828" ca="1">INDEX('Isaac 401k'!L:L,MATCH('Retirement Calculator'!A828,'Isaac 401k'!N:N,0),0)</f>
        <v>-3605324.3112747157</v>
      </c>
      <c r="R828" s="25">
        <f t="array" aca="1" ref="R828" ca="1">INDEX('Lorri 401b'!L:L,MATCH('Retirement Calculator'!A828,'Lorri 401b'!N:N,0),0)</f>
        <v>-9154538.8573412653</v>
      </c>
      <c r="S828" s="25">
        <f t="shared" ca="1" si="787"/>
        <v>-12759863.168615982</v>
      </c>
    </row>
    <row r="829" spans="1:19" ht="15.75" customHeight="1" x14ac:dyDescent="0.3">
      <c r="A829" s="37">
        <v>76185</v>
      </c>
      <c r="B829" s="409">
        <f t="shared" ref="B829:C829" si="840">($A829-B$9)/365.25</f>
        <v>126.70499657768652</v>
      </c>
      <c r="C829" s="409">
        <f t="shared" si="840"/>
        <v>122.09445585215606</v>
      </c>
      <c r="E829" s="25">
        <f>IF(C829&gt;$B$7,0,'Combined Retirement'!$D$13/12)</f>
        <v>0</v>
      </c>
      <c r="F829" s="25">
        <f>IF(H829=0,'Combined Retirement'!$D$32,0)+'Combined Retirement'!$B$24</f>
        <v>2870.372285649099</v>
      </c>
      <c r="G829" s="25">
        <f>'Combined Retirement'!$C$24</f>
        <v>3525.4531757812501</v>
      </c>
      <c r="H829" s="25">
        <f>IF(B829&lt;62,0,'Combined Retirement'!$I$14)</f>
        <v>2192</v>
      </c>
      <c r="I829" s="25">
        <f>IF(C829&lt;62,0,'Combined Retirement'!$I$13)</f>
        <v>2420</v>
      </c>
      <c r="J829" s="25">
        <f t="shared" si="783"/>
        <v>7863.2184191855868</v>
      </c>
      <c r="K829" s="25">
        <f t="shared" si="784"/>
        <v>20282.026119384056</v>
      </c>
      <c r="L829" s="25"/>
      <c r="N829" s="25">
        <f>'Combined Retirement'!$C$18/12</f>
        <v>39153.069999999992</v>
      </c>
      <c r="O829" s="25">
        <f t="shared" si="785"/>
        <v>11007.82546143035</v>
      </c>
      <c r="P829" s="25">
        <f t="shared" si="786"/>
        <v>28145.244538569641</v>
      </c>
      <c r="Q829" s="25">
        <f t="array" aca="1" ref="Q829" ca="1">INDEX('Isaac 401k'!L:L,MATCH('Retirement Calculator'!A829,'Isaac 401k'!N:N,0),0)</f>
        <v>-3628242.4777342924</v>
      </c>
      <c r="R829" s="25">
        <f t="array" aca="1" ref="R829" ca="1">INDEX('Lorri 401b'!L:L,MATCH('Retirement Calculator'!A829,'Lorri 401b'!N:N,0),0)</f>
        <v>-9213049.3038084023</v>
      </c>
      <c r="S829" s="25">
        <f t="shared" ca="1" si="787"/>
        <v>-12841291.781542694</v>
      </c>
    </row>
    <row r="830" spans="1:19" ht="15.75" customHeight="1" x14ac:dyDescent="0.3">
      <c r="A830" s="37">
        <v>76216</v>
      </c>
      <c r="B830" s="409">
        <f t="shared" ref="B830:C830" si="841">($A830-B$9)/365.25</f>
        <v>126.78986995208761</v>
      </c>
      <c r="C830" s="409">
        <f t="shared" si="841"/>
        <v>122.17932922655716</v>
      </c>
      <c r="E830" s="25">
        <f>IF(C830&gt;$B$7,0,'Combined Retirement'!$D$13/12)</f>
        <v>0</v>
      </c>
      <c r="F830" s="25">
        <f>IF(H830=0,'Combined Retirement'!$D$32,0)+'Combined Retirement'!$B$24</f>
        <v>2870.372285649099</v>
      </c>
      <c r="G830" s="25">
        <f>'Combined Retirement'!$C$24</f>
        <v>3525.4531757812501</v>
      </c>
      <c r="H830" s="25">
        <f>IF(B830&lt;62,0,'Combined Retirement'!$I$14)</f>
        <v>2192</v>
      </c>
      <c r="I830" s="25">
        <f>IF(C830&lt;62,0,'Combined Retirement'!$I$13)</f>
        <v>2420</v>
      </c>
      <c r="J830" s="25">
        <f t="shared" si="783"/>
        <v>7863.2184191855868</v>
      </c>
      <c r="K830" s="25">
        <f t="shared" si="784"/>
        <v>20282.026119384056</v>
      </c>
      <c r="L830" s="25"/>
      <c r="N830" s="25">
        <f>'Combined Retirement'!$C$18/12</f>
        <v>39153.069999999992</v>
      </c>
      <c r="O830" s="25">
        <f t="shared" si="785"/>
        <v>11007.82546143035</v>
      </c>
      <c r="P830" s="25">
        <f t="shared" si="786"/>
        <v>28145.244538569641</v>
      </c>
      <c r="Q830" s="25">
        <f t="array" aca="1" ref="Q830" ca="1">INDEX('Isaac 401k'!L:L,MATCH('Retirement Calculator'!A830,'Isaac 401k'!N:N,0),0)</f>
        <v>-3651256.1365541173</v>
      </c>
      <c r="R830" s="25">
        <f t="array" aca="1" ref="R830" ca="1">INDEX('Lorri 401b'!L:L,MATCH('Retirement Calculator'!A830,'Lorri 401b'!N:N,0),0)</f>
        <v>-9271803.5438024867</v>
      </c>
      <c r="S830" s="25">
        <f t="shared" ca="1" si="787"/>
        <v>-12923059.680356603</v>
      </c>
    </row>
    <row r="831" spans="1:19" ht="15.75" customHeight="1" x14ac:dyDescent="0.3">
      <c r="A831" s="37">
        <v>76246</v>
      </c>
      <c r="B831" s="409">
        <f t="shared" ref="B831:C831" si="842">($A831-B$9)/365.25</f>
        <v>126.87200547570157</v>
      </c>
      <c r="C831" s="409">
        <f t="shared" si="842"/>
        <v>122.26146475017111</v>
      </c>
      <c r="E831" s="25">
        <f>IF(C831&gt;$B$7,0,'Combined Retirement'!$D$13/12)</f>
        <v>0</v>
      </c>
      <c r="F831" s="25">
        <f>IF(H831=0,'Combined Retirement'!$D$32,0)+'Combined Retirement'!$B$24</f>
        <v>2870.372285649099</v>
      </c>
      <c r="G831" s="25">
        <f>'Combined Retirement'!$C$24</f>
        <v>3525.4531757812501</v>
      </c>
      <c r="H831" s="25">
        <f>IF(B831&lt;62,0,'Combined Retirement'!$I$14)</f>
        <v>2192</v>
      </c>
      <c r="I831" s="25">
        <f>IF(C831&lt;62,0,'Combined Retirement'!$I$13)</f>
        <v>2420</v>
      </c>
      <c r="J831" s="25">
        <f t="shared" si="783"/>
        <v>7863.2184191855868</v>
      </c>
      <c r="K831" s="25">
        <f t="shared" si="784"/>
        <v>20282.026119384056</v>
      </c>
      <c r="L831" s="25"/>
      <c r="N831" s="25">
        <f>'Combined Retirement'!$C$18/12</f>
        <v>39153.069999999992</v>
      </c>
      <c r="O831" s="25">
        <f t="shared" si="785"/>
        <v>11007.82546143035</v>
      </c>
      <c r="P831" s="25">
        <f t="shared" si="786"/>
        <v>28145.244538569641</v>
      </c>
      <c r="Q831" s="25">
        <f t="array" aca="1" ref="Q831" ca="1">INDEX('Isaac 401k'!L:L,MATCH('Retirement Calculator'!A831,'Isaac 401k'!N:N,0),0)</f>
        <v>-3674365.6856190246</v>
      </c>
      <c r="R831" s="25">
        <f t="array" aca="1" ref="R831" ca="1">INDEX('Lorri 401b'!L:L,MATCH('Retirement Calculator'!A831,'Lorri 401b'!N:N,0),0)</f>
        <v>-9330802.5931298789</v>
      </c>
      <c r="S831" s="25">
        <f t="shared" ca="1" si="787"/>
        <v>-13005168.278748903</v>
      </c>
    </row>
    <row r="832" spans="1:19" ht="15.75" customHeight="1" x14ac:dyDescent="0.3">
      <c r="A832" s="37">
        <v>76277</v>
      </c>
      <c r="B832" s="409">
        <f t="shared" ref="B832:C832" si="843">($A832-B$9)/365.25</f>
        <v>126.95687885010267</v>
      </c>
      <c r="C832" s="409">
        <f t="shared" si="843"/>
        <v>122.34633812457221</v>
      </c>
      <c r="E832" s="25">
        <f>IF(C832&gt;$B$7,0,'Combined Retirement'!$D$13/12)</f>
        <v>0</v>
      </c>
      <c r="F832" s="25">
        <f>IF(H832=0,'Combined Retirement'!$D$32,0)+'Combined Retirement'!$B$24</f>
        <v>2870.372285649099</v>
      </c>
      <c r="G832" s="25">
        <f>'Combined Retirement'!$C$24</f>
        <v>3525.4531757812501</v>
      </c>
      <c r="H832" s="25">
        <f>IF(B832&lt;62,0,'Combined Retirement'!$I$14)</f>
        <v>2192</v>
      </c>
      <c r="I832" s="25">
        <f>IF(C832&lt;62,0,'Combined Retirement'!$I$13)</f>
        <v>2420</v>
      </c>
      <c r="J832" s="25">
        <f t="shared" si="783"/>
        <v>7863.2184191855868</v>
      </c>
      <c r="K832" s="25">
        <f t="shared" si="784"/>
        <v>20282.026119384056</v>
      </c>
      <c r="L832" s="25"/>
      <c r="N832" s="25">
        <f>'Combined Retirement'!$C$18/12</f>
        <v>39153.069999999992</v>
      </c>
      <c r="O832" s="25">
        <f t="shared" si="785"/>
        <v>11007.82546143035</v>
      </c>
      <c r="P832" s="25">
        <f t="shared" si="786"/>
        <v>28145.244538569641</v>
      </c>
      <c r="Q832" s="25">
        <f t="array" aca="1" ref="Q832" ca="1">INDEX('Isaac 401k'!L:L,MATCH('Retirement Calculator'!A832,'Isaac 401k'!N:N,0),0)</f>
        <v>-3697571.5244717025</v>
      </c>
      <c r="R832" s="25">
        <f t="array" aca="1" ref="R832" ca="1">INDEX('Lorri 401b'!L:L,MATCH('Retirement Calculator'!A832,'Lorri 401b'!N:N,0),0)</f>
        <v>-9390047.4718294684</v>
      </c>
      <c r="S832" s="25">
        <f t="shared" ca="1" si="787"/>
        <v>-13087618.99630117</v>
      </c>
    </row>
    <row r="833" spans="1:19" ht="15.75" customHeight="1" x14ac:dyDescent="0.3">
      <c r="A833" s="37">
        <v>76307</v>
      </c>
      <c r="B833" s="409">
        <f t="shared" ref="B833:C833" si="844">($A833-B$9)/365.25</f>
        <v>127.03901437371663</v>
      </c>
      <c r="C833" s="409">
        <f t="shared" si="844"/>
        <v>122.42847364818617</v>
      </c>
      <c r="E833" s="25">
        <f>IF(C833&gt;$B$7,0,'Combined Retirement'!$D$13/12)</f>
        <v>0</v>
      </c>
      <c r="F833" s="25">
        <f>IF(H833=0,'Combined Retirement'!$D$32,0)+'Combined Retirement'!$B$24</f>
        <v>2870.372285649099</v>
      </c>
      <c r="G833" s="25">
        <f>'Combined Retirement'!$C$24</f>
        <v>3525.4531757812501</v>
      </c>
      <c r="H833" s="25">
        <f>IF(B833&lt;62,0,'Combined Retirement'!$I$14)</f>
        <v>2192</v>
      </c>
      <c r="I833" s="25">
        <f>IF(C833&lt;62,0,'Combined Retirement'!$I$13)</f>
        <v>2420</v>
      </c>
      <c r="J833" s="25">
        <f t="shared" si="783"/>
        <v>7863.2184191855868</v>
      </c>
      <c r="K833" s="25">
        <f t="shared" si="784"/>
        <v>20282.026119384056</v>
      </c>
      <c r="L833" s="25"/>
      <c r="N833" s="25">
        <f>'Combined Retirement'!$C$18/12</f>
        <v>39153.069999999992</v>
      </c>
      <c r="O833" s="25">
        <f t="shared" si="785"/>
        <v>11007.82546143035</v>
      </c>
      <c r="P833" s="25">
        <f t="shared" si="786"/>
        <v>28145.244538569641</v>
      </c>
      <c r="Q833" s="25">
        <f t="array" aca="1" ref="Q833" ca="1">INDEX('Isaac 401k'!L:L,MATCH('Retirement Calculator'!A833,'Isaac 401k'!N:N,0),0)</f>
        <v>-3720874.0543196001</v>
      </c>
      <c r="R833" s="25">
        <f t="array" aca="1" ref="R833" ca="1">INDEX('Lorri 401b'!L:L,MATCH('Retirement Calculator'!A833,'Lorri 401b'!N:N,0),0)</f>
        <v>-9449539.2041903064</v>
      </c>
      <c r="S833" s="25">
        <f t="shared" ca="1" si="787"/>
        <v>-13170413.258509906</v>
      </c>
    </row>
    <row r="834" spans="1:19" ht="15.75" customHeight="1" x14ac:dyDescent="0.3">
      <c r="A834" s="37">
        <v>76338</v>
      </c>
      <c r="B834" s="409">
        <f t="shared" ref="B834:C834" si="845">($A834-B$9)/365.25</f>
        <v>127.12388774811772</v>
      </c>
      <c r="C834" s="409">
        <f t="shared" si="845"/>
        <v>122.51334702258727</v>
      </c>
      <c r="E834" s="25">
        <f>IF(C834&gt;$B$7,0,'Combined Retirement'!$D$13/12)</f>
        <v>0</v>
      </c>
      <c r="F834" s="25">
        <f>IF(H834=0,'Combined Retirement'!$D$32,0)+'Combined Retirement'!$B$24</f>
        <v>2870.372285649099</v>
      </c>
      <c r="G834" s="25">
        <f>'Combined Retirement'!$C$24</f>
        <v>3525.4531757812501</v>
      </c>
      <c r="H834" s="25">
        <f>IF(B834&lt;62,0,'Combined Retirement'!$I$14)</f>
        <v>2192</v>
      </c>
      <c r="I834" s="25">
        <f>IF(C834&lt;62,0,'Combined Retirement'!$I$13)</f>
        <v>2420</v>
      </c>
      <c r="J834" s="25">
        <f t="shared" si="783"/>
        <v>7863.2184191855868</v>
      </c>
      <c r="K834" s="25">
        <f t="shared" si="784"/>
        <v>20282.026119384056</v>
      </c>
      <c r="L834" s="25"/>
      <c r="N834" s="25">
        <f>'Combined Retirement'!$C$18/12</f>
        <v>39153.069999999992</v>
      </c>
      <c r="O834" s="25">
        <f t="shared" si="785"/>
        <v>11007.82546143035</v>
      </c>
      <c r="P834" s="25">
        <f t="shared" si="786"/>
        <v>28145.244538569641</v>
      </c>
      <c r="Q834" s="25">
        <f t="array" aca="1" ref="Q834" ca="1">INDEX('Isaac 401k'!L:L,MATCH('Retirement Calculator'!A834,'Isaac 401k'!N:N,0),0)</f>
        <v>-3744273.6780418637</v>
      </c>
      <c r="R834" s="25">
        <f t="array" aca="1" ref="R834" ca="1">INDEX('Lorri 401b'!L:L,MATCH('Retirement Calculator'!A834,'Lorri 401b'!N:N,0),0)</f>
        <v>-9509278.8187693153</v>
      </c>
      <c r="S834" s="25">
        <f t="shared" ca="1" si="787"/>
        <v>-13253552.496811179</v>
      </c>
    </row>
    <row r="835" spans="1:19" ht="15.75" customHeight="1" x14ac:dyDescent="0.3">
      <c r="A835" s="37">
        <v>76369</v>
      </c>
      <c r="B835" s="409">
        <f t="shared" ref="B835:C835" si="846">($A835-B$9)/365.25</f>
        <v>127.20876112251882</v>
      </c>
      <c r="C835" s="409">
        <f t="shared" si="846"/>
        <v>122.59822039698837</v>
      </c>
      <c r="E835" s="25">
        <f>IF(C835&gt;$B$7,0,'Combined Retirement'!$D$13/12)</f>
        <v>0</v>
      </c>
      <c r="F835" s="25">
        <f>IF(H835=0,'Combined Retirement'!$D$32,0)+'Combined Retirement'!$B$24</f>
        <v>2870.372285649099</v>
      </c>
      <c r="G835" s="25">
        <f>'Combined Retirement'!$C$24</f>
        <v>3525.4531757812501</v>
      </c>
      <c r="H835" s="25">
        <f>IF(B835&lt;62,0,'Combined Retirement'!$I$14)</f>
        <v>2192</v>
      </c>
      <c r="I835" s="25">
        <f>IF(C835&lt;62,0,'Combined Retirement'!$I$13)</f>
        <v>2420</v>
      </c>
      <c r="J835" s="25">
        <f t="shared" si="783"/>
        <v>7863.2184191855868</v>
      </c>
      <c r="K835" s="25">
        <f t="shared" si="784"/>
        <v>20282.026119384056</v>
      </c>
      <c r="L835" s="25"/>
      <c r="N835" s="25">
        <f>'Combined Retirement'!$C$18/12</f>
        <v>39153.069999999992</v>
      </c>
      <c r="O835" s="25">
        <f t="shared" si="785"/>
        <v>11007.82546143035</v>
      </c>
      <c r="P835" s="25">
        <f t="shared" si="786"/>
        <v>28145.244538569641</v>
      </c>
      <c r="Q835" s="25">
        <f t="array" aca="1" ref="Q835" ca="1">INDEX('Isaac 401k'!L:L,MATCH('Retirement Calculator'!A835,'Isaac 401k'!N:N,0),0)</f>
        <v>-3767770.8001963035</v>
      </c>
      <c r="R835" s="25">
        <f t="array" aca="1" ref="R835" ca="1">INDEX('Lorri 401b'!L:L,MATCH('Retirement Calculator'!A835,'Lorri 401b'!N:N,0),0)</f>
        <v>-9569267.3484090697</v>
      </c>
      <c r="S835" s="25">
        <f t="shared" ca="1" si="787"/>
        <v>-13337038.148605373</v>
      </c>
    </row>
    <row r="836" spans="1:19" ht="15.75" customHeight="1" x14ac:dyDescent="0.3">
      <c r="A836" s="37">
        <v>76397</v>
      </c>
      <c r="B836" s="409">
        <f t="shared" ref="B836:C836" si="847">($A836-B$9)/365.25</f>
        <v>127.28542094455852</v>
      </c>
      <c r="C836" s="409">
        <f t="shared" si="847"/>
        <v>122.67488021902807</v>
      </c>
      <c r="E836" s="25">
        <f>IF(C836&gt;$B$7,0,'Combined Retirement'!$D$13/12)</f>
        <v>0</v>
      </c>
      <c r="F836" s="25">
        <f>IF(H836=0,'Combined Retirement'!$D$32,0)+'Combined Retirement'!$B$24</f>
        <v>2870.372285649099</v>
      </c>
      <c r="G836" s="25">
        <f>'Combined Retirement'!$C$24</f>
        <v>3525.4531757812501</v>
      </c>
      <c r="H836" s="25">
        <f>IF(B836&lt;62,0,'Combined Retirement'!$I$14)</f>
        <v>2192</v>
      </c>
      <c r="I836" s="25">
        <f>IF(C836&lt;62,0,'Combined Retirement'!$I$13)</f>
        <v>2420</v>
      </c>
      <c r="J836" s="25">
        <f t="shared" si="783"/>
        <v>7863.2184191855868</v>
      </c>
      <c r="K836" s="25">
        <f t="shared" si="784"/>
        <v>20282.026119384056</v>
      </c>
      <c r="L836" s="25"/>
      <c r="N836" s="25">
        <f>'Combined Retirement'!$C$18/12</f>
        <v>39153.069999999992</v>
      </c>
      <c r="O836" s="25">
        <f t="shared" si="785"/>
        <v>11007.82546143035</v>
      </c>
      <c r="P836" s="25">
        <f t="shared" si="786"/>
        <v>28145.244538569641</v>
      </c>
      <c r="Q836" s="25">
        <f t="array" aca="1" ref="Q836" ca="1">INDEX('Isaac 401k'!L:L,MATCH('Retirement Calculator'!A836,'Isaac 401k'!N:N,0),0)</f>
        <v>-3791365.8270263867</v>
      </c>
      <c r="R836" s="25">
        <f t="array" aca="1" ref="R836" ca="1">INDEX('Lorri 401b'!L:L,MATCH('Retirement Calculator'!A836,'Lorri 401b'!N:N,0),0)</f>
        <v>-9629505.8302556574</v>
      </c>
      <c r="S836" s="25">
        <f t="shared" ca="1" si="787"/>
        <v>-13420871.657282043</v>
      </c>
    </row>
    <row r="837" spans="1:19" ht="15.75" customHeight="1" x14ac:dyDescent="0.3">
      <c r="A837" s="37">
        <v>76428</v>
      </c>
      <c r="B837" s="409">
        <f t="shared" ref="B837:C837" si="848">($A837-B$9)/365.25</f>
        <v>127.37029431895962</v>
      </c>
      <c r="C837" s="409">
        <f t="shared" si="848"/>
        <v>122.75975359342915</v>
      </c>
      <c r="E837" s="25">
        <f>IF(C837&gt;$B$7,0,'Combined Retirement'!$D$13/12)</f>
        <v>0</v>
      </c>
      <c r="F837" s="25">
        <f>IF(H837=0,'Combined Retirement'!$D$32,0)+'Combined Retirement'!$B$24</f>
        <v>2870.372285649099</v>
      </c>
      <c r="G837" s="25">
        <f>'Combined Retirement'!$C$24</f>
        <v>3525.4531757812501</v>
      </c>
      <c r="H837" s="25">
        <f>IF(B837&lt;62,0,'Combined Retirement'!$I$14)</f>
        <v>2192</v>
      </c>
      <c r="I837" s="25">
        <f>IF(C837&lt;62,0,'Combined Retirement'!$I$13)</f>
        <v>2420</v>
      </c>
      <c r="J837" s="25">
        <f t="shared" si="783"/>
        <v>7863.2184191855868</v>
      </c>
      <c r="K837" s="25">
        <f t="shared" si="784"/>
        <v>20282.026119384056</v>
      </c>
      <c r="L837" s="25"/>
      <c r="N837" s="25">
        <f>'Combined Retirement'!$C$18/12</f>
        <v>39153.069999999992</v>
      </c>
      <c r="O837" s="25">
        <f t="shared" si="785"/>
        <v>11007.82546143035</v>
      </c>
      <c r="P837" s="25">
        <f t="shared" si="786"/>
        <v>28145.244538569641</v>
      </c>
      <c r="Q837" s="25">
        <f t="array" aca="1" ref="Q837" ca="1">INDEX('Isaac 401k'!L:L,MATCH('Retirement Calculator'!A837,'Isaac 401k'!N:N,0),0)</f>
        <v>-3815059.1664682622</v>
      </c>
      <c r="R837" s="25">
        <f t="array" aca="1" ref="R837" ca="1">INDEX('Lorri 401b'!L:L,MATCH('Retirement Calculator'!A837,'Lorri 401b'!N:N,0),0)</f>
        <v>-9689995.3057766054</v>
      </c>
      <c r="S837" s="25">
        <f t="shared" ca="1" si="787"/>
        <v>-13505054.472244868</v>
      </c>
    </row>
    <row r="838" spans="1:19" ht="15.75" customHeight="1" x14ac:dyDescent="0.3">
      <c r="A838" s="37">
        <v>76458</v>
      </c>
      <c r="B838" s="409">
        <f t="shared" ref="B838:C838" si="849">($A838-B$9)/365.25</f>
        <v>127.45242984257358</v>
      </c>
      <c r="C838" s="409">
        <f t="shared" si="849"/>
        <v>122.84188911704312</v>
      </c>
      <c r="E838" s="25">
        <f>IF(C838&gt;$B$7,0,'Combined Retirement'!$D$13/12)</f>
        <v>0</v>
      </c>
      <c r="F838" s="25">
        <f>IF(H838=0,'Combined Retirement'!$D$32,0)+'Combined Retirement'!$B$24</f>
        <v>2870.372285649099</v>
      </c>
      <c r="G838" s="25">
        <f>'Combined Retirement'!$C$24</f>
        <v>3525.4531757812501</v>
      </c>
      <c r="H838" s="25">
        <f>IF(B838&lt;62,0,'Combined Retirement'!$I$14)</f>
        <v>2192</v>
      </c>
      <c r="I838" s="25">
        <f>IF(C838&lt;62,0,'Combined Retirement'!$I$13)</f>
        <v>2420</v>
      </c>
      <c r="J838" s="25">
        <f t="shared" si="783"/>
        <v>7863.2184191855868</v>
      </c>
      <c r="K838" s="25">
        <f t="shared" si="784"/>
        <v>20282.026119384056</v>
      </c>
      <c r="L838" s="25"/>
      <c r="N838" s="25">
        <f>'Combined Retirement'!$C$18/12</f>
        <v>39153.069999999992</v>
      </c>
      <c r="O838" s="25">
        <f t="shared" si="785"/>
        <v>11007.82546143035</v>
      </c>
      <c r="P838" s="25">
        <f t="shared" si="786"/>
        <v>28145.244538569641</v>
      </c>
      <c r="Q838" s="25">
        <f t="array" aca="1" ref="Q838" ca="1">INDEX('Isaac 401k'!L:L,MATCH('Retirement Calculator'!A838,'Isaac 401k'!N:N,0),0)</f>
        <v>-3838851.2281578118</v>
      </c>
      <c r="R838" s="25">
        <f t="array" aca="1" ref="R838" ca="1">INDEX('Lorri 401b'!L:L,MATCH('Retirement Calculator'!A838,'Lorri 401b'!N:N,0),0)</f>
        <v>-9750736.8207788896</v>
      </c>
      <c r="S838" s="25">
        <f t="shared" ca="1" si="787"/>
        <v>-13589588.048936702</v>
      </c>
    </row>
    <row r="839" spans="1:19" ht="15.75" customHeight="1" x14ac:dyDescent="0.3">
      <c r="A839" s="37">
        <v>76489</v>
      </c>
      <c r="B839" s="409">
        <f t="shared" ref="B839:C839" si="850">($A839-B$9)/365.25</f>
        <v>127.53730321697468</v>
      </c>
      <c r="C839" s="409">
        <f t="shared" si="850"/>
        <v>122.92676249144422</v>
      </c>
      <c r="E839" s="25">
        <f>IF(C839&gt;$B$7,0,'Combined Retirement'!$D$13/12)</f>
        <v>0</v>
      </c>
      <c r="F839" s="25">
        <f>IF(H839=0,'Combined Retirement'!$D$32,0)+'Combined Retirement'!$B$24</f>
        <v>2870.372285649099</v>
      </c>
      <c r="G839" s="25">
        <f>'Combined Retirement'!$C$24</f>
        <v>3525.4531757812501</v>
      </c>
      <c r="H839" s="25">
        <f>IF(B839&lt;62,0,'Combined Retirement'!$I$14)</f>
        <v>2192</v>
      </c>
      <c r="I839" s="25">
        <f>IF(C839&lt;62,0,'Combined Retirement'!$I$13)</f>
        <v>2420</v>
      </c>
      <c r="J839" s="25">
        <f t="shared" si="783"/>
        <v>7863.2184191855868</v>
      </c>
      <c r="K839" s="25">
        <f t="shared" si="784"/>
        <v>20282.026119384056</v>
      </c>
      <c r="L839" s="25"/>
      <c r="N839" s="25">
        <f>'Combined Retirement'!$C$18/12</f>
        <v>39153.069999999992</v>
      </c>
      <c r="O839" s="25">
        <f t="shared" si="785"/>
        <v>11007.82546143035</v>
      </c>
      <c r="P839" s="25">
        <f t="shared" si="786"/>
        <v>28145.244538569641</v>
      </c>
      <c r="Q839" s="25">
        <f t="array" aca="1" ref="Q839" ca="1">INDEX('Isaac 401k'!L:L,MATCH('Retirement Calculator'!A839,'Isaac 401k'!N:N,0),0)</f>
        <v>-3862742.4234377346</v>
      </c>
      <c r="R839" s="25">
        <f t="array" aca="1" ref="R839" ca="1">INDEX('Lorri 401b'!L:L,MATCH('Retirement Calculator'!A839,'Lorri 401b'!N:N,0),0)</f>
        <v>-9811731.4254270177</v>
      </c>
      <c r="S839" s="25">
        <f t="shared" ca="1" si="787"/>
        <v>-13674473.848864753</v>
      </c>
    </row>
    <row r="840" spans="1:19" ht="15.75" customHeight="1" x14ac:dyDescent="0.3">
      <c r="A840" s="37">
        <v>76519</v>
      </c>
      <c r="B840" s="409">
        <f t="shared" ref="B840:C840" si="851">($A840-B$9)/365.25</f>
        <v>127.61943874058863</v>
      </c>
      <c r="C840" s="409">
        <f t="shared" si="851"/>
        <v>123.00889801505818</v>
      </c>
      <c r="E840" s="25">
        <f>IF(C840&gt;$B$7,0,'Combined Retirement'!$D$13/12)</f>
        <v>0</v>
      </c>
      <c r="F840" s="25">
        <f>IF(H840=0,'Combined Retirement'!$D$32,0)+'Combined Retirement'!$B$24</f>
        <v>2870.372285649099</v>
      </c>
      <c r="G840" s="25">
        <f>'Combined Retirement'!$C$24</f>
        <v>3525.4531757812501</v>
      </c>
      <c r="H840" s="25">
        <f>IF(B840&lt;62,0,'Combined Retirement'!$I$14)</f>
        <v>2192</v>
      </c>
      <c r="I840" s="25">
        <f>IF(C840&lt;62,0,'Combined Retirement'!$I$13)</f>
        <v>2420</v>
      </c>
      <c r="J840" s="25">
        <f t="shared" si="783"/>
        <v>7863.2184191855868</v>
      </c>
      <c r="K840" s="25">
        <f t="shared" si="784"/>
        <v>20282.026119384056</v>
      </c>
      <c r="L840" s="25"/>
      <c r="N840" s="25">
        <f>'Combined Retirement'!$C$18/12</f>
        <v>39153.069999999992</v>
      </c>
      <c r="O840" s="25">
        <f t="shared" si="785"/>
        <v>11007.82546143035</v>
      </c>
      <c r="P840" s="25">
        <f t="shared" si="786"/>
        <v>28145.244538569641</v>
      </c>
      <c r="Q840" s="25">
        <f t="array" aca="1" ref="Q840" ca="1">INDEX('Isaac 401k'!L:L,MATCH('Retirement Calculator'!A840,'Isaac 401k'!N:N,0),0)</f>
        <v>-3886733.1653646571</v>
      </c>
      <c r="R840" s="25">
        <f t="array" aca="1" ref="R840" ca="1">INDEX('Lorri 401b'!L:L,MATCH('Retirement Calculator'!A840,'Lorri 401b'!N:N,0),0)</f>
        <v>-9872980.1742611788</v>
      </c>
      <c r="S840" s="25">
        <f t="shared" ca="1" si="787"/>
        <v>-13759713.339625835</v>
      </c>
    </row>
    <row r="841" spans="1:19" ht="15.75" customHeight="1" x14ac:dyDescent="0.3">
      <c r="A841" s="37">
        <v>76550</v>
      </c>
      <c r="B841" s="409">
        <f t="shared" ref="B841:C841" si="852">($A841-B$9)/365.25</f>
        <v>127.70431211498973</v>
      </c>
      <c r="C841" s="409">
        <f t="shared" si="852"/>
        <v>123.09377138945928</v>
      </c>
      <c r="E841" s="25">
        <f>IF(C841&gt;$B$7,0,'Combined Retirement'!$D$13/12)</f>
        <v>0</v>
      </c>
      <c r="F841" s="25">
        <f>IF(H841=0,'Combined Retirement'!$D$32,0)+'Combined Retirement'!$B$24</f>
        <v>2870.372285649099</v>
      </c>
      <c r="G841" s="25">
        <f>'Combined Retirement'!$C$24</f>
        <v>3525.4531757812501</v>
      </c>
      <c r="H841" s="25">
        <f>IF(B841&lt;62,0,'Combined Retirement'!$I$14)</f>
        <v>2192</v>
      </c>
      <c r="I841" s="25">
        <f>IF(C841&lt;62,0,'Combined Retirement'!$I$13)</f>
        <v>2420</v>
      </c>
      <c r="J841" s="25">
        <f t="shared" si="783"/>
        <v>7863.2184191855868</v>
      </c>
      <c r="K841" s="25">
        <f t="shared" si="784"/>
        <v>20282.026119384056</v>
      </c>
      <c r="L841" s="25"/>
      <c r="N841" s="25">
        <f>'Combined Retirement'!$C$18/12</f>
        <v>39153.069999999992</v>
      </c>
      <c r="O841" s="25">
        <f t="shared" si="785"/>
        <v>11007.82546143035</v>
      </c>
      <c r="P841" s="25">
        <f t="shared" si="786"/>
        <v>28145.244538569641</v>
      </c>
      <c r="Q841" s="25">
        <f t="array" aca="1" ref="Q841" ca="1">INDEX('Isaac 401k'!L:L,MATCH('Retirement Calculator'!A841,'Isaac 401k'!N:N,0),0)</f>
        <v>-3910823.8687162753</v>
      </c>
      <c r="R841" s="25">
        <f t="array" aca="1" ref="R841" ca="1">INDEX('Lorri 401b'!L:L,MATCH('Retirement Calculator'!A841,'Lorri 401b'!N:N,0),0)</f>
        <v>-9934484.1262154821</v>
      </c>
      <c r="S841" s="25">
        <f t="shared" ca="1" si="787"/>
        <v>-13845307.994931757</v>
      </c>
    </row>
    <row r="842" spans="1:19" ht="15.75" customHeight="1" x14ac:dyDescent="0.3">
      <c r="A842" s="37">
        <v>76581</v>
      </c>
      <c r="B842" s="409">
        <f t="shared" ref="B842:C842" si="853">($A842-B$9)/365.25</f>
        <v>127.78918548939083</v>
      </c>
      <c r="C842" s="409">
        <f t="shared" si="853"/>
        <v>123.17864476386038</v>
      </c>
      <c r="E842" s="25">
        <f>IF(C842&gt;$B$7,0,'Combined Retirement'!$D$13/12)</f>
        <v>0</v>
      </c>
      <c r="F842" s="25">
        <f>IF(H842=0,'Combined Retirement'!$D$32,0)+'Combined Retirement'!$B$24</f>
        <v>2870.372285649099</v>
      </c>
      <c r="G842" s="25">
        <f>'Combined Retirement'!$C$24</f>
        <v>3525.4531757812501</v>
      </c>
      <c r="H842" s="25">
        <f>IF(B842&lt;62,0,'Combined Retirement'!$I$14)</f>
        <v>2192</v>
      </c>
      <c r="I842" s="25">
        <f>IF(C842&lt;62,0,'Combined Retirement'!$I$13)</f>
        <v>2420</v>
      </c>
      <c r="J842" s="25">
        <f t="shared" si="783"/>
        <v>7863.2184191855868</v>
      </c>
      <c r="K842" s="25">
        <f t="shared" si="784"/>
        <v>20282.026119384056</v>
      </c>
      <c r="L842" s="25"/>
      <c r="N842" s="25">
        <f>'Combined Retirement'!$C$18/12</f>
        <v>39153.069999999992</v>
      </c>
      <c r="O842" s="25">
        <f t="shared" si="785"/>
        <v>11007.82546143035</v>
      </c>
      <c r="P842" s="25">
        <f t="shared" si="786"/>
        <v>28145.244538569641</v>
      </c>
      <c r="Q842" s="25">
        <f t="array" aca="1" ref="Q842" ca="1">INDEX('Isaac 401k'!L:L,MATCH('Retirement Calculator'!A842,'Isaac 401k'!N:N,0),0)</f>
        <v>-3935014.949998525</v>
      </c>
      <c r="R842" s="25">
        <f t="array" aca="1" ref="R842" ca="1">INDEX('Lorri 401b'!L:L,MATCH('Retirement Calculator'!A842,'Lorri 401b'!N:N,0),0)</f>
        <v>-9996244.3446362615</v>
      </c>
      <c r="S842" s="25">
        <f t="shared" ca="1" si="787"/>
        <v>-13931259.294634786</v>
      </c>
    </row>
    <row r="843" spans="1:19" ht="15.75" customHeight="1" x14ac:dyDescent="0.3">
      <c r="A843" s="37">
        <v>76611</v>
      </c>
      <c r="B843" s="409">
        <f t="shared" ref="B843:C843" si="854">($A843-B$9)/365.25</f>
        <v>127.87132101300479</v>
      </c>
      <c r="C843" s="409">
        <f t="shared" si="854"/>
        <v>123.26078028747433</v>
      </c>
      <c r="E843" s="25">
        <f>IF(C843&gt;$B$7,0,'Combined Retirement'!$D$13/12)</f>
        <v>0</v>
      </c>
      <c r="F843" s="25">
        <f>IF(H843=0,'Combined Retirement'!$D$32,0)+'Combined Retirement'!$B$24</f>
        <v>2870.372285649099</v>
      </c>
      <c r="G843" s="25">
        <f>'Combined Retirement'!$C$24</f>
        <v>3525.4531757812501</v>
      </c>
      <c r="H843" s="25">
        <f>IF(B843&lt;62,0,'Combined Retirement'!$I$14)</f>
        <v>2192</v>
      </c>
      <c r="I843" s="25">
        <f>IF(C843&lt;62,0,'Combined Retirement'!$I$13)</f>
        <v>2420</v>
      </c>
      <c r="J843" s="25">
        <f t="shared" si="783"/>
        <v>7863.2184191855868</v>
      </c>
      <c r="K843" s="25">
        <f t="shared" si="784"/>
        <v>20282.026119384056</v>
      </c>
      <c r="L843" s="25"/>
      <c r="N843" s="25">
        <f>'Combined Retirement'!$C$18/12</f>
        <v>39153.069999999992</v>
      </c>
      <c r="O843" s="25">
        <f t="shared" si="785"/>
        <v>11007.82546143035</v>
      </c>
      <c r="P843" s="25">
        <f t="shared" si="786"/>
        <v>28145.244538569641</v>
      </c>
      <c r="Q843" s="25">
        <f t="array" aca="1" ref="Q843" ca="1">INDEX('Isaac 401k'!L:L,MATCH('Retirement Calculator'!A843,'Isaac 401k'!N:N,0),0)</f>
        <v>-3959306.8274527839</v>
      </c>
      <c r="R843" s="25">
        <f t="array" aca="1" ref="R843" ca="1">INDEX('Lorri 401b'!L:L,MATCH('Retirement Calculator'!A843,'Lorri 401b'!N:N,0),0)</f>
        <v>-10058261.897300461</v>
      </c>
      <c r="S843" s="25">
        <f t="shared" ca="1" si="787"/>
        <v>-14017568.724753246</v>
      </c>
    </row>
    <row r="844" spans="1:19" ht="15.75" customHeight="1" x14ac:dyDescent="0.3">
      <c r="A844" s="37">
        <v>76642</v>
      </c>
      <c r="B844" s="409">
        <f t="shared" ref="B844:C844" si="855">($A844-B$9)/365.25</f>
        <v>127.95619438740589</v>
      </c>
      <c r="C844" s="409">
        <f t="shared" si="855"/>
        <v>123.34565366187543</v>
      </c>
      <c r="E844" s="25">
        <f>IF(C844&gt;$B$7,0,'Combined Retirement'!$D$13/12)</f>
        <v>0</v>
      </c>
      <c r="F844" s="25">
        <f>IF(H844=0,'Combined Retirement'!$D$32,0)+'Combined Retirement'!$B$24</f>
        <v>2870.372285649099</v>
      </c>
      <c r="G844" s="25">
        <f>'Combined Retirement'!$C$24</f>
        <v>3525.4531757812501</v>
      </c>
      <c r="H844" s="25">
        <f>IF(B844&lt;62,0,'Combined Retirement'!$I$14)</f>
        <v>2192</v>
      </c>
      <c r="I844" s="25">
        <f>IF(C844&lt;62,0,'Combined Retirement'!$I$13)</f>
        <v>2420</v>
      </c>
      <c r="J844" s="25">
        <f t="shared" si="783"/>
        <v>7863.2184191855868</v>
      </c>
      <c r="K844" s="25">
        <f t="shared" si="784"/>
        <v>20282.026119384056</v>
      </c>
      <c r="L844" s="25"/>
      <c r="N844" s="25">
        <f>'Combined Retirement'!$C$18/12</f>
        <v>39153.069999999992</v>
      </c>
      <c r="O844" s="25">
        <f t="shared" si="785"/>
        <v>11007.82546143035</v>
      </c>
      <c r="P844" s="25">
        <f t="shared" si="786"/>
        <v>28145.244538569641</v>
      </c>
      <c r="Q844" s="25">
        <f t="array" aca="1" ref="Q844" ca="1">INDEX('Isaac 401k'!L:L,MATCH('Retirement Calculator'!A844,'Isaac 401k'!N:N,0),0)</f>
        <v>-3983699.9210631023</v>
      </c>
      <c r="R844" s="25">
        <f t="array" aca="1" ref="R844" ca="1">INDEX('Lorri 401b'!L:L,MATCH('Retirement Calculator'!A844,'Lorri 401b'!N:N,0),0)</f>
        <v>-10120537.856434096</v>
      </c>
      <c r="S844" s="25">
        <f t="shared" ca="1" si="787"/>
        <v>-14104237.777497198</v>
      </c>
    </row>
    <row r="845" spans="1:19" ht="15.75" customHeight="1" x14ac:dyDescent="0.3">
      <c r="A845" s="37">
        <v>76672</v>
      </c>
      <c r="B845" s="409">
        <f t="shared" ref="B845:C845" si="856">($A845-B$9)/365.25</f>
        <v>128.03832991101984</v>
      </c>
      <c r="C845" s="409">
        <f t="shared" si="856"/>
        <v>123.42778918548939</v>
      </c>
      <c r="E845" s="25">
        <f>IF(C845&gt;$B$7,0,'Combined Retirement'!$D$13/12)</f>
        <v>0</v>
      </c>
      <c r="F845" s="25">
        <f>IF(H845=0,'Combined Retirement'!$D$32,0)+'Combined Retirement'!$B$24</f>
        <v>2870.372285649099</v>
      </c>
      <c r="G845" s="25">
        <f>'Combined Retirement'!$C$24</f>
        <v>3525.4531757812501</v>
      </c>
      <c r="H845" s="25">
        <f>IF(B845&lt;62,0,'Combined Retirement'!$I$14)</f>
        <v>2192</v>
      </c>
      <c r="I845" s="25">
        <f>IF(C845&lt;62,0,'Combined Retirement'!$I$13)</f>
        <v>2420</v>
      </c>
      <c r="J845" s="25">
        <f t="shared" si="783"/>
        <v>7863.2184191855868</v>
      </c>
      <c r="K845" s="25">
        <f t="shared" si="784"/>
        <v>20282.026119384056</v>
      </c>
      <c r="L845" s="25"/>
      <c r="N845" s="25">
        <f>'Combined Retirement'!$C$18/12</f>
        <v>39153.069999999992</v>
      </c>
      <c r="O845" s="25">
        <f t="shared" si="785"/>
        <v>11007.82546143035</v>
      </c>
      <c r="P845" s="25">
        <f t="shared" si="786"/>
        <v>28145.244538569641</v>
      </c>
      <c r="Q845" s="25">
        <f t="array" aca="1" ref="Q845" ca="1">INDEX('Isaac 401k'!L:L,MATCH('Retirement Calculator'!A845,'Isaac 401k'!N:N,0),0)</f>
        <v>-4008194.6525634639</v>
      </c>
      <c r="R845" s="25">
        <f t="array" aca="1" ref="R845" ca="1">INDEX('Lorri 401b'!L:L,MATCH('Retirement Calculator'!A845,'Lorri 401b'!N:N,0),0)</f>
        <v>-10183073.298730787</v>
      </c>
      <c r="S845" s="25">
        <f t="shared" ca="1" si="787"/>
        <v>-14191267.951294251</v>
      </c>
    </row>
    <row r="846" spans="1:19" ht="15.75" customHeight="1" x14ac:dyDescent="0.3">
      <c r="A846" s="37">
        <v>76703</v>
      </c>
      <c r="B846" s="409">
        <f t="shared" ref="B846:C846" si="857">($A846-B$9)/365.25</f>
        <v>128.12320328542094</v>
      </c>
      <c r="C846" s="409">
        <f t="shared" si="857"/>
        <v>123.51266255989049</v>
      </c>
      <c r="E846" s="25">
        <f>IF(C846&gt;$B$7,0,'Combined Retirement'!$D$13/12)</f>
        <v>0</v>
      </c>
      <c r="F846" s="25">
        <f>IF(H846=0,'Combined Retirement'!$D$32,0)+'Combined Retirement'!$B$24</f>
        <v>2870.372285649099</v>
      </c>
      <c r="G846" s="25">
        <f>'Combined Retirement'!$C$24</f>
        <v>3525.4531757812501</v>
      </c>
      <c r="H846" s="25">
        <f>IF(B846&lt;62,0,'Combined Retirement'!$I$14)</f>
        <v>2192</v>
      </c>
      <c r="I846" s="25">
        <f>IF(C846&lt;62,0,'Combined Retirement'!$I$13)</f>
        <v>2420</v>
      </c>
      <c r="J846" s="25">
        <f t="shared" si="783"/>
        <v>7863.2184191855868</v>
      </c>
      <c r="K846" s="25">
        <f t="shared" si="784"/>
        <v>20282.026119384056</v>
      </c>
      <c r="L846" s="25"/>
      <c r="N846" s="25">
        <f>'Combined Retirement'!$C$18/12</f>
        <v>39153.069999999992</v>
      </c>
      <c r="O846" s="25">
        <f t="shared" si="785"/>
        <v>11007.82546143035</v>
      </c>
      <c r="P846" s="25">
        <f t="shared" si="786"/>
        <v>28145.244538569641</v>
      </c>
      <c r="Q846" s="25">
        <f t="array" aca="1" ref="Q846" ca="1">INDEX('Isaac 401k'!L:L,MATCH('Retirement Calculator'!A846,'Isaac 401k'!N:N,0),0)</f>
        <v>-4032791.445445077</v>
      </c>
      <c r="R846" s="25">
        <f t="array" aca="1" ref="R846" ca="1">INDEX('Lorri 401b'!L:L,MATCH('Retirement Calculator'!A846,'Lorri 401b'!N:N,0),0)</f>
        <v>-10245869.305370381</v>
      </c>
      <c r="S846" s="25">
        <f t="shared" ca="1" si="787"/>
        <v>-14278660.750815459</v>
      </c>
    </row>
    <row r="847" spans="1:19" ht="15.75" customHeight="1" x14ac:dyDescent="0.3">
      <c r="A847" s="37">
        <v>76734</v>
      </c>
      <c r="B847" s="409">
        <f t="shared" ref="B847:C847" si="858">($A847-B$9)/365.25</f>
        <v>128.20807665982204</v>
      </c>
      <c r="C847" s="409">
        <f t="shared" si="858"/>
        <v>123.59753593429159</v>
      </c>
      <c r="E847" s="25">
        <f>IF(C847&gt;$B$7,0,'Combined Retirement'!$D$13/12)</f>
        <v>0</v>
      </c>
      <c r="F847" s="25">
        <f>IF(H847=0,'Combined Retirement'!$D$32,0)+'Combined Retirement'!$B$24</f>
        <v>2870.372285649099</v>
      </c>
      <c r="G847" s="25">
        <f>'Combined Retirement'!$C$24</f>
        <v>3525.4531757812501</v>
      </c>
      <c r="H847" s="25">
        <f>IF(B847&lt;62,0,'Combined Retirement'!$I$14)</f>
        <v>2192</v>
      </c>
      <c r="I847" s="25">
        <f>IF(C847&lt;62,0,'Combined Retirement'!$I$13)</f>
        <v>2420</v>
      </c>
      <c r="J847" s="25">
        <f t="shared" si="783"/>
        <v>7863.2184191855868</v>
      </c>
      <c r="K847" s="25">
        <f t="shared" si="784"/>
        <v>20282.026119384056</v>
      </c>
      <c r="L847" s="25"/>
      <c r="N847" s="25">
        <f>'Combined Retirement'!$C$18/12</f>
        <v>39153.069999999992</v>
      </c>
      <c r="O847" s="25">
        <f t="shared" si="785"/>
        <v>11007.82546143035</v>
      </c>
      <c r="P847" s="25">
        <f t="shared" si="786"/>
        <v>28145.244538569641</v>
      </c>
      <c r="Q847" s="25">
        <f t="array" aca="1" ref="Q847" ca="1">INDEX('Isaac 401k'!L:L,MATCH('Retirement Calculator'!A847,'Isaac 401k'!N:N,0),0)</f>
        <v>-4057490.7249636967</v>
      </c>
      <c r="R847" s="25">
        <f t="array" aca="1" ref="R847" ca="1">INDEX('Lorri 401b'!L:L,MATCH('Retirement Calculator'!A847,'Lorri 401b'!N:N,0),0)</f>
        <v>-10308926.96203764</v>
      </c>
      <c r="S847" s="25">
        <f t="shared" ca="1" si="787"/>
        <v>-14366417.687001336</v>
      </c>
    </row>
    <row r="848" spans="1:19" ht="15.75" customHeight="1" x14ac:dyDescent="0.3">
      <c r="A848" s="37">
        <v>76762</v>
      </c>
      <c r="B848" s="409">
        <f t="shared" ref="B848:C848" si="859">($A848-B$9)/365.25</f>
        <v>128.28473648186173</v>
      </c>
      <c r="C848" s="409">
        <f t="shared" si="859"/>
        <v>123.67419575633129</v>
      </c>
      <c r="E848" s="25">
        <f>IF(C848&gt;$B$7,0,'Combined Retirement'!$D$13/12)</f>
        <v>0</v>
      </c>
      <c r="F848" s="25">
        <f>IF(H848=0,'Combined Retirement'!$D$32,0)+'Combined Retirement'!$B$24</f>
        <v>2870.372285649099</v>
      </c>
      <c r="G848" s="25">
        <f>'Combined Retirement'!$C$24</f>
        <v>3525.4531757812501</v>
      </c>
      <c r="H848" s="25">
        <f>IF(B848&lt;62,0,'Combined Retirement'!$I$14)</f>
        <v>2192</v>
      </c>
      <c r="I848" s="25">
        <f>IF(C848&lt;62,0,'Combined Retirement'!$I$13)</f>
        <v>2420</v>
      </c>
      <c r="J848" s="25">
        <f t="shared" si="783"/>
        <v>7863.2184191855868</v>
      </c>
      <c r="K848" s="25">
        <f t="shared" si="784"/>
        <v>20282.026119384056</v>
      </c>
      <c r="L848" s="25"/>
      <c r="N848" s="25">
        <f>'Combined Retirement'!$C$18/12</f>
        <v>39153.069999999992</v>
      </c>
      <c r="O848" s="25">
        <f t="shared" si="785"/>
        <v>11007.82546143035</v>
      </c>
      <c r="P848" s="25">
        <f t="shared" si="786"/>
        <v>28145.244538569641</v>
      </c>
      <c r="Q848" s="25">
        <f t="array" aca="1" ref="Q848" ca="1">INDEX('Isaac 401k'!L:L,MATCH('Retirement Calculator'!A848,'Isaac 401k'!N:N,0),0)</f>
        <v>-4082292.9181469772</v>
      </c>
      <c r="R848" s="25">
        <f t="array" aca="1" ref="R848" ca="1">INDEX('Lorri 401b'!L:L,MATCH('Retirement Calculator'!A848,'Lorri 401b'!N:N,0),0)</f>
        <v>-10372247.358941013</v>
      </c>
      <c r="S848" s="25">
        <f t="shared" ca="1" si="787"/>
        <v>-14454540.27708799</v>
      </c>
    </row>
    <row r="849" spans="1:19" ht="15.75" customHeight="1" x14ac:dyDescent="0.3">
      <c r="A849" s="37">
        <v>76793</v>
      </c>
      <c r="B849" s="409">
        <f t="shared" ref="B849:C849" si="860">($A849-B$9)/365.25</f>
        <v>128.36960985626283</v>
      </c>
      <c r="C849" s="409">
        <f t="shared" si="860"/>
        <v>123.75906913073237</v>
      </c>
      <c r="E849" s="25">
        <f>IF(C849&gt;$B$7,0,'Combined Retirement'!$D$13/12)</f>
        <v>0</v>
      </c>
      <c r="F849" s="25">
        <f>IF(H849=0,'Combined Retirement'!$D$32,0)+'Combined Retirement'!$B$24</f>
        <v>2870.372285649099</v>
      </c>
      <c r="G849" s="25">
        <f>'Combined Retirement'!$C$24</f>
        <v>3525.4531757812501</v>
      </c>
      <c r="H849" s="25">
        <f>IF(B849&lt;62,0,'Combined Retirement'!$I$14)</f>
        <v>2192</v>
      </c>
      <c r="I849" s="25">
        <f>IF(C849&lt;62,0,'Combined Retirement'!$I$13)</f>
        <v>2420</v>
      </c>
      <c r="J849" s="25">
        <f t="shared" si="783"/>
        <v>7863.2184191855868</v>
      </c>
      <c r="K849" s="25">
        <f t="shared" si="784"/>
        <v>20282.026119384056</v>
      </c>
      <c r="L849" s="25"/>
      <c r="N849" s="25">
        <f>'Combined Retirement'!$C$18/12</f>
        <v>39153.069999999992</v>
      </c>
      <c r="O849" s="25">
        <f t="shared" si="785"/>
        <v>11007.82546143035</v>
      </c>
      <c r="P849" s="25">
        <f t="shared" si="786"/>
        <v>28145.244538569641</v>
      </c>
      <c r="Q849" s="25">
        <f t="array" aca="1" ref="Q849" ca="1">INDEX('Isaac 401k'!L:L,MATCH('Retirement Calculator'!A849,'Isaac 401k'!N:N,0),0)</f>
        <v>-4107198.453801855</v>
      </c>
      <c r="R849" s="25">
        <f t="array" aca="1" ref="R849" ca="1">INDEX('Lorri 401b'!L:L,MATCH('Retirement Calculator'!A849,'Lorri 401b'!N:N,0),0)</f>
        <v>-10435831.590831483</v>
      </c>
      <c r="S849" s="25">
        <f t="shared" ca="1" si="787"/>
        <v>-14543030.044633338</v>
      </c>
    </row>
    <row r="850" spans="1:19" ht="15.75" customHeight="1" x14ac:dyDescent="0.3">
      <c r="A850" s="37">
        <v>76823</v>
      </c>
      <c r="B850" s="409">
        <f t="shared" ref="B850:C850" si="861">($A850-B$9)/365.25</f>
        <v>128.4517453798768</v>
      </c>
      <c r="C850" s="409">
        <f t="shared" si="861"/>
        <v>123.84120465434634</v>
      </c>
      <c r="E850" s="25">
        <f>IF(C850&gt;$B$7,0,'Combined Retirement'!$D$13/12)</f>
        <v>0</v>
      </c>
      <c r="F850" s="25">
        <f>IF(H850=0,'Combined Retirement'!$D$32,0)+'Combined Retirement'!$B$24</f>
        <v>2870.372285649099</v>
      </c>
      <c r="G850" s="25">
        <f>'Combined Retirement'!$C$24</f>
        <v>3525.4531757812501</v>
      </c>
      <c r="H850" s="25">
        <f>IF(B850&lt;62,0,'Combined Retirement'!$I$14)</f>
        <v>2192</v>
      </c>
      <c r="I850" s="25">
        <f>IF(C850&lt;62,0,'Combined Retirement'!$I$13)</f>
        <v>2420</v>
      </c>
      <c r="J850" s="25">
        <f t="shared" si="783"/>
        <v>7863.2184191855868</v>
      </c>
      <c r="K850" s="25">
        <f t="shared" si="784"/>
        <v>20282.026119384056</v>
      </c>
      <c r="L850" s="25"/>
      <c r="N850" s="25">
        <f>'Combined Retirement'!$C$18/12</f>
        <v>39153.069999999992</v>
      </c>
      <c r="O850" s="25">
        <f t="shared" si="785"/>
        <v>11007.82546143035</v>
      </c>
      <c r="P850" s="25">
        <f t="shared" si="786"/>
        <v>28145.244538569641</v>
      </c>
      <c r="Q850" s="25">
        <f t="array" aca="1" ref="Q850" ca="1">INDEX('Isaac 401k'!L:L,MATCH('Retirement Calculator'!A850,'Isaac 401k'!N:N,0),0)</f>
        <v>-4132207.7625219612</v>
      </c>
      <c r="R850" s="25">
        <f t="array" aca="1" ref="R850" ca="1">INDEX('Lorri 401b'!L:L,MATCH('Retirement Calculator'!A850,'Lorri 401b'!N:N,0),0)</f>
        <v>-10499680.757021496</v>
      </c>
      <c r="S850" s="25">
        <f t="shared" ca="1" si="787"/>
        <v>-14631888.519543458</v>
      </c>
    </row>
    <row r="851" spans="1:19" ht="15.75" customHeight="1" x14ac:dyDescent="0.3">
      <c r="A851" s="37">
        <v>76854</v>
      </c>
      <c r="B851" s="409">
        <f t="shared" ref="B851:C851" si="862">($A851-B$9)/365.25</f>
        <v>128.5366187542779</v>
      </c>
      <c r="C851" s="409">
        <f t="shared" si="862"/>
        <v>123.92607802874743</v>
      </c>
      <c r="E851" s="25">
        <f>IF(C851&gt;$B$7,0,'Combined Retirement'!$D$13/12)</f>
        <v>0</v>
      </c>
      <c r="F851" s="25">
        <f>IF(H851=0,'Combined Retirement'!$D$32,0)+'Combined Retirement'!$B$24</f>
        <v>2870.372285649099</v>
      </c>
      <c r="G851" s="25">
        <f>'Combined Retirement'!$C$24</f>
        <v>3525.4531757812501</v>
      </c>
      <c r="H851" s="25">
        <f>IF(B851&lt;62,0,'Combined Retirement'!$I$14)</f>
        <v>2192</v>
      </c>
      <c r="I851" s="25">
        <f>IF(C851&lt;62,0,'Combined Retirement'!$I$13)</f>
        <v>2420</v>
      </c>
      <c r="J851" s="25">
        <f t="shared" si="783"/>
        <v>7863.2184191855868</v>
      </c>
      <c r="K851" s="25">
        <f t="shared" si="784"/>
        <v>20282.026119384056</v>
      </c>
      <c r="L851" s="25"/>
      <c r="N851" s="25">
        <f>'Combined Retirement'!$C$18/12</f>
        <v>39153.069999999992</v>
      </c>
      <c r="O851" s="25">
        <f t="shared" si="785"/>
        <v>11007.82546143035</v>
      </c>
      <c r="P851" s="25">
        <f t="shared" si="786"/>
        <v>28145.244538569641</v>
      </c>
      <c r="Q851" s="25">
        <f t="array" aca="1" ref="Q851" ca="1">INDEX('Isaac 401k'!L:L,MATCH('Retirement Calculator'!A851,'Isaac 401k'!N:N,0),0)</f>
        <v>-4157321.276695068</v>
      </c>
      <c r="R851" s="25">
        <f t="array" aca="1" ref="R851" ca="1">INDEX('Lorri 401b'!L:L,MATCH('Retirement Calculator'!A851,'Lorri 401b'!N:N,0),0)</f>
        <v>-10563795.961403968</v>
      </c>
      <c r="S851" s="25">
        <f t="shared" ca="1" si="787"/>
        <v>-14721117.238099035</v>
      </c>
    </row>
    <row r="852" spans="1:19" ht="15.75" customHeight="1" x14ac:dyDescent="0.3">
      <c r="A852" s="37">
        <v>76884</v>
      </c>
      <c r="B852" s="409">
        <f t="shared" ref="B852:C852" si="863">($A852-B$9)/365.25</f>
        <v>128.61875427789187</v>
      </c>
      <c r="C852" s="409">
        <f t="shared" si="863"/>
        <v>124.0082135523614</v>
      </c>
      <c r="E852" s="25">
        <f>IF(C852&gt;$B$7,0,'Combined Retirement'!$D$13/12)</f>
        <v>0</v>
      </c>
      <c r="F852" s="25">
        <f>IF(H852=0,'Combined Retirement'!$D$32,0)+'Combined Retirement'!$B$24</f>
        <v>2870.372285649099</v>
      </c>
      <c r="G852" s="25">
        <f>'Combined Retirement'!$C$24</f>
        <v>3525.4531757812501</v>
      </c>
      <c r="H852" s="25">
        <f>IF(B852&lt;62,0,'Combined Retirement'!$I$14)</f>
        <v>2192</v>
      </c>
      <c r="I852" s="25">
        <f>IF(C852&lt;62,0,'Combined Retirement'!$I$13)</f>
        <v>2420</v>
      </c>
      <c r="J852" s="25">
        <f t="shared" si="783"/>
        <v>7863.2184191855868</v>
      </c>
      <c r="K852" s="25">
        <f t="shared" si="784"/>
        <v>20282.026119384056</v>
      </c>
      <c r="L852" s="25"/>
      <c r="N852" s="25">
        <f>'Combined Retirement'!$C$18/12</f>
        <v>39153.069999999992</v>
      </c>
      <c r="O852" s="25">
        <f t="shared" si="785"/>
        <v>11007.82546143035</v>
      </c>
      <c r="P852" s="25">
        <f t="shared" si="786"/>
        <v>28145.244538569641</v>
      </c>
      <c r="Q852" s="25">
        <f t="array" aca="1" ref="Q852" ca="1">INDEX('Isaac 401k'!L:L,MATCH('Retirement Calculator'!A852,'Isaac 401k'!N:N,0),0)</f>
        <v>-4182539.4305105628</v>
      </c>
      <c r="R852" s="25">
        <f t="array" aca="1" ref="R852" ca="1">INDEX('Lorri 401b'!L:L,MATCH('Retirement Calculator'!A852,'Lorri 401b'!N:N,0),0)</f>
        <v>-10628178.312471367</v>
      </c>
      <c r="S852" s="25">
        <f t="shared" ca="1" si="787"/>
        <v>-14810717.742981929</v>
      </c>
    </row>
    <row r="853" spans="1:19" ht="15.75" customHeight="1" x14ac:dyDescent="0.3">
      <c r="A853" s="37">
        <v>76915</v>
      </c>
      <c r="B853" s="409">
        <f t="shared" ref="B853:C853" si="864">($A853-B$9)/365.25</f>
        <v>128.70362765229294</v>
      </c>
      <c r="C853" s="409">
        <f t="shared" si="864"/>
        <v>124.0930869267625</v>
      </c>
      <c r="E853" s="25">
        <f>IF(C853&gt;$B$7,0,'Combined Retirement'!$D$13/12)</f>
        <v>0</v>
      </c>
      <c r="F853" s="25">
        <f>IF(H853=0,'Combined Retirement'!$D$32,0)+'Combined Retirement'!$B$24</f>
        <v>2870.372285649099</v>
      </c>
      <c r="G853" s="25">
        <f>'Combined Retirement'!$C$24</f>
        <v>3525.4531757812501</v>
      </c>
      <c r="H853" s="25">
        <f>IF(B853&lt;62,0,'Combined Retirement'!$I$14)</f>
        <v>2192</v>
      </c>
      <c r="I853" s="25">
        <f>IF(C853&lt;62,0,'Combined Retirement'!$I$13)</f>
        <v>2420</v>
      </c>
      <c r="J853" s="25">
        <f t="shared" si="783"/>
        <v>7863.2184191855868</v>
      </c>
      <c r="K853" s="25">
        <f t="shared" si="784"/>
        <v>20282.026119384056</v>
      </c>
      <c r="L853" s="25"/>
      <c r="N853" s="25">
        <f>'Combined Retirement'!$C$18/12</f>
        <v>39153.069999999992</v>
      </c>
      <c r="O853" s="25">
        <f t="shared" si="785"/>
        <v>11007.82546143035</v>
      </c>
      <c r="P853" s="25">
        <f t="shared" si="786"/>
        <v>28145.244538569641</v>
      </c>
      <c r="Q853" s="25">
        <f t="array" aca="1" ref="Q853" ca="1">INDEX('Isaac 401k'!L:L,MATCH('Retirement Calculator'!A853,'Isaac 401k'!N:N,0),0)</f>
        <v>-4207862.6599669559</v>
      </c>
      <c r="R853" s="25">
        <f t="array" aca="1" ref="R853" ca="1">INDEX('Lorri 401b'!L:L,MATCH('Retirement Calculator'!A853,'Lorri 401b'!N:N,0),0)</f>
        <v>-10692828.92333488</v>
      </c>
      <c r="S853" s="25">
        <f t="shared" ca="1" si="787"/>
        <v>-14900691.583301835</v>
      </c>
    </row>
    <row r="854" spans="1:19" ht="15.75" customHeight="1" x14ac:dyDescent="0.3">
      <c r="A854" s="37">
        <v>76946</v>
      </c>
      <c r="B854" s="409">
        <f t="shared" ref="B854:C854" si="865">($A854-B$9)/365.25</f>
        <v>128.78850102669404</v>
      </c>
      <c r="C854" s="409">
        <f t="shared" si="865"/>
        <v>124.17796030116358</v>
      </c>
      <c r="E854" s="25">
        <f>IF(C854&gt;$B$7,0,'Combined Retirement'!$D$13/12)</f>
        <v>0</v>
      </c>
      <c r="F854" s="25">
        <f>IF(H854=0,'Combined Retirement'!$D$32,0)+'Combined Retirement'!$B$24</f>
        <v>2870.372285649099</v>
      </c>
      <c r="G854" s="25">
        <f>'Combined Retirement'!$C$24</f>
        <v>3525.4531757812501</v>
      </c>
      <c r="H854" s="25">
        <f>IF(B854&lt;62,0,'Combined Retirement'!$I$14)</f>
        <v>2192</v>
      </c>
      <c r="I854" s="25">
        <f>IF(C854&lt;62,0,'Combined Retirement'!$I$13)</f>
        <v>2420</v>
      </c>
      <c r="J854" s="25">
        <f t="shared" si="783"/>
        <v>7863.2184191855868</v>
      </c>
      <c r="K854" s="25">
        <f t="shared" si="784"/>
        <v>20282.026119384056</v>
      </c>
      <c r="L854" s="25"/>
      <c r="N854" s="25">
        <f>'Combined Retirement'!$C$18/12</f>
        <v>39153.069999999992</v>
      </c>
      <c r="O854" s="25">
        <f t="shared" si="785"/>
        <v>11007.82546143035</v>
      </c>
      <c r="P854" s="25">
        <f t="shared" si="786"/>
        <v>28145.244538569641</v>
      </c>
      <c r="Q854" s="25">
        <f t="array" aca="1" ref="Q854" ca="1">INDEX('Isaac 401k'!L:L,MATCH('Retirement Calculator'!A854,'Isaac 401k'!N:N,0),0)</f>
        <v>-4233291.4028794169</v>
      </c>
      <c r="R854" s="25">
        <f t="array" aca="1" ref="R854" ca="1">INDEX('Lorri 401b'!L:L,MATCH('Retirement Calculator'!A854,'Lorri 401b'!N:N,0),0)</f>
        <v>-10757748.911743658</v>
      </c>
      <c r="S854" s="25">
        <f t="shared" ca="1" si="787"/>
        <v>-14991040.314623075</v>
      </c>
    </row>
    <row r="855" spans="1:19" ht="15.75" customHeight="1" x14ac:dyDescent="0.3">
      <c r="A855" s="37">
        <v>76976</v>
      </c>
      <c r="B855" s="409">
        <f t="shared" ref="B855:C855" si="866">($A855-B$9)/365.25</f>
        <v>128.87063655030801</v>
      </c>
      <c r="C855" s="409">
        <f t="shared" si="866"/>
        <v>124.26009582477755</v>
      </c>
      <c r="E855" s="25">
        <f>IF(C855&gt;$B$7,0,'Combined Retirement'!$D$13/12)</f>
        <v>0</v>
      </c>
      <c r="F855" s="25">
        <f>IF(H855=0,'Combined Retirement'!$D$32,0)+'Combined Retirement'!$B$24</f>
        <v>2870.372285649099</v>
      </c>
      <c r="G855" s="25">
        <f>'Combined Retirement'!$C$24</f>
        <v>3525.4531757812501</v>
      </c>
      <c r="H855" s="25">
        <f>IF(B855&lt;62,0,'Combined Retirement'!$I$14)</f>
        <v>2192</v>
      </c>
      <c r="I855" s="25">
        <f>IF(C855&lt;62,0,'Combined Retirement'!$I$13)</f>
        <v>2420</v>
      </c>
      <c r="J855" s="25">
        <f t="shared" si="783"/>
        <v>7863.2184191855868</v>
      </c>
      <c r="K855" s="25">
        <f t="shared" si="784"/>
        <v>20282.026119384056</v>
      </c>
      <c r="L855" s="25"/>
      <c r="N855" s="25">
        <f>'Combined Retirement'!$C$18/12</f>
        <v>39153.069999999992</v>
      </c>
      <c r="O855" s="25">
        <f t="shared" si="785"/>
        <v>11007.82546143035</v>
      </c>
      <c r="P855" s="25">
        <f t="shared" si="786"/>
        <v>28145.244538569641</v>
      </c>
      <c r="Q855" s="25">
        <f t="array" aca="1" ref="Q855" ca="1">INDEX('Isaac 401k'!L:L,MATCH('Retirement Calculator'!A855,'Isaac 401k'!N:N,0),0)</f>
        <v>-4258826.0988873467</v>
      </c>
      <c r="R855" s="25">
        <f t="array" aca="1" ref="R855" ca="1">INDEX('Lorri 401b'!L:L,MATCH('Retirement Calculator'!A855,'Lorri 401b'!N:N,0),0)</f>
        <v>-10822939.400104139</v>
      </c>
      <c r="S855" s="25">
        <f t="shared" ca="1" si="787"/>
        <v>-15081765.498991486</v>
      </c>
    </row>
    <row r="856" spans="1:19" ht="15.75" customHeight="1" x14ac:dyDescent="0.3">
      <c r="A856" s="37">
        <v>77007</v>
      </c>
      <c r="B856" s="409">
        <f t="shared" ref="B856:C856" si="867">($A856-B$9)/365.25</f>
        <v>128.95550992470911</v>
      </c>
      <c r="C856" s="409">
        <f t="shared" si="867"/>
        <v>124.34496919917865</v>
      </c>
      <c r="E856" s="25">
        <f>IF(C856&gt;$B$7,0,'Combined Retirement'!$D$13/12)</f>
        <v>0</v>
      </c>
      <c r="F856" s="25">
        <f>IF(H856=0,'Combined Retirement'!$D$32,0)+'Combined Retirement'!$B$24</f>
        <v>2870.372285649099</v>
      </c>
      <c r="G856" s="25">
        <f>'Combined Retirement'!$C$24</f>
        <v>3525.4531757812501</v>
      </c>
      <c r="H856" s="25">
        <f>IF(B856&lt;62,0,'Combined Retirement'!$I$14)</f>
        <v>2192</v>
      </c>
      <c r="I856" s="25">
        <f>IF(C856&lt;62,0,'Combined Retirement'!$I$13)</f>
        <v>2420</v>
      </c>
      <c r="J856" s="25">
        <f t="shared" si="783"/>
        <v>7863.2184191855868</v>
      </c>
      <c r="K856" s="25">
        <f t="shared" si="784"/>
        <v>20282.026119384056</v>
      </c>
      <c r="L856" s="25"/>
      <c r="N856" s="25">
        <f>'Combined Retirement'!$C$18/12</f>
        <v>39153.069999999992</v>
      </c>
      <c r="O856" s="25">
        <f t="shared" si="785"/>
        <v>11007.82546143035</v>
      </c>
      <c r="P856" s="25">
        <f t="shared" si="786"/>
        <v>28145.244538569641</v>
      </c>
      <c r="Q856" s="25">
        <f t="array" aca="1" ref="Q856" ca="1">INDEX('Isaac 401k'!L:L,MATCH('Retirement Calculator'!A856,'Isaac 401k'!N:N,0),0)</f>
        <v>-4284467.1894619763</v>
      </c>
      <c r="R856" s="25">
        <f t="array" aca="1" ref="R856" ca="1">INDEX('Lorri 401b'!L:L,MATCH('Retirement Calculator'!A856,'Lorri 401b'!N:N,0),0)</f>
        <v>-10888401.515499456</v>
      </c>
      <c r="S856" s="25">
        <f t="shared" ca="1" si="787"/>
        <v>-15172868.704961432</v>
      </c>
    </row>
    <row r="857" spans="1:19" ht="15.75" customHeight="1" x14ac:dyDescent="0.3">
      <c r="A857" s="37">
        <v>77037</v>
      </c>
      <c r="B857" s="409">
        <f t="shared" ref="B857:C857" si="868">($A857-B$9)/365.25</f>
        <v>129.03764544832308</v>
      </c>
      <c r="C857" s="409">
        <f t="shared" si="868"/>
        <v>124.42710472279261</v>
      </c>
      <c r="E857" s="25">
        <f>IF(C857&gt;$B$7,0,'Combined Retirement'!$D$13/12)</f>
        <v>0</v>
      </c>
      <c r="F857" s="25">
        <f>IF(H857=0,'Combined Retirement'!$D$32,0)+'Combined Retirement'!$B$24</f>
        <v>2870.372285649099</v>
      </c>
      <c r="G857" s="25">
        <f>'Combined Retirement'!$C$24</f>
        <v>3525.4531757812501</v>
      </c>
      <c r="H857" s="25">
        <f>IF(B857&lt;62,0,'Combined Retirement'!$I$14)</f>
        <v>2192</v>
      </c>
      <c r="I857" s="25">
        <f>IF(C857&lt;62,0,'Combined Retirement'!$I$13)</f>
        <v>2420</v>
      </c>
      <c r="J857" s="25">
        <f t="shared" si="783"/>
        <v>7863.2184191855868</v>
      </c>
      <c r="K857" s="25">
        <f t="shared" si="784"/>
        <v>20282.026119384056</v>
      </c>
      <c r="L857" s="25"/>
      <c r="N857" s="25">
        <f>'Combined Retirement'!$C$18/12</f>
        <v>39153.069999999992</v>
      </c>
      <c r="O857" s="25">
        <f t="shared" si="785"/>
        <v>11007.82546143035</v>
      </c>
      <c r="P857" s="25">
        <f t="shared" si="786"/>
        <v>28145.244538569641</v>
      </c>
      <c r="Q857" s="25">
        <f t="array" aca="1" ref="Q857" ca="1">INDEX('Isaac 401k'!L:L,MATCH('Retirement Calculator'!A857,'Isaac 401k'!N:N,0),0)</f>
        <v>-4310215.1179140005</v>
      </c>
      <c r="R857" s="25">
        <f t="array" aca="1" ref="R857" ca="1">INDEX('Lorri 401b'!L:L,MATCH('Retirement Calculator'!A857,'Lorri 401b'!N:N,0),0)</f>
        <v>-10954136.389708919</v>
      </c>
      <c r="S857" s="25">
        <f t="shared" ca="1" si="787"/>
        <v>-15264351.50762292</v>
      </c>
    </row>
    <row r="858" spans="1:19" ht="15.75" customHeight="1" x14ac:dyDescent="0.3">
      <c r="A858" s="37">
        <v>77068</v>
      </c>
      <c r="B858" s="409">
        <f t="shared" ref="B858:C858" si="869">($A858-B$9)/365.25</f>
        <v>129.12251882272417</v>
      </c>
      <c r="C858" s="409">
        <f t="shared" si="869"/>
        <v>124.5119780971937</v>
      </c>
      <c r="E858" s="25">
        <f>IF(C858&gt;$B$7,0,'Combined Retirement'!$D$13/12)</f>
        <v>0</v>
      </c>
      <c r="F858" s="25">
        <f>IF(H858=0,'Combined Retirement'!$D$32,0)+'Combined Retirement'!$B$24</f>
        <v>2870.372285649099</v>
      </c>
      <c r="G858" s="25">
        <f>'Combined Retirement'!$C$24</f>
        <v>3525.4531757812501</v>
      </c>
      <c r="H858" s="25">
        <f>IF(B858&lt;62,0,'Combined Retirement'!$I$14)</f>
        <v>2192</v>
      </c>
      <c r="I858" s="25">
        <f>IF(C858&lt;62,0,'Combined Retirement'!$I$13)</f>
        <v>2420</v>
      </c>
      <c r="J858" s="25">
        <f t="shared" si="783"/>
        <v>7863.2184191855868</v>
      </c>
      <c r="K858" s="25">
        <f t="shared" si="784"/>
        <v>20282.026119384056</v>
      </c>
      <c r="L858" s="25"/>
      <c r="N858" s="25">
        <f>'Combined Retirement'!$C$18/12</f>
        <v>39153.069999999992</v>
      </c>
      <c r="O858" s="25">
        <f t="shared" si="785"/>
        <v>11007.82546143035</v>
      </c>
      <c r="P858" s="25">
        <f t="shared" si="786"/>
        <v>28145.244538569641</v>
      </c>
      <c r="Q858" s="25">
        <f t="array" aca="1" ref="Q858" ca="1">INDEX('Isaac 401k'!L:L,MATCH('Retirement Calculator'!A858,'Isaac 401k'!N:N,0),0)</f>
        <v>-4336070.3294012416</v>
      </c>
      <c r="R858" s="25">
        <f t="array" aca="1" ref="R858" ca="1">INDEX('Lorri 401b'!L:L,MATCH('Retirement Calculator'!A858,'Lorri 401b'!N:N,0),0)</f>
        <v>-11020145.159227589</v>
      </c>
      <c r="S858" s="25">
        <f t="shared" ca="1" si="787"/>
        <v>-15356215.488628831</v>
      </c>
    </row>
    <row r="859" spans="1:19" ht="15.75" customHeight="1" x14ac:dyDescent="0.3">
      <c r="A859" s="37">
        <v>77099</v>
      </c>
      <c r="B859" s="409">
        <f t="shared" ref="B859:C859" si="870">($A859-B$9)/365.25</f>
        <v>129.20739219712524</v>
      </c>
      <c r="C859" s="409">
        <f t="shared" si="870"/>
        <v>124.5968514715948</v>
      </c>
      <c r="E859" s="25">
        <f>IF(C859&gt;$B$7,0,'Combined Retirement'!$D$13/12)</f>
        <v>0</v>
      </c>
      <c r="F859" s="25">
        <f>IF(H859=0,'Combined Retirement'!$D$32,0)+'Combined Retirement'!$B$24</f>
        <v>2870.372285649099</v>
      </c>
      <c r="G859" s="25">
        <f>'Combined Retirement'!$C$24</f>
        <v>3525.4531757812501</v>
      </c>
      <c r="H859" s="25">
        <f>IF(B859&lt;62,0,'Combined Retirement'!$I$14)</f>
        <v>2192</v>
      </c>
      <c r="I859" s="25">
        <f>IF(C859&lt;62,0,'Combined Retirement'!$I$13)</f>
        <v>2420</v>
      </c>
      <c r="J859" s="25">
        <f t="shared" si="783"/>
        <v>7863.2184191855868</v>
      </c>
      <c r="K859" s="25">
        <f t="shared" si="784"/>
        <v>20282.026119384056</v>
      </c>
      <c r="L859" s="25"/>
      <c r="N859" s="25">
        <f>'Combined Retirement'!$C$18/12</f>
        <v>39153.069999999992</v>
      </c>
      <c r="O859" s="25">
        <f t="shared" si="785"/>
        <v>11007.82546143035</v>
      </c>
      <c r="P859" s="25">
        <f t="shared" si="786"/>
        <v>28145.244538569641</v>
      </c>
      <c r="Q859" s="25">
        <f t="array" aca="1" ref="Q859" ca="1">INDEX('Isaac 401k'!L:L,MATCH('Retirement Calculator'!A859,'Isaac 401k'!N:N,0),0)</f>
        <v>-4362033.2709363457</v>
      </c>
      <c r="R859" s="25">
        <f t="array" aca="1" ref="R859" ca="1">INDEX('Lorri 401b'!L:L,MATCH('Retirement Calculator'!A859,'Lorri 401b'!N:N,0),0)</f>
        <v>-11086428.96528592</v>
      </c>
      <c r="S859" s="25">
        <f t="shared" ca="1" si="787"/>
        <v>-15448462.236222265</v>
      </c>
    </row>
    <row r="860" spans="1:19" ht="15.75" customHeight="1" x14ac:dyDescent="0.3">
      <c r="A860" s="37">
        <v>77127</v>
      </c>
      <c r="B860" s="409">
        <f t="shared" ref="B860:C860" si="871">($A860-B$9)/365.25</f>
        <v>129.28405201916496</v>
      </c>
      <c r="C860" s="409">
        <f t="shared" si="871"/>
        <v>124.67351129363449</v>
      </c>
      <c r="E860" s="25">
        <f>IF(C860&gt;$B$7,0,'Combined Retirement'!$D$13/12)</f>
        <v>0</v>
      </c>
      <c r="F860" s="25">
        <f>IF(H860=0,'Combined Retirement'!$D$32,0)+'Combined Retirement'!$B$24</f>
        <v>2870.372285649099</v>
      </c>
      <c r="G860" s="25">
        <f>'Combined Retirement'!$C$24</f>
        <v>3525.4531757812501</v>
      </c>
      <c r="H860" s="25">
        <f>IF(B860&lt;62,0,'Combined Retirement'!$I$14)</f>
        <v>2192</v>
      </c>
      <c r="I860" s="25">
        <f>IF(C860&lt;62,0,'Combined Retirement'!$I$13)</f>
        <v>2420</v>
      </c>
      <c r="J860" s="25">
        <f t="shared" si="783"/>
        <v>7863.2184191855868</v>
      </c>
      <c r="K860" s="25">
        <f t="shared" si="784"/>
        <v>20282.026119384056</v>
      </c>
      <c r="L860" s="25"/>
      <c r="N860" s="25">
        <f>'Combined Retirement'!$C$18/12</f>
        <v>39153.069999999992</v>
      </c>
      <c r="O860" s="25">
        <f t="shared" si="785"/>
        <v>11007.82546143035</v>
      </c>
      <c r="P860" s="25">
        <f t="shared" si="786"/>
        <v>28145.244538569641</v>
      </c>
      <c r="Q860" s="25">
        <f t="array" aca="1" ref="Q860" ca="1">INDEX('Isaac 401k'!L:L,MATCH('Retirement Calculator'!A860,'Isaac 401k'!N:N,0),0)</f>
        <v>-4388104.3913945127</v>
      </c>
      <c r="R860" s="25">
        <f t="array" aca="1" ref="R860" ca="1">INDEX('Lorri 401b'!L:L,MATCH('Retirement Calculator'!A860,'Lorri 401b'!N:N,0),0)</f>
        <v>-11152988.953869494</v>
      </c>
      <c r="S860" s="25">
        <f t="shared" ca="1" si="787"/>
        <v>-15541093.345264006</v>
      </c>
    </row>
    <row r="861" spans="1:19" ht="15.75" customHeight="1" x14ac:dyDescent="0.3">
      <c r="A861" s="37">
        <v>77158</v>
      </c>
      <c r="B861" s="409">
        <f t="shared" ref="B861:C861" si="872">($A861-B$9)/365.25</f>
        <v>129.36892539356606</v>
      </c>
      <c r="C861" s="409">
        <f t="shared" si="872"/>
        <v>124.75838466803559</v>
      </c>
      <c r="E861" s="25">
        <f>IF(C861&gt;$B$7,0,'Combined Retirement'!$D$13/12)</f>
        <v>0</v>
      </c>
      <c r="F861" s="25">
        <f>IF(H861=0,'Combined Retirement'!$D$32,0)+'Combined Retirement'!$B$24</f>
        <v>2870.372285649099</v>
      </c>
      <c r="G861" s="25">
        <f>'Combined Retirement'!$C$24</f>
        <v>3525.4531757812501</v>
      </c>
      <c r="H861" s="25">
        <f>IF(B861&lt;62,0,'Combined Retirement'!$I$14)</f>
        <v>2192</v>
      </c>
      <c r="I861" s="25">
        <f>IF(C861&lt;62,0,'Combined Retirement'!$I$13)</f>
        <v>2420</v>
      </c>
      <c r="J861" s="25">
        <f t="shared" si="783"/>
        <v>7863.2184191855868</v>
      </c>
      <c r="K861" s="25">
        <f t="shared" si="784"/>
        <v>20282.026119384056</v>
      </c>
      <c r="L861" s="25"/>
      <c r="N861" s="25">
        <f>'Combined Retirement'!$C$18/12</f>
        <v>39153.069999999992</v>
      </c>
      <c r="O861" s="25">
        <f t="shared" si="785"/>
        <v>11007.82546143035</v>
      </c>
      <c r="P861" s="25">
        <f t="shared" si="786"/>
        <v>28145.244538569641</v>
      </c>
      <c r="Q861" s="25">
        <f t="array" aca="1" ref="Q861" ca="1">INDEX('Isaac 401k'!L:L,MATCH('Retirement Calculator'!A861,'Isaac 401k'!N:N,0),0)</f>
        <v>-4414284.1415212555</v>
      </c>
      <c r="R861" s="25">
        <f t="array" aca="1" ref="R861" ca="1">INDEX('Lorri 401b'!L:L,MATCH('Retirement Calculator'!A861,'Lorri 401b'!N:N,0),0)</f>
        <v>-11219826.275738832</v>
      </c>
      <c r="S861" s="25">
        <f t="shared" ca="1" si="787"/>
        <v>-15634110.417260088</v>
      </c>
    </row>
    <row r="862" spans="1:19" ht="15.75" customHeight="1" x14ac:dyDescent="0.3">
      <c r="A862" s="37">
        <v>77188</v>
      </c>
      <c r="B862" s="409">
        <f t="shared" ref="B862:C862" si="873">($A862-B$9)/365.25</f>
        <v>129.45106091718</v>
      </c>
      <c r="C862" s="409">
        <f t="shared" si="873"/>
        <v>124.84052019164956</v>
      </c>
      <c r="E862" s="25">
        <f>IF(C862&gt;$B$7,0,'Combined Retirement'!$D$13/12)</f>
        <v>0</v>
      </c>
      <c r="F862" s="25">
        <f>IF(H862=0,'Combined Retirement'!$D$32,0)+'Combined Retirement'!$B$24</f>
        <v>2870.372285649099</v>
      </c>
      <c r="G862" s="25">
        <f>'Combined Retirement'!$C$24</f>
        <v>3525.4531757812501</v>
      </c>
      <c r="H862" s="25">
        <f>IF(B862&lt;62,0,'Combined Retirement'!$I$14)</f>
        <v>2192</v>
      </c>
      <c r="I862" s="25">
        <f>IF(C862&lt;62,0,'Combined Retirement'!$I$13)</f>
        <v>2420</v>
      </c>
      <c r="J862" s="25">
        <f t="shared" si="783"/>
        <v>7863.2184191855868</v>
      </c>
      <c r="K862" s="25">
        <f t="shared" si="784"/>
        <v>20282.026119384056</v>
      </c>
      <c r="L862" s="25"/>
      <c r="N862" s="25">
        <f>'Combined Retirement'!$C$18/12</f>
        <v>39153.069999999992</v>
      </c>
      <c r="O862" s="25">
        <f t="shared" si="785"/>
        <v>11007.82546143035</v>
      </c>
      <c r="P862" s="25">
        <f t="shared" si="786"/>
        <v>28145.244538569641</v>
      </c>
      <c r="Q862" s="25">
        <f t="array" aca="1" ref="Q862" ca="1">INDEX('Isaac 401k'!L:L,MATCH('Retirement Calculator'!A862,'Isaac 401k'!N:N,0),0)</f>
        <v>-4440572.9739401927</v>
      </c>
      <c r="R862" s="25">
        <f t="array" aca="1" ref="R862" ca="1">INDEX('Lorri 401b'!L:L,MATCH('Retirement Calculator'!A862,'Lorri 401b'!N:N,0),0)</f>
        <v>-11286942.086449292</v>
      </c>
      <c r="S862" s="25">
        <f t="shared" ca="1" si="787"/>
        <v>-15727515.060389485</v>
      </c>
    </row>
    <row r="863" spans="1:19" ht="15.75" customHeight="1" x14ac:dyDescent="0.3">
      <c r="A863" s="37">
        <v>77219</v>
      </c>
      <c r="B863" s="409">
        <f t="shared" ref="B863:C863" si="874">($A863-B$9)/365.25</f>
        <v>129.5359342915811</v>
      </c>
      <c r="C863" s="409">
        <f t="shared" si="874"/>
        <v>124.92539356605064</v>
      </c>
      <c r="E863" s="25">
        <f>IF(C863&gt;$B$7,0,'Combined Retirement'!$D$13/12)</f>
        <v>0</v>
      </c>
      <c r="F863" s="25">
        <f>IF(H863=0,'Combined Retirement'!$D$32,0)+'Combined Retirement'!$B$24</f>
        <v>2870.372285649099</v>
      </c>
      <c r="G863" s="25">
        <f>'Combined Retirement'!$C$24</f>
        <v>3525.4531757812501</v>
      </c>
      <c r="H863" s="25">
        <f>IF(B863&lt;62,0,'Combined Retirement'!$I$14)</f>
        <v>2192</v>
      </c>
      <c r="I863" s="25">
        <f>IF(C863&lt;62,0,'Combined Retirement'!$I$13)</f>
        <v>2420</v>
      </c>
      <c r="J863" s="25">
        <f t="shared" si="783"/>
        <v>7863.2184191855868</v>
      </c>
      <c r="K863" s="25">
        <f t="shared" si="784"/>
        <v>20282.026119384056</v>
      </c>
      <c r="L863" s="25"/>
      <c r="N863" s="25">
        <f>'Combined Retirement'!$C$18/12</f>
        <v>39153.069999999992</v>
      </c>
      <c r="O863" s="25">
        <f t="shared" si="785"/>
        <v>11007.82546143035</v>
      </c>
      <c r="P863" s="25">
        <f t="shared" si="786"/>
        <v>28145.244538569641</v>
      </c>
      <c r="Q863" s="25">
        <f t="array" aca="1" ref="Q863" ca="1">INDEX('Isaac 401k'!L:L,MATCH('Retirement Calculator'!A863,'Isaac 401k'!N:N,0),0)</f>
        <v>-4466971.3431608761</v>
      </c>
      <c r="R863" s="25">
        <f t="array" aca="1" ref="R863" ca="1">INDEX('Lorri 401b'!L:L,MATCH('Retirement Calculator'!A863,'Lorri 401b'!N:N,0),0)</f>
        <v>-11354337.546371046</v>
      </c>
      <c r="S863" s="25">
        <f t="shared" ca="1" si="787"/>
        <v>-15821308.889531922</v>
      </c>
    </row>
    <row r="864" spans="1:19" ht="15.75" customHeight="1" x14ac:dyDescent="0.3">
      <c r="A864" s="37">
        <v>77249</v>
      </c>
      <c r="B864" s="409">
        <f t="shared" ref="B864:C864" si="875">($A864-B$9)/365.25</f>
        <v>129.61806981519507</v>
      </c>
      <c r="C864" s="409">
        <f t="shared" si="875"/>
        <v>125.00752908966462</v>
      </c>
      <c r="E864" s="25">
        <f>IF(C864&gt;$B$7,0,'Combined Retirement'!$D$13/12)</f>
        <v>0</v>
      </c>
      <c r="F864" s="25">
        <f>IF(H864=0,'Combined Retirement'!$D$32,0)+'Combined Retirement'!$B$24</f>
        <v>2870.372285649099</v>
      </c>
      <c r="G864" s="25">
        <f>'Combined Retirement'!$C$24</f>
        <v>3525.4531757812501</v>
      </c>
      <c r="H864" s="25">
        <f>IF(B864&lt;62,0,'Combined Retirement'!$I$14)</f>
        <v>2192</v>
      </c>
      <c r="I864" s="25">
        <f>IF(C864&lt;62,0,'Combined Retirement'!$I$13)</f>
        <v>2420</v>
      </c>
      <c r="J864" s="25">
        <f t="shared" si="783"/>
        <v>7863.2184191855868</v>
      </c>
      <c r="K864" s="25">
        <f t="shared" si="784"/>
        <v>20282.026119384056</v>
      </c>
      <c r="L864" s="25"/>
      <c r="N864" s="25">
        <f>'Combined Retirement'!$C$18/12</f>
        <v>39153.069999999992</v>
      </c>
      <c r="O864" s="25">
        <f t="shared" si="785"/>
        <v>11007.82546143035</v>
      </c>
      <c r="P864" s="25">
        <f t="shared" si="786"/>
        <v>28145.244538569641</v>
      </c>
      <c r="Q864" s="25">
        <f t="array" aca="1" ref="Q864" ca="1">INDEX('Isaac 401k'!L:L,MATCH('Retirement Calculator'!A864,'Isaac 401k'!N:N,0),0)</f>
        <v>-4493479.7055866458</v>
      </c>
      <c r="R864" s="25">
        <f t="array" aca="1" ref="R864" ca="1">INDEX('Lorri 401b'!L:L,MATCH('Retirement Calculator'!A864,'Lorri 401b'!N:N,0),0)</f>
        <v>-11422013.820709141</v>
      </c>
      <c r="S864" s="25">
        <f t="shared" ca="1" si="787"/>
        <v>-15915493.526295787</v>
      </c>
    </row>
    <row r="865" spans="1:19" ht="15.75" customHeight="1" x14ac:dyDescent="0.3">
      <c r="A865" s="37">
        <v>77280</v>
      </c>
      <c r="B865" s="409">
        <f t="shared" ref="B865:C865" si="876">($A865-B$9)/365.25</f>
        <v>129.70294318959617</v>
      </c>
      <c r="C865" s="409">
        <f t="shared" si="876"/>
        <v>125.09240246406571</v>
      </c>
      <c r="E865" s="25">
        <f>IF(C865&gt;$B$7,0,'Combined Retirement'!$D$13/12)</f>
        <v>0</v>
      </c>
      <c r="F865" s="25">
        <f>IF(H865=0,'Combined Retirement'!$D$32,0)+'Combined Retirement'!$B$24</f>
        <v>2870.372285649099</v>
      </c>
      <c r="G865" s="25">
        <f>'Combined Retirement'!$C$24</f>
        <v>3525.4531757812501</v>
      </c>
      <c r="H865" s="25">
        <f>IF(B865&lt;62,0,'Combined Retirement'!$I$14)</f>
        <v>2192</v>
      </c>
      <c r="I865" s="25">
        <f>IF(C865&lt;62,0,'Combined Retirement'!$I$13)</f>
        <v>2420</v>
      </c>
      <c r="J865" s="25">
        <f t="shared" si="783"/>
        <v>7863.2184191855868</v>
      </c>
      <c r="K865" s="25">
        <f t="shared" si="784"/>
        <v>20282.026119384056</v>
      </c>
      <c r="L865" s="25"/>
      <c r="N865" s="25">
        <f>'Combined Retirement'!$C$18/12</f>
        <v>39153.069999999992</v>
      </c>
      <c r="O865" s="25">
        <f t="shared" si="785"/>
        <v>11007.82546143035</v>
      </c>
      <c r="P865" s="25">
        <f t="shared" si="786"/>
        <v>28145.244538569641</v>
      </c>
      <c r="Q865" s="25">
        <f t="array" aca="1" ref="Q865" ca="1">INDEX('Isaac 401k'!L:L,MATCH('Retirement Calculator'!A865,'Isaac 401k'!N:N,0),0)</f>
        <v>-4520098.5195225226</v>
      </c>
      <c r="R865" s="25">
        <f t="array" aca="1" ref="R865" ca="1">INDEX('Lorri 401b'!L:L,MATCH('Retirement Calculator'!A865,'Lorri 401b'!N:N,0),0)</f>
        <v>-11489972.079523645</v>
      </c>
      <c r="S865" s="25">
        <f t="shared" ca="1" si="787"/>
        <v>-16010070.599046167</v>
      </c>
    </row>
    <row r="866" spans="1:19" ht="15.75" customHeight="1" x14ac:dyDescent="0.3">
      <c r="A866" s="37">
        <v>77311</v>
      </c>
      <c r="B866" s="409">
        <f t="shared" ref="B866:C866" si="877">($A866-B$9)/365.25</f>
        <v>129.78781656399727</v>
      </c>
      <c r="C866" s="409">
        <f t="shared" si="877"/>
        <v>125.1772758384668</v>
      </c>
      <c r="E866" s="25">
        <f>IF(C866&gt;$B$7,0,'Combined Retirement'!$D$13/12)</f>
        <v>0</v>
      </c>
      <c r="F866" s="25">
        <f>IF(H866=0,'Combined Retirement'!$D$32,0)+'Combined Retirement'!$B$24</f>
        <v>2870.372285649099</v>
      </c>
      <c r="G866" s="25">
        <f>'Combined Retirement'!$C$24</f>
        <v>3525.4531757812501</v>
      </c>
      <c r="H866" s="25">
        <f>IF(B866&lt;62,0,'Combined Retirement'!$I$14)</f>
        <v>2192</v>
      </c>
      <c r="I866" s="25">
        <f>IF(C866&lt;62,0,'Combined Retirement'!$I$13)</f>
        <v>2420</v>
      </c>
      <c r="J866" s="25">
        <f t="shared" si="783"/>
        <v>7863.2184191855868</v>
      </c>
      <c r="K866" s="25">
        <f t="shared" si="784"/>
        <v>20282.026119384056</v>
      </c>
      <c r="L866" s="25"/>
      <c r="N866" s="25">
        <f>'Combined Retirement'!$C$18/12</f>
        <v>39153.069999999992</v>
      </c>
      <c r="O866" s="25">
        <f t="shared" si="785"/>
        <v>11007.82546143035</v>
      </c>
      <c r="P866" s="25">
        <f t="shared" si="786"/>
        <v>28145.244538569641</v>
      </c>
      <c r="Q866" s="25">
        <f t="array" aca="1" ref="Q866" ca="1">INDEX('Isaac 401k'!L:L,MATCH('Retirement Calculator'!A866,'Isaac 401k'!N:N,0),0)</f>
        <v>-4546828.2451831326</v>
      </c>
      <c r="R866" s="25">
        <f t="array" aca="1" ref="R866" ca="1">INDEX('Lorri 401b'!L:L,MATCH('Retirement Calculator'!A866,'Lorri 401b'!N:N,0),0)</f>
        <v>-11558213.497749876</v>
      </c>
      <c r="S866" s="25">
        <f t="shared" ca="1" si="787"/>
        <v>-16105041.742933009</v>
      </c>
    </row>
    <row r="867" spans="1:19" ht="15.75" customHeight="1" x14ac:dyDescent="0.3">
      <c r="A867" s="37">
        <v>77341</v>
      </c>
      <c r="B867" s="409">
        <f t="shared" ref="B867:C867" si="878">($A867-B$9)/365.25</f>
        <v>129.86995208761124</v>
      </c>
      <c r="C867" s="409">
        <f t="shared" si="878"/>
        <v>125.25941136208077</v>
      </c>
      <c r="E867" s="25">
        <f>IF(C867&gt;$B$7,0,'Combined Retirement'!$D$13/12)</f>
        <v>0</v>
      </c>
      <c r="F867" s="25">
        <f>IF(H867=0,'Combined Retirement'!$D$32,0)+'Combined Retirement'!$B$24</f>
        <v>2870.372285649099</v>
      </c>
      <c r="G867" s="25">
        <f>'Combined Retirement'!$C$24</f>
        <v>3525.4531757812501</v>
      </c>
      <c r="H867" s="25">
        <f>IF(B867&lt;62,0,'Combined Retirement'!$I$14)</f>
        <v>2192</v>
      </c>
      <c r="I867" s="25">
        <f>IF(C867&lt;62,0,'Combined Retirement'!$I$13)</f>
        <v>2420</v>
      </c>
      <c r="J867" s="25">
        <f t="shared" si="783"/>
        <v>7863.2184191855868</v>
      </c>
      <c r="K867" s="25">
        <f t="shared" si="784"/>
        <v>20282.026119384056</v>
      </c>
      <c r="L867" s="25"/>
      <c r="N867" s="25">
        <f>'Combined Retirement'!$C$18/12</f>
        <v>39153.069999999992</v>
      </c>
      <c r="O867" s="25">
        <f t="shared" si="785"/>
        <v>11007.82546143035</v>
      </c>
      <c r="P867" s="25">
        <f t="shared" si="786"/>
        <v>28145.244538569641</v>
      </c>
      <c r="Q867" s="25">
        <f t="array" aca="1" ref="Q867" ca="1">INDEX('Isaac 401k'!L:L,MATCH('Retirement Calculator'!A867,'Isaac 401k'!N:N,0),0)</f>
        <v>-4573669.3447006615</v>
      </c>
      <c r="R867" s="25">
        <f t="array" aca="1" ref="R867" ca="1">INDEX('Lorri 401b'!L:L,MATCH('Retirement Calculator'!A867,'Lorri 401b'!N:N,0),0)</f>
        <v>-11626739.255218716</v>
      </c>
      <c r="S867" s="25">
        <f t="shared" ca="1" si="787"/>
        <v>-16200408.599919379</v>
      </c>
    </row>
    <row r="868" spans="1:19" ht="15.75" customHeight="1" x14ac:dyDescent="0.3">
      <c r="A868" s="37">
        <v>77372</v>
      </c>
      <c r="B868" s="409">
        <f t="shared" ref="B868:C868" si="879">($A868-B$9)/365.25</f>
        <v>129.95482546201231</v>
      </c>
      <c r="C868" s="409">
        <f t="shared" si="879"/>
        <v>125.34428473648187</v>
      </c>
      <c r="E868" s="25">
        <f>IF(C868&gt;$B$7,0,'Combined Retirement'!$D$13/12)</f>
        <v>0</v>
      </c>
      <c r="F868" s="25">
        <f>IF(H868=0,'Combined Retirement'!$D$32,0)+'Combined Retirement'!$B$24</f>
        <v>2870.372285649099</v>
      </c>
      <c r="G868" s="25">
        <f>'Combined Retirement'!$C$24</f>
        <v>3525.4531757812501</v>
      </c>
      <c r="H868" s="25">
        <f>IF(B868&lt;62,0,'Combined Retirement'!$I$14)</f>
        <v>2192</v>
      </c>
      <c r="I868" s="25">
        <f>IF(C868&lt;62,0,'Combined Retirement'!$I$13)</f>
        <v>2420</v>
      </c>
      <c r="J868" s="25">
        <f t="shared" si="783"/>
        <v>7863.2184191855868</v>
      </c>
      <c r="K868" s="25">
        <f t="shared" si="784"/>
        <v>20282.026119384056</v>
      </c>
      <c r="L868" s="25"/>
      <c r="N868" s="25">
        <f>'Combined Retirement'!$C$18/12</f>
        <v>39153.069999999992</v>
      </c>
      <c r="O868" s="25">
        <f t="shared" si="785"/>
        <v>11007.82546143035</v>
      </c>
      <c r="P868" s="25">
        <f t="shared" si="786"/>
        <v>28145.244538569641</v>
      </c>
      <c r="Q868" s="25">
        <f t="array" aca="1" ref="Q868" ca="1">INDEX('Isaac 401k'!L:L,MATCH('Retirement Calculator'!A868,'Isaac 401k'!N:N,0),0)</f>
        <v>-4600622.2821328463</v>
      </c>
      <c r="R868" s="25">
        <f t="array" aca="1" ref="R868" ca="1">INDEX('Lorri 401b'!L:L,MATCH('Retirement Calculator'!A868,'Lorri 401b'!N:N,0),0)</f>
        <v>-11695550.53667701</v>
      </c>
      <c r="S868" s="25">
        <f t="shared" ca="1" si="787"/>
        <v>-16296172.818809856</v>
      </c>
    </row>
    <row r="869" spans="1:19" ht="15.75" customHeight="1" x14ac:dyDescent="0.3">
      <c r="A869" s="37">
        <v>77402</v>
      </c>
      <c r="B869" s="409">
        <f t="shared" ref="B869:C869" si="880">($A869-B$9)/365.25</f>
        <v>130.03696098562628</v>
      </c>
      <c r="C869" s="409">
        <f t="shared" si="880"/>
        <v>125.42642026009582</v>
      </c>
      <c r="E869" s="25">
        <f>IF(C869&gt;$B$7,0,'Combined Retirement'!$D$13/12)</f>
        <v>0</v>
      </c>
      <c r="F869" s="25">
        <f>IF(H869=0,'Combined Retirement'!$D$32,0)+'Combined Retirement'!$B$24</f>
        <v>2870.372285649099</v>
      </c>
      <c r="G869" s="25">
        <f>'Combined Retirement'!$C$24</f>
        <v>3525.4531757812501</v>
      </c>
      <c r="H869" s="25">
        <f>IF(B869&lt;62,0,'Combined Retirement'!$I$14)</f>
        <v>2192</v>
      </c>
      <c r="I869" s="25">
        <f>IF(C869&lt;62,0,'Combined Retirement'!$I$13)</f>
        <v>2420</v>
      </c>
      <c r="J869" s="25">
        <f t="shared" si="783"/>
        <v>7863.2184191855868</v>
      </c>
      <c r="K869" s="25">
        <f t="shared" si="784"/>
        <v>20282.026119384056</v>
      </c>
      <c r="L869" s="25"/>
      <c r="N869" s="25">
        <f>'Combined Retirement'!$C$18/12</f>
        <v>39153.069999999992</v>
      </c>
      <c r="O869" s="25">
        <f t="shared" si="785"/>
        <v>11007.82546143035</v>
      </c>
      <c r="P869" s="25">
        <f t="shared" si="786"/>
        <v>28145.244538569641</v>
      </c>
      <c r="Q869" s="25">
        <f t="array" aca="1" ref="Q869" ca="1">INDEX('Isaac 401k'!L:L,MATCH('Retirement Calculator'!A869,'Isaac 401k'!N:N,0),0)</f>
        <v>-4627687.5234709987</v>
      </c>
      <c r="R869" s="25">
        <f t="array" aca="1" ref="R869" ca="1">INDEX('Lorri 401b'!L:L,MATCH('Retirement Calculator'!A869,'Lorri 401b'!N:N,0),0)</f>
        <v>-11764648.531808047</v>
      </c>
      <c r="S869" s="25">
        <f t="shared" ca="1" si="787"/>
        <v>-16392336.055279046</v>
      </c>
    </row>
    <row r="870" spans="1:19" ht="15.75" customHeight="1" x14ac:dyDescent="0.3">
      <c r="A870" s="37">
        <v>77433</v>
      </c>
      <c r="B870" s="409">
        <f t="shared" ref="B870:C870" si="881">($A870-B$9)/365.25</f>
        <v>130.12183436002738</v>
      </c>
      <c r="C870" s="409">
        <f t="shared" si="881"/>
        <v>125.51129363449692</v>
      </c>
      <c r="E870" s="25">
        <f>IF(C870&gt;$B$7,0,'Combined Retirement'!$D$13/12)</f>
        <v>0</v>
      </c>
      <c r="F870" s="25">
        <f>IF(H870=0,'Combined Retirement'!$D$32,0)+'Combined Retirement'!$B$24</f>
        <v>2870.372285649099</v>
      </c>
      <c r="G870" s="25">
        <f>'Combined Retirement'!$C$24</f>
        <v>3525.4531757812501</v>
      </c>
      <c r="H870" s="25">
        <f>IF(B870&lt;62,0,'Combined Retirement'!$I$14)</f>
        <v>2192</v>
      </c>
      <c r="I870" s="25">
        <f>IF(C870&lt;62,0,'Combined Retirement'!$I$13)</f>
        <v>2420</v>
      </c>
      <c r="J870" s="25">
        <f t="shared" si="783"/>
        <v>7863.2184191855868</v>
      </c>
      <c r="K870" s="25">
        <f t="shared" si="784"/>
        <v>20282.026119384056</v>
      </c>
      <c r="L870" s="25"/>
      <c r="N870" s="25">
        <f>'Combined Retirement'!$C$18/12</f>
        <v>39153.069999999992</v>
      </c>
      <c r="O870" s="25">
        <f t="shared" si="785"/>
        <v>11007.82546143035</v>
      </c>
      <c r="P870" s="25">
        <f t="shared" si="786"/>
        <v>28145.244538569641</v>
      </c>
      <c r="Q870" s="25">
        <f t="array" aca="1" ref="Q870" ca="1">INDEX('Isaac 401k'!L:L,MATCH('Retirement Calculator'!A870,'Isaac 401k'!N:N,0),0)</f>
        <v>-4654865.5366480602</v>
      </c>
      <c r="R870" s="25">
        <f t="array" aca="1" ref="R870" ca="1">INDEX('Lorri 401b'!L:L,MATCH('Retirement Calculator'!A870,'Lorri 401b'!N:N,0),0)</f>
        <v>-11834034.43525213</v>
      </c>
      <c r="S870" s="25">
        <f t="shared" ca="1" si="787"/>
        <v>-16488899.971900191</v>
      </c>
    </row>
    <row r="871" spans="1:19" ht="15.75" customHeight="1" x14ac:dyDescent="0.3">
      <c r="A871" s="37">
        <v>77464</v>
      </c>
      <c r="B871" s="409">
        <f t="shared" ref="B871:C871" si="882">($A871-B$9)/365.25</f>
        <v>130.20670773442848</v>
      </c>
      <c r="C871" s="409">
        <f t="shared" si="882"/>
        <v>125.59616700889802</v>
      </c>
      <c r="E871" s="25">
        <f>IF(C871&gt;$B$7,0,'Combined Retirement'!$D$13/12)</f>
        <v>0</v>
      </c>
      <c r="F871" s="25">
        <f>IF(H871=0,'Combined Retirement'!$D$32,0)+'Combined Retirement'!$B$24</f>
        <v>2870.372285649099</v>
      </c>
      <c r="G871" s="25">
        <f>'Combined Retirement'!$C$24</f>
        <v>3525.4531757812501</v>
      </c>
      <c r="H871" s="25">
        <f>IF(B871&lt;62,0,'Combined Retirement'!$I$14)</f>
        <v>2192</v>
      </c>
      <c r="I871" s="25">
        <f>IF(C871&lt;62,0,'Combined Retirement'!$I$13)</f>
        <v>2420</v>
      </c>
      <c r="J871" s="25">
        <f t="shared" si="783"/>
        <v>7863.2184191855868</v>
      </c>
      <c r="K871" s="25">
        <f t="shared" si="784"/>
        <v>20282.026119384056</v>
      </c>
      <c r="L871" s="25"/>
      <c r="N871" s="25">
        <f>'Combined Retirement'!$C$18/12</f>
        <v>39153.069999999992</v>
      </c>
      <c r="O871" s="25">
        <f t="shared" si="785"/>
        <v>11007.82546143035</v>
      </c>
      <c r="P871" s="25">
        <f t="shared" si="786"/>
        <v>28145.244538569641</v>
      </c>
      <c r="Q871" s="25">
        <f t="array" aca="1" ref="Q871" ca="1">INDEX('Isaac 401k'!L:L,MATCH('Retirement Calculator'!A871,'Isaac 401k'!N:N,0),0)</f>
        <v>-4682156.7915466931</v>
      </c>
      <c r="R871" s="25">
        <f t="array" aca="1" ref="R871" ca="1">INDEX('Lorri 401b'!L:L,MATCH('Retirement Calculator'!A871,'Lorri 401b'!N:N,0),0)</f>
        <v>-11903709.446627229</v>
      </c>
      <c r="S871" s="25">
        <f t="shared" ca="1" si="787"/>
        <v>-16585866.238173923</v>
      </c>
    </row>
    <row r="872" spans="1:19" ht="15.75" customHeight="1" x14ac:dyDescent="0.3">
      <c r="A872" s="37">
        <v>77493</v>
      </c>
      <c r="B872" s="409">
        <f t="shared" ref="B872:C872" si="883">($A872-B$9)/365.25</f>
        <v>130.28610540725529</v>
      </c>
      <c r="C872" s="409">
        <f t="shared" si="883"/>
        <v>125.67556468172485</v>
      </c>
      <c r="E872" s="25">
        <f>IF(C872&gt;$B$7,0,'Combined Retirement'!$D$13/12)</f>
        <v>0</v>
      </c>
      <c r="F872" s="25">
        <f>IF(H872=0,'Combined Retirement'!$D$32,0)+'Combined Retirement'!$B$24</f>
        <v>2870.372285649099</v>
      </c>
      <c r="G872" s="25">
        <f>'Combined Retirement'!$C$24</f>
        <v>3525.4531757812501</v>
      </c>
      <c r="H872" s="25">
        <f>IF(B872&lt;62,0,'Combined Retirement'!$I$14)</f>
        <v>2192</v>
      </c>
      <c r="I872" s="25">
        <f>IF(C872&lt;62,0,'Combined Retirement'!$I$13)</f>
        <v>2420</v>
      </c>
      <c r="J872" s="25">
        <f t="shared" si="783"/>
        <v>7863.2184191855868</v>
      </c>
      <c r="K872" s="25">
        <f t="shared" si="784"/>
        <v>20282.026119384056</v>
      </c>
      <c r="L872" s="25"/>
      <c r="N872" s="25">
        <f>'Combined Retirement'!$C$18/12</f>
        <v>39153.069999999992</v>
      </c>
      <c r="O872" s="25">
        <f t="shared" si="785"/>
        <v>11007.82546143035</v>
      </c>
      <c r="P872" s="25">
        <f t="shared" si="786"/>
        <v>28145.244538569641</v>
      </c>
      <c r="Q872" s="25">
        <f t="array" aca="1" ref="Q872" ca="1">INDEX('Isaac 401k'!L:L,MATCH('Retirement Calculator'!A872,'Isaac 401k'!N:N,0),0)</f>
        <v>-4709561.7600074038</v>
      </c>
      <c r="R872" s="25">
        <f t="array" aca="1" ref="R872" ca="1">INDEX('Lorri 401b'!L:L,MATCH('Retirement Calculator'!A872,'Lorri 401b'!N:N,0),0)</f>
        <v>-11973674.770549726</v>
      </c>
      <c r="S872" s="25">
        <f t="shared" ca="1" si="787"/>
        <v>-16683236.53055713</v>
      </c>
    </row>
    <row r="873" spans="1:19" ht="15.75" customHeight="1" x14ac:dyDescent="0.3">
      <c r="A873" s="37">
        <v>77524</v>
      </c>
      <c r="B873" s="409">
        <f t="shared" ref="B873:C873" si="884">($A873-B$9)/365.25</f>
        <v>130.37097878165639</v>
      </c>
      <c r="C873" s="409">
        <f t="shared" si="884"/>
        <v>125.76043805612593</v>
      </c>
      <c r="E873" s="25">
        <f>IF(C873&gt;$B$7,0,'Combined Retirement'!$D$13/12)</f>
        <v>0</v>
      </c>
      <c r="F873" s="25">
        <f>IF(H873=0,'Combined Retirement'!$D$32,0)+'Combined Retirement'!$B$24</f>
        <v>2870.372285649099</v>
      </c>
      <c r="G873" s="25">
        <f>'Combined Retirement'!$C$24</f>
        <v>3525.4531757812501</v>
      </c>
      <c r="H873" s="25">
        <f>IF(B873&lt;62,0,'Combined Retirement'!$I$14)</f>
        <v>2192</v>
      </c>
      <c r="I873" s="25">
        <f>IF(C873&lt;62,0,'Combined Retirement'!$I$13)</f>
        <v>2420</v>
      </c>
      <c r="J873" s="25">
        <f t="shared" si="783"/>
        <v>7863.2184191855868</v>
      </c>
      <c r="K873" s="25">
        <f t="shared" si="784"/>
        <v>20282.026119384056</v>
      </c>
      <c r="L873" s="25"/>
      <c r="N873" s="25">
        <f>'Combined Retirement'!$C$18/12</f>
        <v>39153.069999999992</v>
      </c>
      <c r="O873" s="25">
        <f t="shared" si="785"/>
        <v>11007.82546143035</v>
      </c>
      <c r="P873" s="25">
        <f t="shared" si="786"/>
        <v>28145.244538569641</v>
      </c>
      <c r="Q873" s="25">
        <f t="array" aca="1" ref="Q873" ca="1">INDEX('Isaac 401k'!L:L,MATCH('Retirement Calculator'!A873,'Isaac 401k'!N:N,0),0)</f>
        <v>-4737080.9158367002</v>
      </c>
      <c r="R873" s="25">
        <f t="array" aca="1" ref="R873" ca="1">INDEX('Lorri 401b'!L:L,MATCH('Retirement Calculator'!A873,'Lorri 401b'!N:N,0),0)</f>
        <v>-12043931.616655232</v>
      </c>
      <c r="S873" s="25">
        <f t="shared" ca="1" si="787"/>
        <v>-16781012.532491934</v>
      </c>
    </row>
    <row r="874" spans="1:19" ht="15.75" customHeight="1" x14ac:dyDescent="0.3">
      <c r="A874" s="37">
        <v>77554</v>
      </c>
      <c r="B874" s="409">
        <f t="shared" ref="B874:C874" si="885">($A874-B$9)/365.25</f>
        <v>130.45311430527036</v>
      </c>
      <c r="C874" s="409">
        <f t="shared" si="885"/>
        <v>125.84257357973991</v>
      </c>
      <c r="E874" s="25">
        <f>IF(C874&gt;$B$7,0,'Combined Retirement'!$D$13/12)</f>
        <v>0</v>
      </c>
      <c r="F874" s="25">
        <f>IF(H874=0,'Combined Retirement'!$D$32,0)+'Combined Retirement'!$B$24</f>
        <v>2870.372285649099</v>
      </c>
      <c r="G874" s="25">
        <f>'Combined Retirement'!$C$24</f>
        <v>3525.4531757812501</v>
      </c>
      <c r="H874" s="25">
        <f>IF(B874&lt;62,0,'Combined Retirement'!$I$14)</f>
        <v>2192</v>
      </c>
      <c r="I874" s="25">
        <f>IF(C874&lt;62,0,'Combined Retirement'!$I$13)</f>
        <v>2420</v>
      </c>
      <c r="J874" s="25">
        <f t="shared" si="783"/>
        <v>7863.2184191855868</v>
      </c>
      <c r="K874" s="25">
        <f t="shared" si="784"/>
        <v>20282.026119384056</v>
      </c>
      <c r="L874" s="25"/>
      <c r="N874" s="25">
        <f>'Combined Retirement'!$C$18/12</f>
        <v>39153.069999999992</v>
      </c>
      <c r="O874" s="25">
        <f t="shared" si="785"/>
        <v>11007.82546143035</v>
      </c>
      <c r="P874" s="25">
        <f t="shared" si="786"/>
        <v>28145.244538569641</v>
      </c>
      <c r="Q874" s="25">
        <f t="array" aca="1" ref="Q874" ca="1">INDEX('Isaac 401k'!L:L,MATCH('Retirement Calculator'!A874,'Isaac 401k'!N:N,0),0)</f>
        <v>-4764714.7348152855</v>
      </c>
      <c r="R874" s="25">
        <f t="array" aca="1" ref="R874" ca="1">INDEX('Lorri 401b'!L:L,MATCH('Retirement Calculator'!A874,'Lorri 401b'!N:N,0),0)</f>
        <v>-12114481.199619511</v>
      </c>
      <c r="S874" s="25">
        <f t="shared" ca="1" si="787"/>
        <v>-16879195.934434798</v>
      </c>
    </row>
    <row r="875" spans="1:19" ht="15.75" customHeight="1" x14ac:dyDescent="0.3">
      <c r="A875" s="37">
        <v>77585</v>
      </c>
      <c r="B875" s="409">
        <f t="shared" ref="B875:C875" si="886">($A875-B$9)/365.25</f>
        <v>130.53798767967146</v>
      </c>
      <c r="C875" s="409">
        <f t="shared" si="886"/>
        <v>125.927446954141</v>
      </c>
      <c r="E875" s="25">
        <f>IF(C875&gt;$B$7,0,'Combined Retirement'!$D$13/12)</f>
        <v>0</v>
      </c>
      <c r="F875" s="25">
        <f>IF(H875=0,'Combined Retirement'!$D$32,0)+'Combined Retirement'!$B$24</f>
        <v>2870.372285649099</v>
      </c>
      <c r="G875" s="25">
        <f>'Combined Retirement'!$C$24</f>
        <v>3525.4531757812501</v>
      </c>
      <c r="H875" s="25">
        <f>IF(B875&lt;62,0,'Combined Retirement'!$I$14)</f>
        <v>2192</v>
      </c>
      <c r="I875" s="25">
        <f>IF(C875&lt;62,0,'Combined Retirement'!$I$13)</f>
        <v>2420</v>
      </c>
      <c r="J875" s="25">
        <f t="shared" si="783"/>
        <v>7863.2184191855868</v>
      </c>
      <c r="K875" s="25">
        <f t="shared" si="784"/>
        <v>20282.026119384056</v>
      </c>
      <c r="L875" s="25"/>
      <c r="N875" s="25">
        <f>'Combined Retirement'!$C$18/12</f>
        <v>39153.069999999992</v>
      </c>
      <c r="O875" s="25">
        <f t="shared" si="785"/>
        <v>11007.82546143035</v>
      </c>
      <c r="P875" s="25">
        <f t="shared" si="786"/>
        <v>28145.244538569641</v>
      </c>
      <c r="Q875" s="25">
        <f t="array" aca="1" ref="Q875" ca="1">INDEX('Isaac 401k'!L:L,MATCH('Retirement Calculator'!A875,'Isaac 401k'!N:N,0),0)</f>
        <v>-4792463.6947062816</v>
      </c>
      <c r="R875" s="25">
        <f t="array" aca="1" ref="R875" ca="1">INDEX('Lorri 401b'!L:L,MATCH('Retirement Calculator'!A875,'Lorri 401b'!N:N,0),0)</f>
        <v>-12185324.739179475</v>
      </c>
      <c r="S875" s="25">
        <f t="shared" ca="1" si="787"/>
        <v>-16977788.433885757</v>
      </c>
    </row>
    <row r="876" spans="1:19" ht="15.75" customHeight="1" x14ac:dyDescent="0.3">
      <c r="A876" s="37">
        <v>77615</v>
      </c>
      <c r="B876" s="409">
        <f t="shared" ref="B876:C876" si="887">($A876-B$9)/365.25</f>
        <v>130.62012320328543</v>
      </c>
      <c r="C876" s="409">
        <f t="shared" si="887"/>
        <v>126.00958247775496</v>
      </c>
      <c r="E876" s="25">
        <f>IF(C876&gt;$B$7,0,'Combined Retirement'!$D$13/12)</f>
        <v>0</v>
      </c>
      <c r="F876" s="25">
        <f>IF(H876=0,'Combined Retirement'!$D$32,0)+'Combined Retirement'!$B$24</f>
        <v>2870.372285649099</v>
      </c>
      <c r="G876" s="25">
        <f>'Combined Retirement'!$C$24</f>
        <v>3525.4531757812501</v>
      </c>
      <c r="H876" s="25">
        <f>IF(B876&lt;62,0,'Combined Retirement'!$I$14)</f>
        <v>2192</v>
      </c>
      <c r="I876" s="25">
        <f>IF(C876&lt;62,0,'Combined Retirement'!$I$13)</f>
        <v>2420</v>
      </c>
      <c r="J876" s="25">
        <f t="shared" si="783"/>
        <v>7863.2184191855868</v>
      </c>
      <c r="K876" s="25">
        <f t="shared" si="784"/>
        <v>20282.026119384056</v>
      </c>
      <c r="L876" s="25"/>
      <c r="N876" s="25">
        <f>'Combined Retirement'!$C$18/12</f>
        <v>39153.069999999992</v>
      </c>
      <c r="O876" s="25">
        <f t="shared" si="785"/>
        <v>11007.82546143035</v>
      </c>
      <c r="P876" s="25">
        <f t="shared" si="786"/>
        <v>28145.244538569641</v>
      </c>
      <c r="Q876" s="25">
        <f t="array" aca="1" ref="Q876" ca="1">INDEX('Isaac 401k'!L:L,MATCH('Retirement Calculator'!A876,'Isaac 401k'!N:N,0),0)</f>
        <v>-4820328.2752634902</v>
      </c>
      <c r="R876" s="25">
        <f t="array" aca="1" ref="R876" ca="1">INDEX('Lorri 401b'!L:L,MATCH('Retirement Calculator'!A876,'Lorri 401b'!N:N,0),0)</f>
        <v>-12256463.460154273</v>
      </c>
      <c r="S876" s="25">
        <f t="shared" ca="1" si="787"/>
        <v>-17076791.735417761</v>
      </c>
    </row>
    <row r="877" spans="1:19" ht="15.75" customHeight="1" x14ac:dyDescent="0.3">
      <c r="A877" s="37">
        <v>77646</v>
      </c>
      <c r="B877" s="409">
        <f t="shared" ref="B877:C877" si="888">($A877-B$9)/365.25</f>
        <v>130.70499657768653</v>
      </c>
      <c r="C877" s="409">
        <f t="shared" si="888"/>
        <v>126.09445585215606</v>
      </c>
      <c r="E877" s="25">
        <f>IF(C877&gt;$B$7,0,'Combined Retirement'!$D$13/12)</f>
        <v>0</v>
      </c>
      <c r="F877" s="25">
        <f>IF(H877=0,'Combined Retirement'!$D$32,0)+'Combined Retirement'!$B$24</f>
        <v>2870.372285649099</v>
      </c>
      <c r="G877" s="25">
        <f>'Combined Retirement'!$C$24</f>
        <v>3525.4531757812501</v>
      </c>
      <c r="H877" s="25">
        <f>IF(B877&lt;62,0,'Combined Retirement'!$I$14)</f>
        <v>2192</v>
      </c>
      <c r="I877" s="25">
        <f>IF(C877&lt;62,0,'Combined Retirement'!$I$13)</f>
        <v>2420</v>
      </c>
      <c r="J877" s="25">
        <f t="shared" si="783"/>
        <v>7863.2184191855868</v>
      </c>
      <c r="K877" s="25">
        <f t="shared" si="784"/>
        <v>20282.026119384056</v>
      </c>
      <c r="L877" s="25"/>
      <c r="N877" s="25">
        <f>'Combined Retirement'!$C$18/12</f>
        <v>39153.069999999992</v>
      </c>
      <c r="O877" s="25">
        <f t="shared" si="785"/>
        <v>11007.82546143035</v>
      </c>
      <c r="P877" s="25">
        <f t="shared" si="786"/>
        <v>28145.244538569641</v>
      </c>
      <c r="Q877" s="25">
        <f t="array" aca="1" ref="Q877" ca="1">INDEX('Isaac 401k'!L:L,MATCH('Retirement Calculator'!A877,'Isaac 401k'!N:N,0),0)</f>
        <v>-4848308.9582396876</v>
      </c>
      <c r="R877" s="25">
        <f t="array" aca="1" ref="R877" ca="1">INDEX('Lorri 401b'!L:L,MATCH('Retirement Calculator'!A877,'Lorri 401b'!N:N,0),0)</f>
        <v>-12327898.592466464</v>
      </c>
      <c r="S877" s="25">
        <f t="shared" ca="1" si="787"/>
        <v>-17176207.550706152</v>
      </c>
    </row>
    <row r="878" spans="1:19" ht="15.75" customHeight="1" x14ac:dyDescent="0.3">
      <c r="A878" s="37">
        <v>77677</v>
      </c>
      <c r="B878" s="409">
        <f t="shared" ref="B878:C878" si="889">($A878-B$9)/365.25</f>
        <v>130.7898699520876</v>
      </c>
      <c r="C878" s="409">
        <f t="shared" si="889"/>
        <v>126.17932922655716</v>
      </c>
      <c r="E878" s="25">
        <f>IF(C878&gt;$B$7,0,'Combined Retirement'!$D$13/12)</f>
        <v>0</v>
      </c>
      <c r="F878" s="25">
        <f>IF(H878=0,'Combined Retirement'!$D$32,0)+'Combined Retirement'!$B$24</f>
        <v>2870.372285649099</v>
      </c>
      <c r="G878" s="25">
        <f>'Combined Retirement'!$C$24</f>
        <v>3525.4531757812501</v>
      </c>
      <c r="H878" s="25">
        <f>IF(B878&lt;62,0,'Combined Retirement'!$I$14)</f>
        <v>2192</v>
      </c>
      <c r="I878" s="25">
        <f>IF(C878&lt;62,0,'Combined Retirement'!$I$13)</f>
        <v>2420</v>
      </c>
      <c r="J878" s="25">
        <f t="shared" si="783"/>
        <v>7863.2184191855868</v>
      </c>
      <c r="K878" s="25">
        <f t="shared" si="784"/>
        <v>20282.026119384056</v>
      </c>
      <c r="L878" s="25"/>
      <c r="N878" s="25">
        <f>'Combined Retirement'!$C$18/12</f>
        <v>39153.069999999992</v>
      </c>
      <c r="O878" s="25">
        <f t="shared" si="785"/>
        <v>11007.82546143035</v>
      </c>
      <c r="P878" s="25">
        <f t="shared" si="786"/>
        <v>28145.244538569641</v>
      </c>
      <c r="Q878" s="25">
        <f t="array" aca="1" ref="Q878" ca="1">INDEX('Isaac 401k'!L:L,MATCH('Retirement Calculator'!A878,'Isaac 401k'!N:N,0),0)</f>
        <v>-4876406.2273949524</v>
      </c>
      <c r="R878" s="25">
        <f t="array" aca="1" ref="R878" ca="1">INDEX('Lorri 401b'!L:L,MATCH('Retirement Calculator'!A878,'Lorri 401b'!N:N,0),0)</f>
        <v>-12399631.37116329</v>
      </c>
      <c r="S878" s="25">
        <f t="shared" ca="1" si="787"/>
        <v>-17276037.598558243</v>
      </c>
    </row>
    <row r="879" spans="1:19" ht="15.75" customHeight="1" x14ac:dyDescent="0.3">
      <c r="A879" s="37">
        <v>77707</v>
      </c>
      <c r="B879" s="409">
        <f t="shared" ref="B879:C879" si="890">($A879-B$9)/365.25</f>
        <v>130.87200547570157</v>
      </c>
      <c r="C879" s="409">
        <f t="shared" si="890"/>
        <v>126.26146475017111</v>
      </c>
      <c r="E879" s="25">
        <f>IF(C879&gt;$B$7,0,'Combined Retirement'!$D$13/12)</f>
        <v>0</v>
      </c>
      <c r="F879" s="25">
        <f>IF(H879=0,'Combined Retirement'!$D$32,0)+'Combined Retirement'!$B$24</f>
        <v>2870.372285649099</v>
      </c>
      <c r="G879" s="25">
        <f>'Combined Retirement'!$C$24</f>
        <v>3525.4531757812501</v>
      </c>
      <c r="H879" s="25">
        <f>IF(B879&lt;62,0,'Combined Retirement'!$I$14)</f>
        <v>2192</v>
      </c>
      <c r="I879" s="25">
        <f>IF(C879&lt;62,0,'Combined Retirement'!$I$13)</f>
        <v>2420</v>
      </c>
      <c r="J879" s="25">
        <f t="shared" si="783"/>
        <v>7863.2184191855868</v>
      </c>
      <c r="K879" s="25">
        <f t="shared" si="784"/>
        <v>20282.026119384056</v>
      </c>
      <c r="L879" s="25"/>
      <c r="N879" s="25">
        <f>'Combined Retirement'!$C$18/12</f>
        <v>39153.069999999992</v>
      </c>
      <c r="O879" s="25">
        <f t="shared" si="785"/>
        <v>11007.82546143035</v>
      </c>
      <c r="P879" s="25">
        <f t="shared" si="786"/>
        <v>28145.244538569641</v>
      </c>
      <c r="Q879" s="25">
        <f t="array" aca="1" ref="Q879" ca="1">INDEX('Isaac 401k'!L:L,MATCH('Retirement Calculator'!A879,'Isaac 401k'!N:N,0),0)</f>
        <v>-4904620.5685050301</v>
      </c>
      <c r="R879" s="25">
        <f t="array" aca="1" ref="R879" ca="1">INDEX('Lorri 401b'!L:L,MATCH('Retirement Calculator'!A879,'Lorri 401b'!N:N,0),0)</f>
        <v>-12471663.03643802</v>
      </c>
      <c r="S879" s="25">
        <f t="shared" ca="1" si="787"/>
        <v>-17376283.604943052</v>
      </c>
    </row>
    <row r="880" spans="1:19" ht="15.75" customHeight="1" x14ac:dyDescent="0.3">
      <c r="A880" s="37">
        <v>77738</v>
      </c>
      <c r="B880" s="409">
        <f t="shared" ref="B880:C880" si="891">($A880-B$9)/365.25</f>
        <v>130.95687885010267</v>
      </c>
      <c r="C880" s="409">
        <f t="shared" si="891"/>
        <v>126.34633812457221</v>
      </c>
      <c r="E880" s="25">
        <f>IF(C880&gt;$B$7,0,'Combined Retirement'!$D$13/12)</f>
        <v>0</v>
      </c>
      <c r="F880" s="25">
        <f>IF(H880=0,'Combined Retirement'!$D$32,0)+'Combined Retirement'!$B$24</f>
        <v>2870.372285649099</v>
      </c>
      <c r="G880" s="25">
        <f>'Combined Retirement'!$C$24</f>
        <v>3525.4531757812501</v>
      </c>
      <c r="H880" s="25">
        <f>IF(B880&lt;62,0,'Combined Retirement'!$I$14)</f>
        <v>2192</v>
      </c>
      <c r="I880" s="25">
        <f>IF(C880&lt;62,0,'Combined Retirement'!$I$13)</f>
        <v>2420</v>
      </c>
      <c r="J880" s="25">
        <f t="shared" si="783"/>
        <v>7863.2184191855868</v>
      </c>
      <c r="K880" s="25">
        <f t="shared" si="784"/>
        <v>20282.026119384056</v>
      </c>
      <c r="L880" s="25"/>
      <c r="N880" s="25">
        <f>'Combined Retirement'!$C$18/12</f>
        <v>39153.069999999992</v>
      </c>
      <c r="O880" s="25">
        <f t="shared" si="785"/>
        <v>11007.82546143035</v>
      </c>
      <c r="P880" s="25">
        <f t="shared" si="786"/>
        <v>28145.244538569641</v>
      </c>
      <c r="Q880" s="25">
        <f t="array" aca="1" ref="Q880" ca="1">INDEX('Isaac 401k'!L:L,MATCH('Retirement Calculator'!A880,'Isaac 401k'!N:N,0),0)</f>
        <v>-4932952.4693697337</v>
      </c>
      <c r="R880" s="25">
        <f t="array" aca="1" ref="R880" ca="1">INDEX('Lorri 401b'!L:L,MATCH('Retirement Calculator'!A880,'Lorri 401b'!N:N,0),0)</f>
        <v>-12543994.833651394</v>
      </c>
      <c r="S880" s="25">
        <f t="shared" ca="1" si="787"/>
        <v>-17476947.303021125</v>
      </c>
    </row>
    <row r="881" spans="1:19" ht="15.75" customHeight="1" x14ac:dyDescent="0.3">
      <c r="A881" s="37">
        <v>77768</v>
      </c>
      <c r="B881" s="409">
        <f t="shared" ref="B881:C881" si="892">($A881-B$9)/365.25</f>
        <v>131.03901437371664</v>
      </c>
      <c r="C881" s="409">
        <f t="shared" si="892"/>
        <v>126.42847364818617</v>
      </c>
      <c r="E881" s="25">
        <f>IF(C881&gt;$B$7,0,'Combined Retirement'!$D$13/12)</f>
        <v>0</v>
      </c>
      <c r="F881" s="25">
        <f>IF(H881=0,'Combined Retirement'!$D$32,0)+'Combined Retirement'!$B$24</f>
        <v>2870.372285649099</v>
      </c>
      <c r="G881" s="25">
        <f>'Combined Retirement'!$C$24</f>
        <v>3525.4531757812501</v>
      </c>
      <c r="H881" s="25">
        <f>IF(B881&lt;62,0,'Combined Retirement'!$I$14)</f>
        <v>2192</v>
      </c>
      <c r="I881" s="25">
        <f>IF(C881&lt;62,0,'Combined Retirement'!$I$13)</f>
        <v>2420</v>
      </c>
      <c r="J881" s="25">
        <f t="shared" si="783"/>
        <v>7863.2184191855868</v>
      </c>
      <c r="K881" s="25">
        <f t="shared" si="784"/>
        <v>20282.026119384056</v>
      </c>
      <c r="L881" s="25"/>
      <c r="N881" s="25">
        <f>'Combined Retirement'!$C$18/12</f>
        <v>39153.069999999992</v>
      </c>
      <c r="O881" s="25">
        <f t="shared" si="785"/>
        <v>11007.82546143035</v>
      </c>
      <c r="P881" s="25">
        <f t="shared" si="786"/>
        <v>28145.244538569641</v>
      </c>
      <c r="Q881" s="25">
        <f t="array" aca="1" ref="Q881" ca="1">INDEX('Isaac 401k'!L:L,MATCH('Retirement Calculator'!A881,'Isaac 401k'!N:N,0),0)</f>
        <v>-4961402.4198213732</v>
      </c>
      <c r="R881" s="25">
        <f t="array" aca="1" ref="R881" ca="1">INDEX('Lorri 401b'!L:L,MATCH('Retirement Calculator'!A881,'Lorri 401b'!N:N,0),0)</f>
        <v>-12616628.013353156</v>
      </c>
      <c r="S881" s="25">
        <f t="shared" ca="1" si="787"/>
        <v>-17578030.433174528</v>
      </c>
    </row>
    <row r="882" spans="1:19" ht="15.75" customHeight="1" x14ac:dyDescent="0.3">
      <c r="A882" s="37">
        <v>77799</v>
      </c>
      <c r="B882" s="409">
        <f t="shared" ref="B882:C882" si="893">($A882-B$9)/365.25</f>
        <v>131.12388774811774</v>
      </c>
      <c r="C882" s="409">
        <f t="shared" si="893"/>
        <v>126.51334702258727</v>
      </c>
      <c r="E882" s="25">
        <f>IF(C882&gt;$B$7,0,'Combined Retirement'!$D$13/12)</f>
        <v>0</v>
      </c>
      <c r="F882" s="25">
        <f>IF(H882=0,'Combined Retirement'!$D$32,0)+'Combined Retirement'!$B$24</f>
        <v>2870.372285649099</v>
      </c>
      <c r="G882" s="25">
        <f>'Combined Retirement'!$C$24</f>
        <v>3525.4531757812501</v>
      </c>
      <c r="H882" s="25">
        <f>IF(B882&lt;62,0,'Combined Retirement'!$I$14)</f>
        <v>2192</v>
      </c>
      <c r="I882" s="25">
        <f>IF(C882&lt;62,0,'Combined Retirement'!$I$13)</f>
        <v>2420</v>
      </c>
      <c r="J882" s="25">
        <f t="shared" si="783"/>
        <v>7863.2184191855868</v>
      </c>
      <c r="K882" s="25">
        <f t="shared" si="784"/>
        <v>20282.026119384056</v>
      </c>
      <c r="L882" s="25"/>
      <c r="N882" s="25">
        <f>'Combined Retirement'!$C$18/12</f>
        <v>39153.069999999992</v>
      </c>
      <c r="O882" s="25">
        <f t="shared" si="785"/>
        <v>11007.82546143035</v>
      </c>
      <c r="P882" s="25">
        <f t="shared" si="786"/>
        <v>28145.244538569641</v>
      </c>
      <c r="Q882" s="25">
        <f t="array" aca="1" ref="Q882" ca="1">INDEX('Isaac 401k'!L:L,MATCH('Retirement Calculator'!A882,'Isaac 401k'!N:N,0),0)</f>
        <v>-4989970.9117332278</v>
      </c>
      <c r="R882" s="25">
        <f t="array" aca="1" ref="R882" ca="1">INDEX('Lorri 401b'!L:L,MATCH('Retirement Calculator'!A882,'Lorri 401b'!N:N,0),0)</f>
        <v>-12689563.831303677</v>
      </c>
      <c r="S882" s="25">
        <f t="shared" ca="1" si="787"/>
        <v>-17679534.743036903</v>
      </c>
    </row>
    <row r="883" spans="1:19" ht="15.75" customHeight="1" x14ac:dyDescent="0.3">
      <c r="A883" s="37">
        <v>77830</v>
      </c>
      <c r="B883" s="409">
        <f t="shared" ref="B883:C883" si="894">($A883-B$9)/365.25</f>
        <v>131.20876112251884</v>
      </c>
      <c r="C883" s="409">
        <f t="shared" si="894"/>
        <v>126.59822039698837</v>
      </c>
      <c r="E883" s="25">
        <f>IF(C883&gt;$B$7,0,'Combined Retirement'!$D$13/12)</f>
        <v>0</v>
      </c>
      <c r="F883" s="25">
        <f>IF(H883=0,'Combined Retirement'!$D$32,0)+'Combined Retirement'!$B$24</f>
        <v>2870.372285649099</v>
      </c>
      <c r="G883" s="25">
        <f>'Combined Retirement'!$C$24</f>
        <v>3525.4531757812501</v>
      </c>
      <c r="H883" s="25">
        <f>IF(B883&lt;62,0,'Combined Retirement'!$I$14)</f>
        <v>2192</v>
      </c>
      <c r="I883" s="25">
        <f>IF(C883&lt;62,0,'Combined Retirement'!$I$13)</f>
        <v>2420</v>
      </c>
      <c r="J883" s="25">
        <f t="shared" si="783"/>
        <v>7863.2184191855868</v>
      </c>
      <c r="K883" s="25">
        <f t="shared" si="784"/>
        <v>20282.026119384056</v>
      </c>
      <c r="L883" s="25"/>
      <c r="N883" s="25">
        <f>'Combined Retirement'!$C$18/12</f>
        <v>39153.069999999992</v>
      </c>
      <c r="O883" s="25">
        <f t="shared" si="785"/>
        <v>11007.82546143035</v>
      </c>
      <c r="P883" s="25">
        <f t="shared" si="786"/>
        <v>28145.244538569641</v>
      </c>
      <c r="Q883" s="25">
        <f t="array" aca="1" ref="Q883" ca="1">INDEX('Isaac 401k'!L:L,MATCH('Retirement Calculator'!A883,'Isaac 401k'!N:N,0),0)</f>
        <v>-5018658.4390280489</v>
      </c>
      <c r="R883" s="25">
        <f t="array" aca="1" ref="R883" ca="1">INDEX('Lorri 401b'!L:L,MATCH('Retirement Calculator'!A883,'Lorri 401b'!N:N,0),0)</f>
        <v>-12762803.548495658</v>
      </c>
      <c r="S883" s="25">
        <f t="shared" ca="1" si="787"/>
        <v>-17781461.987523705</v>
      </c>
    </row>
    <row r="884" spans="1:19" ht="15.75" customHeight="1" x14ac:dyDescent="0.3">
      <c r="A884" s="37">
        <v>77858</v>
      </c>
      <c r="B884" s="409">
        <f t="shared" ref="B884:C884" si="895">($A884-B$9)/365.25</f>
        <v>131.28542094455852</v>
      </c>
      <c r="C884" s="409">
        <f t="shared" si="895"/>
        <v>126.67488021902807</v>
      </c>
      <c r="E884" s="25">
        <f>IF(C884&gt;$B$7,0,'Combined Retirement'!$D$13/12)</f>
        <v>0</v>
      </c>
      <c r="F884" s="25">
        <f>IF(H884=0,'Combined Retirement'!$D$32,0)+'Combined Retirement'!$B$24</f>
        <v>2870.372285649099</v>
      </c>
      <c r="G884" s="25">
        <f>'Combined Retirement'!$C$24</f>
        <v>3525.4531757812501</v>
      </c>
      <c r="H884" s="25">
        <f>IF(B884&lt;62,0,'Combined Retirement'!$I$14)</f>
        <v>2192</v>
      </c>
      <c r="I884" s="25">
        <f>IF(C884&lt;62,0,'Combined Retirement'!$I$13)</f>
        <v>2420</v>
      </c>
      <c r="J884" s="25">
        <f t="shared" si="783"/>
        <v>7863.2184191855868</v>
      </c>
      <c r="K884" s="25">
        <f t="shared" si="784"/>
        <v>20282.026119384056</v>
      </c>
      <c r="L884" s="25"/>
      <c r="N884" s="25">
        <f>'Combined Retirement'!$C$18/12</f>
        <v>39153.069999999992</v>
      </c>
      <c r="O884" s="25">
        <f t="shared" si="785"/>
        <v>11007.82546143035</v>
      </c>
      <c r="P884" s="25">
        <f t="shared" si="786"/>
        <v>28145.244538569641</v>
      </c>
      <c r="Q884" s="25">
        <f t="array" aca="1" ref="Q884" ca="1">INDEX('Isaac 401k'!L:L,MATCH('Retirement Calculator'!A884,'Isaac 401k'!N:N,0),0)</f>
        <v>-5047465.4976865984</v>
      </c>
      <c r="R884" s="25">
        <f t="array" aca="1" ref="R884" ca="1">INDEX('Lorri 401b'!L:L,MATCH('Retirement Calculator'!A884,'Lorri 401b'!N:N,0),0)</f>
        <v>-12836348.431175938</v>
      </c>
      <c r="S884" s="25">
        <f t="shared" ca="1" si="787"/>
        <v>-17883813.928862534</v>
      </c>
    </row>
    <row r="885" spans="1:19" ht="15.75" customHeight="1" x14ac:dyDescent="0.3">
      <c r="A885" s="37">
        <v>77889</v>
      </c>
      <c r="B885" s="409">
        <f t="shared" ref="B885:C885" si="896">($A885-B$9)/365.25</f>
        <v>131.37029431895962</v>
      </c>
      <c r="C885" s="409">
        <f t="shared" si="896"/>
        <v>126.75975359342915</v>
      </c>
      <c r="E885" s="25">
        <f>IF(C885&gt;$B$7,0,'Combined Retirement'!$D$13/12)</f>
        <v>0</v>
      </c>
      <c r="F885" s="25">
        <f>IF(H885=0,'Combined Retirement'!$D$32,0)+'Combined Retirement'!$B$24</f>
        <v>2870.372285649099</v>
      </c>
      <c r="G885" s="25">
        <f>'Combined Retirement'!$C$24</f>
        <v>3525.4531757812501</v>
      </c>
      <c r="H885" s="25">
        <f>IF(B885&lt;62,0,'Combined Retirement'!$I$14)</f>
        <v>2192</v>
      </c>
      <c r="I885" s="25">
        <f>IF(C885&lt;62,0,'Combined Retirement'!$I$13)</f>
        <v>2420</v>
      </c>
      <c r="J885" s="25">
        <f t="shared" si="783"/>
        <v>7863.2184191855868</v>
      </c>
      <c r="K885" s="25">
        <f t="shared" si="784"/>
        <v>20282.026119384056</v>
      </c>
      <c r="L885" s="25"/>
      <c r="N885" s="25">
        <f>'Combined Retirement'!$C$18/12</f>
        <v>39153.069999999992</v>
      </c>
      <c r="O885" s="25">
        <f t="shared" si="785"/>
        <v>11007.82546143035</v>
      </c>
      <c r="P885" s="25">
        <f t="shared" si="786"/>
        <v>28145.244538569641</v>
      </c>
      <c r="Q885" s="25">
        <f t="array" aca="1" ref="Q885" ca="1">INDEX('Isaac 401k'!L:L,MATCH('Retirement Calculator'!A885,'Isaac 401k'!N:N,0),0)</f>
        <v>-5076392.5857562255</v>
      </c>
      <c r="R885" s="25">
        <f t="array" aca="1" ref="R885" ca="1">INDEX('Lorri 401b'!L:L,MATCH('Retirement Calculator'!A885,'Lorri 401b'!N:N,0),0)</f>
        <v>-12910199.750867387</v>
      </c>
      <c r="S885" s="25">
        <f t="shared" ca="1" si="787"/>
        <v>-17986592.336623613</v>
      </c>
    </row>
    <row r="886" spans="1:19" ht="15.75" customHeight="1" x14ac:dyDescent="0.3">
      <c r="A886" s="37">
        <v>77919</v>
      </c>
      <c r="B886" s="409">
        <f t="shared" ref="B886:C886" si="897">($A886-B$9)/365.25</f>
        <v>131.45242984257359</v>
      </c>
      <c r="C886" s="409">
        <f t="shared" si="897"/>
        <v>126.84188911704312</v>
      </c>
      <c r="E886" s="25">
        <f>IF(C886&gt;$B$7,0,'Combined Retirement'!$D$13/12)</f>
        <v>0</v>
      </c>
      <c r="F886" s="25">
        <f>IF(H886=0,'Combined Retirement'!$D$32,0)+'Combined Retirement'!$B$24</f>
        <v>2870.372285649099</v>
      </c>
      <c r="G886" s="25">
        <f>'Combined Retirement'!$C$24</f>
        <v>3525.4531757812501</v>
      </c>
      <c r="H886" s="25">
        <f>IF(B886&lt;62,0,'Combined Retirement'!$I$14)</f>
        <v>2192</v>
      </c>
      <c r="I886" s="25">
        <f>IF(C886&lt;62,0,'Combined Retirement'!$I$13)</f>
        <v>2420</v>
      </c>
      <c r="J886" s="25">
        <f t="shared" si="783"/>
        <v>7863.2184191855868</v>
      </c>
      <c r="K886" s="25">
        <f t="shared" si="784"/>
        <v>20282.026119384056</v>
      </c>
      <c r="L886" s="25"/>
      <c r="N886" s="25">
        <f>'Combined Retirement'!$C$18/12</f>
        <v>39153.069999999992</v>
      </c>
      <c r="O886" s="25">
        <f t="shared" si="785"/>
        <v>11007.82546143035</v>
      </c>
      <c r="P886" s="25">
        <f t="shared" si="786"/>
        <v>28145.244538569641</v>
      </c>
      <c r="Q886" s="25">
        <f t="array" aca="1" ref="Q886" ca="1">INDEX('Isaac 401k'!L:L,MATCH('Retirement Calculator'!A886,'Isaac 401k'!N:N,0),0)</f>
        <v>-5105440.2033594754</v>
      </c>
      <c r="R886" s="25">
        <f t="array" aca="1" ref="R886" ca="1">INDEX('Lorri 401b'!L:L,MATCH('Retirement Calculator'!A886,'Lorri 401b'!N:N,0),0)</f>
        <v>-12984358.784390884</v>
      </c>
      <c r="S886" s="25">
        <f t="shared" ca="1" si="787"/>
        <v>-18089798.987750359</v>
      </c>
    </row>
    <row r="887" spans="1:19" ht="15.75" customHeight="1" x14ac:dyDescent="0.3">
      <c r="A887" s="37">
        <v>77950</v>
      </c>
      <c r="B887" s="409">
        <f t="shared" ref="B887:C887" si="898">($A887-B$9)/365.25</f>
        <v>131.53730321697466</v>
      </c>
      <c r="C887" s="409">
        <f t="shared" si="898"/>
        <v>126.92676249144422</v>
      </c>
      <c r="E887" s="25">
        <f>IF(C887&gt;$B$7,0,'Combined Retirement'!$D$13/12)</f>
        <v>0</v>
      </c>
      <c r="F887" s="25">
        <f>IF(H887=0,'Combined Retirement'!$D$32,0)+'Combined Retirement'!$B$24</f>
        <v>2870.372285649099</v>
      </c>
      <c r="G887" s="25">
        <f>'Combined Retirement'!$C$24</f>
        <v>3525.4531757812501</v>
      </c>
      <c r="H887" s="25">
        <f>IF(B887&lt;62,0,'Combined Retirement'!$I$14)</f>
        <v>2192</v>
      </c>
      <c r="I887" s="25">
        <f>IF(C887&lt;62,0,'Combined Retirement'!$I$13)</f>
        <v>2420</v>
      </c>
      <c r="J887" s="25">
        <f t="shared" si="783"/>
        <v>7863.2184191855868</v>
      </c>
      <c r="K887" s="25">
        <f t="shared" si="784"/>
        <v>20282.026119384056</v>
      </c>
      <c r="L887" s="25"/>
      <c r="N887" s="25">
        <f>'Combined Retirement'!$C$18/12</f>
        <v>39153.069999999992</v>
      </c>
      <c r="O887" s="25">
        <f t="shared" si="785"/>
        <v>11007.82546143035</v>
      </c>
      <c r="P887" s="25">
        <f t="shared" si="786"/>
        <v>28145.244538569641</v>
      </c>
      <c r="Q887" s="25">
        <f t="array" aca="1" ref="Q887" ca="1">INDEX('Isaac 401k'!L:L,MATCH('Retirement Calculator'!A887,'Isaac 401k'!N:N,0),0)</f>
        <v>-5134608.8527027387</v>
      </c>
      <c r="R887" s="25">
        <f t="array" aca="1" ref="R887" ca="1">INDEX('Lorri 401b'!L:L,MATCH('Retirement Calculator'!A887,'Lorri 401b'!N:N,0),0)</f>
        <v>-13058826.813887395</v>
      </c>
      <c r="S887" s="25">
        <f t="shared" ca="1" si="787"/>
        <v>-18193435.666590132</v>
      </c>
    </row>
    <row r="888" spans="1:19" ht="15.75" customHeight="1" x14ac:dyDescent="0.3">
      <c r="A888" s="37">
        <v>77980</v>
      </c>
      <c r="B888" s="409">
        <f t="shared" ref="B888:C888" si="899">($A888-B$9)/365.25</f>
        <v>131.61943874058863</v>
      </c>
      <c r="C888" s="409">
        <f t="shared" si="899"/>
        <v>127.00889801505818</v>
      </c>
      <c r="E888" s="25">
        <f>IF(C888&gt;$B$7,0,'Combined Retirement'!$D$13/12)</f>
        <v>0</v>
      </c>
      <c r="F888" s="25">
        <f>IF(H888=0,'Combined Retirement'!$D$32,0)+'Combined Retirement'!$B$24</f>
        <v>2870.372285649099</v>
      </c>
      <c r="G888" s="25">
        <f>'Combined Retirement'!$C$24</f>
        <v>3525.4531757812501</v>
      </c>
      <c r="H888" s="25">
        <f>IF(B888&lt;62,0,'Combined Retirement'!$I$14)</f>
        <v>2192</v>
      </c>
      <c r="I888" s="25">
        <f>IF(C888&lt;62,0,'Combined Retirement'!$I$13)</f>
        <v>2420</v>
      </c>
      <c r="J888" s="25">
        <f t="shared" si="783"/>
        <v>7863.2184191855868</v>
      </c>
      <c r="K888" s="25">
        <f t="shared" si="784"/>
        <v>20282.026119384056</v>
      </c>
      <c r="L888" s="25"/>
      <c r="N888" s="25">
        <f>'Combined Retirement'!$C$18/12</f>
        <v>39153.069999999992</v>
      </c>
      <c r="O888" s="25">
        <f t="shared" si="785"/>
        <v>11007.82546143035</v>
      </c>
      <c r="P888" s="25">
        <f t="shared" si="786"/>
        <v>28145.244538569641</v>
      </c>
      <c r="Q888" s="25">
        <f t="array" aca="1" ref="Q888" ca="1">INDEX('Isaac 401k'!L:L,MATCH('Retirement Calculator'!A888,'Isaac 401k'!N:N,0),0)</f>
        <v>-5163899.0380849326</v>
      </c>
      <c r="R888" s="25">
        <f t="array" aca="1" ref="R888" ca="1">INDEX('Lorri 401b'!L:L,MATCH('Retirement Calculator'!A888,'Lorri 401b'!N:N,0),0)</f>
        <v>-13133605.126840141</v>
      </c>
      <c r="S888" s="25">
        <f t="shared" ca="1" si="787"/>
        <v>-18297504.164925072</v>
      </c>
    </row>
    <row r="889" spans="1:19" ht="15.75" customHeight="1" x14ac:dyDescent="0.3">
      <c r="A889" s="37">
        <v>78011</v>
      </c>
      <c r="B889" s="409">
        <f t="shared" ref="B889:C889" si="900">($A889-B$9)/365.25</f>
        <v>131.70431211498973</v>
      </c>
      <c r="C889" s="409">
        <f t="shared" si="900"/>
        <v>127.09377138945928</v>
      </c>
      <c r="E889" s="25">
        <f>IF(C889&gt;$B$7,0,'Combined Retirement'!$D$13/12)</f>
        <v>0</v>
      </c>
      <c r="F889" s="25">
        <f>IF(H889=0,'Combined Retirement'!$D$32,0)+'Combined Retirement'!$B$24</f>
        <v>2870.372285649099</v>
      </c>
      <c r="G889" s="25">
        <f>'Combined Retirement'!$C$24</f>
        <v>3525.4531757812501</v>
      </c>
      <c r="H889" s="25">
        <f>IF(B889&lt;62,0,'Combined Retirement'!$I$14)</f>
        <v>2192</v>
      </c>
      <c r="I889" s="25">
        <f>IF(C889&lt;62,0,'Combined Retirement'!$I$13)</f>
        <v>2420</v>
      </c>
      <c r="J889" s="25">
        <f t="shared" si="783"/>
        <v>7863.2184191855868</v>
      </c>
      <c r="K889" s="25">
        <f t="shared" si="784"/>
        <v>20282.026119384056</v>
      </c>
      <c r="L889" s="25"/>
      <c r="N889" s="25">
        <f>'Combined Retirement'!$C$18/12</f>
        <v>39153.069999999992</v>
      </c>
      <c r="O889" s="25">
        <f t="shared" si="785"/>
        <v>11007.82546143035</v>
      </c>
      <c r="P889" s="25">
        <f t="shared" si="786"/>
        <v>28145.244538569641</v>
      </c>
      <c r="Q889" s="25">
        <f t="array" aca="1" ref="Q889" ca="1">INDEX('Isaac 401k'!L:L,MATCH('Retirement Calculator'!A889,'Isaac 401k'!N:N,0),0)</f>
        <v>-5193311.2659062194</v>
      </c>
      <c r="R889" s="25">
        <f t="array" aca="1" ref="R889" ca="1">INDEX('Lorri 401b'!L:L,MATCH('Retirement Calculator'!A889,'Lorri 401b'!N:N,0),0)</f>
        <v>-13208695.016096856</v>
      </c>
      <c r="S889" s="25">
        <f t="shared" ca="1" si="787"/>
        <v>-18402006.282003075</v>
      </c>
    </row>
    <row r="890" spans="1:19" ht="15.75" customHeight="1" x14ac:dyDescent="0.3">
      <c r="A890" s="37">
        <v>78042</v>
      </c>
      <c r="B890" s="409">
        <f t="shared" ref="B890:C890" si="901">($A890-B$9)/365.25</f>
        <v>131.78918548939083</v>
      </c>
      <c r="C890" s="409">
        <f t="shared" si="901"/>
        <v>127.17864476386038</v>
      </c>
      <c r="E890" s="25">
        <f>IF(C890&gt;$B$7,0,'Combined Retirement'!$D$13/12)</f>
        <v>0</v>
      </c>
      <c r="F890" s="25">
        <f>IF(H890=0,'Combined Retirement'!$D$32,0)+'Combined Retirement'!$B$24</f>
        <v>2870.372285649099</v>
      </c>
      <c r="G890" s="25">
        <f>'Combined Retirement'!$C$24</f>
        <v>3525.4531757812501</v>
      </c>
      <c r="H890" s="25">
        <f>IF(B890&lt;62,0,'Combined Retirement'!$I$14)</f>
        <v>2192</v>
      </c>
      <c r="I890" s="25">
        <f>IF(C890&lt;62,0,'Combined Retirement'!$I$13)</f>
        <v>2420</v>
      </c>
      <c r="J890" s="25">
        <f t="shared" si="783"/>
        <v>7863.2184191855868</v>
      </c>
      <c r="K890" s="25">
        <f t="shared" si="784"/>
        <v>20282.026119384056</v>
      </c>
      <c r="L890" s="25"/>
      <c r="N890" s="25">
        <f>'Combined Retirement'!$C$18/12</f>
        <v>39153.069999999992</v>
      </c>
      <c r="O890" s="25">
        <f t="shared" si="785"/>
        <v>11007.82546143035</v>
      </c>
      <c r="P890" s="25">
        <f t="shared" si="786"/>
        <v>28145.244538569641</v>
      </c>
      <c r="Q890" s="25">
        <f t="array" aca="1" ref="Q890" ca="1">INDEX('Isaac 401k'!L:L,MATCH('Retirement Calculator'!A890,'Isaac 401k'!N:N,0),0)</f>
        <v>-5222846.0446767611</v>
      </c>
      <c r="R890" s="25">
        <f t="array" aca="1" ref="R890" ca="1">INDEX('Lorri 401b'!L:L,MATCH('Retirement Calculator'!A890,'Lorri 401b'!N:N,0),0)</f>
        <v>-13284097.779892143</v>
      </c>
      <c r="S890" s="25">
        <f t="shared" ca="1" si="787"/>
        <v>-18506943.824568905</v>
      </c>
    </row>
    <row r="891" spans="1:19" ht="15.75" customHeight="1" x14ac:dyDescent="0.3">
      <c r="A891" s="37">
        <v>78072</v>
      </c>
      <c r="B891" s="409">
        <f t="shared" ref="B891:C891" si="902">($A891-B$9)/365.25</f>
        <v>131.8713210130048</v>
      </c>
      <c r="C891" s="409">
        <f t="shared" si="902"/>
        <v>127.26078028747433</v>
      </c>
      <c r="E891" s="25">
        <f>IF(C891&gt;$B$7,0,'Combined Retirement'!$D$13/12)</f>
        <v>0</v>
      </c>
      <c r="F891" s="25">
        <f>IF(H891=0,'Combined Retirement'!$D$32,0)+'Combined Retirement'!$B$24</f>
        <v>2870.372285649099</v>
      </c>
      <c r="G891" s="25">
        <f>'Combined Retirement'!$C$24</f>
        <v>3525.4531757812501</v>
      </c>
      <c r="H891" s="25">
        <f>IF(B891&lt;62,0,'Combined Retirement'!$I$14)</f>
        <v>2192</v>
      </c>
      <c r="I891" s="25">
        <f>IF(C891&lt;62,0,'Combined Retirement'!$I$13)</f>
        <v>2420</v>
      </c>
      <c r="J891" s="25">
        <f t="shared" si="783"/>
        <v>7863.2184191855868</v>
      </c>
      <c r="K891" s="25">
        <f t="shared" si="784"/>
        <v>20282.026119384056</v>
      </c>
      <c r="L891" s="25"/>
      <c r="N891" s="25">
        <f>'Combined Retirement'!$C$18/12</f>
        <v>39153.069999999992</v>
      </c>
      <c r="O891" s="25">
        <f t="shared" si="785"/>
        <v>11007.82546143035</v>
      </c>
      <c r="P891" s="25">
        <f t="shared" si="786"/>
        <v>28145.244538569641</v>
      </c>
      <c r="Q891" s="25">
        <f t="array" aca="1" ref="Q891" ca="1">INDEX('Isaac 401k'!L:L,MATCH('Retirement Calculator'!A891,'Isaac 401k'!N:N,0),0)</f>
        <v>-5252503.8850255134</v>
      </c>
      <c r="R891" s="25">
        <f t="array" aca="1" ref="R891" ca="1">INDEX('Lorri 401b'!L:L,MATCH('Retirement Calculator'!A891,'Lorri 401b'!N:N,0),0)</f>
        <v>-13359814.721869908</v>
      </c>
      <c r="S891" s="25">
        <f t="shared" ca="1" si="787"/>
        <v>-18612318.606895421</v>
      </c>
    </row>
    <row r="892" spans="1:19" ht="15.75" customHeight="1" x14ac:dyDescent="0.3">
      <c r="A892" s="37">
        <v>78103</v>
      </c>
      <c r="B892" s="409">
        <f t="shared" ref="B892:C892" si="903">($A892-B$9)/365.25</f>
        <v>131.95619438740587</v>
      </c>
      <c r="C892" s="409">
        <f t="shared" si="903"/>
        <v>127.34565366187543</v>
      </c>
      <c r="E892" s="25">
        <f>IF(C892&gt;$B$7,0,'Combined Retirement'!$D$13/12)</f>
        <v>0</v>
      </c>
      <c r="F892" s="25">
        <f>IF(H892=0,'Combined Retirement'!$D$32,0)+'Combined Retirement'!$B$24</f>
        <v>2870.372285649099</v>
      </c>
      <c r="G892" s="25">
        <f>'Combined Retirement'!$C$24</f>
        <v>3525.4531757812501</v>
      </c>
      <c r="H892" s="25">
        <f>IF(B892&lt;62,0,'Combined Retirement'!$I$14)</f>
        <v>2192</v>
      </c>
      <c r="I892" s="25">
        <f>IF(C892&lt;62,0,'Combined Retirement'!$I$13)</f>
        <v>2420</v>
      </c>
      <c r="J892" s="25">
        <f t="shared" si="783"/>
        <v>7863.2184191855868</v>
      </c>
      <c r="K892" s="25">
        <f t="shared" si="784"/>
        <v>20282.026119384056</v>
      </c>
      <c r="L892" s="25"/>
      <c r="N892" s="25">
        <f>'Combined Retirement'!$C$18/12</f>
        <v>39153.069999999992</v>
      </c>
      <c r="O892" s="25">
        <f t="shared" si="785"/>
        <v>11007.82546143035</v>
      </c>
      <c r="P892" s="25">
        <f t="shared" si="786"/>
        <v>28145.244538569641</v>
      </c>
      <c r="Q892" s="25">
        <f t="array" aca="1" ref="Q892" ca="1">INDEX('Isaac 401k'!L:L,MATCH('Retirement Calculator'!A892,'Isaac 401k'!N:N,0),0)</f>
        <v>-5282285.2997090518</v>
      </c>
      <c r="R892" s="25">
        <f t="array" aca="1" ref="R892" ca="1">INDEX('Lorri 401b'!L:L,MATCH('Retirement Calculator'!A892,'Lorri 401b'!N:N,0),0)</f>
        <v>-13435847.151105916</v>
      </c>
      <c r="S892" s="25">
        <f t="shared" ca="1" si="787"/>
        <v>-18718132.45081497</v>
      </c>
    </row>
    <row r="893" spans="1:19" ht="15.75" customHeight="1" x14ac:dyDescent="0.3">
      <c r="A893" s="37">
        <v>78133</v>
      </c>
      <c r="B893" s="409">
        <f t="shared" ref="B893:C893" si="904">($A893-B$9)/365.25</f>
        <v>132.03832991101984</v>
      </c>
      <c r="C893" s="409">
        <f t="shared" si="904"/>
        <v>127.42778918548939</v>
      </c>
      <c r="E893" s="25">
        <f>IF(C893&gt;$B$7,0,'Combined Retirement'!$D$13/12)</f>
        <v>0</v>
      </c>
      <c r="F893" s="25">
        <f>IF(H893=0,'Combined Retirement'!$D$32,0)+'Combined Retirement'!$B$24</f>
        <v>2870.372285649099</v>
      </c>
      <c r="G893" s="25">
        <f>'Combined Retirement'!$C$24</f>
        <v>3525.4531757812501</v>
      </c>
      <c r="H893" s="25">
        <f>IF(B893&lt;62,0,'Combined Retirement'!$I$14)</f>
        <v>2192</v>
      </c>
      <c r="I893" s="25">
        <f>IF(C893&lt;62,0,'Combined Retirement'!$I$13)</f>
        <v>2420</v>
      </c>
      <c r="J893" s="25">
        <f t="shared" si="783"/>
        <v>7863.2184191855868</v>
      </c>
      <c r="K893" s="25">
        <f t="shared" si="784"/>
        <v>20282.026119384056</v>
      </c>
      <c r="L893" s="25"/>
      <c r="N893" s="25">
        <f>'Combined Retirement'!$C$18/12</f>
        <v>39153.069999999992</v>
      </c>
      <c r="O893" s="25">
        <f t="shared" si="785"/>
        <v>11007.82546143035</v>
      </c>
      <c r="P893" s="25">
        <f t="shared" si="786"/>
        <v>28145.244538569641</v>
      </c>
      <c r="Q893" s="25">
        <f t="array" aca="1" ref="Q893" ca="1">INDEX('Isaac 401k'!L:L,MATCH('Retirement Calculator'!A893,'Isaac 401k'!N:N,0),0)</f>
        <v>-5312190.803620439</v>
      </c>
      <c r="R893" s="25">
        <f t="array" aca="1" ref="R893" ca="1">INDEX('Lorri 401b'!L:L,MATCH('Retirement Calculator'!A893,'Lorri 401b'!N:N,0),0)</f>
        <v>-13512196.382130407</v>
      </c>
      <c r="S893" s="25">
        <f t="shared" ca="1" si="787"/>
        <v>-18824387.185750846</v>
      </c>
    </row>
    <row r="894" spans="1:19" ht="15.75" customHeight="1" x14ac:dyDescent="0.3">
      <c r="A894" s="37">
        <v>78164</v>
      </c>
      <c r="B894" s="409">
        <f t="shared" ref="B894:C894" si="905">($A894-B$9)/365.25</f>
        <v>132.12320328542094</v>
      </c>
      <c r="C894" s="409">
        <f t="shared" si="905"/>
        <v>127.51266255989049</v>
      </c>
      <c r="E894" s="25">
        <f>IF(C894&gt;$B$7,0,'Combined Retirement'!$D$13/12)</f>
        <v>0</v>
      </c>
      <c r="F894" s="25">
        <f>IF(H894=0,'Combined Retirement'!$D$32,0)+'Combined Retirement'!$B$24</f>
        <v>2870.372285649099</v>
      </c>
      <c r="G894" s="25">
        <f>'Combined Retirement'!$C$24</f>
        <v>3525.4531757812501</v>
      </c>
      <c r="H894" s="25">
        <f>IF(B894&lt;62,0,'Combined Retirement'!$I$14)</f>
        <v>2192</v>
      </c>
      <c r="I894" s="25">
        <f>IF(C894&lt;62,0,'Combined Retirement'!$I$13)</f>
        <v>2420</v>
      </c>
      <c r="J894" s="25">
        <f t="shared" si="783"/>
        <v>7863.2184191855868</v>
      </c>
      <c r="K894" s="25">
        <f t="shared" si="784"/>
        <v>20282.026119384056</v>
      </c>
      <c r="L894" s="25"/>
      <c r="N894" s="25">
        <f>'Combined Retirement'!$C$18/12</f>
        <v>39153.069999999992</v>
      </c>
      <c r="O894" s="25">
        <f t="shared" si="785"/>
        <v>11007.82546143035</v>
      </c>
      <c r="P894" s="25">
        <f t="shared" si="786"/>
        <v>28145.244538569641</v>
      </c>
      <c r="Q894" s="25">
        <f t="array" aca="1" ref="Q894" ca="1">INDEX('Isaac 401k'!L:L,MATCH('Retirement Calculator'!A894,'Isaac 401k'!N:N,0),0)</f>
        <v>-5342220.9137981236</v>
      </c>
      <c r="R894" s="25">
        <f t="array" aca="1" ref="R894" ca="1">INDEX('Lorri 401b'!L:L,MATCH('Retirement Calculator'!A894,'Lorri 401b'!N:N,0),0)</f>
        <v>-13588863.734950833</v>
      </c>
      <c r="S894" s="25">
        <f t="shared" ca="1" si="787"/>
        <v>-18931084.648748957</v>
      </c>
    </row>
    <row r="895" spans="1:19" ht="15.75" customHeight="1" x14ac:dyDescent="0.3">
      <c r="A895" s="37">
        <v>78195</v>
      </c>
      <c r="B895" s="409">
        <f t="shared" ref="B895:C895" si="906">($A895-B$9)/365.25</f>
        <v>132.20807665982204</v>
      </c>
      <c r="C895" s="409">
        <f t="shared" si="906"/>
        <v>127.59753593429159</v>
      </c>
      <c r="E895" s="25">
        <f>IF(C895&gt;$B$7,0,'Combined Retirement'!$D$13/12)</f>
        <v>0</v>
      </c>
      <c r="F895" s="25">
        <f>IF(H895=0,'Combined Retirement'!$D$32,0)+'Combined Retirement'!$B$24</f>
        <v>2870.372285649099</v>
      </c>
      <c r="G895" s="25">
        <f>'Combined Retirement'!$C$24</f>
        <v>3525.4531757812501</v>
      </c>
      <c r="H895" s="25">
        <f>IF(B895&lt;62,0,'Combined Retirement'!$I$14)</f>
        <v>2192</v>
      </c>
      <c r="I895" s="25">
        <f>IF(C895&lt;62,0,'Combined Retirement'!$I$13)</f>
        <v>2420</v>
      </c>
      <c r="J895" s="25">
        <f t="shared" si="783"/>
        <v>7863.2184191855868</v>
      </c>
      <c r="K895" s="25">
        <f t="shared" si="784"/>
        <v>20282.026119384056</v>
      </c>
      <c r="L895" s="25"/>
      <c r="N895" s="25">
        <f>'Combined Retirement'!$C$18/12</f>
        <v>39153.069999999992</v>
      </c>
      <c r="O895" s="25">
        <f t="shared" si="785"/>
        <v>11007.82546143035</v>
      </c>
      <c r="P895" s="25">
        <f t="shared" si="786"/>
        <v>28145.244538569641</v>
      </c>
      <c r="Q895" s="25">
        <f t="array" aca="1" ref="Q895" ca="1">INDEX('Isaac 401k'!L:L,MATCH('Retirement Calculator'!A895,'Isaac 401k'!N:N,0),0)</f>
        <v>-5372376.1494348813</v>
      </c>
      <c r="R895" s="25">
        <f t="array" aca="1" ref="R895" ca="1">INDEX('Lorri 401b'!L:L,MATCH('Retirement Calculator'!A895,'Lorri 401b'!N:N,0),0)</f>
        <v>-13665850.535074677</v>
      </c>
      <c r="S895" s="25">
        <f t="shared" ca="1" si="787"/>
        <v>-19038226.68450956</v>
      </c>
    </row>
    <row r="896" spans="1:19" ht="15.75" customHeight="1" x14ac:dyDescent="0.3">
      <c r="A896" s="37">
        <v>78223</v>
      </c>
      <c r="B896" s="409">
        <f t="shared" ref="B896:C896" si="907">($A896-B$9)/365.25</f>
        <v>132.28473648186173</v>
      </c>
      <c r="C896" s="409">
        <f t="shared" si="907"/>
        <v>127.67419575633129</v>
      </c>
      <c r="E896" s="25">
        <f>IF(C896&gt;$B$7,0,'Combined Retirement'!$D$13/12)</f>
        <v>0</v>
      </c>
      <c r="F896" s="25">
        <f>IF(H896=0,'Combined Retirement'!$D$32,0)+'Combined Retirement'!$B$24</f>
        <v>2870.372285649099</v>
      </c>
      <c r="G896" s="25">
        <f>'Combined Retirement'!$C$24</f>
        <v>3525.4531757812501</v>
      </c>
      <c r="H896" s="25">
        <f>IF(B896&lt;62,0,'Combined Retirement'!$I$14)</f>
        <v>2192</v>
      </c>
      <c r="I896" s="25">
        <f>IF(C896&lt;62,0,'Combined Retirement'!$I$13)</f>
        <v>2420</v>
      </c>
      <c r="J896" s="25">
        <f t="shared" si="783"/>
        <v>7863.2184191855868</v>
      </c>
      <c r="K896" s="25">
        <f t="shared" si="784"/>
        <v>20282.026119384056</v>
      </c>
      <c r="L896" s="25"/>
      <c r="N896" s="25">
        <f>'Combined Retirement'!$C$18/12</f>
        <v>39153.069999999992</v>
      </c>
      <c r="O896" s="25">
        <f t="shared" si="785"/>
        <v>11007.82546143035</v>
      </c>
      <c r="P896" s="25">
        <f t="shared" si="786"/>
        <v>28145.244538569641</v>
      </c>
      <c r="Q896" s="25">
        <f t="array" aca="1" ref="Q896" ca="1">INDEX('Isaac 401k'!L:L,MATCH('Retirement Calculator'!A896,'Isaac 401k'!N:N,0),0)</f>
        <v>-5402657.0318867927</v>
      </c>
      <c r="R896" s="25">
        <f t="array" aca="1" ref="R896" ca="1">INDEX('Lorri 401b'!L:L,MATCH('Retirement Calculator'!A896,'Lorri 401b'!N:N,0),0)</f>
        <v>-13743158.11353237</v>
      </c>
      <c r="S896" s="25">
        <f t="shared" ca="1" si="787"/>
        <v>-19145815.145419162</v>
      </c>
    </row>
    <row r="897" spans="1:19" ht="15.75" customHeight="1" x14ac:dyDescent="0.3">
      <c r="A897" s="37">
        <v>78254</v>
      </c>
      <c r="B897" s="409">
        <f t="shared" ref="B897:C897" si="908">($A897-B$9)/365.25</f>
        <v>132.36960985626283</v>
      </c>
      <c r="C897" s="409">
        <f t="shared" si="908"/>
        <v>127.75906913073237</v>
      </c>
      <c r="E897" s="25">
        <f>IF(C897&gt;$B$7,0,'Combined Retirement'!$D$13/12)</f>
        <v>0</v>
      </c>
      <c r="F897" s="25">
        <f>IF(H897=0,'Combined Retirement'!$D$32,0)+'Combined Retirement'!$B$24</f>
        <v>2870.372285649099</v>
      </c>
      <c r="G897" s="25">
        <f>'Combined Retirement'!$C$24</f>
        <v>3525.4531757812501</v>
      </c>
      <c r="H897" s="25">
        <f>IF(B897&lt;62,0,'Combined Retirement'!$I$14)</f>
        <v>2192</v>
      </c>
      <c r="I897" s="25">
        <f>IF(C897&lt;62,0,'Combined Retirement'!$I$13)</f>
        <v>2420</v>
      </c>
      <c r="J897" s="25">
        <f t="shared" si="783"/>
        <v>7863.2184191855868</v>
      </c>
      <c r="K897" s="25">
        <f t="shared" si="784"/>
        <v>20282.026119384056</v>
      </c>
      <c r="L897" s="25"/>
      <c r="N897" s="25">
        <f>'Combined Retirement'!$C$18/12</f>
        <v>39153.069999999992</v>
      </c>
      <c r="O897" s="25">
        <f t="shared" si="785"/>
        <v>11007.82546143035</v>
      </c>
      <c r="P897" s="25">
        <f t="shared" si="786"/>
        <v>28145.244538569641</v>
      </c>
      <c r="Q897" s="25">
        <f t="array" aca="1" ref="Q897" ca="1">INDEX('Isaac 401k'!L:L,MATCH('Retirement Calculator'!A897,'Isaac 401k'!N:N,0),0)</f>
        <v>-5433064.0846822532</v>
      </c>
      <c r="R897" s="25">
        <f t="array" aca="1" ref="R897" ca="1">INDEX('Lorri 401b'!L:L,MATCH('Retirement Calculator'!A897,'Lorri 401b'!N:N,0),0)</f>
        <v>-13820787.806900304</v>
      </c>
      <c r="S897" s="25">
        <f t="shared" ca="1" si="787"/>
        <v>-19253851.891582556</v>
      </c>
    </row>
    <row r="898" spans="1:19" ht="15.75" customHeight="1" x14ac:dyDescent="0.3">
      <c r="A898" s="37">
        <v>78284</v>
      </c>
      <c r="B898" s="409">
        <f t="shared" ref="B898:C898" si="909">($A898-B$9)/365.25</f>
        <v>132.4517453798768</v>
      </c>
      <c r="C898" s="409">
        <f t="shared" si="909"/>
        <v>127.84120465434634</v>
      </c>
      <c r="E898" s="25">
        <f>IF(C898&gt;$B$7,0,'Combined Retirement'!$D$13/12)</f>
        <v>0</v>
      </c>
      <c r="F898" s="25">
        <f>IF(H898=0,'Combined Retirement'!$D$32,0)+'Combined Retirement'!$B$24</f>
        <v>2870.372285649099</v>
      </c>
      <c r="G898" s="25">
        <f>'Combined Retirement'!$C$24</f>
        <v>3525.4531757812501</v>
      </c>
      <c r="H898" s="25">
        <f>IF(B898&lt;62,0,'Combined Retirement'!$I$14)</f>
        <v>2192</v>
      </c>
      <c r="I898" s="25">
        <f>IF(C898&lt;62,0,'Combined Retirement'!$I$13)</f>
        <v>2420</v>
      </c>
      <c r="J898" s="25">
        <f t="shared" si="783"/>
        <v>7863.2184191855868</v>
      </c>
      <c r="K898" s="25">
        <f t="shared" si="784"/>
        <v>20282.026119384056</v>
      </c>
      <c r="L898" s="25"/>
      <c r="N898" s="25">
        <f>'Combined Retirement'!$C$18/12</f>
        <v>39153.069999999992</v>
      </c>
      <c r="O898" s="25">
        <f t="shared" si="785"/>
        <v>11007.82546143035</v>
      </c>
      <c r="P898" s="25">
        <f t="shared" si="786"/>
        <v>28145.244538569641</v>
      </c>
      <c r="Q898" s="25">
        <f t="array" aca="1" ref="Q898" ca="1">INDEX('Isaac 401k'!L:L,MATCH('Retirement Calculator'!A898,'Isaac 401k'!N:N,0),0)</f>
        <v>-5463597.8335310286</v>
      </c>
      <c r="R898" s="25">
        <f t="array" aca="1" ref="R898" ca="1">INDEX('Lorri 401b'!L:L,MATCH('Retirement Calculator'!A898,'Lorri 401b'!N:N,0),0)</f>
        <v>-13898740.957323937</v>
      </c>
      <c r="S898" s="25">
        <f t="shared" ca="1" si="787"/>
        <v>-19362338.790854964</v>
      </c>
    </row>
    <row r="899" spans="1:19" ht="15.75" customHeight="1" x14ac:dyDescent="0.3">
      <c r="A899" s="37">
        <v>78315</v>
      </c>
      <c r="B899" s="409">
        <f t="shared" ref="B899:C899" si="910">($A899-B$9)/365.25</f>
        <v>132.5366187542779</v>
      </c>
      <c r="C899" s="409">
        <f t="shared" si="910"/>
        <v>127.92607802874743</v>
      </c>
      <c r="E899" s="25">
        <f>IF(C899&gt;$B$7,0,'Combined Retirement'!$D$13/12)</f>
        <v>0</v>
      </c>
      <c r="F899" s="25">
        <f>IF(H899=0,'Combined Retirement'!$D$32,0)+'Combined Retirement'!$B$24</f>
        <v>2870.372285649099</v>
      </c>
      <c r="G899" s="25">
        <f>'Combined Retirement'!$C$24</f>
        <v>3525.4531757812501</v>
      </c>
      <c r="H899" s="25">
        <f>IF(B899&lt;62,0,'Combined Retirement'!$I$14)</f>
        <v>2192</v>
      </c>
      <c r="I899" s="25">
        <f>IF(C899&lt;62,0,'Combined Retirement'!$I$13)</f>
        <v>2420</v>
      </c>
      <c r="J899" s="25">
        <f t="shared" si="783"/>
        <v>7863.2184191855868</v>
      </c>
      <c r="K899" s="25">
        <f t="shared" si="784"/>
        <v>20282.026119384056</v>
      </c>
      <c r="L899" s="25"/>
      <c r="N899" s="25">
        <f>'Combined Retirement'!$C$18/12</f>
        <v>39153.069999999992</v>
      </c>
      <c r="O899" s="25">
        <f t="shared" si="785"/>
        <v>11007.82546143035</v>
      </c>
      <c r="P899" s="25">
        <f t="shared" si="786"/>
        <v>28145.244538569641</v>
      </c>
      <c r="Q899" s="25">
        <f t="array" aca="1" ref="Q899" ca="1">INDEX('Isaac 401k'!L:L,MATCH('Retirement Calculator'!A899,'Isaac 401k'!N:N,0),0)</f>
        <v>-5494258.8063333407</v>
      </c>
      <c r="R899" s="25">
        <f t="array" aca="1" ref="R899" ca="1">INDEX('Lorri 401b'!L:L,MATCH('Retirement Calculator'!A899,'Lorri 401b'!N:N,0),0)</f>
        <v>-13977018.912541002</v>
      </c>
      <c r="S899" s="25">
        <f t="shared" ca="1" si="787"/>
        <v>-19471277.718874343</v>
      </c>
    </row>
    <row r="900" spans="1:19" ht="15.75" customHeight="1" x14ac:dyDescent="0.3">
      <c r="A900" s="37">
        <v>78345</v>
      </c>
      <c r="B900" s="409">
        <f t="shared" ref="B900:C900" si="911">($A900-B$9)/365.25</f>
        <v>132.61875427789187</v>
      </c>
      <c r="C900" s="409">
        <f t="shared" si="911"/>
        <v>128.00821355236138</v>
      </c>
      <c r="E900" s="25">
        <f>IF(C900&gt;$B$7,0,'Combined Retirement'!$D$13/12)</f>
        <v>0</v>
      </c>
      <c r="F900" s="25">
        <f>IF(H900=0,'Combined Retirement'!$D$32,0)+'Combined Retirement'!$B$24</f>
        <v>2870.372285649099</v>
      </c>
      <c r="G900" s="25">
        <f>'Combined Retirement'!$C$24</f>
        <v>3525.4531757812501</v>
      </c>
      <c r="H900" s="25">
        <f>IF(B900&lt;62,0,'Combined Retirement'!$I$14)</f>
        <v>2192</v>
      </c>
      <c r="I900" s="25">
        <f>IF(C900&lt;62,0,'Combined Retirement'!$I$13)</f>
        <v>2420</v>
      </c>
      <c r="J900" s="25">
        <f t="shared" si="783"/>
        <v>7863.2184191855868</v>
      </c>
      <c r="K900" s="25">
        <f t="shared" si="784"/>
        <v>20282.026119384056</v>
      </c>
      <c r="L900" s="25"/>
      <c r="N900" s="25">
        <f>'Combined Retirement'!$C$18/12</f>
        <v>39153.069999999992</v>
      </c>
      <c r="O900" s="25">
        <f t="shared" si="785"/>
        <v>11007.82546143035</v>
      </c>
      <c r="P900" s="25">
        <f t="shared" si="786"/>
        <v>28145.244538569641</v>
      </c>
      <c r="Q900" s="25">
        <f t="array" aca="1" ref="Q900" ca="1">INDEX('Isaac 401k'!L:L,MATCH('Retirement Calculator'!A900,'Isaac 401k'!N:N,0),0)</f>
        <v>-5525047.533188995</v>
      </c>
      <c r="R900" s="25">
        <f t="array" aca="1" ref="R900" ca="1">INDEX('Lorri 401b'!L:L,MATCH('Retirement Calculator'!A900,'Lorri 401b'!N:N,0),0)</f>
        <v>-14055623.025904804</v>
      </c>
      <c r="S900" s="25">
        <f t="shared" ca="1" si="787"/>
        <v>-19580670.559093799</v>
      </c>
    </row>
    <row r="901" spans="1:19" ht="15.75" customHeight="1" x14ac:dyDescent="0.3">
      <c r="A901" s="37">
        <v>78376</v>
      </c>
      <c r="B901" s="409">
        <f t="shared" ref="B901:C901" si="912">($A901-B$9)/365.25</f>
        <v>132.70362765229294</v>
      </c>
      <c r="C901" s="409">
        <f t="shared" si="912"/>
        <v>128.09308692676248</v>
      </c>
      <c r="E901" s="25">
        <f>IF(C901&gt;$B$7,0,'Combined Retirement'!$D$13/12)</f>
        <v>0</v>
      </c>
      <c r="F901" s="25">
        <f>IF(H901=0,'Combined Retirement'!$D$32,0)+'Combined Retirement'!$B$24</f>
        <v>2870.372285649099</v>
      </c>
      <c r="G901" s="25">
        <f>'Combined Retirement'!$C$24</f>
        <v>3525.4531757812501</v>
      </c>
      <c r="H901" s="25">
        <f>IF(B901&lt;62,0,'Combined Retirement'!$I$14)</f>
        <v>2192</v>
      </c>
      <c r="I901" s="25">
        <f>IF(C901&lt;62,0,'Combined Retirement'!$I$13)</f>
        <v>2420</v>
      </c>
      <c r="J901" s="25">
        <f t="shared" si="783"/>
        <v>7863.2184191855868</v>
      </c>
      <c r="K901" s="25">
        <f t="shared" si="784"/>
        <v>20282.026119384056</v>
      </c>
      <c r="L901" s="25"/>
      <c r="N901" s="25">
        <f>'Combined Retirement'!$C$18/12</f>
        <v>39153.069999999992</v>
      </c>
      <c r="O901" s="25">
        <f t="shared" si="785"/>
        <v>11007.82546143035</v>
      </c>
      <c r="P901" s="25">
        <f t="shared" si="786"/>
        <v>28145.244538569641</v>
      </c>
      <c r="Q901" s="25">
        <f t="array" aca="1" ref="Q901" ca="1">INDEX('Isaac 401k'!L:L,MATCH('Retirement Calculator'!A901,'Isaac 401k'!N:N,0),0)</f>
        <v>-5555964.5464065485</v>
      </c>
      <c r="R901" s="25">
        <f t="array" aca="1" ref="R901" ca="1">INDEX('Lorri 401b'!L:L,MATCH('Retirement Calculator'!A901,'Lorri 401b'!N:N,0),0)</f>
        <v>-14134554.656407623</v>
      </c>
      <c r="S901" s="25">
        <f t="shared" ca="1" si="787"/>
        <v>-19690519.202814169</v>
      </c>
    </row>
    <row r="902" spans="1:19" ht="15.75" customHeight="1" x14ac:dyDescent="0.3">
      <c r="A902" s="37">
        <v>78407</v>
      </c>
      <c r="B902" s="409">
        <f t="shared" ref="B902:C902" si="913">($A902-B$9)/365.25</f>
        <v>132.78850102669404</v>
      </c>
      <c r="C902" s="409">
        <f t="shared" si="913"/>
        <v>128.17796030116358</v>
      </c>
      <c r="E902" s="25">
        <f>IF(C902&gt;$B$7,0,'Combined Retirement'!$D$13/12)</f>
        <v>0</v>
      </c>
      <c r="F902" s="25">
        <f>IF(H902=0,'Combined Retirement'!$D$32,0)+'Combined Retirement'!$B$24</f>
        <v>2870.372285649099</v>
      </c>
      <c r="G902" s="25">
        <f>'Combined Retirement'!$C$24</f>
        <v>3525.4531757812501</v>
      </c>
      <c r="H902" s="25">
        <f>IF(B902&lt;62,0,'Combined Retirement'!$I$14)</f>
        <v>2192</v>
      </c>
      <c r="I902" s="25">
        <f>IF(C902&lt;62,0,'Combined Retirement'!$I$13)</f>
        <v>2420</v>
      </c>
      <c r="J902" s="25">
        <f t="shared" si="783"/>
        <v>7863.2184191855868</v>
      </c>
      <c r="K902" s="25">
        <f t="shared" si="784"/>
        <v>20282.026119384056</v>
      </c>
      <c r="L902" s="25"/>
      <c r="N902" s="25">
        <f>'Combined Retirement'!$C$18/12</f>
        <v>39153.069999999992</v>
      </c>
      <c r="O902" s="25">
        <f t="shared" si="785"/>
        <v>11007.82546143035</v>
      </c>
      <c r="P902" s="25">
        <f t="shared" si="786"/>
        <v>28145.244538569641</v>
      </c>
      <c r="Q902" s="25">
        <f t="array" aca="1" ref="Q902" ca="1">INDEX('Isaac 401k'!L:L,MATCH('Retirement Calculator'!A902,'Isaac 401k'!N:N,0),0)</f>
        <v>-5587010.3805125086</v>
      </c>
      <c r="R902" s="25">
        <f t="array" aca="1" ref="R902" ca="1">INDEX('Lorri 401b'!L:L,MATCH('Retirement Calculator'!A902,'Lorri 401b'!N:N,0),0)</f>
        <v>-14213815.168704204</v>
      </c>
      <c r="S902" s="25">
        <f t="shared" ca="1" si="787"/>
        <v>-19800825.549216714</v>
      </c>
    </row>
    <row r="903" spans="1:19" ht="15.75" customHeight="1" x14ac:dyDescent="0.3">
      <c r="A903" s="37">
        <v>78437</v>
      </c>
      <c r="B903" s="409">
        <f t="shared" ref="B903:C903" si="914">($A903-B$9)/365.25</f>
        <v>132.87063655030801</v>
      </c>
      <c r="C903" s="409">
        <f t="shared" si="914"/>
        <v>128.26009582477755</v>
      </c>
      <c r="E903" s="25">
        <f>IF(C903&gt;$B$7,0,'Combined Retirement'!$D$13/12)</f>
        <v>0</v>
      </c>
      <c r="F903" s="25">
        <f>IF(H903=0,'Combined Retirement'!$D$32,0)+'Combined Retirement'!$B$24</f>
        <v>2870.372285649099</v>
      </c>
      <c r="G903" s="25">
        <f>'Combined Retirement'!$C$24</f>
        <v>3525.4531757812501</v>
      </c>
      <c r="H903" s="25">
        <f>IF(B903&lt;62,0,'Combined Retirement'!$I$14)</f>
        <v>2192</v>
      </c>
      <c r="I903" s="25">
        <f>IF(C903&lt;62,0,'Combined Retirement'!$I$13)</f>
        <v>2420</v>
      </c>
      <c r="J903" s="25">
        <f t="shared" si="783"/>
        <v>7863.2184191855868</v>
      </c>
      <c r="K903" s="25">
        <f t="shared" si="784"/>
        <v>20282.026119384056</v>
      </c>
      <c r="L903" s="25"/>
      <c r="N903" s="25">
        <f>'Combined Retirement'!$C$18/12</f>
        <v>39153.069999999992</v>
      </c>
      <c r="O903" s="25">
        <f t="shared" si="785"/>
        <v>11007.82546143035</v>
      </c>
      <c r="P903" s="25">
        <f t="shared" si="786"/>
        <v>28145.244538569641</v>
      </c>
      <c r="Q903" s="25">
        <f t="array" aca="1" ref="Q903" ca="1">INDEX('Isaac 401k'!L:L,MATCH('Retirement Calculator'!A903,'Isaac 401k'!N:N,0),0)</f>
        <v>-5618185.5722605763</v>
      </c>
      <c r="R903" s="25">
        <f t="array" aca="1" ref="R903" ca="1">INDEX('Lorri 401b'!L:L,MATCH('Retirement Calculator'!A903,'Lorri 401b'!N:N,0),0)</f>
        <v>-14293405.933135355</v>
      </c>
      <c r="S903" s="25">
        <f t="shared" ca="1" si="787"/>
        <v>-19911591.50539593</v>
      </c>
    </row>
    <row r="904" spans="1:19" ht="15.75" customHeight="1" x14ac:dyDescent="0.3">
      <c r="A904" s="37">
        <v>78468</v>
      </c>
      <c r="B904" s="409">
        <f t="shared" ref="B904:C904" si="915">($A904-B$9)/365.25</f>
        <v>132.95550992470911</v>
      </c>
      <c r="C904" s="409">
        <f t="shared" si="915"/>
        <v>128.34496919917865</v>
      </c>
      <c r="E904" s="25">
        <f>IF(C904&gt;$B$7,0,'Combined Retirement'!$D$13/12)</f>
        <v>0</v>
      </c>
      <c r="F904" s="25">
        <f>IF(H904=0,'Combined Retirement'!$D$32,0)+'Combined Retirement'!$B$24</f>
        <v>2870.372285649099</v>
      </c>
      <c r="G904" s="25">
        <f>'Combined Retirement'!$C$24</f>
        <v>3525.4531757812501</v>
      </c>
      <c r="H904" s="25">
        <f>IF(B904&lt;62,0,'Combined Retirement'!$I$14)</f>
        <v>2192</v>
      </c>
      <c r="I904" s="25">
        <f>IF(C904&lt;62,0,'Combined Retirement'!$I$13)</f>
        <v>2420</v>
      </c>
      <c r="J904" s="25">
        <f t="shared" si="783"/>
        <v>7863.2184191855868</v>
      </c>
      <c r="K904" s="25">
        <f t="shared" si="784"/>
        <v>20282.026119384056</v>
      </c>
      <c r="L904" s="25"/>
      <c r="N904" s="25">
        <f>'Combined Retirement'!$C$18/12</f>
        <v>39153.069999999992</v>
      </c>
      <c r="O904" s="25">
        <f t="shared" si="785"/>
        <v>11007.82546143035</v>
      </c>
      <c r="P904" s="25">
        <f t="shared" si="786"/>
        <v>28145.244538569641</v>
      </c>
      <c r="Q904" s="25">
        <f t="array" aca="1" ref="Q904" ca="1">INDEX('Isaac 401k'!L:L,MATCH('Retirement Calculator'!A904,'Isaac 401k'!N:N,0),0)</f>
        <v>-5649490.660640928</v>
      </c>
      <c r="R904" s="25">
        <f t="array" aca="1" ref="R904" ca="1">INDEX('Lorri 401b'!L:L,MATCH('Retirement Calculator'!A904,'Lorri 401b'!N:N,0),0)</f>
        <v>-14373328.325751634</v>
      </c>
      <c r="S904" s="25">
        <f t="shared" ca="1" si="787"/>
        <v>-20022818.986392561</v>
      </c>
    </row>
    <row r="905" spans="1:19" ht="15.75" customHeight="1" x14ac:dyDescent="0.3">
      <c r="A905" s="37">
        <v>78498</v>
      </c>
      <c r="B905" s="409">
        <f t="shared" ref="B905:C905" si="916">($A905-B$9)/365.25</f>
        <v>133.03764544832308</v>
      </c>
      <c r="C905" s="409">
        <f t="shared" si="916"/>
        <v>128.42710472279262</v>
      </c>
      <c r="E905" s="25">
        <f>IF(C905&gt;$B$7,0,'Combined Retirement'!$D$13/12)</f>
        <v>0</v>
      </c>
      <c r="F905" s="25">
        <f>IF(H905=0,'Combined Retirement'!$D$32,0)+'Combined Retirement'!$B$24</f>
        <v>2870.372285649099</v>
      </c>
      <c r="G905" s="25">
        <f>'Combined Retirement'!$C$24</f>
        <v>3525.4531757812501</v>
      </c>
      <c r="H905" s="25">
        <f>IF(B905&lt;62,0,'Combined Retirement'!$I$14)</f>
        <v>2192</v>
      </c>
      <c r="I905" s="25">
        <f>IF(C905&lt;62,0,'Combined Retirement'!$I$13)</f>
        <v>2420</v>
      </c>
      <c r="J905" s="25">
        <f t="shared" si="783"/>
        <v>7863.2184191855868</v>
      </c>
      <c r="K905" s="25">
        <f t="shared" si="784"/>
        <v>20282.026119384056</v>
      </c>
      <c r="L905" s="25"/>
      <c r="N905" s="25">
        <f>'Combined Retirement'!$C$18/12</f>
        <v>39153.069999999992</v>
      </c>
      <c r="O905" s="25">
        <f t="shared" si="785"/>
        <v>11007.82546143035</v>
      </c>
      <c r="P905" s="25">
        <f t="shared" si="786"/>
        <v>28145.244538569641</v>
      </c>
      <c r="Q905" s="25">
        <f t="array" aca="1" ref="Q905" ca="1">INDEX('Isaac 401k'!L:L,MATCH('Retirement Calculator'!A905,'Isaac 401k'!N:N,0),0)</f>
        <v>-5680926.1868895311</v>
      </c>
      <c r="R905" s="25">
        <f t="array" aca="1" ref="R905" ca="1">INDEX('Lorri 401b'!L:L,MATCH('Retirement Calculator'!A905,'Lorri 401b'!N:N,0),0)</f>
        <v>-14453583.728337148</v>
      </c>
      <c r="S905" s="25">
        <f t="shared" ca="1" si="787"/>
        <v>-20134509.915226679</v>
      </c>
    </row>
    <row r="906" spans="1:19" ht="15.75" customHeight="1" x14ac:dyDescent="0.3">
      <c r="A906" s="37">
        <v>78529</v>
      </c>
      <c r="B906" s="409">
        <f t="shared" ref="B906:C906" si="917">($A906-B$9)/365.25</f>
        <v>133.12251882272417</v>
      </c>
      <c r="C906" s="409">
        <f t="shared" si="917"/>
        <v>128.51197809719369</v>
      </c>
      <c r="E906" s="25">
        <f>IF(C906&gt;$B$7,0,'Combined Retirement'!$D$13/12)</f>
        <v>0</v>
      </c>
      <c r="F906" s="25">
        <f>IF(H906=0,'Combined Retirement'!$D$32,0)+'Combined Retirement'!$B$24</f>
        <v>2870.372285649099</v>
      </c>
      <c r="G906" s="25">
        <f>'Combined Retirement'!$C$24</f>
        <v>3525.4531757812501</v>
      </c>
      <c r="H906" s="25">
        <f>IF(B906&lt;62,0,'Combined Retirement'!$I$14)</f>
        <v>2192</v>
      </c>
      <c r="I906" s="25">
        <f>IF(C906&lt;62,0,'Combined Retirement'!$I$13)</f>
        <v>2420</v>
      </c>
      <c r="J906" s="25">
        <f t="shared" si="783"/>
        <v>7863.2184191855868</v>
      </c>
      <c r="K906" s="25">
        <f t="shared" si="784"/>
        <v>20282.026119384056</v>
      </c>
      <c r="L906" s="25"/>
      <c r="N906" s="25">
        <f>'Combined Retirement'!$C$18/12</f>
        <v>39153.069999999992</v>
      </c>
      <c r="O906" s="25">
        <f t="shared" si="785"/>
        <v>11007.82546143035</v>
      </c>
      <c r="P906" s="25">
        <f t="shared" si="786"/>
        <v>28145.244538569641</v>
      </c>
      <c r="Q906" s="25">
        <f t="array" aca="1" ref="Q906" ca="1">INDEX('Isaac 401k'!L:L,MATCH('Retirement Calculator'!A906,'Isaac 401k'!N:N,0),0)</f>
        <v>-5712492.6944975033</v>
      </c>
      <c r="R906" s="25">
        <f t="array" aca="1" ref="R906" ca="1">INDEX('Lorri 401b'!L:L,MATCH('Retirement Calculator'!A906,'Lorri 401b'!N:N,0),0)</f>
        <v>-14534173.528433435</v>
      </c>
      <c r="S906" s="25">
        <f t="shared" ca="1" si="787"/>
        <v>-20246666.222930938</v>
      </c>
    </row>
    <row r="907" spans="1:19" ht="15.75" customHeight="1" x14ac:dyDescent="0.3">
      <c r="A907" s="37">
        <v>78560</v>
      </c>
      <c r="B907" s="409">
        <f t="shared" ref="B907:C907" si="918">($A907-B$9)/365.25</f>
        <v>133.20739219712524</v>
      </c>
      <c r="C907" s="409">
        <f t="shared" si="918"/>
        <v>128.59685147159479</v>
      </c>
      <c r="E907" s="25">
        <f>IF(C907&gt;$B$7,0,'Combined Retirement'!$D$13/12)</f>
        <v>0</v>
      </c>
      <c r="F907" s="25">
        <f>IF(H907=0,'Combined Retirement'!$D$32,0)+'Combined Retirement'!$B$24</f>
        <v>2870.372285649099</v>
      </c>
      <c r="G907" s="25">
        <f>'Combined Retirement'!$C$24</f>
        <v>3525.4531757812501</v>
      </c>
      <c r="H907" s="25">
        <f>IF(B907&lt;62,0,'Combined Retirement'!$I$14)</f>
        <v>2192</v>
      </c>
      <c r="I907" s="25">
        <f>IF(C907&lt;62,0,'Combined Retirement'!$I$13)</f>
        <v>2420</v>
      </c>
      <c r="J907" s="25">
        <f t="shared" si="783"/>
        <v>7863.2184191855868</v>
      </c>
      <c r="K907" s="25">
        <f t="shared" si="784"/>
        <v>20282.026119384056</v>
      </c>
      <c r="L907" s="25"/>
      <c r="N907" s="25">
        <f>'Combined Retirement'!$C$18/12</f>
        <v>39153.069999999992</v>
      </c>
      <c r="O907" s="25">
        <f t="shared" si="785"/>
        <v>11007.82546143035</v>
      </c>
      <c r="P907" s="25">
        <f t="shared" si="786"/>
        <v>28145.244538569641</v>
      </c>
      <c r="Q907" s="25">
        <f t="array" aca="1" ref="Q907" ca="1">INDEX('Isaac 401k'!L:L,MATCH('Retirement Calculator'!A907,'Isaac 401k'!N:N,0),0)</f>
        <v>-5744190.7292205086</v>
      </c>
      <c r="R907" s="25">
        <f t="array" aca="1" ref="R907" ca="1">INDEX('Lorri 401b'!L:L,MATCH('Retirement Calculator'!A907,'Lorri 401b'!N:N,0),0)</f>
        <v>-14615099.119363457</v>
      </c>
      <c r="S907" s="25">
        <f t="shared" ca="1" si="787"/>
        <v>-20359289.848583966</v>
      </c>
    </row>
    <row r="908" spans="1:19" ht="15.75" customHeight="1" x14ac:dyDescent="0.3">
      <c r="A908" s="37">
        <v>78588</v>
      </c>
      <c r="B908" s="409">
        <f t="shared" ref="B908:C908" si="919">($A908-B$9)/365.25</f>
        <v>133.28405201916496</v>
      </c>
      <c r="C908" s="409">
        <f t="shared" si="919"/>
        <v>128.6735112936345</v>
      </c>
      <c r="E908" s="25">
        <f>IF(C908&gt;$B$7,0,'Combined Retirement'!$D$13/12)</f>
        <v>0</v>
      </c>
      <c r="F908" s="25">
        <f>IF(H908=0,'Combined Retirement'!$D$32,0)+'Combined Retirement'!$B$24</f>
        <v>2870.372285649099</v>
      </c>
      <c r="G908" s="25">
        <f>'Combined Retirement'!$C$24</f>
        <v>3525.4531757812501</v>
      </c>
      <c r="H908" s="25">
        <f>IF(B908&lt;62,0,'Combined Retirement'!$I$14)</f>
        <v>2192</v>
      </c>
      <c r="I908" s="25">
        <f>IF(C908&lt;62,0,'Combined Retirement'!$I$13)</f>
        <v>2420</v>
      </c>
      <c r="J908" s="25">
        <f t="shared" si="783"/>
        <v>7863.2184191855868</v>
      </c>
      <c r="K908" s="25">
        <f t="shared" si="784"/>
        <v>20282.026119384056</v>
      </c>
      <c r="L908" s="25"/>
      <c r="N908" s="25">
        <f>'Combined Retirement'!$C$18/12</f>
        <v>39153.069999999992</v>
      </c>
      <c r="O908" s="25">
        <f t="shared" si="785"/>
        <v>11007.82546143035</v>
      </c>
      <c r="P908" s="25">
        <f t="shared" si="786"/>
        <v>28145.244538569641</v>
      </c>
      <c r="Q908" s="25">
        <f t="array" aca="1" ref="Q908" ca="1">INDEX('Isaac 401k'!L:L,MATCH('Retirement Calculator'!A908,'Isaac 401k'!N:N,0),0)</f>
        <v>-5776020.8390881931</v>
      </c>
      <c r="R908" s="25">
        <f t="array" aca="1" ref="R908" ca="1">INDEX('Lorri 401b'!L:L,MATCH('Retirement Calculator'!A908,'Lorri 401b'!N:N,0),0)</f>
        <v>-14696361.900255688</v>
      </c>
      <c r="S908" s="25">
        <f t="shared" ca="1" si="787"/>
        <v>-20472382.739343882</v>
      </c>
    </row>
    <row r="909" spans="1:19" ht="15.75" customHeight="1" x14ac:dyDescent="0.3">
      <c r="A909" s="37">
        <v>78619</v>
      </c>
      <c r="B909" s="409">
        <f t="shared" ref="B909:C909" si="920">($A909-B$9)/365.25</f>
        <v>133.36892539356606</v>
      </c>
      <c r="C909" s="409">
        <f t="shared" si="920"/>
        <v>128.7583846680356</v>
      </c>
      <c r="E909" s="25">
        <f>IF(C909&gt;$B$7,0,'Combined Retirement'!$D$13/12)</f>
        <v>0</v>
      </c>
      <c r="F909" s="25">
        <f>IF(H909=0,'Combined Retirement'!$D$32,0)+'Combined Retirement'!$B$24</f>
        <v>2870.372285649099</v>
      </c>
      <c r="G909" s="25">
        <f>'Combined Retirement'!$C$24</f>
        <v>3525.4531757812501</v>
      </c>
      <c r="H909" s="25">
        <f>IF(B909&lt;62,0,'Combined Retirement'!$I$14)</f>
        <v>2192</v>
      </c>
      <c r="I909" s="25">
        <f>IF(C909&lt;62,0,'Combined Retirement'!$I$13)</f>
        <v>2420</v>
      </c>
      <c r="J909" s="25">
        <f t="shared" si="783"/>
        <v>7863.2184191855868</v>
      </c>
      <c r="K909" s="25">
        <f t="shared" si="784"/>
        <v>20282.026119384056</v>
      </c>
      <c r="L909" s="25"/>
      <c r="N909" s="25">
        <f>'Combined Retirement'!$C$18/12</f>
        <v>39153.069999999992</v>
      </c>
      <c r="O909" s="25">
        <f t="shared" si="785"/>
        <v>11007.82546143035</v>
      </c>
      <c r="P909" s="25">
        <f t="shared" si="786"/>
        <v>28145.244538569641</v>
      </c>
      <c r="Q909" s="25">
        <f t="array" aca="1" ref="Q909" ca="1">INDEX('Isaac 401k'!L:L,MATCH('Retirement Calculator'!A909,'Isaac 401k'!N:N,0),0)</f>
        <v>-5807983.57441366</v>
      </c>
      <c r="R909" s="25">
        <f t="array" aca="1" ref="R909" ca="1">INDEX('Lorri 401b'!L:L,MATCH('Retirement Calculator'!A909,'Lorri 401b'!N:N,0),0)</f>
        <v>-14777963.276068302</v>
      </c>
      <c r="S909" s="25">
        <f t="shared" ca="1" si="787"/>
        <v>-20585946.850481961</v>
      </c>
    </row>
    <row r="910" spans="1:19" ht="15.75" customHeight="1" x14ac:dyDescent="0.3">
      <c r="A910" s="37">
        <v>78649</v>
      </c>
      <c r="B910" s="409">
        <f t="shared" ref="B910:C910" si="921">($A910-B$9)/365.25</f>
        <v>133.45106091718</v>
      </c>
      <c r="C910" s="409">
        <f t="shared" si="921"/>
        <v>128.84052019164955</v>
      </c>
      <c r="E910" s="25">
        <f>IF(C910&gt;$B$7,0,'Combined Retirement'!$D$13/12)</f>
        <v>0</v>
      </c>
      <c r="F910" s="25">
        <f>IF(H910=0,'Combined Retirement'!$D$32,0)+'Combined Retirement'!$B$24</f>
        <v>2870.372285649099</v>
      </c>
      <c r="G910" s="25">
        <f>'Combined Retirement'!$C$24</f>
        <v>3525.4531757812501</v>
      </c>
      <c r="H910" s="25">
        <f>IF(B910&lt;62,0,'Combined Retirement'!$I$14)</f>
        <v>2192</v>
      </c>
      <c r="I910" s="25">
        <f>IF(C910&lt;62,0,'Combined Retirement'!$I$13)</f>
        <v>2420</v>
      </c>
      <c r="J910" s="25">
        <f t="shared" si="783"/>
        <v>7863.2184191855868</v>
      </c>
      <c r="K910" s="25">
        <f t="shared" si="784"/>
        <v>20282.026119384056</v>
      </c>
      <c r="L910" s="25"/>
      <c r="N910" s="25">
        <f>'Combined Retirement'!$C$18/12</f>
        <v>39153.069999999992</v>
      </c>
      <c r="O910" s="25">
        <f t="shared" si="785"/>
        <v>11007.82546143035</v>
      </c>
      <c r="P910" s="25">
        <f t="shared" si="786"/>
        <v>28145.244538569641</v>
      </c>
      <c r="Q910" s="25">
        <f t="array" aca="1" ref="Q910" ca="1">INDEX('Isaac 401k'!L:L,MATCH('Retirement Calculator'!A910,'Isaac 401k'!N:N,0),0)</f>
        <v>-5840079.4878029823</v>
      </c>
      <c r="R910" s="25">
        <f t="array" aca="1" ref="R910" ca="1">INDEX('Lorri 401b'!L:L,MATCH('Retirement Calculator'!A910,'Lorri 401b'!N:N,0),0)</f>
        <v>-14859904.657613469</v>
      </c>
      <c r="S910" s="25">
        <f t="shared" ca="1" si="787"/>
        <v>-20699984.145416453</v>
      </c>
    </row>
    <row r="911" spans="1:19" ht="15.75" customHeight="1" x14ac:dyDescent="0.3">
      <c r="A911" s="37">
        <v>78680</v>
      </c>
      <c r="B911" s="409">
        <f t="shared" ref="B911:C911" si="922">($A911-B$9)/365.25</f>
        <v>133.5359342915811</v>
      </c>
      <c r="C911" s="409">
        <f t="shared" si="922"/>
        <v>128.92539356605064</v>
      </c>
      <c r="E911" s="25">
        <f>IF(C911&gt;$B$7,0,'Combined Retirement'!$D$13/12)</f>
        <v>0</v>
      </c>
      <c r="F911" s="25">
        <f>IF(H911=0,'Combined Retirement'!$D$32,0)+'Combined Retirement'!$B$24</f>
        <v>2870.372285649099</v>
      </c>
      <c r="G911" s="25">
        <f>'Combined Retirement'!$C$24</f>
        <v>3525.4531757812501</v>
      </c>
      <c r="H911" s="25">
        <f>IF(B911&lt;62,0,'Combined Retirement'!$I$14)</f>
        <v>2192</v>
      </c>
      <c r="I911" s="25">
        <f>IF(C911&lt;62,0,'Combined Retirement'!$I$13)</f>
        <v>2420</v>
      </c>
      <c r="J911" s="25">
        <f t="shared" si="783"/>
        <v>7863.2184191855868</v>
      </c>
      <c r="K911" s="25">
        <f t="shared" si="784"/>
        <v>20282.026119384056</v>
      </c>
      <c r="L911" s="25"/>
      <c r="N911" s="25">
        <f>'Combined Retirement'!$C$18/12</f>
        <v>39153.069999999992</v>
      </c>
      <c r="O911" s="25">
        <f t="shared" si="785"/>
        <v>11007.82546143035</v>
      </c>
      <c r="P911" s="25">
        <f t="shared" si="786"/>
        <v>28145.244538569641</v>
      </c>
      <c r="Q911" s="25">
        <f t="array" aca="1" ref="Q911" ca="1">INDEX('Isaac 401k'!L:L,MATCH('Retirement Calculator'!A911,'Isaac 401k'!N:N,0),0)</f>
        <v>-5872309.1341647608</v>
      </c>
      <c r="R911" s="25">
        <f t="array" aca="1" ref="R911" ca="1">INDEX('Lorri 401b'!L:L,MATCH('Retirement Calculator'!A911,'Lorri 401b'!N:N,0),0)</f>
        <v>-14942187.461581741</v>
      </c>
      <c r="S911" s="25">
        <f t="shared" ca="1" si="787"/>
        <v>-20814496.595746502</v>
      </c>
    </row>
    <row r="912" spans="1:19" ht="15.75" customHeight="1" x14ac:dyDescent="0.3">
      <c r="A912" s="37">
        <v>78710</v>
      </c>
      <c r="B912" s="409">
        <f t="shared" ref="B912:C912" si="923">($A912-B$9)/365.25</f>
        <v>133.61806981519507</v>
      </c>
      <c r="C912" s="409">
        <f t="shared" si="923"/>
        <v>129.00752908966462</v>
      </c>
      <c r="E912" s="25">
        <f>IF(C912&gt;$B$7,0,'Combined Retirement'!$D$13/12)</f>
        <v>0</v>
      </c>
      <c r="F912" s="25">
        <f>IF(H912=0,'Combined Retirement'!$D$32,0)+'Combined Retirement'!$B$24</f>
        <v>2870.372285649099</v>
      </c>
      <c r="G912" s="25">
        <f>'Combined Retirement'!$C$24</f>
        <v>3525.4531757812501</v>
      </c>
      <c r="H912" s="25">
        <f>IF(B912&lt;62,0,'Combined Retirement'!$I$14)</f>
        <v>2192</v>
      </c>
      <c r="I912" s="25">
        <f>IF(C912&lt;62,0,'Combined Retirement'!$I$13)</f>
        <v>2420</v>
      </c>
      <c r="J912" s="25">
        <f t="shared" si="783"/>
        <v>7863.2184191855868</v>
      </c>
      <c r="K912" s="25">
        <f t="shared" si="784"/>
        <v>20282.026119384056</v>
      </c>
      <c r="L912" s="25"/>
      <c r="N912" s="25">
        <f>'Combined Retirement'!$C$18/12</f>
        <v>39153.069999999992</v>
      </c>
      <c r="O912" s="25">
        <f t="shared" si="785"/>
        <v>11007.82546143035</v>
      </c>
      <c r="P912" s="25">
        <f t="shared" si="786"/>
        <v>28145.244538569641</v>
      </c>
      <c r="Q912" s="25">
        <f t="array" aca="1" ref="Q912" ca="1">INDEX('Isaac 401k'!L:L,MATCH('Retirement Calculator'!A912,'Isaac 401k'!N:N,0),0)</f>
        <v>-5904673.0707197133</v>
      </c>
      <c r="R912" s="25">
        <f t="array" aca="1" ref="R912" ca="1">INDEX('Lorri 401b'!L:L,MATCH('Retirement Calculator'!A912,'Lorri 401b'!N:N,0),0)</f>
        <v>-15024813.110566547</v>
      </c>
      <c r="S912" s="25">
        <f t="shared" ca="1" si="787"/>
        <v>-20929486.18128626</v>
      </c>
    </row>
    <row r="913" spans="1:19" ht="15.75" customHeight="1" x14ac:dyDescent="0.3">
      <c r="A913" s="37">
        <v>78741</v>
      </c>
      <c r="B913" s="409">
        <f t="shared" ref="B913:C913" si="924">($A913-B$9)/365.25</f>
        <v>133.70294318959617</v>
      </c>
      <c r="C913" s="409">
        <f t="shared" si="924"/>
        <v>129.09240246406571</v>
      </c>
      <c r="E913" s="25">
        <f>IF(C913&gt;$B$7,0,'Combined Retirement'!$D$13/12)</f>
        <v>0</v>
      </c>
      <c r="F913" s="25">
        <f>IF(H913=0,'Combined Retirement'!$D$32,0)+'Combined Retirement'!$B$24</f>
        <v>2870.372285649099</v>
      </c>
      <c r="G913" s="25">
        <f>'Combined Retirement'!$C$24</f>
        <v>3525.4531757812501</v>
      </c>
      <c r="H913" s="25">
        <f>IF(B913&lt;62,0,'Combined Retirement'!$I$14)</f>
        <v>2192</v>
      </c>
      <c r="I913" s="25">
        <f>IF(C913&lt;62,0,'Combined Retirement'!$I$13)</f>
        <v>2420</v>
      </c>
      <c r="J913" s="25">
        <f t="shared" si="783"/>
        <v>7863.2184191855868</v>
      </c>
      <c r="K913" s="25">
        <f t="shared" si="784"/>
        <v>20282.026119384056</v>
      </c>
      <c r="L913" s="25"/>
      <c r="N913" s="25">
        <f>'Combined Retirement'!$C$18/12</f>
        <v>39153.069999999992</v>
      </c>
      <c r="O913" s="25">
        <f t="shared" si="785"/>
        <v>11007.82546143035</v>
      </c>
      <c r="P913" s="25">
        <f t="shared" si="786"/>
        <v>28145.244538569641</v>
      </c>
      <c r="Q913" s="25">
        <f t="array" aca="1" ref="Q913" ca="1">INDEX('Isaac 401k'!L:L,MATCH('Retirement Calculator'!A913,'Isaac 401k'!N:N,0),0)</f>
        <v>-5937171.8570103114</v>
      </c>
      <c r="R913" s="25">
        <f t="array" aca="1" ref="R913" ca="1">INDEX('Lorri 401b'!L:L,MATCH('Retirement Calculator'!A913,'Lorri 401b'!N:N,0),0)</f>
        <v>-15107783.03308879</v>
      </c>
      <c r="S913" s="25">
        <f t="shared" ca="1" si="787"/>
        <v>-21044954.890099101</v>
      </c>
    </row>
    <row r="914" spans="1:19" ht="15.75" customHeight="1" x14ac:dyDescent="0.3">
      <c r="A914" s="37">
        <v>78772</v>
      </c>
      <c r="B914" s="409">
        <f t="shared" ref="B914:C914" si="925">($A914-B$9)/365.25</f>
        <v>133.78781656399727</v>
      </c>
      <c r="C914" s="409">
        <f t="shared" si="925"/>
        <v>129.17727583846681</v>
      </c>
      <c r="E914" s="25">
        <f>IF(C914&gt;$B$7,0,'Combined Retirement'!$D$13/12)</f>
        <v>0</v>
      </c>
      <c r="F914" s="25">
        <f>IF(H914=0,'Combined Retirement'!$D$32,0)+'Combined Retirement'!$B$24</f>
        <v>2870.372285649099</v>
      </c>
      <c r="G914" s="25">
        <f>'Combined Retirement'!$C$24</f>
        <v>3525.4531757812501</v>
      </c>
      <c r="H914" s="25">
        <f>IF(B914&lt;62,0,'Combined Retirement'!$I$14)</f>
        <v>2192</v>
      </c>
      <c r="I914" s="25">
        <f>IF(C914&lt;62,0,'Combined Retirement'!$I$13)</f>
        <v>2420</v>
      </c>
      <c r="J914" s="25">
        <f t="shared" si="783"/>
        <v>7863.2184191855868</v>
      </c>
      <c r="K914" s="25">
        <f t="shared" si="784"/>
        <v>20282.026119384056</v>
      </c>
      <c r="L914" s="25"/>
      <c r="N914" s="25">
        <f>'Combined Retirement'!$C$18/12</f>
        <v>39153.069999999992</v>
      </c>
      <c r="O914" s="25">
        <f t="shared" si="785"/>
        <v>11007.82546143035</v>
      </c>
      <c r="P914" s="25">
        <f t="shared" si="786"/>
        <v>28145.244538569641</v>
      </c>
      <c r="Q914" s="25">
        <f t="array" aca="1" ref="Q914" ca="1">INDEX('Isaac 401k'!L:L,MATCH('Retirement Calculator'!A914,'Isaac 401k'!N:N,0),0)</f>
        <v>-5969806.054910454</v>
      </c>
      <c r="R914" s="25">
        <f t="array" aca="1" ref="R914" ca="1">INDEX('Lorri 401b'!L:L,MATCH('Retirement Calculator'!A914,'Lorri 401b'!N:N,0),0)</f>
        <v>-15191098.663621543</v>
      </c>
      <c r="S914" s="25">
        <f t="shared" ca="1" si="787"/>
        <v>-21160904.718531996</v>
      </c>
    </row>
    <row r="915" spans="1:19" ht="15.75" customHeight="1" x14ac:dyDescent="0.3">
      <c r="A915" s="37">
        <v>78802</v>
      </c>
      <c r="B915" s="409">
        <f t="shared" ref="B915:C915" si="926">($A915-B$9)/365.25</f>
        <v>133.86995208761124</v>
      </c>
      <c r="C915" s="409">
        <f t="shared" si="926"/>
        <v>129.25941136208075</v>
      </c>
      <c r="E915" s="25">
        <f>IF(C915&gt;$B$7,0,'Combined Retirement'!$D$13/12)</f>
        <v>0</v>
      </c>
      <c r="F915" s="25">
        <f>IF(H915=0,'Combined Retirement'!$D$32,0)+'Combined Retirement'!$B$24</f>
        <v>2870.372285649099</v>
      </c>
      <c r="G915" s="25">
        <f>'Combined Retirement'!$C$24</f>
        <v>3525.4531757812501</v>
      </c>
      <c r="H915" s="25">
        <f>IF(B915&lt;62,0,'Combined Retirement'!$I$14)</f>
        <v>2192</v>
      </c>
      <c r="I915" s="25">
        <f>IF(C915&lt;62,0,'Combined Retirement'!$I$13)</f>
        <v>2420</v>
      </c>
      <c r="J915" s="25">
        <f t="shared" si="783"/>
        <v>7863.2184191855868</v>
      </c>
      <c r="K915" s="25">
        <f t="shared" si="784"/>
        <v>20282.026119384056</v>
      </c>
      <c r="L915" s="25"/>
      <c r="N915" s="25">
        <f>'Combined Retirement'!$C$18/12</f>
        <v>39153.069999999992</v>
      </c>
      <c r="O915" s="25">
        <f t="shared" si="785"/>
        <v>11007.82546143035</v>
      </c>
      <c r="P915" s="25">
        <f t="shared" si="786"/>
        <v>28145.244538569641</v>
      </c>
      <c r="Q915" s="25">
        <f t="array" aca="1" ref="Q915" ca="1">INDEX('Isaac 401k'!L:L,MATCH('Retirement Calculator'!A915,'Isaac 401k'!N:N,0),0)</f>
        <v>-6002576.2286351798</v>
      </c>
      <c r="R915" s="25">
        <f t="array" aca="1" ref="R915" ca="1">INDEX('Lorri 401b'!L:L,MATCH('Retirement Calculator'!A915,'Lorri 401b'!N:N,0),0)</f>
        <v>-15274761.442614848</v>
      </c>
      <c r="S915" s="25">
        <f t="shared" ca="1" si="787"/>
        <v>-21277337.671250027</v>
      </c>
    </row>
    <row r="916" spans="1:19" ht="15.75" customHeight="1" x14ac:dyDescent="0.3">
      <c r="A916" s="37">
        <v>78833</v>
      </c>
      <c r="B916" s="409">
        <f t="shared" ref="B916:C916" si="927">($A916-B$9)/365.25</f>
        <v>133.95482546201231</v>
      </c>
      <c r="C916" s="409">
        <f t="shared" si="927"/>
        <v>129.34428473648185</v>
      </c>
      <c r="E916" s="25">
        <f>IF(C916&gt;$B$7,0,'Combined Retirement'!$D$13/12)</f>
        <v>0</v>
      </c>
      <c r="F916" s="25">
        <f>IF(H916=0,'Combined Retirement'!$D$32,0)+'Combined Retirement'!$B$24</f>
        <v>2870.372285649099</v>
      </c>
      <c r="G916" s="25">
        <f>'Combined Retirement'!$C$24</f>
        <v>3525.4531757812501</v>
      </c>
      <c r="H916" s="25">
        <f>IF(B916&lt;62,0,'Combined Retirement'!$I$14)</f>
        <v>2192</v>
      </c>
      <c r="I916" s="25">
        <f>IF(C916&lt;62,0,'Combined Retirement'!$I$13)</f>
        <v>2420</v>
      </c>
      <c r="J916" s="25">
        <f t="shared" si="783"/>
        <v>7863.2184191855868</v>
      </c>
      <c r="K916" s="25">
        <f t="shared" si="784"/>
        <v>20282.026119384056</v>
      </c>
      <c r="L916" s="25"/>
      <c r="N916" s="25">
        <f>'Combined Retirement'!$C$18/12</f>
        <v>39153.069999999992</v>
      </c>
      <c r="O916" s="25">
        <f t="shared" si="785"/>
        <v>11007.82546143035</v>
      </c>
      <c r="P916" s="25">
        <f t="shared" si="786"/>
        <v>28145.244538569641</v>
      </c>
      <c r="Q916" s="25">
        <f t="array" aca="1" ref="Q916" ca="1">INDEX('Isaac 401k'!L:L,MATCH('Retirement Calculator'!A916,'Isaac 401k'!N:N,0),0)</f>
        <v>-6035482.9447504254</v>
      </c>
      <c r="R916" s="25">
        <f t="array" aca="1" ref="R916" ca="1">INDEX('Lorri 401b'!L:L,MATCH('Retirement Calculator'!A916,'Lorri 401b'!N:N,0),0)</f>
        <v>-15358772.816520626</v>
      </c>
      <c r="S916" s="25">
        <f t="shared" ca="1" si="787"/>
        <v>-21394255.761271052</v>
      </c>
    </row>
    <row r="917" spans="1:19" ht="15.75" customHeight="1" x14ac:dyDescent="0.3">
      <c r="A917" s="37">
        <v>78863</v>
      </c>
      <c r="B917" s="409">
        <f t="shared" ref="B917:C917" si="928">($A917-B$9)/365.25</f>
        <v>134.03696098562628</v>
      </c>
      <c r="C917" s="409">
        <f t="shared" si="928"/>
        <v>129.42642026009582</v>
      </c>
      <c r="E917" s="25">
        <f>IF(C917&gt;$B$7,0,'Combined Retirement'!$D$13/12)</f>
        <v>0</v>
      </c>
      <c r="F917" s="25">
        <f>IF(H917=0,'Combined Retirement'!$D$32,0)+'Combined Retirement'!$B$24</f>
        <v>2870.372285649099</v>
      </c>
      <c r="G917" s="25">
        <f>'Combined Retirement'!$C$24</f>
        <v>3525.4531757812501</v>
      </c>
      <c r="H917" s="25">
        <f>IF(B917&lt;62,0,'Combined Retirement'!$I$14)</f>
        <v>2192</v>
      </c>
      <c r="I917" s="25">
        <f>IF(C917&lt;62,0,'Combined Retirement'!$I$13)</f>
        <v>2420</v>
      </c>
      <c r="J917" s="25">
        <f t="shared" si="783"/>
        <v>7863.2184191855868</v>
      </c>
      <c r="K917" s="25">
        <f t="shared" si="784"/>
        <v>20282.026119384056</v>
      </c>
      <c r="L917" s="25"/>
      <c r="N917" s="25">
        <f>'Combined Retirement'!$C$18/12</f>
        <v>39153.069999999992</v>
      </c>
      <c r="O917" s="25">
        <f t="shared" si="785"/>
        <v>11007.82546143035</v>
      </c>
      <c r="P917" s="25">
        <f t="shared" si="786"/>
        <v>28145.244538569641</v>
      </c>
      <c r="Q917" s="25">
        <f t="array" aca="1" ref="Q917" ca="1">INDEX('Isaac 401k'!L:L,MATCH('Retirement Calculator'!A917,'Isaac 401k'!N:N,0),0)</f>
        <v>-6068526.7721828176</v>
      </c>
      <c r="R917" s="25">
        <f t="array" aca="1" ref="R917" ca="1">INDEX('Lorri 401b'!L:L,MATCH('Retirement Calculator'!A917,'Lorri 401b'!N:N,0),0)</f>
        <v>-15443134.237817677</v>
      </c>
      <c r="S917" s="25">
        <f t="shared" ca="1" si="787"/>
        <v>-21511661.010000493</v>
      </c>
    </row>
    <row r="918" spans="1:19" ht="15.75" customHeight="1" x14ac:dyDescent="0.3">
      <c r="A918" s="37">
        <v>78894</v>
      </c>
      <c r="B918" s="409">
        <f t="shared" ref="B918:C918" si="929">($A918-B$9)/365.25</f>
        <v>134.12183436002738</v>
      </c>
      <c r="C918" s="409">
        <f t="shared" si="929"/>
        <v>129.51129363449692</v>
      </c>
      <c r="E918" s="25">
        <f>IF(C918&gt;$B$7,0,'Combined Retirement'!$D$13/12)</f>
        <v>0</v>
      </c>
      <c r="F918" s="25">
        <f>IF(H918=0,'Combined Retirement'!$D$32,0)+'Combined Retirement'!$B$24</f>
        <v>2870.372285649099</v>
      </c>
      <c r="G918" s="25">
        <f>'Combined Retirement'!$C$24</f>
        <v>3525.4531757812501</v>
      </c>
      <c r="H918" s="25">
        <f>IF(B918&lt;62,0,'Combined Retirement'!$I$14)</f>
        <v>2192</v>
      </c>
      <c r="I918" s="25">
        <f>IF(C918&lt;62,0,'Combined Retirement'!$I$13)</f>
        <v>2420</v>
      </c>
      <c r="J918" s="25">
        <f t="shared" si="783"/>
        <v>7863.2184191855868</v>
      </c>
      <c r="K918" s="25">
        <f t="shared" si="784"/>
        <v>20282.026119384056</v>
      </c>
      <c r="L918" s="25"/>
      <c r="N918" s="25">
        <f>'Combined Retirement'!$C$18/12</f>
        <v>39153.069999999992</v>
      </c>
      <c r="O918" s="25">
        <f t="shared" si="785"/>
        <v>11007.82546143035</v>
      </c>
      <c r="P918" s="25">
        <f t="shared" si="786"/>
        <v>28145.244538569641</v>
      </c>
      <c r="Q918" s="25">
        <f t="array" aca="1" ref="Q918" ca="1">INDEX('Isaac 401k'!L:L,MATCH('Retirement Calculator'!A918,'Isaac 401k'!N:N,0),0)</f>
        <v>-6101708.282229512</v>
      </c>
      <c r="R918" s="25">
        <f t="array" aca="1" ref="R918" ca="1">INDEX('Lorri 401b'!L:L,MATCH('Retirement Calculator'!A918,'Lorri 401b'!N:N,0),0)</f>
        <v>-15527847.165036799</v>
      </c>
      <c r="S918" s="25">
        <f t="shared" ca="1" si="787"/>
        <v>-21629555.44726631</v>
      </c>
    </row>
    <row r="919" spans="1:19" ht="15.75" customHeight="1" x14ac:dyDescent="0.3">
      <c r="A919" s="37">
        <v>78925</v>
      </c>
      <c r="B919" s="409">
        <f t="shared" ref="B919:C919" si="930">($A919-B$9)/365.25</f>
        <v>134.20670773442848</v>
      </c>
      <c r="C919" s="409">
        <f t="shared" si="930"/>
        <v>129.59616700889802</v>
      </c>
      <c r="E919" s="25">
        <f>IF(C919&gt;$B$7,0,'Combined Retirement'!$D$13/12)</f>
        <v>0</v>
      </c>
      <c r="F919" s="25">
        <f>IF(H919=0,'Combined Retirement'!$D$32,0)+'Combined Retirement'!$B$24</f>
        <v>2870.372285649099</v>
      </c>
      <c r="G919" s="25">
        <f>'Combined Retirement'!$C$24</f>
        <v>3525.4531757812501</v>
      </c>
      <c r="H919" s="25">
        <f>IF(B919&lt;62,0,'Combined Retirement'!$I$14)</f>
        <v>2192</v>
      </c>
      <c r="I919" s="25">
        <f>IF(C919&lt;62,0,'Combined Retirement'!$I$13)</f>
        <v>2420</v>
      </c>
      <c r="J919" s="25">
        <f t="shared" si="783"/>
        <v>7863.2184191855868</v>
      </c>
      <c r="K919" s="25">
        <f t="shared" si="784"/>
        <v>20282.026119384056</v>
      </c>
      <c r="L919" s="25"/>
      <c r="N919" s="25">
        <f>'Combined Retirement'!$C$18/12</f>
        <v>39153.069999999992</v>
      </c>
      <c r="O919" s="25">
        <f t="shared" si="785"/>
        <v>11007.82546143035</v>
      </c>
      <c r="P919" s="25">
        <f t="shared" si="786"/>
        <v>28145.244538569641</v>
      </c>
      <c r="Q919" s="25">
        <f t="array" aca="1" ref="Q919" ca="1">INDEX('Isaac 401k'!L:L,MATCH('Retirement Calculator'!A919,'Isaac 401k'!N:N,0),0)</f>
        <v>-6135028.0485680671</v>
      </c>
      <c r="R919" s="25">
        <f t="array" aca="1" ref="R919" ca="1">INDEX('Lorri 401b'!L:L,MATCH('Retirement Calculator'!A919,'Lorri 401b'!N:N,0),0)</f>
        <v>-15612913.062786002</v>
      </c>
      <c r="S919" s="25">
        <f t="shared" ca="1" si="787"/>
        <v>-21747941.111354068</v>
      </c>
    </row>
    <row r="920" spans="1:19" ht="15.75" customHeight="1" x14ac:dyDescent="0.3">
      <c r="A920" s="37">
        <v>78954</v>
      </c>
      <c r="B920" s="409">
        <f t="shared" ref="B920:C920" si="931">($A920-B$9)/365.25</f>
        <v>134.28610540725529</v>
      </c>
      <c r="C920" s="409">
        <f t="shared" si="931"/>
        <v>129.67556468172484</v>
      </c>
      <c r="E920" s="25">
        <f>IF(C920&gt;$B$7,0,'Combined Retirement'!$D$13/12)</f>
        <v>0</v>
      </c>
      <c r="F920" s="25">
        <f>IF(H920=0,'Combined Retirement'!$D$32,0)+'Combined Retirement'!$B$24</f>
        <v>2870.372285649099</v>
      </c>
      <c r="G920" s="25">
        <f>'Combined Retirement'!$C$24</f>
        <v>3525.4531757812501</v>
      </c>
      <c r="H920" s="25">
        <f>IF(B920&lt;62,0,'Combined Retirement'!$I$14)</f>
        <v>2192</v>
      </c>
      <c r="I920" s="25">
        <f>IF(C920&lt;62,0,'Combined Retirement'!$I$13)</f>
        <v>2420</v>
      </c>
      <c r="J920" s="25">
        <f t="shared" si="783"/>
        <v>7863.2184191855868</v>
      </c>
      <c r="K920" s="25">
        <f t="shared" si="784"/>
        <v>20282.026119384056</v>
      </c>
      <c r="L920" s="25"/>
      <c r="N920" s="25">
        <f>'Combined Retirement'!$C$18/12</f>
        <v>39153.069999999992</v>
      </c>
      <c r="O920" s="25">
        <f t="shared" si="785"/>
        <v>11007.82546143035</v>
      </c>
      <c r="P920" s="25">
        <f t="shared" si="786"/>
        <v>28145.244538569641</v>
      </c>
      <c r="Q920" s="25">
        <f t="array" aca="1" ref="Q920" ca="1">INDEX('Isaac 401k'!L:L,MATCH('Retirement Calculator'!A920,'Isaac 401k'!N:N,0),0)</f>
        <v>-6168486.6472663665</v>
      </c>
      <c r="R920" s="25">
        <f t="array" aca="1" ref="R920" ca="1">INDEX('Lorri 401b'!L:L,MATCH('Retirement Calculator'!A920,'Lorri 401b'!N:N,0),0)</f>
        <v>-15698333.401775826</v>
      </c>
      <c r="S920" s="25">
        <f t="shared" ca="1" si="787"/>
        <v>-21866820.049042191</v>
      </c>
    </row>
    <row r="921" spans="1:19" ht="15.75" customHeight="1" x14ac:dyDescent="0.3">
      <c r="A921" s="37">
        <v>78985</v>
      </c>
      <c r="B921" s="409">
        <f t="shared" ref="B921:C921" si="932">($A921-B$9)/365.25</f>
        <v>134.37097878165639</v>
      </c>
      <c r="C921" s="409">
        <f t="shared" si="932"/>
        <v>129.76043805612593</v>
      </c>
      <c r="E921" s="25">
        <f>IF(C921&gt;$B$7,0,'Combined Retirement'!$D$13/12)</f>
        <v>0</v>
      </c>
      <c r="F921" s="25">
        <f>IF(H921=0,'Combined Retirement'!$D$32,0)+'Combined Retirement'!$B$24</f>
        <v>2870.372285649099</v>
      </c>
      <c r="G921" s="25">
        <f>'Combined Retirement'!$C$24</f>
        <v>3525.4531757812501</v>
      </c>
      <c r="H921" s="25">
        <f>IF(B921&lt;62,0,'Combined Retirement'!$I$14)</f>
        <v>2192</v>
      </c>
      <c r="I921" s="25">
        <f>IF(C921&lt;62,0,'Combined Retirement'!$I$13)</f>
        <v>2420</v>
      </c>
      <c r="J921" s="25">
        <f t="shared" si="783"/>
        <v>7863.2184191855868</v>
      </c>
      <c r="K921" s="25">
        <f t="shared" si="784"/>
        <v>20282.026119384056</v>
      </c>
      <c r="L921" s="25"/>
      <c r="N921" s="25">
        <f>'Combined Retirement'!$C$18/12</f>
        <v>39153.069999999992</v>
      </c>
      <c r="O921" s="25">
        <f t="shared" si="785"/>
        <v>11007.82546143035</v>
      </c>
      <c r="P921" s="25">
        <f t="shared" si="786"/>
        <v>28145.244538569641</v>
      </c>
      <c r="Q921" s="25">
        <f t="array" aca="1" ref="Q921" ca="1">INDEX('Isaac 401k'!L:L,MATCH('Retirement Calculator'!A921,'Isaac 401k'!N:N,0),0)</f>
        <v>-6202084.6567925755</v>
      </c>
      <c r="R921" s="25">
        <f t="array" aca="1" ref="R921" ca="1">INDEX('Lorri 401b'!L:L,MATCH('Retirement Calculator'!A921,'Lorri 401b'!N:N,0),0)</f>
        <v>-15784109.658844775</v>
      </c>
      <c r="S921" s="25">
        <f t="shared" ca="1" si="787"/>
        <v>-21986194.31563735</v>
      </c>
    </row>
    <row r="922" spans="1:19" ht="15.75" customHeight="1" x14ac:dyDescent="0.3">
      <c r="A922" s="37">
        <v>79015</v>
      </c>
      <c r="B922" s="409">
        <f t="shared" ref="B922:C922" si="933">($A922-B$9)/365.25</f>
        <v>134.45311430527036</v>
      </c>
      <c r="C922" s="409">
        <f t="shared" si="933"/>
        <v>129.84257357973991</v>
      </c>
      <c r="E922" s="25">
        <f>IF(C922&gt;$B$7,0,'Combined Retirement'!$D$13/12)</f>
        <v>0</v>
      </c>
      <c r="F922" s="25">
        <f>IF(H922=0,'Combined Retirement'!$D$32,0)+'Combined Retirement'!$B$24</f>
        <v>2870.372285649099</v>
      </c>
      <c r="G922" s="25">
        <f>'Combined Retirement'!$C$24</f>
        <v>3525.4531757812501</v>
      </c>
      <c r="H922" s="25">
        <f>IF(B922&lt;62,0,'Combined Retirement'!$I$14)</f>
        <v>2192</v>
      </c>
      <c r="I922" s="25">
        <f>IF(C922&lt;62,0,'Combined Retirement'!$I$13)</f>
        <v>2420</v>
      </c>
      <c r="J922" s="25">
        <f t="shared" si="783"/>
        <v>7863.2184191855868</v>
      </c>
      <c r="K922" s="25">
        <f t="shared" si="784"/>
        <v>20282.026119384056</v>
      </c>
      <c r="L922" s="25"/>
      <c r="N922" s="25">
        <f>'Combined Retirement'!$C$18/12</f>
        <v>39153.069999999992</v>
      </c>
      <c r="O922" s="25">
        <f t="shared" si="785"/>
        <v>11007.82546143035</v>
      </c>
      <c r="P922" s="25">
        <f t="shared" si="786"/>
        <v>28145.244538569641</v>
      </c>
      <c r="Q922" s="25">
        <f t="array" aca="1" ref="Q922" ca="1">INDEX('Isaac 401k'!L:L,MATCH('Retirement Calculator'!A922,'Isaac 401k'!N:N,0),0)</f>
        <v>-6235822.6580251437</v>
      </c>
      <c r="R922" s="25">
        <f t="array" aca="1" ref="R922" ca="1">INDEX('Lorri 401b'!L:L,MATCH('Retirement Calculator'!A922,'Lorri 401b'!N:N,0),0)</f>
        <v>-15870243.316984843</v>
      </c>
      <c r="S922" s="25">
        <f t="shared" ca="1" si="787"/>
        <v>-22106065.975009985</v>
      </c>
    </row>
    <row r="923" spans="1:19" ht="15.75" customHeight="1" x14ac:dyDescent="0.3">
      <c r="A923" s="37">
        <v>79046</v>
      </c>
      <c r="B923" s="409">
        <f t="shared" ref="B923:C923" si="934">($A923-B$9)/365.25</f>
        <v>134.53798767967146</v>
      </c>
      <c r="C923" s="409">
        <f t="shared" si="934"/>
        <v>129.927446954141</v>
      </c>
      <c r="E923" s="25">
        <f>IF(C923&gt;$B$7,0,'Combined Retirement'!$D$13/12)</f>
        <v>0</v>
      </c>
      <c r="F923" s="25">
        <f>IF(H923=0,'Combined Retirement'!$D$32,0)+'Combined Retirement'!$B$24</f>
        <v>2870.372285649099</v>
      </c>
      <c r="G923" s="25">
        <f>'Combined Retirement'!$C$24</f>
        <v>3525.4531757812501</v>
      </c>
      <c r="H923" s="25">
        <f>IF(B923&lt;62,0,'Combined Retirement'!$I$14)</f>
        <v>2192</v>
      </c>
      <c r="I923" s="25">
        <f>IF(C923&lt;62,0,'Combined Retirement'!$I$13)</f>
        <v>2420</v>
      </c>
      <c r="J923" s="25">
        <f t="shared" si="783"/>
        <v>7863.2184191855868</v>
      </c>
      <c r="K923" s="25">
        <f t="shared" si="784"/>
        <v>20282.026119384056</v>
      </c>
      <c r="L923" s="25"/>
      <c r="N923" s="25">
        <f>'Combined Retirement'!$C$18/12</f>
        <v>39153.069999999992</v>
      </c>
      <c r="O923" s="25">
        <f t="shared" si="785"/>
        <v>11007.82546143035</v>
      </c>
      <c r="P923" s="25">
        <f t="shared" si="786"/>
        <v>28145.244538569641</v>
      </c>
      <c r="Q923" s="25">
        <f t="array" aca="1" ref="Q923" ca="1">INDEX('Isaac 401k'!L:L,MATCH('Retirement Calculator'!A923,'Isaac 401k'!N:N,0),0)</f>
        <v>-6269701.2342628473</v>
      </c>
      <c r="R923" s="25">
        <f t="array" aca="1" ref="R923" ca="1">INDEX('Lorri 401b'!L:L,MATCH('Retirement Calculator'!A923,'Lorri 401b'!N:N,0),0)</f>
        <v>-15956735.865367163</v>
      </c>
      <c r="S923" s="25">
        <f t="shared" ca="1" si="787"/>
        <v>-22226437.099630009</v>
      </c>
    </row>
    <row r="924" spans="1:19" ht="15.75" customHeight="1" x14ac:dyDescent="0.3">
      <c r="A924" s="37">
        <v>79076</v>
      </c>
      <c r="B924" s="409">
        <f t="shared" ref="B924:C924" si="935">($A924-B$9)/365.25</f>
        <v>134.62012320328543</v>
      </c>
      <c r="C924" s="409">
        <f t="shared" si="935"/>
        <v>130.00958247775498</v>
      </c>
      <c r="E924" s="25">
        <f>IF(C924&gt;$B$7,0,'Combined Retirement'!$D$13/12)</f>
        <v>0</v>
      </c>
      <c r="F924" s="25">
        <f>IF(H924=0,'Combined Retirement'!$D$32,0)+'Combined Retirement'!$B$24</f>
        <v>2870.372285649099</v>
      </c>
      <c r="G924" s="25">
        <f>'Combined Retirement'!$C$24</f>
        <v>3525.4531757812501</v>
      </c>
      <c r="H924" s="25">
        <f>IF(B924&lt;62,0,'Combined Retirement'!$I$14)</f>
        <v>2192</v>
      </c>
      <c r="I924" s="25">
        <f>IF(C924&lt;62,0,'Combined Retirement'!$I$13)</f>
        <v>2420</v>
      </c>
      <c r="J924" s="25">
        <f t="shared" si="783"/>
        <v>7863.2184191855868</v>
      </c>
      <c r="K924" s="25">
        <f t="shared" si="784"/>
        <v>20282.026119384056</v>
      </c>
      <c r="L924" s="25"/>
      <c r="N924" s="25">
        <f>'Combined Retirement'!$C$18/12</f>
        <v>39153.069999999992</v>
      </c>
      <c r="O924" s="25">
        <f t="shared" si="785"/>
        <v>11007.82546143035</v>
      </c>
      <c r="P924" s="25">
        <f t="shared" si="786"/>
        <v>28145.244538569641</v>
      </c>
      <c r="Q924" s="25">
        <f t="array" aca="1" ref="Q924" ca="1">INDEX('Isaac 401k'!L:L,MATCH('Retirement Calculator'!A924,'Isaac 401k'!N:N,0),0)</f>
        <v>-6303720.9712348748</v>
      </c>
      <c r="R924" s="25">
        <f t="array" aca="1" ref="R924" ca="1">INDEX('Lorri 401b'!L:L,MATCH('Retirement Calculator'!A924,'Lorri 401b'!N:N,0),0)</f>
        <v>-16043588.799367743</v>
      </c>
      <c r="S924" s="25">
        <f t="shared" ca="1" si="787"/>
        <v>-22347309.770602617</v>
      </c>
    </row>
    <row r="925" spans="1:19" ht="15.75" customHeight="1" x14ac:dyDescent="0.3">
      <c r="A925" s="37">
        <v>79107</v>
      </c>
      <c r="B925" s="409">
        <f t="shared" ref="B925:C925" si="936">($A925-B$9)/365.25</f>
        <v>134.70499657768653</v>
      </c>
      <c r="C925" s="409">
        <f t="shared" si="936"/>
        <v>130.09445585215605</v>
      </c>
      <c r="E925" s="25">
        <f>IF(C925&gt;$B$7,0,'Combined Retirement'!$D$13/12)</f>
        <v>0</v>
      </c>
      <c r="F925" s="25">
        <f>IF(H925=0,'Combined Retirement'!$D$32,0)+'Combined Retirement'!$B$24</f>
        <v>2870.372285649099</v>
      </c>
      <c r="G925" s="25">
        <f>'Combined Retirement'!$C$24</f>
        <v>3525.4531757812501</v>
      </c>
      <c r="H925" s="25">
        <f>IF(B925&lt;62,0,'Combined Retirement'!$I$14)</f>
        <v>2192</v>
      </c>
      <c r="I925" s="25">
        <f>IF(C925&lt;62,0,'Combined Retirement'!$I$13)</f>
        <v>2420</v>
      </c>
      <c r="J925" s="25">
        <f t="shared" si="783"/>
        <v>7863.2184191855868</v>
      </c>
      <c r="K925" s="25">
        <f t="shared" si="784"/>
        <v>20282.026119384056</v>
      </c>
      <c r="L925" s="25"/>
      <c r="N925" s="25">
        <f>'Combined Retirement'!$C$18/12</f>
        <v>39153.069999999992</v>
      </c>
      <c r="O925" s="25">
        <f t="shared" si="785"/>
        <v>11007.82546143035</v>
      </c>
      <c r="P925" s="25">
        <f t="shared" si="786"/>
        <v>28145.244538569641</v>
      </c>
      <c r="Q925" s="25">
        <f t="array" aca="1" ref="Q925" ca="1">INDEX('Isaac 401k'!L:L,MATCH('Retirement Calculator'!A925,'Isaac 401k'!N:N,0),0)</f>
        <v>-6337882.4571109526</v>
      </c>
      <c r="R925" s="25">
        <f t="array" aca="1" ref="R925" ca="1">INDEX('Lorri 401b'!L:L,MATCH('Retirement Calculator'!A925,'Lorri 401b'!N:N,0),0)</f>
        <v>-16130803.620593324</v>
      </c>
      <c r="S925" s="25">
        <f t="shared" ca="1" si="787"/>
        <v>-22468686.077704277</v>
      </c>
    </row>
    <row r="926" spans="1:19" ht="15.75" customHeight="1" x14ac:dyDescent="0.3">
      <c r="A926" s="37">
        <v>79138</v>
      </c>
      <c r="B926" s="409">
        <f t="shared" ref="B926:C926" si="937">($A926-B$9)/365.25</f>
        <v>134.7898699520876</v>
      </c>
      <c r="C926" s="409">
        <f t="shared" si="937"/>
        <v>130.17932922655714</v>
      </c>
      <c r="E926" s="25">
        <f>IF(C926&gt;$B$7,0,'Combined Retirement'!$D$13/12)</f>
        <v>0</v>
      </c>
      <c r="F926" s="25">
        <f>IF(H926=0,'Combined Retirement'!$D$32,0)+'Combined Retirement'!$B$24</f>
        <v>2870.372285649099</v>
      </c>
      <c r="G926" s="25">
        <f>'Combined Retirement'!$C$24</f>
        <v>3525.4531757812501</v>
      </c>
      <c r="H926" s="25">
        <f>IF(B926&lt;62,0,'Combined Retirement'!$I$14)</f>
        <v>2192</v>
      </c>
      <c r="I926" s="25">
        <f>IF(C926&lt;62,0,'Combined Retirement'!$I$13)</f>
        <v>2420</v>
      </c>
      <c r="J926" s="25">
        <f t="shared" si="783"/>
        <v>7863.2184191855868</v>
      </c>
      <c r="K926" s="25">
        <f t="shared" si="784"/>
        <v>20282.026119384056</v>
      </c>
      <c r="L926" s="25"/>
      <c r="N926" s="25">
        <f>'Combined Retirement'!$C$18/12</f>
        <v>39153.069999999992</v>
      </c>
      <c r="O926" s="25">
        <f t="shared" si="785"/>
        <v>11007.82546143035</v>
      </c>
      <c r="P926" s="25">
        <f t="shared" si="786"/>
        <v>28145.244538569641</v>
      </c>
      <c r="Q926" s="25">
        <f t="array" aca="1" ref="Q926" ca="1">INDEX('Isaac 401k'!L:L,MATCH('Retirement Calculator'!A926,'Isaac 401k'!N:N,0),0)</f>
        <v>-6372186.2825115137</v>
      </c>
      <c r="R926" s="25">
        <f t="array" aca="1" ref="R926" ca="1">INDEX('Lorri 401b'!L:L,MATCH('Retirement Calculator'!A926,'Lorri 401b'!N:N,0),0)</f>
        <v>-16218381.836907346</v>
      </c>
      <c r="S926" s="25">
        <f t="shared" ca="1" si="787"/>
        <v>-22590568.119418859</v>
      </c>
    </row>
    <row r="927" spans="1:19" ht="15.75" customHeight="1" x14ac:dyDescent="0.3">
      <c r="A927" s="37">
        <v>79168</v>
      </c>
      <c r="B927" s="409">
        <f t="shared" ref="B927:C927" si="938">($A927-B$9)/365.25</f>
        <v>134.87200547570157</v>
      </c>
      <c r="C927" s="409">
        <f t="shared" si="938"/>
        <v>130.26146475017111</v>
      </c>
      <c r="E927" s="25">
        <f>IF(C927&gt;$B$7,0,'Combined Retirement'!$D$13/12)</f>
        <v>0</v>
      </c>
      <c r="F927" s="25">
        <f>IF(H927=0,'Combined Retirement'!$D$32,0)+'Combined Retirement'!$B$24</f>
        <v>2870.372285649099</v>
      </c>
      <c r="G927" s="25">
        <f>'Combined Retirement'!$C$24</f>
        <v>3525.4531757812501</v>
      </c>
      <c r="H927" s="25">
        <f>IF(B927&lt;62,0,'Combined Retirement'!$I$14)</f>
        <v>2192</v>
      </c>
      <c r="I927" s="25">
        <f>IF(C927&lt;62,0,'Combined Retirement'!$I$13)</f>
        <v>2420</v>
      </c>
      <c r="J927" s="25">
        <f t="shared" si="783"/>
        <v>7863.2184191855868</v>
      </c>
      <c r="K927" s="25">
        <f t="shared" si="784"/>
        <v>20282.026119384056</v>
      </c>
      <c r="L927" s="25"/>
      <c r="N927" s="25">
        <f>'Combined Retirement'!$C$18/12</f>
        <v>39153.069999999992</v>
      </c>
      <c r="O927" s="25">
        <f t="shared" si="785"/>
        <v>11007.82546143035</v>
      </c>
      <c r="P927" s="25">
        <f t="shared" si="786"/>
        <v>28145.244538569641</v>
      </c>
      <c r="Q927" s="25">
        <f t="array" aca="1" ref="Q927" ca="1">INDEX('Isaac 401k'!L:L,MATCH('Retirement Calculator'!A927,'Isaac 401k'!N:N,0),0)</f>
        <v>-6406633.0405179104</v>
      </c>
      <c r="R927" s="25">
        <f t="array" aca="1" ref="R927" ca="1">INDEX('Lorri 401b'!L:L,MATCH('Retirement Calculator'!A927,'Lorri 401b'!N:N,0),0)</f>
        <v>-16306324.962456008</v>
      </c>
      <c r="S927" s="25">
        <f t="shared" ca="1" si="787"/>
        <v>-22712958.002973918</v>
      </c>
    </row>
    <row r="928" spans="1:19" ht="15.75" customHeight="1" x14ac:dyDescent="0.3">
      <c r="A928" s="37">
        <v>79199</v>
      </c>
      <c r="B928" s="409">
        <f t="shared" ref="B928:C928" si="939">($A928-B$9)/365.25</f>
        <v>134.95687885010267</v>
      </c>
      <c r="C928" s="409">
        <f t="shared" si="939"/>
        <v>130.34633812457221</v>
      </c>
      <c r="E928" s="25">
        <f>IF(C928&gt;$B$7,0,'Combined Retirement'!$D$13/12)</f>
        <v>0</v>
      </c>
      <c r="F928" s="25">
        <f>IF(H928=0,'Combined Retirement'!$D$32,0)+'Combined Retirement'!$B$24</f>
        <v>2870.372285649099</v>
      </c>
      <c r="G928" s="25">
        <f>'Combined Retirement'!$C$24</f>
        <v>3525.4531757812501</v>
      </c>
      <c r="H928" s="25">
        <f>IF(B928&lt;62,0,'Combined Retirement'!$I$14)</f>
        <v>2192</v>
      </c>
      <c r="I928" s="25">
        <f>IF(C928&lt;62,0,'Combined Retirement'!$I$13)</f>
        <v>2420</v>
      </c>
      <c r="J928" s="25">
        <f t="shared" si="783"/>
        <v>7863.2184191855868</v>
      </c>
      <c r="K928" s="25">
        <f t="shared" si="784"/>
        <v>20282.026119384056</v>
      </c>
      <c r="L928" s="25"/>
      <c r="N928" s="25">
        <f>'Combined Retirement'!$C$18/12</f>
        <v>39153.069999999992</v>
      </c>
      <c r="O928" s="25">
        <f t="shared" si="785"/>
        <v>11007.82546143035</v>
      </c>
      <c r="P928" s="25">
        <f t="shared" si="786"/>
        <v>28145.244538569641</v>
      </c>
      <c r="Q928" s="25">
        <f t="array" aca="1" ref="Q928" ca="1">INDEX('Isaac 401k'!L:L,MATCH('Retirement Calculator'!A928,'Isaac 401k'!N:N,0),0)</f>
        <v>-6441223.3266826672</v>
      </c>
      <c r="R928" s="25">
        <f t="array" aca="1" ref="R928" ca="1">INDEX('Lorri 401b'!L:L,MATCH('Retirement Calculator'!A928,'Lorri 401b'!N:N,0),0)</f>
        <v>-16394634.517694458</v>
      </c>
      <c r="S928" s="25">
        <f t="shared" ca="1" si="787"/>
        <v>-22835857.844377127</v>
      </c>
    </row>
    <row r="929" spans="1:19" ht="15.75" customHeight="1" x14ac:dyDescent="0.3">
      <c r="A929" s="37">
        <v>79229</v>
      </c>
      <c r="B929" s="409">
        <f t="shared" ref="B929:C929" si="940">($A929-B$9)/365.25</f>
        <v>135.03901437371664</v>
      </c>
      <c r="C929" s="409">
        <f t="shared" si="940"/>
        <v>130.42847364818618</v>
      </c>
      <c r="E929" s="25">
        <f>IF(C929&gt;$B$7,0,'Combined Retirement'!$D$13/12)</f>
        <v>0</v>
      </c>
      <c r="F929" s="25">
        <f>IF(H929=0,'Combined Retirement'!$D$32,0)+'Combined Retirement'!$B$24</f>
        <v>2870.372285649099</v>
      </c>
      <c r="G929" s="25">
        <f>'Combined Retirement'!$C$24</f>
        <v>3525.4531757812501</v>
      </c>
      <c r="H929" s="25">
        <f>IF(B929&lt;62,0,'Combined Retirement'!$I$14)</f>
        <v>2192</v>
      </c>
      <c r="I929" s="25">
        <f>IF(C929&lt;62,0,'Combined Retirement'!$I$13)</f>
        <v>2420</v>
      </c>
      <c r="J929" s="25">
        <f t="shared" si="783"/>
        <v>7863.2184191855868</v>
      </c>
      <c r="K929" s="25">
        <f t="shared" si="784"/>
        <v>20282.026119384056</v>
      </c>
      <c r="L929" s="25"/>
      <c r="N929" s="25">
        <f>'Combined Retirement'!$C$18/12</f>
        <v>39153.069999999992</v>
      </c>
      <c r="O929" s="25">
        <f t="shared" si="785"/>
        <v>11007.82546143035</v>
      </c>
      <c r="P929" s="25">
        <f t="shared" si="786"/>
        <v>28145.244538569641</v>
      </c>
      <c r="Q929" s="25">
        <f t="array" aca="1" ref="Q929" ca="1">INDEX('Isaac 401k'!L:L,MATCH('Retirement Calculator'!A929,'Isaac 401k'!N:N,0),0)</f>
        <v>-6475957.7390397778</v>
      </c>
      <c r="R929" s="25">
        <f t="array" aca="1" ref="R929" ca="1">INDEX('Lorri 401b'!L:L,MATCH('Retirement Calculator'!A929,'Lorri 401b'!N:N,0),0)</f>
        <v>-16483312.029413067</v>
      </c>
      <c r="S929" s="25">
        <f t="shared" ca="1" si="787"/>
        <v>-22959269.768452846</v>
      </c>
    </row>
    <row r="930" spans="1:19" ht="15.75" customHeight="1" x14ac:dyDescent="0.3">
      <c r="A930" s="37">
        <v>79260</v>
      </c>
      <c r="B930" s="409">
        <f t="shared" ref="B930:C930" si="941">($A930-B$9)/365.25</f>
        <v>135.12388774811774</v>
      </c>
      <c r="C930" s="409">
        <f t="shared" si="941"/>
        <v>130.51334702258728</v>
      </c>
      <c r="E930" s="25">
        <f>IF(C930&gt;$B$7,0,'Combined Retirement'!$D$13/12)</f>
        <v>0</v>
      </c>
      <c r="F930" s="25">
        <f>IF(H930=0,'Combined Retirement'!$D$32,0)+'Combined Retirement'!$B$24</f>
        <v>2870.372285649099</v>
      </c>
      <c r="G930" s="25">
        <f>'Combined Retirement'!$C$24</f>
        <v>3525.4531757812501</v>
      </c>
      <c r="H930" s="25">
        <f>IF(B930&lt;62,0,'Combined Retirement'!$I$14)</f>
        <v>2192</v>
      </c>
      <c r="I930" s="25">
        <f>IF(C930&lt;62,0,'Combined Retirement'!$I$13)</f>
        <v>2420</v>
      </c>
      <c r="J930" s="25">
        <f t="shared" si="783"/>
        <v>7863.2184191855868</v>
      </c>
      <c r="K930" s="25">
        <f t="shared" si="784"/>
        <v>20282.026119384056</v>
      </c>
      <c r="L930" s="25"/>
      <c r="N930" s="25">
        <f>'Combined Retirement'!$C$18/12</f>
        <v>39153.069999999992</v>
      </c>
      <c r="O930" s="25">
        <f t="shared" si="785"/>
        <v>11007.82546143035</v>
      </c>
      <c r="P930" s="25">
        <f t="shared" si="786"/>
        <v>28145.244538569641</v>
      </c>
      <c r="Q930" s="25">
        <f t="array" aca="1" ref="Q930" ca="1">INDEX('Isaac 401k'!L:L,MATCH('Retirement Calculator'!A930,'Isaac 401k'!N:N,0),0)</f>
        <v>-6510836.878115043</v>
      </c>
      <c r="R930" s="25">
        <f t="array" aca="1" ref="R930" ca="1">INDEX('Lorri 401b'!L:L,MATCH('Retirement Calculator'!A930,'Lorri 401b'!N:N,0),0)</f>
        <v>-16572359.030763837</v>
      </c>
      <c r="S930" s="25">
        <f t="shared" ca="1" si="787"/>
        <v>-23083195.908878878</v>
      </c>
    </row>
    <row r="931" spans="1:19" ht="15.75" customHeight="1" x14ac:dyDescent="0.3">
      <c r="A931" s="37">
        <v>79291</v>
      </c>
      <c r="B931" s="409">
        <f t="shared" ref="B931:C931" si="942">($A931-B$9)/365.25</f>
        <v>135.20876112251884</v>
      </c>
      <c r="C931" s="409">
        <f t="shared" si="942"/>
        <v>130.59822039698835</v>
      </c>
      <c r="E931" s="25">
        <f>IF(C931&gt;$B$7,0,'Combined Retirement'!$D$13/12)</f>
        <v>0</v>
      </c>
      <c r="F931" s="25">
        <f>IF(H931=0,'Combined Retirement'!$D$32,0)+'Combined Retirement'!$B$24</f>
        <v>2870.372285649099</v>
      </c>
      <c r="G931" s="25">
        <f>'Combined Retirement'!$C$24</f>
        <v>3525.4531757812501</v>
      </c>
      <c r="H931" s="25">
        <f>IF(B931&lt;62,0,'Combined Retirement'!$I$14)</f>
        <v>2192</v>
      </c>
      <c r="I931" s="25">
        <f>IF(C931&lt;62,0,'Combined Retirement'!$I$13)</f>
        <v>2420</v>
      </c>
      <c r="J931" s="25">
        <f t="shared" si="783"/>
        <v>7863.2184191855868</v>
      </c>
      <c r="K931" s="25">
        <f t="shared" si="784"/>
        <v>20282.026119384056</v>
      </c>
      <c r="L931" s="25"/>
      <c r="N931" s="25">
        <f>'Combined Retirement'!$C$18/12</f>
        <v>39153.069999999992</v>
      </c>
      <c r="O931" s="25">
        <f t="shared" si="785"/>
        <v>11007.82546143035</v>
      </c>
      <c r="P931" s="25">
        <f t="shared" si="786"/>
        <v>28145.244538569641</v>
      </c>
      <c r="Q931" s="25">
        <f t="array" aca="1" ref="Q931" ca="1">INDEX('Isaac 401k'!L:L,MATCH('Retirement Calculator'!A931,'Isaac 401k'!N:N,0),0)</f>
        <v>-6545861.346936455</v>
      </c>
      <c r="R931" s="25">
        <f t="array" aca="1" ref="R931" ca="1">INDEX('Lorri 401b'!L:L,MATCH('Retirement Calculator'!A931,'Lorri 401b'!N:N,0),0)</f>
        <v>-16661777.061286902</v>
      </c>
      <c r="S931" s="25">
        <f t="shared" ca="1" si="787"/>
        <v>-23207638.408223357</v>
      </c>
    </row>
    <row r="932" spans="1:19" ht="15.75" customHeight="1" x14ac:dyDescent="0.3">
      <c r="A932" s="37">
        <v>79319</v>
      </c>
      <c r="B932" s="409">
        <f t="shared" ref="B932:C932" si="943">($A932-B$9)/365.25</f>
        <v>135.28542094455852</v>
      </c>
      <c r="C932" s="409">
        <f t="shared" si="943"/>
        <v>130.67488021902807</v>
      </c>
      <c r="E932" s="25">
        <f>IF(C932&gt;$B$7,0,'Combined Retirement'!$D$13/12)</f>
        <v>0</v>
      </c>
      <c r="F932" s="25">
        <f>IF(H932=0,'Combined Retirement'!$D$32,0)+'Combined Retirement'!$B$24</f>
        <v>2870.372285649099</v>
      </c>
      <c r="G932" s="25">
        <f>'Combined Retirement'!$C$24</f>
        <v>3525.4531757812501</v>
      </c>
      <c r="H932" s="25">
        <f>IF(B932&lt;62,0,'Combined Retirement'!$I$14)</f>
        <v>2192</v>
      </c>
      <c r="I932" s="25">
        <f>IF(C932&lt;62,0,'Combined Retirement'!$I$13)</f>
        <v>2420</v>
      </c>
      <c r="J932" s="25">
        <f t="shared" si="783"/>
        <v>7863.2184191855868</v>
      </c>
      <c r="K932" s="25">
        <f t="shared" si="784"/>
        <v>20282.026119384056</v>
      </c>
      <c r="L932" s="25"/>
      <c r="N932" s="25">
        <f>'Combined Retirement'!$C$18/12</f>
        <v>39153.069999999992</v>
      </c>
      <c r="O932" s="25">
        <f t="shared" si="785"/>
        <v>11007.82546143035</v>
      </c>
      <c r="P932" s="25">
        <f t="shared" si="786"/>
        <v>28145.244538569641</v>
      </c>
      <c r="Q932" s="25">
        <f t="array" aca="1" ref="Q932" ca="1">INDEX('Isaac 401k'!L:L,MATCH('Retirement Calculator'!A932,'Isaac 401k'!N:N,0),0)</f>
        <v>-6581031.7510446226</v>
      </c>
      <c r="R932" s="25">
        <f t="array" aca="1" ref="R932" ca="1">INDEX('Lorri 401b'!L:L,MATCH('Retirement Calculator'!A932,'Lorri 401b'!N:N,0),0)</f>
        <v>-16751567.666937146</v>
      </c>
      <c r="S932" s="25">
        <f t="shared" ca="1" si="787"/>
        <v>-23332599.41798177</v>
      </c>
    </row>
    <row r="933" spans="1:19" ht="15.75" customHeight="1" x14ac:dyDescent="0.3">
      <c r="A933" s="37">
        <v>79350</v>
      </c>
      <c r="B933" s="409">
        <f t="shared" ref="B933:C933" si="944">($A933-B$9)/365.25</f>
        <v>135.37029431895962</v>
      </c>
      <c r="C933" s="409">
        <f t="shared" si="944"/>
        <v>130.75975359342917</v>
      </c>
      <c r="E933" s="25">
        <f>IF(C933&gt;$B$7,0,'Combined Retirement'!$D$13/12)</f>
        <v>0</v>
      </c>
      <c r="F933" s="25">
        <f>IF(H933=0,'Combined Retirement'!$D$32,0)+'Combined Retirement'!$B$24</f>
        <v>2870.372285649099</v>
      </c>
      <c r="G933" s="25">
        <f>'Combined Retirement'!$C$24</f>
        <v>3525.4531757812501</v>
      </c>
      <c r="H933" s="25">
        <f>IF(B933&lt;62,0,'Combined Retirement'!$I$14)</f>
        <v>2192</v>
      </c>
      <c r="I933" s="25">
        <f>IF(C933&lt;62,0,'Combined Retirement'!$I$13)</f>
        <v>2420</v>
      </c>
      <c r="J933" s="25">
        <f t="shared" si="783"/>
        <v>7863.2184191855868</v>
      </c>
      <c r="K933" s="25">
        <f t="shared" si="784"/>
        <v>20282.026119384056</v>
      </c>
      <c r="L933" s="25"/>
      <c r="N933" s="25">
        <f>'Combined Retirement'!$C$18/12</f>
        <v>39153.069999999992</v>
      </c>
      <c r="O933" s="25">
        <f t="shared" si="785"/>
        <v>11007.82546143035</v>
      </c>
      <c r="P933" s="25">
        <f t="shared" si="786"/>
        <v>28145.244538569641</v>
      </c>
      <c r="Q933" s="25">
        <f t="array" aca="1" ref="Q933" ca="1">INDEX('Isaac 401k'!L:L,MATCH('Retirement Calculator'!A933,'Isaac 401k'!N:N,0),0)</f>
        <v>-6616348.6985032409</v>
      </c>
      <c r="R933" s="25">
        <f t="array" aca="1" ref="R933" ca="1">INDEX('Lorri 401b'!L:L,MATCH('Retirement Calculator'!A933,'Lorri 401b'!N:N,0),0)</f>
        <v>-16841732.400110934</v>
      </c>
      <c r="S933" s="25">
        <f t="shared" ca="1" si="787"/>
        <v>-23458081.098614175</v>
      </c>
    </row>
    <row r="934" spans="1:19" ht="15.75" customHeight="1" x14ac:dyDescent="0.3">
      <c r="A934" s="37">
        <v>79380</v>
      </c>
      <c r="B934" s="409">
        <f t="shared" ref="B934:C934" si="945">($A934-B$9)/365.25</f>
        <v>135.45242984257359</v>
      </c>
      <c r="C934" s="409">
        <f t="shared" si="945"/>
        <v>130.84188911704311</v>
      </c>
      <c r="E934" s="25">
        <f>IF(C934&gt;$B$7,0,'Combined Retirement'!$D$13/12)</f>
        <v>0</v>
      </c>
      <c r="F934" s="25">
        <f>IF(H934=0,'Combined Retirement'!$D$32,0)+'Combined Retirement'!$B$24</f>
        <v>2870.372285649099</v>
      </c>
      <c r="G934" s="25">
        <f>'Combined Retirement'!$C$24</f>
        <v>3525.4531757812501</v>
      </c>
      <c r="H934" s="25">
        <f>IF(B934&lt;62,0,'Combined Retirement'!$I$14)</f>
        <v>2192</v>
      </c>
      <c r="I934" s="25">
        <f>IF(C934&lt;62,0,'Combined Retirement'!$I$13)</f>
        <v>2420</v>
      </c>
      <c r="J934" s="25">
        <f t="shared" si="783"/>
        <v>7863.2184191855868</v>
      </c>
      <c r="K934" s="25">
        <f t="shared" si="784"/>
        <v>20282.026119384056</v>
      </c>
      <c r="L934" s="25"/>
      <c r="N934" s="25">
        <f>'Combined Retirement'!$C$18/12</f>
        <v>39153.069999999992</v>
      </c>
      <c r="O934" s="25">
        <f t="shared" si="785"/>
        <v>11007.82546143035</v>
      </c>
      <c r="P934" s="25">
        <f t="shared" si="786"/>
        <v>28145.244538569641</v>
      </c>
      <c r="Q934" s="25">
        <f t="array" aca="1" ref="Q934" ca="1">INDEX('Isaac 401k'!L:L,MATCH('Retirement Calculator'!A934,'Isaac 401k'!N:N,0),0)</f>
        <v>-6651812.7999096038</v>
      </c>
      <c r="R934" s="25">
        <f t="array" aca="1" ref="R934" ca="1">INDEX('Lorri 401b'!L:L,MATCH('Retirement Calculator'!A934,'Lorri 401b'!N:N,0),0)</f>
        <v>-16932272.819672946</v>
      </c>
      <c r="S934" s="25">
        <f t="shared" ca="1" si="787"/>
        <v>-23584085.619582549</v>
      </c>
    </row>
    <row r="935" spans="1:19" ht="15.75" customHeight="1" x14ac:dyDescent="0.3">
      <c r="A935" s="37">
        <v>79411</v>
      </c>
      <c r="B935" s="409">
        <f t="shared" ref="B935:C935" si="946">($A935-B$9)/365.25</f>
        <v>135.53730321697466</v>
      </c>
      <c r="C935" s="409">
        <f t="shared" si="946"/>
        <v>130.92676249144421</v>
      </c>
      <c r="E935" s="25">
        <f>IF(C935&gt;$B$7,0,'Combined Retirement'!$D$13/12)</f>
        <v>0</v>
      </c>
      <c r="F935" s="25">
        <f>IF(H935=0,'Combined Retirement'!$D$32,0)+'Combined Retirement'!$B$24</f>
        <v>2870.372285649099</v>
      </c>
      <c r="G935" s="25">
        <f>'Combined Retirement'!$C$24</f>
        <v>3525.4531757812501</v>
      </c>
      <c r="H935" s="25">
        <f>IF(B935&lt;62,0,'Combined Retirement'!$I$14)</f>
        <v>2192</v>
      </c>
      <c r="I935" s="25">
        <f>IF(C935&lt;62,0,'Combined Retirement'!$I$13)</f>
        <v>2420</v>
      </c>
      <c r="J935" s="25">
        <f t="shared" si="783"/>
        <v>7863.2184191855868</v>
      </c>
      <c r="K935" s="25">
        <f t="shared" si="784"/>
        <v>20282.026119384056</v>
      </c>
      <c r="L935" s="25"/>
      <c r="N935" s="25">
        <f>'Combined Retirement'!$C$18/12</f>
        <v>39153.069999999992</v>
      </c>
      <c r="O935" s="25">
        <f t="shared" si="785"/>
        <v>11007.82546143035</v>
      </c>
      <c r="P935" s="25">
        <f t="shared" si="786"/>
        <v>28145.244538569641</v>
      </c>
      <c r="Q935" s="25">
        <f t="array" aca="1" ref="Q935" ca="1">INDEX('Isaac 401k'!L:L,MATCH('Retirement Calculator'!A935,'Isaac 401k'!N:N,0),0)</f>
        <v>-6687424.6684051594</v>
      </c>
      <c r="R935" s="25">
        <f t="array" aca="1" ref="R935" ca="1">INDEX('Lorri 401b'!L:L,MATCH('Retirement Calculator'!A935,'Lorri 401b'!N:N,0),0)</f>
        <v>-17023190.490983132</v>
      </c>
      <c r="S935" s="25">
        <f t="shared" ca="1" si="787"/>
        <v>-23710615.159388293</v>
      </c>
    </row>
    <row r="936" spans="1:19" ht="15.75" customHeight="1" x14ac:dyDescent="0.3">
      <c r="A936" s="37">
        <v>79441</v>
      </c>
      <c r="B936" s="409">
        <f t="shared" ref="B936:C936" si="947">($A936-B$9)/365.25</f>
        <v>135.61943874058863</v>
      </c>
      <c r="C936" s="409">
        <f t="shared" si="947"/>
        <v>131.00889801505818</v>
      </c>
      <c r="E936" s="25">
        <f>IF(C936&gt;$B$7,0,'Combined Retirement'!$D$13/12)</f>
        <v>0</v>
      </c>
      <c r="F936" s="25">
        <f>IF(H936=0,'Combined Retirement'!$D$32,0)+'Combined Retirement'!$B$24</f>
        <v>2870.372285649099</v>
      </c>
      <c r="G936" s="25">
        <f>'Combined Retirement'!$C$24</f>
        <v>3525.4531757812501</v>
      </c>
      <c r="H936" s="25">
        <f>IF(B936&lt;62,0,'Combined Retirement'!$I$14)</f>
        <v>2192</v>
      </c>
      <c r="I936" s="25">
        <f>IF(C936&lt;62,0,'Combined Retirement'!$I$13)</f>
        <v>2420</v>
      </c>
      <c r="J936" s="25">
        <f t="shared" si="783"/>
        <v>7863.2184191855868</v>
      </c>
      <c r="K936" s="25">
        <f t="shared" si="784"/>
        <v>20282.026119384056</v>
      </c>
      <c r="L936" s="25"/>
      <c r="N936" s="25">
        <f>'Combined Retirement'!$C$18/12</f>
        <v>39153.069999999992</v>
      </c>
      <c r="O936" s="25">
        <f t="shared" si="785"/>
        <v>11007.82546143035</v>
      </c>
      <c r="P936" s="25">
        <f t="shared" si="786"/>
        <v>28145.244538569641</v>
      </c>
      <c r="Q936" s="25">
        <f t="array" aca="1" ref="Q936" ca="1">INDEX('Isaac 401k'!L:L,MATCH('Retirement Calculator'!A936,'Isaac 401k'!N:N,0),0)</f>
        <v>-6723184.9196861135</v>
      </c>
      <c r="R936" s="25">
        <f t="array" aca="1" ref="R936" ca="1">INDEX('Lorri 401b'!L:L,MATCH('Retirement Calculator'!A936,'Lorri 401b'!N:N,0),0)</f>
        <v>-17114486.985923778</v>
      </c>
      <c r="S936" s="25">
        <f t="shared" ca="1" si="787"/>
        <v>-23837671.905609891</v>
      </c>
    </row>
    <row r="937" spans="1:19" ht="15.75" customHeight="1" x14ac:dyDescent="0.3">
      <c r="A937" s="37">
        <v>79472</v>
      </c>
      <c r="B937" s="409">
        <f t="shared" ref="B937:C937" si="948">($A937-B$9)/365.25</f>
        <v>135.70431211498973</v>
      </c>
      <c r="C937" s="409">
        <f t="shared" si="948"/>
        <v>131.09377138945928</v>
      </c>
      <c r="E937" s="25">
        <f>IF(C937&gt;$B$7,0,'Combined Retirement'!$D$13/12)</f>
        <v>0</v>
      </c>
      <c r="F937" s="25">
        <f>IF(H937=0,'Combined Retirement'!$D$32,0)+'Combined Retirement'!$B$24</f>
        <v>2870.372285649099</v>
      </c>
      <c r="G937" s="25">
        <f>'Combined Retirement'!$C$24</f>
        <v>3525.4531757812501</v>
      </c>
      <c r="H937" s="25">
        <f>IF(B937&lt;62,0,'Combined Retirement'!$I$14)</f>
        <v>2192</v>
      </c>
      <c r="I937" s="25">
        <f>IF(C937&lt;62,0,'Combined Retirement'!$I$13)</f>
        <v>2420</v>
      </c>
      <c r="J937" s="25">
        <f t="shared" si="783"/>
        <v>7863.2184191855868</v>
      </c>
      <c r="K937" s="25">
        <f t="shared" si="784"/>
        <v>20282.026119384056</v>
      </c>
      <c r="L937" s="25"/>
      <c r="N937" s="25">
        <f>'Combined Retirement'!$C$18/12</f>
        <v>39153.069999999992</v>
      </c>
      <c r="O937" s="25">
        <f t="shared" si="785"/>
        <v>11007.82546143035</v>
      </c>
      <c r="P937" s="25">
        <f t="shared" si="786"/>
        <v>28145.244538569641</v>
      </c>
      <c r="Q937" s="25">
        <f t="array" aca="1" ref="Q937" ca="1">INDEX('Isaac 401k'!L:L,MATCH('Retirement Calculator'!A937,'Isaac 401k'!N:N,0),0)</f>
        <v>-6759094.1720140716</v>
      </c>
      <c r="R937" s="25">
        <f t="array" aca="1" ref="R937" ca="1">INDEX('Lorri 401b'!L:L,MATCH('Retirement Calculator'!A937,'Lorri 401b'!N:N,0),0)</f>
        <v>-17206163.882926676</v>
      </c>
      <c r="S937" s="25">
        <f t="shared" ca="1" si="787"/>
        <v>-23965258.054940749</v>
      </c>
    </row>
    <row r="938" spans="1:19" ht="15.75" customHeight="1" x14ac:dyDescent="0.3">
      <c r="A938" s="37">
        <v>79503</v>
      </c>
      <c r="B938" s="409">
        <f t="shared" ref="B938:C938" si="949">($A938-B$9)/365.25</f>
        <v>135.78918548939083</v>
      </c>
      <c r="C938" s="409">
        <f t="shared" si="949"/>
        <v>131.17864476386038</v>
      </c>
      <c r="E938" s="25">
        <f>IF(C938&gt;$B$7,0,'Combined Retirement'!$D$13/12)</f>
        <v>0</v>
      </c>
      <c r="F938" s="25">
        <f>IF(H938=0,'Combined Retirement'!$D$32,0)+'Combined Retirement'!$B$24</f>
        <v>2870.372285649099</v>
      </c>
      <c r="G938" s="25">
        <f>'Combined Retirement'!$C$24</f>
        <v>3525.4531757812501</v>
      </c>
      <c r="H938" s="25">
        <f>IF(B938&lt;62,0,'Combined Retirement'!$I$14)</f>
        <v>2192</v>
      </c>
      <c r="I938" s="25">
        <f>IF(C938&lt;62,0,'Combined Retirement'!$I$13)</f>
        <v>2420</v>
      </c>
      <c r="J938" s="25">
        <f t="shared" si="783"/>
        <v>7863.2184191855868</v>
      </c>
      <c r="K938" s="25">
        <f t="shared" si="784"/>
        <v>20282.026119384056</v>
      </c>
      <c r="L938" s="25"/>
      <c r="N938" s="25">
        <f>'Combined Retirement'!$C$18/12</f>
        <v>39153.069999999992</v>
      </c>
      <c r="O938" s="25">
        <f t="shared" si="785"/>
        <v>11007.82546143035</v>
      </c>
      <c r="P938" s="25">
        <f t="shared" si="786"/>
        <v>28145.244538569641</v>
      </c>
      <c r="Q938" s="25">
        <f t="array" aca="1" ref="Q938" ca="1">INDEX('Isaac 401k'!L:L,MATCH('Retirement Calculator'!A938,'Isaac 401k'!N:N,0),0)</f>
        <v>-6795153.0462267296</v>
      </c>
      <c r="R938" s="25">
        <f t="array" aca="1" ref="R938" ca="1">INDEX('Lorri 401b'!L:L,MATCH('Retirement Calculator'!A938,'Lorri 401b'!N:N,0),0)</f>
        <v>-17298222.767000418</v>
      </c>
      <c r="S938" s="25">
        <f t="shared" ca="1" si="787"/>
        <v>-24093375.813227147</v>
      </c>
    </row>
    <row r="939" spans="1:19" ht="15.75" customHeight="1" x14ac:dyDescent="0.3">
      <c r="A939" s="37">
        <v>79533</v>
      </c>
      <c r="B939" s="409">
        <f t="shared" ref="B939:C939" si="950">($A939-B$9)/365.25</f>
        <v>135.8713210130048</v>
      </c>
      <c r="C939" s="409">
        <f t="shared" si="950"/>
        <v>131.26078028747432</v>
      </c>
      <c r="E939" s="25">
        <f>IF(C939&gt;$B$7,0,'Combined Retirement'!$D$13/12)</f>
        <v>0</v>
      </c>
      <c r="F939" s="25">
        <f>IF(H939=0,'Combined Retirement'!$D$32,0)+'Combined Retirement'!$B$24</f>
        <v>2870.372285649099</v>
      </c>
      <c r="G939" s="25">
        <f>'Combined Retirement'!$C$24</f>
        <v>3525.4531757812501</v>
      </c>
      <c r="H939" s="25">
        <f>IF(B939&lt;62,0,'Combined Retirement'!$I$14)</f>
        <v>2192</v>
      </c>
      <c r="I939" s="25">
        <f>IF(C939&lt;62,0,'Combined Retirement'!$I$13)</f>
        <v>2420</v>
      </c>
      <c r="J939" s="25">
        <f t="shared" si="783"/>
        <v>7863.2184191855868</v>
      </c>
      <c r="K939" s="25">
        <f t="shared" si="784"/>
        <v>20282.026119384056</v>
      </c>
      <c r="L939" s="25"/>
      <c r="N939" s="25">
        <f>'Combined Retirement'!$C$18/12</f>
        <v>39153.069999999992</v>
      </c>
      <c r="O939" s="25">
        <f t="shared" si="785"/>
        <v>11007.82546143035</v>
      </c>
      <c r="P939" s="25">
        <f t="shared" si="786"/>
        <v>28145.244538569641</v>
      </c>
      <c r="Q939" s="25">
        <f t="array" aca="1" ref="Q939" ca="1">INDEX('Isaac 401k'!L:L,MATCH('Retirement Calculator'!A939,'Isaac 401k'!N:N,0),0)</f>
        <v>-6831362.1657486064</v>
      </c>
      <c r="R939" s="25">
        <f t="array" aca="1" ref="R939" ca="1">INDEX('Lorri 401b'!L:L,MATCH('Retirement Calculator'!A939,'Lorri 401b'!N:N,0),0)</f>
        <v>-17390665.229757801</v>
      </c>
      <c r="S939" s="25">
        <f t="shared" ca="1" si="787"/>
        <v>-24222027.395506408</v>
      </c>
    </row>
    <row r="940" spans="1:19" ht="15.75" customHeight="1" x14ac:dyDescent="0.3">
      <c r="A940" s="37">
        <v>79564</v>
      </c>
      <c r="B940" s="409">
        <f t="shared" ref="B940:C940" si="951">($A940-B$9)/365.25</f>
        <v>135.95619438740587</v>
      </c>
      <c r="C940" s="409">
        <f t="shared" si="951"/>
        <v>131.34565366187542</v>
      </c>
      <c r="E940" s="25">
        <f>IF(C940&gt;$B$7,0,'Combined Retirement'!$D$13/12)</f>
        <v>0</v>
      </c>
      <c r="F940" s="25">
        <f>IF(H940=0,'Combined Retirement'!$D$32,0)+'Combined Retirement'!$B$24</f>
        <v>2870.372285649099</v>
      </c>
      <c r="G940" s="25">
        <f>'Combined Retirement'!$C$24</f>
        <v>3525.4531757812501</v>
      </c>
      <c r="H940" s="25">
        <f>IF(B940&lt;62,0,'Combined Retirement'!$I$14)</f>
        <v>2192</v>
      </c>
      <c r="I940" s="25">
        <f>IF(C940&lt;62,0,'Combined Retirement'!$I$13)</f>
        <v>2420</v>
      </c>
      <c r="J940" s="25">
        <f t="shared" si="783"/>
        <v>7863.2184191855868</v>
      </c>
      <c r="K940" s="25">
        <f t="shared" si="784"/>
        <v>20282.026119384056</v>
      </c>
      <c r="L940" s="25"/>
      <c r="N940" s="25">
        <f>'Combined Retirement'!$C$18/12</f>
        <v>39153.069999999992</v>
      </c>
      <c r="O940" s="25">
        <f t="shared" si="785"/>
        <v>11007.82546143035</v>
      </c>
      <c r="P940" s="25">
        <f t="shared" si="786"/>
        <v>28145.244538569641</v>
      </c>
      <c r="Q940" s="25">
        <f t="array" aca="1" ref="Q940" ca="1">INDEX('Isaac 401k'!L:L,MATCH('Retirement Calculator'!A940,'Isaac 401k'!N:N,0),0)</f>
        <v>-6867722.1566018248</v>
      </c>
      <c r="R940" s="25">
        <f t="array" aca="1" ref="R940" ca="1">INDEX('Lorri 401b'!L:L,MATCH('Retirement Calculator'!A940,'Lorri 401b'!N:N,0),0)</f>
        <v>-17483492.869443342</v>
      </c>
      <c r="S940" s="25">
        <f t="shared" ca="1" si="787"/>
        <v>-24351215.026045166</v>
      </c>
    </row>
    <row r="941" spans="1:19" ht="15.75" customHeight="1" x14ac:dyDescent="0.3">
      <c r="A941" s="37">
        <v>79594</v>
      </c>
      <c r="B941" s="409">
        <f t="shared" ref="B941:C941" si="952">($A941-B$9)/365.25</f>
        <v>136.03832991101984</v>
      </c>
      <c r="C941" s="409">
        <f t="shared" si="952"/>
        <v>131.42778918548939</v>
      </c>
      <c r="E941" s="25">
        <f>IF(C941&gt;$B$7,0,'Combined Retirement'!$D$13/12)</f>
        <v>0</v>
      </c>
      <c r="F941" s="25">
        <f>IF(H941=0,'Combined Retirement'!$D$32,0)+'Combined Retirement'!$B$24</f>
        <v>2870.372285649099</v>
      </c>
      <c r="G941" s="25">
        <f>'Combined Retirement'!$C$24</f>
        <v>3525.4531757812501</v>
      </c>
      <c r="H941" s="25">
        <f>IF(B941&lt;62,0,'Combined Retirement'!$I$14)</f>
        <v>2192</v>
      </c>
      <c r="I941" s="25">
        <f>IF(C941&lt;62,0,'Combined Retirement'!$I$13)</f>
        <v>2420</v>
      </c>
      <c r="J941" s="25">
        <f t="shared" si="783"/>
        <v>7863.2184191855868</v>
      </c>
      <c r="K941" s="25">
        <f t="shared" si="784"/>
        <v>20282.026119384056</v>
      </c>
      <c r="L941" s="25"/>
      <c r="N941" s="25">
        <f>'Combined Retirement'!$C$18/12</f>
        <v>39153.069999999992</v>
      </c>
      <c r="O941" s="25">
        <f t="shared" si="785"/>
        <v>11007.82546143035</v>
      </c>
      <c r="P941" s="25">
        <f t="shared" si="786"/>
        <v>28145.244538569641</v>
      </c>
      <c r="Q941" s="25">
        <f t="array" aca="1" ref="Q941" ca="1">INDEX('Isaac 401k'!L:L,MATCH('Retirement Calculator'!A941,'Isaac 401k'!N:N,0),0)</f>
        <v>-6904233.6474169316</v>
      </c>
      <c r="R941" s="25">
        <f t="array" aca="1" ref="R941" ca="1">INDEX('Lorri 401b'!L:L,MATCH('Retirement Calculator'!A941,'Lorri 401b'!N:N,0),0)</f>
        <v>-17576707.290960904</v>
      </c>
      <c r="S941" s="25">
        <f t="shared" ca="1" si="787"/>
        <v>-24480940.938377835</v>
      </c>
    </row>
    <row r="942" spans="1:19" ht="15.75" customHeight="1" x14ac:dyDescent="0.3">
      <c r="A942" s="37">
        <v>79625</v>
      </c>
      <c r="B942" s="409">
        <f t="shared" ref="B942:C942" si="953">($A942-B$9)/365.25</f>
        <v>136.12320328542094</v>
      </c>
      <c r="C942" s="409">
        <f t="shared" si="953"/>
        <v>131.51266255989049</v>
      </c>
      <c r="E942" s="25">
        <f>IF(C942&gt;$B$7,0,'Combined Retirement'!$D$13/12)</f>
        <v>0</v>
      </c>
      <c r="F942" s="25">
        <f>IF(H942=0,'Combined Retirement'!$D$32,0)+'Combined Retirement'!$B$24</f>
        <v>2870.372285649099</v>
      </c>
      <c r="G942" s="25">
        <f>'Combined Retirement'!$C$24</f>
        <v>3525.4531757812501</v>
      </c>
      <c r="H942" s="25">
        <f>IF(B942&lt;62,0,'Combined Retirement'!$I$14)</f>
        <v>2192</v>
      </c>
      <c r="I942" s="25">
        <f>IF(C942&lt;62,0,'Combined Retirement'!$I$13)</f>
        <v>2420</v>
      </c>
      <c r="J942" s="25">
        <f t="shared" si="783"/>
        <v>7863.2184191855868</v>
      </c>
      <c r="K942" s="25">
        <f t="shared" si="784"/>
        <v>20282.026119384056</v>
      </c>
      <c r="L942" s="25"/>
      <c r="N942" s="25">
        <f>'Combined Retirement'!$C$18/12</f>
        <v>39153.069999999992</v>
      </c>
      <c r="O942" s="25">
        <f t="shared" si="785"/>
        <v>11007.82546143035</v>
      </c>
      <c r="P942" s="25">
        <f t="shared" si="786"/>
        <v>28145.244538569641</v>
      </c>
      <c r="Q942" s="25">
        <f t="array" aca="1" ref="Q942" ca="1">INDEX('Isaac 401k'!L:L,MATCH('Retirement Calculator'!A942,'Isaac 401k'!N:N,0),0)</f>
        <v>-6940897.2694437681</v>
      </c>
      <c r="R942" s="25">
        <f t="array" aca="1" ref="R942" ca="1">INDEX('Lorri 401b'!L:L,MATCH('Retirement Calculator'!A942,'Lorri 401b'!N:N,0),0)</f>
        <v>-17670310.105901457</v>
      </c>
      <c r="S942" s="25">
        <f t="shared" ca="1" si="787"/>
        <v>-24611207.375345226</v>
      </c>
    </row>
    <row r="943" spans="1:19" ht="15.75" customHeight="1" x14ac:dyDescent="0.3">
      <c r="A943" s="37">
        <v>79656</v>
      </c>
      <c r="B943" s="409">
        <f t="shared" ref="B943:C943" si="954">($A943-B$9)/365.25</f>
        <v>136.20807665982204</v>
      </c>
      <c r="C943" s="409">
        <f t="shared" si="954"/>
        <v>131.59753593429159</v>
      </c>
      <c r="E943" s="25">
        <f>IF(C943&gt;$B$7,0,'Combined Retirement'!$D$13/12)</f>
        <v>0</v>
      </c>
      <c r="F943" s="25">
        <f>IF(H943=0,'Combined Retirement'!$D$32,0)+'Combined Retirement'!$B$24</f>
        <v>2870.372285649099</v>
      </c>
      <c r="G943" s="25">
        <f>'Combined Retirement'!$C$24</f>
        <v>3525.4531757812501</v>
      </c>
      <c r="H943" s="25">
        <f>IF(B943&lt;62,0,'Combined Retirement'!$I$14)</f>
        <v>2192</v>
      </c>
      <c r="I943" s="25">
        <f>IF(C943&lt;62,0,'Combined Retirement'!$I$13)</f>
        <v>2420</v>
      </c>
      <c r="J943" s="25">
        <f t="shared" si="783"/>
        <v>7863.2184191855868</v>
      </c>
      <c r="K943" s="25">
        <f t="shared" si="784"/>
        <v>20282.026119384056</v>
      </c>
      <c r="L943" s="25"/>
      <c r="N943" s="25">
        <f>'Combined Retirement'!$C$18/12</f>
        <v>39153.069999999992</v>
      </c>
      <c r="O943" s="25">
        <f t="shared" si="785"/>
        <v>11007.82546143035</v>
      </c>
      <c r="P943" s="25">
        <f t="shared" si="786"/>
        <v>28145.244538569641</v>
      </c>
      <c r="Q943" s="25">
        <f t="array" aca="1" ref="Q943" ca="1">INDEX('Isaac 401k'!L:L,MATCH('Retirement Calculator'!A943,'Isaac 401k'!N:N,0),0)</f>
        <v>-6977713.6565623833</v>
      </c>
      <c r="R943" s="25">
        <f t="array" aca="1" ref="R943" ca="1">INDEX('Lorri 401b'!L:L,MATCH('Retirement Calculator'!A943,'Lorri 401b'!N:N,0),0)</f>
        <v>-17764302.932570931</v>
      </c>
      <c r="S943" s="25">
        <f t="shared" ca="1" si="787"/>
        <v>-24742016.589133315</v>
      </c>
    </row>
    <row r="944" spans="1:19" ht="15.75" customHeight="1" x14ac:dyDescent="0.3">
      <c r="A944" s="37">
        <v>79684</v>
      </c>
      <c r="B944" s="409">
        <f t="shared" ref="B944:C944" si="955">($A944-B$9)/365.25</f>
        <v>136.28473648186173</v>
      </c>
      <c r="C944" s="409">
        <f t="shared" si="955"/>
        <v>131.67419575633127</v>
      </c>
      <c r="E944" s="25">
        <f>IF(C944&gt;$B$7,0,'Combined Retirement'!$D$13/12)</f>
        <v>0</v>
      </c>
      <c r="F944" s="25">
        <f>IF(H944=0,'Combined Retirement'!$D$32,0)+'Combined Retirement'!$B$24</f>
        <v>2870.372285649099</v>
      </c>
      <c r="G944" s="25">
        <f>'Combined Retirement'!$C$24</f>
        <v>3525.4531757812501</v>
      </c>
      <c r="H944" s="25">
        <f>IF(B944&lt;62,0,'Combined Retirement'!$I$14)</f>
        <v>2192</v>
      </c>
      <c r="I944" s="25">
        <f>IF(C944&lt;62,0,'Combined Retirement'!$I$13)</f>
        <v>2420</v>
      </c>
      <c r="J944" s="25">
        <f t="shared" si="783"/>
        <v>7863.2184191855868</v>
      </c>
      <c r="K944" s="25">
        <f t="shared" si="784"/>
        <v>20282.026119384056</v>
      </c>
      <c r="L944" s="25"/>
      <c r="N944" s="25">
        <f>'Combined Retirement'!$C$18/12</f>
        <v>39153.069999999992</v>
      </c>
      <c r="O944" s="25">
        <f t="shared" si="785"/>
        <v>11007.82546143035</v>
      </c>
      <c r="P944" s="25">
        <f t="shared" si="786"/>
        <v>28145.244538569641</v>
      </c>
      <c r="Q944" s="25">
        <f t="array" aca="1" ref="Q944" ca="1">INDEX('Isaac 401k'!L:L,MATCH('Retirement Calculator'!A944,'Isaac 401k'!N:N,0),0)</f>
        <v>-7014683.4452939928</v>
      </c>
      <c r="R944" s="25">
        <f t="array" aca="1" ref="R944" ca="1">INDEX('Lorri 401b'!L:L,MATCH('Retirement Calculator'!A944,'Lorri 401b'!N:N,0),0)</f>
        <v>-17858687.396018192</v>
      </c>
      <c r="S944" s="25">
        <f t="shared" ca="1" si="787"/>
        <v>-24873370.841312185</v>
      </c>
    </row>
    <row r="945" spans="1:19" ht="15.75" customHeight="1" x14ac:dyDescent="0.3">
      <c r="A945" s="37">
        <v>79715</v>
      </c>
      <c r="B945" s="409">
        <f t="shared" ref="B945:C945" si="956">($A945-B$9)/365.25</f>
        <v>136.36960985626283</v>
      </c>
      <c r="C945" s="409">
        <f t="shared" si="956"/>
        <v>131.75906913073237</v>
      </c>
      <c r="E945" s="25">
        <f>IF(C945&gt;$B$7,0,'Combined Retirement'!$D$13/12)</f>
        <v>0</v>
      </c>
      <c r="F945" s="25">
        <f>IF(H945=0,'Combined Retirement'!$D$32,0)+'Combined Retirement'!$B$24</f>
        <v>2870.372285649099</v>
      </c>
      <c r="G945" s="25">
        <f>'Combined Retirement'!$C$24</f>
        <v>3525.4531757812501</v>
      </c>
      <c r="H945" s="25">
        <f>IF(B945&lt;62,0,'Combined Retirement'!$I$14)</f>
        <v>2192</v>
      </c>
      <c r="I945" s="25">
        <f>IF(C945&lt;62,0,'Combined Retirement'!$I$13)</f>
        <v>2420</v>
      </c>
      <c r="J945" s="25">
        <f t="shared" si="783"/>
        <v>7863.2184191855868</v>
      </c>
      <c r="K945" s="25">
        <f t="shared" si="784"/>
        <v>20282.026119384056</v>
      </c>
      <c r="L945" s="25"/>
      <c r="N945" s="25">
        <f>'Combined Retirement'!$C$18/12</f>
        <v>39153.069999999992</v>
      </c>
      <c r="O945" s="25">
        <f t="shared" si="785"/>
        <v>11007.82546143035</v>
      </c>
      <c r="P945" s="25">
        <f t="shared" si="786"/>
        <v>28145.244538569641</v>
      </c>
      <c r="Q945" s="25">
        <f t="array" aca="1" ref="Q945" ca="1">INDEX('Isaac 401k'!L:L,MATCH('Retirement Calculator'!A945,'Isaac 401k'!N:N,0),0)</f>
        <v>-7051807.2748119831</v>
      </c>
      <c r="R945" s="25">
        <f t="array" aca="1" ref="R945" ca="1">INDEX('Lorri 401b'!L:L,MATCH('Retirement Calculator'!A945,'Lorri 401b'!N:N,0),0)</f>
        <v>-17953465.12806315</v>
      </c>
      <c r="S945" s="25">
        <f t="shared" ca="1" si="787"/>
        <v>-25005272.402875133</v>
      </c>
    </row>
    <row r="946" spans="1:19" ht="15.75" customHeight="1" x14ac:dyDescent="0.3">
      <c r="A946" s="37">
        <v>79745</v>
      </c>
      <c r="B946" s="409">
        <f t="shared" ref="B946:C946" si="957">($A946-B$9)/365.25</f>
        <v>136.4517453798768</v>
      </c>
      <c r="C946" s="409">
        <f t="shared" si="957"/>
        <v>131.84120465434634</v>
      </c>
      <c r="E946" s="25">
        <f>IF(C946&gt;$B$7,0,'Combined Retirement'!$D$13/12)</f>
        <v>0</v>
      </c>
      <c r="F946" s="25">
        <f>IF(H946=0,'Combined Retirement'!$D$32,0)+'Combined Retirement'!$B$24</f>
        <v>2870.372285649099</v>
      </c>
      <c r="G946" s="25">
        <f>'Combined Retirement'!$C$24</f>
        <v>3525.4531757812501</v>
      </c>
      <c r="H946" s="25">
        <f>IF(B946&lt;62,0,'Combined Retirement'!$I$14)</f>
        <v>2192</v>
      </c>
      <c r="I946" s="25">
        <f>IF(C946&lt;62,0,'Combined Retirement'!$I$13)</f>
        <v>2420</v>
      </c>
      <c r="J946" s="25">
        <f t="shared" si="783"/>
        <v>7863.2184191855868</v>
      </c>
      <c r="K946" s="25">
        <f t="shared" si="784"/>
        <v>20282.026119384056</v>
      </c>
      <c r="L946" s="25"/>
      <c r="N946" s="25">
        <f>'Combined Retirement'!$C$18/12</f>
        <v>39153.069999999992</v>
      </c>
      <c r="O946" s="25">
        <f t="shared" si="785"/>
        <v>11007.82546143035</v>
      </c>
      <c r="P946" s="25">
        <f t="shared" si="786"/>
        <v>28145.244538569641</v>
      </c>
      <c r="Q946" s="25">
        <f t="array" aca="1" ref="Q946" ca="1">INDEX('Isaac 401k'!L:L,MATCH('Retirement Calculator'!A946,'Isaac 401k'!N:N,0),0)</f>
        <v>-7089085.7869529659</v>
      </c>
      <c r="R946" s="25">
        <f t="array" aca="1" ref="R946" ca="1">INDEX('Lorri 401b'!L:L,MATCH('Retirement Calculator'!A946,'Lorri 401b'!N:N,0),0)</f>
        <v>-18048637.767324962</v>
      </c>
      <c r="S946" s="25">
        <f t="shared" ca="1" si="787"/>
        <v>-25137723.554277927</v>
      </c>
    </row>
    <row r="947" spans="1:19" ht="15.75" customHeight="1" x14ac:dyDescent="0.3">
      <c r="A947" s="37">
        <v>79776</v>
      </c>
      <c r="B947" s="409">
        <f t="shared" ref="B947:C947" si="958">($A947-B$9)/365.25</f>
        <v>136.5366187542779</v>
      </c>
      <c r="C947" s="409">
        <f t="shared" si="958"/>
        <v>131.92607802874744</v>
      </c>
      <c r="E947" s="25">
        <f>IF(C947&gt;$B$7,0,'Combined Retirement'!$D$13/12)</f>
        <v>0</v>
      </c>
      <c r="F947" s="25">
        <f>IF(H947=0,'Combined Retirement'!$D$32,0)+'Combined Retirement'!$B$24</f>
        <v>2870.372285649099</v>
      </c>
      <c r="G947" s="25">
        <f>'Combined Retirement'!$C$24</f>
        <v>3525.4531757812501</v>
      </c>
      <c r="H947" s="25">
        <f>IF(B947&lt;62,0,'Combined Retirement'!$I$14)</f>
        <v>2192</v>
      </c>
      <c r="I947" s="25">
        <f>IF(C947&lt;62,0,'Combined Retirement'!$I$13)</f>
        <v>2420</v>
      </c>
      <c r="J947" s="25">
        <f t="shared" si="783"/>
        <v>7863.2184191855868</v>
      </c>
      <c r="K947" s="25">
        <f t="shared" si="784"/>
        <v>20282.026119384056</v>
      </c>
      <c r="L947" s="25"/>
      <c r="N947" s="25">
        <f>'Combined Retirement'!$C$18/12</f>
        <v>39153.069999999992</v>
      </c>
      <c r="O947" s="25">
        <f t="shared" si="785"/>
        <v>11007.82546143035</v>
      </c>
      <c r="P947" s="25">
        <f t="shared" si="786"/>
        <v>28145.244538569641</v>
      </c>
      <c r="Q947" s="25">
        <f t="array" aca="1" ref="Q947" ca="1">INDEX('Isaac 401k'!L:L,MATCH('Retirement Calculator'!A947,'Isaac 401k'!N:N,0),0)</f>
        <v>-7126519.6262278687</v>
      </c>
      <c r="R947" s="25">
        <f t="array" aca="1" ref="R947" ca="1">INDEX('Lorri 401b'!L:L,MATCH('Retirement Calculator'!A947,'Lorri 401b'!N:N,0),0)</f>
        <v>-18144206.959250364</v>
      </c>
      <c r="S947" s="25">
        <f t="shared" ca="1" si="787"/>
        <v>-25270726.585478231</v>
      </c>
    </row>
    <row r="948" spans="1:19" ht="15.75" customHeight="1" x14ac:dyDescent="0.3">
      <c r="A948" s="37">
        <v>79806</v>
      </c>
      <c r="B948" s="409">
        <f t="shared" ref="B948:C948" si="959">($A948-B$9)/365.25</f>
        <v>136.61875427789187</v>
      </c>
      <c r="C948" s="409">
        <f t="shared" si="959"/>
        <v>132.00821355236138</v>
      </c>
      <c r="E948" s="25">
        <f>IF(C948&gt;$B$7,0,'Combined Retirement'!$D$13/12)</f>
        <v>0</v>
      </c>
      <c r="F948" s="25">
        <f>IF(H948=0,'Combined Retirement'!$D$32,0)+'Combined Retirement'!$B$24</f>
        <v>2870.372285649099</v>
      </c>
      <c r="G948" s="25">
        <f>'Combined Retirement'!$C$24</f>
        <v>3525.4531757812501</v>
      </c>
      <c r="H948" s="25">
        <f>IF(B948&lt;62,0,'Combined Retirement'!$I$14)</f>
        <v>2192</v>
      </c>
      <c r="I948" s="25">
        <f>IF(C948&lt;62,0,'Combined Retirement'!$I$13)</f>
        <v>2420</v>
      </c>
      <c r="J948" s="25">
        <f t="shared" si="783"/>
        <v>7863.2184191855868</v>
      </c>
      <c r="K948" s="25">
        <f t="shared" si="784"/>
        <v>20282.026119384056</v>
      </c>
      <c r="L948" s="25"/>
      <c r="N948" s="25">
        <f>'Combined Retirement'!$C$18/12</f>
        <v>39153.069999999992</v>
      </c>
      <c r="O948" s="25">
        <f t="shared" si="785"/>
        <v>11007.82546143035</v>
      </c>
      <c r="P948" s="25">
        <f t="shared" si="786"/>
        <v>28145.244538569641</v>
      </c>
      <c r="Q948" s="25">
        <f t="array" aca="1" ref="Q948" ca="1">INDEX('Isaac 401k'!L:L,MATCH('Retirement Calculator'!A948,'Isaac 401k'!N:N,0),0)</f>
        <v>-7164109.4398330841</v>
      </c>
      <c r="R948" s="25">
        <f t="array" aca="1" ref="R948" ca="1">INDEX('Lorri 401b'!L:L,MATCH('Retirement Calculator'!A948,'Lorri 401b'!N:N,0),0)</f>
        <v>-18240174.356142122</v>
      </c>
      <c r="S948" s="25">
        <f t="shared" ca="1" si="787"/>
        <v>-25404283.795975208</v>
      </c>
    </row>
    <row r="949" spans="1:19" ht="15.75" customHeight="1" x14ac:dyDescent="0.3">
      <c r="A949" s="37">
        <v>79837</v>
      </c>
      <c r="B949" s="409">
        <f t="shared" ref="B949:C949" si="960">($A949-B$9)/365.25</f>
        <v>136.70362765229294</v>
      </c>
      <c r="C949" s="409">
        <f t="shared" si="960"/>
        <v>132.09308692676248</v>
      </c>
      <c r="E949" s="25">
        <f>IF(C949&gt;$B$7,0,'Combined Retirement'!$D$13/12)</f>
        <v>0</v>
      </c>
      <c r="F949" s="25">
        <f>IF(H949=0,'Combined Retirement'!$D$32,0)+'Combined Retirement'!$B$24</f>
        <v>2870.372285649099</v>
      </c>
      <c r="G949" s="25">
        <f>'Combined Retirement'!$C$24</f>
        <v>3525.4531757812501</v>
      </c>
      <c r="H949" s="25">
        <f>IF(B949&lt;62,0,'Combined Retirement'!$I$14)</f>
        <v>2192</v>
      </c>
      <c r="I949" s="25">
        <f>IF(C949&lt;62,0,'Combined Retirement'!$I$13)</f>
        <v>2420</v>
      </c>
      <c r="J949" s="25">
        <f t="shared" si="783"/>
        <v>7863.2184191855868</v>
      </c>
      <c r="K949" s="25">
        <f t="shared" si="784"/>
        <v>20282.026119384056</v>
      </c>
      <c r="L949" s="25"/>
      <c r="N949" s="25">
        <f>'Combined Retirement'!$C$18/12</f>
        <v>39153.069999999992</v>
      </c>
      <c r="O949" s="25">
        <f t="shared" si="785"/>
        <v>11007.82546143035</v>
      </c>
      <c r="P949" s="25">
        <f t="shared" si="786"/>
        <v>28145.244538569641</v>
      </c>
      <c r="Q949" s="25">
        <f t="array" aca="1" ref="Q949" ca="1">INDEX('Isaac 401k'!L:L,MATCH('Retirement Calculator'!A949,'Isaac 401k'!N:N,0),0)</f>
        <v>-7201855.8776616547</v>
      </c>
      <c r="R949" s="25">
        <f t="array" aca="1" ref="R949" ca="1">INDEX('Lorri 401b'!L:L,MATCH('Retirement Calculator'!A949,'Lorri 401b'!N:N,0),0)</f>
        <v>-18336541.617187597</v>
      </c>
      <c r="S949" s="25">
        <f t="shared" ca="1" si="787"/>
        <v>-25538397.49484925</v>
      </c>
    </row>
    <row r="950" spans="1:19" ht="15.75" customHeight="1" x14ac:dyDescent="0.3">
      <c r="A950" s="37">
        <v>79868</v>
      </c>
      <c r="B950" s="409">
        <f t="shared" ref="B950:C950" si="961">($A950-B$9)/365.25</f>
        <v>136.78850102669404</v>
      </c>
      <c r="C950" s="409">
        <f t="shared" si="961"/>
        <v>132.17796030116358</v>
      </c>
      <c r="E950" s="25">
        <f>IF(C950&gt;$B$7,0,'Combined Retirement'!$D$13/12)</f>
        <v>0</v>
      </c>
      <c r="F950" s="25">
        <f>IF(H950=0,'Combined Retirement'!$D$32,0)+'Combined Retirement'!$B$24</f>
        <v>2870.372285649099</v>
      </c>
      <c r="G950" s="25">
        <f>'Combined Retirement'!$C$24</f>
        <v>3525.4531757812501</v>
      </c>
      <c r="H950" s="25">
        <f>IF(B950&lt;62,0,'Combined Retirement'!$I$14)</f>
        <v>2192</v>
      </c>
      <c r="I950" s="25">
        <f>IF(C950&lt;62,0,'Combined Retirement'!$I$13)</f>
        <v>2420</v>
      </c>
      <c r="J950" s="25">
        <f t="shared" si="783"/>
        <v>7863.2184191855868</v>
      </c>
      <c r="K950" s="25">
        <f t="shared" si="784"/>
        <v>20282.026119384056</v>
      </c>
      <c r="L950" s="25"/>
      <c r="N950" s="25">
        <f>'Combined Retirement'!$C$18/12</f>
        <v>39153.069999999992</v>
      </c>
      <c r="O950" s="25">
        <f t="shared" si="785"/>
        <v>11007.82546143035</v>
      </c>
      <c r="P950" s="25">
        <f t="shared" si="786"/>
        <v>28145.244538569641</v>
      </c>
      <c r="Q950" s="25">
        <f t="array" aca="1" ref="Q950" ca="1">INDEX('Isaac 401k'!L:L,MATCH('Retirement Calculator'!A950,'Isaac 401k'!N:N,0),0)</f>
        <v>-7239759.5923145106</v>
      </c>
      <c r="R950" s="25">
        <f t="array" aca="1" ref="R950" ca="1">INDEX('Lorri 401b'!L:L,MATCH('Retirement Calculator'!A950,'Lorri 401b'!N:N,0),0)</f>
        <v>-18433310.408487428</v>
      </c>
      <c r="S950" s="25">
        <f t="shared" ca="1" si="787"/>
        <v>-25673070.00080194</v>
      </c>
    </row>
    <row r="951" spans="1:19" ht="15.75" customHeight="1" x14ac:dyDescent="0.3">
      <c r="A951" s="37">
        <v>79898</v>
      </c>
      <c r="B951" s="409">
        <f t="shared" ref="B951:C951" si="962">($A951-B$9)/365.25</f>
        <v>136.87063655030801</v>
      </c>
      <c r="C951" s="409">
        <f t="shared" si="962"/>
        <v>132.26009582477755</v>
      </c>
      <c r="E951" s="25">
        <f>IF(C951&gt;$B$7,0,'Combined Retirement'!$D$13/12)</f>
        <v>0</v>
      </c>
      <c r="F951" s="25">
        <f>IF(H951=0,'Combined Retirement'!$D$32,0)+'Combined Retirement'!$B$24</f>
        <v>2870.372285649099</v>
      </c>
      <c r="G951" s="25">
        <f>'Combined Retirement'!$C$24</f>
        <v>3525.4531757812501</v>
      </c>
      <c r="H951" s="25">
        <f>IF(B951&lt;62,0,'Combined Retirement'!$I$14)</f>
        <v>2192</v>
      </c>
      <c r="I951" s="25">
        <f>IF(C951&lt;62,0,'Combined Retirement'!$I$13)</f>
        <v>2420</v>
      </c>
      <c r="J951" s="25">
        <f t="shared" si="783"/>
        <v>7863.2184191855868</v>
      </c>
      <c r="K951" s="25">
        <f t="shared" si="784"/>
        <v>20282.026119384056</v>
      </c>
      <c r="L951" s="25"/>
      <c r="N951" s="25">
        <f>'Combined Retirement'!$C$18/12</f>
        <v>39153.069999999992</v>
      </c>
      <c r="O951" s="25">
        <f t="shared" si="785"/>
        <v>11007.82546143035</v>
      </c>
      <c r="P951" s="25">
        <f t="shared" si="786"/>
        <v>28145.244538569641</v>
      </c>
      <c r="Q951" s="25">
        <f t="array" aca="1" ref="Q951" ca="1">INDEX('Isaac 401k'!L:L,MATCH('Retirement Calculator'!A951,'Isaac 401k'!N:N,0),0)</f>
        <v>-7277821.2391117532</v>
      </c>
      <c r="R951" s="25">
        <f t="array" aca="1" ref="R951" ca="1">INDEX('Lorri 401b'!L:L,MATCH('Retirement Calculator'!A951,'Lorri 401b'!N:N,0),0)</f>
        <v>-18530482.403084341</v>
      </c>
      <c r="S951" s="25">
        <f t="shared" ca="1" si="787"/>
        <v>-25808303.642196096</v>
      </c>
    </row>
    <row r="952" spans="1:19" ht="15.75" customHeight="1" x14ac:dyDescent="0.3">
      <c r="A952" s="37">
        <v>79929</v>
      </c>
      <c r="B952" s="409">
        <f t="shared" ref="B952:C952" si="963">($A952-B$9)/365.25</f>
        <v>136.95550992470911</v>
      </c>
      <c r="C952" s="409">
        <f t="shared" si="963"/>
        <v>132.34496919917865</v>
      </c>
      <c r="E952" s="25">
        <f>IF(C952&gt;$B$7,0,'Combined Retirement'!$D$13/12)</f>
        <v>0</v>
      </c>
      <c r="F952" s="25">
        <f>IF(H952=0,'Combined Retirement'!$D$32,0)+'Combined Retirement'!$B$24</f>
        <v>2870.372285649099</v>
      </c>
      <c r="G952" s="25">
        <f>'Combined Retirement'!$C$24</f>
        <v>3525.4531757812501</v>
      </c>
      <c r="H952" s="25">
        <f>IF(B952&lt;62,0,'Combined Retirement'!$I$14)</f>
        <v>2192</v>
      </c>
      <c r="I952" s="25">
        <f>IF(C952&lt;62,0,'Combined Retirement'!$I$13)</f>
        <v>2420</v>
      </c>
      <c r="J952" s="25">
        <f t="shared" si="783"/>
        <v>7863.2184191855868</v>
      </c>
      <c r="K952" s="25">
        <f t="shared" si="784"/>
        <v>20282.026119384056</v>
      </c>
      <c r="L952" s="25"/>
      <c r="N952" s="25">
        <f>'Combined Retirement'!$C$18/12</f>
        <v>39153.069999999992</v>
      </c>
      <c r="O952" s="25">
        <f t="shared" si="785"/>
        <v>11007.82546143035</v>
      </c>
      <c r="P952" s="25">
        <f t="shared" si="786"/>
        <v>28145.244538569641</v>
      </c>
      <c r="Q952" s="25">
        <f t="array" aca="1" ref="Q952" ca="1">INDEX('Isaac 401k'!L:L,MATCH('Retirement Calculator'!A952,'Isaac 401k'!N:N,0),0)</f>
        <v>-7316041.4761039848</v>
      </c>
      <c r="R952" s="25">
        <f t="array" aca="1" ref="R952" ca="1">INDEX('Lorri 401b'!L:L,MATCH('Retirement Calculator'!A952,'Lorri 401b'!N:N,0),0)</f>
        <v>-18628059.280992076</v>
      </c>
      <c r="S952" s="25">
        <f t="shared" ca="1" si="787"/>
        <v>-25944100.75709606</v>
      </c>
    </row>
    <row r="953" spans="1:19" ht="15.75" customHeight="1" x14ac:dyDescent="0.3">
      <c r="A953" s="37">
        <v>79959</v>
      </c>
      <c r="B953" s="409">
        <f t="shared" ref="B953:C953" si="964">($A953-B$9)/365.25</f>
        <v>137.03764544832308</v>
      </c>
      <c r="C953" s="409">
        <f t="shared" si="964"/>
        <v>132.42710472279262</v>
      </c>
      <c r="E953" s="25">
        <f>IF(C953&gt;$B$7,0,'Combined Retirement'!$D$13/12)</f>
        <v>0</v>
      </c>
      <c r="F953" s="25">
        <f>IF(H953=0,'Combined Retirement'!$D$32,0)+'Combined Retirement'!$B$24</f>
        <v>2870.372285649099</v>
      </c>
      <c r="G953" s="25">
        <f>'Combined Retirement'!$C$24</f>
        <v>3525.4531757812501</v>
      </c>
      <c r="H953" s="25">
        <f>IF(B953&lt;62,0,'Combined Retirement'!$I$14)</f>
        <v>2192</v>
      </c>
      <c r="I953" s="25">
        <f>IF(C953&lt;62,0,'Combined Retirement'!$I$13)</f>
        <v>2420</v>
      </c>
      <c r="J953" s="25">
        <f t="shared" si="783"/>
        <v>7863.2184191855868</v>
      </c>
      <c r="K953" s="25">
        <f t="shared" si="784"/>
        <v>20282.026119384056</v>
      </c>
      <c r="L953" s="25"/>
      <c r="N953" s="25">
        <f>'Combined Retirement'!$C$18/12</f>
        <v>39153.069999999992</v>
      </c>
      <c r="O953" s="25">
        <f t="shared" si="785"/>
        <v>11007.82546143035</v>
      </c>
      <c r="P953" s="25">
        <f t="shared" si="786"/>
        <v>28145.244538569641</v>
      </c>
      <c r="Q953" s="25">
        <f t="array" aca="1" ref="Q953" ca="1">INDEX('Isaac 401k'!L:L,MATCH('Retirement Calculator'!A953,'Isaac 401k'!N:N,0),0)</f>
        <v>-7354420.9640836837</v>
      </c>
      <c r="R953" s="25">
        <f t="array" aca="1" ref="R953" ca="1">INDEX('Lorri 401b'!L:L,MATCH('Retirement Calculator'!A953,'Lorri 401b'!N:N,0),0)</f>
        <v>-18726042.729224425</v>
      </c>
      <c r="S953" s="25">
        <f t="shared" ca="1" si="787"/>
        <v>-26080463.693308108</v>
      </c>
    </row>
    <row r="954" spans="1:19" ht="15.75" customHeight="1" x14ac:dyDescent="0.3">
      <c r="A954" s="37">
        <v>79990</v>
      </c>
      <c r="B954" s="409">
        <f t="shared" ref="B954:C954" si="965">($A954-B$9)/365.25</f>
        <v>137.12251882272417</v>
      </c>
      <c r="C954" s="409">
        <f t="shared" si="965"/>
        <v>132.51197809719369</v>
      </c>
      <c r="E954" s="25">
        <f>IF(C954&gt;$B$7,0,'Combined Retirement'!$D$13/12)</f>
        <v>0</v>
      </c>
      <c r="F954" s="25">
        <f>IF(H954=0,'Combined Retirement'!$D$32,0)+'Combined Retirement'!$B$24</f>
        <v>2870.372285649099</v>
      </c>
      <c r="G954" s="25">
        <f>'Combined Retirement'!$C$24</f>
        <v>3525.4531757812501</v>
      </c>
      <c r="H954" s="25">
        <f>IF(B954&lt;62,0,'Combined Retirement'!$I$14)</f>
        <v>2192</v>
      </c>
      <c r="I954" s="25">
        <f>IF(C954&lt;62,0,'Combined Retirement'!$I$13)</f>
        <v>2420</v>
      </c>
      <c r="J954" s="25">
        <f t="shared" si="783"/>
        <v>7863.2184191855868</v>
      </c>
      <c r="K954" s="25">
        <f t="shared" si="784"/>
        <v>20282.026119384056</v>
      </c>
      <c r="L954" s="25"/>
      <c r="N954" s="25">
        <f>'Combined Retirement'!$C$18/12</f>
        <v>39153.069999999992</v>
      </c>
      <c r="O954" s="25">
        <f t="shared" si="785"/>
        <v>11007.82546143035</v>
      </c>
      <c r="P954" s="25">
        <f t="shared" si="786"/>
        <v>28145.244538569641</v>
      </c>
      <c r="Q954" s="25">
        <f t="array" aca="1" ref="Q954" ca="1">INDEX('Isaac 401k'!L:L,MATCH('Retirement Calculator'!A954,'Isaac 401k'!N:N,0),0)</f>
        <v>-7392960.3665966317</v>
      </c>
      <c r="R954" s="25">
        <f t="array" aca="1" ref="R954" ca="1">INDEX('Lorri 401b'!L:L,MATCH('Retirement Calculator'!A954,'Lorri 401b'!N:N,0),0)</f>
        <v>-18824434.44182441</v>
      </c>
      <c r="S954" s="25">
        <f t="shared" ca="1" si="787"/>
        <v>-26217394.808421042</v>
      </c>
    </row>
    <row r="955" spans="1:19" ht="15.75" customHeight="1" x14ac:dyDescent="0.3">
      <c r="A955" s="37">
        <v>80021</v>
      </c>
      <c r="B955" s="409">
        <f t="shared" ref="B955:C955" si="966">($A955-B$9)/365.25</f>
        <v>137.20739219712524</v>
      </c>
      <c r="C955" s="409">
        <f t="shared" si="966"/>
        <v>132.59685147159479</v>
      </c>
      <c r="E955" s="25">
        <f>IF(C955&gt;$B$7,0,'Combined Retirement'!$D$13/12)</f>
        <v>0</v>
      </c>
      <c r="F955" s="25">
        <f>IF(H955=0,'Combined Retirement'!$D$32,0)+'Combined Retirement'!$B$24</f>
        <v>2870.372285649099</v>
      </c>
      <c r="G955" s="25">
        <f>'Combined Retirement'!$C$24</f>
        <v>3525.4531757812501</v>
      </c>
      <c r="H955" s="25">
        <f>IF(B955&lt;62,0,'Combined Retirement'!$I$14)</f>
        <v>2192</v>
      </c>
      <c r="I955" s="25">
        <f>IF(C955&lt;62,0,'Combined Retirement'!$I$13)</f>
        <v>2420</v>
      </c>
      <c r="J955" s="25">
        <f t="shared" si="783"/>
        <v>7863.2184191855868</v>
      </c>
      <c r="K955" s="25">
        <f t="shared" si="784"/>
        <v>20282.026119384056</v>
      </c>
      <c r="L955" s="25"/>
      <c r="N955" s="25">
        <f>'Combined Retirement'!$C$18/12</f>
        <v>39153.069999999992</v>
      </c>
      <c r="O955" s="25">
        <f t="shared" si="785"/>
        <v>11007.82546143035</v>
      </c>
      <c r="P955" s="25">
        <f t="shared" si="786"/>
        <v>28145.244538569641</v>
      </c>
      <c r="Q955" s="25">
        <f t="array" aca="1" ref="Q955" ca="1">INDEX('Isaac 401k'!L:L,MATCH('Retirement Calculator'!A955,'Isaac 401k'!N:N,0),0)</f>
        <v>-7431660.3499533832</v>
      </c>
      <c r="R955" s="25">
        <f t="array" aca="1" ref="R955" ca="1">INDEX('Lorri 401b'!L:L,MATCH('Retirement Calculator'!A955,'Lorri 401b'!N:N,0),0)</f>
        <v>-18923236.119893562</v>
      </c>
      <c r="S955" s="25">
        <f t="shared" ca="1" si="787"/>
        <v>-26354896.469846945</v>
      </c>
    </row>
    <row r="956" spans="1:19" ht="15.75" customHeight="1" x14ac:dyDescent="0.3">
      <c r="A956" s="37">
        <v>80049</v>
      </c>
      <c r="B956" s="409">
        <f t="shared" ref="B956:C956" si="967">($A956-B$9)/365.25</f>
        <v>137.28405201916496</v>
      </c>
      <c r="C956" s="409">
        <f t="shared" si="967"/>
        <v>132.6735112936345</v>
      </c>
      <c r="E956" s="25">
        <f>IF(C956&gt;$B$7,0,'Combined Retirement'!$D$13/12)</f>
        <v>0</v>
      </c>
      <c r="F956" s="25">
        <f>IF(H956=0,'Combined Retirement'!$D$32,0)+'Combined Retirement'!$B$24</f>
        <v>2870.372285649099</v>
      </c>
      <c r="G956" s="25">
        <f>'Combined Retirement'!$C$24</f>
        <v>3525.4531757812501</v>
      </c>
      <c r="H956" s="25">
        <f>IF(B956&lt;62,0,'Combined Retirement'!$I$14)</f>
        <v>2192</v>
      </c>
      <c r="I956" s="25">
        <f>IF(C956&lt;62,0,'Combined Retirement'!$I$13)</f>
        <v>2420</v>
      </c>
      <c r="J956" s="25">
        <f t="shared" si="783"/>
        <v>7863.2184191855868</v>
      </c>
      <c r="K956" s="25">
        <f t="shared" si="784"/>
        <v>20282.026119384056</v>
      </c>
      <c r="L956" s="25"/>
      <c r="N956" s="25">
        <f>'Combined Retirement'!$C$18/12</f>
        <v>39153.069999999992</v>
      </c>
      <c r="O956" s="25">
        <f t="shared" si="785"/>
        <v>11007.82546143035</v>
      </c>
      <c r="P956" s="25">
        <f t="shared" si="786"/>
        <v>28145.244538569641</v>
      </c>
      <c r="Q956" s="25">
        <f t="array" aca="1" ref="Q956" ca="1">INDEX('Isaac 401k'!L:L,MATCH('Retirement Calculator'!A956,'Isaac 401k'!N:N,0),0)</f>
        <v>-7470521.5832407884</v>
      </c>
      <c r="R956" s="25">
        <f t="array" aca="1" ref="R956" ca="1">INDEX('Lorri 401b'!L:L,MATCH('Retirement Calculator'!A956,'Lorri 401b'!N:N,0),0)</f>
        <v>-19022449.471621335</v>
      </c>
      <c r="S956" s="25">
        <f t="shared" ca="1" si="787"/>
        <v>-26492971.054862123</v>
      </c>
    </row>
    <row r="957" spans="1:19" ht="15.75" customHeight="1" x14ac:dyDescent="0.3">
      <c r="A957" s="37">
        <v>80080</v>
      </c>
      <c r="B957" s="409">
        <f t="shared" ref="B957:C957" si="968">($A957-B$9)/365.25</f>
        <v>137.36892539356606</v>
      </c>
      <c r="C957" s="409">
        <f t="shared" si="968"/>
        <v>132.7583846680356</v>
      </c>
      <c r="E957" s="25">
        <f>IF(C957&gt;$B$7,0,'Combined Retirement'!$D$13/12)</f>
        <v>0</v>
      </c>
      <c r="F957" s="25">
        <f>IF(H957=0,'Combined Retirement'!$D$32,0)+'Combined Retirement'!$B$24</f>
        <v>2870.372285649099</v>
      </c>
      <c r="G957" s="25">
        <f>'Combined Retirement'!$C$24</f>
        <v>3525.4531757812501</v>
      </c>
      <c r="H957" s="25">
        <f>IF(B957&lt;62,0,'Combined Retirement'!$I$14)</f>
        <v>2192</v>
      </c>
      <c r="I957" s="25">
        <f>IF(C957&lt;62,0,'Combined Retirement'!$I$13)</f>
        <v>2420</v>
      </c>
      <c r="J957" s="25">
        <f t="shared" si="783"/>
        <v>7863.2184191855868</v>
      </c>
      <c r="K957" s="25">
        <f t="shared" si="784"/>
        <v>20282.026119384056</v>
      </c>
      <c r="L957" s="25"/>
      <c r="N957" s="25">
        <f>'Combined Retirement'!$C$18/12</f>
        <v>39153.069999999992</v>
      </c>
      <c r="O957" s="25">
        <f t="shared" si="785"/>
        <v>11007.82546143035</v>
      </c>
      <c r="P957" s="25">
        <f t="shared" si="786"/>
        <v>28145.244538569641</v>
      </c>
      <c r="Q957" s="25">
        <f t="array" aca="1" ref="Q957" ca="1">INDEX('Isaac 401k'!L:L,MATCH('Retirement Calculator'!A957,'Isaac 401k'!N:N,0),0)</f>
        <v>-7509544.7383335577</v>
      </c>
      <c r="R957" s="25">
        <f t="array" aca="1" ref="R957" ca="1">INDEX('Lorri 401b'!L:L,MATCH('Retirement Calculator'!A957,'Lorri 401b'!N:N,0),0)</f>
        <v>-19122076.212314639</v>
      </c>
      <c r="S957" s="25">
        <f t="shared" ca="1" si="787"/>
        <v>-26631620.950648196</v>
      </c>
    </row>
    <row r="958" spans="1:19" ht="15.75" customHeight="1" x14ac:dyDescent="0.3">
      <c r="A958" s="37">
        <v>80110</v>
      </c>
      <c r="B958" s="409">
        <f t="shared" ref="B958:C958" si="969">($A958-B$9)/365.25</f>
        <v>137.45106091718</v>
      </c>
      <c r="C958" s="409">
        <f t="shared" si="969"/>
        <v>132.84052019164955</v>
      </c>
      <c r="E958" s="25">
        <f>IF(C958&gt;$B$7,0,'Combined Retirement'!$D$13/12)</f>
        <v>0</v>
      </c>
      <c r="F958" s="25">
        <f>IF(H958=0,'Combined Retirement'!$D$32,0)+'Combined Retirement'!$B$24</f>
        <v>2870.372285649099</v>
      </c>
      <c r="G958" s="25">
        <f>'Combined Retirement'!$C$24</f>
        <v>3525.4531757812501</v>
      </c>
      <c r="H958" s="25">
        <f>IF(B958&lt;62,0,'Combined Retirement'!$I$14)</f>
        <v>2192</v>
      </c>
      <c r="I958" s="25">
        <f>IF(C958&lt;62,0,'Combined Retirement'!$I$13)</f>
        <v>2420</v>
      </c>
      <c r="J958" s="25">
        <f t="shared" si="783"/>
        <v>7863.2184191855868</v>
      </c>
      <c r="K958" s="25">
        <f t="shared" si="784"/>
        <v>20282.026119384056</v>
      </c>
      <c r="L958" s="25"/>
      <c r="N958" s="25">
        <f>'Combined Retirement'!$C$18/12</f>
        <v>39153.069999999992</v>
      </c>
      <c r="O958" s="25">
        <f t="shared" si="785"/>
        <v>11007.82546143035</v>
      </c>
      <c r="P958" s="25">
        <f t="shared" si="786"/>
        <v>28145.244538569641</v>
      </c>
      <c r="Q958" s="25">
        <f t="array" aca="1" ref="Q958" ca="1">INDEX('Isaac 401k'!L:L,MATCH('Retirement Calculator'!A958,'Isaac 401k'!N:N,0),0)</f>
        <v>-7548730.4899058798</v>
      </c>
      <c r="R958" s="25">
        <f t="array" aca="1" ref="R958" ca="1">INDEX('Lorri 401b'!L:L,MATCH('Retirement Calculator'!A958,'Lorri 401b'!N:N,0),0)</f>
        <v>-19222118.064427499</v>
      </c>
      <c r="S958" s="25">
        <f t="shared" ca="1" si="787"/>
        <v>-26770848.554333378</v>
      </c>
    </row>
    <row r="959" spans="1:19" ht="15.75" customHeight="1" x14ac:dyDescent="0.3">
      <c r="A959" s="37">
        <v>80141</v>
      </c>
      <c r="B959" s="409">
        <f t="shared" ref="B959:C959" si="970">($A959-B$9)/365.25</f>
        <v>137.5359342915811</v>
      </c>
      <c r="C959" s="409">
        <f t="shared" si="970"/>
        <v>132.92539356605064</v>
      </c>
      <c r="E959" s="25">
        <f>IF(C959&gt;$B$7,0,'Combined Retirement'!$D$13/12)</f>
        <v>0</v>
      </c>
      <c r="F959" s="25">
        <f>IF(H959=0,'Combined Retirement'!$D$32,0)+'Combined Retirement'!$B$24</f>
        <v>2870.372285649099</v>
      </c>
      <c r="G959" s="25">
        <f>'Combined Retirement'!$C$24</f>
        <v>3525.4531757812501</v>
      </c>
      <c r="H959" s="25">
        <f>IF(B959&lt;62,0,'Combined Retirement'!$I$14)</f>
        <v>2192</v>
      </c>
      <c r="I959" s="25">
        <f>IF(C959&lt;62,0,'Combined Retirement'!$I$13)</f>
        <v>2420</v>
      </c>
      <c r="J959" s="25">
        <f t="shared" si="783"/>
        <v>7863.2184191855868</v>
      </c>
      <c r="K959" s="25">
        <f t="shared" si="784"/>
        <v>20282.026119384056</v>
      </c>
      <c r="L959" s="25"/>
      <c r="N959" s="25">
        <f>'Combined Retirement'!$C$18/12</f>
        <v>39153.069999999992</v>
      </c>
      <c r="O959" s="25">
        <f t="shared" si="785"/>
        <v>11007.82546143035</v>
      </c>
      <c r="P959" s="25">
        <f t="shared" si="786"/>
        <v>28145.244538569641</v>
      </c>
      <c r="Q959" s="25">
        <f t="array" aca="1" ref="Q959" ca="1">INDEX('Isaac 401k'!L:L,MATCH('Retirement Calculator'!A959,'Isaac 401k'!N:N,0),0)</f>
        <v>-7588079.5154430866</v>
      </c>
      <c r="R959" s="25">
        <f t="array" aca="1" ref="R959" ca="1">INDEX('Lorri 401b'!L:L,MATCH('Retirement Calculator'!A959,'Lorri 401b'!N:N,0),0)</f>
        <v>-19322576.75759083</v>
      </c>
      <c r="S959" s="25">
        <f t="shared" ca="1" si="787"/>
        <v>-26910656.273033917</v>
      </c>
    </row>
    <row r="960" spans="1:19" ht="15.75" customHeight="1" x14ac:dyDescent="0.3">
      <c r="A960" s="37">
        <v>80171</v>
      </c>
      <c r="B960" s="409">
        <f t="shared" ref="B960:C960" si="971">($A960-B$9)/365.25</f>
        <v>137.61806981519507</v>
      </c>
      <c r="C960" s="409">
        <f t="shared" si="971"/>
        <v>133.00752908966462</v>
      </c>
      <c r="E960" s="25">
        <f>IF(C960&gt;$B$7,0,'Combined Retirement'!$D$13/12)</f>
        <v>0</v>
      </c>
      <c r="F960" s="25">
        <f>IF(H960=0,'Combined Retirement'!$D$32,0)+'Combined Retirement'!$B$24</f>
        <v>2870.372285649099</v>
      </c>
      <c r="G960" s="25">
        <f>'Combined Retirement'!$C$24</f>
        <v>3525.4531757812501</v>
      </c>
      <c r="H960" s="25">
        <f>IF(B960&lt;62,0,'Combined Retirement'!$I$14)</f>
        <v>2192</v>
      </c>
      <c r="I960" s="25">
        <f>IF(C960&lt;62,0,'Combined Retirement'!$I$13)</f>
        <v>2420</v>
      </c>
      <c r="J960" s="25">
        <f t="shared" si="783"/>
        <v>7863.2184191855868</v>
      </c>
      <c r="K960" s="25">
        <f t="shared" si="784"/>
        <v>20282.026119384056</v>
      </c>
      <c r="L960" s="25"/>
      <c r="N960" s="25">
        <f>'Combined Retirement'!$C$18/12</f>
        <v>39153.069999999992</v>
      </c>
      <c r="O960" s="25">
        <f t="shared" si="785"/>
        <v>11007.82546143035</v>
      </c>
      <c r="P960" s="25">
        <f t="shared" si="786"/>
        <v>28145.244538569641</v>
      </c>
      <c r="Q960" s="25">
        <f t="array" aca="1" ref="Q960" ca="1">INDEX('Isaac 401k'!L:L,MATCH('Retirement Calculator'!A960,'Isaac 401k'!N:N,0),0)</f>
        <v>-7627592.4952533655</v>
      </c>
      <c r="R960" s="25">
        <f t="array" aca="1" ref="R960" ca="1">INDEX('Lorri 401b'!L:L,MATCH('Retirement Calculator'!A960,'Lorri 401b'!N:N,0),0)</f>
        <v>-19423454.028642341</v>
      </c>
      <c r="S960" s="25">
        <f t="shared" ca="1" si="787"/>
        <v>-27051046.523895707</v>
      </c>
    </row>
    <row r="961" spans="1:19" ht="15.75" customHeight="1" x14ac:dyDescent="0.3">
      <c r="A961" s="37">
        <v>80202</v>
      </c>
      <c r="B961" s="409">
        <f t="shared" ref="B961:C961" si="972">($A961-B$9)/365.25</f>
        <v>137.70294318959617</v>
      </c>
      <c r="C961" s="409">
        <f t="shared" si="972"/>
        <v>133.09240246406571</v>
      </c>
      <c r="E961" s="25">
        <f>IF(C961&gt;$B$7,0,'Combined Retirement'!$D$13/12)</f>
        <v>0</v>
      </c>
      <c r="F961" s="25">
        <f>IF(H961=0,'Combined Retirement'!$D$32,0)+'Combined Retirement'!$B$24</f>
        <v>2870.372285649099</v>
      </c>
      <c r="G961" s="25">
        <f>'Combined Retirement'!$C$24</f>
        <v>3525.4531757812501</v>
      </c>
      <c r="H961" s="25">
        <f>IF(B961&lt;62,0,'Combined Retirement'!$I$14)</f>
        <v>2192</v>
      </c>
      <c r="I961" s="25">
        <f>IF(C961&lt;62,0,'Combined Retirement'!$I$13)</f>
        <v>2420</v>
      </c>
      <c r="J961" s="25">
        <f t="shared" si="783"/>
        <v>7863.2184191855868</v>
      </c>
      <c r="K961" s="25">
        <f t="shared" si="784"/>
        <v>20282.026119384056</v>
      </c>
      <c r="L961" s="25"/>
      <c r="N961" s="25">
        <f>'Combined Retirement'!$C$18/12</f>
        <v>39153.069999999992</v>
      </c>
      <c r="O961" s="25">
        <f t="shared" si="785"/>
        <v>11007.82546143035</v>
      </c>
      <c r="P961" s="25">
        <f t="shared" si="786"/>
        <v>28145.244538569641</v>
      </c>
      <c r="Q961" s="25">
        <f t="array" aca="1" ref="Q961" ca="1">INDEX('Isaac 401k'!L:L,MATCH('Retirement Calculator'!A961,'Isaac 401k'!N:N,0),0)</f>
        <v>-7667270.11247952</v>
      </c>
      <c r="R961" s="25">
        <f t="array" aca="1" ref="R961" ca="1">INDEX('Lorri 401b'!L:L,MATCH('Retirement Calculator'!A961,'Lorri 401b'!N:N,0),0)</f>
        <v>-19524751.621656567</v>
      </c>
      <c r="S961" s="25">
        <f t="shared" ca="1" si="787"/>
        <v>-27192021.734136086</v>
      </c>
    </row>
    <row r="962" spans="1:19" ht="15.75" customHeight="1" x14ac:dyDescent="0.3">
      <c r="A962" s="37">
        <v>80233</v>
      </c>
      <c r="B962" s="409">
        <f t="shared" ref="B962:C962" si="973">($A962-B$9)/365.25</f>
        <v>137.78781656399727</v>
      </c>
      <c r="C962" s="409">
        <f t="shared" si="973"/>
        <v>133.17727583846681</v>
      </c>
      <c r="E962" s="25">
        <f>IF(C962&gt;$B$7,0,'Combined Retirement'!$D$13/12)</f>
        <v>0</v>
      </c>
      <c r="F962" s="25">
        <f>IF(H962=0,'Combined Retirement'!$D$32,0)+'Combined Retirement'!$B$24</f>
        <v>2870.372285649099</v>
      </c>
      <c r="G962" s="25">
        <f>'Combined Retirement'!$C$24</f>
        <v>3525.4531757812501</v>
      </c>
      <c r="H962" s="25">
        <f>IF(B962&lt;62,0,'Combined Retirement'!$I$14)</f>
        <v>2192</v>
      </c>
      <c r="I962" s="25">
        <f>IF(C962&lt;62,0,'Combined Retirement'!$I$13)</f>
        <v>2420</v>
      </c>
      <c r="J962" s="25">
        <f t="shared" si="783"/>
        <v>7863.2184191855868</v>
      </c>
      <c r="K962" s="25">
        <f t="shared" si="784"/>
        <v>20282.026119384056</v>
      </c>
      <c r="L962" s="25"/>
      <c r="N962" s="25">
        <f>'Combined Retirement'!$C$18/12</f>
        <v>39153.069999999992</v>
      </c>
      <c r="O962" s="25">
        <f t="shared" si="785"/>
        <v>11007.82546143035</v>
      </c>
      <c r="P962" s="25">
        <f t="shared" si="786"/>
        <v>28145.244538569641</v>
      </c>
      <c r="Q962" s="25">
        <f t="array" aca="1" ref="Q962" ca="1">INDEX('Isaac 401k'!L:L,MATCH('Retirement Calculator'!A962,'Isaac 401k'!N:N,0),0)</f>
        <v>-7707113.0531107839</v>
      </c>
      <c r="R962" s="25">
        <f t="array" aca="1" ref="R962" ca="1">INDEX('Lorri 401b'!L:L,MATCH('Retirement Calculator'!A962,'Lorri 401b'!N:N,0),0)</f>
        <v>-19626471.287975017</v>
      </c>
      <c r="S962" s="25">
        <f t="shared" ca="1" si="787"/>
        <v>-27333584.341085799</v>
      </c>
    </row>
    <row r="963" spans="1:19" ht="15.75" customHeight="1" x14ac:dyDescent="0.3">
      <c r="A963" s="37">
        <v>80263</v>
      </c>
      <c r="B963" s="409">
        <f t="shared" ref="B963:C963" si="974">($A963-B$9)/365.25</f>
        <v>137.86995208761124</v>
      </c>
      <c r="C963" s="409">
        <f t="shared" si="974"/>
        <v>133.25941136208075</v>
      </c>
      <c r="E963" s="25">
        <f>IF(C963&gt;$B$7,0,'Combined Retirement'!$D$13/12)</f>
        <v>0</v>
      </c>
      <c r="F963" s="25">
        <f>IF(H963=0,'Combined Retirement'!$D$32,0)+'Combined Retirement'!$B$24</f>
        <v>2870.372285649099</v>
      </c>
      <c r="G963" s="25">
        <f>'Combined Retirement'!$C$24</f>
        <v>3525.4531757812501</v>
      </c>
      <c r="H963" s="25">
        <f>IF(B963&lt;62,0,'Combined Retirement'!$I$14)</f>
        <v>2192</v>
      </c>
      <c r="I963" s="25">
        <f>IF(C963&lt;62,0,'Combined Retirement'!$I$13)</f>
        <v>2420</v>
      </c>
      <c r="J963" s="25">
        <f t="shared" si="783"/>
        <v>7863.2184191855868</v>
      </c>
      <c r="K963" s="25">
        <f t="shared" si="784"/>
        <v>20282.026119384056</v>
      </c>
      <c r="L963" s="25"/>
      <c r="N963" s="25">
        <f>'Combined Retirement'!$C$18/12</f>
        <v>39153.069999999992</v>
      </c>
      <c r="O963" s="25">
        <f t="shared" si="785"/>
        <v>11007.82546143035</v>
      </c>
      <c r="P963" s="25">
        <f t="shared" si="786"/>
        <v>28145.244538569641</v>
      </c>
      <c r="Q963" s="25">
        <f t="array" aca="1" ref="Q963" ca="1">INDEX('Isaac 401k'!L:L,MATCH('Retirement Calculator'!A963,'Isaac 401k'!N:N,0),0)</f>
        <v>-7747122.0059946775</v>
      </c>
      <c r="R963" s="25">
        <f t="array" aca="1" ref="R963" ca="1">INDEX('Lorri 401b'!L:L,MATCH('Retirement Calculator'!A963,'Lorri 401b'!N:N,0),0)</f>
        <v>-19728614.786236461</v>
      </c>
      <c r="S963" s="25">
        <f t="shared" ca="1" si="787"/>
        <v>-27475736.792231139</v>
      </c>
    </row>
    <row r="964" spans="1:19" ht="15.75" customHeight="1" x14ac:dyDescent="0.3">
      <c r="A964" s="37">
        <v>80294</v>
      </c>
      <c r="B964" s="409">
        <f t="shared" ref="B964:C964" si="975">($A964-B$9)/365.25</f>
        <v>137.95482546201231</v>
      </c>
      <c r="C964" s="409">
        <f t="shared" si="975"/>
        <v>133.34428473648185</v>
      </c>
      <c r="E964" s="25">
        <f>IF(C964&gt;$B$7,0,'Combined Retirement'!$D$13/12)</f>
        <v>0</v>
      </c>
      <c r="F964" s="25">
        <f>IF(H964=0,'Combined Retirement'!$D$32,0)+'Combined Retirement'!$B$24</f>
        <v>2870.372285649099</v>
      </c>
      <c r="G964" s="25">
        <f>'Combined Retirement'!$C$24</f>
        <v>3525.4531757812501</v>
      </c>
      <c r="H964" s="25">
        <f>IF(B964&lt;62,0,'Combined Retirement'!$I$14)</f>
        <v>2192</v>
      </c>
      <c r="I964" s="25">
        <f>IF(C964&lt;62,0,'Combined Retirement'!$I$13)</f>
        <v>2420</v>
      </c>
      <c r="J964" s="25">
        <f t="shared" si="783"/>
        <v>7863.2184191855868</v>
      </c>
      <c r="K964" s="25">
        <f t="shared" si="784"/>
        <v>20282.026119384056</v>
      </c>
      <c r="L964" s="25"/>
      <c r="N964" s="25">
        <f>'Combined Retirement'!$C$18/12</f>
        <v>39153.069999999992</v>
      </c>
      <c r="O964" s="25">
        <f t="shared" si="785"/>
        <v>11007.82546143035</v>
      </c>
      <c r="P964" s="25">
        <f t="shared" si="786"/>
        <v>28145.244538569641</v>
      </c>
      <c r="Q964" s="25">
        <f t="array" aca="1" ref="Q964" ca="1">INDEX('Isaac 401k'!L:L,MATCH('Retirement Calculator'!A964,'Isaac 401k'!N:N,0),0)</f>
        <v>-7787297.6628489215</v>
      </c>
      <c r="R964" s="25">
        <f t="array" aca="1" ref="R964" ca="1">INDEX('Lorri 401b'!L:L,MATCH('Retirement Calculator'!A964,'Lorri 401b'!N:N,0),0)</f>
        <v>-19831183.88240733</v>
      </c>
      <c r="S964" s="25">
        <f t="shared" ca="1" si="787"/>
        <v>-27618481.54525625</v>
      </c>
    </row>
    <row r="965" spans="1:19" ht="15.75" customHeight="1" x14ac:dyDescent="0.3">
      <c r="A965" s="37">
        <v>80324</v>
      </c>
      <c r="B965" s="409">
        <f t="shared" ref="B965:C965" si="976">($A965-B$9)/365.25</f>
        <v>138.03696098562628</v>
      </c>
      <c r="C965" s="409">
        <f t="shared" si="976"/>
        <v>133.42642026009582</v>
      </c>
      <c r="E965" s="25">
        <f>IF(C965&gt;$B$7,0,'Combined Retirement'!$D$13/12)</f>
        <v>0</v>
      </c>
      <c r="F965" s="25">
        <f>IF(H965=0,'Combined Retirement'!$D$32,0)+'Combined Retirement'!$B$24</f>
        <v>2870.372285649099</v>
      </c>
      <c r="G965" s="25">
        <f>'Combined Retirement'!$C$24</f>
        <v>3525.4531757812501</v>
      </c>
      <c r="H965" s="25">
        <f>IF(B965&lt;62,0,'Combined Retirement'!$I$14)</f>
        <v>2192</v>
      </c>
      <c r="I965" s="25">
        <f>IF(C965&lt;62,0,'Combined Retirement'!$I$13)</f>
        <v>2420</v>
      </c>
      <c r="J965" s="25">
        <f t="shared" si="783"/>
        <v>7863.2184191855868</v>
      </c>
      <c r="K965" s="25">
        <f t="shared" si="784"/>
        <v>20282.026119384056</v>
      </c>
      <c r="L965" s="25"/>
      <c r="N965" s="25">
        <f>'Combined Retirement'!$C$18/12</f>
        <v>39153.069999999992</v>
      </c>
      <c r="O965" s="25">
        <f t="shared" si="785"/>
        <v>11007.82546143035</v>
      </c>
      <c r="P965" s="25">
        <f t="shared" si="786"/>
        <v>28145.244538569641</v>
      </c>
      <c r="Q965" s="25">
        <f t="array" aca="1" ref="Q965" ca="1">INDEX('Isaac 401k'!L:L,MATCH('Retirement Calculator'!A965,'Isaac 401k'!N:N,0),0)</f>
        <v>-7827640.718273391</v>
      </c>
      <c r="R965" s="25">
        <f t="array" aca="1" ref="R965" ca="1">INDEX('Lorri 401b'!L:L,MATCH('Retirement Calculator'!A965,'Lorri 401b'!N:N,0),0)</f>
        <v>-19934180.349812243</v>
      </c>
      <c r="S965" s="25">
        <f t="shared" ca="1" si="787"/>
        <v>-27761821.068085633</v>
      </c>
    </row>
    <row r="966" spans="1:19" ht="15.75" customHeight="1" x14ac:dyDescent="0.3">
      <c r="A966" s="37">
        <v>80355</v>
      </c>
      <c r="B966" s="409">
        <f t="shared" ref="B966:C966" si="977">($A966-B$9)/365.25</f>
        <v>138.12183436002738</v>
      </c>
      <c r="C966" s="409">
        <f t="shared" si="977"/>
        <v>133.51129363449692</v>
      </c>
      <c r="E966" s="25">
        <f>IF(C966&gt;$B$7,0,'Combined Retirement'!$D$13/12)</f>
        <v>0</v>
      </c>
      <c r="F966" s="25">
        <f>IF(H966=0,'Combined Retirement'!$D$32,0)+'Combined Retirement'!$B$24</f>
        <v>2870.372285649099</v>
      </c>
      <c r="G966" s="25">
        <f>'Combined Retirement'!$C$24</f>
        <v>3525.4531757812501</v>
      </c>
      <c r="H966" s="25">
        <f>IF(B966&lt;62,0,'Combined Retirement'!$I$14)</f>
        <v>2192</v>
      </c>
      <c r="I966" s="25">
        <f>IF(C966&lt;62,0,'Combined Retirement'!$I$13)</f>
        <v>2420</v>
      </c>
      <c r="J966" s="25">
        <f t="shared" si="783"/>
        <v>7863.2184191855868</v>
      </c>
      <c r="K966" s="25">
        <f t="shared" si="784"/>
        <v>20282.026119384056</v>
      </c>
      <c r="L966" s="25"/>
      <c r="N966" s="25">
        <f>'Combined Retirement'!$C$18/12</f>
        <v>39153.069999999992</v>
      </c>
      <c r="O966" s="25">
        <f t="shared" si="785"/>
        <v>11007.82546143035</v>
      </c>
      <c r="P966" s="25">
        <f t="shared" si="786"/>
        <v>28145.244538569641</v>
      </c>
      <c r="Q966" s="25">
        <f t="array" aca="1" ref="Q966" ca="1">INDEX('Isaac 401k'!L:L,MATCH('Retirement Calculator'!A966,'Isaac 401k'!N:N,0),0)</f>
        <v>-7868151.8697621292</v>
      </c>
      <c r="R966" s="25">
        <f t="array" aca="1" ref="R966" ca="1">INDEX('Lorri 401b'!L:L,MATCH('Retirement Calculator'!A966,'Lorri 401b'!N:N,0),0)</f>
        <v>-20037605.969164677</v>
      </c>
      <c r="S966" s="25">
        <f t="shared" ca="1" si="787"/>
        <v>-27905757.838926807</v>
      </c>
    </row>
    <row r="967" spans="1:19" ht="15.75" customHeight="1" x14ac:dyDescent="0.3">
      <c r="A967" s="37">
        <v>80386</v>
      </c>
      <c r="B967" s="409">
        <f t="shared" ref="B967:C967" si="978">($A967-B$9)/365.25</f>
        <v>138.20670773442848</v>
      </c>
      <c r="C967" s="409">
        <f t="shared" si="978"/>
        <v>133.59616700889802</v>
      </c>
      <c r="E967" s="25">
        <f>IF(C967&gt;$B$7,0,'Combined Retirement'!$D$13/12)</f>
        <v>0</v>
      </c>
      <c r="F967" s="25">
        <f>IF(H967=0,'Combined Retirement'!$D$32,0)+'Combined Retirement'!$B$24</f>
        <v>2870.372285649099</v>
      </c>
      <c r="G967" s="25">
        <f>'Combined Retirement'!$C$24</f>
        <v>3525.4531757812501</v>
      </c>
      <c r="H967" s="25">
        <f>IF(B967&lt;62,0,'Combined Retirement'!$I$14)</f>
        <v>2192</v>
      </c>
      <c r="I967" s="25">
        <f>IF(C967&lt;62,0,'Combined Retirement'!$I$13)</f>
        <v>2420</v>
      </c>
      <c r="J967" s="25">
        <f t="shared" si="783"/>
        <v>7863.2184191855868</v>
      </c>
      <c r="K967" s="25">
        <f t="shared" si="784"/>
        <v>20282.026119384056</v>
      </c>
      <c r="L967" s="25"/>
      <c r="N967" s="25">
        <f>'Combined Retirement'!$C$18/12</f>
        <v>39153.069999999992</v>
      </c>
      <c r="O967" s="25">
        <f t="shared" si="785"/>
        <v>11007.82546143035</v>
      </c>
      <c r="P967" s="25">
        <f t="shared" si="786"/>
        <v>28145.244538569641</v>
      </c>
      <c r="Q967" s="25">
        <f t="array" aca="1" ref="Q967" ca="1">INDEX('Isaac 401k'!L:L,MATCH('Retirement Calculator'!A967,'Isaac 401k'!N:N,0),0)</f>
        <v>-7908831.8177154036</v>
      </c>
      <c r="R967" s="25">
        <f t="array" aca="1" ref="R967" ca="1">INDEX('Lorri 401b'!L:L,MATCH('Retirement Calculator'!A967,'Lorri 401b'!N:N,0),0)</f>
        <v>-20141462.528597746</v>
      </c>
      <c r="S967" s="25">
        <f t="shared" ca="1" si="787"/>
        <v>-28050294.346313149</v>
      </c>
    </row>
    <row r="968" spans="1:19" ht="15.75" customHeight="1" x14ac:dyDescent="0.3">
      <c r="A968" s="37">
        <v>80415</v>
      </c>
      <c r="B968" s="409">
        <f t="shared" ref="B968:C968" si="979">($A968-B$9)/365.25</f>
        <v>138.28610540725529</v>
      </c>
      <c r="C968" s="409">
        <f t="shared" si="979"/>
        <v>133.67556468172484</v>
      </c>
      <c r="E968" s="25">
        <f>IF(C968&gt;$B$7,0,'Combined Retirement'!$D$13/12)</f>
        <v>0</v>
      </c>
      <c r="F968" s="25">
        <f>IF(H968=0,'Combined Retirement'!$D$32,0)+'Combined Retirement'!$B$24</f>
        <v>2870.372285649099</v>
      </c>
      <c r="G968" s="25">
        <f>'Combined Retirement'!$C$24</f>
        <v>3525.4531757812501</v>
      </c>
      <c r="H968" s="25">
        <f>IF(B968&lt;62,0,'Combined Retirement'!$I$14)</f>
        <v>2192</v>
      </c>
      <c r="I968" s="25">
        <f>IF(C968&lt;62,0,'Combined Retirement'!$I$13)</f>
        <v>2420</v>
      </c>
      <c r="J968" s="25">
        <f t="shared" si="783"/>
        <v>7863.2184191855868</v>
      </c>
      <c r="K968" s="25">
        <f t="shared" si="784"/>
        <v>20282.026119384056</v>
      </c>
      <c r="L968" s="25"/>
      <c r="N968" s="25">
        <f>'Combined Retirement'!$C$18/12</f>
        <v>39153.069999999992</v>
      </c>
      <c r="O968" s="25">
        <f t="shared" si="785"/>
        <v>11007.82546143035</v>
      </c>
      <c r="P968" s="25">
        <f t="shared" si="786"/>
        <v>28145.244538569641</v>
      </c>
      <c r="Q968" s="25">
        <f t="array" aca="1" ref="Q968" ca="1">INDEX('Isaac 401k'!L:L,MATCH('Retirement Calculator'!A968,'Isaac 401k'!N:N,0),0)</f>
        <v>-7949681.2654518168</v>
      </c>
      <c r="R968" s="25">
        <f t="array" aca="1" ref="R968" ca="1">INDEX('Lorri 401b'!L:L,MATCH('Retirement Calculator'!A968,'Lorri 401b'!N:N,0),0)</f>
        <v>-20245751.823695119</v>
      </c>
      <c r="S968" s="25">
        <f t="shared" ca="1" si="787"/>
        <v>-28195433.089146934</v>
      </c>
    </row>
    <row r="969" spans="1:19" ht="15.75" customHeight="1" x14ac:dyDescent="0.3">
      <c r="A969" s="37">
        <v>80446</v>
      </c>
      <c r="B969" s="409">
        <f t="shared" ref="B969:C969" si="980">($A969-B$9)/365.25</f>
        <v>138.37097878165639</v>
      </c>
      <c r="C969" s="409">
        <f t="shared" si="980"/>
        <v>133.76043805612593</v>
      </c>
      <c r="E969" s="25">
        <f>IF(C969&gt;$B$7,0,'Combined Retirement'!$D$13/12)</f>
        <v>0</v>
      </c>
      <c r="F969" s="25">
        <f>IF(H969=0,'Combined Retirement'!$D$32,0)+'Combined Retirement'!$B$24</f>
        <v>2870.372285649099</v>
      </c>
      <c r="G969" s="25">
        <f>'Combined Retirement'!$C$24</f>
        <v>3525.4531757812501</v>
      </c>
      <c r="H969" s="25">
        <f>IF(B969&lt;62,0,'Combined Retirement'!$I$14)</f>
        <v>2192</v>
      </c>
      <c r="I969" s="25">
        <f>IF(C969&lt;62,0,'Combined Retirement'!$I$13)</f>
        <v>2420</v>
      </c>
      <c r="J969" s="25">
        <f t="shared" si="783"/>
        <v>7863.2184191855868</v>
      </c>
      <c r="K969" s="25">
        <f t="shared" si="784"/>
        <v>20282.026119384056</v>
      </c>
      <c r="L969" s="25"/>
      <c r="N969" s="25">
        <f>'Combined Retirement'!$C$18/12</f>
        <v>39153.069999999992</v>
      </c>
      <c r="O969" s="25">
        <f t="shared" si="785"/>
        <v>11007.82546143035</v>
      </c>
      <c r="P969" s="25">
        <f t="shared" si="786"/>
        <v>28145.244538569641</v>
      </c>
      <c r="Q969" s="25">
        <f t="array" aca="1" ref="Q969" ca="1">INDEX('Isaac 401k'!L:L,MATCH('Retirement Calculator'!A969,'Isaac 401k'!N:N,0),0)</f>
        <v>-7990700.9192204652</v>
      </c>
      <c r="R969" s="25">
        <f t="array" aca="1" ref="R969" ca="1">INDEX('Lorri 401b'!L:L,MATCH('Retirement Calculator'!A969,'Lorri 401b'!N:N,0),0)</f>
        <v>-20350475.657522064</v>
      </c>
      <c r="S969" s="25">
        <f t="shared" ca="1" si="787"/>
        <v>-28341176.57674253</v>
      </c>
    </row>
    <row r="970" spans="1:19" ht="15.75" customHeight="1" x14ac:dyDescent="0.3">
      <c r="A970" s="37">
        <v>80476</v>
      </c>
      <c r="B970" s="409">
        <f t="shared" ref="B970:C970" si="981">($A970-B$9)/365.25</f>
        <v>138.45311430527036</v>
      </c>
      <c r="C970" s="409">
        <f t="shared" si="981"/>
        <v>133.84257357973991</v>
      </c>
      <c r="E970" s="25">
        <f>IF(C970&gt;$B$7,0,'Combined Retirement'!$D$13/12)</f>
        <v>0</v>
      </c>
      <c r="F970" s="25">
        <f>IF(H970=0,'Combined Retirement'!$D$32,0)+'Combined Retirement'!$B$24</f>
        <v>2870.372285649099</v>
      </c>
      <c r="G970" s="25">
        <f>'Combined Retirement'!$C$24</f>
        <v>3525.4531757812501</v>
      </c>
      <c r="H970" s="25">
        <f>IF(B970&lt;62,0,'Combined Retirement'!$I$14)</f>
        <v>2192</v>
      </c>
      <c r="I970" s="25">
        <f>IF(C970&lt;62,0,'Combined Retirement'!$I$13)</f>
        <v>2420</v>
      </c>
      <c r="J970" s="25">
        <f t="shared" si="783"/>
        <v>7863.2184191855868</v>
      </c>
      <c r="K970" s="25">
        <f t="shared" si="784"/>
        <v>20282.026119384056</v>
      </c>
      <c r="L970" s="25"/>
      <c r="N970" s="25">
        <f>'Combined Retirement'!$C$18/12</f>
        <v>39153.069999999992</v>
      </c>
      <c r="O970" s="25">
        <f t="shared" si="785"/>
        <v>11007.82546143035</v>
      </c>
      <c r="P970" s="25">
        <f t="shared" si="786"/>
        <v>28145.244538569641</v>
      </c>
      <c r="Q970" s="25">
        <f t="array" aca="1" ref="Q970" ca="1">INDEX('Isaac 401k'!L:L,MATCH('Retirement Calculator'!A970,'Isaac 401k'!N:N,0),0)</f>
        <v>-8031891.4882131498</v>
      </c>
      <c r="R970" s="25">
        <f t="array" aca="1" ref="R970" ca="1">INDEX('Lorri 401b'!L:L,MATCH('Retirement Calculator'!A970,'Lorri 401b'!N:N,0),0)</f>
        <v>-20455635.84065662</v>
      </c>
      <c r="S970" s="25">
        <f t="shared" ca="1" si="787"/>
        <v>-28487527.328869767</v>
      </c>
    </row>
    <row r="971" spans="1:19" ht="15.75" customHeight="1" x14ac:dyDescent="0.3">
      <c r="A971" s="37">
        <v>80507</v>
      </c>
      <c r="B971" s="409">
        <f t="shared" ref="B971:C971" si="982">($A971-B$9)/365.25</f>
        <v>138.53798767967146</v>
      </c>
      <c r="C971" s="409">
        <f t="shared" si="982"/>
        <v>133.927446954141</v>
      </c>
      <c r="E971" s="25">
        <f>IF(C971&gt;$B$7,0,'Combined Retirement'!$D$13/12)</f>
        <v>0</v>
      </c>
      <c r="F971" s="25">
        <f>IF(H971=0,'Combined Retirement'!$D$32,0)+'Combined Retirement'!$B$24</f>
        <v>2870.372285649099</v>
      </c>
      <c r="G971" s="25">
        <f>'Combined Retirement'!$C$24</f>
        <v>3525.4531757812501</v>
      </c>
      <c r="H971" s="25">
        <f>IF(B971&lt;62,0,'Combined Retirement'!$I$14)</f>
        <v>2192</v>
      </c>
      <c r="I971" s="25">
        <f>IF(C971&lt;62,0,'Combined Retirement'!$I$13)</f>
        <v>2420</v>
      </c>
      <c r="J971" s="25">
        <f t="shared" si="783"/>
        <v>7863.2184191855868</v>
      </c>
      <c r="K971" s="25">
        <f t="shared" si="784"/>
        <v>20282.026119384056</v>
      </c>
      <c r="L971" s="25"/>
      <c r="N971" s="25">
        <f>'Combined Retirement'!$C$18/12</f>
        <v>39153.069999999992</v>
      </c>
      <c r="O971" s="25">
        <f t="shared" si="785"/>
        <v>11007.82546143035</v>
      </c>
      <c r="P971" s="25">
        <f t="shared" si="786"/>
        <v>28145.244538569641</v>
      </c>
      <c r="Q971" s="25">
        <f t="array" aca="1" ref="Q971" ca="1">INDEX('Isaac 401k'!L:L,MATCH('Retirement Calculator'!A971,'Isaac 401k'!N:N,0),0)</f>
        <v>-8073253.6845766371</v>
      </c>
      <c r="R971" s="25">
        <f t="array" aca="1" ref="R971" ca="1">INDEX('Lorri 401b'!L:L,MATCH('Retirement Calculator'!A971,'Lorri 401b'!N:N,0),0)</f>
        <v>-20561234.191220906</v>
      </c>
      <c r="S971" s="25">
        <f t="shared" ca="1" si="787"/>
        <v>-28634487.875797544</v>
      </c>
    </row>
    <row r="972" spans="1:19" ht="15.75" customHeight="1" x14ac:dyDescent="0.3">
      <c r="A972" s="37">
        <v>80537</v>
      </c>
      <c r="B972" s="409">
        <f t="shared" ref="B972:C972" si="983">($A972-B$9)/365.25</f>
        <v>138.62012320328543</v>
      </c>
      <c r="C972" s="409">
        <f t="shared" si="983"/>
        <v>134.00958247775498</v>
      </c>
      <c r="E972" s="25">
        <f>IF(C972&gt;$B$7,0,'Combined Retirement'!$D$13/12)</f>
        <v>0</v>
      </c>
      <c r="F972" s="25">
        <f>IF(H972=0,'Combined Retirement'!$D$32,0)+'Combined Retirement'!$B$24</f>
        <v>2870.372285649099</v>
      </c>
      <c r="G972" s="25">
        <f>'Combined Retirement'!$C$24</f>
        <v>3525.4531757812501</v>
      </c>
      <c r="H972" s="25">
        <f>IF(B972&lt;62,0,'Combined Retirement'!$I$14)</f>
        <v>2192</v>
      </c>
      <c r="I972" s="25">
        <f>IF(C972&lt;62,0,'Combined Retirement'!$I$13)</f>
        <v>2420</v>
      </c>
      <c r="J972" s="25">
        <f t="shared" si="783"/>
        <v>7863.2184191855868</v>
      </c>
      <c r="K972" s="25">
        <f t="shared" si="784"/>
        <v>20282.026119384056</v>
      </c>
      <c r="L972" s="25"/>
      <c r="N972" s="25">
        <f>'Combined Retirement'!$C$18/12</f>
        <v>39153.069999999992</v>
      </c>
      <c r="O972" s="25">
        <f t="shared" si="785"/>
        <v>11007.82546143035</v>
      </c>
      <c r="P972" s="25">
        <f t="shared" si="786"/>
        <v>28145.244538569641</v>
      </c>
      <c r="Q972" s="25">
        <f t="array" aca="1" ref="Q972" ca="1">INDEX('Isaac 401k'!L:L,MATCH('Retirement Calculator'!A972,'Isaac 401k'!N:N,0),0)</f>
        <v>-8114788.223424972</v>
      </c>
      <c r="R972" s="25">
        <f t="array" aca="1" ref="R972" ca="1">INDEX('Lorri 401b'!L:L,MATCH('Retirement Calculator'!A972,'Lorri 401b'!N:N,0),0)</f>
        <v>-20667272.534912542</v>
      </c>
      <c r="S972" s="25">
        <f t="shared" ca="1" si="787"/>
        <v>-28782060.758337513</v>
      </c>
    </row>
    <row r="973" spans="1:19" ht="15.75" customHeight="1" x14ac:dyDescent="0.3">
      <c r="A973" s="37">
        <v>80568</v>
      </c>
      <c r="B973" s="409">
        <f t="shared" ref="B973:C973" si="984">($A973-B$9)/365.25</f>
        <v>138.70499657768653</v>
      </c>
      <c r="C973" s="409">
        <f t="shared" si="984"/>
        <v>134.09445585215605</v>
      </c>
      <c r="E973" s="25">
        <f>IF(C973&gt;$B$7,0,'Combined Retirement'!$D$13/12)</f>
        <v>0</v>
      </c>
      <c r="F973" s="25">
        <f>IF(H973=0,'Combined Retirement'!$D$32,0)+'Combined Retirement'!$B$24</f>
        <v>2870.372285649099</v>
      </c>
      <c r="G973" s="25">
        <f>'Combined Retirement'!$C$24</f>
        <v>3525.4531757812501</v>
      </c>
      <c r="H973" s="25">
        <f>IF(B973&lt;62,0,'Combined Retirement'!$I$14)</f>
        <v>2192</v>
      </c>
      <c r="I973" s="25">
        <f>IF(C973&lt;62,0,'Combined Retirement'!$I$13)</f>
        <v>2420</v>
      </c>
      <c r="J973" s="25">
        <f t="shared" si="783"/>
        <v>7863.2184191855868</v>
      </c>
      <c r="K973" s="25">
        <f t="shared" si="784"/>
        <v>20282.026119384056</v>
      </c>
      <c r="L973" s="25"/>
      <c r="N973" s="25">
        <f>'Combined Retirement'!$C$18/12</f>
        <v>39153.069999999992</v>
      </c>
      <c r="O973" s="25">
        <f t="shared" si="785"/>
        <v>11007.82546143035</v>
      </c>
      <c r="P973" s="25">
        <f t="shared" si="786"/>
        <v>28145.244538569641</v>
      </c>
      <c r="Q973" s="25">
        <f t="array" aca="1" ref="Q973" ca="1">INDEX('Isaac 401k'!L:L,MATCH('Retirement Calculator'!A973,'Isaac 401k'!N:N,0),0)</f>
        <v>-8156495.8228518423</v>
      </c>
      <c r="R973" s="25">
        <f t="array" aca="1" ref="R973" ca="1">INDEX('Lorri 401b'!L:L,MATCH('Retirement Calculator'!A973,'Lorri 401b'!N:N,0),0)</f>
        <v>-20773752.705036227</v>
      </c>
      <c r="S973" s="25">
        <f t="shared" ca="1" si="787"/>
        <v>-28930248.527888067</v>
      </c>
    </row>
    <row r="974" spans="1:19" ht="15.75" customHeight="1" x14ac:dyDescent="0.3">
      <c r="A974" s="37">
        <v>80599</v>
      </c>
      <c r="B974" s="409">
        <f t="shared" ref="B974:C974" si="985">($A974-B$9)/365.25</f>
        <v>138.7898699520876</v>
      </c>
      <c r="C974" s="409">
        <f t="shared" si="985"/>
        <v>134.17932922655714</v>
      </c>
      <c r="E974" s="25">
        <f>IF(C974&gt;$B$7,0,'Combined Retirement'!$D$13/12)</f>
        <v>0</v>
      </c>
      <c r="F974" s="25">
        <f>IF(H974=0,'Combined Retirement'!$D$32,0)+'Combined Retirement'!$B$24</f>
        <v>2870.372285649099</v>
      </c>
      <c r="G974" s="25">
        <f>'Combined Retirement'!$C$24</f>
        <v>3525.4531757812501</v>
      </c>
      <c r="H974" s="25">
        <f>IF(B974&lt;62,0,'Combined Retirement'!$I$14)</f>
        <v>2192</v>
      </c>
      <c r="I974" s="25">
        <f>IF(C974&lt;62,0,'Combined Retirement'!$I$13)</f>
        <v>2420</v>
      </c>
      <c r="J974" s="25">
        <f t="shared" si="783"/>
        <v>7863.2184191855868</v>
      </c>
      <c r="K974" s="25">
        <f t="shared" si="784"/>
        <v>20282.026119384056</v>
      </c>
      <c r="L974" s="25"/>
      <c r="N974" s="25">
        <f>'Combined Retirement'!$C$18/12</f>
        <v>39153.069999999992</v>
      </c>
      <c r="O974" s="25">
        <f t="shared" si="785"/>
        <v>11007.82546143035</v>
      </c>
      <c r="P974" s="25">
        <f t="shared" si="786"/>
        <v>28145.244538569641</v>
      </c>
      <c r="Q974" s="25">
        <f t="array" aca="1" ref="Q974" ca="1">INDEX('Isaac 401k'!L:L,MATCH('Retirement Calculator'!A974,'Isaac 401k'!N:N,0),0)</f>
        <v>-8198377.2039429909</v>
      </c>
      <c r="R974" s="25">
        <f t="array" aca="1" ref="R974" ca="1">INDEX('Lorri 401b'!L:L,MATCH('Retirement Calculator'!A974,'Lorri 401b'!N:N,0),0)</f>
        <v>-20880676.542535428</v>
      </c>
      <c r="S974" s="25">
        <f t="shared" ca="1" si="787"/>
        <v>-29079053.74647842</v>
      </c>
    </row>
    <row r="975" spans="1:19" ht="15.75" customHeight="1" x14ac:dyDescent="0.3">
      <c r="A975" s="37">
        <v>80629</v>
      </c>
      <c r="B975" s="409">
        <f t="shared" ref="B975:C975" si="986">($A975-B$9)/365.25</f>
        <v>138.87200547570157</v>
      </c>
      <c r="C975" s="409">
        <f t="shared" si="986"/>
        <v>134.26146475017111</v>
      </c>
      <c r="E975" s="25">
        <f>IF(C975&gt;$B$7,0,'Combined Retirement'!$D$13/12)</f>
        <v>0</v>
      </c>
      <c r="F975" s="25">
        <f>IF(H975=0,'Combined Retirement'!$D$32,0)+'Combined Retirement'!$B$24</f>
        <v>2870.372285649099</v>
      </c>
      <c r="G975" s="25">
        <f>'Combined Retirement'!$C$24</f>
        <v>3525.4531757812501</v>
      </c>
      <c r="H975" s="25">
        <f>IF(B975&lt;62,0,'Combined Retirement'!$I$14)</f>
        <v>2192</v>
      </c>
      <c r="I975" s="25">
        <f>IF(C975&lt;62,0,'Combined Retirement'!$I$13)</f>
        <v>2420</v>
      </c>
      <c r="J975" s="25">
        <f t="shared" si="783"/>
        <v>7863.2184191855868</v>
      </c>
      <c r="K975" s="25">
        <f t="shared" si="784"/>
        <v>20282.026119384056</v>
      </c>
      <c r="L975" s="25"/>
      <c r="N975" s="25">
        <f>'Combined Retirement'!$C$18/12</f>
        <v>39153.069999999992</v>
      </c>
      <c r="O975" s="25">
        <f t="shared" si="785"/>
        <v>11007.82546143035</v>
      </c>
      <c r="P975" s="25">
        <f t="shared" si="786"/>
        <v>28145.244538569641</v>
      </c>
      <c r="Q975" s="25">
        <f t="array" aca="1" ref="Q975" ca="1">INDEX('Isaac 401k'!L:L,MATCH('Retirement Calculator'!A975,'Isaac 401k'!N:N,0),0)</f>
        <v>-8240433.0907886857</v>
      </c>
      <c r="R975" s="25">
        <f t="array" aca="1" ref="R975" ca="1">INDEX('Lorri 401b'!L:L,MATCH('Retirement Calculator'!A975,'Lorri 401b'!N:N,0),0)</f>
        <v>-20988045.896024209</v>
      </c>
      <c r="S975" s="25">
        <f t="shared" ca="1" si="787"/>
        <v>-29228478.986812893</v>
      </c>
    </row>
    <row r="976" spans="1:19" ht="15.75" customHeight="1" x14ac:dyDescent="0.3">
      <c r="A976" s="37">
        <v>80660</v>
      </c>
      <c r="B976" s="409">
        <f t="shared" ref="B976:C976" si="987">($A976-B$9)/365.25</f>
        <v>138.95687885010267</v>
      </c>
      <c r="C976" s="409">
        <f t="shared" si="987"/>
        <v>134.34633812457221</v>
      </c>
      <c r="E976" s="25">
        <f>IF(C976&gt;$B$7,0,'Combined Retirement'!$D$13/12)</f>
        <v>0</v>
      </c>
      <c r="F976" s="25">
        <f>IF(H976=0,'Combined Retirement'!$D$32,0)+'Combined Retirement'!$B$24</f>
        <v>2870.372285649099</v>
      </c>
      <c r="G976" s="25">
        <f>'Combined Retirement'!$C$24</f>
        <v>3525.4531757812501</v>
      </c>
      <c r="H976" s="25">
        <f>IF(B976&lt;62,0,'Combined Retirement'!$I$14)</f>
        <v>2192</v>
      </c>
      <c r="I976" s="25">
        <f>IF(C976&lt;62,0,'Combined Retirement'!$I$13)</f>
        <v>2420</v>
      </c>
      <c r="J976" s="25">
        <f t="shared" si="783"/>
        <v>7863.2184191855868</v>
      </c>
      <c r="K976" s="25">
        <f t="shared" si="784"/>
        <v>20282.026119384056</v>
      </c>
      <c r="L976" s="25"/>
      <c r="N976" s="25">
        <f>'Combined Retirement'!$C$18/12</f>
        <v>39153.069999999992</v>
      </c>
      <c r="O976" s="25">
        <f t="shared" si="785"/>
        <v>11007.82546143035</v>
      </c>
      <c r="P976" s="25">
        <f t="shared" si="786"/>
        <v>28145.244538569641</v>
      </c>
      <c r="Q976" s="25">
        <f t="array" aca="1" ref="Q976" ca="1">INDEX('Isaac 401k'!L:L,MATCH('Retirement Calculator'!A976,'Isaac 401k'!N:N,0),0)</f>
        <v>-8282664.2104962375</v>
      </c>
      <c r="R976" s="25">
        <f t="array" aca="1" ref="R976" ca="1">INDEX('Lorri 401b'!L:L,MATCH('Retirement Calculator'!A976,'Lorri 401b'!N:N,0),0)</f>
        <v>-21095862.621819191</v>
      </c>
      <c r="S976" s="25">
        <f t="shared" ca="1" si="787"/>
        <v>-29378526.83231543</v>
      </c>
    </row>
    <row r="977" spans="1:19" ht="15.75" customHeight="1" x14ac:dyDescent="0.3">
      <c r="A977" s="37">
        <v>80690</v>
      </c>
      <c r="B977" s="409">
        <f t="shared" ref="B977:C977" si="988">($A977-B$9)/365.25</f>
        <v>139.03901437371664</v>
      </c>
      <c r="C977" s="409">
        <f t="shared" si="988"/>
        <v>134.42847364818618</v>
      </c>
      <c r="E977" s="25">
        <f>IF(C977&gt;$B$7,0,'Combined Retirement'!$D$13/12)</f>
        <v>0</v>
      </c>
      <c r="F977" s="25">
        <f>IF(H977=0,'Combined Retirement'!$D$32,0)+'Combined Retirement'!$B$24</f>
        <v>2870.372285649099</v>
      </c>
      <c r="G977" s="25">
        <f>'Combined Retirement'!$C$24</f>
        <v>3525.4531757812501</v>
      </c>
      <c r="H977" s="25">
        <f>IF(B977&lt;62,0,'Combined Retirement'!$I$14)</f>
        <v>2192</v>
      </c>
      <c r="I977" s="25">
        <f>IF(C977&lt;62,0,'Combined Retirement'!$I$13)</f>
        <v>2420</v>
      </c>
      <c r="J977" s="25">
        <f t="shared" si="783"/>
        <v>7863.2184191855868</v>
      </c>
      <c r="K977" s="25">
        <f t="shared" si="784"/>
        <v>20282.026119384056</v>
      </c>
      <c r="L977" s="25"/>
      <c r="N977" s="25">
        <f>'Combined Retirement'!$C$18/12</f>
        <v>39153.069999999992</v>
      </c>
      <c r="O977" s="25">
        <f t="shared" si="785"/>
        <v>11007.82546143035</v>
      </c>
      <c r="P977" s="25">
        <f t="shared" si="786"/>
        <v>28145.244538569641</v>
      </c>
      <c r="Q977" s="25">
        <f t="array" aca="1" ref="Q977" ca="1">INDEX('Isaac 401k'!L:L,MATCH('Retirement Calculator'!A977,'Isaac 401k'!N:N,0),0)</f>
        <v>-8325071.2932025706</v>
      </c>
      <c r="R977" s="25">
        <f t="array" aca="1" ref="R977" ca="1">INDEX('Lorri 401b'!L:L,MATCH('Retirement Calculator'!A977,'Lorri 401b'!N:N,0),0)</f>
        <v>-21204128.583971653</v>
      </c>
      <c r="S977" s="25">
        <f t="shared" ca="1" si="787"/>
        <v>-29529199.877174225</v>
      </c>
    </row>
    <row r="978" spans="1:19" ht="15.75" customHeight="1" x14ac:dyDescent="0.3">
      <c r="A978" s="37">
        <v>80721</v>
      </c>
      <c r="B978" s="409">
        <f t="shared" ref="B978:C978" si="989">($A978-B$9)/365.25</f>
        <v>139.12388774811774</v>
      </c>
      <c r="C978" s="409">
        <f t="shared" si="989"/>
        <v>134.51334702258728</v>
      </c>
      <c r="E978" s="25">
        <f>IF(C978&gt;$B$7,0,'Combined Retirement'!$D$13/12)</f>
        <v>0</v>
      </c>
      <c r="F978" s="25">
        <f>IF(H978=0,'Combined Retirement'!$D$32,0)+'Combined Retirement'!$B$24</f>
        <v>2870.372285649099</v>
      </c>
      <c r="G978" s="25">
        <f>'Combined Retirement'!$C$24</f>
        <v>3525.4531757812501</v>
      </c>
      <c r="H978" s="25">
        <f>IF(B978&lt;62,0,'Combined Retirement'!$I$14)</f>
        <v>2192</v>
      </c>
      <c r="I978" s="25">
        <f>IF(C978&lt;62,0,'Combined Retirement'!$I$13)</f>
        <v>2420</v>
      </c>
      <c r="J978" s="25">
        <f t="shared" si="783"/>
        <v>7863.2184191855868</v>
      </c>
      <c r="K978" s="25">
        <f t="shared" si="784"/>
        <v>20282.026119384056</v>
      </c>
      <c r="L978" s="25"/>
      <c r="N978" s="25">
        <f>'Combined Retirement'!$C$18/12</f>
        <v>39153.069999999992</v>
      </c>
      <c r="O978" s="25">
        <f t="shared" si="785"/>
        <v>11007.82546143035</v>
      </c>
      <c r="P978" s="25">
        <f t="shared" si="786"/>
        <v>28145.244538569641</v>
      </c>
      <c r="Q978" s="25">
        <f t="array" aca="1" ref="Q978" ca="1">INDEX('Isaac 401k'!L:L,MATCH('Retirement Calculator'!A978,'Isaac 401k'!N:N,0),0)</f>
        <v>-8367655.0720868474</v>
      </c>
      <c r="R978" s="25">
        <f t="array" aca="1" ref="R978" ca="1">INDEX('Lorri 401b'!L:L,MATCH('Retirement Calculator'!A978,'Lorri 401b'!N:N,0),0)</f>
        <v>-21312845.654299751</v>
      </c>
      <c r="S978" s="25">
        <f t="shared" ca="1" si="787"/>
        <v>-29680500.726386599</v>
      </c>
    </row>
    <row r="979" spans="1:19" ht="15.75" customHeight="1" x14ac:dyDescent="0.3">
      <c r="A979" s="37">
        <v>80752</v>
      </c>
      <c r="B979" s="409">
        <f t="shared" ref="B979:C979" si="990">($A979-B$9)/365.25</f>
        <v>139.20876112251884</v>
      </c>
      <c r="C979" s="409">
        <f t="shared" si="990"/>
        <v>134.59822039698835</v>
      </c>
      <c r="E979" s="25">
        <f>IF(C979&gt;$B$7,0,'Combined Retirement'!$D$13/12)</f>
        <v>0</v>
      </c>
      <c r="F979" s="25">
        <f>IF(H979=0,'Combined Retirement'!$D$32,0)+'Combined Retirement'!$B$24</f>
        <v>2870.372285649099</v>
      </c>
      <c r="G979" s="25">
        <f>'Combined Retirement'!$C$24</f>
        <v>3525.4531757812501</v>
      </c>
      <c r="H979" s="25">
        <f>IF(B979&lt;62,0,'Combined Retirement'!$I$14)</f>
        <v>2192</v>
      </c>
      <c r="I979" s="25">
        <f>IF(C979&lt;62,0,'Combined Retirement'!$I$13)</f>
        <v>2420</v>
      </c>
      <c r="J979" s="25">
        <f t="shared" si="783"/>
        <v>7863.2184191855868</v>
      </c>
      <c r="K979" s="25">
        <f t="shared" si="784"/>
        <v>20282.026119384056</v>
      </c>
      <c r="L979" s="25"/>
      <c r="N979" s="25">
        <f>'Combined Retirement'!$C$18/12</f>
        <v>39153.069999999992</v>
      </c>
      <c r="O979" s="25">
        <f t="shared" si="785"/>
        <v>11007.82546143035</v>
      </c>
      <c r="P979" s="25">
        <f t="shared" si="786"/>
        <v>28145.244538569641</v>
      </c>
      <c r="Q979" s="25">
        <f t="array" aca="1" ref="Q979" ca="1">INDEX('Isaac 401k'!L:L,MATCH('Retirement Calculator'!A979,'Isaac 401k'!N:N,0),0)</f>
        <v>-8410416.2833831422</v>
      </c>
      <c r="R979" s="25">
        <f t="array" aca="1" ref="R979" ca="1">INDEX('Lorri 401b'!L:L,MATCH('Retirement Calculator'!A979,'Lorri 401b'!N:N,0),0)</f>
        <v>-21422015.712420881</v>
      </c>
      <c r="S979" s="25">
        <f t="shared" ca="1" si="787"/>
        <v>-29832431.995804023</v>
      </c>
    </row>
    <row r="980" spans="1:19" ht="15.75" customHeight="1" x14ac:dyDescent="0.3">
      <c r="A980" s="37">
        <v>80780</v>
      </c>
      <c r="B980" s="409">
        <f t="shared" ref="B980:C980" si="991">($A980-B$9)/365.25</f>
        <v>139.28542094455852</v>
      </c>
      <c r="C980" s="409">
        <f t="shared" si="991"/>
        <v>134.67488021902807</v>
      </c>
      <c r="E980" s="25">
        <f>IF(C980&gt;$B$7,0,'Combined Retirement'!$D$13/12)</f>
        <v>0</v>
      </c>
      <c r="F980" s="25">
        <f>IF(H980=0,'Combined Retirement'!$D$32,0)+'Combined Retirement'!$B$24</f>
        <v>2870.372285649099</v>
      </c>
      <c r="G980" s="25">
        <f>'Combined Retirement'!$C$24</f>
        <v>3525.4531757812501</v>
      </c>
      <c r="H980" s="25">
        <f>IF(B980&lt;62,0,'Combined Retirement'!$I$14)</f>
        <v>2192</v>
      </c>
      <c r="I980" s="25">
        <f>IF(C980&lt;62,0,'Combined Retirement'!$I$13)</f>
        <v>2420</v>
      </c>
      <c r="J980" s="25">
        <f t="shared" si="783"/>
        <v>7863.2184191855868</v>
      </c>
      <c r="K980" s="25">
        <f t="shared" si="784"/>
        <v>20282.026119384056</v>
      </c>
      <c r="L980" s="25"/>
      <c r="N980" s="25">
        <f>'Combined Retirement'!$C$18/12</f>
        <v>39153.069999999992</v>
      </c>
      <c r="O980" s="25">
        <f t="shared" si="785"/>
        <v>11007.82546143035</v>
      </c>
      <c r="P980" s="25">
        <f t="shared" si="786"/>
        <v>28145.244538569641</v>
      </c>
      <c r="Q980" s="25">
        <f t="array" aca="1" ref="Q980" ca="1">INDEX('Isaac 401k'!L:L,MATCH('Retirement Calculator'!A980,'Isaac 401k'!N:N,0),0)</f>
        <v>-8453355.6663931701</v>
      </c>
      <c r="R980" s="25">
        <f t="array" aca="1" ref="R980" ca="1">INDEX('Lorri 401b'!L:L,MATCH('Retirement Calculator'!A980,'Lorri 401b'!N:N,0),0)</f>
        <v>-21531640.645784184</v>
      </c>
      <c r="S980" s="25">
        <f t="shared" ca="1" si="787"/>
        <v>-29984996.312177353</v>
      </c>
    </row>
    <row r="981" spans="1:19" ht="15.75" customHeight="1" x14ac:dyDescent="0.3">
      <c r="A981" s="37">
        <v>80811</v>
      </c>
      <c r="B981" s="409">
        <f t="shared" ref="B981:C981" si="992">($A981-B$9)/365.25</f>
        <v>139.37029431895962</v>
      </c>
      <c r="C981" s="409">
        <f t="shared" si="992"/>
        <v>134.75975359342917</v>
      </c>
      <c r="E981" s="25">
        <f>IF(C981&gt;$B$7,0,'Combined Retirement'!$D$13/12)</f>
        <v>0</v>
      </c>
      <c r="F981" s="25">
        <f>IF(H981=0,'Combined Retirement'!$D$32,0)+'Combined Retirement'!$B$24</f>
        <v>2870.372285649099</v>
      </c>
      <c r="G981" s="25">
        <f>'Combined Retirement'!$C$24</f>
        <v>3525.4531757812501</v>
      </c>
      <c r="H981" s="25">
        <f>IF(B981&lt;62,0,'Combined Retirement'!$I$14)</f>
        <v>2192</v>
      </c>
      <c r="I981" s="25">
        <f>IF(C981&lt;62,0,'Combined Retirement'!$I$13)</f>
        <v>2420</v>
      </c>
      <c r="J981" s="25">
        <f t="shared" si="783"/>
        <v>7863.2184191855868</v>
      </c>
      <c r="K981" s="25">
        <f t="shared" si="784"/>
        <v>20282.026119384056</v>
      </c>
      <c r="L981" s="25"/>
      <c r="N981" s="25">
        <f>'Combined Retirement'!$C$18/12</f>
        <v>39153.069999999992</v>
      </c>
      <c r="O981" s="25">
        <f t="shared" si="785"/>
        <v>11007.82546143035</v>
      </c>
      <c r="P981" s="25">
        <f t="shared" si="786"/>
        <v>28145.244538569641</v>
      </c>
      <c r="Q981" s="25">
        <f t="array" aca="1" ref="Q981" ca="1">INDEX('Isaac 401k'!L:L,MATCH('Retirement Calculator'!A981,'Isaac 401k'!N:N,0),0)</f>
        <v>-8496473.9634990729</v>
      </c>
      <c r="R981" s="25">
        <f t="array" aca="1" ref="R981" ca="1">INDEX('Lorri 401b'!L:L,MATCH('Retirement Calculator'!A981,'Lorri 401b'!N:N,0),0)</f>
        <v>-21641722.349703167</v>
      </c>
      <c r="S981" s="25">
        <f t="shared" ca="1" si="787"/>
        <v>-30138196.31320224</v>
      </c>
    </row>
    <row r="982" spans="1:19" ht="15.75" customHeight="1" x14ac:dyDescent="0.3">
      <c r="A982" s="37">
        <v>80841</v>
      </c>
      <c r="B982" s="409">
        <f t="shared" ref="B982:C982" si="993">($A982-B$9)/365.25</f>
        <v>139.45242984257359</v>
      </c>
      <c r="C982" s="409">
        <f t="shared" si="993"/>
        <v>134.84188911704311</v>
      </c>
      <c r="E982" s="25">
        <f>IF(C982&gt;$B$7,0,'Combined Retirement'!$D$13/12)</f>
        <v>0</v>
      </c>
      <c r="F982" s="25">
        <f>IF(H982=0,'Combined Retirement'!$D$32,0)+'Combined Retirement'!$B$24</f>
        <v>2870.372285649099</v>
      </c>
      <c r="G982" s="25">
        <f>'Combined Retirement'!$C$24</f>
        <v>3525.4531757812501</v>
      </c>
      <c r="H982" s="25">
        <f>IF(B982&lt;62,0,'Combined Retirement'!$I$14)</f>
        <v>2192</v>
      </c>
      <c r="I982" s="25">
        <f>IF(C982&lt;62,0,'Combined Retirement'!$I$13)</f>
        <v>2420</v>
      </c>
      <c r="J982" s="25">
        <f t="shared" si="783"/>
        <v>7863.2184191855868</v>
      </c>
      <c r="K982" s="25">
        <f t="shared" si="784"/>
        <v>20282.026119384056</v>
      </c>
      <c r="L982" s="25"/>
      <c r="N982" s="25">
        <f>'Combined Retirement'!$C$18/12</f>
        <v>39153.069999999992</v>
      </c>
      <c r="O982" s="25">
        <f t="shared" si="785"/>
        <v>11007.82546143035</v>
      </c>
      <c r="P982" s="25">
        <f t="shared" si="786"/>
        <v>28145.244538569641</v>
      </c>
      <c r="Q982" s="25">
        <f t="array" aca="1" ref="Q982" ca="1">INDEX('Isaac 401k'!L:L,MATCH('Retirement Calculator'!A982,'Isaac 401k'!N:N,0),0)</f>
        <v>-8539771.9201762509</v>
      </c>
      <c r="R982" s="25">
        <f t="array" aca="1" ref="R982" ca="1">INDEX('Lorri 401b'!L:L,MATCH('Retirement Calculator'!A982,'Lorri 401b'!N:N,0),0)</f>
        <v>-21752262.727388479</v>
      </c>
      <c r="S982" s="25">
        <f t="shared" ca="1" si="787"/>
        <v>-30292034.647564732</v>
      </c>
    </row>
    <row r="983" spans="1:19" ht="15.75" customHeight="1" x14ac:dyDescent="0.3">
      <c r="A983" s="37">
        <v>80872</v>
      </c>
      <c r="B983" s="409">
        <f t="shared" ref="B983:C983" si="994">($A983-B$9)/365.25</f>
        <v>139.53730321697466</v>
      </c>
      <c r="C983" s="409">
        <f t="shared" si="994"/>
        <v>134.92676249144421</v>
      </c>
      <c r="E983" s="25">
        <f>IF(C983&gt;$B$7,0,'Combined Retirement'!$D$13/12)</f>
        <v>0</v>
      </c>
      <c r="F983" s="25">
        <f>IF(H983=0,'Combined Retirement'!$D$32,0)+'Combined Retirement'!$B$24</f>
        <v>2870.372285649099</v>
      </c>
      <c r="G983" s="25">
        <f>'Combined Retirement'!$C$24</f>
        <v>3525.4531757812501</v>
      </c>
      <c r="H983" s="25">
        <f>IF(B983&lt;62,0,'Combined Retirement'!$I$14)</f>
        <v>2192</v>
      </c>
      <c r="I983" s="25">
        <f>IF(C983&lt;62,0,'Combined Retirement'!$I$13)</f>
        <v>2420</v>
      </c>
      <c r="J983" s="25">
        <f t="shared" si="783"/>
        <v>7863.2184191855868</v>
      </c>
      <c r="K983" s="25">
        <f t="shared" si="784"/>
        <v>20282.026119384056</v>
      </c>
      <c r="L983" s="25"/>
      <c r="N983" s="25">
        <f>'Combined Retirement'!$C$18/12</f>
        <v>39153.069999999992</v>
      </c>
      <c r="O983" s="25">
        <f t="shared" si="785"/>
        <v>11007.82546143035</v>
      </c>
      <c r="P983" s="25">
        <f t="shared" si="786"/>
        <v>28145.244538569641</v>
      </c>
      <c r="Q983" s="25">
        <f t="array" aca="1" ref="Q983" ca="1">INDEX('Isaac 401k'!L:L,MATCH('Retirement Calculator'!A983,'Isaac 401k'!N:N,0),0)</f>
        <v>-8583250.2850062493</v>
      </c>
      <c r="R983" s="25">
        <f t="array" aca="1" ref="R983" ca="1">INDEX('Lorri 401b'!L:L,MATCH('Retirement Calculator'!A983,'Lorri 401b'!N:N,0),0)</f>
        <v>-21863263.689980812</v>
      </c>
      <c r="S983" s="25">
        <f t="shared" ca="1" si="787"/>
        <v>-30446513.97498706</v>
      </c>
    </row>
    <row r="984" spans="1:19" ht="15.75" customHeight="1" x14ac:dyDescent="0.3">
      <c r="A984" s="37">
        <v>80902</v>
      </c>
      <c r="B984" s="409">
        <f t="shared" ref="B984:C984" si="995">($A984-B$9)/365.25</f>
        <v>139.61943874058863</v>
      </c>
      <c r="C984" s="409">
        <f t="shared" si="995"/>
        <v>135.00889801505818</v>
      </c>
      <c r="E984" s="25">
        <f>IF(C984&gt;$B$7,0,'Combined Retirement'!$D$13/12)</f>
        <v>0</v>
      </c>
      <c r="F984" s="25">
        <f>IF(H984=0,'Combined Retirement'!$D$32,0)+'Combined Retirement'!$B$24</f>
        <v>2870.372285649099</v>
      </c>
      <c r="G984" s="25">
        <f>'Combined Retirement'!$C$24</f>
        <v>3525.4531757812501</v>
      </c>
      <c r="H984" s="25">
        <f>IF(B984&lt;62,0,'Combined Retirement'!$I$14)</f>
        <v>2192</v>
      </c>
      <c r="I984" s="25">
        <f>IF(C984&lt;62,0,'Combined Retirement'!$I$13)</f>
        <v>2420</v>
      </c>
      <c r="J984" s="25">
        <f t="shared" si="783"/>
        <v>7863.2184191855868</v>
      </c>
      <c r="K984" s="25">
        <f t="shared" si="784"/>
        <v>20282.026119384056</v>
      </c>
      <c r="L984" s="25"/>
      <c r="N984" s="25">
        <f>'Combined Retirement'!$C$18/12</f>
        <v>39153.069999999992</v>
      </c>
      <c r="O984" s="25">
        <f t="shared" si="785"/>
        <v>11007.82546143035</v>
      </c>
      <c r="P984" s="25">
        <f t="shared" si="786"/>
        <v>28145.244538569641</v>
      </c>
      <c r="Q984" s="25">
        <f t="array" aca="1" ref="Q984" ca="1">INDEX('Isaac 401k'!L:L,MATCH('Retirement Calculator'!A984,'Isaac 401k'!N:N,0),0)</f>
        <v>-8626909.8096897062</v>
      </c>
      <c r="R984" s="25">
        <f t="array" aca="1" ref="R984" ca="1">INDEX('Lorri 401b'!L:L,MATCH('Retirement Calculator'!A984,'Lorri 401b'!N:N,0),0)</f>
        <v>-21974727.15658395</v>
      </c>
      <c r="S984" s="25">
        <f t="shared" ca="1" si="787"/>
        <v>-30601636.966273658</v>
      </c>
    </row>
    <row r="985" spans="1:19" ht="15.75" customHeight="1" x14ac:dyDescent="0.3">
      <c r="A985" s="37">
        <v>80933</v>
      </c>
      <c r="B985" s="409">
        <f t="shared" ref="B985:C985" si="996">($A985-B$9)/365.25</f>
        <v>139.70431211498973</v>
      </c>
      <c r="C985" s="409">
        <f t="shared" si="996"/>
        <v>135.09377138945928</v>
      </c>
      <c r="E985" s="25">
        <f>IF(C985&gt;$B$7,0,'Combined Retirement'!$D$13/12)</f>
        <v>0</v>
      </c>
      <c r="F985" s="25">
        <f>IF(H985=0,'Combined Retirement'!$D$32,0)+'Combined Retirement'!$B$24</f>
        <v>2870.372285649099</v>
      </c>
      <c r="G985" s="25">
        <f>'Combined Retirement'!$C$24</f>
        <v>3525.4531757812501</v>
      </c>
      <c r="H985" s="25">
        <f>IF(B985&lt;62,0,'Combined Retirement'!$I$14)</f>
        <v>2192</v>
      </c>
      <c r="I985" s="25">
        <f>IF(C985&lt;62,0,'Combined Retirement'!$I$13)</f>
        <v>2420</v>
      </c>
      <c r="J985" s="25">
        <f t="shared" si="783"/>
        <v>7863.2184191855868</v>
      </c>
      <c r="K985" s="25">
        <f t="shared" si="784"/>
        <v>20282.026119384056</v>
      </c>
      <c r="L985" s="25"/>
      <c r="N985" s="25">
        <f>'Combined Retirement'!$C$18/12</f>
        <v>39153.069999999992</v>
      </c>
      <c r="O985" s="25">
        <f t="shared" si="785"/>
        <v>11007.82546143035</v>
      </c>
      <c r="P985" s="25">
        <f t="shared" si="786"/>
        <v>28145.244538569641</v>
      </c>
      <c r="Q985" s="25">
        <f t="array" aca="1" ref="Q985" ca="1">INDEX('Isaac 401k'!L:L,MATCH('Retirement Calculator'!A985,'Isaac 401k'!N:N,0),0)</f>
        <v>-8670751.2490593456</v>
      </c>
      <c r="R985" s="25">
        <f t="array" aca="1" ref="R985" ca="1">INDEX('Lorri 401b'!L:L,MATCH('Retirement Calculator'!A985,'Lorri 401b'!N:N,0),0)</f>
        <v>-22086655.054297931</v>
      </c>
      <c r="S985" s="25">
        <f t="shared" ca="1" si="787"/>
        <v>-30757406.303357277</v>
      </c>
    </row>
    <row r="986" spans="1:19" ht="15.75" customHeight="1" x14ac:dyDescent="0.3">
      <c r="A986" s="37">
        <v>80964</v>
      </c>
      <c r="B986" s="409">
        <f t="shared" ref="B986:C986" si="997">($A986-B$9)/365.25</f>
        <v>139.78918548939083</v>
      </c>
      <c r="C986" s="409">
        <f t="shared" si="997"/>
        <v>135.17864476386038</v>
      </c>
      <c r="E986" s="25">
        <f>IF(C986&gt;$B$7,0,'Combined Retirement'!$D$13/12)</f>
        <v>0</v>
      </c>
      <c r="F986" s="25">
        <f>IF(H986=0,'Combined Retirement'!$D$32,0)+'Combined Retirement'!$B$24</f>
        <v>2870.372285649099</v>
      </c>
      <c r="G986" s="25">
        <f>'Combined Retirement'!$C$24</f>
        <v>3525.4531757812501</v>
      </c>
      <c r="H986" s="25">
        <f>IF(B986&lt;62,0,'Combined Retirement'!$I$14)</f>
        <v>2192</v>
      </c>
      <c r="I986" s="25">
        <f>IF(C986&lt;62,0,'Combined Retirement'!$I$13)</f>
        <v>2420</v>
      </c>
      <c r="J986" s="25">
        <f t="shared" si="783"/>
        <v>7863.2184191855868</v>
      </c>
      <c r="K986" s="25">
        <f t="shared" si="784"/>
        <v>20282.026119384056</v>
      </c>
      <c r="L986" s="25"/>
      <c r="N986" s="25">
        <f>'Combined Retirement'!$C$18/12</f>
        <v>39153.069999999992</v>
      </c>
      <c r="O986" s="25">
        <f t="shared" si="785"/>
        <v>11007.82546143035</v>
      </c>
      <c r="P986" s="25">
        <f t="shared" si="786"/>
        <v>28145.244538569641</v>
      </c>
      <c r="Q986" s="25">
        <f t="array" aca="1" ref="Q986" ca="1">INDEX('Isaac 401k'!L:L,MATCH('Retirement Calculator'!A986,'Isaac 401k'!N:N,0),0)</f>
        <v>-8714775.3610930238</v>
      </c>
      <c r="R986" s="25">
        <f t="array" aca="1" ref="R986" ca="1">INDEX('Lorri 401b'!L:L,MATCH('Retirement Calculator'!A986,'Lorri 401b'!N:N,0),0)</f>
        <v>-22199049.318252388</v>
      </c>
      <c r="S986" s="25">
        <f t="shared" ca="1" si="787"/>
        <v>-30913824.679345414</v>
      </c>
    </row>
    <row r="987" spans="1:19" ht="15.75" customHeight="1" x14ac:dyDescent="0.3">
      <c r="A987" s="37">
        <v>80994</v>
      </c>
      <c r="B987" s="409">
        <f t="shared" ref="B987:C987" si="998">($A987-B$9)/365.25</f>
        <v>139.8713210130048</v>
      </c>
      <c r="C987" s="409">
        <f t="shared" si="998"/>
        <v>135.26078028747432</v>
      </c>
      <c r="E987" s="25">
        <f>IF(C987&gt;$B$7,0,'Combined Retirement'!$D$13/12)</f>
        <v>0</v>
      </c>
      <c r="F987" s="25">
        <f>IF(H987=0,'Combined Retirement'!$D$32,0)+'Combined Retirement'!$B$24</f>
        <v>2870.372285649099</v>
      </c>
      <c r="G987" s="25">
        <f>'Combined Retirement'!$C$24</f>
        <v>3525.4531757812501</v>
      </c>
      <c r="H987" s="25">
        <f>IF(B987&lt;62,0,'Combined Retirement'!$I$14)</f>
        <v>2192</v>
      </c>
      <c r="I987" s="25">
        <f>IF(C987&lt;62,0,'Combined Retirement'!$I$13)</f>
        <v>2420</v>
      </c>
      <c r="J987" s="25">
        <f t="shared" si="783"/>
        <v>7863.2184191855868</v>
      </c>
      <c r="K987" s="25">
        <f t="shared" si="784"/>
        <v>20282.026119384056</v>
      </c>
      <c r="L987" s="25"/>
      <c r="N987" s="25">
        <f>'Combined Retirement'!$C$18/12</f>
        <v>39153.069999999992</v>
      </c>
      <c r="O987" s="25">
        <f t="shared" si="785"/>
        <v>11007.82546143035</v>
      </c>
      <c r="P987" s="25">
        <f t="shared" si="786"/>
        <v>28145.244538569641</v>
      </c>
      <c r="Q987" s="25">
        <f t="array" aca="1" ref="Q987" ca="1">INDEX('Isaac 401k'!L:L,MATCH('Retirement Calculator'!A987,'Isaac 401k'!N:N,0),0)</f>
        <v>-8758982.9069268424</v>
      </c>
      <c r="R987" s="25">
        <f t="array" aca="1" ref="R987" ca="1">INDEX('Lorri 401b'!L:L,MATCH('Retirement Calculator'!A987,'Lorri 401b'!N:N,0),0)</f>
        <v>-22311911.891639989</v>
      </c>
      <c r="S987" s="25">
        <f t="shared" ca="1" si="787"/>
        <v>-31070894.798566833</v>
      </c>
    </row>
    <row r="988" spans="1:19" ht="15.75" customHeight="1" x14ac:dyDescent="0.3">
      <c r="A988" s="37">
        <v>81025</v>
      </c>
      <c r="B988" s="409">
        <f t="shared" ref="B988:C988" si="999">($A988-B$9)/365.25</f>
        <v>139.95619438740587</v>
      </c>
      <c r="C988" s="409">
        <f t="shared" si="999"/>
        <v>135.34565366187542</v>
      </c>
      <c r="E988" s="25">
        <f>IF(C988&gt;$B$7,0,'Combined Retirement'!$D$13/12)</f>
        <v>0</v>
      </c>
      <c r="F988" s="25">
        <f>IF(H988=0,'Combined Retirement'!$D$32,0)+'Combined Retirement'!$B$24</f>
        <v>2870.372285649099</v>
      </c>
      <c r="G988" s="25">
        <f>'Combined Retirement'!$C$24</f>
        <v>3525.4531757812501</v>
      </c>
      <c r="H988" s="25">
        <f>IF(B988&lt;62,0,'Combined Retirement'!$I$14)</f>
        <v>2192</v>
      </c>
      <c r="I988" s="25">
        <f>IF(C988&lt;62,0,'Combined Retirement'!$I$13)</f>
        <v>2420</v>
      </c>
      <c r="J988" s="25">
        <f t="shared" si="783"/>
        <v>7863.2184191855868</v>
      </c>
      <c r="K988" s="25">
        <f t="shared" si="784"/>
        <v>20282.026119384056</v>
      </c>
      <c r="L988" s="25"/>
      <c r="N988" s="25">
        <f>'Combined Retirement'!$C$18/12</f>
        <v>39153.069999999992</v>
      </c>
      <c r="O988" s="25">
        <f t="shared" si="785"/>
        <v>11007.82546143035</v>
      </c>
      <c r="P988" s="25">
        <f t="shared" si="786"/>
        <v>28145.244538569641</v>
      </c>
      <c r="Q988" s="25">
        <f t="array" aca="1" ref="Q988" ca="1">INDEX('Isaac 401k'!L:L,MATCH('Retirement Calculator'!A988,'Isaac 401k'!N:N,0),0)</f>
        <v>-8803374.6508683022</v>
      </c>
      <c r="R988" s="25">
        <f t="array" aca="1" ref="R988" ca="1">INDEX('Lorri 401b'!L:L,MATCH('Retirement Calculator'!A988,'Lorri 401b'!N:N,0),0)</f>
        <v>-22425244.725750037</v>
      </c>
      <c r="S988" s="25">
        <f t="shared" ca="1" si="787"/>
        <v>-31228619.376618341</v>
      </c>
    </row>
    <row r="989" spans="1:19" ht="15.75" customHeight="1" x14ac:dyDescent="0.3">
      <c r="A989" s="37">
        <v>81055</v>
      </c>
      <c r="B989" s="409">
        <f t="shared" ref="B989:C989" si="1000">($A989-B$9)/365.25</f>
        <v>140.03832991101984</v>
      </c>
      <c r="C989" s="409">
        <f t="shared" si="1000"/>
        <v>135.42778918548939</v>
      </c>
      <c r="E989" s="25">
        <f>IF(C989&gt;$B$7,0,'Combined Retirement'!$D$13/12)</f>
        <v>0</v>
      </c>
      <c r="F989" s="25">
        <f>IF(H989=0,'Combined Retirement'!$D$32,0)+'Combined Retirement'!$B$24</f>
        <v>2870.372285649099</v>
      </c>
      <c r="G989" s="25">
        <f>'Combined Retirement'!$C$24</f>
        <v>3525.4531757812501</v>
      </c>
      <c r="H989" s="25">
        <f>IF(B989&lt;62,0,'Combined Retirement'!$I$14)</f>
        <v>2192</v>
      </c>
      <c r="I989" s="25">
        <f>IF(C989&lt;62,0,'Combined Retirement'!$I$13)</f>
        <v>2420</v>
      </c>
      <c r="J989" s="25">
        <f t="shared" si="783"/>
        <v>7863.2184191855868</v>
      </c>
      <c r="K989" s="25">
        <f t="shared" si="784"/>
        <v>20282.026119384056</v>
      </c>
      <c r="L989" s="25"/>
      <c r="N989" s="25">
        <f>'Combined Retirement'!$C$18/12</f>
        <v>39153.069999999992</v>
      </c>
      <c r="O989" s="25">
        <f t="shared" si="785"/>
        <v>11007.82546143035</v>
      </c>
      <c r="P989" s="25">
        <f t="shared" si="786"/>
        <v>28145.244538569641</v>
      </c>
      <c r="Q989" s="25">
        <f t="array" aca="1" ref="Q989" ca="1">INDEX('Isaac 401k'!L:L,MATCH('Retirement Calculator'!A989,'Isaac 401k'!N:N,0),0)</f>
        <v>-8847951.3604095187</v>
      </c>
      <c r="R989" s="25">
        <f t="array" aca="1" ref="R989" ca="1">INDEX('Lorri 401b'!L:L,MATCH('Retirement Calculator'!A989,'Lorri 401b'!N:N,0),0)</f>
        <v>-22539049.78000221</v>
      </c>
      <c r="S989" s="25">
        <f t="shared" ca="1" si="787"/>
        <v>-31387001.140411727</v>
      </c>
    </row>
    <row r="990" spans="1:19" ht="15.75" customHeight="1" x14ac:dyDescent="0.3">
      <c r="A990" s="37">
        <v>81086</v>
      </c>
      <c r="B990" s="409">
        <f t="shared" ref="B990:C990" si="1001">($A990-B$9)/365.25</f>
        <v>140.12320328542094</v>
      </c>
      <c r="C990" s="409">
        <f t="shared" si="1001"/>
        <v>135.51266255989049</v>
      </c>
      <c r="E990" s="25">
        <f>IF(C990&gt;$B$7,0,'Combined Retirement'!$D$13/12)</f>
        <v>0</v>
      </c>
      <c r="F990" s="25">
        <f>IF(H990=0,'Combined Retirement'!$D$32,0)+'Combined Retirement'!$B$24</f>
        <v>2870.372285649099</v>
      </c>
      <c r="G990" s="25">
        <f>'Combined Retirement'!$C$24</f>
        <v>3525.4531757812501</v>
      </c>
      <c r="H990" s="25">
        <f>IF(B990&lt;62,0,'Combined Retirement'!$I$14)</f>
        <v>2192</v>
      </c>
      <c r="I990" s="25">
        <f>IF(C990&lt;62,0,'Combined Retirement'!$I$13)</f>
        <v>2420</v>
      </c>
      <c r="J990" s="25">
        <f t="shared" si="783"/>
        <v>7863.2184191855868</v>
      </c>
      <c r="K990" s="25">
        <f t="shared" si="784"/>
        <v>20282.026119384056</v>
      </c>
      <c r="L990" s="25"/>
      <c r="N990" s="25">
        <f>'Combined Retirement'!$C$18/12</f>
        <v>39153.069999999992</v>
      </c>
      <c r="O990" s="25">
        <f t="shared" si="785"/>
        <v>11007.82546143035</v>
      </c>
      <c r="P990" s="25">
        <f t="shared" si="786"/>
        <v>28145.244538569641</v>
      </c>
      <c r="Q990" s="25">
        <f t="array" aca="1" ref="Q990" ca="1">INDEX('Isaac 401k'!L:L,MATCH('Retirement Calculator'!A990,'Isaac 401k'!N:N,0),0)</f>
        <v>-8892713.8062404897</v>
      </c>
      <c r="R990" s="25">
        <f t="array" aca="1" ref="R990" ca="1">INDEX('Lorri 401b'!L:L,MATCH('Retirement Calculator'!A990,'Lorri 401b'!N:N,0),0)</f>
        <v>-22653329.021980435</v>
      </c>
      <c r="S990" s="25">
        <f t="shared" ca="1" si="787"/>
        <v>-31546042.828220926</v>
      </c>
    </row>
    <row r="991" spans="1:19" ht="15.75" customHeight="1" x14ac:dyDescent="0.3">
      <c r="A991" s="37">
        <v>81117</v>
      </c>
      <c r="B991" s="409">
        <f t="shared" ref="B991:C991" si="1002">($A991-B$9)/365.25</f>
        <v>140.20807665982204</v>
      </c>
      <c r="C991" s="409">
        <f t="shared" si="1002"/>
        <v>135.59753593429159</v>
      </c>
      <c r="E991" s="25">
        <f>IF(C991&gt;$B$7,0,'Combined Retirement'!$D$13/12)</f>
        <v>0</v>
      </c>
      <c r="F991" s="25">
        <f>IF(H991=0,'Combined Retirement'!$D$32,0)+'Combined Retirement'!$B$24</f>
        <v>2870.372285649099</v>
      </c>
      <c r="G991" s="25">
        <f>'Combined Retirement'!$C$24</f>
        <v>3525.4531757812501</v>
      </c>
      <c r="H991" s="25">
        <f>IF(B991&lt;62,0,'Combined Retirement'!$I$14)</f>
        <v>2192</v>
      </c>
      <c r="I991" s="25">
        <f>IF(C991&lt;62,0,'Combined Retirement'!$I$13)</f>
        <v>2420</v>
      </c>
      <c r="J991" s="25">
        <f t="shared" si="783"/>
        <v>7863.2184191855868</v>
      </c>
      <c r="K991" s="25">
        <f t="shared" si="784"/>
        <v>20282.026119384056</v>
      </c>
      <c r="L991" s="25"/>
      <c r="N991" s="25">
        <f>'Combined Retirement'!$C$18/12</f>
        <v>39153.069999999992</v>
      </c>
      <c r="O991" s="25">
        <f t="shared" si="785"/>
        <v>11007.82546143035</v>
      </c>
      <c r="P991" s="25">
        <f t="shared" si="786"/>
        <v>28145.244538569641</v>
      </c>
      <c r="Q991" s="25">
        <f t="array" aca="1" ref="Q991" ca="1">INDEX('Isaac 401k'!L:L,MATCH('Retirement Calculator'!A991,'Isaac 401k'!N:N,0),0)</f>
        <v>-8937662.7622624226</v>
      </c>
      <c r="R991" s="25">
        <f t="array" aca="1" ref="R991" ca="1">INDEX('Lorri 401b'!L:L,MATCH('Retirement Calculator'!A991,'Lorri 401b'!N:N,0),0)</f>
        <v>-22768084.427466903</v>
      </c>
      <c r="S991" s="25">
        <f t="shared" ca="1" si="787"/>
        <v>-31705747.189729325</v>
      </c>
    </row>
    <row r="992" spans="1:19" ht="15.75" customHeight="1" x14ac:dyDescent="0.3">
      <c r="A992" s="37">
        <v>81145</v>
      </c>
      <c r="B992" s="409">
        <f t="shared" ref="B992:C992" si="1003">($A992-B$9)/365.25</f>
        <v>140.28473648186173</v>
      </c>
      <c r="C992" s="409">
        <f t="shared" si="1003"/>
        <v>135.67419575633127</v>
      </c>
      <c r="E992" s="25">
        <f>IF(C992&gt;$B$7,0,'Combined Retirement'!$D$13/12)</f>
        <v>0</v>
      </c>
      <c r="F992" s="25">
        <f>IF(H992=0,'Combined Retirement'!$D$32,0)+'Combined Retirement'!$B$24</f>
        <v>2870.372285649099</v>
      </c>
      <c r="G992" s="25">
        <f>'Combined Retirement'!$C$24</f>
        <v>3525.4531757812501</v>
      </c>
      <c r="H992" s="25">
        <f>IF(B992&lt;62,0,'Combined Retirement'!$I$14)</f>
        <v>2192</v>
      </c>
      <c r="I992" s="25">
        <f>IF(C992&lt;62,0,'Combined Retirement'!$I$13)</f>
        <v>2420</v>
      </c>
      <c r="J992" s="25">
        <f t="shared" si="783"/>
        <v>7863.2184191855868</v>
      </c>
      <c r="K992" s="25">
        <f t="shared" si="784"/>
        <v>20282.026119384056</v>
      </c>
      <c r="L992" s="25"/>
      <c r="N992" s="25">
        <f>'Combined Retirement'!$C$18/12</f>
        <v>39153.069999999992</v>
      </c>
      <c r="O992" s="25">
        <f t="shared" si="785"/>
        <v>11007.82546143035</v>
      </c>
      <c r="P992" s="25">
        <f t="shared" si="786"/>
        <v>28145.244538569641</v>
      </c>
      <c r="Q992" s="25">
        <f t="array" aca="1" ref="Q992" ca="1">INDEX('Isaac 401k'!L:L,MATCH('Retirement Calculator'!A992,'Isaac 401k'!N:N,0),0)</f>
        <v>-8982799.0056011137</v>
      </c>
      <c r="R992" s="25">
        <f t="array" aca="1" ref="R992" ca="1">INDEX('Lorri 401b'!L:L,MATCH('Retirement Calculator'!A992,'Lorri 401b'!N:N,0),0)</f>
        <v>-22883317.98047623</v>
      </c>
      <c r="S992" s="25">
        <f t="shared" ca="1" si="787"/>
        <v>-31866116.986077346</v>
      </c>
    </row>
    <row r="993" spans="1:19" ht="15.75" customHeight="1" x14ac:dyDescent="0.3">
      <c r="A993" s="37">
        <v>81176</v>
      </c>
      <c r="B993" s="409">
        <f t="shared" ref="B993:C993" si="1004">($A993-B$9)/365.25</f>
        <v>140.36960985626283</v>
      </c>
      <c r="C993" s="409">
        <f t="shared" si="1004"/>
        <v>135.75906913073237</v>
      </c>
      <c r="E993" s="25">
        <f>IF(C993&gt;$B$7,0,'Combined Retirement'!$D$13/12)</f>
        <v>0</v>
      </c>
      <c r="F993" s="25">
        <f>IF(H993=0,'Combined Retirement'!$D$32,0)+'Combined Retirement'!$B$24</f>
        <v>2870.372285649099</v>
      </c>
      <c r="G993" s="25">
        <f>'Combined Retirement'!$C$24</f>
        <v>3525.4531757812501</v>
      </c>
      <c r="H993" s="25">
        <f>IF(B993&lt;62,0,'Combined Retirement'!$I$14)</f>
        <v>2192</v>
      </c>
      <c r="I993" s="25">
        <f>IF(C993&lt;62,0,'Combined Retirement'!$I$13)</f>
        <v>2420</v>
      </c>
      <c r="J993" s="25">
        <f t="shared" si="783"/>
        <v>7863.2184191855868</v>
      </c>
      <c r="K993" s="25">
        <f t="shared" si="784"/>
        <v>20282.026119384056</v>
      </c>
      <c r="L993" s="25"/>
      <c r="N993" s="25">
        <f>'Combined Retirement'!$C$18/12</f>
        <v>39153.069999999992</v>
      </c>
      <c r="O993" s="25">
        <f t="shared" si="785"/>
        <v>11007.82546143035</v>
      </c>
      <c r="P993" s="25">
        <f t="shared" si="786"/>
        <v>28145.244538569641</v>
      </c>
      <c r="Q993" s="25">
        <f t="array" aca="1" ref="Q993" ca="1">INDEX('Isaac 401k'!L:L,MATCH('Retirement Calculator'!A993,'Isaac 401k'!N:N,0),0)</f>
        <v>-9028123.3166203834</v>
      </c>
      <c r="R993" s="25">
        <f t="array" aca="1" ref="R993" ca="1">INDEX('Lorri 401b'!L:L,MATCH('Retirement Calculator'!A993,'Lorri 401b'!N:N,0),0)</f>
        <v>-22999031.673289765</v>
      </c>
      <c r="S993" s="25">
        <f t="shared" ca="1" si="787"/>
        <v>-32027154.989910148</v>
      </c>
    </row>
    <row r="994" spans="1:19" ht="15.75" customHeight="1" x14ac:dyDescent="0.3">
      <c r="A994" s="37">
        <v>81206</v>
      </c>
      <c r="B994" s="409">
        <f t="shared" ref="B994:C994" si="1005">($A994-B$9)/365.25</f>
        <v>140.4517453798768</v>
      </c>
      <c r="C994" s="409">
        <f t="shared" si="1005"/>
        <v>135.84120465434634</v>
      </c>
      <c r="E994" s="25">
        <f>IF(C994&gt;$B$7,0,'Combined Retirement'!$D$13/12)</f>
        <v>0</v>
      </c>
      <c r="F994" s="25">
        <f>IF(H994=0,'Combined Retirement'!$D$32,0)+'Combined Retirement'!$B$24</f>
        <v>2870.372285649099</v>
      </c>
      <c r="G994" s="25">
        <f>'Combined Retirement'!$C$24</f>
        <v>3525.4531757812501</v>
      </c>
      <c r="H994" s="25">
        <f>IF(B994&lt;62,0,'Combined Retirement'!$I$14)</f>
        <v>2192</v>
      </c>
      <c r="I994" s="25">
        <f>IF(C994&lt;62,0,'Combined Retirement'!$I$13)</f>
        <v>2420</v>
      </c>
      <c r="J994" s="25">
        <f t="shared" si="783"/>
        <v>7863.2184191855868</v>
      </c>
      <c r="K994" s="25">
        <f t="shared" si="784"/>
        <v>20282.026119384056</v>
      </c>
      <c r="L994" s="25"/>
      <c r="N994" s="25">
        <f>'Combined Retirement'!$C$18/12</f>
        <v>39153.069999999992</v>
      </c>
      <c r="O994" s="25">
        <f t="shared" si="785"/>
        <v>11007.82546143035</v>
      </c>
      <c r="P994" s="25">
        <f t="shared" si="786"/>
        <v>28145.244538569641</v>
      </c>
      <c r="Q994" s="25">
        <f t="array" aca="1" ref="Q994" ca="1">INDEX('Isaac 401k'!L:L,MATCH('Retirement Calculator'!A994,'Isaac 401k'!N:N,0),0)</f>
        <v>-9073636.4789355658</v>
      </c>
      <c r="R994" s="25">
        <f t="array" aca="1" ref="R994" ca="1">INDEX('Lorri 401b'!L:L,MATCH('Retirement Calculator'!A994,'Lorri 401b'!N:N,0),0)</f>
        <v>-23115227.506490022</v>
      </c>
      <c r="S994" s="25">
        <f t="shared" ca="1" si="787"/>
        <v>-32188863.985425588</v>
      </c>
    </row>
    <row r="995" spans="1:19" ht="15.75" customHeight="1" x14ac:dyDescent="0.3">
      <c r="A995" s="37">
        <v>81237</v>
      </c>
      <c r="B995" s="409">
        <f t="shared" ref="B995:C995" si="1006">($A995-B$9)/365.25</f>
        <v>140.5366187542779</v>
      </c>
      <c r="C995" s="409">
        <f t="shared" si="1006"/>
        <v>135.92607802874744</v>
      </c>
      <c r="E995" s="25">
        <f>IF(C995&gt;$B$7,0,'Combined Retirement'!$D$13/12)</f>
        <v>0</v>
      </c>
      <c r="F995" s="25">
        <f>IF(H995=0,'Combined Retirement'!$D$32,0)+'Combined Retirement'!$B$24</f>
        <v>2870.372285649099</v>
      </c>
      <c r="G995" s="25">
        <f>'Combined Retirement'!$C$24</f>
        <v>3525.4531757812501</v>
      </c>
      <c r="H995" s="25">
        <f>IF(B995&lt;62,0,'Combined Retirement'!$I$14)</f>
        <v>2192</v>
      </c>
      <c r="I995" s="25">
        <f>IF(C995&lt;62,0,'Combined Retirement'!$I$13)</f>
        <v>2420</v>
      </c>
      <c r="J995" s="25">
        <f t="shared" si="783"/>
        <v>7863.2184191855868</v>
      </c>
      <c r="K995" s="25">
        <f t="shared" si="784"/>
        <v>20282.026119384056</v>
      </c>
      <c r="L995" s="25"/>
      <c r="N995" s="25">
        <f>'Combined Retirement'!$C$18/12</f>
        <v>39153.069999999992</v>
      </c>
      <c r="O995" s="25">
        <f t="shared" si="785"/>
        <v>11007.82546143035</v>
      </c>
      <c r="P995" s="25">
        <f t="shared" si="786"/>
        <v>28145.244538569641</v>
      </c>
      <c r="Q995" s="25">
        <f t="array" aca="1" ref="Q995" ca="1">INDEX('Isaac 401k'!L:L,MATCH('Retirement Calculator'!A995,'Isaac 401k'!N:N,0),0)</f>
        <v>-9119339.2794270627</v>
      </c>
      <c r="R995" s="25">
        <f t="array" aca="1" ref="R995" ca="1">INDEX('Lorri 401b'!L:L,MATCH('Retirement Calculator'!A995,'Lorri 401b'!N:N,0),0)</f>
        <v>-23231907.48899528</v>
      </c>
      <c r="S995" s="25">
        <f t="shared" ca="1" si="787"/>
        <v>-32351246.768422343</v>
      </c>
    </row>
    <row r="996" spans="1:19" ht="15.75" customHeight="1" x14ac:dyDescent="0.3">
      <c r="A996" s="37">
        <v>81267</v>
      </c>
      <c r="B996" s="409">
        <f t="shared" ref="B996:C996" si="1007">($A996-B$9)/365.25</f>
        <v>140.61875427789187</v>
      </c>
      <c r="C996" s="409">
        <f t="shared" si="1007"/>
        <v>136.00821355236138</v>
      </c>
      <c r="E996" s="25">
        <f>IF(C996&gt;$B$7,0,'Combined Retirement'!$D$13/12)</f>
        <v>0</v>
      </c>
      <c r="F996" s="25">
        <f>IF(H996=0,'Combined Retirement'!$D$32,0)+'Combined Retirement'!$B$24</f>
        <v>2870.372285649099</v>
      </c>
      <c r="G996" s="25">
        <f>'Combined Retirement'!$C$24</f>
        <v>3525.4531757812501</v>
      </c>
      <c r="H996" s="25">
        <f>IF(B996&lt;62,0,'Combined Retirement'!$I$14)</f>
        <v>2192</v>
      </c>
      <c r="I996" s="25">
        <f>IF(C996&lt;62,0,'Combined Retirement'!$I$13)</f>
        <v>2420</v>
      </c>
      <c r="J996" s="25">
        <f t="shared" si="783"/>
        <v>7863.2184191855868</v>
      </c>
      <c r="K996" s="25">
        <f t="shared" si="784"/>
        <v>20282.026119384056</v>
      </c>
      <c r="L996" s="25"/>
      <c r="N996" s="25">
        <f>'Combined Retirement'!$C$18/12</f>
        <v>39153.069999999992</v>
      </c>
      <c r="O996" s="25">
        <f t="shared" si="785"/>
        <v>11007.82546143035</v>
      </c>
      <c r="P996" s="25">
        <f t="shared" si="786"/>
        <v>28145.244538569641</v>
      </c>
      <c r="Q996" s="25">
        <f t="array" aca="1" ref="Q996" ca="1">INDEX('Isaac 401k'!L:L,MATCH('Retirement Calculator'!A996,'Isaac 401k'!N:N,0),0)</f>
        <v>-9165232.5082539394</v>
      </c>
      <c r="R996" s="25">
        <f t="array" aca="1" ref="R996" ca="1">INDEX('Lorri 401b'!L:L,MATCH('Retirement Calculator'!A996,'Lorri 401b'!N:N,0),0)</f>
        <v>-23349073.63809431</v>
      </c>
      <c r="S996" s="25">
        <f t="shared" ca="1" si="787"/>
        <v>-32514306.146348249</v>
      </c>
    </row>
    <row r="997" spans="1:19" ht="15.75" customHeight="1" x14ac:dyDescent="0.3">
      <c r="A997" s="37">
        <v>81298</v>
      </c>
      <c r="B997" s="409">
        <f t="shared" ref="B997:C997" si="1008">($A997-B$9)/365.25</f>
        <v>140.70362765229294</v>
      </c>
      <c r="C997" s="409">
        <f t="shared" si="1008"/>
        <v>136.09308692676248</v>
      </c>
      <c r="E997" s="25">
        <f>IF(C997&gt;$B$7,0,'Combined Retirement'!$D$13/12)</f>
        <v>0</v>
      </c>
      <c r="F997" s="25">
        <f>IF(H997=0,'Combined Retirement'!$D$32,0)+'Combined Retirement'!$B$24</f>
        <v>2870.372285649099</v>
      </c>
      <c r="G997" s="25">
        <f>'Combined Retirement'!$C$24</f>
        <v>3525.4531757812501</v>
      </c>
      <c r="H997" s="25">
        <f>IF(B997&lt;62,0,'Combined Retirement'!$I$14)</f>
        <v>2192</v>
      </c>
      <c r="I997" s="25">
        <f>IF(C997&lt;62,0,'Combined Retirement'!$I$13)</f>
        <v>2420</v>
      </c>
      <c r="J997" s="25">
        <f t="shared" si="783"/>
        <v>7863.2184191855868</v>
      </c>
      <c r="K997" s="25">
        <f t="shared" si="784"/>
        <v>20282.026119384056</v>
      </c>
      <c r="L997" s="25"/>
      <c r="N997" s="25">
        <f>'Combined Retirement'!$C$18/12</f>
        <v>39153.069999999992</v>
      </c>
      <c r="O997" s="25">
        <f t="shared" si="785"/>
        <v>11007.82546143035</v>
      </c>
      <c r="P997" s="25">
        <f t="shared" si="786"/>
        <v>28145.244538569641</v>
      </c>
      <c r="Q997" s="25">
        <f t="array" aca="1" ref="Q997" ca="1">INDEX('Isaac 401k'!L:L,MATCH('Retirement Calculator'!A997,'Isaac 401k'!N:N,0),0)</f>
        <v>-9211316.9588675965</v>
      </c>
      <c r="R997" s="25">
        <f t="array" aca="1" ref="R997" ca="1">INDEX('Lorri 401b'!L:L,MATCH('Retirement Calculator'!A997,'Lorri 401b'!N:N,0),0)</f>
        <v>-23466727.97948125</v>
      </c>
      <c r="S997" s="25">
        <f t="shared" ca="1" si="787"/>
        <v>-32678044.938348845</v>
      </c>
    </row>
    <row r="998" spans="1:19" ht="15.75" customHeight="1" x14ac:dyDescent="0.3">
      <c r="A998" s="37">
        <v>81329</v>
      </c>
      <c r="B998" s="409">
        <f t="shared" ref="B998:C998" si="1009">($A998-B$9)/365.25</f>
        <v>140.78850102669404</v>
      </c>
      <c r="C998" s="409">
        <f t="shared" si="1009"/>
        <v>136.17796030116358</v>
      </c>
      <c r="E998" s="25">
        <f>IF(C998&gt;$B$7,0,'Combined Retirement'!$D$13/12)</f>
        <v>0</v>
      </c>
      <c r="F998" s="25">
        <f>IF(H998=0,'Combined Retirement'!$D$32,0)+'Combined Retirement'!$B$24</f>
        <v>2870.372285649099</v>
      </c>
      <c r="G998" s="25">
        <f>'Combined Retirement'!$C$24</f>
        <v>3525.4531757812501</v>
      </c>
      <c r="H998" s="25">
        <f>IF(B998&lt;62,0,'Combined Retirement'!$I$14)</f>
        <v>2192</v>
      </c>
      <c r="I998" s="25">
        <f>IF(C998&lt;62,0,'Combined Retirement'!$I$13)</f>
        <v>2420</v>
      </c>
      <c r="J998" s="25">
        <f t="shared" si="783"/>
        <v>7863.2184191855868</v>
      </c>
      <c r="K998" s="25">
        <f t="shared" si="784"/>
        <v>20282.026119384056</v>
      </c>
      <c r="L998" s="25"/>
      <c r="N998" s="25">
        <f>'Combined Retirement'!$C$18/12</f>
        <v>39153.069999999992</v>
      </c>
      <c r="O998" s="25">
        <f t="shared" si="785"/>
        <v>11007.82546143035</v>
      </c>
      <c r="P998" s="25">
        <f t="shared" si="786"/>
        <v>28145.244538569641</v>
      </c>
      <c r="Q998" s="25">
        <f t="array" aca="1" ref="Q998" ca="1">INDEX('Isaac 401k'!L:L,MATCH('Retirement Calculator'!A998,'Isaac 401k'!N:N,0),0)</f>
        <v>-9257593.4280254766</v>
      </c>
      <c r="R998" s="25">
        <f t="array" aca="1" ref="R998" ca="1">INDEX('Lorri 401b'!L:L,MATCH('Retirement Calculator'!A998,'Lorri 401b'!N:N,0),0)</f>
        <v>-23584872.547290638</v>
      </c>
      <c r="S998" s="25">
        <f t="shared" ca="1" si="787"/>
        <v>-32842465.975316115</v>
      </c>
    </row>
    <row r="999" spans="1:19" ht="15.75" customHeight="1" x14ac:dyDescent="0.3">
      <c r="A999" s="37">
        <v>81359</v>
      </c>
      <c r="B999" s="409">
        <f t="shared" ref="B999:C999" si="1010">($A999-B$9)/365.25</f>
        <v>140.87063655030801</v>
      </c>
      <c r="C999" s="409">
        <f t="shared" si="1010"/>
        <v>136.26009582477755</v>
      </c>
      <c r="E999" s="25">
        <f>IF(C999&gt;$B$7,0,'Combined Retirement'!$D$13/12)</f>
        <v>0</v>
      </c>
      <c r="F999" s="25">
        <f>IF(H999=0,'Combined Retirement'!$D$32,0)+'Combined Retirement'!$B$24</f>
        <v>2870.372285649099</v>
      </c>
      <c r="G999" s="25">
        <f>'Combined Retirement'!$C$24</f>
        <v>3525.4531757812501</v>
      </c>
      <c r="H999" s="25">
        <f>IF(B999&lt;62,0,'Combined Retirement'!$I$14)</f>
        <v>2192</v>
      </c>
      <c r="I999" s="25">
        <f>IF(C999&lt;62,0,'Combined Retirement'!$I$13)</f>
        <v>2420</v>
      </c>
      <c r="J999" s="25">
        <f t="shared" si="783"/>
        <v>7863.2184191855868</v>
      </c>
      <c r="K999" s="25">
        <f t="shared" si="784"/>
        <v>20282.026119384056</v>
      </c>
      <c r="L999" s="25"/>
      <c r="N999" s="25">
        <f>'Combined Retirement'!$C$18/12</f>
        <v>39153.069999999992</v>
      </c>
      <c r="O999" s="25">
        <f t="shared" si="785"/>
        <v>11007.82546143035</v>
      </c>
      <c r="P999" s="25">
        <f t="shared" si="786"/>
        <v>28145.244538569641</v>
      </c>
      <c r="Q999" s="25">
        <f t="array" aca="1" ref="Q999" ca="1">INDEX('Isaac 401k'!L:L,MATCH('Retirement Calculator'!A999,'Isaac 401k'!N:N,0),0)</f>
        <v>-9304062.715804847</v>
      </c>
      <c r="R999" s="25">
        <f t="array" aca="1" ref="R999" ca="1">INDEX('Lorri 401b'!L:L,MATCH('Retirement Calculator'!A999,'Lorri 401b'!N:N,0),0)</f>
        <v>-23703509.384132564</v>
      </c>
      <c r="S999" s="25">
        <f t="shared" ca="1" si="787"/>
        <v>-33007572.099937409</v>
      </c>
    </row>
    <row r="1000" spans="1:19" ht="15.75" customHeight="1" x14ac:dyDescent="0.3">
      <c r="A1000" s="37">
        <v>81390</v>
      </c>
      <c r="B1000" s="409">
        <f t="shared" ref="B1000:C1000" si="1011">($A1000-B$9)/365.25</f>
        <v>140.95550992470911</v>
      </c>
      <c r="C1000" s="409">
        <f t="shared" si="1011"/>
        <v>136.34496919917865</v>
      </c>
      <c r="E1000" s="25">
        <f>IF(C1000&gt;$B$7,0,'Combined Retirement'!$D$13/12)</f>
        <v>0</v>
      </c>
      <c r="F1000" s="25">
        <f>IF(H1000=0,'Combined Retirement'!$D$32,0)+'Combined Retirement'!$B$24</f>
        <v>2870.372285649099</v>
      </c>
      <c r="G1000" s="25">
        <f>'Combined Retirement'!$C$24</f>
        <v>3525.4531757812501</v>
      </c>
      <c r="H1000" s="25">
        <f>IF(B1000&lt;62,0,'Combined Retirement'!$I$14)</f>
        <v>2192</v>
      </c>
      <c r="I1000" s="25">
        <f>IF(C1000&lt;62,0,'Combined Retirement'!$I$13)</f>
        <v>2420</v>
      </c>
      <c r="J1000" s="25">
        <f t="shared" si="783"/>
        <v>7863.2184191855868</v>
      </c>
      <c r="K1000" s="25">
        <f t="shared" si="784"/>
        <v>20282.026119384056</v>
      </c>
      <c r="L1000" s="25"/>
      <c r="N1000" s="25">
        <f>'Combined Retirement'!$C$18/12</f>
        <v>39153.069999999992</v>
      </c>
      <c r="O1000" s="25">
        <f t="shared" si="785"/>
        <v>11007.82546143035</v>
      </c>
      <c r="P1000" s="25">
        <f t="shared" si="786"/>
        <v>28145.244538569641</v>
      </c>
      <c r="Q1000" s="25">
        <f t="array" aca="1" ref="Q1000" ca="1">INDEX('Isaac 401k'!L:L,MATCH('Retirement Calculator'!A1000,'Isaac 401k'!N:N,0),0)</f>
        <v>-9350725.6256166324</v>
      </c>
      <c r="R1000" s="25">
        <f t="array" aca="1" ref="R1000" ca="1">INDEX('Lorri 401b'!L:L,MATCH('Retirement Calculator'!A1000,'Lorri 401b'!N:N,0),0)</f>
        <v>-23822640.541127998</v>
      </c>
      <c r="S1000" s="25">
        <f t="shared" ca="1" si="787"/>
        <v>-33173366.166744631</v>
      </c>
    </row>
    <row r="1001" spans="1:19" ht="15.75" customHeight="1" x14ac:dyDescent="0.3">
      <c r="A1001" s="37">
        <v>81420</v>
      </c>
      <c r="B1001" s="409">
        <f t="shared" ref="B1001:C1001" si="1012">($A1001-B$9)/365.25</f>
        <v>141.03764544832308</v>
      </c>
      <c r="C1001" s="409">
        <f t="shared" si="1012"/>
        <v>136.42710472279262</v>
      </c>
      <c r="E1001" s="25">
        <f>IF(C1001&gt;$B$7,0,'Combined Retirement'!$D$13/12)</f>
        <v>0</v>
      </c>
      <c r="F1001" s="25">
        <f>IF(H1001=0,'Combined Retirement'!$D$32,0)+'Combined Retirement'!$B$24</f>
        <v>2870.372285649099</v>
      </c>
      <c r="G1001" s="25">
        <f>'Combined Retirement'!$C$24</f>
        <v>3525.4531757812501</v>
      </c>
      <c r="H1001" s="25">
        <f>IF(B1001&lt;62,0,'Combined Retirement'!$I$14)</f>
        <v>2192</v>
      </c>
      <c r="I1001" s="25">
        <f>IF(C1001&lt;62,0,'Combined Retirement'!$I$13)</f>
        <v>2420</v>
      </c>
      <c r="J1001" s="25">
        <f t="shared" si="783"/>
        <v>7863.2184191855868</v>
      </c>
      <c r="K1001" s="25">
        <f t="shared" si="784"/>
        <v>20282.026119384056</v>
      </c>
      <c r="L1001" s="25"/>
      <c r="N1001" s="25">
        <f>'Combined Retirement'!$C$18/12</f>
        <v>39153.069999999992</v>
      </c>
      <c r="O1001" s="25">
        <f t="shared" si="785"/>
        <v>11007.82546143035</v>
      </c>
      <c r="P1001" s="25">
        <f t="shared" si="786"/>
        <v>28145.244538569641</v>
      </c>
      <c r="Q1001" s="25">
        <f t="array" aca="1" ref="Q1001" ca="1">INDEX('Isaac 401k'!L:L,MATCH('Retirement Calculator'!A1001,'Isaac 401k'!N:N,0),0)</f>
        <v>-9397582.9642193001</v>
      </c>
      <c r="R1001" s="25">
        <f t="array" aca="1" ref="R1001" ca="1">INDEX('Lorri 401b'!L:L,MATCH('Retirement Calculator'!A1001,'Lorri 401b'!N:N,0),0)</f>
        <v>-23942268.077944249</v>
      </c>
      <c r="S1001" s="25">
        <f t="shared" ca="1" si="787"/>
        <v>-33339851.042163551</v>
      </c>
    </row>
    <row r="1002" spans="1:19" ht="15.75" customHeight="1" x14ac:dyDescent="0.3">
      <c r="A1002" s="37">
        <v>81451</v>
      </c>
      <c r="B1002" s="409">
        <f t="shared" ref="B1002:C1002" si="1013">($A1002-B$9)/365.25</f>
        <v>141.12251882272417</v>
      </c>
      <c r="C1002" s="409">
        <f t="shared" si="1013"/>
        <v>136.51197809719369</v>
      </c>
      <c r="E1002" s="25">
        <f>IF(C1002&gt;$B$7,0,'Combined Retirement'!$D$13/12)</f>
        <v>0</v>
      </c>
      <c r="F1002" s="25">
        <f>IF(H1002=0,'Combined Retirement'!$D$32,0)+'Combined Retirement'!$B$24</f>
        <v>2870.372285649099</v>
      </c>
      <c r="G1002" s="25">
        <f>'Combined Retirement'!$C$24</f>
        <v>3525.4531757812501</v>
      </c>
      <c r="H1002" s="25">
        <f>IF(B1002&lt;62,0,'Combined Retirement'!$I$14)</f>
        <v>2192</v>
      </c>
      <c r="I1002" s="25">
        <f>IF(C1002&lt;62,0,'Combined Retirement'!$I$13)</f>
        <v>2420</v>
      </c>
      <c r="J1002" s="25">
        <f t="shared" si="783"/>
        <v>7863.2184191855868</v>
      </c>
      <c r="K1002" s="25">
        <f t="shared" si="784"/>
        <v>20282.026119384056</v>
      </c>
      <c r="L1002" s="25"/>
      <c r="N1002" s="25">
        <f>'Combined Retirement'!$C$18/12</f>
        <v>39153.069999999992</v>
      </c>
      <c r="O1002" s="25">
        <f t="shared" si="785"/>
        <v>11007.82546143035</v>
      </c>
      <c r="P1002" s="25">
        <f t="shared" si="786"/>
        <v>28145.244538569641</v>
      </c>
      <c r="Q1002" s="25">
        <f t="array" aca="1" ref="Q1002" ca="1">INDEX('Isaac 401k'!L:L,MATCH('Retirement Calculator'!A1002,'Isaac 401k'!N:N,0),0)</f>
        <v>-9444635.5417328123</v>
      </c>
      <c r="R1002" s="25">
        <f t="array" aca="1" ref="R1002" ca="1">INDEX('Lorri 401b'!L:L,MATCH('Retirement Calculator'!A1002,'Lorri 401b'!N:N,0),0)</f>
        <v>-24062394.062830567</v>
      </c>
      <c r="S1002" s="25">
        <f t="shared" ca="1" si="787"/>
        <v>-33507029.604563378</v>
      </c>
    </row>
    <row r="1003" spans="1:19" ht="15.75" customHeight="1" x14ac:dyDescent="0.3">
      <c r="A1003" s="37">
        <v>81482</v>
      </c>
      <c r="B1003" s="409">
        <f t="shared" ref="B1003:C1003" si="1014">($A1003-B$9)/365.25</f>
        <v>141.20739219712524</v>
      </c>
      <c r="C1003" s="409">
        <f t="shared" si="1014"/>
        <v>136.59685147159479</v>
      </c>
      <c r="E1003" s="25">
        <f>IF(C1003&gt;$B$7,0,'Combined Retirement'!$D$13/12)</f>
        <v>0</v>
      </c>
      <c r="F1003" s="25">
        <f>IF(H1003=0,'Combined Retirement'!$D$32,0)+'Combined Retirement'!$B$24</f>
        <v>2870.372285649099</v>
      </c>
      <c r="G1003" s="25">
        <f>'Combined Retirement'!$C$24</f>
        <v>3525.4531757812501</v>
      </c>
      <c r="H1003" s="25">
        <f>IF(B1003&lt;62,0,'Combined Retirement'!$I$14)</f>
        <v>2192</v>
      </c>
      <c r="I1003" s="25">
        <f>IF(C1003&lt;62,0,'Combined Retirement'!$I$13)</f>
        <v>2420</v>
      </c>
      <c r="J1003" s="25">
        <f t="shared" si="783"/>
        <v>7863.2184191855868</v>
      </c>
      <c r="K1003" s="25">
        <f t="shared" si="784"/>
        <v>20282.026119384056</v>
      </c>
      <c r="L1003" s="25"/>
      <c r="N1003" s="25">
        <f>'Combined Retirement'!$C$18/12</f>
        <v>39153.069999999992</v>
      </c>
      <c r="O1003" s="25">
        <f t="shared" si="785"/>
        <v>11007.82546143035</v>
      </c>
      <c r="P1003" s="25">
        <f t="shared" si="786"/>
        <v>28145.244538569641</v>
      </c>
      <c r="Q1003" s="25">
        <f t="array" aca="1" ref="Q1003" ca="1">INDEX('Isaac 401k'!L:L,MATCH('Retirement Calculator'!A1003,'Isaac 401k'!N:N,0),0)</f>
        <v>-9491884.17165263</v>
      </c>
      <c r="R1003" s="25">
        <f t="array" aca="1" ref="R1003" ca="1">INDEX('Lorri 401b'!L:L,MATCH('Retirement Calculator'!A1003,'Lorri 401b'!N:N,0),0)</f>
        <v>-24183020.572653912</v>
      </c>
      <c r="S1003" s="25">
        <f t="shared" ca="1" si="787"/>
        <v>-33674904.744306542</v>
      </c>
    </row>
    <row r="1004" spans="1:19" ht="15.75" customHeight="1" x14ac:dyDescent="0.3">
      <c r="A1004" s="37">
        <v>81510</v>
      </c>
      <c r="B1004" s="409">
        <f t="shared" ref="B1004:C1004" si="1015">($A1004-B$9)/365.25</f>
        <v>141.28405201916496</v>
      </c>
      <c r="C1004" s="409">
        <f t="shared" si="1015"/>
        <v>136.6735112936345</v>
      </c>
      <c r="E1004" s="25">
        <f>IF(C1004&gt;$B$7,0,'Combined Retirement'!$D$13/12)</f>
        <v>0</v>
      </c>
      <c r="F1004" s="25">
        <f>IF(H1004=0,'Combined Retirement'!$D$32,0)+'Combined Retirement'!$B$24</f>
        <v>2870.372285649099</v>
      </c>
      <c r="G1004" s="25">
        <f>'Combined Retirement'!$C$24</f>
        <v>3525.4531757812501</v>
      </c>
      <c r="H1004" s="25">
        <f>IF(B1004&lt;62,0,'Combined Retirement'!$I$14)</f>
        <v>2192</v>
      </c>
      <c r="I1004" s="25">
        <f>IF(C1004&lt;62,0,'Combined Retirement'!$I$13)</f>
        <v>2420</v>
      </c>
      <c r="J1004" s="25">
        <f t="shared" si="783"/>
        <v>7863.2184191855868</v>
      </c>
      <c r="K1004" s="25">
        <f t="shared" si="784"/>
        <v>20282.026119384056</v>
      </c>
      <c r="L1004" s="25"/>
      <c r="N1004" s="25">
        <f>'Combined Retirement'!$C$18/12</f>
        <v>39153.069999999992</v>
      </c>
      <c r="O1004" s="25">
        <f t="shared" si="785"/>
        <v>11007.82546143035</v>
      </c>
      <c r="P1004" s="25">
        <f t="shared" si="786"/>
        <v>28145.244538569641</v>
      </c>
      <c r="Q1004" s="25">
        <f t="array" aca="1" ref="Q1004" ca="1">INDEX('Isaac 401k'!L:L,MATCH('Retirement Calculator'!A1004,'Isaac 401k'!N:N,0),0)</f>
        <v>-9539329.6708637811</v>
      </c>
      <c r="R1004" s="25">
        <f t="array" aca="1" ref="R1004" ca="1">INDEX('Lorri 401b'!L:L,MATCH('Retirement Calculator'!A1004,'Lorri 401b'!N:N,0),0)</f>
        <v>-24304149.692934852</v>
      </c>
      <c r="S1004" s="25">
        <f t="shared" ca="1" si="787"/>
        <v>-33843479.363798633</v>
      </c>
    </row>
    <row r="1005" spans="1:19" ht="15.75" customHeight="1" x14ac:dyDescent="0.3">
      <c r="A1005" s="37">
        <v>81541</v>
      </c>
      <c r="B1005" s="409">
        <f t="shared" ref="B1005:C1005" si="1016">($A1005-B$9)/365.25</f>
        <v>141.36892539356606</v>
      </c>
      <c r="C1005" s="409">
        <f t="shared" si="1016"/>
        <v>136.7583846680356</v>
      </c>
      <c r="E1005" s="25">
        <f>IF(C1005&gt;$B$7,0,'Combined Retirement'!$D$13/12)</f>
        <v>0</v>
      </c>
      <c r="F1005" s="25">
        <f>IF(H1005=0,'Combined Retirement'!$D$32,0)+'Combined Retirement'!$B$24</f>
        <v>2870.372285649099</v>
      </c>
      <c r="G1005" s="25">
        <f>'Combined Retirement'!$C$24</f>
        <v>3525.4531757812501</v>
      </c>
      <c r="H1005" s="25">
        <f>IF(B1005&lt;62,0,'Combined Retirement'!$I$14)</f>
        <v>2192</v>
      </c>
      <c r="I1005" s="25">
        <f>IF(C1005&lt;62,0,'Combined Retirement'!$I$13)</f>
        <v>2420</v>
      </c>
      <c r="J1005" s="25">
        <f t="shared" si="783"/>
        <v>7863.2184191855868</v>
      </c>
      <c r="K1005" s="25">
        <f t="shared" si="784"/>
        <v>20282.026119384056</v>
      </c>
      <c r="L1005" s="25"/>
      <c r="N1005" s="25">
        <f>'Combined Retirement'!$C$18/12</f>
        <v>39153.069999999992</v>
      </c>
      <c r="O1005" s="25">
        <f t="shared" si="785"/>
        <v>11007.82546143035</v>
      </c>
      <c r="P1005" s="25">
        <f t="shared" si="786"/>
        <v>28145.244538569641</v>
      </c>
      <c r="Q1005" s="25">
        <f t="array" aca="1" ref="Q1005" ca="1">INDEX('Isaac 401k'!L:L,MATCH('Retirement Calculator'!A1005,'Isaac 401k'!N:N,0),0)</f>
        <v>-9586972.8596549779</v>
      </c>
      <c r="R1005" s="25">
        <f t="array" aca="1" ref="R1005" ca="1">INDEX('Lorri 401b'!L:L,MATCH('Retirement Calculator'!A1005,'Lorri 401b'!N:N,0),0)</f>
        <v>-24425783.517883629</v>
      </c>
      <c r="S1005" s="25">
        <f t="shared" ca="1" si="787"/>
        <v>-34012756.377538607</v>
      </c>
    </row>
    <row r="1006" spans="1:19" ht="15.75" customHeight="1" x14ac:dyDescent="0.3">
      <c r="A1006" s="37">
        <v>81571</v>
      </c>
      <c r="B1006" s="409">
        <f t="shared" ref="B1006:C1006" si="1017">($A1006-B$9)/365.25</f>
        <v>141.45106091718</v>
      </c>
      <c r="C1006" s="409">
        <f t="shared" si="1017"/>
        <v>136.84052019164955</v>
      </c>
      <c r="E1006" s="25">
        <f>IF(C1006&gt;$B$7,0,'Combined Retirement'!$D$13/12)</f>
        <v>0</v>
      </c>
      <c r="F1006" s="25">
        <f>IF(H1006=0,'Combined Retirement'!$D$32,0)+'Combined Retirement'!$B$24</f>
        <v>2870.372285649099</v>
      </c>
      <c r="G1006" s="25">
        <f>'Combined Retirement'!$C$24</f>
        <v>3525.4531757812501</v>
      </c>
      <c r="H1006" s="25">
        <f>IF(B1006&lt;62,0,'Combined Retirement'!$I$14)</f>
        <v>2192</v>
      </c>
      <c r="I1006" s="25">
        <f>IF(C1006&lt;62,0,'Combined Retirement'!$I$13)</f>
        <v>2420</v>
      </c>
      <c r="J1006" s="25">
        <f t="shared" si="783"/>
        <v>7863.2184191855868</v>
      </c>
      <c r="K1006" s="25">
        <f t="shared" si="784"/>
        <v>20282.026119384056</v>
      </c>
      <c r="L1006" s="25"/>
      <c r="N1006" s="25">
        <f>'Combined Retirement'!$C$18/12</f>
        <v>39153.069999999992</v>
      </c>
      <c r="O1006" s="25">
        <f t="shared" si="785"/>
        <v>11007.82546143035</v>
      </c>
      <c r="P1006" s="25">
        <f t="shared" si="786"/>
        <v>28145.244538569641</v>
      </c>
      <c r="Q1006" s="25">
        <f t="array" aca="1" ref="Q1006" ca="1">INDEX('Isaac 401k'!L:L,MATCH('Retirement Calculator'!A1006,'Isaac 401k'!N:N,0),0)</f>
        <v>-9634814.5617328044</v>
      </c>
      <c r="R1006" s="25">
        <f t="array" aca="1" ref="R1006" ca="1">INDEX('Lorri 401b'!L:L,MATCH('Retirement Calculator'!A1006,'Lorri 401b'!N:N,0),0)</f>
        <v>-24547924.15043636</v>
      </c>
      <c r="S1006" s="25">
        <f t="shared" ca="1" si="787"/>
        <v>-34182738.712169163</v>
      </c>
    </row>
    <row r="1007" spans="1:19" ht="15.75" customHeight="1" x14ac:dyDescent="0.3">
      <c r="A1007" s="37">
        <v>81602</v>
      </c>
      <c r="B1007" s="409">
        <f t="shared" ref="B1007:C1007" si="1018">($A1007-B$9)/365.25</f>
        <v>141.5359342915811</v>
      </c>
      <c r="C1007" s="409">
        <f t="shared" si="1018"/>
        <v>136.92539356605064</v>
      </c>
      <c r="E1007" s="25">
        <f>IF(C1007&gt;$B$7,0,'Combined Retirement'!$D$13/12)</f>
        <v>0</v>
      </c>
      <c r="F1007" s="25">
        <f>IF(H1007=0,'Combined Retirement'!$D$32,0)+'Combined Retirement'!$B$24</f>
        <v>2870.372285649099</v>
      </c>
      <c r="G1007" s="25">
        <f>'Combined Retirement'!$C$24</f>
        <v>3525.4531757812501</v>
      </c>
      <c r="H1007" s="25">
        <f>IF(B1007&lt;62,0,'Combined Retirement'!$I$14)</f>
        <v>2192</v>
      </c>
      <c r="I1007" s="25">
        <f>IF(C1007&lt;62,0,'Combined Retirement'!$I$13)</f>
        <v>2420</v>
      </c>
      <c r="J1007" s="25">
        <f t="shared" si="783"/>
        <v>7863.2184191855868</v>
      </c>
      <c r="K1007" s="25">
        <f t="shared" si="784"/>
        <v>20282.026119384056</v>
      </c>
      <c r="L1007" s="25"/>
      <c r="N1007" s="25">
        <f>'Combined Retirement'!$C$18/12</f>
        <v>39153.069999999992</v>
      </c>
      <c r="O1007" s="25">
        <f t="shared" si="785"/>
        <v>11007.82546143035</v>
      </c>
      <c r="P1007" s="25">
        <f t="shared" si="786"/>
        <v>28145.244538569641</v>
      </c>
      <c r="Q1007" s="25">
        <f t="array" aca="1" ref="Q1007" ca="1">INDEX('Isaac 401k'!L:L,MATCH('Retirement Calculator'!A1007,'Isaac 401k'!N:N,0),0)</f>
        <v>-9682855.6042359564</v>
      </c>
      <c r="R1007" s="25">
        <f t="array" aca="1" ref="R1007" ca="1">INDEX('Lorri 401b'!L:L,MATCH('Retirement Calculator'!A1007,'Lorri 401b'!N:N,0),0)</f>
        <v>-24670573.702291396</v>
      </c>
      <c r="S1007" s="25">
        <f t="shared" ca="1" si="787"/>
        <v>-34353429.306527354</v>
      </c>
    </row>
    <row r="1008" spans="1:19" ht="15.75" customHeight="1" x14ac:dyDescent="0.3">
      <c r="A1008" s="37">
        <v>81632</v>
      </c>
      <c r="B1008" s="409">
        <f t="shared" ref="B1008:C1008" si="1019">($A1008-B$9)/365.25</f>
        <v>141.61806981519507</v>
      </c>
      <c r="C1008" s="409">
        <f t="shared" si="1019"/>
        <v>137.00752908966462</v>
      </c>
      <c r="E1008" s="25">
        <f>IF(C1008&gt;$B$7,0,'Combined Retirement'!$D$13/12)</f>
        <v>0</v>
      </c>
      <c r="F1008" s="25">
        <f>IF(H1008=0,'Combined Retirement'!$D$32,0)+'Combined Retirement'!$B$24</f>
        <v>2870.372285649099</v>
      </c>
      <c r="G1008" s="25">
        <f>'Combined Retirement'!$C$24</f>
        <v>3525.4531757812501</v>
      </c>
      <c r="H1008" s="25">
        <f>IF(B1008&lt;62,0,'Combined Retirement'!$I$14)</f>
        <v>2192</v>
      </c>
      <c r="I1008" s="25">
        <f>IF(C1008&lt;62,0,'Combined Retirement'!$I$13)</f>
        <v>2420</v>
      </c>
      <c r="J1008" s="25">
        <f t="shared" si="783"/>
        <v>7863.2184191855868</v>
      </c>
      <c r="K1008" s="25">
        <f t="shared" si="784"/>
        <v>20282.026119384056</v>
      </c>
      <c r="L1008" s="25"/>
      <c r="N1008" s="25">
        <f>'Combined Retirement'!$C$18/12</f>
        <v>39153.069999999992</v>
      </c>
      <c r="O1008" s="25">
        <f t="shared" si="785"/>
        <v>11007.82546143035</v>
      </c>
      <c r="P1008" s="25">
        <f t="shared" si="786"/>
        <v>28145.244538569641</v>
      </c>
      <c r="Q1008" s="25">
        <f t="array" aca="1" ref="Q1008" ca="1">INDEX('Isaac 401k'!L:L,MATCH('Retirement Calculator'!A1008,'Isaac 401k'!N:N,0),0)</f>
        <v>-9731096.8177495375</v>
      </c>
      <c r="R1008" s="25">
        <f t="array" aca="1" ref="R1008" ca="1">INDEX('Lorri 401b'!L:L,MATCH('Retirement Calculator'!A1008,'Lorri 401b'!N:N,0),0)</f>
        <v>-24793734.293945827</v>
      </c>
      <c r="S1008" s="25">
        <f t="shared" ca="1" si="787"/>
        <v>-34524831.111695364</v>
      </c>
    </row>
    <row r="1009" spans="1:19" ht="15.75" customHeight="1" x14ac:dyDescent="0.3">
      <c r="A1009" s="37">
        <v>81663</v>
      </c>
      <c r="B1009" s="409">
        <f t="shared" ref="B1009:C1009" si="1020">($A1009-B$9)/365.25</f>
        <v>141.70294318959617</v>
      </c>
      <c r="C1009" s="409">
        <f t="shared" si="1020"/>
        <v>137.09240246406571</v>
      </c>
      <c r="E1009" s="25">
        <f>IF(C1009&gt;$B$7,0,'Combined Retirement'!$D$13/12)</f>
        <v>0</v>
      </c>
      <c r="F1009" s="25">
        <f>IF(H1009=0,'Combined Retirement'!$D$32,0)+'Combined Retirement'!$B$24</f>
        <v>2870.372285649099</v>
      </c>
      <c r="G1009" s="25">
        <f>'Combined Retirement'!$C$24</f>
        <v>3525.4531757812501</v>
      </c>
      <c r="H1009" s="25">
        <f>IF(B1009&lt;62,0,'Combined Retirement'!$I$14)</f>
        <v>2192</v>
      </c>
      <c r="I1009" s="25">
        <f>IF(C1009&lt;62,0,'Combined Retirement'!$I$13)</f>
        <v>2420</v>
      </c>
      <c r="J1009" s="25">
        <f t="shared" si="783"/>
        <v>7863.2184191855868</v>
      </c>
      <c r="K1009" s="25">
        <f t="shared" si="784"/>
        <v>20282.026119384056</v>
      </c>
      <c r="L1009" s="25"/>
      <c r="N1009" s="25">
        <f>'Combined Retirement'!$C$18/12</f>
        <v>39153.069999999992</v>
      </c>
      <c r="O1009" s="25">
        <f t="shared" si="785"/>
        <v>11007.82546143035</v>
      </c>
      <c r="P1009" s="25">
        <f t="shared" si="786"/>
        <v>28145.244538569641</v>
      </c>
      <c r="Q1009" s="25">
        <f t="array" aca="1" ref="Q1009" ca="1">INDEX('Isaac 401k'!L:L,MATCH('Retirement Calculator'!A1009,'Isaac 401k'!N:N,0),0)</f>
        <v>-9779539.0363194253</v>
      </c>
      <c r="R1009" s="25">
        <f t="array" aca="1" ref="R1009" ca="1">INDEX('Lorri 401b'!L:L,MATCH('Retirement Calculator'!A1009,'Lorri 401b'!N:N,0),0)</f>
        <v>-24917408.054732151</v>
      </c>
      <c r="S1009" s="25">
        <f t="shared" ca="1" si="787"/>
        <v>-34696947.091051579</v>
      </c>
    </row>
    <row r="1010" spans="1:19" ht="15.75" customHeight="1" x14ac:dyDescent="0.3">
      <c r="A1010" s="37">
        <v>81694</v>
      </c>
      <c r="B1010" s="409">
        <f t="shared" ref="B1010:C1010" si="1021">($A1010-B$9)/365.25</f>
        <v>141.78781656399727</v>
      </c>
      <c r="C1010" s="409">
        <f t="shared" si="1021"/>
        <v>137.17727583846681</v>
      </c>
      <c r="E1010" s="25">
        <f>IF(C1010&gt;$B$7,0,'Combined Retirement'!$D$13/12)</f>
        <v>0</v>
      </c>
      <c r="F1010" s="25">
        <f>IF(H1010=0,'Combined Retirement'!$D$32,0)+'Combined Retirement'!$B$24</f>
        <v>2870.372285649099</v>
      </c>
      <c r="G1010" s="25">
        <f>'Combined Retirement'!$C$24</f>
        <v>3525.4531757812501</v>
      </c>
      <c r="H1010" s="25">
        <f>IF(B1010&lt;62,0,'Combined Retirement'!$I$14)</f>
        <v>2192</v>
      </c>
      <c r="I1010" s="25">
        <f>IF(C1010&lt;62,0,'Combined Retirement'!$I$13)</f>
        <v>2420</v>
      </c>
      <c r="J1010" s="25">
        <f t="shared" si="783"/>
        <v>7863.2184191855868</v>
      </c>
      <c r="K1010" s="25">
        <f t="shared" si="784"/>
        <v>20282.026119384056</v>
      </c>
      <c r="L1010" s="25"/>
      <c r="N1010" s="25">
        <f>'Combined Retirement'!$C$18/12</f>
        <v>39153.069999999992</v>
      </c>
      <c r="O1010" s="25">
        <f t="shared" si="785"/>
        <v>11007.82546143035</v>
      </c>
      <c r="P1010" s="25">
        <f t="shared" si="786"/>
        <v>28145.244538569641</v>
      </c>
      <c r="Q1010" s="25">
        <f t="array" aca="1" ref="Q1010" ca="1">INDEX('Isaac 401k'!L:L,MATCH('Retirement Calculator'!A1010,'Isaac 401k'!N:N,0),0)</f>
        <v>-9828183.0974666886</v>
      </c>
      <c r="R1010" s="25">
        <f t="array" aca="1" ref="R1010" ca="1">INDEX('Lorri 401b'!L:L,MATCH('Retirement Calculator'!A1010,'Lorri 401b'!N:N,0),0)</f>
        <v>-25041597.122855086</v>
      </c>
      <c r="S1010" s="25">
        <f t="shared" ca="1" si="787"/>
        <v>-34869780.220321774</v>
      </c>
    </row>
    <row r="1011" spans="1:19" ht="15.75" customHeight="1" x14ac:dyDescent="0.3">
      <c r="A1011" s="37">
        <v>81724</v>
      </c>
      <c r="B1011" s="409">
        <f t="shared" ref="B1011:C1011" si="1022">($A1011-B$9)/365.25</f>
        <v>141.86995208761124</v>
      </c>
      <c r="C1011" s="409">
        <f t="shared" si="1022"/>
        <v>137.25941136208075</v>
      </c>
      <c r="E1011" s="25">
        <f>IF(C1011&gt;$B$7,0,'Combined Retirement'!$D$13/12)</f>
        <v>0</v>
      </c>
      <c r="F1011" s="25">
        <f>IF(H1011=0,'Combined Retirement'!$D$32,0)+'Combined Retirement'!$B$24</f>
        <v>2870.372285649099</v>
      </c>
      <c r="G1011" s="25">
        <f>'Combined Retirement'!$C$24</f>
        <v>3525.4531757812501</v>
      </c>
      <c r="H1011" s="25">
        <f>IF(B1011&lt;62,0,'Combined Retirement'!$I$14)</f>
        <v>2192</v>
      </c>
      <c r="I1011" s="25">
        <f>IF(C1011&lt;62,0,'Combined Retirement'!$I$13)</f>
        <v>2420</v>
      </c>
      <c r="J1011" s="25">
        <f t="shared" si="783"/>
        <v>7863.2184191855868</v>
      </c>
      <c r="K1011" s="25">
        <f t="shared" si="784"/>
        <v>20282.026119384056</v>
      </c>
      <c r="L1011" s="25"/>
      <c r="N1011" s="25">
        <f>'Combined Retirement'!$C$18/12</f>
        <v>39153.069999999992</v>
      </c>
      <c r="O1011" s="25">
        <f t="shared" si="785"/>
        <v>11007.82546143035</v>
      </c>
      <c r="P1011" s="25">
        <f t="shared" si="786"/>
        <v>28145.244538569641</v>
      </c>
      <c r="Q1011" s="25">
        <f t="array" aca="1" ref="Q1011" ca="1">INDEX('Isaac 401k'!L:L,MATCH('Retirement Calculator'!A1011,'Isaac 401k'!N:N,0),0)</f>
        <v>-9877029.8422020655</v>
      </c>
      <c r="R1011" s="25">
        <f t="array" aca="1" ref="R1011" ca="1">INDEX('Lorri 401b'!L:L,MATCH('Retirement Calculator'!A1011,'Lorri 401b'!N:N,0),0)</f>
        <v>-25166303.645428531</v>
      </c>
      <c r="S1011" s="25">
        <f t="shared" ca="1" si="787"/>
        <v>-35043333.487630598</v>
      </c>
    </row>
    <row r="1012" spans="1:19" ht="15.75" customHeight="1" x14ac:dyDescent="0.3">
      <c r="A1012" s="37">
        <v>81755</v>
      </c>
      <c r="B1012" s="409">
        <f t="shared" ref="B1012:C1012" si="1023">($A1012-B$9)/365.25</f>
        <v>141.95482546201231</v>
      </c>
      <c r="C1012" s="409">
        <f t="shared" si="1023"/>
        <v>137.34428473648185</v>
      </c>
      <c r="E1012" s="25">
        <f>IF(C1012&gt;$B$7,0,'Combined Retirement'!$D$13/12)</f>
        <v>0</v>
      </c>
      <c r="F1012" s="25">
        <f>IF(H1012=0,'Combined Retirement'!$D$32,0)+'Combined Retirement'!$B$24</f>
        <v>2870.372285649099</v>
      </c>
      <c r="G1012" s="25">
        <f>'Combined Retirement'!$C$24</f>
        <v>3525.4531757812501</v>
      </c>
      <c r="H1012" s="25">
        <f>IF(B1012&lt;62,0,'Combined Retirement'!$I$14)</f>
        <v>2192</v>
      </c>
      <c r="I1012" s="25">
        <f>IF(C1012&lt;62,0,'Combined Retirement'!$I$13)</f>
        <v>2420</v>
      </c>
      <c r="J1012" s="25">
        <f t="shared" si="783"/>
        <v>7863.2184191855868</v>
      </c>
      <c r="K1012" s="25">
        <f t="shared" si="784"/>
        <v>20282.026119384056</v>
      </c>
      <c r="L1012" s="25"/>
      <c r="N1012" s="25">
        <f>'Combined Retirement'!$C$18/12</f>
        <v>39153.069999999992</v>
      </c>
      <c r="O1012" s="25">
        <f t="shared" si="785"/>
        <v>11007.82546143035</v>
      </c>
      <c r="P1012" s="25">
        <f t="shared" si="786"/>
        <v>28145.244538569641</v>
      </c>
      <c r="Q1012" s="25">
        <f t="array" aca="1" ref="Q1012" ca="1">INDEX('Isaac 401k'!L:L,MATCH('Retirement Calculator'!A1012,'Isaac 401k'!N:N,0),0)</f>
        <v>-9926080.1150405053</v>
      </c>
      <c r="R1012" s="25">
        <f t="array" aca="1" ref="R1012" ca="1">INDEX('Lorri 401b'!L:L,MATCH('Retirement Calculator'!A1012,'Lorri 401b'!N:N,0),0)</f>
        <v>-25291529.778512698</v>
      </c>
      <c r="S1012" s="25">
        <f t="shared" ca="1" si="787"/>
        <v>-35217609.893553205</v>
      </c>
    </row>
    <row r="1013" spans="1:19" ht="15.75" customHeight="1" x14ac:dyDescent="0.3">
      <c r="A1013" s="37">
        <v>81785</v>
      </c>
      <c r="B1013" s="409">
        <f t="shared" ref="B1013:C1013" si="1024">($A1013-B$9)/365.25</f>
        <v>142.03696098562628</v>
      </c>
      <c r="C1013" s="409">
        <f t="shared" si="1024"/>
        <v>137.42642026009582</v>
      </c>
      <c r="E1013" s="25">
        <f>IF(C1013&gt;$B$7,0,'Combined Retirement'!$D$13/12)</f>
        <v>0</v>
      </c>
      <c r="F1013" s="25">
        <f>IF(H1013=0,'Combined Retirement'!$D$32,0)+'Combined Retirement'!$B$24</f>
        <v>2870.372285649099</v>
      </c>
      <c r="G1013" s="25">
        <f>'Combined Retirement'!$C$24</f>
        <v>3525.4531757812501</v>
      </c>
      <c r="H1013" s="25">
        <f>IF(B1013&lt;62,0,'Combined Retirement'!$I$14)</f>
        <v>2192</v>
      </c>
      <c r="I1013" s="25">
        <f>IF(C1013&lt;62,0,'Combined Retirement'!$I$13)</f>
        <v>2420</v>
      </c>
      <c r="J1013" s="25">
        <f t="shared" si="783"/>
        <v>7863.2184191855868</v>
      </c>
      <c r="K1013" s="25">
        <f t="shared" si="784"/>
        <v>20282.026119384056</v>
      </c>
      <c r="L1013" s="25"/>
      <c r="N1013" s="25">
        <f>'Combined Retirement'!$C$18/12</f>
        <v>39153.069999999992</v>
      </c>
      <c r="O1013" s="25">
        <f t="shared" si="785"/>
        <v>11007.82546143035</v>
      </c>
      <c r="P1013" s="25">
        <f t="shared" si="786"/>
        <v>28145.244538569641</v>
      </c>
      <c r="Q1013" s="25">
        <f t="array" aca="1" ref="Q1013" ca="1">INDEX('Isaac 401k'!L:L,MATCH('Retirement Calculator'!A1013,'Isaac 401k'!N:N,0),0)</f>
        <v>-9975334.7640157714</v>
      </c>
      <c r="R1013" s="25">
        <f t="array" aca="1" ref="R1013" ca="1">INDEX('Lorri 401b'!L:L,MATCH('Retirement Calculator'!A1013,'Lorri 401b'!N:N,0),0)</f>
        <v>-25417277.687151384</v>
      </c>
      <c r="S1013" s="25">
        <f t="shared" ca="1" si="787"/>
        <v>-35392612.451167151</v>
      </c>
    </row>
    <row r="1014" spans="1:19" ht="15.75" customHeight="1" x14ac:dyDescent="0.3">
      <c r="A1014" s="37">
        <v>81816</v>
      </c>
      <c r="B1014" s="409">
        <f t="shared" ref="B1014:C1014" si="1025">($A1014-B$9)/365.25</f>
        <v>142.12183436002738</v>
      </c>
      <c r="C1014" s="409">
        <f t="shared" si="1025"/>
        <v>137.51129363449692</v>
      </c>
      <c r="E1014" s="25">
        <f>IF(C1014&gt;$B$7,0,'Combined Retirement'!$D$13/12)</f>
        <v>0</v>
      </c>
      <c r="F1014" s="25">
        <f>IF(H1014=0,'Combined Retirement'!$D$32,0)+'Combined Retirement'!$B$24</f>
        <v>2870.372285649099</v>
      </c>
      <c r="G1014" s="25">
        <f>'Combined Retirement'!$C$24</f>
        <v>3525.4531757812501</v>
      </c>
      <c r="H1014" s="25">
        <f>IF(B1014&lt;62,0,'Combined Retirement'!$I$14)</f>
        <v>2192</v>
      </c>
      <c r="I1014" s="25">
        <f>IF(C1014&lt;62,0,'Combined Retirement'!$I$13)</f>
        <v>2420</v>
      </c>
      <c r="J1014" s="25">
        <f t="shared" si="783"/>
        <v>7863.2184191855868</v>
      </c>
      <c r="K1014" s="25">
        <f t="shared" si="784"/>
        <v>20282.026119384056</v>
      </c>
      <c r="L1014" s="25"/>
      <c r="N1014" s="25">
        <f>'Combined Retirement'!$C$18/12</f>
        <v>39153.069999999992</v>
      </c>
      <c r="O1014" s="25">
        <f t="shared" si="785"/>
        <v>11007.82546143035</v>
      </c>
      <c r="P1014" s="25">
        <f t="shared" si="786"/>
        <v>28145.244538569641</v>
      </c>
      <c r="Q1014" s="25">
        <f t="array" aca="1" ref="Q1014" ca="1">INDEX('Isaac 401k'!L:L,MATCH('Retirement Calculator'!A1014,'Isaac 401k'!N:N,0),0)</f>
        <v>-10024794.640695103</v>
      </c>
      <c r="R1014" s="25">
        <f t="array" aca="1" ref="R1014" ca="1">INDEX('Lorri 401b'!L:L,MATCH('Retirement Calculator'!A1014,'Lorri 401b'!N:N,0),0)</f>
        <v>-25543549.545409396</v>
      </c>
      <c r="S1014" s="25">
        <f t="shared" ca="1" si="787"/>
        <v>-35568344.186104499</v>
      </c>
    </row>
    <row r="1015" spans="1:19" ht="15.75" customHeight="1" x14ac:dyDescent="0.3">
      <c r="A1015" s="37">
        <v>81847</v>
      </c>
      <c r="B1015" s="409">
        <f t="shared" ref="B1015:C1015" si="1026">($A1015-B$9)/365.25</f>
        <v>142.20670773442848</v>
      </c>
      <c r="C1015" s="409">
        <f t="shared" si="1026"/>
        <v>137.59616700889802</v>
      </c>
      <c r="E1015" s="25">
        <f>IF(C1015&gt;$B$7,0,'Combined Retirement'!$D$13/12)</f>
        <v>0</v>
      </c>
      <c r="F1015" s="25">
        <f>IF(H1015=0,'Combined Retirement'!$D$32,0)+'Combined Retirement'!$B$24</f>
        <v>2870.372285649099</v>
      </c>
      <c r="G1015" s="25">
        <f>'Combined Retirement'!$C$24</f>
        <v>3525.4531757812501</v>
      </c>
      <c r="H1015" s="25">
        <f>IF(B1015&lt;62,0,'Combined Retirement'!$I$14)</f>
        <v>2192</v>
      </c>
      <c r="I1015" s="25">
        <f>IF(C1015&lt;62,0,'Combined Retirement'!$I$13)</f>
        <v>2420</v>
      </c>
      <c r="J1015" s="25">
        <f t="shared" si="783"/>
        <v>7863.2184191855868</v>
      </c>
      <c r="K1015" s="25">
        <f t="shared" si="784"/>
        <v>20282.026119384056</v>
      </c>
      <c r="L1015" s="25"/>
      <c r="N1015" s="25">
        <f>'Combined Retirement'!$C$18/12</f>
        <v>39153.069999999992</v>
      </c>
      <c r="O1015" s="25">
        <f t="shared" si="785"/>
        <v>11007.82546143035</v>
      </c>
      <c r="P1015" s="25">
        <f t="shared" si="786"/>
        <v>28145.244538569641</v>
      </c>
      <c r="Q1015" s="25">
        <f t="array" aca="1" ref="Q1015" ca="1">INDEX('Isaac 401k'!L:L,MATCH('Retirement Calculator'!A1015,'Isaac 401k'!N:N,0),0)</f>
        <v>-10074460.600193931</v>
      </c>
      <c r="R1015" s="25">
        <f t="array" aca="1" ref="R1015" ca="1">INDEX('Lorri 401b'!L:L,MATCH('Retirement Calculator'!A1015,'Lorri 401b'!N:N,0),0)</f>
        <v>-25670347.536410153</v>
      </c>
      <c r="S1015" s="25">
        <f t="shared" ca="1" si="787"/>
        <v>-35744808.136604086</v>
      </c>
    </row>
    <row r="1016" spans="1:19" ht="15.75" customHeight="1" x14ac:dyDescent="0.3">
      <c r="A1016" s="37">
        <v>81876</v>
      </c>
      <c r="B1016" s="409">
        <f t="shared" ref="B1016:C1016" si="1027">($A1016-B$9)/365.25</f>
        <v>142.28610540725529</v>
      </c>
      <c r="C1016" s="409">
        <f t="shared" si="1027"/>
        <v>137.67556468172484</v>
      </c>
      <c r="E1016" s="25">
        <f>IF(C1016&gt;$B$7,0,'Combined Retirement'!$D$13/12)</f>
        <v>0</v>
      </c>
      <c r="F1016" s="25">
        <f>IF(H1016=0,'Combined Retirement'!$D$32,0)+'Combined Retirement'!$B$24</f>
        <v>2870.372285649099</v>
      </c>
      <c r="G1016" s="25">
        <f>'Combined Retirement'!$C$24</f>
        <v>3525.4531757812501</v>
      </c>
      <c r="H1016" s="25">
        <f>IF(B1016&lt;62,0,'Combined Retirement'!$I$14)</f>
        <v>2192</v>
      </c>
      <c r="I1016" s="25">
        <f>IF(C1016&lt;62,0,'Combined Retirement'!$I$13)</f>
        <v>2420</v>
      </c>
      <c r="J1016" s="25">
        <f t="shared" si="783"/>
        <v>7863.2184191855868</v>
      </c>
      <c r="K1016" s="25">
        <f t="shared" si="784"/>
        <v>20282.026119384056</v>
      </c>
      <c r="L1016" s="25"/>
      <c r="N1016" s="25">
        <f>'Combined Retirement'!$C$18/12</f>
        <v>39153.069999999992</v>
      </c>
      <c r="O1016" s="25">
        <f t="shared" si="785"/>
        <v>11007.82546143035</v>
      </c>
      <c r="P1016" s="25">
        <f t="shared" si="786"/>
        <v>28145.244538569641</v>
      </c>
      <c r="Q1016" s="25">
        <f t="array" aca="1" ref="Q1016" ca="1">INDEX('Isaac 401k'!L:L,MATCH('Retirement Calculator'!A1016,'Isaac 401k'!N:N,0),0)</f>
        <v>-10124333.50119067</v>
      </c>
      <c r="R1016" s="25">
        <f t="array" aca="1" ref="R1016" ca="1">INDEX('Lorri 401b'!L:L,MATCH('Retirement Calculator'!A1016,'Lorri 401b'!N:N,0),0)</f>
        <v>-25797673.85237341</v>
      </c>
      <c r="S1016" s="25">
        <f t="shared" ca="1" si="787"/>
        <v>-35922007.353564084</v>
      </c>
    </row>
    <row r="1017" spans="1:19" ht="15.75" customHeight="1" x14ac:dyDescent="0.3">
      <c r="A1017" s="37">
        <v>81907</v>
      </c>
      <c r="B1017" s="409">
        <f t="shared" ref="B1017:C1017" si="1028">($A1017-B$9)/365.25</f>
        <v>142.37097878165639</v>
      </c>
      <c r="C1017" s="409">
        <f t="shared" si="1028"/>
        <v>137.76043805612593</v>
      </c>
      <c r="E1017" s="25">
        <f>IF(C1017&gt;$B$7,0,'Combined Retirement'!$D$13/12)</f>
        <v>0</v>
      </c>
      <c r="F1017" s="25">
        <f>IF(H1017=0,'Combined Retirement'!$D$32,0)+'Combined Retirement'!$B$24</f>
        <v>2870.372285649099</v>
      </c>
      <c r="G1017" s="25">
        <f>'Combined Retirement'!$C$24</f>
        <v>3525.4531757812501</v>
      </c>
      <c r="H1017" s="25">
        <f>IF(B1017&lt;62,0,'Combined Retirement'!$I$14)</f>
        <v>2192</v>
      </c>
      <c r="I1017" s="25">
        <f>IF(C1017&lt;62,0,'Combined Retirement'!$I$13)</f>
        <v>2420</v>
      </c>
      <c r="J1017" s="25">
        <f t="shared" si="783"/>
        <v>7863.2184191855868</v>
      </c>
      <c r="K1017" s="25">
        <f t="shared" si="784"/>
        <v>20282.026119384056</v>
      </c>
      <c r="L1017" s="25"/>
      <c r="N1017" s="25">
        <f>'Combined Retirement'!$C$18/12</f>
        <v>39153.069999999992</v>
      </c>
      <c r="O1017" s="25">
        <f t="shared" si="785"/>
        <v>11007.82546143035</v>
      </c>
      <c r="P1017" s="25">
        <f t="shared" si="786"/>
        <v>28145.244538569641</v>
      </c>
      <c r="Q1017" s="25">
        <f t="array" aca="1" ref="Q1017" ca="1">INDEX('Isaac 401k'!L:L,MATCH('Retirement Calculator'!A1017,'Isaac 401k'!N:N,0),0)</f>
        <v>-10174414.205941562</v>
      </c>
      <c r="R1017" s="25">
        <f t="array" aca="1" ref="R1017" ca="1">INDEX('Lorri 401b'!L:L,MATCH('Retirement Calculator'!A1017,'Lorri 401b'!N:N,0),0)</f>
        <v>-25925530.694653183</v>
      </c>
      <c r="S1017" s="25">
        <f t="shared" ca="1" si="787"/>
        <v>-36099944.900594741</v>
      </c>
    </row>
    <row r="1018" spans="1:19" ht="15.75" customHeight="1" x14ac:dyDescent="0.3">
      <c r="A1018" s="37">
        <v>81937</v>
      </c>
      <c r="B1018" s="409">
        <f t="shared" ref="B1018:C1018" si="1029">($A1018-B$9)/365.25</f>
        <v>142.45311430527036</v>
      </c>
      <c r="C1018" s="409">
        <f t="shared" si="1029"/>
        <v>137.84257357973991</v>
      </c>
      <c r="E1018" s="25">
        <f>IF(C1018&gt;$B$7,0,'Combined Retirement'!$D$13/12)</f>
        <v>0</v>
      </c>
      <c r="F1018" s="25">
        <f>IF(H1018=0,'Combined Retirement'!$D$32,0)+'Combined Retirement'!$B$24</f>
        <v>2870.372285649099</v>
      </c>
      <c r="G1018" s="25">
        <f>'Combined Retirement'!$C$24</f>
        <v>3525.4531757812501</v>
      </c>
      <c r="H1018" s="25">
        <f>IF(B1018&lt;62,0,'Combined Retirement'!$I$14)</f>
        <v>2192</v>
      </c>
      <c r="I1018" s="25">
        <f>IF(C1018&lt;62,0,'Combined Retirement'!$I$13)</f>
        <v>2420</v>
      </c>
      <c r="J1018" s="25">
        <f t="shared" si="783"/>
        <v>7863.2184191855868</v>
      </c>
      <c r="K1018" s="25">
        <f t="shared" si="784"/>
        <v>20282.026119384056</v>
      </c>
      <c r="L1018" s="25"/>
      <c r="N1018" s="25">
        <f>'Combined Retirement'!$C$18/12</f>
        <v>39153.069999999992</v>
      </c>
      <c r="O1018" s="25">
        <f t="shared" si="785"/>
        <v>11007.82546143035</v>
      </c>
      <c r="P1018" s="25">
        <f t="shared" si="786"/>
        <v>28145.244538569641</v>
      </c>
      <c r="Q1018" s="25">
        <f t="array" aca="1" ref="Q1018" ca="1">INDEX('Isaac 401k'!L:L,MATCH('Retirement Calculator'!A1018,'Isaac 401k'!N:N,0),0)</f>
        <v>-10224703.580295583</v>
      </c>
      <c r="R1018" s="25">
        <f t="array" aca="1" ref="R1018" ca="1">INDEX('Lorri 401b'!L:L,MATCH('Retirement Calculator'!A1018,'Lorri 401b'!N:N,0),0)</f>
        <v>-26053920.273775786</v>
      </c>
      <c r="S1018" s="25">
        <f t="shared" ca="1" si="787"/>
        <v>-36278623.854071371</v>
      </c>
    </row>
    <row r="1019" spans="1:19" ht="15.75" customHeight="1" x14ac:dyDescent="0.3">
      <c r="A1019" s="37">
        <v>81968</v>
      </c>
      <c r="B1019" s="409">
        <f t="shared" ref="B1019:C1019" si="1030">($A1019-B$9)/365.25</f>
        <v>142.53798767967146</v>
      </c>
      <c r="C1019" s="409">
        <f t="shared" si="1030"/>
        <v>137.927446954141</v>
      </c>
      <c r="E1019" s="25">
        <f>IF(C1019&gt;$B$7,0,'Combined Retirement'!$D$13/12)</f>
        <v>0</v>
      </c>
      <c r="F1019" s="25">
        <f>IF(H1019=0,'Combined Retirement'!$D$32,0)+'Combined Retirement'!$B$24</f>
        <v>2870.372285649099</v>
      </c>
      <c r="G1019" s="25">
        <f>'Combined Retirement'!$C$24</f>
        <v>3525.4531757812501</v>
      </c>
      <c r="H1019" s="25">
        <f>IF(B1019&lt;62,0,'Combined Retirement'!$I$14)</f>
        <v>2192</v>
      </c>
      <c r="I1019" s="25">
        <f>IF(C1019&lt;62,0,'Combined Retirement'!$I$13)</f>
        <v>2420</v>
      </c>
      <c r="J1019" s="25">
        <f t="shared" si="783"/>
        <v>7863.2184191855868</v>
      </c>
      <c r="K1019" s="25">
        <f t="shared" si="784"/>
        <v>20282.026119384056</v>
      </c>
      <c r="L1019" s="25"/>
      <c r="N1019" s="25">
        <f>'Combined Retirement'!$C$18/12</f>
        <v>39153.069999999992</v>
      </c>
      <c r="O1019" s="25">
        <f t="shared" si="785"/>
        <v>11007.82546143035</v>
      </c>
      <c r="P1019" s="25">
        <f t="shared" si="786"/>
        <v>28145.244538569641</v>
      </c>
      <c r="Q1019" s="25">
        <f t="array" aca="1" ref="Q1019" ca="1">INDEX('Isaac 401k'!L:L,MATCH('Retirement Calculator'!A1019,'Isaac 401k'!N:N,0),0)</f>
        <v>-10275202.493709413</v>
      </c>
      <c r="R1019" s="25">
        <f t="array" aca="1" ref="R1019" ca="1">INDEX('Lorri 401b'!L:L,MATCH('Retirement Calculator'!A1019,'Lorri 401b'!N:N,0),0)</f>
        <v>-26182844.809478067</v>
      </c>
      <c r="S1019" s="25">
        <f t="shared" ca="1" si="787"/>
        <v>-36458047.303187482</v>
      </c>
    </row>
    <row r="1020" spans="1:19" ht="15.75" customHeight="1" x14ac:dyDescent="0.3">
      <c r="A1020" s="37">
        <v>81998</v>
      </c>
      <c r="B1020" s="409">
        <f t="shared" ref="B1020:C1020" si="1031">($A1020-B$9)/365.25</f>
        <v>142.62012320328543</v>
      </c>
      <c r="C1020" s="409">
        <f t="shared" si="1031"/>
        <v>138.00958247775498</v>
      </c>
      <c r="E1020" s="25">
        <f>IF(C1020&gt;$B$7,0,'Combined Retirement'!$D$13/12)</f>
        <v>0</v>
      </c>
      <c r="F1020" s="25">
        <f>IF(H1020=0,'Combined Retirement'!$D$32,0)+'Combined Retirement'!$B$24</f>
        <v>2870.372285649099</v>
      </c>
      <c r="G1020" s="25">
        <f>'Combined Retirement'!$C$24</f>
        <v>3525.4531757812501</v>
      </c>
      <c r="H1020" s="25">
        <f>IF(B1020&lt;62,0,'Combined Retirement'!$I$14)</f>
        <v>2192</v>
      </c>
      <c r="I1020" s="25">
        <f>IF(C1020&lt;62,0,'Combined Retirement'!$I$13)</f>
        <v>2420</v>
      </c>
      <c r="J1020" s="25">
        <f t="shared" si="783"/>
        <v>7863.2184191855868</v>
      </c>
      <c r="K1020" s="25">
        <f t="shared" si="784"/>
        <v>20282.026119384056</v>
      </c>
      <c r="L1020" s="25"/>
      <c r="N1020" s="25">
        <f>'Combined Retirement'!$C$18/12</f>
        <v>39153.069999999992</v>
      </c>
      <c r="O1020" s="25">
        <f t="shared" si="785"/>
        <v>11007.82546143035</v>
      </c>
      <c r="P1020" s="25">
        <f t="shared" si="786"/>
        <v>28145.244538569641</v>
      </c>
      <c r="Q1020" s="25">
        <f t="array" aca="1" ref="Q1020" ca="1">INDEX('Isaac 401k'!L:L,MATCH('Retirement Calculator'!A1020,'Isaac 401k'!N:N,0),0)</f>
        <v>-10325911.819262467</v>
      </c>
      <c r="R1020" s="25">
        <f t="array" aca="1" ref="R1020" ca="1">INDEX('Lorri 401b'!L:L,MATCH('Retirement Calculator'!A1020,'Lorri 401b'!N:N,0),0)</f>
        <v>-26312306.530745775</v>
      </c>
      <c r="S1020" s="25">
        <f t="shared" ca="1" si="787"/>
        <v>-36638218.350008242</v>
      </c>
    </row>
    <row r="1021" spans="1:19" ht="15.75" customHeight="1" x14ac:dyDescent="0.3">
      <c r="A1021" s="37">
        <v>82029</v>
      </c>
      <c r="B1021" s="409">
        <f t="shared" ref="B1021:C1021" si="1032">($A1021-B$9)/365.25</f>
        <v>142.70499657768653</v>
      </c>
      <c r="C1021" s="409">
        <f t="shared" si="1032"/>
        <v>138.09445585215605</v>
      </c>
      <c r="E1021" s="25">
        <f>IF(C1021&gt;$B$7,0,'Combined Retirement'!$D$13/12)</f>
        <v>0</v>
      </c>
      <c r="F1021" s="25">
        <f>IF(H1021=0,'Combined Retirement'!$D$32,0)+'Combined Retirement'!$B$24</f>
        <v>2870.372285649099</v>
      </c>
      <c r="G1021" s="25">
        <f>'Combined Retirement'!$C$24</f>
        <v>3525.4531757812501</v>
      </c>
      <c r="H1021" s="25">
        <f>IF(B1021&lt;62,0,'Combined Retirement'!$I$14)</f>
        <v>2192</v>
      </c>
      <c r="I1021" s="25">
        <f>IF(C1021&lt;62,0,'Combined Retirement'!$I$13)</f>
        <v>2420</v>
      </c>
      <c r="J1021" s="25">
        <f t="shared" si="783"/>
        <v>7863.2184191855868</v>
      </c>
      <c r="K1021" s="25">
        <f t="shared" si="784"/>
        <v>20282.026119384056</v>
      </c>
      <c r="L1021" s="25"/>
      <c r="N1021" s="25">
        <f>'Combined Retirement'!$C$18/12</f>
        <v>39153.069999999992</v>
      </c>
      <c r="O1021" s="25">
        <f t="shared" si="785"/>
        <v>11007.82546143035</v>
      </c>
      <c r="P1021" s="25">
        <f t="shared" si="786"/>
        <v>28145.244538569641</v>
      </c>
      <c r="Q1021" s="25">
        <f t="array" aca="1" ref="Q1021" ca="1">INDEX('Isaac 401k'!L:L,MATCH('Retirement Calculator'!A1021,'Isaac 401k'!N:N,0),0)</f>
        <v>-10376832.433671992</v>
      </c>
      <c r="R1021" s="25">
        <f t="array" aca="1" ref="R1021" ca="1">INDEX('Lorri 401b'!L:L,MATCH('Retirement Calculator'!A1021,'Lorri 401b'!N:N,0),0)</f>
        <v>-26442307.675852098</v>
      </c>
      <c r="S1021" s="25">
        <f t="shared" ca="1" si="787"/>
        <v>-36819140.109524086</v>
      </c>
    </row>
    <row r="1022" spans="1:19" ht="15.75" customHeight="1" x14ac:dyDescent="0.3">
      <c r="A1022" s="37">
        <v>82060</v>
      </c>
      <c r="B1022" s="409">
        <f t="shared" ref="B1022:C1022" si="1033">($A1022-B$9)/365.25</f>
        <v>142.7898699520876</v>
      </c>
      <c r="C1022" s="409">
        <f t="shared" si="1033"/>
        <v>138.17932922655714</v>
      </c>
      <c r="E1022" s="25">
        <f>IF(C1022&gt;$B$7,0,'Combined Retirement'!$D$13/12)</f>
        <v>0</v>
      </c>
      <c r="F1022" s="25">
        <f>IF(H1022=0,'Combined Retirement'!$D$32,0)+'Combined Retirement'!$B$24</f>
        <v>2870.372285649099</v>
      </c>
      <c r="G1022" s="25">
        <f>'Combined Retirement'!$C$24</f>
        <v>3525.4531757812501</v>
      </c>
      <c r="H1022" s="25">
        <f>IF(B1022&lt;62,0,'Combined Retirement'!$I$14)</f>
        <v>2192</v>
      </c>
      <c r="I1022" s="25">
        <f>IF(C1022&lt;62,0,'Combined Retirement'!$I$13)</f>
        <v>2420</v>
      </c>
      <c r="J1022" s="25">
        <f t="shared" si="783"/>
        <v>7863.2184191855868</v>
      </c>
      <c r="K1022" s="25">
        <f t="shared" si="784"/>
        <v>20282.026119384056</v>
      </c>
      <c r="L1022" s="25"/>
      <c r="N1022" s="25">
        <f>'Combined Retirement'!$C$18/12</f>
        <v>39153.069999999992</v>
      </c>
      <c r="O1022" s="25">
        <f t="shared" si="785"/>
        <v>11007.82546143035</v>
      </c>
      <c r="P1022" s="25">
        <f t="shared" si="786"/>
        <v>28145.244538569641</v>
      </c>
      <c r="Q1022" s="25">
        <f t="array" aca="1" ref="Q1022" ca="1">INDEX('Isaac 401k'!L:L,MATCH('Retirement Calculator'!A1022,'Isaac 401k'!N:N,0),0)</f>
        <v>-10427965.217308223</v>
      </c>
      <c r="R1022" s="25">
        <f t="array" aca="1" ref="R1022" ca="1">INDEX('Lorri 401b'!L:L,MATCH('Retirement Calculator'!A1022,'Lorri 401b'!N:N,0),0)</f>
        <v>-26572850.492396362</v>
      </c>
      <c r="S1022" s="25">
        <f t="shared" ca="1" si="787"/>
        <v>-37000815.709704585</v>
      </c>
    </row>
    <row r="1023" spans="1:19" ht="15.75" customHeight="1" x14ac:dyDescent="0.3">
      <c r="A1023" s="37">
        <v>82090</v>
      </c>
      <c r="B1023" s="409">
        <f t="shared" ref="B1023:C1023" si="1034">($A1023-B$9)/365.25</f>
        <v>142.87200547570157</v>
      </c>
      <c r="C1023" s="409">
        <f t="shared" si="1034"/>
        <v>138.26146475017111</v>
      </c>
      <c r="E1023" s="25">
        <f>IF(C1023&gt;$B$7,0,'Combined Retirement'!$D$13/12)</f>
        <v>0</v>
      </c>
      <c r="F1023" s="25">
        <f>IF(H1023=0,'Combined Retirement'!$D$32,0)+'Combined Retirement'!$B$24</f>
        <v>2870.372285649099</v>
      </c>
      <c r="G1023" s="25">
        <f>'Combined Retirement'!$C$24</f>
        <v>3525.4531757812501</v>
      </c>
      <c r="H1023" s="25">
        <f>IF(B1023&lt;62,0,'Combined Retirement'!$I$14)</f>
        <v>2192</v>
      </c>
      <c r="I1023" s="25">
        <f>IF(C1023&lt;62,0,'Combined Retirement'!$I$13)</f>
        <v>2420</v>
      </c>
      <c r="J1023" s="25">
        <f t="shared" si="783"/>
        <v>7863.2184191855868</v>
      </c>
      <c r="K1023" s="25">
        <f t="shared" si="784"/>
        <v>20282.026119384056</v>
      </c>
      <c r="L1023" s="25"/>
      <c r="N1023" s="25">
        <f>'Combined Retirement'!$C$18/12</f>
        <v>39153.069999999992</v>
      </c>
      <c r="O1023" s="25">
        <f t="shared" si="785"/>
        <v>11007.82546143035</v>
      </c>
      <c r="P1023" s="25">
        <f t="shared" si="786"/>
        <v>28145.244538569641</v>
      </c>
      <c r="Q1023" s="25">
        <f t="array" aca="1" ref="Q1023" ca="1">INDEX('Isaac 401k'!L:L,MATCH('Retirement Calculator'!A1023,'Isaac 401k'!N:N,0),0)</f>
        <v>-10479311.054209605</v>
      </c>
      <c r="R1023" s="25">
        <f t="array" aca="1" ref="R1023" ca="1">INDEX('Lorri 401b'!L:L,MATCH('Retirement Calculator'!A1023,'Lorri 401b'!N:N,0),0)</f>
        <v>-26703937.237342898</v>
      </c>
      <c r="S1023" s="25">
        <f t="shared" ca="1" si="787"/>
        <v>-37183248.291552499</v>
      </c>
    </row>
    <row r="1024" spans="1:19" ht="15.75" customHeight="1" x14ac:dyDescent="0.3">
      <c r="A1024" s="37">
        <v>82121</v>
      </c>
      <c r="B1024" s="409">
        <f t="shared" ref="B1024:C1024" si="1035">($A1024-B$9)/365.25</f>
        <v>142.95687885010267</v>
      </c>
      <c r="C1024" s="409">
        <f t="shared" si="1035"/>
        <v>138.34633812457221</v>
      </c>
      <c r="E1024" s="25">
        <f>IF(C1024&gt;$B$7,0,'Combined Retirement'!$D$13/12)</f>
        <v>0</v>
      </c>
      <c r="F1024" s="25">
        <f>IF(H1024=0,'Combined Retirement'!$D$32,0)+'Combined Retirement'!$B$24</f>
        <v>2870.372285649099</v>
      </c>
      <c r="G1024" s="25">
        <f>'Combined Retirement'!$C$24</f>
        <v>3525.4531757812501</v>
      </c>
      <c r="H1024" s="25">
        <f>IF(B1024&lt;62,0,'Combined Retirement'!$I$14)</f>
        <v>2192</v>
      </c>
      <c r="I1024" s="25">
        <f>IF(C1024&lt;62,0,'Combined Retirement'!$I$13)</f>
        <v>2420</v>
      </c>
      <c r="J1024" s="25">
        <f t="shared" si="783"/>
        <v>7863.2184191855868</v>
      </c>
      <c r="K1024" s="25">
        <f t="shared" si="784"/>
        <v>20282.026119384056</v>
      </c>
      <c r="L1024" s="25"/>
      <c r="N1024" s="25">
        <f>'Combined Retirement'!$C$18/12</f>
        <v>39153.069999999992</v>
      </c>
      <c r="O1024" s="25">
        <f t="shared" si="785"/>
        <v>11007.82546143035</v>
      </c>
      <c r="P1024" s="25">
        <f t="shared" si="786"/>
        <v>28145.244538569641</v>
      </c>
      <c r="Q1024" s="25">
        <f t="array" aca="1" ref="Q1024" ca="1">INDEX('Isaac 401k'!L:L,MATCH('Retirement Calculator'!A1024,'Isaac 401k'!N:N,0),0)</f>
        <v>-10530870.832098076</v>
      </c>
      <c r="R1024" s="25">
        <f t="array" aca="1" ref="R1024" ca="1">INDEX('Lorri 401b'!L:L,MATCH('Retirement Calculator'!A1024,'Lorri 401b'!N:N,0),0)</f>
        <v>-26835570.177060042</v>
      </c>
      <c r="S1024" s="25">
        <f t="shared" ca="1" si="787"/>
        <v>-37366441.00915812</v>
      </c>
    </row>
    <row r="1025" spans="1:19" ht="15.75" customHeight="1" x14ac:dyDescent="0.3">
      <c r="A1025" s="37">
        <v>82151</v>
      </c>
      <c r="B1025" s="409">
        <f t="shared" ref="B1025:C1025" si="1036">($A1025-B$9)/365.25</f>
        <v>143.03901437371664</v>
      </c>
      <c r="C1025" s="409">
        <f t="shared" si="1036"/>
        <v>138.42847364818618</v>
      </c>
      <c r="E1025" s="25">
        <f>IF(C1025&gt;$B$7,0,'Combined Retirement'!$D$13/12)</f>
        <v>0</v>
      </c>
      <c r="F1025" s="25">
        <f>IF(H1025=0,'Combined Retirement'!$D$32,0)+'Combined Retirement'!$B$24</f>
        <v>2870.372285649099</v>
      </c>
      <c r="G1025" s="25">
        <f>'Combined Retirement'!$C$24</f>
        <v>3525.4531757812501</v>
      </c>
      <c r="H1025" s="25">
        <f>IF(B1025&lt;62,0,'Combined Retirement'!$I$14)</f>
        <v>2192</v>
      </c>
      <c r="I1025" s="25">
        <f>IF(C1025&lt;62,0,'Combined Retirement'!$I$13)</f>
        <v>2420</v>
      </c>
      <c r="J1025" s="25">
        <f t="shared" si="783"/>
        <v>7863.2184191855868</v>
      </c>
      <c r="K1025" s="25">
        <f t="shared" si="784"/>
        <v>20282.026119384056</v>
      </c>
      <c r="L1025" s="25"/>
      <c r="N1025" s="25">
        <f>'Combined Retirement'!$C$18/12</f>
        <v>39153.069999999992</v>
      </c>
      <c r="O1025" s="25">
        <f t="shared" si="785"/>
        <v>11007.82546143035</v>
      </c>
      <c r="P1025" s="25">
        <f t="shared" si="786"/>
        <v>28145.244538569641</v>
      </c>
      <c r="Q1025" s="25">
        <f t="array" aca="1" ref="Q1025" ca="1">INDEX('Isaac 401k'!L:L,MATCH('Retirement Calculator'!A1025,'Isaac 401k'!N:N,0),0)</f>
        <v>-10582645.442394417</v>
      </c>
      <c r="R1025" s="25">
        <f t="array" aca="1" ref="R1025" ca="1">INDEX('Lorri 401b'!L:L,MATCH('Retirement Calculator'!A1025,'Lorri 401b'!N:N,0),0)</f>
        <v>-26967751.587359339</v>
      </c>
      <c r="S1025" s="25">
        <f t="shared" ca="1" si="787"/>
        <v>-37550397.02975376</v>
      </c>
    </row>
    <row r="1026" spans="1:19" ht="15.75" customHeight="1" x14ac:dyDescent="0.3">
      <c r="A1026" s="37">
        <v>82182</v>
      </c>
      <c r="B1026" s="409">
        <f t="shared" ref="B1026:C1026" si="1037">($A1026-B$9)/365.25</f>
        <v>143.12388774811774</v>
      </c>
      <c r="C1026" s="409">
        <f t="shared" si="1037"/>
        <v>138.51334702258728</v>
      </c>
      <c r="E1026" s="25">
        <f>IF(C1026&gt;$B$7,0,'Combined Retirement'!$D$13/12)</f>
        <v>0</v>
      </c>
      <c r="F1026" s="25">
        <f>IF(H1026=0,'Combined Retirement'!$D$32,0)+'Combined Retirement'!$B$24</f>
        <v>2870.372285649099</v>
      </c>
      <c r="G1026" s="25">
        <f>'Combined Retirement'!$C$24</f>
        <v>3525.4531757812501</v>
      </c>
      <c r="H1026" s="25">
        <f>IF(B1026&lt;62,0,'Combined Retirement'!$I$14)</f>
        <v>2192</v>
      </c>
      <c r="I1026" s="25">
        <f>IF(C1026&lt;62,0,'Combined Retirement'!$I$13)</f>
        <v>2420</v>
      </c>
      <c r="J1026" s="25">
        <f t="shared" si="783"/>
        <v>7863.2184191855868</v>
      </c>
      <c r="K1026" s="25">
        <f t="shared" si="784"/>
        <v>20282.026119384056</v>
      </c>
      <c r="L1026" s="25"/>
      <c r="N1026" s="25">
        <f>'Combined Retirement'!$C$18/12</f>
        <v>39153.069999999992</v>
      </c>
      <c r="O1026" s="25">
        <f t="shared" si="785"/>
        <v>11007.82546143035</v>
      </c>
      <c r="P1026" s="25">
        <f t="shared" si="786"/>
        <v>28145.244538569641</v>
      </c>
      <c r="Q1026" s="25">
        <f t="array" aca="1" ref="Q1026" ca="1">INDEX('Isaac 401k'!L:L,MATCH('Retirement Calculator'!A1026,'Isaac 401k'!N:N,0),0)</f>
        <v>-10634635.780233659</v>
      </c>
      <c r="R1026" s="25">
        <f t="array" aca="1" ref="R1026" ca="1">INDEX('Lorri 401b'!L:L,MATCH('Retirement Calculator'!A1026,'Lorri 401b'!N:N,0),0)</f>
        <v>-27100483.753534887</v>
      </c>
      <c r="S1026" s="25">
        <f t="shared" ca="1" si="787"/>
        <v>-37735119.53376855</v>
      </c>
    </row>
    <row r="1027" spans="1:19" ht="15.75" customHeight="1" x14ac:dyDescent="0.3">
      <c r="A1027" s="37">
        <v>82213</v>
      </c>
      <c r="B1027" s="409">
        <f t="shared" ref="B1027:C1027" si="1038">($A1027-B$9)/365.25</f>
        <v>143.20876112251884</v>
      </c>
      <c r="C1027" s="409">
        <f t="shared" si="1038"/>
        <v>138.59822039698835</v>
      </c>
      <c r="E1027" s="25">
        <f>IF(C1027&gt;$B$7,0,'Combined Retirement'!$D$13/12)</f>
        <v>0</v>
      </c>
      <c r="F1027" s="25">
        <f>IF(H1027=0,'Combined Retirement'!$D$32,0)+'Combined Retirement'!$B$24</f>
        <v>2870.372285649099</v>
      </c>
      <c r="G1027" s="25">
        <f>'Combined Retirement'!$C$24</f>
        <v>3525.4531757812501</v>
      </c>
      <c r="H1027" s="25">
        <f>IF(B1027&lt;62,0,'Combined Retirement'!$I$14)</f>
        <v>2192</v>
      </c>
      <c r="I1027" s="25">
        <f>IF(C1027&lt;62,0,'Combined Retirement'!$I$13)</f>
        <v>2420</v>
      </c>
      <c r="J1027" s="25">
        <f t="shared" si="783"/>
        <v>7863.2184191855868</v>
      </c>
      <c r="K1027" s="25">
        <f t="shared" si="784"/>
        <v>20282.026119384056</v>
      </c>
      <c r="L1027" s="25"/>
      <c r="N1027" s="25">
        <f>'Combined Retirement'!$C$18/12</f>
        <v>39153.069999999992</v>
      </c>
      <c r="O1027" s="25">
        <f t="shared" si="785"/>
        <v>11007.82546143035</v>
      </c>
      <c r="P1027" s="25">
        <f t="shared" si="786"/>
        <v>28145.244538569641</v>
      </c>
      <c r="Q1027" s="25">
        <f t="array" aca="1" ref="Q1027" ca="1">INDEX('Isaac 401k'!L:L,MATCH('Retirement Calculator'!A1027,'Isaac 401k'!N:N,0),0)</f>
        <v>-10686842.744480563</v>
      </c>
      <c r="R1027" s="25">
        <f t="array" aca="1" ref="R1027" ca="1">INDEX('Lorri 401b'!L:L,MATCH('Retirement Calculator'!A1027,'Lorri 401b'!N:N,0),0)</f>
        <v>-27233768.970402833</v>
      </c>
      <c r="S1027" s="25">
        <f t="shared" ca="1" si="787"/>
        <v>-37920611.714883395</v>
      </c>
    </row>
    <row r="1028" spans="1:19" ht="15.75" customHeight="1" x14ac:dyDescent="0.3">
      <c r="A1028" s="37">
        <v>82241</v>
      </c>
      <c r="B1028" s="409">
        <f t="shared" ref="B1028:C1028" si="1039">($A1028-B$9)/365.25</f>
        <v>143.28542094455852</v>
      </c>
      <c r="C1028" s="409">
        <f t="shared" si="1039"/>
        <v>138.67488021902807</v>
      </c>
      <c r="E1028" s="25">
        <f>IF(C1028&gt;$B$7,0,'Combined Retirement'!$D$13/12)</f>
        <v>0</v>
      </c>
      <c r="F1028" s="25">
        <f>IF(H1028=0,'Combined Retirement'!$D$32,0)+'Combined Retirement'!$B$24</f>
        <v>2870.372285649099</v>
      </c>
      <c r="G1028" s="25">
        <f>'Combined Retirement'!$C$24</f>
        <v>3525.4531757812501</v>
      </c>
      <c r="H1028" s="25">
        <f>IF(B1028&lt;62,0,'Combined Retirement'!$I$14)</f>
        <v>2192</v>
      </c>
      <c r="I1028" s="25">
        <f>IF(C1028&lt;62,0,'Combined Retirement'!$I$13)</f>
        <v>2420</v>
      </c>
      <c r="J1028" s="25">
        <f t="shared" si="783"/>
        <v>7863.2184191855868</v>
      </c>
      <c r="K1028" s="25">
        <f t="shared" si="784"/>
        <v>20282.026119384056</v>
      </c>
      <c r="L1028" s="25"/>
      <c r="N1028" s="25">
        <f>'Combined Retirement'!$C$18/12</f>
        <v>39153.069999999992</v>
      </c>
      <c r="O1028" s="25">
        <f t="shared" si="785"/>
        <v>11007.82546143035</v>
      </c>
      <c r="P1028" s="25">
        <f t="shared" si="786"/>
        <v>28145.244538569641</v>
      </c>
      <c r="Q1028" s="25">
        <f t="array" aca="1" ref="Q1028" ca="1">INDEX('Isaac 401k'!L:L,MATCH('Retirement Calculator'!A1028,'Isaac 401k'!N:N,0),0)</f>
        <v>-10739267.237745164</v>
      </c>
      <c r="R1028" s="25">
        <f t="array" aca="1" ref="R1028" ca="1">INDEX('Lorri 401b'!L:L,MATCH('Retirement Calculator'!A1028,'Lorri 401b'!N:N,0),0)</f>
        <v>-27367609.542341061</v>
      </c>
      <c r="S1028" s="25">
        <f t="shared" ca="1" si="787"/>
        <v>-38106876.780086227</v>
      </c>
    </row>
    <row r="1029" spans="1:19" ht="15.75" customHeight="1" x14ac:dyDescent="0.3">
      <c r="A1029" s="37">
        <v>82272</v>
      </c>
      <c r="B1029" s="409">
        <f t="shared" ref="B1029:C1029" si="1040">($A1029-B$9)/365.25</f>
        <v>143.37029431895962</v>
      </c>
      <c r="C1029" s="409">
        <f t="shared" si="1040"/>
        <v>138.75975359342917</v>
      </c>
      <c r="E1029" s="25">
        <f>IF(C1029&gt;$B$7,0,'Combined Retirement'!$D$13/12)</f>
        <v>0</v>
      </c>
      <c r="F1029" s="25">
        <f>IF(H1029=0,'Combined Retirement'!$D$32,0)+'Combined Retirement'!$B$24</f>
        <v>2870.372285649099</v>
      </c>
      <c r="G1029" s="25">
        <f>'Combined Retirement'!$C$24</f>
        <v>3525.4531757812501</v>
      </c>
      <c r="H1029" s="25">
        <f>IF(B1029&lt;62,0,'Combined Retirement'!$I$14)</f>
        <v>2192</v>
      </c>
      <c r="I1029" s="25">
        <f>IF(C1029&lt;62,0,'Combined Retirement'!$I$13)</f>
        <v>2420</v>
      </c>
      <c r="J1029" s="25">
        <f t="shared" si="783"/>
        <v>7863.2184191855868</v>
      </c>
      <c r="K1029" s="25">
        <f t="shared" si="784"/>
        <v>20282.026119384056</v>
      </c>
      <c r="L1029" s="25"/>
      <c r="N1029" s="25">
        <f>'Combined Retirement'!$C$18/12</f>
        <v>39153.069999999992</v>
      </c>
      <c r="O1029" s="25">
        <f t="shared" si="785"/>
        <v>11007.82546143035</v>
      </c>
      <c r="P1029" s="25">
        <f t="shared" si="786"/>
        <v>28145.244538569641</v>
      </c>
      <c r="Q1029" s="25">
        <f t="array" aca="1" ref="Q1029" ca="1">INDEX('Isaac 401k'!L:L,MATCH('Retirement Calculator'!A1029,'Isaac 401k'!N:N,0),0)</f>
        <v>-10791910.166398367</v>
      </c>
      <c r="R1029" s="25">
        <f t="array" aca="1" ref="R1029" ca="1">INDEX('Lorri 401b'!L:L,MATCH('Retirement Calculator'!A1029,'Lorri 401b'!N:N,0),0)</f>
        <v>-27502007.783329032</v>
      </c>
      <c r="S1029" s="25">
        <f t="shared" ca="1" si="787"/>
        <v>-38293917.949727401</v>
      </c>
    </row>
    <row r="1030" spans="1:19" ht="15.75" customHeight="1" x14ac:dyDescent="0.3">
      <c r="A1030" s="37">
        <v>82302</v>
      </c>
      <c r="B1030" s="409">
        <f t="shared" ref="B1030:C1030" si="1041">($A1030-B$9)/365.25</f>
        <v>143.45242984257359</v>
      </c>
      <c r="C1030" s="409">
        <f t="shared" si="1041"/>
        <v>138.84188911704311</v>
      </c>
      <c r="E1030" s="25">
        <f>IF(C1030&gt;$B$7,0,'Combined Retirement'!$D$13/12)</f>
        <v>0</v>
      </c>
      <c r="F1030" s="25">
        <f>IF(H1030=0,'Combined Retirement'!$D$32,0)+'Combined Retirement'!$B$24</f>
        <v>2870.372285649099</v>
      </c>
      <c r="G1030" s="25">
        <f>'Combined Retirement'!$C$24</f>
        <v>3525.4531757812501</v>
      </c>
      <c r="H1030" s="25">
        <f>IF(B1030&lt;62,0,'Combined Retirement'!$I$14)</f>
        <v>2192</v>
      </c>
      <c r="I1030" s="25">
        <f>IF(C1030&lt;62,0,'Combined Retirement'!$I$13)</f>
        <v>2420</v>
      </c>
      <c r="J1030" s="25">
        <f t="shared" si="783"/>
        <v>7863.2184191855868</v>
      </c>
      <c r="K1030" s="25">
        <f t="shared" si="784"/>
        <v>20282.026119384056</v>
      </c>
      <c r="L1030" s="25"/>
      <c r="N1030" s="25">
        <f>'Combined Retirement'!$C$18/12</f>
        <v>39153.069999999992</v>
      </c>
      <c r="O1030" s="25">
        <f t="shared" si="785"/>
        <v>11007.82546143035</v>
      </c>
      <c r="P1030" s="25">
        <f t="shared" si="786"/>
        <v>28145.244538569641</v>
      </c>
      <c r="Q1030" s="25">
        <f t="array" aca="1" ref="Q1030" ca="1">INDEX('Isaac 401k'!L:L,MATCH('Retirement Calculator'!A1030,'Isaac 401k'!N:N,0),0)</f>
        <v>-10844772.440587625</v>
      </c>
      <c r="R1030" s="25">
        <f t="array" aca="1" ref="R1030" ca="1">INDEX('Lorri 401b'!L:L,MATCH('Retirement Calculator'!A1030,'Lorri 401b'!N:N,0),0)</f>
        <v>-27636966.016987786</v>
      </c>
      <c r="S1030" s="25">
        <f t="shared" ca="1" si="787"/>
        <v>-38481738.457575411</v>
      </c>
    </row>
    <row r="1031" spans="1:19" ht="15.75" customHeight="1" x14ac:dyDescent="0.3">
      <c r="A1031" s="37">
        <v>82333</v>
      </c>
      <c r="B1031" s="409">
        <f t="shared" ref="B1031:C1031" si="1042">($A1031-B$9)/365.25</f>
        <v>143.53730321697466</v>
      </c>
      <c r="C1031" s="409">
        <f t="shared" si="1042"/>
        <v>138.92676249144421</v>
      </c>
      <c r="E1031" s="25">
        <f>IF(C1031&gt;$B$7,0,'Combined Retirement'!$D$13/12)</f>
        <v>0</v>
      </c>
      <c r="F1031" s="25">
        <f>IF(H1031=0,'Combined Retirement'!$D$32,0)+'Combined Retirement'!$B$24</f>
        <v>2870.372285649099</v>
      </c>
      <c r="G1031" s="25">
        <f>'Combined Retirement'!$C$24</f>
        <v>3525.4531757812501</v>
      </c>
      <c r="H1031" s="25">
        <f>IF(B1031&lt;62,0,'Combined Retirement'!$I$14)</f>
        <v>2192</v>
      </c>
      <c r="I1031" s="25">
        <f>IF(C1031&lt;62,0,'Combined Retirement'!$I$13)</f>
        <v>2420</v>
      </c>
      <c r="J1031" s="25">
        <f t="shared" ref="J1031:J1171" si="1043">IF(C1031&lt;59.5,P1031,P1031*$J$7)</f>
        <v>7863.2184191855868</v>
      </c>
      <c r="K1031" s="25">
        <f t="shared" ref="K1031:K1171" si="1044">IF(C1031&lt;59.5,0,IF(C1031&lt;$B$7,0,P1031*$K$7))</f>
        <v>20282.026119384056</v>
      </c>
      <c r="L1031" s="25"/>
      <c r="N1031" s="25">
        <f>'Combined Retirement'!$C$18/12</f>
        <v>39153.069999999992</v>
      </c>
      <c r="O1031" s="25">
        <f t="shared" ref="O1031:O1171" si="1045">SUM(E1031:I1031)</f>
        <v>11007.82546143035</v>
      </c>
      <c r="P1031" s="25">
        <f t="shared" ref="P1031:P1171" si="1046">N1031-O1031</f>
        <v>28145.244538569641</v>
      </c>
      <c r="Q1031" s="25">
        <f t="array" aca="1" ref="Q1031" ca="1">INDEX('Isaac 401k'!L:L,MATCH('Retirement Calculator'!A1031,'Isaac 401k'!N:N,0),0)</f>
        <v>-10897854.974252671</v>
      </c>
      <c r="R1031" s="25">
        <f t="array" aca="1" ref="R1031" ca="1">INDEX('Lorri 401b'!L:L,MATCH('Retirement Calculator'!A1031,'Lorri 401b'!N:N,0),0)</f>
        <v>-27772486.576620117</v>
      </c>
      <c r="S1031" s="25">
        <f t="shared" ref="S1031:S1171" ca="1" si="1047">SUM(Q1031:R1031)</f>
        <v>-38670341.550872788</v>
      </c>
    </row>
    <row r="1032" spans="1:19" ht="15.75" customHeight="1" x14ac:dyDescent="0.3">
      <c r="A1032" s="37">
        <v>82363</v>
      </c>
      <c r="B1032" s="409">
        <f t="shared" ref="B1032:C1032" si="1048">($A1032-B$9)/365.25</f>
        <v>143.61943874058863</v>
      </c>
      <c r="C1032" s="409">
        <f t="shared" si="1048"/>
        <v>139.00889801505818</v>
      </c>
      <c r="E1032" s="25">
        <f>IF(C1032&gt;$B$7,0,'Combined Retirement'!$D$13/12)</f>
        <v>0</v>
      </c>
      <c r="F1032" s="25">
        <f>IF(H1032=0,'Combined Retirement'!$D$32,0)+'Combined Retirement'!$B$24</f>
        <v>2870.372285649099</v>
      </c>
      <c r="G1032" s="25">
        <f>'Combined Retirement'!$C$24</f>
        <v>3525.4531757812501</v>
      </c>
      <c r="H1032" s="25">
        <f>IF(B1032&lt;62,0,'Combined Retirement'!$I$14)</f>
        <v>2192</v>
      </c>
      <c r="I1032" s="25">
        <f>IF(C1032&lt;62,0,'Combined Retirement'!$I$13)</f>
        <v>2420</v>
      </c>
      <c r="J1032" s="25">
        <f t="shared" si="1043"/>
        <v>7863.2184191855868</v>
      </c>
      <c r="K1032" s="25">
        <f t="shared" si="1044"/>
        <v>20282.026119384056</v>
      </c>
      <c r="L1032" s="25"/>
      <c r="N1032" s="25">
        <f>'Combined Retirement'!$C$18/12</f>
        <v>39153.069999999992</v>
      </c>
      <c r="O1032" s="25">
        <f t="shared" si="1045"/>
        <v>11007.82546143035</v>
      </c>
      <c r="P1032" s="25">
        <f t="shared" si="1046"/>
        <v>28145.244538569641</v>
      </c>
      <c r="Q1032" s="25">
        <f t="array" aca="1" ref="Q1032" ca="1">INDEX('Isaac 401k'!L:L,MATCH('Retirement Calculator'!A1032,'Isaac 401k'!N:N,0),0)</f>
        <v>-10951158.685141321</v>
      </c>
      <c r="R1032" s="25">
        <f t="array" aca="1" ref="R1032" ca="1">INDEX('Lorri 401b'!L:L,MATCH('Retirement Calculator'!A1032,'Lorri 401b'!N:N,0),0)</f>
        <v>-27908571.805250917</v>
      </c>
      <c r="S1032" s="25">
        <f t="shared" ca="1" si="1047"/>
        <v>-38859730.490392238</v>
      </c>
    </row>
    <row r="1033" spans="1:19" ht="15.75" customHeight="1" x14ac:dyDescent="0.3">
      <c r="A1033" s="37">
        <v>82394</v>
      </c>
      <c r="B1033" s="409">
        <f t="shared" ref="B1033:C1033" si="1049">($A1033-B$9)/365.25</f>
        <v>143.70431211498973</v>
      </c>
      <c r="C1033" s="409">
        <f t="shared" si="1049"/>
        <v>139.09377138945928</v>
      </c>
      <c r="E1033" s="25">
        <f>IF(C1033&gt;$B$7,0,'Combined Retirement'!$D$13/12)</f>
        <v>0</v>
      </c>
      <c r="F1033" s="25">
        <f>IF(H1033=0,'Combined Retirement'!$D$32,0)+'Combined Retirement'!$B$24</f>
        <v>2870.372285649099</v>
      </c>
      <c r="G1033" s="25">
        <f>'Combined Retirement'!$C$24</f>
        <v>3525.4531757812501</v>
      </c>
      <c r="H1033" s="25">
        <f>IF(B1033&lt;62,0,'Combined Retirement'!$I$14)</f>
        <v>2192</v>
      </c>
      <c r="I1033" s="25">
        <f>IF(C1033&lt;62,0,'Combined Retirement'!$I$13)</f>
        <v>2420</v>
      </c>
      <c r="J1033" s="25">
        <f t="shared" si="1043"/>
        <v>7863.2184191855868</v>
      </c>
      <c r="K1033" s="25">
        <f t="shared" si="1044"/>
        <v>20282.026119384056</v>
      </c>
      <c r="L1033" s="25"/>
      <c r="N1033" s="25">
        <f>'Combined Retirement'!$C$18/12</f>
        <v>39153.069999999992</v>
      </c>
      <c r="O1033" s="25">
        <f t="shared" si="1045"/>
        <v>11007.82546143035</v>
      </c>
      <c r="P1033" s="25">
        <f t="shared" si="1046"/>
        <v>28145.244538569641</v>
      </c>
      <c r="Q1033" s="25">
        <f t="array" aca="1" ref="Q1033" ca="1">INDEX('Isaac 401k'!L:L,MATCH('Retirement Calculator'!A1033,'Isaac 401k'!N:N,0),0)</f>
        <v>-11004684.494825341</v>
      </c>
      <c r="R1033" s="25">
        <f t="array" aca="1" ref="R1033" ca="1">INDEX('Lorri 401b'!L:L,MATCH('Retirement Calculator'!A1033,'Lorri 401b'!N:N,0),0)</f>
        <v>-28045224.055667676</v>
      </c>
      <c r="S1033" s="25">
        <f t="shared" ca="1" si="1047"/>
        <v>-39049908.550493017</v>
      </c>
    </row>
    <row r="1034" spans="1:19" ht="15.75" customHeight="1" x14ac:dyDescent="0.3">
      <c r="A1034" s="37">
        <v>82425</v>
      </c>
      <c r="B1034" s="409">
        <f t="shared" ref="B1034:C1034" si="1050">($A1034-B$9)/365.25</f>
        <v>143.78918548939083</v>
      </c>
      <c r="C1034" s="409">
        <f t="shared" si="1050"/>
        <v>139.17864476386038</v>
      </c>
      <c r="E1034" s="25">
        <f>IF(C1034&gt;$B$7,0,'Combined Retirement'!$D$13/12)</f>
        <v>0</v>
      </c>
      <c r="F1034" s="25">
        <f>IF(H1034=0,'Combined Retirement'!$D$32,0)+'Combined Retirement'!$B$24</f>
        <v>2870.372285649099</v>
      </c>
      <c r="G1034" s="25">
        <f>'Combined Retirement'!$C$24</f>
        <v>3525.4531757812501</v>
      </c>
      <c r="H1034" s="25">
        <f>IF(B1034&lt;62,0,'Combined Retirement'!$I$14)</f>
        <v>2192</v>
      </c>
      <c r="I1034" s="25">
        <f>IF(C1034&lt;62,0,'Combined Retirement'!$I$13)</f>
        <v>2420</v>
      </c>
      <c r="J1034" s="25">
        <f t="shared" si="1043"/>
        <v>7863.2184191855868</v>
      </c>
      <c r="K1034" s="25">
        <f t="shared" si="1044"/>
        <v>20282.026119384056</v>
      </c>
      <c r="L1034" s="25"/>
      <c r="N1034" s="25">
        <f>'Combined Retirement'!$C$18/12</f>
        <v>39153.069999999992</v>
      </c>
      <c r="O1034" s="25">
        <f t="shared" si="1045"/>
        <v>11007.82546143035</v>
      </c>
      <c r="P1034" s="25">
        <f t="shared" si="1046"/>
        <v>28145.244538569641</v>
      </c>
      <c r="Q1034" s="25">
        <f t="array" aca="1" ref="Q1034" ca="1">INDEX('Isaac 401k'!L:L,MATCH('Retirement Calculator'!A1034,'Isaac 401k'!N:N,0),0)</f>
        <v>-11058433.328716379</v>
      </c>
      <c r="R1034" s="25">
        <f t="array" aca="1" ref="R1034" ca="1">INDEX('Lorri 401b'!L:L,MATCH('Retirement Calculator'!A1034,'Lorri 401b'!N:N,0),0)</f>
        <v>-28182445.690461174</v>
      </c>
      <c r="S1034" s="25">
        <f t="shared" ca="1" si="1047"/>
        <v>-39240879.019177556</v>
      </c>
    </row>
    <row r="1035" spans="1:19" ht="15.75" customHeight="1" x14ac:dyDescent="0.3">
      <c r="A1035" s="37">
        <v>82455</v>
      </c>
      <c r="B1035" s="409">
        <f t="shared" ref="B1035:C1035" si="1051">($A1035-B$9)/365.25</f>
        <v>143.8713210130048</v>
      </c>
      <c r="C1035" s="409">
        <f t="shared" si="1051"/>
        <v>139.26078028747432</v>
      </c>
      <c r="E1035" s="25">
        <f>IF(C1035&gt;$B$7,0,'Combined Retirement'!$D$13/12)</f>
        <v>0</v>
      </c>
      <c r="F1035" s="25">
        <f>IF(H1035=0,'Combined Retirement'!$D$32,0)+'Combined Retirement'!$B$24</f>
        <v>2870.372285649099</v>
      </c>
      <c r="G1035" s="25">
        <f>'Combined Retirement'!$C$24</f>
        <v>3525.4531757812501</v>
      </c>
      <c r="H1035" s="25">
        <f>IF(B1035&lt;62,0,'Combined Retirement'!$I$14)</f>
        <v>2192</v>
      </c>
      <c r="I1035" s="25">
        <f>IF(C1035&lt;62,0,'Combined Retirement'!$I$13)</f>
        <v>2420</v>
      </c>
      <c r="J1035" s="25">
        <f t="shared" si="1043"/>
        <v>7863.2184191855868</v>
      </c>
      <c r="K1035" s="25">
        <f t="shared" si="1044"/>
        <v>20282.026119384056</v>
      </c>
      <c r="L1035" s="25"/>
      <c r="N1035" s="25">
        <f>'Combined Retirement'!$C$18/12</f>
        <v>39153.069999999992</v>
      </c>
      <c r="O1035" s="25">
        <f t="shared" si="1045"/>
        <v>11007.82546143035</v>
      </c>
      <c r="P1035" s="25">
        <f t="shared" si="1046"/>
        <v>28145.244538569641</v>
      </c>
      <c r="Q1035" s="25">
        <f t="array" aca="1" ref="Q1035" ca="1">INDEX('Isaac 401k'!L:L,MATCH('Retirement Calculator'!A1035,'Isaac 401k'!N:N,0),0)</f>
        <v>-11112406.116081962</v>
      </c>
      <c r="R1035" s="25">
        <f t="array" aca="1" ref="R1035" ca="1">INDEX('Lorri 401b'!L:L,MATCH('Retirement Calculator'!A1035,'Lorri 401b'!N:N,0),0)</f>
        <v>-28320239.082066312</v>
      </c>
      <c r="S1035" s="25">
        <f t="shared" ca="1" si="1047"/>
        <v>-39432645.198148273</v>
      </c>
    </row>
    <row r="1036" spans="1:19" ht="15.75" customHeight="1" x14ac:dyDescent="0.3">
      <c r="A1036" s="37">
        <v>82486</v>
      </c>
      <c r="B1036" s="409">
        <f t="shared" ref="B1036:C1036" si="1052">($A1036-B$9)/365.25</f>
        <v>143.95619438740587</v>
      </c>
      <c r="C1036" s="409">
        <f t="shared" si="1052"/>
        <v>139.34565366187542</v>
      </c>
      <c r="E1036" s="25">
        <f>IF(C1036&gt;$B$7,0,'Combined Retirement'!$D$13/12)</f>
        <v>0</v>
      </c>
      <c r="F1036" s="25">
        <f>IF(H1036=0,'Combined Retirement'!$D$32,0)+'Combined Retirement'!$B$24</f>
        <v>2870.372285649099</v>
      </c>
      <c r="G1036" s="25">
        <f>'Combined Retirement'!$C$24</f>
        <v>3525.4531757812501</v>
      </c>
      <c r="H1036" s="25">
        <f>IF(B1036&lt;62,0,'Combined Retirement'!$I$14)</f>
        <v>2192</v>
      </c>
      <c r="I1036" s="25">
        <f>IF(C1036&lt;62,0,'Combined Retirement'!$I$13)</f>
        <v>2420</v>
      </c>
      <c r="J1036" s="25">
        <f t="shared" si="1043"/>
        <v>7863.2184191855868</v>
      </c>
      <c r="K1036" s="25">
        <f t="shared" si="1044"/>
        <v>20282.026119384056</v>
      </c>
      <c r="L1036" s="25"/>
      <c r="N1036" s="25">
        <f>'Combined Retirement'!$C$18/12</f>
        <v>39153.069999999992</v>
      </c>
      <c r="O1036" s="25">
        <f t="shared" si="1045"/>
        <v>11007.82546143035</v>
      </c>
      <c r="P1036" s="25">
        <f t="shared" si="1046"/>
        <v>28145.244538569641</v>
      </c>
      <c r="Q1036" s="25">
        <f t="array" aca="1" ref="Q1036" ca="1">INDEX('Isaac 401k'!L:L,MATCH('Retirement Calculator'!A1036,'Isaac 401k'!N:N,0),0)</f>
        <v>-11166603.790061569</v>
      </c>
      <c r="R1036" s="25">
        <f t="array" aca="1" ref="R1036" ca="1">INDEX('Lorri 401b'!L:L,MATCH('Retirement Calculator'!A1036,'Lorri 401b'!N:N,0),0)</f>
        <v>-28458606.612803139</v>
      </c>
      <c r="S1036" s="25">
        <f t="shared" ca="1" si="1047"/>
        <v>-39625210.402864709</v>
      </c>
    </row>
    <row r="1037" spans="1:19" ht="15.75" customHeight="1" x14ac:dyDescent="0.3">
      <c r="A1037" s="37">
        <v>82516</v>
      </c>
      <c r="B1037" s="409">
        <f t="shared" ref="B1037:C1037" si="1053">($A1037-B$9)/365.25</f>
        <v>144.03832991101984</v>
      </c>
      <c r="C1037" s="409">
        <f t="shared" si="1053"/>
        <v>139.42778918548939</v>
      </c>
      <c r="E1037" s="25">
        <f>IF(C1037&gt;$B$7,0,'Combined Retirement'!$D$13/12)</f>
        <v>0</v>
      </c>
      <c r="F1037" s="25">
        <f>IF(H1037=0,'Combined Retirement'!$D$32,0)+'Combined Retirement'!$B$24</f>
        <v>2870.372285649099</v>
      </c>
      <c r="G1037" s="25">
        <f>'Combined Retirement'!$C$24</f>
        <v>3525.4531757812501</v>
      </c>
      <c r="H1037" s="25">
        <f>IF(B1037&lt;62,0,'Combined Retirement'!$I$14)</f>
        <v>2192</v>
      </c>
      <c r="I1037" s="25">
        <f>IF(C1037&lt;62,0,'Combined Retirement'!$I$13)</f>
        <v>2420</v>
      </c>
      <c r="J1037" s="25">
        <f t="shared" si="1043"/>
        <v>7863.2184191855868</v>
      </c>
      <c r="K1037" s="25">
        <f t="shared" si="1044"/>
        <v>20282.026119384056</v>
      </c>
      <c r="L1037" s="25"/>
      <c r="N1037" s="25">
        <f>'Combined Retirement'!$C$18/12</f>
        <v>39153.069999999992</v>
      </c>
      <c r="O1037" s="25">
        <f t="shared" si="1045"/>
        <v>11007.82546143035</v>
      </c>
      <c r="P1037" s="25">
        <f t="shared" si="1046"/>
        <v>28145.244538569641</v>
      </c>
      <c r="Q1037" s="25">
        <f t="array" aca="1" ref="Q1037" ca="1">INDEX('Isaac 401k'!L:L,MATCH('Retirement Calculator'!A1037,'Isaac 401k'!N:N,0),0)</f>
        <v>-11221027.287682757</v>
      </c>
      <c r="R1037" s="25">
        <f t="array" aca="1" ref="R1037" ca="1">INDEX('Lorri 401b'!L:L,MATCH('Retirement Calculator'!A1037,'Lorri 401b'!N:N,0),0)</f>
        <v>-28597550.674918033</v>
      </c>
      <c r="S1037" s="25">
        <f t="shared" ca="1" si="1047"/>
        <v>-39818577.96260079</v>
      </c>
    </row>
    <row r="1038" spans="1:19" ht="15.75" customHeight="1" x14ac:dyDescent="0.3">
      <c r="A1038" s="37">
        <v>82547</v>
      </c>
      <c r="B1038" s="409">
        <f t="shared" ref="B1038:C1038" si="1054">($A1038-B$9)/365.25</f>
        <v>144.12320328542094</v>
      </c>
      <c r="C1038" s="409">
        <f t="shared" si="1054"/>
        <v>139.51266255989049</v>
      </c>
      <c r="E1038" s="25">
        <f>IF(C1038&gt;$B$7,0,'Combined Retirement'!$D$13/12)</f>
        <v>0</v>
      </c>
      <c r="F1038" s="25">
        <f>IF(H1038=0,'Combined Retirement'!$D$32,0)+'Combined Retirement'!$B$24</f>
        <v>2870.372285649099</v>
      </c>
      <c r="G1038" s="25">
        <f>'Combined Retirement'!$C$24</f>
        <v>3525.4531757812501</v>
      </c>
      <c r="H1038" s="25">
        <f>IF(B1038&lt;62,0,'Combined Retirement'!$I$14)</f>
        <v>2192</v>
      </c>
      <c r="I1038" s="25">
        <f>IF(C1038&lt;62,0,'Combined Retirement'!$I$13)</f>
        <v>2420</v>
      </c>
      <c r="J1038" s="25">
        <f t="shared" si="1043"/>
        <v>7863.2184191855868</v>
      </c>
      <c r="K1038" s="25">
        <f t="shared" si="1044"/>
        <v>20282.026119384056</v>
      </c>
      <c r="L1038" s="25"/>
      <c r="N1038" s="25">
        <f>'Combined Retirement'!$C$18/12</f>
        <v>39153.069999999992</v>
      </c>
      <c r="O1038" s="25">
        <f t="shared" si="1045"/>
        <v>11007.82546143035</v>
      </c>
      <c r="P1038" s="25">
        <f t="shared" si="1046"/>
        <v>28145.244538569641</v>
      </c>
      <c r="Q1038" s="25">
        <f t="array" aca="1" ref="Q1038" ca="1">INDEX('Isaac 401k'!L:L,MATCH('Retirement Calculator'!A1038,'Isaac 401k'!N:N,0),0)</f>
        <v>-11275677.549877366</v>
      </c>
      <c r="R1038" s="25">
        <f t="array" aca="1" ref="R1038" ca="1">INDEX('Lorri 401b'!L:L,MATCH('Retirement Calculator'!A1038,'Lorri 401b'!N:N,0),0)</f>
        <v>-28737073.670625076</v>
      </c>
      <c r="S1038" s="25">
        <f t="shared" ca="1" si="1047"/>
        <v>-40012751.220502444</v>
      </c>
    </row>
    <row r="1039" spans="1:19" ht="15.75" customHeight="1" x14ac:dyDescent="0.3">
      <c r="A1039" s="37">
        <v>82578</v>
      </c>
      <c r="B1039" s="409">
        <f t="shared" ref="B1039:C1039" si="1055">($A1039-B$9)/365.25</f>
        <v>144.20807665982204</v>
      </c>
      <c r="C1039" s="409">
        <f t="shared" si="1055"/>
        <v>139.59753593429159</v>
      </c>
      <c r="E1039" s="25">
        <f>IF(C1039&gt;$B$7,0,'Combined Retirement'!$D$13/12)</f>
        <v>0</v>
      </c>
      <c r="F1039" s="25">
        <f>IF(H1039=0,'Combined Retirement'!$D$32,0)+'Combined Retirement'!$B$24</f>
        <v>2870.372285649099</v>
      </c>
      <c r="G1039" s="25">
        <f>'Combined Retirement'!$C$24</f>
        <v>3525.4531757812501</v>
      </c>
      <c r="H1039" s="25">
        <f>IF(B1039&lt;62,0,'Combined Retirement'!$I$14)</f>
        <v>2192</v>
      </c>
      <c r="I1039" s="25">
        <f>IF(C1039&lt;62,0,'Combined Retirement'!$I$13)</f>
        <v>2420</v>
      </c>
      <c r="J1039" s="25">
        <f t="shared" si="1043"/>
        <v>7863.2184191855868</v>
      </c>
      <c r="K1039" s="25">
        <f t="shared" si="1044"/>
        <v>20282.026119384056</v>
      </c>
      <c r="L1039" s="25"/>
      <c r="N1039" s="25">
        <f>'Combined Retirement'!$C$18/12</f>
        <v>39153.069999999992</v>
      </c>
      <c r="O1039" s="25">
        <f t="shared" si="1045"/>
        <v>11007.82546143035</v>
      </c>
      <c r="P1039" s="25">
        <f t="shared" si="1046"/>
        <v>28145.244538569641</v>
      </c>
      <c r="Q1039" s="25">
        <f t="array" aca="1" ref="Q1039" ca="1">INDEX('Isaac 401k'!L:L,MATCH('Retirement Calculator'!A1039,'Isaac 401k'!N:N,0),0)</f>
        <v>-11330555.521497786</v>
      </c>
      <c r="R1039" s="25">
        <f t="array" aca="1" ref="R1039" ca="1">INDEX('Lorri 401b'!L:L,MATCH('Retirement Calculator'!A1039,'Lorri 401b'!N:N,0),0)</f>
        <v>-28877178.012147561</v>
      </c>
      <c r="S1039" s="25">
        <f t="shared" ca="1" si="1047"/>
        <v>-40207733.533645347</v>
      </c>
    </row>
    <row r="1040" spans="1:19" ht="15.75" customHeight="1" x14ac:dyDescent="0.3">
      <c r="A1040" s="37">
        <v>82606</v>
      </c>
      <c r="B1040" s="409">
        <f t="shared" ref="B1040:C1040" si="1056">($A1040-B$9)/365.25</f>
        <v>144.28473648186173</v>
      </c>
      <c r="C1040" s="409">
        <f t="shared" si="1056"/>
        <v>139.67419575633127</v>
      </c>
      <c r="E1040" s="25">
        <f>IF(C1040&gt;$B$7,0,'Combined Retirement'!$D$13/12)</f>
        <v>0</v>
      </c>
      <c r="F1040" s="25">
        <f>IF(H1040=0,'Combined Retirement'!$D$32,0)+'Combined Retirement'!$B$24</f>
        <v>2870.372285649099</v>
      </c>
      <c r="G1040" s="25">
        <f>'Combined Retirement'!$C$24</f>
        <v>3525.4531757812501</v>
      </c>
      <c r="H1040" s="25">
        <f>IF(B1040&lt;62,0,'Combined Retirement'!$I$14)</f>
        <v>2192</v>
      </c>
      <c r="I1040" s="25">
        <f>IF(C1040&lt;62,0,'Combined Retirement'!$I$13)</f>
        <v>2420</v>
      </c>
      <c r="J1040" s="25">
        <f t="shared" si="1043"/>
        <v>7863.2184191855868</v>
      </c>
      <c r="K1040" s="25">
        <f t="shared" si="1044"/>
        <v>20282.026119384056</v>
      </c>
      <c r="L1040" s="25"/>
      <c r="N1040" s="25">
        <f>'Combined Retirement'!$C$18/12</f>
        <v>39153.069999999992</v>
      </c>
      <c r="O1040" s="25">
        <f t="shared" si="1045"/>
        <v>11007.82546143035</v>
      </c>
      <c r="P1040" s="25">
        <f t="shared" si="1046"/>
        <v>28145.244538569641</v>
      </c>
      <c r="Q1040" s="25">
        <f t="array" aca="1" ref="Q1040" ca="1">INDEX('Isaac 401k'!L:L,MATCH('Retirement Calculator'!A1040,'Isaac 401k'!N:N,0),0)</f>
        <v>-11385662.151333291</v>
      </c>
      <c r="R1040" s="25">
        <f t="array" aca="1" ref="R1040" ca="1">INDEX('Lorri 401b'!L:L,MATCH('Retirement Calculator'!A1040,'Lorri 401b'!N:N,0),0)</f>
        <v>-29017866.121759724</v>
      </c>
      <c r="S1040" s="25">
        <f t="shared" ca="1" si="1047"/>
        <v>-40403528.273093015</v>
      </c>
    </row>
    <row r="1041" spans="1:19" ht="15.75" customHeight="1" x14ac:dyDescent="0.3">
      <c r="A1041" s="37">
        <v>82637</v>
      </c>
      <c r="B1041" s="409">
        <f t="shared" ref="B1041:C1041" si="1057">($A1041-B$9)/365.25</f>
        <v>144.36960985626283</v>
      </c>
      <c r="C1041" s="409">
        <f t="shared" si="1057"/>
        <v>139.75906913073237</v>
      </c>
      <c r="E1041" s="25">
        <f>IF(C1041&gt;$B$7,0,'Combined Retirement'!$D$13/12)</f>
        <v>0</v>
      </c>
      <c r="F1041" s="25">
        <f>IF(H1041=0,'Combined Retirement'!$D$32,0)+'Combined Retirement'!$B$24</f>
        <v>2870.372285649099</v>
      </c>
      <c r="G1041" s="25">
        <f>'Combined Retirement'!$C$24</f>
        <v>3525.4531757812501</v>
      </c>
      <c r="H1041" s="25">
        <f>IF(B1041&lt;62,0,'Combined Retirement'!$I$14)</f>
        <v>2192</v>
      </c>
      <c r="I1041" s="25">
        <f>IF(C1041&lt;62,0,'Combined Retirement'!$I$13)</f>
        <v>2420</v>
      </c>
      <c r="J1041" s="25">
        <f t="shared" si="1043"/>
        <v>7863.2184191855868</v>
      </c>
      <c r="K1041" s="25">
        <f t="shared" si="1044"/>
        <v>20282.026119384056</v>
      </c>
      <c r="L1041" s="25"/>
      <c r="N1041" s="25">
        <f>'Combined Retirement'!$C$18/12</f>
        <v>39153.069999999992</v>
      </c>
      <c r="O1041" s="25">
        <f t="shared" si="1045"/>
        <v>11007.82546143035</v>
      </c>
      <c r="P1041" s="25">
        <f t="shared" si="1046"/>
        <v>28145.244538569641</v>
      </c>
      <c r="Q1041" s="25">
        <f t="array" aca="1" ref="Q1041" ca="1">INDEX('Isaac 401k'!L:L,MATCH('Retirement Calculator'!A1041,'Isaac 401k'!N:N,0),0)</f>
        <v>-11440998.392126445</v>
      </c>
      <c r="R1041" s="25">
        <f t="array" aca="1" ref="R1041" ca="1">INDEX('Lorri 401b'!L:L,MATCH('Retirement Calculator'!A1041,'Lorri 401b'!N:N,0),0)</f>
        <v>-29159140.431828607</v>
      </c>
      <c r="S1041" s="25">
        <f t="shared" ca="1" si="1047"/>
        <v>-40600138.823955052</v>
      </c>
    </row>
    <row r="1042" spans="1:19" ht="15.75" customHeight="1" x14ac:dyDescent="0.3">
      <c r="A1042" s="37">
        <v>82667</v>
      </c>
      <c r="B1042" s="409">
        <f t="shared" ref="B1042:C1042" si="1058">($A1042-B$9)/365.25</f>
        <v>144.4517453798768</v>
      </c>
      <c r="C1042" s="409">
        <f t="shared" si="1058"/>
        <v>139.84120465434634</v>
      </c>
      <c r="E1042" s="25">
        <f>IF(C1042&gt;$B$7,0,'Combined Retirement'!$D$13/12)</f>
        <v>0</v>
      </c>
      <c r="F1042" s="25">
        <f>IF(H1042=0,'Combined Retirement'!$D$32,0)+'Combined Retirement'!$B$24</f>
        <v>2870.372285649099</v>
      </c>
      <c r="G1042" s="25">
        <f>'Combined Retirement'!$C$24</f>
        <v>3525.4531757812501</v>
      </c>
      <c r="H1042" s="25">
        <f>IF(B1042&lt;62,0,'Combined Retirement'!$I$14)</f>
        <v>2192</v>
      </c>
      <c r="I1042" s="25">
        <f>IF(C1042&lt;62,0,'Combined Retirement'!$I$13)</f>
        <v>2420</v>
      </c>
      <c r="J1042" s="25">
        <f t="shared" si="1043"/>
        <v>7863.2184191855868</v>
      </c>
      <c r="K1042" s="25">
        <f t="shared" si="1044"/>
        <v>20282.026119384056</v>
      </c>
      <c r="L1042" s="25"/>
      <c r="N1042" s="25">
        <f>'Combined Retirement'!$C$18/12</f>
        <v>39153.069999999992</v>
      </c>
      <c r="O1042" s="25">
        <f t="shared" si="1045"/>
        <v>11007.82546143035</v>
      </c>
      <c r="P1042" s="25">
        <f t="shared" si="1046"/>
        <v>28145.244538569641</v>
      </c>
      <c r="Q1042" s="25">
        <f t="array" aca="1" ref="Q1042" ca="1">INDEX('Isaac 401k'!L:L,MATCH('Retirement Calculator'!A1042,'Isaac 401k'!N:N,0),0)</f>
        <v>-11496565.200589569</v>
      </c>
      <c r="R1042" s="25">
        <f t="array" aca="1" ref="R1042" ca="1">INDEX('Lorri 401b'!L:L,MATCH('Retirement Calculator'!A1042,'Lorri 401b'!N:N,0),0)</f>
        <v>-29301003.384856109</v>
      </c>
      <c r="S1042" s="25">
        <f t="shared" ca="1" si="1047"/>
        <v>-40797568.58544568</v>
      </c>
    </row>
    <row r="1043" spans="1:19" ht="15.75" customHeight="1" x14ac:dyDescent="0.3">
      <c r="A1043" s="37">
        <v>82698</v>
      </c>
      <c r="B1043" s="409">
        <f t="shared" ref="B1043:C1043" si="1059">($A1043-B$9)/365.25</f>
        <v>144.5366187542779</v>
      </c>
      <c r="C1043" s="409">
        <f t="shared" si="1059"/>
        <v>139.92607802874744</v>
      </c>
      <c r="E1043" s="25">
        <f>IF(C1043&gt;$B$7,0,'Combined Retirement'!$D$13/12)</f>
        <v>0</v>
      </c>
      <c r="F1043" s="25">
        <f>IF(H1043=0,'Combined Retirement'!$D$32,0)+'Combined Retirement'!$B$24</f>
        <v>2870.372285649099</v>
      </c>
      <c r="G1043" s="25">
        <f>'Combined Retirement'!$C$24</f>
        <v>3525.4531757812501</v>
      </c>
      <c r="H1043" s="25">
        <f>IF(B1043&lt;62,0,'Combined Retirement'!$I$14)</f>
        <v>2192</v>
      </c>
      <c r="I1043" s="25">
        <f>IF(C1043&lt;62,0,'Combined Retirement'!$I$13)</f>
        <v>2420</v>
      </c>
      <c r="J1043" s="25">
        <f t="shared" si="1043"/>
        <v>7863.2184191855868</v>
      </c>
      <c r="K1043" s="25">
        <f t="shared" si="1044"/>
        <v>20282.026119384056</v>
      </c>
      <c r="L1043" s="25"/>
      <c r="N1043" s="25">
        <f>'Combined Retirement'!$C$18/12</f>
        <v>39153.069999999992</v>
      </c>
      <c r="O1043" s="25">
        <f t="shared" si="1045"/>
        <v>11007.82546143035</v>
      </c>
      <c r="P1043" s="25">
        <f t="shared" si="1046"/>
        <v>28145.244538569641</v>
      </c>
      <c r="Q1043" s="25">
        <f t="array" aca="1" ref="Q1043" ca="1">INDEX('Isaac 401k'!L:L,MATCH('Retirement Calculator'!A1043,'Isaac 401k'!N:N,0),0)</f>
        <v>-11552363.53742129</v>
      </c>
      <c r="R1043" s="25">
        <f t="array" aca="1" ref="R1043" ca="1">INDEX('Lorri 401b'!L:L,MATCH('Retirement Calculator'!A1043,'Lorri 401b'!N:N,0),0)</f>
        <v>-29443457.433521226</v>
      </c>
      <c r="S1043" s="25">
        <f t="shared" ca="1" si="1047"/>
        <v>-40995820.970942512</v>
      </c>
    </row>
    <row r="1044" spans="1:19" ht="15.75" customHeight="1" x14ac:dyDescent="0.3">
      <c r="A1044" s="37">
        <v>82728</v>
      </c>
      <c r="B1044" s="409">
        <f t="shared" ref="B1044:C1044" si="1060">($A1044-B$9)/365.25</f>
        <v>144.61875427789187</v>
      </c>
      <c r="C1044" s="409">
        <f t="shared" si="1060"/>
        <v>140.00821355236138</v>
      </c>
      <c r="E1044" s="25">
        <f>IF(C1044&gt;$B$7,0,'Combined Retirement'!$D$13/12)</f>
        <v>0</v>
      </c>
      <c r="F1044" s="25">
        <f>IF(H1044=0,'Combined Retirement'!$D$32,0)+'Combined Retirement'!$B$24</f>
        <v>2870.372285649099</v>
      </c>
      <c r="G1044" s="25">
        <f>'Combined Retirement'!$C$24</f>
        <v>3525.4531757812501</v>
      </c>
      <c r="H1044" s="25">
        <f>IF(B1044&lt;62,0,'Combined Retirement'!$I$14)</f>
        <v>2192</v>
      </c>
      <c r="I1044" s="25">
        <f>IF(C1044&lt;62,0,'Combined Retirement'!$I$13)</f>
        <v>2420</v>
      </c>
      <c r="J1044" s="25">
        <f t="shared" si="1043"/>
        <v>7863.2184191855868</v>
      </c>
      <c r="K1044" s="25">
        <f t="shared" si="1044"/>
        <v>20282.026119384056</v>
      </c>
      <c r="L1044" s="25"/>
      <c r="N1044" s="25">
        <f>'Combined Retirement'!$C$18/12</f>
        <v>39153.069999999992</v>
      </c>
      <c r="O1044" s="25">
        <f t="shared" si="1045"/>
        <v>11007.82546143035</v>
      </c>
      <c r="P1044" s="25">
        <f t="shared" si="1046"/>
        <v>28145.244538569641</v>
      </c>
      <c r="Q1044" s="25">
        <f t="array" aca="1" ref="Q1044" ca="1">INDEX('Isaac 401k'!L:L,MATCH('Retirement Calculator'!A1044,'Isaac 401k'!N:N,0),0)</f>
        <v>-11608394.367323143</v>
      </c>
      <c r="R1044" s="25">
        <f t="array" aca="1" ref="R1044" ca="1">INDEX('Lorri 401b'!L:L,MATCH('Retirement Calculator'!A1044,'Lorri 401b'!N:N,0),0)</f>
        <v>-29586505.040722448</v>
      </c>
      <c r="S1044" s="25">
        <f t="shared" ca="1" si="1047"/>
        <v>-41194899.40804559</v>
      </c>
    </row>
    <row r="1045" spans="1:19" ht="15.75" customHeight="1" x14ac:dyDescent="0.3">
      <c r="A1045" s="37">
        <v>82759</v>
      </c>
      <c r="B1045" s="409">
        <f t="shared" ref="B1045:C1045" si="1061">($A1045-B$9)/365.25</f>
        <v>144.70362765229294</v>
      </c>
      <c r="C1045" s="409">
        <f t="shared" si="1061"/>
        <v>140.09308692676248</v>
      </c>
      <c r="E1045" s="25">
        <f>IF(C1045&gt;$B$7,0,'Combined Retirement'!$D$13/12)</f>
        <v>0</v>
      </c>
      <c r="F1045" s="25">
        <f>IF(H1045=0,'Combined Retirement'!$D$32,0)+'Combined Retirement'!$B$24</f>
        <v>2870.372285649099</v>
      </c>
      <c r="G1045" s="25">
        <f>'Combined Retirement'!$C$24</f>
        <v>3525.4531757812501</v>
      </c>
      <c r="H1045" s="25">
        <f>IF(B1045&lt;62,0,'Combined Retirement'!$I$14)</f>
        <v>2192</v>
      </c>
      <c r="I1045" s="25">
        <f>IF(C1045&lt;62,0,'Combined Retirement'!$I$13)</f>
        <v>2420</v>
      </c>
      <c r="J1045" s="25">
        <f t="shared" si="1043"/>
        <v>7863.2184191855868</v>
      </c>
      <c r="K1045" s="25">
        <f t="shared" si="1044"/>
        <v>20282.026119384056</v>
      </c>
      <c r="L1045" s="25"/>
      <c r="N1045" s="25">
        <f>'Combined Retirement'!$C$18/12</f>
        <v>39153.069999999992</v>
      </c>
      <c r="O1045" s="25">
        <f t="shared" si="1045"/>
        <v>11007.82546143035</v>
      </c>
      <c r="P1045" s="25">
        <f t="shared" si="1046"/>
        <v>28145.244538569641</v>
      </c>
      <c r="Q1045" s="25">
        <f t="array" aca="1" ref="Q1045" ca="1">INDEX('Isaac 401k'!L:L,MATCH('Retirement Calculator'!A1045,'Isaac 401k'!N:N,0),0)</f>
        <v>-11664658.659016255</v>
      </c>
      <c r="R1045" s="25">
        <f t="array" aca="1" ref="R1045" ca="1">INDEX('Lorri 401b'!L:L,MATCH('Retirement Calculator'!A1045,'Lorri 401b'!N:N,0),0)</f>
        <v>-29730148.67962034</v>
      </c>
      <c r="S1045" s="25">
        <f t="shared" ca="1" si="1047"/>
        <v>-41394807.338636592</v>
      </c>
    </row>
    <row r="1046" spans="1:19" ht="15.75" customHeight="1" x14ac:dyDescent="0.3">
      <c r="A1046" s="37">
        <v>82790</v>
      </c>
      <c r="B1046" s="409">
        <f t="shared" ref="B1046:C1046" si="1062">($A1046-B$9)/365.25</f>
        <v>144.78850102669404</v>
      </c>
      <c r="C1046" s="409">
        <f t="shared" si="1062"/>
        <v>140.17796030116358</v>
      </c>
      <c r="E1046" s="25">
        <f>IF(C1046&gt;$B$7,0,'Combined Retirement'!$D$13/12)</f>
        <v>0</v>
      </c>
      <c r="F1046" s="25">
        <f>IF(H1046=0,'Combined Retirement'!$D$32,0)+'Combined Retirement'!$B$24</f>
        <v>2870.372285649099</v>
      </c>
      <c r="G1046" s="25">
        <f>'Combined Retirement'!$C$24</f>
        <v>3525.4531757812501</v>
      </c>
      <c r="H1046" s="25">
        <f>IF(B1046&lt;62,0,'Combined Retirement'!$I$14)</f>
        <v>2192</v>
      </c>
      <c r="I1046" s="25">
        <f>IF(C1046&lt;62,0,'Combined Retirement'!$I$13)</f>
        <v>2420</v>
      </c>
      <c r="J1046" s="25">
        <f t="shared" si="1043"/>
        <v>7863.2184191855868</v>
      </c>
      <c r="K1046" s="25">
        <f t="shared" si="1044"/>
        <v>20282.026119384056</v>
      </c>
      <c r="L1046" s="25"/>
      <c r="N1046" s="25">
        <f>'Combined Retirement'!$C$18/12</f>
        <v>39153.069999999992</v>
      </c>
      <c r="O1046" s="25">
        <f t="shared" si="1045"/>
        <v>11007.82546143035</v>
      </c>
      <c r="P1046" s="25">
        <f t="shared" si="1046"/>
        <v>28145.244538569641</v>
      </c>
      <c r="Q1046" s="25">
        <f t="array" aca="1" ref="Q1046" ca="1">INDEX('Isaac 401k'!L:L,MATCH('Retirement Calculator'!A1046,'Isaac 401k'!N:N,0),0)</f>
        <v>-11721157.385258088</v>
      </c>
      <c r="R1046" s="25">
        <f t="array" aca="1" ref="R1046" ca="1">INDEX('Lorri 401b'!L:L,MATCH('Retirement Calculator'!A1046,'Lorri 401b'!N:N,0),0)</f>
        <v>-29874390.833680309</v>
      </c>
      <c r="S1046" s="25">
        <f t="shared" ca="1" si="1047"/>
        <v>-41595548.218938395</v>
      </c>
    </row>
    <row r="1047" spans="1:19" ht="15.75" customHeight="1" x14ac:dyDescent="0.3">
      <c r="A1047" s="37">
        <v>82820</v>
      </c>
      <c r="B1047" s="409">
        <f t="shared" ref="B1047:C1047" si="1063">($A1047-B$9)/365.25</f>
        <v>144.87063655030801</v>
      </c>
      <c r="C1047" s="409">
        <f t="shared" si="1063"/>
        <v>140.26009582477755</v>
      </c>
      <c r="E1047" s="25">
        <f>IF(C1047&gt;$B$7,0,'Combined Retirement'!$D$13/12)</f>
        <v>0</v>
      </c>
      <c r="F1047" s="25">
        <f>IF(H1047=0,'Combined Retirement'!$D$32,0)+'Combined Retirement'!$B$24</f>
        <v>2870.372285649099</v>
      </c>
      <c r="G1047" s="25">
        <f>'Combined Retirement'!$C$24</f>
        <v>3525.4531757812501</v>
      </c>
      <c r="H1047" s="25">
        <f>IF(B1047&lt;62,0,'Combined Retirement'!$I$14)</f>
        <v>2192</v>
      </c>
      <c r="I1047" s="25">
        <f>IF(C1047&lt;62,0,'Combined Retirement'!$I$13)</f>
        <v>2420</v>
      </c>
      <c r="J1047" s="25">
        <f t="shared" si="1043"/>
        <v>7863.2184191855868</v>
      </c>
      <c r="K1047" s="25">
        <f t="shared" si="1044"/>
        <v>20282.026119384056</v>
      </c>
      <c r="L1047" s="25"/>
      <c r="N1047" s="25">
        <f>'Combined Retirement'!$C$18/12</f>
        <v>39153.069999999992</v>
      </c>
      <c r="O1047" s="25">
        <f t="shared" si="1045"/>
        <v>11007.82546143035</v>
      </c>
      <c r="P1047" s="25">
        <f t="shared" si="1046"/>
        <v>28145.244538569641</v>
      </c>
      <c r="Q1047" s="25">
        <f t="array" aca="1" ref="Q1047" ca="1">INDEX('Isaac 401k'!L:L,MATCH('Retirement Calculator'!A1047,'Isaac 401k'!N:N,0),0)</f>
        <v>-11777891.522859262</v>
      </c>
      <c r="R1047" s="25">
        <f t="array" aca="1" ref="R1047" ca="1">INDEX('Lorri 401b'!L:L,MATCH('Retirement Calculator'!A1047,'Lorri 401b'!N:N,0),0)</f>
        <v>-30019233.996715527</v>
      </c>
      <c r="S1047" s="25">
        <f t="shared" ca="1" si="1047"/>
        <v>-41797125.519574791</v>
      </c>
    </row>
    <row r="1048" spans="1:19" ht="15.75" customHeight="1" x14ac:dyDescent="0.3">
      <c r="A1048" s="37">
        <v>82851</v>
      </c>
      <c r="B1048" s="409">
        <f t="shared" ref="B1048:C1048" si="1064">($A1048-B$9)/365.25</f>
        <v>144.95550992470911</v>
      </c>
      <c r="C1048" s="409">
        <f t="shared" si="1064"/>
        <v>140.34496919917865</v>
      </c>
      <c r="E1048" s="25">
        <f>IF(C1048&gt;$B$7,0,'Combined Retirement'!$D$13/12)</f>
        <v>0</v>
      </c>
      <c r="F1048" s="25">
        <f>IF(H1048=0,'Combined Retirement'!$D$32,0)+'Combined Retirement'!$B$24</f>
        <v>2870.372285649099</v>
      </c>
      <c r="G1048" s="25">
        <f>'Combined Retirement'!$C$24</f>
        <v>3525.4531757812501</v>
      </c>
      <c r="H1048" s="25">
        <f>IF(B1048&lt;62,0,'Combined Retirement'!$I$14)</f>
        <v>2192</v>
      </c>
      <c r="I1048" s="25">
        <f>IF(C1048&lt;62,0,'Combined Retirement'!$I$13)</f>
        <v>2420</v>
      </c>
      <c r="J1048" s="25">
        <f t="shared" si="1043"/>
        <v>7863.2184191855868</v>
      </c>
      <c r="K1048" s="25">
        <f t="shared" si="1044"/>
        <v>20282.026119384056</v>
      </c>
      <c r="L1048" s="25"/>
      <c r="N1048" s="25">
        <f>'Combined Retirement'!$C$18/12</f>
        <v>39153.069999999992</v>
      </c>
      <c r="O1048" s="25">
        <f t="shared" si="1045"/>
        <v>11007.82546143035</v>
      </c>
      <c r="P1048" s="25">
        <f t="shared" si="1046"/>
        <v>28145.244538569641</v>
      </c>
      <c r="Q1048" s="25">
        <f t="array" aca="1" ref="Q1048" ca="1">INDEX('Isaac 401k'!L:L,MATCH('Retirement Calculator'!A1048,'Isaac 401k'!N:N,0),0)</f>
        <v>-11834862.052700441</v>
      </c>
      <c r="R1048" s="25">
        <f t="array" aca="1" ref="R1048" ca="1">INDEX('Lorri 401b'!L:L,MATCH('Retirement Calculator'!A1048,'Lorri 401b'!N:N,0),0)</f>
        <v>-30164680.672930058</v>
      </c>
      <c r="S1048" s="25">
        <f t="shared" ca="1" si="1047"/>
        <v>-41999542.725630499</v>
      </c>
    </row>
    <row r="1049" spans="1:19" ht="15.75" customHeight="1" x14ac:dyDescent="0.3">
      <c r="A1049" s="37">
        <v>82881</v>
      </c>
      <c r="B1049" s="409">
        <f t="shared" ref="B1049:C1049" si="1065">($A1049-B$9)/365.25</f>
        <v>145.03764544832308</v>
      </c>
      <c r="C1049" s="409">
        <f t="shared" si="1065"/>
        <v>140.42710472279262</v>
      </c>
      <c r="E1049" s="25">
        <f>IF(C1049&gt;$B$7,0,'Combined Retirement'!$D$13/12)</f>
        <v>0</v>
      </c>
      <c r="F1049" s="25">
        <f>IF(H1049=0,'Combined Retirement'!$D$32,0)+'Combined Retirement'!$B$24</f>
        <v>2870.372285649099</v>
      </c>
      <c r="G1049" s="25">
        <f>'Combined Retirement'!$C$24</f>
        <v>3525.4531757812501</v>
      </c>
      <c r="H1049" s="25">
        <f>IF(B1049&lt;62,0,'Combined Retirement'!$I$14)</f>
        <v>2192</v>
      </c>
      <c r="I1049" s="25">
        <f>IF(C1049&lt;62,0,'Combined Retirement'!$I$13)</f>
        <v>2420</v>
      </c>
      <c r="J1049" s="25">
        <f t="shared" si="1043"/>
        <v>7863.2184191855868</v>
      </c>
      <c r="K1049" s="25">
        <f t="shared" si="1044"/>
        <v>20282.026119384056</v>
      </c>
      <c r="L1049" s="25"/>
      <c r="N1049" s="25">
        <f>'Combined Retirement'!$C$18/12</f>
        <v>39153.069999999992</v>
      </c>
      <c r="O1049" s="25">
        <f t="shared" si="1045"/>
        <v>11007.82546143035</v>
      </c>
      <c r="P1049" s="25">
        <f t="shared" si="1046"/>
        <v>28145.244538569641</v>
      </c>
      <c r="Q1049" s="25">
        <f t="array" aca="1" ref="Q1049" ca="1">INDEX('Isaac 401k'!L:L,MATCH('Retirement Calculator'!A1049,'Isaac 401k'!N:N,0),0)</f>
        <v>-11892069.959749291</v>
      </c>
      <c r="R1049" s="25">
        <f t="array" aca="1" ref="R1049" ca="1">INDEX('Lorri 401b'!L:L,MATCH('Retirement Calculator'!A1049,'Lorri 401b'!N:N,0),0)</f>
        <v>-30310733.376962148</v>
      </c>
      <c r="S1049" s="25">
        <f t="shared" ca="1" si="1047"/>
        <v>-42202803.336711437</v>
      </c>
    </row>
    <row r="1050" spans="1:19" ht="15.75" customHeight="1" x14ac:dyDescent="0.3">
      <c r="A1050" s="37">
        <v>82912</v>
      </c>
      <c r="B1050" s="409">
        <f t="shared" ref="B1050:C1050" si="1066">($A1050-B$9)/365.25</f>
        <v>145.12251882272417</v>
      </c>
      <c r="C1050" s="409">
        <f t="shared" si="1066"/>
        <v>140.51197809719369</v>
      </c>
      <c r="E1050" s="25">
        <f>IF(C1050&gt;$B$7,0,'Combined Retirement'!$D$13/12)</f>
        <v>0</v>
      </c>
      <c r="F1050" s="25">
        <f>IF(H1050=0,'Combined Retirement'!$D$32,0)+'Combined Retirement'!$B$24</f>
        <v>2870.372285649099</v>
      </c>
      <c r="G1050" s="25">
        <f>'Combined Retirement'!$C$24</f>
        <v>3525.4531757812501</v>
      </c>
      <c r="H1050" s="25">
        <f>IF(B1050&lt;62,0,'Combined Retirement'!$I$14)</f>
        <v>2192</v>
      </c>
      <c r="I1050" s="25">
        <f>IF(C1050&lt;62,0,'Combined Retirement'!$I$13)</f>
        <v>2420</v>
      </c>
      <c r="J1050" s="25">
        <f t="shared" si="1043"/>
        <v>7863.2184191855868</v>
      </c>
      <c r="K1050" s="25">
        <f t="shared" si="1044"/>
        <v>20282.026119384056</v>
      </c>
      <c r="L1050" s="25"/>
      <c r="N1050" s="25">
        <f>'Combined Retirement'!$C$18/12</f>
        <v>39153.069999999992</v>
      </c>
      <c r="O1050" s="25">
        <f t="shared" si="1045"/>
        <v>11007.82546143035</v>
      </c>
      <c r="P1050" s="25">
        <f t="shared" si="1046"/>
        <v>28145.244538569641</v>
      </c>
      <c r="Q1050" s="25">
        <f t="array" aca="1" ref="Q1050" ca="1">INDEX('Isaac 401k'!L:L,MATCH('Retirement Calculator'!A1050,'Isaac 401k'!N:N,0),0)</f>
        <v>-11949516.233077511</v>
      </c>
      <c r="R1050" s="25">
        <f t="array" aca="1" ref="R1050" ca="1">INDEX('Lorri 401b'!L:L,MATCH('Retirement Calculator'!A1050,'Lorri 401b'!N:N,0),0)</f>
        <v>-30457394.633927707</v>
      </c>
      <c r="S1050" s="25">
        <f t="shared" ca="1" si="1047"/>
        <v>-42406910.867005214</v>
      </c>
    </row>
    <row r="1051" spans="1:19" ht="15.75" customHeight="1" x14ac:dyDescent="0.3">
      <c r="A1051" s="37">
        <v>82943</v>
      </c>
      <c r="B1051" s="409">
        <f t="shared" ref="B1051:C1051" si="1067">($A1051-B$9)/365.25</f>
        <v>145.20739219712524</v>
      </c>
      <c r="C1051" s="409">
        <f t="shared" si="1067"/>
        <v>140.59685147159479</v>
      </c>
      <c r="E1051" s="25">
        <f>IF(C1051&gt;$B$7,0,'Combined Retirement'!$D$13/12)</f>
        <v>0</v>
      </c>
      <c r="F1051" s="25">
        <f>IF(H1051=0,'Combined Retirement'!$D$32,0)+'Combined Retirement'!$B$24</f>
        <v>2870.372285649099</v>
      </c>
      <c r="G1051" s="25">
        <f>'Combined Retirement'!$C$24</f>
        <v>3525.4531757812501</v>
      </c>
      <c r="H1051" s="25">
        <f>IF(B1051&lt;62,0,'Combined Retirement'!$I$14)</f>
        <v>2192</v>
      </c>
      <c r="I1051" s="25">
        <f>IF(C1051&lt;62,0,'Combined Retirement'!$I$13)</f>
        <v>2420</v>
      </c>
      <c r="J1051" s="25">
        <f t="shared" si="1043"/>
        <v>7863.2184191855868</v>
      </c>
      <c r="K1051" s="25">
        <f t="shared" si="1044"/>
        <v>20282.026119384056</v>
      </c>
      <c r="L1051" s="25"/>
      <c r="N1051" s="25">
        <f>'Combined Retirement'!$C$18/12</f>
        <v>39153.069999999992</v>
      </c>
      <c r="O1051" s="25">
        <f t="shared" si="1045"/>
        <v>11007.82546143035</v>
      </c>
      <c r="P1051" s="25">
        <f t="shared" si="1046"/>
        <v>28145.244538569641</v>
      </c>
      <c r="Q1051" s="25">
        <f t="array" aca="1" ref="Q1051" ca="1">INDEX('Isaac 401k'!L:L,MATCH('Retirement Calculator'!A1051,'Isaac 401k'!N:N,0),0)</f>
        <v>-12007201.865877932</v>
      </c>
      <c r="R1051" s="25">
        <f t="array" aca="1" ref="R1051" ca="1">INDEX('Lorri 401b'!L:L,MATCH('Retirement Calculator'!A1051,'Lorri 401b'!N:N,0),0)</f>
        <v>-30604666.979463954</v>
      </c>
      <c r="S1051" s="25">
        <f t="shared" ca="1" si="1047"/>
        <v>-42611868.845341884</v>
      </c>
    </row>
    <row r="1052" spans="1:19" ht="15.75" customHeight="1" x14ac:dyDescent="0.3">
      <c r="A1052" s="37">
        <v>82971</v>
      </c>
      <c r="B1052" s="409">
        <f t="shared" ref="B1052:C1052" si="1068">($A1052-B$9)/365.25</f>
        <v>145.28405201916496</v>
      </c>
      <c r="C1052" s="409">
        <f t="shared" si="1068"/>
        <v>140.6735112936345</v>
      </c>
      <c r="E1052" s="25">
        <f>IF(C1052&gt;$B$7,0,'Combined Retirement'!$D$13/12)</f>
        <v>0</v>
      </c>
      <c r="F1052" s="25">
        <f>IF(H1052=0,'Combined Retirement'!$D$32,0)+'Combined Retirement'!$B$24</f>
        <v>2870.372285649099</v>
      </c>
      <c r="G1052" s="25">
        <f>'Combined Retirement'!$C$24</f>
        <v>3525.4531757812501</v>
      </c>
      <c r="H1052" s="25">
        <f>IF(B1052&lt;62,0,'Combined Retirement'!$I$14)</f>
        <v>2192</v>
      </c>
      <c r="I1052" s="25">
        <f>IF(C1052&lt;62,0,'Combined Retirement'!$I$13)</f>
        <v>2420</v>
      </c>
      <c r="J1052" s="25">
        <f t="shared" si="1043"/>
        <v>7863.2184191855868</v>
      </c>
      <c r="K1052" s="25">
        <f t="shared" si="1044"/>
        <v>20282.026119384056</v>
      </c>
      <c r="L1052" s="25"/>
      <c r="N1052" s="25">
        <f>'Combined Retirement'!$C$18/12</f>
        <v>39153.069999999992</v>
      </c>
      <c r="O1052" s="25">
        <f t="shared" si="1045"/>
        <v>11007.82546143035</v>
      </c>
      <c r="P1052" s="25">
        <f t="shared" si="1046"/>
        <v>28145.244538569641</v>
      </c>
      <c r="Q1052" s="25">
        <f t="array" aca="1" ref="Q1052" ca="1">INDEX('Isaac 401k'!L:L,MATCH('Retirement Calculator'!A1052,'Isaac 401k'!N:N,0),0)</f>
        <v>-12065127.855481688</v>
      </c>
      <c r="R1052" s="25">
        <f t="array" aca="1" ref="R1052" ca="1">INDEX('Lorri 401b'!L:L,MATCH('Retirement Calculator'!A1052,'Lorri 401b'!N:N,0),0)</f>
        <v>-30752552.959773269</v>
      </c>
      <c r="S1052" s="25">
        <f t="shared" ca="1" si="1047"/>
        <v>-42817680.815254956</v>
      </c>
    </row>
    <row r="1053" spans="1:19" ht="15.75" customHeight="1" x14ac:dyDescent="0.3">
      <c r="A1053" s="37">
        <v>83002</v>
      </c>
      <c r="B1053" s="409">
        <f t="shared" ref="B1053:C1053" si="1069">($A1053-B$9)/365.25</f>
        <v>145.36892539356606</v>
      </c>
      <c r="C1053" s="409">
        <f t="shared" si="1069"/>
        <v>140.7583846680356</v>
      </c>
      <c r="E1053" s="25">
        <f>IF(C1053&gt;$B$7,0,'Combined Retirement'!$D$13/12)</f>
        <v>0</v>
      </c>
      <c r="F1053" s="25">
        <f>IF(H1053=0,'Combined Retirement'!$D$32,0)+'Combined Retirement'!$B$24</f>
        <v>2870.372285649099</v>
      </c>
      <c r="G1053" s="25">
        <f>'Combined Retirement'!$C$24</f>
        <v>3525.4531757812501</v>
      </c>
      <c r="H1053" s="25">
        <f>IF(B1053&lt;62,0,'Combined Retirement'!$I$14)</f>
        <v>2192</v>
      </c>
      <c r="I1053" s="25">
        <f>IF(C1053&lt;62,0,'Combined Retirement'!$I$13)</f>
        <v>2420</v>
      </c>
      <c r="J1053" s="25">
        <f t="shared" si="1043"/>
        <v>7863.2184191855868</v>
      </c>
      <c r="K1053" s="25">
        <f t="shared" si="1044"/>
        <v>20282.026119384056</v>
      </c>
      <c r="L1053" s="25"/>
      <c r="N1053" s="25">
        <f>'Combined Retirement'!$C$18/12</f>
        <v>39153.069999999992</v>
      </c>
      <c r="O1053" s="25">
        <f t="shared" si="1045"/>
        <v>11007.82546143035</v>
      </c>
      <c r="P1053" s="25">
        <f t="shared" si="1046"/>
        <v>28145.244538569641</v>
      </c>
      <c r="Q1053" s="25">
        <f t="array" aca="1" ref="Q1053" ca="1">INDEX('Isaac 401k'!L:L,MATCH('Retirement Calculator'!A1053,'Isaac 401k'!N:N,0),0)</f>
        <v>-12123295.203375461</v>
      </c>
      <c r="R1053" s="25">
        <f t="array" aca="1" ref="R1053" ca="1">INDEX('Lorri 401b'!L:L,MATCH('Retirement Calculator'!A1053,'Lorri 401b'!N:N,0),0)</f>
        <v>-30901055.131667208</v>
      </c>
      <c r="S1053" s="25">
        <f t="shared" ca="1" si="1047"/>
        <v>-43024350.33504267</v>
      </c>
    </row>
    <row r="1054" spans="1:19" ht="15.75" customHeight="1" x14ac:dyDescent="0.3">
      <c r="A1054" s="37">
        <v>83032</v>
      </c>
      <c r="B1054" s="409">
        <f t="shared" ref="B1054:C1054" si="1070">($A1054-B$9)/365.25</f>
        <v>145.45106091718</v>
      </c>
      <c r="C1054" s="409">
        <f t="shared" si="1070"/>
        <v>140.84052019164955</v>
      </c>
      <c r="E1054" s="25">
        <f>IF(C1054&gt;$B$7,0,'Combined Retirement'!$D$13/12)</f>
        <v>0</v>
      </c>
      <c r="F1054" s="25">
        <f>IF(H1054=0,'Combined Retirement'!$D$32,0)+'Combined Retirement'!$B$24</f>
        <v>2870.372285649099</v>
      </c>
      <c r="G1054" s="25">
        <f>'Combined Retirement'!$C$24</f>
        <v>3525.4531757812501</v>
      </c>
      <c r="H1054" s="25">
        <f>IF(B1054&lt;62,0,'Combined Retirement'!$I$14)</f>
        <v>2192</v>
      </c>
      <c r="I1054" s="25">
        <f>IF(C1054&lt;62,0,'Combined Retirement'!$I$13)</f>
        <v>2420</v>
      </c>
      <c r="J1054" s="25">
        <f t="shared" si="1043"/>
        <v>7863.2184191855868</v>
      </c>
      <c r="K1054" s="25">
        <f t="shared" si="1044"/>
        <v>20282.026119384056</v>
      </c>
      <c r="L1054" s="25"/>
      <c r="N1054" s="25">
        <f>'Combined Retirement'!$C$18/12</f>
        <v>39153.069999999992</v>
      </c>
      <c r="O1054" s="25">
        <f t="shared" si="1045"/>
        <v>11007.82546143035</v>
      </c>
      <c r="P1054" s="25">
        <f t="shared" si="1046"/>
        <v>28145.244538569641</v>
      </c>
      <c r="Q1054" s="25">
        <f t="array" aca="1" ref="Q1054" ca="1">INDEX('Isaac 401k'!L:L,MATCH('Retirement Calculator'!A1054,'Isaac 401k'!N:N,0),0)</f>
        <v>-12181704.915218789</v>
      </c>
      <c r="R1054" s="25">
        <f t="array" aca="1" ref="R1054" ca="1">INDEX('Lorri 401b'!L:L,MATCH('Retirement Calculator'!A1054,'Lorri 401b'!N:N,0),0)</f>
        <v>-31050176.062610704</v>
      </c>
      <c r="S1054" s="25">
        <f t="shared" ca="1" si="1047"/>
        <v>-43231880.977829494</v>
      </c>
    </row>
    <row r="1055" spans="1:19" ht="15.75" customHeight="1" x14ac:dyDescent="0.3">
      <c r="A1055" s="37">
        <v>83063</v>
      </c>
      <c r="B1055" s="409">
        <f t="shared" ref="B1055:C1055" si="1071">($A1055-B$9)/365.25</f>
        <v>145.5359342915811</v>
      </c>
      <c r="C1055" s="409">
        <f t="shared" si="1071"/>
        <v>140.92539356605064</v>
      </c>
      <c r="E1055" s="25">
        <f>IF(C1055&gt;$B$7,0,'Combined Retirement'!$D$13/12)</f>
        <v>0</v>
      </c>
      <c r="F1055" s="25">
        <f>IF(H1055=0,'Combined Retirement'!$D$32,0)+'Combined Retirement'!$B$24</f>
        <v>2870.372285649099</v>
      </c>
      <c r="G1055" s="25">
        <f>'Combined Retirement'!$C$24</f>
        <v>3525.4531757812501</v>
      </c>
      <c r="H1055" s="25">
        <f>IF(B1055&lt;62,0,'Combined Retirement'!$I$14)</f>
        <v>2192</v>
      </c>
      <c r="I1055" s="25">
        <f>IF(C1055&lt;62,0,'Combined Retirement'!$I$13)</f>
        <v>2420</v>
      </c>
      <c r="J1055" s="25">
        <f t="shared" si="1043"/>
        <v>7863.2184191855868</v>
      </c>
      <c r="K1055" s="25">
        <f t="shared" si="1044"/>
        <v>20282.026119384056</v>
      </c>
      <c r="L1055" s="25"/>
      <c r="N1055" s="25">
        <f>'Combined Retirement'!$C$18/12</f>
        <v>39153.069999999992</v>
      </c>
      <c r="O1055" s="25">
        <f t="shared" si="1045"/>
        <v>11007.82546143035</v>
      </c>
      <c r="P1055" s="25">
        <f t="shared" si="1046"/>
        <v>28145.244538569641</v>
      </c>
      <c r="Q1055" s="25">
        <f t="array" aca="1" ref="Q1055" ca="1">INDEX('Isaac 401k'!L:L,MATCH('Retirement Calculator'!A1055,'Isaac 401k'!N:N,0),0)</f>
        <v>-12240358.000861466</v>
      </c>
      <c r="R1055" s="25">
        <f t="array" aca="1" ref="R1055" ca="1">INDEX('Lorri 401b'!L:L,MATCH('Retirement Calculator'!A1055,'Lorri 401b'!N:N,0),0)</f>
        <v>-31199918.330766466</v>
      </c>
      <c r="S1055" s="25">
        <f t="shared" ca="1" si="1047"/>
        <v>-43440276.331627935</v>
      </c>
    </row>
    <row r="1056" spans="1:19" ht="15.75" customHeight="1" x14ac:dyDescent="0.3">
      <c r="A1056" s="37">
        <v>83093</v>
      </c>
      <c r="B1056" s="409">
        <f t="shared" ref="B1056:C1056" si="1072">($A1056-B$9)/365.25</f>
        <v>145.61806981519507</v>
      </c>
      <c r="C1056" s="409">
        <f t="shared" si="1072"/>
        <v>141.00752908966462</v>
      </c>
      <c r="E1056" s="25">
        <f>IF(C1056&gt;$B$7,0,'Combined Retirement'!$D$13/12)</f>
        <v>0</v>
      </c>
      <c r="F1056" s="25">
        <f>IF(H1056=0,'Combined Retirement'!$D$32,0)+'Combined Retirement'!$B$24</f>
        <v>2870.372285649099</v>
      </c>
      <c r="G1056" s="25">
        <f>'Combined Retirement'!$C$24</f>
        <v>3525.4531757812501</v>
      </c>
      <c r="H1056" s="25">
        <f>IF(B1056&lt;62,0,'Combined Retirement'!$I$14)</f>
        <v>2192</v>
      </c>
      <c r="I1056" s="25">
        <f>IF(C1056&lt;62,0,'Combined Retirement'!$I$13)</f>
        <v>2420</v>
      </c>
      <c r="J1056" s="25">
        <f t="shared" si="1043"/>
        <v>7863.2184191855868</v>
      </c>
      <c r="K1056" s="25">
        <f t="shared" si="1044"/>
        <v>20282.026119384056</v>
      </c>
      <c r="L1056" s="25"/>
      <c r="N1056" s="25">
        <f>'Combined Retirement'!$C$18/12</f>
        <v>39153.069999999992</v>
      </c>
      <c r="O1056" s="25">
        <f t="shared" si="1045"/>
        <v>11007.82546143035</v>
      </c>
      <c r="P1056" s="25">
        <f t="shared" si="1046"/>
        <v>28145.244538569641</v>
      </c>
      <c r="Q1056" s="25">
        <f t="array" aca="1" ref="Q1056" ca="1">INDEX('Isaac 401k'!L:L,MATCH('Retirement Calculator'!A1056,'Isaac 401k'!N:N,0),0)</f>
        <v>-12299255.474360988</v>
      </c>
      <c r="R1056" s="25">
        <f t="array" aca="1" ref="R1056" ca="1">INDEX('Lorri 401b'!L:L,MATCH('Retirement Calculator'!A1056,'Lorri 401b'!N:N,0),0)</f>
        <v>-31350284.525039542</v>
      </c>
      <c r="S1056" s="25">
        <f t="shared" ca="1" si="1047"/>
        <v>-43649539.999400526</v>
      </c>
    </row>
    <row r="1057" spans="1:19" ht="15.75" customHeight="1" x14ac:dyDescent="0.3">
      <c r="A1057" s="37">
        <v>83124</v>
      </c>
      <c r="B1057" s="409">
        <f t="shared" ref="B1057:C1057" si="1073">($A1057-B$9)/365.25</f>
        <v>145.70294318959617</v>
      </c>
      <c r="C1057" s="409">
        <f t="shared" si="1073"/>
        <v>141.09240246406571</v>
      </c>
      <c r="E1057" s="25">
        <f>IF(C1057&gt;$B$7,0,'Combined Retirement'!$D$13/12)</f>
        <v>0</v>
      </c>
      <c r="F1057" s="25">
        <f>IF(H1057=0,'Combined Retirement'!$D$32,0)+'Combined Retirement'!$B$24</f>
        <v>2870.372285649099</v>
      </c>
      <c r="G1057" s="25">
        <f>'Combined Retirement'!$C$24</f>
        <v>3525.4531757812501</v>
      </c>
      <c r="H1057" s="25">
        <f>IF(B1057&lt;62,0,'Combined Retirement'!$I$14)</f>
        <v>2192</v>
      </c>
      <c r="I1057" s="25">
        <f>IF(C1057&lt;62,0,'Combined Retirement'!$I$13)</f>
        <v>2420</v>
      </c>
      <c r="J1057" s="25">
        <f t="shared" si="1043"/>
        <v>7863.2184191855868</v>
      </c>
      <c r="K1057" s="25">
        <f t="shared" si="1044"/>
        <v>20282.026119384056</v>
      </c>
      <c r="L1057" s="25"/>
      <c r="N1057" s="25">
        <f>'Combined Retirement'!$C$18/12</f>
        <v>39153.069999999992</v>
      </c>
      <c r="O1057" s="25">
        <f t="shared" si="1045"/>
        <v>11007.82546143035</v>
      </c>
      <c r="P1057" s="25">
        <f t="shared" si="1046"/>
        <v>28145.244538569641</v>
      </c>
      <c r="Q1057" s="25">
        <f t="array" aca="1" ref="Q1057" ca="1">INDEX('Isaac 401k'!L:L,MATCH('Retirement Calculator'!A1057,'Isaac 401k'!N:N,0),0)</f>
        <v>-12358398.35400009</v>
      </c>
      <c r="R1057" s="25">
        <f t="array" aca="1" ref="R1057" ca="1">INDEX('Lorri 401b'!L:L,MATCH('Retirement Calculator'!A1057,'Lorri 401b'!N:N,0),0)</f>
        <v>-31501277.24512209</v>
      </c>
      <c r="S1057" s="25">
        <f t="shared" ca="1" si="1047"/>
        <v>-43859675.599122182</v>
      </c>
    </row>
    <row r="1058" spans="1:19" ht="15.75" customHeight="1" x14ac:dyDescent="0.3">
      <c r="A1058" s="37">
        <v>83155</v>
      </c>
      <c r="B1058" s="409">
        <f t="shared" ref="B1058:C1058" si="1074">($A1058-B$9)/365.25</f>
        <v>145.78781656399727</v>
      </c>
      <c r="C1058" s="409">
        <f t="shared" si="1074"/>
        <v>141.17727583846681</v>
      </c>
      <c r="E1058" s="25">
        <f>IF(C1058&gt;$B$7,0,'Combined Retirement'!$D$13/12)</f>
        <v>0</v>
      </c>
      <c r="F1058" s="25">
        <f>IF(H1058=0,'Combined Retirement'!$D$32,0)+'Combined Retirement'!$B$24</f>
        <v>2870.372285649099</v>
      </c>
      <c r="G1058" s="25">
        <f>'Combined Retirement'!$C$24</f>
        <v>3525.4531757812501</v>
      </c>
      <c r="H1058" s="25">
        <f>IF(B1058&lt;62,0,'Combined Retirement'!$I$14)</f>
        <v>2192</v>
      </c>
      <c r="I1058" s="25">
        <f>IF(C1058&lt;62,0,'Combined Retirement'!$I$13)</f>
        <v>2420</v>
      </c>
      <c r="J1058" s="25">
        <f t="shared" si="1043"/>
        <v>7863.2184191855868</v>
      </c>
      <c r="K1058" s="25">
        <f t="shared" si="1044"/>
        <v>20282.026119384056</v>
      </c>
      <c r="L1058" s="25"/>
      <c r="N1058" s="25">
        <f>'Combined Retirement'!$C$18/12</f>
        <v>39153.069999999992</v>
      </c>
      <c r="O1058" s="25">
        <f t="shared" si="1045"/>
        <v>11007.82546143035</v>
      </c>
      <c r="P1058" s="25">
        <f t="shared" si="1046"/>
        <v>28145.244538569641</v>
      </c>
      <c r="Q1058" s="25">
        <f t="array" aca="1" ref="Q1058" ca="1">INDEX('Isaac 401k'!L:L,MATCH('Retirement Calculator'!A1058,'Isaac 401k'!N:N,0),0)</f>
        <v>-12417787.662304355</v>
      </c>
      <c r="R1058" s="25">
        <f t="array" aca="1" ref="R1058" ca="1">INDEX('Lorri 401b'!L:L,MATCH('Retirement Calculator'!A1058,'Lorri 401b'!N:N,0),0)</f>
        <v>-31652899.101538315</v>
      </c>
      <c r="S1058" s="25">
        <f t="shared" ca="1" si="1047"/>
        <v>-44070686.763842672</v>
      </c>
    </row>
    <row r="1059" spans="1:19" ht="15.75" customHeight="1" x14ac:dyDescent="0.3">
      <c r="A1059" s="37">
        <v>83185</v>
      </c>
      <c r="B1059" s="409">
        <f t="shared" ref="B1059:C1059" si="1075">($A1059-B$9)/365.25</f>
        <v>145.86995208761124</v>
      </c>
      <c r="C1059" s="409">
        <f t="shared" si="1075"/>
        <v>141.25941136208075</v>
      </c>
      <c r="E1059" s="25">
        <f>IF(C1059&gt;$B$7,0,'Combined Retirement'!$D$13/12)</f>
        <v>0</v>
      </c>
      <c r="F1059" s="25">
        <f>IF(H1059=0,'Combined Retirement'!$D$32,0)+'Combined Retirement'!$B$24</f>
        <v>2870.372285649099</v>
      </c>
      <c r="G1059" s="25">
        <f>'Combined Retirement'!$C$24</f>
        <v>3525.4531757812501</v>
      </c>
      <c r="H1059" s="25">
        <f>IF(B1059&lt;62,0,'Combined Retirement'!$I$14)</f>
        <v>2192</v>
      </c>
      <c r="I1059" s="25">
        <f>IF(C1059&lt;62,0,'Combined Retirement'!$I$13)</f>
        <v>2420</v>
      </c>
      <c r="J1059" s="25">
        <f t="shared" si="1043"/>
        <v>7863.2184191855868</v>
      </c>
      <c r="K1059" s="25">
        <f t="shared" si="1044"/>
        <v>20282.026119384056</v>
      </c>
      <c r="L1059" s="25"/>
      <c r="N1059" s="25">
        <f>'Combined Retirement'!$C$18/12</f>
        <v>39153.069999999992</v>
      </c>
      <c r="O1059" s="25">
        <f t="shared" si="1045"/>
        <v>11007.82546143035</v>
      </c>
      <c r="P1059" s="25">
        <f t="shared" si="1046"/>
        <v>28145.244538569641</v>
      </c>
      <c r="Q1059" s="25">
        <f t="array" aca="1" ref="Q1059" ca="1">INDEX('Isaac 401k'!L:L,MATCH('Retirement Calculator'!A1059,'Isaac 401k'!N:N,0),0)</f>
        <v>-12477424.426059889</v>
      </c>
      <c r="R1059" s="25">
        <f t="array" aca="1" ref="R1059" ca="1">INDEX('Lorri 401b'!L:L,MATCH('Retirement Calculator'!A1059,'Lorri 401b'!N:N,0),0)</f>
        <v>-31805152.715689607</v>
      </c>
      <c r="S1059" s="25">
        <f t="shared" ca="1" si="1047"/>
        <v>-44282577.141749494</v>
      </c>
    </row>
    <row r="1060" spans="1:19" ht="15.75" customHeight="1" x14ac:dyDescent="0.3">
      <c r="A1060" s="37">
        <v>83216</v>
      </c>
      <c r="B1060" s="409">
        <f t="shared" ref="B1060:C1060" si="1076">($A1060-B$9)/365.25</f>
        <v>145.95482546201231</v>
      </c>
      <c r="C1060" s="409">
        <f t="shared" si="1076"/>
        <v>141.34428473648185</v>
      </c>
      <c r="E1060" s="25">
        <f>IF(C1060&gt;$B$7,0,'Combined Retirement'!$D$13/12)</f>
        <v>0</v>
      </c>
      <c r="F1060" s="25">
        <f>IF(H1060=0,'Combined Retirement'!$D$32,0)+'Combined Retirement'!$B$24</f>
        <v>2870.372285649099</v>
      </c>
      <c r="G1060" s="25">
        <f>'Combined Retirement'!$C$24</f>
        <v>3525.4531757812501</v>
      </c>
      <c r="H1060" s="25">
        <f>IF(B1060&lt;62,0,'Combined Retirement'!$I$14)</f>
        <v>2192</v>
      </c>
      <c r="I1060" s="25">
        <f>IF(C1060&lt;62,0,'Combined Retirement'!$I$13)</f>
        <v>2420</v>
      </c>
      <c r="J1060" s="25">
        <f t="shared" si="1043"/>
        <v>7863.2184191855868</v>
      </c>
      <c r="K1060" s="25">
        <f t="shared" si="1044"/>
        <v>20282.026119384056</v>
      </c>
      <c r="L1060" s="25"/>
      <c r="N1060" s="25">
        <f>'Combined Retirement'!$C$18/12</f>
        <v>39153.069999999992</v>
      </c>
      <c r="O1060" s="25">
        <f t="shared" si="1045"/>
        <v>11007.82546143035</v>
      </c>
      <c r="P1060" s="25">
        <f t="shared" si="1046"/>
        <v>28145.244538569641</v>
      </c>
      <c r="Q1060" s="25">
        <f t="array" aca="1" ref="Q1060" ca="1">INDEX('Isaac 401k'!L:L,MATCH('Retirement Calculator'!A1060,'Isaac 401k'!N:N,0),0)</f>
        <v>-12537309.676331069</v>
      </c>
      <c r="R1060" s="25">
        <f t="array" aca="1" ref="R1060" ca="1">INDEX('Lorri 401b'!L:L,MATCH('Retirement Calculator'!A1060,'Lorri 401b'!N:N,0),0)</f>
        <v>-31958040.719899863</v>
      </c>
      <c r="S1060" s="25">
        <f t="shared" ca="1" si="1047"/>
        <v>-44495350.396230936</v>
      </c>
    </row>
    <row r="1061" spans="1:19" ht="15.75" customHeight="1" x14ac:dyDescent="0.3">
      <c r="A1061" s="37">
        <v>83246</v>
      </c>
      <c r="B1061" s="409">
        <f t="shared" ref="B1061:C1061" si="1077">($A1061-B$9)/365.25</f>
        <v>146.03696098562628</v>
      </c>
      <c r="C1061" s="409">
        <f t="shared" si="1077"/>
        <v>141.42642026009582</v>
      </c>
      <c r="E1061" s="25">
        <f>IF(C1061&gt;$B$7,0,'Combined Retirement'!$D$13/12)</f>
        <v>0</v>
      </c>
      <c r="F1061" s="25">
        <f>IF(H1061=0,'Combined Retirement'!$D$32,0)+'Combined Retirement'!$B$24</f>
        <v>2870.372285649099</v>
      </c>
      <c r="G1061" s="25">
        <f>'Combined Retirement'!$C$24</f>
        <v>3525.4531757812501</v>
      </c>
      <c r="H1061" s="25">
        <f>IF(B1061&lt;62,0,'Combined Retirement'!$I$14)</f>
        <v>2192</v>
      </c>
      <c r="I1061" s="25">
        <f>IF(C1061&lt;62,0,'Combined Retirement'!$I$13)</f>
        <v>2420</v>
      </c>
      <c r="J1061" s="25">
        <f t="shared" si="1043"/>
        <v>7863.2184191855868</v>
      </c>
      <c r="K1061" s="25">
        <f t="shared" si="1044"/>
        <v>20282.026119384056</v>
      </c>
      <c r="L1061" s="25"/>
      <c r="N1061" s="25">
        <f>'Combined Retirement'!$C$18/12</f>
        <v>39153.069999999992</v>
      </c>
      <c r="O1061" s="25">
        <f t="shared" si="1045"/>
        <v>11007.82546143035</v>
      </c>
      <c r="P1061" s="25">
        <f t="shared" si="1046"/>
        <v>28145.244538569641</v>
      </c>
      <c r="Q1061" s="25">
        <f t="array" aca="1" ref="Q1061" ca="1">INDEX('Isaac 401k'!L:L,MATCH('Retirement Calculator'!A1061,'Isaac 401k'!N:N,0),0)</f>
        <v>-12597444.44847838</v>
      </c>
      <c r="R1061" s="25">
        <f t="array" aca="1" ref="R1061" ca="1">INDEX('Lorri 401b'!L:L,MATCH('Retirement Calculator'!A1061,'Lorri 401b'!N:N,0),0)</f>
        <v>-32111565.757460997</v>
      </c>
      <c r="S1061" s="25">
        <f t="shared" ca="1" si="1047"/>
        <v>-44709010.205939375</v>
      </c>
    </row>
    <row r="1062" spans="1:19" ht="15.75" customHeight="1" x14ac:dyDescent="0.3">
      <c r="A1062" s="37">
        <v>83277</v>
      </c>
      <c r="B1062" s="409">
        <f t="shared" ref="B1062:C1062" si="1078">($A1062-B$9)/365.25</f>
        <v>146.12183436002738</v>
      </c>
      <c r="C1062" s="409">
        <f t="shared" si="1078"/>
        <v>141.51129363449692</v>
      </c>
      <c r="E1062" s="25">
        <f>IF(C1062&gt;$B$7,0,'Combined Retirement'!$D$13/12)</f>
        <v>0</v>
      </c>
      <c r="F1062" s="25">
        <f>IF(H1062=0,'Combined Retirement'!$D$32,0)+'Combined Retirement'!$B$24</f>
        <v>2870.372285649099</v>
      </c>
      <c r="G1062" s="25">
        <f>'Combined Retirement'!$C$24</f>
        <v>3525.4531757812501</v>
      </c>
      <c r="H1062" s="25">
        <f>IF(B1062&lt;62,0,'Combined Retirement'!$I$14)</f>
        <v>2192</v>
      </c>
      <c r="I1062" s="25">
        <f>IF(C1062&lt;62,0,'Combined Retirement'!$I$13)</f>
        <v>2420</v>
      </c>
      <c r="J1062" s="25">
        <f t="shared" si="1043"/>
        <v>7863.2184191855868</v>
      </c>
      <c r="K1062" s="25">
        <f t="shared" si="1044"/>
        <v>20282.026119384056</v>
      </c>
      <c r="L1062" s="25"/>
      <c r="N1062" s="25">
        <f>'Combined Retirement'!$C$18/12</f>
        <v>39153.069999999992</v>
      </c>
      <c r="O1062" s="25">
        <f t="shared" si="1045"/>
        <v>11007.82546143035</v>
      </c>
      <c r="P1062" s="25">
        <f t="shared" si="1046"/>
        <v>28145.244538569641</v>
      </c>
      <c r="Q1062" s="25">
        <f t="array" aca="1" ref="Q1062" ca="1">INDEX('Isaac 401k'!L:L,MATCH('Retirement Calculator'!A1062,'Isaac 401k'!N:N,0),0)</f>
        <v>-12657829.782176305</v>
      </c>
      <c r="R1062" s="25">
        <f t="array" aca="1" ref="R1062" ca="1">INDEX('Lorri 401b'!L:L,MATCH('Retirement Calculator'!A1062,'Lorri 401b'!N:N,0),0)</f>
        <v>-32265730.482678633</v>
      </c>
      <c r="S1062" s="25">
        <f t="shared" ca="1" si="1047"/>
        <v>-44923560.264854938</v>
      </c>
    </row>
    <row r="1063" spans="1:19" ht="15.75" customHeight="1" x14ac:dyDescent="0.3">
      <c r="A1063" s="37">
        <v>83308</v>
      </c>
      <c r="B1063" s="409">
        <f t="shared" ref="B1063:C1063" si="1079">($A1063-B$9)/365.25</f>
        <v>146.20670773442848</v>
      </c>
      <c r="C1063" s="409">
        <f t="shared" si="1079"/>
        <v>141.59616700889802</v>
      </c>
      <c r="E1063" s="25">
        <f>IF(C1063&gt;$B$7,0,'Combined Retirement'!$D$13/12)</f>
        <v>0</v>
      </c>
      <c r="F1063" s="25">
        <f>IF(H1063=0,'Combined Retirement'!$D$32,0)+'Combined Retirement'!$B$24</f>
        <v>2870.372285649099</v>
      </c>
      <c r="G1063" s="25">
        <f>'Combined Retirement'!$C$24</f>
        <v>3525.4531757812501</v>
      </c>
      <c r="H1063" s="25">
        <f>IF(B1063&lt;62,0,'Combined Retirement'!$I$14)</f>
        <v>2192</v>
      </c>
      <c r="I1063" s="25">
        <f>IF(C1063&lt;62,0,'Combined Retirement'!$I$13)</f>
        <v>2420</v>
      </c>
      <c r="J1063" s="25">
        <f t="shared" si="1043"/>
        <v>7863.2184191855868</v>
      </c>
      <c r="K1063" s="25">
        <f t="shared" si="1044"/>
        <v>20282.026119384056</v>
      </c>
      <c r="L1063" s="25"/>
      <c r="N1063" s="25">
        <f>'Combined Retirement'!$C$18/12</f>
        <v>39153.069999999992</v>
      </c>
      <c r="O1063" s="25">
        <f t="shared" si="1045"/>
        <v>11007.82546143035</v>
      </c>
      <c r="P1063" s="25">
        <f t="shared" si="1046"/>
        <v>28145.244538569641</v>
      </c>
      <c r="Q1063" s="25">
        <f t="array" aca="1" ref="Q1063" ca="1">INDEX('Isaac 401k'!L:L,MATCH('Retirement Calculator'!A1063,'Isaac 401k'!N:N,0),0)</f>
        <v>-12718466.721431304</v>
      </c>
      <c r="R1063" s="25">
        <f t="array" aca="1" ref="R1063" ca="1">INDEX('Lorri 401b'!L:L,MATCH('Retirement Calculator'!A1063,'Lorri 401b'!N:N,0),0)</f>
        <v>-32420537.560918011</v>
      </c>
      <c r="S1063" s="25">
        <f t="shared" ca="1" si="1047"/>
        <v>-45139004.282349318</v>
      </c>
    </row>
    <row r="1064" spans="1:19" ht="15.75" customHeight="1" x14ac:dyDescent="0.3">
      <c r="A1064" s="37">
        <v>83337</v>
      </c>
      <c r="B1064" s="409">
        <f t="shared" ref="B1064:C1064" si="1080">($A1064-B$9)/365.25</f>
        <v>146.28610540725529</v>
      </c>
      <c r="C1064" s="409">
        <f t="shared" si="1080"/>
        <v>141.67556468172484</v>
      </c>
      <c r="E1064" s="25">
        <f>IF(C1064&gt;$B$7,0,'Combined Retirement'!$D$13/12)</f>
        <v>0</v>
      </c>
      <c r="F1064" s="25">
        <f>IF(H1064=0,'Combined Retirement'!$D$32,0)+'Combined Retirement'!$B$24</f>
        <v>2870.372285649099</v>
      </c>
      <c r="G1064" s="25">
        <f>'Combined Retirement'!$C$24</f>
        <v>3525.4531757812501</v>
      </c>
      <c r="H1064" s="25">
        <f>IF(B1064&lt;62,0,'Combined Retirement'!$I$14)</f>
        <v>2192</v>
      </c>
      <c r="I1064" s="25">
        <f>IF(C1064&lt;62,0,'Combined Retirement'!$I$13)</f>
        <v>2420</v>
      </c>
      <c r="J1064" s="25">
        <f t="shared" si="1043"/>
        <v>7863.2184191855868</v>
      </c>
      <c r="K1064" s="25">
        <f t="shared" si="1044"/>
        <v>20282.026119384056</v>
      </c>
      <c r="L1064" s="25"/>
      <c r="N1064" s="25">
        <f>'Combined Retirement'!$C$18/12</f>
        <v>39153.069999999992</v>
      </c>
      <c r="O1064" s="25">
        <f t="shared" si="1045"/>
        <v>11007.82546143035</v>
      </c>
      <c r="P1064" s="25">
        <f t="shared" si="1046"/>
        <v>28145.244538569641</v>
      </c>
      <c r="Q1064" s="25">
        <f t="array" aca="1" ref="Q1064" ca="1">INDEX('Isaac 401k'!L:L,MATCH('Retirement Calculator'!A1064,'Isaac 401k'!N:N,0),0)</f>
        <v>-12779356.314599866</v>
      </c>
      <c r="R1064" s="25">
        <f t="array" aca="1" ref="R1064" ca="1">INDEX('Lorri 401b'!L:L,MATCH('Retirement Calculator'!A1064,'Lorri 401b'!N:N,0),0)</f>
        <v>-32575989.66865005</v>
      </c>
      <c r="S1064" s="25">
        <f t="shared" ca="1" si="1047"/>
        <v>-45355345.983249918</v>
      </c>
    </row>
    <row r="1065" spans="1:19" ht="15.75" customHeight="1" x14ac:dyDescent="0.3">
      <c r="A1065" s="37">
        <v>83368</v>
      </c>
      <c r="B1065" s="409">
        <f t="shared" ref="B1065:C1065" si="1081">($A1065-B$9)/365.25</f>
        <v>146.37097878165639</v>
      </c>
      <c r="C1065" s="409">
        <f t="shared" si="1081"/>
        <v>141.76043805612593</v>
      </c>
      <c r="E1065" s="25">
        <f>IF(C1065&gt;$B$7,0,'Combined Retirement'!$D$13/12)</f>
        <v>0</v>
      </c>
      <c r="F1065" s="25">
        <f>IF(H1065=0,'Combined Retirement'!$D$32,0)+'Combined Retirement'!$B$24</f>
        <v>2870.372285649099</v>
      </c>
      <c r="G1065" s="25">
        <f>'Combined Retirement'!$C$24</f>
        <v>3525.4531757812501</v>
      </c>
      <c r="H1065" s="25">
        <f>IF(B1065&lt;62,0,'Combined Retirement'!$I$14)</f>
        <v>2192</v>
      </c>
      <c r="I1065" s="25">
        <f>IF(C1065&lt;62,0,'Combined Retirement'!$I$13)</f>
        <v>2420</v>
      </c>
      <c r="J1065" s="25">
        <f t="shared" si="1043"/>
        <v>7863.2184191855868</v>
      </c>
      <c r="K1065" s="25">
        <f t="shared" si="1044"/>
        <v>20282.026119384056</v>
      </c>
      <c r="L1065" s="25"/>
      <c r="N1065" s="25">
        <f>'Combined Retirement'!$C$18/12</f>
        <v>39153.069999999992</v>
      </c>
      <c r="O1065" s="25">
        <f t="shared" si="1045"/>
        <v>11007.82546143035</v>
      </c>
      <c r="P1065" s="25">
        <f t="shared" si="1046"/>
        <v>28145.244538569641</v>
      </c>
      <c r="Q1065" s="25">
        <f t="array" aca="1" ref="Q1065" ca="1">INDEX('Isaac 401k'!L:L,MATCH('Retirement Calculator'!A1065,'Isaac 401k'!N:N,0),0)</f>
        <v>-12840499.61440663</v>
      </c>
      <c r="R1065" s="25">
        <f t="array" aca="1" ref="R1065" ca="1">INDEX('Lorri 401b'!L:L,MATCH('Retirement Calculator'!A1065,'Lorri 401b'!N:N,0),0)</f>
        <v>-32732089.49349764</v>
      </c>
      <c r="S1065" s="25">
        <f t="shared" ca="1" si="1047"/>
        <v>-45572589.10790427</v>
      </c>
    </row>
    <row r="1066" spans="1:19" ht="15.75" customHeight="1" x14ac:dyDescent="0.3">
      <c r="A1066" s="37">
        <v>83398</v>
      </c>
      <c r="B1066" s="409">
        <f t="shared" ref="B1066:C1066" si="1082">($A1066-B$9)/365.25</f>
        <v>146.45311430527036</v>
      </c>
      <c r="C1066" s="409">
        <f t="shared" si="1082"/>
        <v>141.84257357973991</v>
      </c>
      <c r="E1066" s="25">
        <f>IF(C1066&gt;$B$7,0,'Combined Retirement'!$D$13/12)</f>
        <v>0</v>
      </c>
      <c r="F1066" s="25">
        <f>IF(H1066=0,'Combined Retirement'!$D$32,0)+'Combined Retirement'!$B$24</f>
        <v>2870.372285649099</v>
      </c>
      <c r="G1066" s="25">
        <f>'Combined Retirement'!$C$24</f>
        <v>3525.4531757812501</v>
      </c>
      <c r="H1066" s="25">
        <f>IF(B1066&lt;62,0,'Combined Retirement'!$I$14)</f>
        <v>2192</v>
      </c>
      <c r="I1066" s="25">
        <f>IF(C1066&lt;62,0,'Combined Retirement'!$I$13)</f>
        <v>2420</v>
      </c>
      <c r="J1066" s="25">
        <f t="shared" si="1043"/>
        <v>7863.2184191855868</v>
      </c>
      <c r="K1066" s="25">
        <f t="shared" si="1044"/>
        <v>20282.026119384056</v>
      </c>
      <c r="L1066" s="25"/>
      <c r="N1066" s="25">
        <f>'Combined Retirement'!$C$18/12</f>
        <v>39153.069999999992</v>
      </c>
      <c r="O1066" s="25">
        <f t="shared" si="1045"/>
        <v>11007.82546143035</v>
      </c>
      <c r="P1066" s="25">
        <f t="shared" si="1046"/>
        <v>28145.244538569641</v>
      </c>
      <c r="Q1066" s="25">
        <f t="array" aca="1" ref="Q1066" ca="1">INDEX('Isaac 401k'!L:L,MATCH('Retirement Calculator'!A1066,'Isaac 401k'!N:N,0),0)</f>
        <v>-12901897.67796259</v>
      </c>
      <c r="R1066" s="25">
        <f t="array" aca="1" ref="R1066" ca="1">INDEX('Lorri 401b'!L:L,MATCH('Retirement Calculator'!A1066,'Lorri 401b'!N:N,0),0)</f>
        <v>-32888839.734282095</v>
      </c>
      <c r="S1066" s="25">
        <f t="shared" ca="1" si="1047"/>
        <v>-45790737.412244685</v>
      </c>
    </row>
    <row r="1067" spans="1:19" ht="15.75" customHeight="1" x14ac:dyDescent="0.3">
      <c r="A1067" s="37">
        <v>83429</v>
      </c>
      <c r="B1067" s="409">
        <f t="shared" ref="B1067:C1067" si="1083">($A1067-B$9)/365.25</f>
        <v>146.53798767967146</v>
      </c>
      <c r="C1067" s="409">
        <f t="shared" si="1083"/>
        <v>141.927446954141</v>
      </c>
      <c r="E1067" s="25">
        <f>IF(C1067&gt;$B$7,0,'Combined Retirement'!$D$13/12)</f>
        <v>0</v>
      </c>
      <c r="F1067" s="25">
        <f>IF(H1067=0,'Combined Retirement'!$D$32,0)+'Combined Retirement'!$B$24</f>
        <v>2870.372285649099</v>
      </c>
      <c r="G1067" s="25">
        <f>'Combined Retirement'!$C$24</f>
        <v>3525.4531757812501</v>
      </c>
      <c r="H1067" s="25">
        <f>IF(B1067&lt;62,0,'Combined Retirement'!$I$14)</f>
        <v>2192</v>
      </c>
      <c r="I1067" s="25">
        <f>IF(C1067&lt;62,0,'Combined Retirement'!$I$13)</f>
        <v>2420</v>
      </c>
      <c r="J1067" s="25">
        <f t="shared" si="1043"/>
        <v>7863.2184191855868</v>
      </c>
      <c r="K1067" s="25">
        <f t="shared" si="1044"/>
        <v>20282.026119384056</v>
      </c>
      <c r="L1067" s="25"/>
      <c r="N1067" s="25">
        <f>'Combined Retirement'!$C$18/12</f>
        <v>39153.069999999992</v>
      </c>
      <c r="O1067" s="25">
        <f t="shared" si="1045"/>
        <v>11007.82546143035</v>
      </c>
      <c r="P1067" s="25">
        <f t="shared" si="1046"/>
        <v>28145.244538569641</v>
      </c>
      <c r="Q1067" s="25">
        <f t="array" aca="1" ref="Q1067" ca="1">INDEX('Isaac 401k'!L:L,MATCH('Retirement Calculator'!A1067,'Isaac 401k'!N:N,0),0)</f>
        <v>-12963551.566783365</v>
      </c>
      <c r="R1067" s="25">
        <f t="array" aca="1" ref="R1067" ca="1">INDEX('Lorri 401b'!L:L,MATCH('Retirement Calculator'!A1067,'Lorri 401b'!N:N,0),0)</f>
        <v>-33046243.101069819</v>
      </c>
      <c r="S1067" s="25">
        <f t="shared" ca="1" si="1047"/>
        <v>-46009794.667853184</v>
      </c>
    </row>
    <row r="1068" spans="1:19" ht="15.75" customHeight="1" x14ac:dyDescent="0.3">
      <c r="A1068" s="37">
        <v>83459</v>
      </c>
      <c r="B1068" s="409">
        <f t="shared" ref="B1068:C1068" si="1084">($A1068-B$9)/365.25</f>
        <v>146.62012320328543</v>
      </c>
      <c r="C1068" s="409">
        <f t="shared" si="1084"/>
        <v>142.00958247775498</v>
      </c>
      <c r="E1068" s="25">
        <f>IF(C1068&gt;$B$7,0,'Combined Retirement'!$D$13/12)</f>
        <v>0</v>
      </c>
      <c r="F1068" s="25">
        <f>IF(H1068=0,'Combined Retirement'!$D$32,0)+'Combined Retirement'!$B$24</f>
        <v>2870.372285649099</v>
      </c>
      <c r="G1068" s="25">
        <f>'Combined Retirement'!$C$24</f>
        <v>3525.4531757812501</v>
      </c>
      <c r="H1068" s="25">
        <f>IF(B1068&lt;62,0,'Combined Retirement'!$I$14)</f>
        <v>2192</v>
      </c>
      <c r="I1068" s="25">
        <f>IF(C1068&lt;62,0,'Combined Retirement'!$I$13)</f>
        <v>2420</v>
      </c>
      <c r="J1068" s="25">
        <f t="shared" si="1043"/>
        <v>7863.2184191855868</v>
      </c>
      <c r="K1068" s="25">
        <f t="shared" si="1044"/>
        <v>20282.026119384056</v>
      </c>
      <c r="L1068" s="25"/>
      <c r="N1068" s="25">
        <f>'Combined Retirement'!$C$18/12</f>
        <v>39153.069999999992</v>
      </c>
      <c r="O1068" s="25">
        <f t="shared" si="1045"/>
        <v>11007.82546143035</v>
      </c>
      <c r="P1068" s="25">
        <f t="shared" si="1046"/>
        <v>28145.244538569641</v>
      </c>
      <c r="Q1068" s="25">
        <f t="array" aca="1" ref="Q1068" ca="1">INDEX('Isaac 401k'!L:L,MATCH('Retirement Calculator'!A1068,'Isaac 401k'!N:N,0),0)</f>
        <v>-13025462.34680756</v>
      </c>
      <c r="R1068" s="25">
        <f t="array" aca="1" ref="R1068" ca="1">INDEX('Lorri 401b'!L:L,MATCH('Retirement Calculator'!A1068,'Lorri 401b'!N:N,0),0)</f>
        <v>-33204302.31521916</v>
      </c>
      <c r="S1068" s="25">
        <f t="shared" ca="1" si="1047"/>
        <v>-46229764.662026718</v>
      </c>
    </row>
    <row r="1069" spans="1:19" ht="15.75" customHeight="1" x14ac:dyDescent="0.3">
      <c r="A1069" s="37">
        <v>83490</v>
      </c>
      <c r="B1069" s="409">
        <f t="shared" ref="B1069:C1069" si="1085">($A1069-B$9)/365.25</f>
        <v>146.70499657768653</v>
      </c>
      <c r="C1069" s="409">
        <f t="shared" si="1085"/>
        <v>142.09445585215605</v>
      </c>
      <c r="E1069" s="25">
        <f>IF(C1069&gt;$B$7,0,'Combined Retirement'!$D$13/12)</f>
        <v>0</v>
      </c>
      <c r="F1069" s="25">
        <f>IF(H1069=0,'Combined Retirement'!$D$32,0)+'Combined Retirement'!$B$24</f>
        <v>2870.372285649099</v>
      </c>
      <c r="G1069" s="25">
        <f>'Combined Retirement'!$C$24</f>
        <v>3525.4531757812501</v>
      </c>
      <c r="H1069" s="25">
        <f>IF(B1069&lt;62,0,'Combined Retirement'!$I$14)</f>
        <v>2192</v>
      </c>
      <c r="I1069" s="25">
        <f>IF(C1069&lt;62,0,'Combined Retirement'!$I$13)</f>
        <v>2420</v>
      </c>
      <c r="J1069" s="25">
        <f t="shared" si="1043"/>
        <v>7863.2184191855868</v>
      </c>
      <c r="K1069" s="25">
        <f t="shared" si="1044"/>
        <v>20282.026119384056</v>
      </c>
      <c r="L1069" s="25"/>
      <c r="N1069" s="25">
        <f>'Combined Retirement'!$C$18/12</f>
        <v>39153.069999999992</v>
      </c>
      <c r="O1069" s="25">
        <f t="shared" si="1045"/>
        <v>11007.82546143035</v>
      </c>
      <c r="P1069" s="25">
        <f t="shared" si="1046"/>
        <v>28145.244538569641</v>
      </c>
      <c r="Q1069" s="25">
        <f t="array" aca="1" ref="Q1069" ca="1">INDEX('Isaac 401k'!L:L,MATCH('Retirement Calculator'!A1069,'Isaac 401k'!N:N,0),0)</f>
        <v>-13087631.088415189</v>
      </c>
      <c r="R1069" s="25">
        <f t="array" aca="1" ref="R1069" ca="1">INDEX('Lorri 401b'!L:L,MATCH('Retirement Calculator'!A1069,'Lorri 401b'!N:N,0),0)</f>
        <v>-33363020.109427456</v>
      </c>
      <c r="S1069" s="25">
        <f t="shared" ca="1" si="1047"/>
        <v>-46450651.197842643</v>
      </c>
    </row>
    <row r="1070" spans="1:19" ht="15.75" customHeight="1" x14ac:dyDescent="0.3">
      <c r="A1070" s="37">
        <v>83521</v>
      </c>
      <c r="B1070" s="409">
        <f t="shared" ref="B1070:C1070" si="1086">($A1070-B$9)/365.25</f>
        <v>146.7898699520876</v>
      </c>
      <c r="C1070" s="409">
        <f t="shared" si="1086"/>
        <v>142.17932922655714</v>
      </c>
      <c r="E1070" s="25">
        <f>IF(C1070&gt;$B$7,0,'Combined Retirement'!$D$13/12)</f>
        <v>0</v>
      </c>
      <c r="F1070" s="25">
        <f>IF(H1070=0,'Combined Retirement'!$D$32,0)+'Combined Retirement'!$B$24</f>
        <v>2870.372285649099</v>
      </c>
      <c r="G1070" s="25">
        <f>'Combined Retirement'!$C$24</f>
        <v>3525.4531757812501</v>
      </c>
      <c r="H1070" s="25">
        <f>IF(B1070&lt;62,0,'Combined Retirement'!$I$14)</f>
        <v>2192</v>
      </c>
      <c r="I1070" s="25">
        <f>IF(C1070&lt;62,0,'Combined Retirement'!$I$13)</f>
        <v>2420</v>
      </c>
      <c r="J1070" s="25">
        <f t="shared" si="1043"/>
        <v>7863.2184191855868</v>
      </c>
      <c r="K1070" s="25">
        <f t="shared" si="1044"/>
        <v>20282.026119384056</v>
      </c>
      <c r="L1070" s="25"/>
      <c r="N1070" s="25">
        <f>'Combined Retirement'!$C$18/12</f>
        <v>39153.069999999992</v>
      </c>
      <c r="O1070" s="25">
        <f t="shared" si="1045"/>
        <v>11007.82546143035</v>
      </c>
      <c r="P1070" s="25">
        <f t="shared" si="1046"/>
        <v>28145.244538569641</v>
      </c>
      <c r="Q1070" s="25">
        <f t="array" aca="1" ref="Q1070" ca="1">INDEX('Isaac 401k'!L:L,MATCH('Retirement Calculator'!A1070,'Isaac 401k'!N:N,0),0)</f>
        <v>-13150058.866446184</v>
      </c>
      <c r="R1070" s="25">
        <f t="array" aca="1" ref="R1070" ca="1">INDEX('Lorri 401b'!L:L,MATCH('Retirement Calculator'!A1070,'Lorri 401b'!N:N,0),0)</f>
        <v>-33522399.227778286</v>
      </c>
      <c r="S1070" s="25">
        <f t="shared" ca="1" si="1047"/>
        <v>-46672458.094224468</v>
      </c>
    </row>
    <row r="1071" spans="1:19" ht="15.75" customHeight="1" x14ac:dyDescent="0.3">
      <c r="A1071" s="37">
        <v>83551</v>
      </c>
      <c r="B1071" s="409">
        <f t="shared" ref="B1071:C1071" si="1087">($A1071-B$9)/365.25</f>
        <v>146.87200547570157</v>
      </c>
      <c r="C1071" s="409">
        <f t="shared" si="1087"/>
        <v>142.26146475017111</v>
      </c>
      <c r="E1071" s="25">
        <f>IF(C1071&gt;$B$7,0,'Combined Retirement'!$D$13/12)</f>
        <v>0</v>
      </c>
      <c r="F1071" s="25">
        <f>IF(H1071=0,'Combined Retirement'!$D$32,0)+'Combined Retirement'!$B$24</f>
        <v>2870.372285649099</v>
      </c>
      <c r="G1071" s="25">
        <f>'Combined Retirement'!$C$24</f>
        <v>3525.4531757812501</v>
      </c>
      <c r="H1071" s="25">
        <f>IF(B1071&lt;62,0,'Combined Retirement'!$I$14)</f>
        <v>2192</v>
      </c>
      <c r="I1071" s="25">
        <f>IF(C1071&lt;62,0,'Combined Retirement'!$I$13)</f>
        <v>2420</v>
      </c>
      <c r="J1071" s="25">
        <f t="shared" si="1043"/>
        <v>7863.2184191855868</v>
      </c>
      <c r="K1071" s="25">
        <f t="shared" si="1044"/>
        <v>20282.026119384056</v>
      </c>
      <c r="L1071" s="25"/>
      <c r="N1071" s="25">
        <f>'Combined Retirement'!$C$18/12</f>
        <v>39153.069999999992</v>
      </c>
      <c r="O1071" s="25">
        <f t="shared" si="1045"/>
        <v>11007.82546143035</v>
      </c>
      <c r="P1071" s="25">
        <f t="shared" si="1046"/>
        <v>28145.244538569641</v>
      </c>
      <c r="Q1071" s="25">
        <f t="array" aca="1" ref="Q1071" ca="1">INDEX('Isaac 401k'!L:L,MATCH('Retirement Calculator'!A1071,'Isaac 401k'!N:N,0),0)</f>
        <v>-13212746.760218974</v>
      </c>
      <c r="R1071" s="25">
        <f t="array" aca="1" ref="R1071" ca="1">INDEX('Lorri 401b'!L:L,MATCH('Retirement Calculator'!A1071,'Lorri 401b'!N:N,0),0)</f>
        <v>-33682442.425788909</v>
      </c>
      <c r="S1071" s="25">
        <f t="shared" ca="1" si="1047"/>
        <v>-46895189.186007887</v>
      </c>
    </row>
    <row r="1072" spans="1:19" ht="15.75" customHeight="1" x14ac:dyDescent="0.3">
      <c r="A1072" s="37">
        <v>83582</v>
      </c>
      <c r="B1072" s="409">
        <f t="shared" ref="B1072:C1072" si="1088">($A1072-B$9)/365.25</f>
        <v>146.95687885010267</v>
      </c>
      <c r="C1072" s="409">
        <f t="shared" si="1088"/>
        <v>142.34633812457221</v>
      </c>
      <c r="E1072" s="25">
        <f>IF(C1072&gt;$B$7,0,'Combined Retirement'!$D$13/12)</f>
        <v>0</v>
      </c>
      <c r="F1072" s="25">
        <f>IF(H1072=0,'Combined Retirement'!$D$32,0)+'Combined Retirement'!$B$24</f>
        <v>2870.372285649099</v>
      </c>
      <c r="G1072" s="25">
        <f>'Combined Retirement'!$C$24</f>
        <v>3525.4531757812501</v>
      </c>
      <c r="H1072" s="25">
        <f>IF(B1072&lt;62,0,'Combined Retirement'!$I$14)</f>
        <v>2192</v>
      </c>
      <c r="I1072" s="25">
        <f>IF(C1072&lt;62,0,'Combined Retirement'!$I$13)</f>
        <v>2420</v>
      </c>
      <c r="J1072" s="25">
        <f t="shared" si="1043"/>
        <v>7863.2184191855868</v>
      </c>
      <c r="K1072" s="25">
        <f t="shared" si="1044"/>
        <v>20282.026119384056</v>
      </c>
      <c r="L1072" s="25"/>
      <c r="N1072" s="25">
        <f>'Combined Retirement'!$C$18/12</f>
        <v>39153.069999999992</v>
      </c>
      <c r="O1072" s="25">
        <f t="shared" si="1045"/>
        <v>11007.82546143035</v>
      </c>
      <c r="P1072" s="25">
        <f t="shared" si="1046"/>
        <v>28145.244538569641</v>
      </c>
      <c r="Q1072" s="25">
        <f t="array" aca="1" ref="Q1072" ca="1">INDEX('Isaac 401k'!L:L,MATCH('Retirement Calculator'!A1072,'Isaac 401k'!N:N,0),0)</f>
        <v>-13275695.853549151</v>
      </c>
      <c r="R1072" s="25">
        <f t="array" aca="1" ref="R1072" ca="1">INDEX('Lorri 401b'!L:L,MATCH('Retirement Calculator'!A1072,'Lorri 401b'!N:N,0),0)</f>
        <v>-33843152.470457911</v>
      </c>
      <c r="S1072" s="25">
        <f t="shared" ca="1" si="1047"/>
        <v>-47118848.324007064</v>
      </c>
    </row>
    <row r="1073" spans="1:19" ht="15.75" customHeight="1" x14ac:dyDescent="0.3">
      <c r="A1073" s="37">
        <v>83612</v>
      </c>
      <c r="B1073" s="409">
        <f t="shared" ref="B1073:C1073" si="1089">($A1073-B$9)/365.25</f>
        <v>147.03901437371664</v>
      </c>
      <c r="C1073" s="409">
        <f t="shared" si="1089"/>
        <v>142.42847364818618</v>
      </c>
      <c r="E1073" s="25">
        <f>IF(C1073&gt;$B$7,0,'Combined Retirement'!$D$13/12)</f>
        <v>0</v>
      </c>
      <c r="F1073" s="25">
        <f>IF(H1073=0,'Combined Retirement'!$D$32,0)+'Combined Retirement'!$B$24</f>
        <v>2870.372285649099</v>
      </c>
      <c r="G1073" s="25">
        <f>'Combined Retirement'!$C$24</f>
        <v>3525.4531757812501</v>
      </c>
      <c r="H1073" s="25">
        <f>IF(B1073&lt;62,0,'Combined Retirement'!$I$14)</f>
        <v>2192</v>
      </c>
      <c r="I1073" s="25">
        <f>IF(C1073&lt;62,0,'Combined Retirement'!$I$13)</f>
        <v>2420</v>
      </c>
      <c r="J1073" s="25">
        <f t="shared" si="1043"/>
        <v>7863.2184191855868</v>
      </c>
      <c r="K1073" s="25">
        <f t="shared" si="1044"/>
        <v>20282.026119384056</v>
      </c>
      <c r="L1073" s="25"/>
      <c r="N1073" s="25">
        <f>'Combined Retirement'!$C$18/12</f>
        <v>39153.069999999992</v>
      </c>
      <c r="O1073" s="25">
        <f t="shared" si="1045"/>
        <v>11007.82546143035</v>
      </c>
      <c r="P1073" s="25">
        <f t="shared" si="1046"/>
        <v>28145.244538569641</v>
      </c>
      <c r="Q1073" s="25">
        <f t="array" aca="1" ref="Q1073" ca="1">INDEX('Isaac 401k'!L:L,MATCH('Retirement Calculator'!A1073,'Isaac 401k'!N:N,0),0)</f>
        <v>-13338907.234768204</v>
      </c>
      <c r="R1073" s="25">
        <f t="array" aca="1" ref="R1073" ca="1">INDEX('Lorri 401b'!L:L,MATCH('Retirement Calculator'!A1073,'Lorri 401b'!N:N,0),0)</f>
        <v>-34004532.140313029</v>
      </c>
      <c r="S1073" s="25">
        <f t="shared" ca="1" si="1047"/>
        <v>-47343439.375081234</v>
      </c>
    </row>
    <row r="1074" spans="1:19" ht="15.75" customHeight="1" x14ac:dyDescent="0.3">
      <c r="A1074" s="37">
        <v>83643</v>
      </c>
      <c r="B1074" s="409">
        <f t="shared" ref="B1074:C1074" si="1090">($A1074-B$9)/365.25</f>
        <v>147.12388774811774</v>
      </c>
      <c r="C1074" s="409">
        <f t="shared" si="1090"/>
        <v>142.51334702258728</v>
      </c>
      <c r="E1074" s="25">
        <f>IF(C1074&gt;$B$7,0,'Combined Retirement'!$D$13/12)</f>
        <v>0</v>
      </c>
      <c r="F1074" s="25">
        <f>IF(H1074=0,'Combined Retirement'!$D$32,0)+'Combined Retirement'!$B$24</f>
        <v>2870.372285649099</v>
      </c>
      <c r="G1074" s="25">
        <f>'Combined Retirement'!$C$24</f>
        <v>3525.4531757812501</v>
      </c>
      <c r="H1074" s="25">
        <f>IF(B1074&lt;62,0,'Combined Retirement'!$I$14)</f>
        <v>2192</v>
      </c>
      <c r="I1074" s="25">
        <f>IF(C1074&lt;62,0,'Combined Retirement'!$I$13)</f>
        <v>2420</v>
      </c>
      <c r="J1074" s="25">
        <f t="shared" si="1043"/>
        <v>7863.2184191855868</v>
      </c>
      <c r="K1074" s="25">
        <f t="shared" si="1044"/>
        <v>20282.026119384056</v>
      </c>
      <c r="L1074" s="25"/>
      <c r="N1074" s="25">
        <f>'Combined Retirement'!$C$18/12</f>
        <v>39153.069999999992</v>
      </c>
      <c r="O1074" s="25">
        <f t="shared" si="1045"/>
        <v>11007.82546143035</v>
      </c>
      <c r="P1074" s="25">
        <f t="shared" si="1046"/>
        <v>28145.244538569641</v>
      </c>
      <c r="Q1074" s="25">
        <f t="array" aca="1" ref="Q1074" ca="1">INDEX('Isaac 401k'!L:L,MATCH('Retirement Calculator'!A1074,'Isaac 401k'!N:N,0),0)</f>
        <v>-13402381.996742336</v>
      </c>
      <c r="R1074" s="25">
        <f t="array" aca="1" ref="R1074" ca="1">INDEX('Lorri 401b'!L:L,MATCH('Retirement Calculator'!A1074,'Lorri 401b'!N:N,0),0)</f>
        <v>-34166584.225459211</v>
      </c>
      <c r="S1074" s="25">
        <f t="shared" ca="1" si="1047"/>
        <v>-47568966.222201549</v>
      </c>
    </row>
    <row r="1075" spans="1:19" ht="15.75" customHeight="1" x14ac:dyDescent="0.3">
      <c r="A1075" s="37">
        <v>83674</v>
      </c>
      <c r="B1075" s="409">
        <f t="shared" ref="B1075:C1075" si="1091">($A1075-B$9)/365.25</f>
        <v>147.20876112251884</v>
      </c>
      <c r="C1075" s="409">
        <f t="shared" si="1091"/>
        <v>142.59822039698835</v>
      </c>
      <c r="E1075" s="25">
        <f>IF(C1075&gt;$B$7,0,'Combined Retirement'!$D$13/12)</f>
        <v>0</v>
      </c>
      <c r="F1075" s="25">
        <f>IF(H1075=0,'Combined Retirement'!$D$32,0)+'Combined Retirement'!$B$24</f>
        <v>2870.372285649099</v>
      </c>
      <c r="G1075" s="25">
        <f>'Combined Retirement'!$C$24</f>
        <v>3525.4531757812501</v>
      </c>
      <c r="H1075" s="25">
        <f>IF(B1075&lt;62,0,'Combined Retirement'!$I$14)</f>
        <v>2192</v>
      </c>
      <c r="I1075" s="25">
        <f>IF(C1075&lt;62,0,'Combined Retirement'!$I$13)</f>
        <v>2420</v>
      </c>
      <c r="J1075" s="25">
        <f t="shared" si="1043"/>
        <v>7863.2184191855868</v>
      </c>
      <c r="K1075" s="25">
        <f t="shared" si="1044"/>
        <v>20282.026119384056</v>
      </c>
      <c r="L1075" s="25"/>
      <c r="N1075" s="25">
        <f>'Combined Retirement'!$C$18/12</f>
        <v>39153.069999999992</v>
      </c>
      <c r="O1075" s="25">
        <f t="shared" si="1045"/>
        <v>11007.82546143035</v>
      </c>
      <c r="P1075" s="25">
        <f t="shared" si="1046"/>
        <v>28145.244538569641</v>
      </c>
      <c r="Q1075" s="25">
        <f t="array" aca="1" ref="Q1075" ca="1">INDEX('Isaac 401k'!L:L,MATCH('Retirement Calculator'!A1075,'Isaac 401k'!N:N,0),0)</f>
        <v>-13466121.236891361</v>
      </c>
      <c r="R1075" s="25">
        <f t="array" aca="1" ref="R1075" ca="1">INDEX('Lorri 401b'!L:L,MATCH('Retirement Calculator'!A1075,'Lorri 401b'!N:N,0),0)</f>
        <v>-34329311.527626835</v>
      </c>
      <c r="S1075" s="25">
        <f t="shared" ca="1" si="1047"/>
        <v>-47795432.764518194</v>
      </c>
    </row>
    <row r="1076" spans="1:19" ht="15.75" customHeight="1" x14ac:dyDescent="0.3">
      <c r="A1076" s="37">
        <v>83702</v>
      </c>
      <c r="B1076" s="409">
        <f t="shared" ref="B1076:C1076" si="1092">($A1076-B$9)/365.25</f>
        <v>147.28542094455852</v>
      </c>
      <c r="C1076" s="409">
        <f t="shared" si="1092"/>
        <v>142.67488021902807</v>
      </c>
      <c r="E1076" s="25">
        <f>IF(C1076&gt;$B$7,0,'Combined Retirement'!$D$13/12)</f>
        <v>0</v>
      </c>
      <c r="F1076" s="25">
        <f>IF(H1076=0,'Combined Retirement'!$D$32,0)+'Combined Retirement'!$B$24</f>
        <v>2870.372285649099</v>
      </c>
      <c r="G1076" s="25">
        <f>'Combined Retirement'!$C$24</f>
        <v>3525.4531757812501</v>
      </c>
      <c r="H1076" s="25">
        <f>IF(B1076&lt;62,0,'Combined Retirement'!$I$14)</f>
        <v>2192</v>
      </c>
      <c r="I1076" s="25">
        <f>IF(C1076&lt;62,0,'Combined Retirement'!$I$13)</f>
        <v>2420</v>
      </c>
      <c r="J1076" s="25">
        <f t="shared" si="1043"/>
        <v>7863.2184191855868</v>
      </c>
      <c r="K1076" s="25">
        <f t="shared" si="1044"/>
        <v>20282.026119384056</v>
      </c>
      <c r="L1076" s="25"/>
      <c r="N1076" s="25">
        <f>'Combined Retirement'!$C$18/12</f>
        <v>39153.069999999992</v>
      </c>
      <c r="O1076" s="25">
        <f t="shared" si="1045"/>
        <v>11007.82546143035</v>
      </c>
      <c r="P1076" s="25">
        <f t="shared" si="1046"/>
        <v>28145.244538569641</v>
      </c>
      <c r="Q1076" s="25">
        <f t="array" aca="1" ref="Q1076" ca="1">INDEX('Isaac 401k'!L:L,MATCH('Retirement Calculator'!A1076,'Isaac 401k'!N:N,0),0)</f>
        <v>-13530126.057207674</v>
      </c>
      <c r="R1076" s="25">
        <f t="array" aca="1" ref="R1076" ca="1">INDEX('Lorri 401b'!L:L,MATCH('Retirement Calculator'!A1076,'Lorri 401b'!N:N,0),0)</f>
        <v>-34492716.860220157</v>
      </c>
      <c r="S1076" s="25">
        <f t="shared" ca="1" si="1047"/>
        <v>-48022842.91742783</v>
      </c>
    </row>
    <row r="1077" spans="1:19" ht="15.75" customHeight="1" x14ac:dyDescent="0.3">
      <c r="A1077" s="37">
        <v>83733</v>
      </c>
      <c r="B1077" s="409">
        <f t="shared" ref="B1077:C1077" si="1093">($A1077-B$9)/365.25</f>
        <v>147.37029431895962</v>
      </c>
      <c r="C1077" s="409">
        <f t="shared" si="1093"/>
        <v>142.75975359342917</v>
      </c>
      <c r="E1077" s="25">
        <f>IF(C1077&gt;$B$7,0,'Combined Retirement'!$D$13/12)</f>
        <v>0</v>
      </c>
      <c r="F1077" s="25">
        <f>IF(H1077=0,'Combined Retirement'!$D$32,0)+'Combined Retirement'!$B$24</f>
        <v>2870.372285649099</v>
      </c>
      <c r="G1077" s="25">
        <f>'Combined Retirement'!$C$24</f>
        <v>3525.4531757812501</v>
      </c>
      <c r="H1077" s="25">
        <f>IF(B1077&lt;62,0,'Combined Retirement'!$I$14)</f>
        <v>2192</v>
      </c>
      <c r="I1077" s="25">
        <f>IF(C1077&lt;62,0,'Combined Retirement'!$I$13)</f>
        <v>2420</v>
      </c>
      <c r="J1077" s="25">
        <f t="shared" si="1043"/>
        <v>7863.2184191855868</v>
      </c>
      <c r="K1077" s="25">
        <f t="shared" si="1044"/>
        <v>20282.026119384056</v>
      </c>
      <c r="L1077" s="25"/>
      <c r="N1077" s="25">
        <f>'Combined Retirement'!$C$18/12</f>
        <v>39153.069999999992</v>
      </c>
      <c r="O1077" s="25">
        <f t="shared" si="1045"/>
        <v>11007.82546143035</v>
      </c>
      <c r="P1077" s="25">
        <f t="shared" si="1046"/>
        <v>28145.244538569641</v>
      </c>
      <c r="Q1077" s="25">
        <f t="array" aca="1" ref="Q1077" ca="1">INDEX('Isaac 401k'!L:L,MATCH('Retirement Calculator'!A1077,'Isaac 401k'!N:N,0),0)</f>
        <v>-13594397.564275304</v>
      </c>
      <c r="R1077" s="25">
        <f t="array" aca="1" ref="R1077" ca="1">INDEX('Lorri 401b'!L:L,MATCH('Retirement Calculator'!A1077,'Lorri 401b'!N:N,0),0)</f>
        <v>-34656803.048365951</v>
      </c>
      <c r="S1077" s="25">
        <f t="shared" ca="1" si="1047"/>
        <v>-48251200.612641253</v>
      </c>
    </row>
    <row r="1078" spans="1:19" ht="15.75" customHeight="1" x14ac:dyDescent="0.3">
      <c r="A1078" s="37">
        <v>83763</v>
      </c>
      <c r="B1078" s="409">
        <f t="shared" ref="B1078:C1078" si="1094">($A1078-B$9)/365.25</f>
        <v>147.45242984257359</v>
      </c>
      <c r="C1078" s="409">
        <f t="shared" si="1094"/>
        <v>142.84188911704311</v>
      </c>
      <c r="E1078" s="25">
        <f>IF(C1078&gt;$B$7,0,'Combined Retirement'!$D$13/12)</f>
        <v>0</v>
      </c>
      <c r="F1078" s="25">
        <f>IF(H1078=0,'Combined Retirement'!$D$32,0)+'Combined Retirement'!$B$24</f>
        <v>2870.372285649099</v>
      </c>
      <c r="G1078" s="25">
        <f>'Combined Retirement'!$C$24</f>
        <v>3525.4531757812501</v>
      </c>
      <c r="H1078" s="25">
        <f>IF(B1078&lt;62,0,'Combined Retirement'!$I$14)</f>
        <v>2192</v>
      </c>
      <c r="I1078" s="25">
        <f>IF(C1078&lt;62,0,'Combined Retirement'!$I$13)</f>
        <v>2420</v>
      </c>
      <c r="J1078" s="25">
        <f t="shared" si="1043"/>
        <v>7863.2184191855868</v>
      </c>
      <c r="K1078" s="25">
        <f t="shared" si="1044"/>
        <v>20282.026119384056</v>
      </c>
      <c r="L1078" s="25"/>
      <c r="N1078" s="25">
        <f>'Combined Retirement'!$C$18/12</f>
        <v>39153.069999999992</v>
      </c>
      <c r="O1078" s="25">
        <f t="shared" si="1045"/>
        <v>11007.82546143035</v>
      </c>
      <c r="P1078" s="25">
        <f t="shared" si="1046"/>
        <v>28145.244538569641</v>
      </c>
      <c r="Q1078" s="25">
        <f t="array" aca="1" ref="Q1078" ca="1">INDEX('Isaac 401k'!L:L,MATCH('Retirement Calculator'!A1078,'Isaac 401k'!N:N,0),0)</f>
        <v>-13658936.86928905</v>
      </c>
      <c r="R1078" s="25">
        <f t="array" aca="1" ref="R1078" ca="1">INDEX('Lorri 401b'!L:L,MATCH('Retirement Calculator'!A1078,'Lorri 401b'!N:N,0),0)</f>
        <v>-34821572.928962357</v>
      </c>
      <c r="S1078" s="25">
        <f t="shared" ca="1" si="1047"/>
        <v>-48480509.798251405</v>
      </c>
    </row>
    <row r="1079" spans="1:19" ht="15.75" customHeight="1" x14ac:dyDescent="0.3">
      <c r="A1079" s="37">
        <v>83794</v>
      </c>
      <c r="B1079" s="409">
        <f t="shared" ref="B1079:C1079" si="1095">($A1079-B$9)/365.25</f>
        <v>147.53730321697466</v>
      </c>
      <c r="C1079" s="409">
        <f t="shared" si="1095"/>
        <v>142.92676249144421</v>
      </c>
      <c r="E1079" s="25">
        <f>IF(C1079&gt;$B$7,0,'Combined Retirement'!$D$13/12)</f>
        <v>0</v>
      </c>
      <c r="F1079" s="25">
        <f>IF(H1079=0,'Combined Retirement'!$D$32,0)+'Combined Retirement'!$B$24</f>
        <v>2870.372285649099</v>
      </c>
      <c r="G1079" s="25">
        <f>'Combined Retirement'!$C$24</f>
        <v>3525.4531757812501</v>
      </c>
      <c r="H1079" s="25">
        <f>IF(B1079&lt;62,0,'Combined Retirement'!$I$14)</f>
        <v>2192</v>
      </c>
      <c r="I1079" s="25">
        <f>IF(C1079&lt;62,0,'Combined Retirement'!$I$13)</f>
        <v>2420</v>
      </c>
      <c r="J1079" s="25">
        <f t="shared" si="1043"/>
        <v>7863.2184191855868</v>
      </c>
      <c r="K1079" s="25">
        <f t="shared" si="1044"/>
        <v>20282.026119384056</v>
      </c>
      <c r="L1079" s="25"/>
      <c r="N1079" s="25">
        <f>'Combined Retirement'!$C$18/12</f>
        <v>39153.069999999992</v>
      </c>
      <c r="O1079" s="25">
        <f t="shared" si="1045"/>
        <v>11007.82546143035</v>
      </c>
      <c r="P1079" s="25">
        <f t="shared" si="1046"/>
        <v>28145.244538569641</v>
      </c>
      <c r="Q1079" s="25">
        <f t="array" aca="1" ref="Q1079" ca="1">INDEX('Isaac 401k'!L:L,MATCH('Retirement Calculator'!A1079,'Isaac 401k'!N:N,0),0)</f>
        <v>-13723745.088073686</v>
      </c>
      <c r="R1079" s="25">
        <f t="array" aca="1" ref="R1079" ca="1">INDEX('Lorri 401b'!L:L,MATCH('Retirement Calculator'!A1079,'Lorri 401b'!N:N,0),0)</f>
        <v>-34987029.350727916</v>
      </c>
      <c r="S1079" s="25">
        <f t="shared" ca="1" si="1047"/>
        <v>-48710774.438801602</v>
      </c>
    </row>
    <row r="1080" spans="1:19" ht="15.75" customHeight="1" x14ac:dyDescent="0.3">
      <c r="A1080" s="37">
        <v>83824</v>
      </c>
      <c r="B1080" s="409">
        <f t="shared" ref="B1080:C1080" si="1096">($A1080-B$9)/365.25</f>
        <v>147.61943874058863</v>
      </c>
      <c r="C1080" s="409">
        <f t="shared" si="1096"/>
        <v>143.00889801505818</v>
      </c>
      <c r="E1080" s="25">
        <f>IF(C1080&gt;$B$7,0,'Combined Retirement'!$D$13/12)</f>
        <v>0</v>
      </c>
      <c r="F1080" s="25">
        <f>IF(H1080=0,'Combined Retirement'!$D$32,0)+'Combined Retirement'!$B$24</f>
        <v>2870.372285649099</v>
      </c>
      <c r="G1080" s="25">
        <f>'Combined Retirement'!$C$24</f>
        <v>3525.4531757812501</v>
      </c>
      <c r="H1080" s="25">
        <f>IF(B1080&lt;62,0,'Combined Retirement'!$I$14)</f>
        <v>2192</v>
      </c>
      <c r="I1080" s="25">
        <f>IF(C1080&lt;62,0,'Combined Retirement'!$I$13)</f>
        <v>2420</v>
      </c>
      <c r="J1080" s="25">
        <f t="shared" si="1043"/>
        <v>7863.2184191855868</v>
      </c>
      <c r="K1080" s="25">
        <f t="shared" si="1044"/>
        <v>20282.026119384056</v>
      </c>
      <c r="L1080" s="25"/>
      <c r="N1080" s="25">
        <f>'Combined Retirement'!$C$18/12</f>
        <v>39153.069999999992</v>
      </c>
      <c r="O1080" s="25">
        <f t="shared" si="1045"/>
        <v>11007.82546143035</v>
      </c>
      <c r="P1080" s="25">
        <f t="shared" si="1046"/>
        <v>28145.244538569641</v>
      </c>
      <c r="Q1080" s="25">
        <f t="array" aca="1" ref="Q1080" ca="1">INDEX('Isaac 401k'!L:L,MATCH('Retirement Calculator'!A1080,'Isaac 401k'!N:N,0),0)</f>
        <v>-13788823.341103258</v>
      </c>
      <c r="R1080" s="25">
        <f t="array" aca="1" ref="R1080" ca="1">INDEX('Lorri 401b'!L:L,MATCH('Retirement Calculator'!A1080,'Lorri 401b'!N:N,0),0)</f>
        <v>-35153175.174250826</v>
      </c>
      <c r="S1080" s="25">
        <f t="shared" ca="1" si="1047"/>
        <v>-48941998.515354082</v>
      </c>
    </row>
    <row r="1081" spans="1:19" ht="15.75" customHeight="1" x14ac:dyDescent="0.3">
      <c r="A1081" s="37">
        <v>83855</v>
      </c>
      <c r="B1081" s="409">
        <f t="shared" ref="B1081:C1081" si="1097">($A1081-B$9)/365.25</f>
        <v>147.70431211498973</v>
      </c>
      <c r="C1081" s="409">
        <f t="shared" si="1097"/>
        <v>143.09377138945928</v>
      </c>
      <c r="E1081" s="25">
        <f>IF(C1081&gt;$B$7,0,'Combined Retirement'!$D$13/12)</f>
        <v>0</v>
      </c>
      <c r="F1081" s="25">
        <f>IF(H1081=0,'Combined Retirement'!$D$32,0)+'Combined Retirement'!$B$24</f>
        <v>2870.372285649099</v>
      </c>
      <c r="G1081" s="25">
        <f>'Combined Retirement'!$C$24</f>
        <v>3525.4531757812501</v>
      </c>
      <c r="H1081" s="25">
        <f>IF(B1081&lt;62,0,'Combined Retirement'!$I$14)</f>
        <v>2192</v>
      </c>
      <c r="I1081" s="25">
        <f>IF(C1081&lt;62,0,'Combined Retirement'!$I$13)</f>
        <v>2420</v>
      </c>
      <c r="J1081" s="25">
        <f t="shared" si="1043"/>
        <v>7863.2184191855868</v>
      </c>
      <c r="K1081" s="25">
        <f t="shared" si="1044"/>
        <v>20282.026119384056</v>
      </c>
      <c r="L1081" s="25"/>
      <c r="N1081" s="25">
        <f>'Combined Retirement'!$C$18/12</f>
        <v>39153.069999999992</v>
      </c>
      <c r="O1081" s="25">
        <f t="shared" si="1045"/>
        <v>11007.82546143035</v>
      </c>
      <c r="P1081" s="25">
        <f t="shared" si="1046"/>
        <v>28145.244538569641</v>
      </c>
      <c r="Q1081" s="25">
        <f t="array" aca="1" ref="Q1081" ca="1">INDEX('Isaac 401k'!L:L,MATCH('Retirement Calculator'!A1081,'Isaac 401k'!N:N,0),0)</f>
        <v>-13854172.753520453</v>
      </c>
      <c r="R1081" s="25">
        <f t="array" aca="1" ref="R1081" ca="1">INDEX('Lorri 401b'!L:L,MATCH('Retirement Calculator'!A1081,'Lorri 401b'!N:N,0),0)</f>
        <v>-35320013.272038415</v>
      </c>
      <c r="S1081" s="25">
        <f t="shared" ca="1" si="1047"/>
        <v>-49174186.025558867</v>
      </c>
    </row>
    <row r="1082" spans="1:19" ht="15.75" customHeight="1" x14ac:dyDescent="0.3">
      <c r="A1082" s="37">
        <v>83886</v>
      </c>
      <c r="B1082" s="409">
        <f t="shared" ref="B1082:C1082" si="1098">($A1082-B$9)/365.25</f>
        <v>147.78918548939083</v>
      </c>
      <c r="C1082" s="409">
        <f t="shared" si="1098"/>
        <v>143.17864476386038</v>
      </c>
      <c r="E1082" s="25">
        <f>IF(C1082&gt;$B$7,0,'Combined Retirement'!$D$13/12)</f>
        <v>0</v>
      </c>
      <c r="F1082" s="25">
        <f>IF(H1082=0,'Combined Retirement'!$D$32,0)+'Combined Retirement'!$B$24</f>
        <v>2870.372285649099</v>
      </c>
      <c r="G1082" s="25">
        <f>'Combined Retirement'!$C$24</f>
        <v>3525.4531757812501</v>
      </c>
      <c r="H1082" s="25">
        <f>IF(B1082&lt;62,0,'Combined Retirement'!$I$14)</f>
        <v>2192</v>
      </c>
      <c r="I1082" s="25">
        <f>IF(C1082&lt;62,0,'Combined Retirement'!$I$13)</f>
        <v>2420</v>
      </c>
      <c r="J1082" s="25">
        <f t="shared" si="1043"/>
        <v>7863.2184191855868</v>
      </c>
      <c r="K1082" s="25">
        <f t="shared" si="1044"/>
        <v>20282.026119384056</v>
      </c>
      <c r="L1082" s="25"/>
      <c r="N1082" s="25">
        <f>'Combined Retirement'!$C$18/12</f>
        <v>39153.069999999992</v>
      </c>
      <c r="O1082" s="25">
        <f t="shared" si="1045"/>
        <v>11007.82546143035</v>
      </c>
      <c r="P1082" s="25">
        <f t="shared" si="1046"/>
        <v>28145.244538569641</v>
      </c>
      <c r="Q1082" s="25">
        <f t="array" aca="1" ref="Q1082" ca="1">INDEX('Isaac 401k'!L:L,MATCH('Retirement Calculator'!A1082,'Isaac 401k'!N:N,0),0)</f>
        <v>-13919794.455156054</v>
      </c>
      <c r="R1082" s="25">
        <f t="array" aca="1" ref="R1082" ca="1">INDEX('Lorri 401b'!L:L,MATCH('Retirement Calculator'!A1082,'Lorri 401b'!N:N,0),0)</f>
        <v>-35487546.528566785</v>
      </c>
      <c r="S1082" s="25">
        <f t="shared" ca="1" si="1047"/>
        <v>-49407340.983722836</v>
      </c>
    </row>
    <row r="1083" spans="1:19" ht="15.75" customHeight="1" x14ac:dyDescent="0.3">
      <c r="A1083" s="37">
        <v>83916</v>
      </c>
      <c r="B1083" s="409">
        <f t="shared" ref="B1083:C1083" si="1099">($A1083-B$9)/365.25</f>
        <v>147.8713210130048</v>
      </c>
      <c r="C1083" s="409">
        <f t="shared" si="1099"/>
        <v>143.26078028747432</v>
      </c>
      <c r="E1083" s="25">
        <f>IF(C1083&gt;$B$7,0,'Combined Retirement'!$D$13/12)</f>
        <v>0</v>
      </c>
      <c r="F1083" s="25">
        <f>IF(H1083=0,'Combined Retirement'!$D$32,0)+'Combined Retirement'!$B$24</f>
        <v>2870.372285649099</v>
      </c>
      <c r="G1083" s="25">
        <f>'Combined Retirement'!$C$24</f>
        <v>3525.4531757812501</v>
      </c>
      <c r="H1083" s="25">
        <f>IF(B1083&lt;62,0,'Combined Retirement'!$I$14)</f>
        <v>2192</v>
      </c>
      <c r="I1083" s="25">
        <f>IF(C1083&lt;62,0,'Combined Retirement'!$I$13)</f>
        <v>2420</v>
      </c>
      <c r="J1083" s="25">
        <f t="shared" si="1043"/>
        <v>7863.2184191855868</v>
      </c>
      <c r="K1083" s="25">
        <f t="shared" si="1044"/>
        <v>20282.026119384056</v>
      </c>
      <c r="L1083" s="25"/>
      <c r="N1083" s="25">
        <f>'Combined Retirement'!$C$18/12</f>
        <v>39153.069999999992</v>
      </c>
      <c r="O1083" s="25">
        <f t="shared" si="1045"/>
        <v>11007.82546143035</v>
      </c>
      <c r="P1083" s="25">
        <f t="shared" si="1046"/>
        <v>28145.244538569641</v>
      </c>
      <c r="Q1083" s="25">
        <f t="array" aca="1" ref="Q1083" ca="1">INDEX('Isaac 401k'!L:L,MATCH('Retirement Calculator'!A1083,'Isaac 401k'!N:N,0),0)</f>
        <v>-13985689.580548469</v>
      </c>
      <c r="R1083" s="25">
        <f t="array" aca="1" ref="R1083" ca="1">INDEX('Lorri 401b'!L:L,MATCH('Retirement Calculator'!A1083,'Lorri 401b'!N:N,0),0)</f>
        <v>-35655777.84033069</v>
      </c>
      <c r="S1083" s="25">
        <f t="shared" ca="1" si="1047"/>
        <v>-49641467.420879155</v>
      </c>
    </row>
    <row r="1084" spans="1:19" ht="15.75" customHeight="1" x14ac:dyDescent="0.3">
      <c r="A1084" s="37">
        <v>83947</v>
      </c>
      <c r="B1084" s="409">
        <f t="shared" ref="B1084:C1084" si="1100">($A1084-B$9)/365.25</f>
        <v>147.95619438740587</v>
      </c>
      <c r="C1084" s="409">
        <f t="shared" si="1100"/>
        <v>143.34565366187542</v>
      </c>
      <c r="E1084" s="25">
        <f>IF(C1084&gt;$B$7,0,'Combined Retirement'!$D$13/12)</f>
        <v>0</v>
      </c>
      <c r="F1084" s="25">
        <f>IF(H1084=0,'Combined Retirement'!$D$32,0)+'Combined Retirement'!$B$24</f>
        <v>2870.372285649099</v>
      </c>
      <c r="G1084" s="25">
        <f>'Combined Retirement'!$C$24</f>
        <v>3525.4531757812501</v>
      </c>
      <c r="H1084" s="25">
        <f>IF(B1084&lt;62,0,'Combined Retirement'!$I$14)</f>
        <v>2192</v>
      </c>
      <c r="I1084" s="25">
        <f>IF(C1084&lt;62,0,'Combined Retirement'!$I$13)</f>
        <v>2420</v>
      </c>
      <c r="J1084" s="25">
        <f t="shared" si="1043"/>
        <v>7863.2184191855868</v>
      </c>
      <c r="K1084" s="25">
        <f t="shared" si="1044"/>
        <v>20282.026119384056</v>
      </c>
      <c r="L1084" s="25"/>
      <c r="N1084" s="25">
        <f>'Combined Retirement'!$C$18/12</f>
        <v>39153.069999999992</v>
      </c>
      <c r="O1084" s="25">
        <f t="shared" si="1045"/>
        <v>11007.82546143035</v>
      </c>
      <c r="P1084" s="25">
        <f t="shared" si="1046"/>
        <v>28145.244538569641</v>
      </c>
      <c r="Q1084" s="25">
        <f t="array" aca="1" ref="Q1084" ca="1">INDEX('Isaac 401k'!L:L,MATCH('Retirement Calculator'!A1084,'Isaac 401k'!N:N,0),0)</f>
        <v>-14051859.268963352</v>
      </c>
      <c r="R1084" s="25">
        <f t="array" aca="1" ref="R1084" ca="1">INDEX('Lorri 401b'!L:L,MATCH('Retirement Calculator'!A1084,'Lorri 401b'!N:N,0),0)</f>
        <v>-35824710.11589361</v>
      </c>
      <c r="S1084" s="25">
        <f t="shared" ca="1" si="1047"/>
        <v>-49876569.384856962</v>
      </c>
    </row>
    <row r="1085" spans="1:19" ht="15.75" customHeight="1" x14ac:dyDescent="0.3">
      <c r="A1085" s="37">
        <v>83977</v>
      </c>
      <c r="B1085" s="409">
        <f t="shared" ref="B1085:C1085" si="1101">($A1085-B$9)/365.25</f>
        <v>148.03832991101984</v>
      </c>
      <c r="C1085" s="409">
        <f t="shared" si="1101"/>
        <v>143.42778918548939</v>
      </c>
      <c r="E1085" s="25">
        <f>IF(C1085&gt;$B$7,0,'Combined Retirement'!$D$13/12)</f>
        <v>0</v>
      </c>
      <c r="F1085" s="25">
        <f>IF(H1085=0,'Combined Retirement'!$D$32,0)+'Combined Retirement'!$B$24</f>
        <v>2870.372285649099</v>
      </c>
      <c r="G1085" s="25">
        <f>'Combined Retirement'!$C$24</f>
        <v>3525.4531757812501</v>
      </c>
      <c r="H1085" s="25">
        <f>IF(B1085&lt;62,0,'Combined Retirement'!$I$14)</f>
        <v>2192</v>
      </c>
      <c r="I1085" s="25">
        <f>IF(C1085&lt;62,0,'Combined Retirement'!$I$13)</f>
        <v>2420</v>
      </c>
      <c r="J1085" s="25">
        <f t="shared" si="1043"/>
        <v>7863.2184191855868</v>
      </c>
      <c r="K1085" s="25">
        <f t="shared" si="1044"/>
        <v>20282.026119384056</v>
      </c>
      <c r="L1085" s="25"/>
      <c r="N1085" s="25">
        <f>'Combined Retirement'!$C$18/12</f>
        <v>39153.069999999992</v>
      </c>
      <c r="O1085" s="25">
        <f t="shared" si="1045"/>
        <v>11007.82546143035</v>
      </c>
      <c r="P1085" s="25">
        <f t="shared" si="1046"/>
        <v>28145.244538569641</v>
      </c>
      <c r="Q1085" s="25">
        <f t="array" aca="1" ref="Q1085" ca="1">INDEX('Isaac 401k'!L:L,MATCH('Retirement Calculator'!A1085,'Isaac 401k'!N:N,0),0)</f>
        <v>-14118304.664413298</v>
      </c>
      <c r="R1085" s="25">
        <f t="array" aca="1" ref="R1085" ca="1">INDEX('Lorri 401b'!L:L,MATCH('Retirement Calculator'!A1085,'Lorri 401b'!N:N,0),0)</f>
        <v>-35994346.275938042</v>
      </c>
      <c r="S1085" s="25">
        <f t="shared" ca="1" si="1047"/>
        <v>-50112650.940351337</v>
      </c>
    </row>
    <row r="1086" spans="1:19" ht="15.75" customHeight="1" x14ac:dyDescent="0.3">
      <c r="A1086" s="37">
        <v>84008</v>
      </c>
      <c r="B1086" s="409">
        <f t="shared" ref="B1086:C1086" si="1102">($A1086-B$9)/365.25</f>
        <v>148.12320328542094</v>
      </c>
      <c r="C1086" s="409">
        <f t="shared" si="1102"/>
        <v>143.51266255989049</v>
      </c>
      <c r="E1086" s="25">
        <f>IF(C1086&gt;$B$7,0,'Combined Retirement'!$D$13/12)</f>
        <v>0</v>
      </c>
      <c r="F1086" s="25">
        <f>IF(H1086=0,'Combined Retirement'!$D$32,0)+'Combined Retirement'!$B$24</f>
        <v>2870.372285649099</v>
      </c>
      <c r="G1086" s="25">
        <f>'Combined Retirement'!$C$24</f>
        <v>3525.4531757812501</v>
      </c>
      <c r="H1086" s="25">
        <f>IF(B1086&lt;62,0,'Combined Retirement'!$I$14)</f>
        <v>2192</v>
      </c>
      <c r="I1086" s="25">
        <f>IF(C1086&lt;62,0,'Combined Retirement'!$I$13)</f>
        <v>2420</v>
      </c>
      <c r="J1086" s="25">
        <f t="shared" si="1043"/>
        <v>7863.2184191855868</v>
      </c>
      <c r="K1086" s="25">
        <f t="shared" si="1044"/>
        <v>20282.026119384056</v>
      </c>
      <c r="L1086" s="25"/>
      <c r="N1086" s="25">
        <f>'Combined Retirement'!$C$18/12</f>
        <v>39153.069999999992</v>
      </c>
      <c r="O1086" s="25">
        <f t="shared" si="1045"/>
        <v>11007.82546143035</v>
      </c>
      <c r="P1086" s="25">
        <f t="shared" si="1046"/>
        <v>28145.244538569641</v>
      </c>
      <c r="Q1086" s="25">
        <f t="array" aca="1" ref="Q1086" ca="1">INDEX('Isaac 401k'!L:L,MATCH('Retirement Calculator'!A1086,'Isaac 401k'!N:N,0),0)</f>
        <v>-14185026.915677618</v>
      </c>
      <c r="R1086" s="25">
        <f t="array" aca="1" ref="R1086" ca="1">INDEX('Lorri 401b'!L:L,MATCH('Retirement Calculator'!A1086,'Lorri 401b'!N:N,0),0)</f>
        <v>-36164689.253315993</v>
      </c>
      <c r="S1086" s="25">
        <f t="shared" ca="1" si="1047"/>
        <v>-50349716.168993607</v>
      </c>
    </row>
    <row r="1087" spans="1:19" ht="15.75" customHeight="1" x14ac:dyDescent="0.3">
      <c r="A1087" s="37">
        <v>84039</v>
      </c>
      <c r="B1087" s="409">
        <f t="shared" ref="B1087:C1087" si="1103">($A1087-B$9)/365.25</f>
        <v>148.20807665982204</v>
      </c>
      <c r="C1087" s="409">
        <f t="shared" si="1103"/>
        <v>143.59753593429159</v>
      </c>
      <c r="E1087" s="25">
        <f>IF(C1087&gt;$B$7,0,'Combined Retirement'!$D$13/12)</f>
        <v>0</v>
      </c>
      <c r="F1087" s="25">
        <f>IF(H1087=0,'Combined Retirement'!$D$32,0)+'Combined Retirement'!$B$24</f>
        <v>2870.372285649099</v>
      </c>
      <c r="G1087" s="25">
        <f>'Combined Retirement'!$C$24</f>
        <v>3525.4531757812501</v>
      </c>
      <c r="H1087" s="25">
        <f>IF(B1087&lt;62,0,'Combined Retirement'!$I$14)</f>
        <v>2192</v>
      </c>
      <c r="I1087" s="25">
        <f>IF(C1087&lt;62,0,'Combined Retirement'!$I$13)</f>
        <v>2420</v>
      </c>
      <c r="J1087" s="25">
        <f t="shared" si="1043"/>
        <v>7863.2184191855868</v>
      </c>
      <c r="K1087" s="25">
        <f t="shared" si="1044"/>
        <v>20282.026119384056</v>
      </c>
      <c r="L1087" s="25"/>
      <c r="N1087" s="25">
        <f>'Combined Retirement'!$C$18/12</f>
        <v>39153.069999999992</v>
      </c>
      <c r="O1087" s="25">
        <f t="shared" si="1045"/>
        <v>11007.82546143035</v>
      </c>
      <c r="P1087" s="25">
        <f t="shared" si="1046"/>
        <v>28145.244538569641</v>
      </c>
      <c r="Q1087" s="25">
        <f t="array" aca="1" ref="Q1087" ca="1">INDEX('Isaac 401k'!L:L,MATCH('Retirement Calculator'!A1087,'Isaac 401k'!N:N,0),0)</f>
        <v>-14252027.176322207</v>
      </c>
      <c r="R1087" s="25">
        <f t="array" aca="1" ref="R1087" ca="1">INDEX('Lorri 401b'!L:L,MATCH('Retirement Calculator'!A1087,'Lorri 401b'!N:N,0),0)</f>
        <v>-36335741.993099689</v>
      </c>
      <c r="S1087" s="25">
        <f t="shared" ca="1" si="1047"/>
        <v>-50587769.169421896</v>
      </c>
    </row>
    <row r="1088" spans="1:19" ht="15.75" customHeight="1" x14ac:dyDescent="0.3">
      <c r="A1088" s="37">
        <v>84067</v>
      </c>
      <c r="B1088" s="409">
        <f t="shared" ref="B1088:C1088" si="1104">($A1088-B$9)/365.25</f>
        <v>148.28473648186173</v>
      </c>
      <c r="C1088" s="409">
        <f t="shared" si="1104"/>
        <v>143.67419575633127</v>
      </c>
      <c r="E1088" s="25">
        <f>IF(C1088&gt;$B$7,0,'Combined Retirement'!$D$13/12)</f>
        <v>0</v>
      </c>
      <c r="F1088" s="25">
        <f>IF(H1088=0,'Combined Retirement'!$D$32,0)+'Combined Retirement'!$B$24</f>
        <v>2870.372285649099</v>
      </c>
      <c r="G1088" s="25">
        <f>'Combined Retirement'!$C$24</f>
        <v>3525.4531757812501</v>
      </c>
      <c r="H1088" s="25">
        <f>IF(B1088&lt;62,0,'Combined Retirement'!$I$14)</f>
        <v>2192</v>
      </c>
      <c r="I1088" s="25">
        <f>IF(C1088&lt;62,0,'Combined Retirement'!$I$13)</f>
        <v>2420</v>
      </c>
      <c r="J1088" s="25">
        <f t="shared" si="1043"/>
        <v>7863.2184191855868</v>
      </c>
      <c r="K1088" s="25">
        <f t="shared" si="1044"/>
        <v>20282.026119384056</v>
      </c>
      <c r="L1088" s="25"/>
      <c r="N1088" s="25">
        <f>'Combined Retirement'!$C$18/12</f>
        <v>39153.069999999992</v>
      </c>
      <c r="O1088" s="25">
        <f t="shared" si="1045"/>
        <v>11007.82546143035</v>
      </c>
      <c r="P1088" s="25">
        <f t="shared" si="1046"/>
        <v>28145.244538569641</v>
      </c>
      <c r="Q1088" s="25">
        <f t="array" aca="1" ref="Q1088" ca="1">INDEX('Isaac 401k'!L:L,MATCH('Retirement Calculator'!A1088,'Isaac 401k'!N:N,0),0)</f>
        <v>-14319306.60471948</v>
      </c>
      <c r="R1088" s="25">
        <f t="array" aca="1" ref="R1088" ca="1">INDEX('Lorri 401b'!L:L,MATCH('Retirement Calculator'!A1088,'Lorri 401b'!N:N,0),0)</f>
        <v>-36507507.452632487</v>
      </c>
      <c r="S1088" s="25">
        <f t="shared" ca="1" si="1047"/>
        <v>-50826814.057351969</v>
      </c>
    </row>
    <row r="1089" spans="1:19" ht="15.75" customHeight="1" x14ac:dyDescent="0.3">
      <c r="A1089" s="37">
        <v>84098</v>
      </c>
      <c r="B1089" s="409">
        <f t="shared" ref="B1089:C1089" si="1105">($A1089-B$9)/365.25</f>
        <v>148.36960985626283</v>
      </c>
      <c r="C1089" s="409">
        <f t="shared" si="1105"/>
        <v>143.75906913073237</v>
      </c>
      <c r="E1089" s="25">
        <f>IF(C1089&gt;$B$7,0,'Combined Retirement'!$D$13/12)</f>
        <v>0</v>
      </c>
      <c r="F1089" s="25">
        <f>IF(H1089=0,'Combined Retirement'!$D$32,0)+'Combined Retirement'!$B$24</f>
        <v>2870.372285649099</v>
      </c>
      <c r="G1089" s="25">
        <f>'Combined Retirement'!$C$24</f>
        <v>3525.4531757812501</v>
      </c>
      <c r="H1089" s="25">
        <f>IF(B1089&lt;62,0,'Combined Retirement'!$I$14)</f>
        <v>2192</v>
      </c>
      <c r="I1089" s="25">
        <f>IF(C1089&lt;62,0,'Combined Retirement'!$I$13)</f>
        <v>2420</v>
      </c>
      <c r="J1089" s="25">
        <f t="shared" si="1043"/>
        <v>7863.2184191855868</v>
      </c>
      <c r="K1089" s="25">
        <f t="shared" si="1044"/>
        <v>20282.026119384056</v>
      </c>
      <c r="L1089" s="25"/>
      <c r="N1089" s="25">
        <f>'Combined Retirement'!$C$18/12</f>
        <v>39153.069999999992</v>
      </c>
      <c r="O1089" s="25">
        <f t="shared" si="1045"/>
        <v>11007.82546143035</v>
      </c>
      <c r="P1089" s="25">
        <f t="shared" si="1046"/>
        <v>28145.244538569641</v>
      </c>
      <c r="Q1089" s="25">
        <f t="array" aca="1" ref="Q1089" ca="1">INDEX('Isaac 401k'!L:L,MATCH('Retirement Calculator'!A1089,'Isaac 401k'!N:N,0),0)</f>
        <v>-14386866.364068409</v>
      </c>
      <c r="R1089" s="25">
        <f t="array" aca="1" ref="R1089" ca="1">INDEX('Lorri 401b'!L:L,MATCH('Retirement Calculator'!A1089,'Lorri 401b'!N:N,0),0)</f>
        <v>-36679988.601580001</v>
      </c>
      <c r="S1089" s="25">
        <f t="shared" ca="1" si="1047"/>
        <v>-51066854.965648413</v>
      </c>
    </row>
    <row r="1090" spans="1:19" ht="15.75" customHeight="1" x14ac:dyDescent="0.3">
      <c r="A1090" s="37">
        <v>84128</v>
      </c>
      <c r="B1090" s="409">
        <f t="shared" ref="B1090:C1090" si="1106">($A1090-B$9)/365.25</f>
        <v>148.4517453798768</v>
      </c>
      <c r="C1090" s="409">
        <f t="shared" si="1106"/>
        <v>143.84120465434634</v>
      </c>
      <c r="E1090" s="25">
        <f>IF(C1090&gt;$B$7,0,'Combined Retirement'!$D$13/12)</f>
        <v>0</v>
      </c>
      <c r="F1090" s="25">
        <f>IF(H1090=0,'Combined Retirement'!$D$32,0)+'Combined Retirement'!$B$24</f>
        <v>2870.372285649099</v>
      </c>
      <c r="G1090" s="25">
        <f>'Combined Retirement'!$C$24</f>
        <v>3525.4531757812501</v>
      </c>
      <c r="H1090" s="25">
        <f>IF(B1090&lt;62,0,'Combined Retirement'!$I$14)</f>
        <v>2192</v>
      </c>
      <c r="I1090" s="25">
        <f>IF(C1090&lt;62,0,'Combined Retirement'!$I$13)</f>
        <v>2420</v>
      </c>
      <c r="J1090" s="25">
        <f t="shared" si="1043"/>
        <v>7863.2184191855868</v>
      </c>
      <c r="K1090" s="25">
        <f t="shared" si="1044"/>
        <v>20282.026119384056</v>
      </c>
      <c r="L1090" s="25"/>
      <c r="N1090" s="25">
        <f>'Combined Retirement'!$C$18/12</f>
        <v>39153.069999999992</v>
      </c>
      <c r="O1090" s="25">
        <f t="shared" si="1045"/>
        <v>11007.82546143035</v>
      </c>
      <c r="P1090" s="25">
        <f t="shared" si="1046"/>
        <v>28145.244538569641</v>
      </c>
      <c r="Q1090" s="25">
        <f t="array" aca="1" ref="Q1090" ca="1">INDEX('Isaac 401k'!L:L,MATCH('Retirement Calculator'!A1090,'Isaac 401k'!N:N,0),0)</f>
        <v>-14454707.622414626</v>
      </c>
      <c r="R1090" s="25">
        <f t="array" aca="1" ref="R1090" ca="1">INDEX('Lorri 401b'!L:L,MATCH('Retirement Calculator'!A1090,'Lorri 401b'!N:N,0),0)</f>
        <v>-36853188.421981461</v>
      </c>
      <c r="S1090" s="25">
        <f t="shared" ca="1" si="1047"/>
        <v>-51307896.044396088</v>
      </c>
    </row>
    <row r="1091" spans="1:19" ht="15.75" customHeight="1" x14ac:dyDescent="0.3">
      <c r="A1091" s="37">
        <v>84159</v>
      </c>
      <c r="B1091" s="409">
        <f t="shared" ref="B1091:C1091" si="1107">($A1091-B$9)/365.25</f>
        <v>148.5366187542779</v>
      </c>
      <c r="C1091" s="409">
        <f t="shared" si="1107"/>
        <v>143.92607802874744</v>
      </c>
      <c r="E1091" s="25">
        <f>IF(C1091&gt;$B$7,0,'Combined Retirement'!$D$13/12)</f>
        <v>0</v>
      </c>
      <c r="F1091" s="25">
        <f>IF(H1091=0,'Combined Retirement'!$D$32,0)+'Combined Retirement'!$B$24</f>
        <v>2870.372285649099</v>
      </c>
      <c r="G1091" s="25">
        <f>'Combined Retirement'!$C$24</f>
        <v>3525.4531757812501</v>
      </c>
      <c r="H1091" s="25">
        <f>IF(B1091&lt;62,0,'Combined Retirement'!$I$14)</f>
        <v>2192</v>
      </c>
      <c r="I1091" s="25">
        <f>IF(C1091&lt;62,0,'Combined Retirement'!$I$13)</f>
        <v>2420</v>
      </c>
      <c r="J1091" s="25">
        <f t="shared" si="1043"/>
        <v>7863.2184191855868</v>
      </c>
      <c r="K1091" s="25">
        <f t="shared" si="1044"/>
        <v>20282.026119384056</v>
      </c>
      <c r="L1091" s="25"/>
      <c r="N1091" s="25">
        <f>'Combined Retirement'!$C$18/12</f>
        <v>39153.069999999992</v>
      </c>
      <c r="O1091" s="25">
        <f t="shared" si="1045"/>
        <v>11007.82546143035</v>
      </c>
      <c r="P1091" s="25">
        <f t="shared" si="1046"/>
        <v>28145.244538569641</v>
      </c>
      <c r="Q1091" s="25">
        <f t="array" aca="1" ref="Q1091" ca="1">INDEX('Isaac 401k'!L:L,MATCH('Retirement Calculator'!A1091,'Isaac 401k'!N:N,0),0)</f>
        <v>-14522831.552670619</v>
      </c>
      <c r="R1091" s="25">
        <f t="array" aca="1" ref="R1091" ca="1">INDEX('Lorri 401b'!L:L,MATCH('Retirement Calculator'!A1091,'Lorri 401b'!N:N,0),0)</f>
        <v>-37027109.908301264</v>
      </c>
      <c r="S1091" s="25">
        <f t="shared" ca="1" si="1047"/>
        <v>-51549941.460971884</v>
      </c>
    </row>
    <row r="1092" spans="1:19" ht="15.75" customHeight="1" x14ac:dyDescent="0.3">
      <c r="A1092" s="37">
        <v>84189</v>
      </c>
      <c r="B1092" s="409">
        <f t="shared" ref="B1092:C1092" si="1108">($A1092-B$9)/365.25</f>
        <v>148.61875427789187</v>
      </c>
      <c r="C1092" s="409">
        <f t="shared" si="1108"/>
        <v>144.00821355236138</v>
      </c>
      <c r="E1092" s="25">
        <f>IF(C1092&gt;$B$7,0,'Combined Retirement'!$D$13/12)</f>
        <v>0</v>
      </c>
      <c r="F1092" s="25">
        <f>IF(H1092=0,'Combined Retirement'!$D$32,0)+'Combined Retirement'!$B$24</f>
        <v>2870.372285649099</v>
      </c>
      <c r="G1092" s="25">
        <f>'Combined Retirement'!$C$24</f>
        <v>3525.4531757812501</v>
      </c>
      <c r="H1092" s="25">
        <f>IF(B1092&lt;62,0,'Combined Retirement'!$I$14)</f>
        <v>2192</v>
      </c>
      <c r="I1092" s="25">
        <f>IF(C1092&lt;62,0,'Combined Retirement'!$I$13)</f>
        <v>2420</v>
      </c>
      <c r="J1092" s="25">
        <f t="shared" si="1043"/>
        <v>7863.2184191855868</v>
      </c>
      <c r="K1092" s="25">
        <f t="shared" si="1044"/>
        <v>20282.026119384056</v>
      </c>
      <c r="L1092" s="25"/>
      <c r="N1092" s="25">
        <f>'Combined Retirement'!$C$18/12</f>
        <v>39153.069999999992</v>
      </c>
      <c r="O1092" s="25">
        <f t="shared" si="1045"/>
        <v>11007.82546143035</v>
      </c>
      <c r="P1092" s="25">
        <f t="shared" si="1046"/>
        <v>28145.244538569641</v>
      </c>
      <c r="Q1092" s="25">
        <f t="array" aca="1" ref="Q1092" ca="1">INDEX('Isaac 401k'!L:L,MATCH('Retirement Calculator'!A1092,'Isaac 401k'!N:N,0),0)</f>
        <v>-14591239.332636012</v>
      </c>
      <c r="R1092" s="25">
        <f t="array" aca="1" ref="R1092" ca="1">INDEX('Lorri 401b'!L:L,MATCH('Retirement Calculator'!A1092,'Lorri 401b'!N:N,0),0)</f>
        <v>-37201756.067480728</v>
      </c>
      <c r="S1092" s="25">
        <f t="shared" ca="1" si="1047"/>
        <v>-51792995.400116742</v>
      </c>
    </row>
    <row r="1093" spans="1:19" ht="15.75" customHeight="1" x14ac:dyDescent="0.3">
      <c r="A1093" s="37">
        <v>84220</v>
      </c>
      <c r="B1093" s="409">
        <f t="shared" ref="B1093:C1093" si="1109">($A1093-B$9)/365.25</f>
        <v>148.70362765229294</v>
      </c>
      <c r="C1093" s="409">
        <f t="shared" si="1109"/>
        <v>144.09308692676248</v>
      </c>
      <c r="E1093" s="25">
        <f>IF(C1093&gt;$B$7,0,'Combined Retirement'!$D$13/12)</f>
        <v>0</v>
      </c>
      <c r="F1093" s="25">
        <f>IF(H1093=0,'Combined Retirement'!$D$32,0)+'Combined Retirement'!$B$24</f>
        <v>2870.372285649099</v>
      </c>
      <c r="G1093" s="25">
        <f>'Combined Retirement'!$C$24</f>
        <v>3525.4531757812501</v>
      </c>
      <c r="H1093" s="25">
        <f>IF(B1093&lt;62,0,'Combined Retirement'!$I$14)</f>
        <v>2192</v>
      </c>
      <c r="I1093" s="25">
        <f>IF(C1093&lt;62,0,'Combined Retirement'!$I$13)</f>
        <v>2420</v>
      </c>
      <c r="J1093" s="25">
        <f t="shared" si="1043"/>
        <v>7863.2184191855868</v>
      </c>
      <c r="K1093" s="25">
        <f t="shared" si="1044"/>
        <v>20282.026119384056</v>
      </c>
      <c r="L1093" s="25"/>
      <c r="N1093" s="25">
        <f>'Combined Retirement'!$C$18/12</f>
        <v>39153.069999999992</v>
      </c>
      <c r="O1093" s="25">
        <f t="shared" si="1045"/>
        <v>11007.82546143035</v>
      </c>
      <c r="P1093" s="25">
        <f t="shared" si="1046"/>
        <v>28145.244538569641</v>
      </c>
      <c r="Q1093" s="25">
        <f t="array" aca="1" ref="Q1093" ca="1">INDEX('Isaac 401k'!L:L,MATCH('Retirement Calculator'!A1093,'Isaac 401k'!N:N,0),0)</f>
        <v>-14659932.145017928</v>
      </c>
      <c r="R1093" s="25">
        <f t="array" aca="1" ref="R1093" ca="1">INDEX('Lorri 401b'!L:L,MATCH('Retirement Calculator'!A1093,'Lorri 401b'!N:N,0),0)</f>
        <v>-37377129.918990113</v>
      </c>
      <c r="S1093" s="25">
        <f t="shared" ca="1" si="1047"/>
        <v>-52037062.064008042</v>
      </c>
    </row>
    <row r="1094" spans="1:19" ht="15.75" customHeight="1" x14ac:dyDescent="0.3">
      <c r="A1094" s="37">
        <v>84251</v>
      </c>
      <c r="B1094" s="409">
        <f t="shared" ref="B1094:C1094" si="1110">($A1094-B$9)/365.25</f>
        <v>148.78850102669404</v>
      </c>
      <c r="C1094" s="409">
        <f t="shared" si="1110"/>
        <v>144.17796030116358</v>
      </c>
      <c r="E1094" s="25">
        <f>IF(C1094&gt;$B$7,0,'Combined Retirement'!$D$13/12)</f>
        <v>0</v>
      </c>
      <c r="F1094" s="25">
        <f>IF(H1094=0,'Combined Retirement'!$D$32,0)+'Combined Retirement'!$B$24</f>
        <v>2870.372285649099</v>
      </c>
      <c r="G1094" s="25">
        <f>'Combined Retirement'!$C$24</f>
        <v>3525.4531757812501</v>
      </c>
      <c r="H1094" s="25">
        <f>IF(B1094&lt;62,0,'Combined Retirement'!$I$14)</f>
        <v>2192</v>
      </c>
      <c r="I1094" s="25">
        <f>IF(C1094&lt;62,0,'Combined Retirement'!$I$13)</f>
        <v>2420</v>
      </c>
      <c r="J1094" s="25">
        <f t="shared" si="1043"/>
        <v>7863.2184191855868</v>
      </c>
      <c r="K1094" s="25">
        <f t="shared" si="1044"/>
        <v>20282.026119384056</v>
      </c>
      <c r="L1094" s="25"/>
      <c r="N1094" s="25">
        <f>'Combined Retirement'!$C$18/12</f>
        <v>39153.069999999992</v>
      </c>
      <c r="O1094" s="25">
        <f t="shared" si="1045"/>
        <v>11007.82546143035</v>
      </c>
      <c r="P1094" s="25">
        <f t="shared" si="1046"/>
        <v>28145.244538569641</v>
      </c>
      <c r="Q1094" s="25">
        <f t="array" aca="1" ref="Q1094" ca="1">INDEX('Isaac 401k'!L:L,MATCH('Retirement Calculator'!A1094,'Isaac 401k'!N:N,0),0)</f>
        <v>-14728911.177451434</v>
      </c>
      <c r="R1094" s="25">
        <f t="array" aca="1" ref="R1094" ca="1">INDEX('Lorri 401b'!L:L,MATCH('Retirement Calculator'!A1094,'Lorri 401b'!N:N,0),0)</f>
        <v>-37553234.494880781</v>
      </c>
      <c r="S1094" s="25">
        <f t="shared" ca="1" si="1047"/>
        <v>-52282145.672332212</v>
      </c>
    </row>
    <row r="1095" spans="1:19" ht="15.75" customHeight="1" x14ac:dyDescent="0.3">
      <c r="A1095" s="37">
        <v>84281</v>
      </c>
      <c r="B1095" s="409">
        <f t="shared" ref="B1095:C1095" si="1111">($A1095-B$9)/365.25</f>
        <v>148.87063655030801</v>
      </c>
      <c r="C1095" s="409">
        <f t="shared" si="1111"/>
        <v>144.26009582477755</v>
      </c>
      <c r="E1095" s="25">
        <f>IF(C1095&gt;$B$7,0,'Combined Retirement'!$D$13/12)</f>
        <v>0</v>
      </c>
      <c r="F1095" s="25">
        <f>IF(H1095=0,'Combined Retirement'!$D$32,0)+'Combined Retirement'!$B$24</f>
        <v>2870.372285649099</v>
      </c>
      <c r="G1095" s="25">
        <f>'Combined Retirement'!$C$24</f>
        <v>3525.4531757812501</v>
      </c>
      <c r="H1095" s="25">
        <f>IF(B1095&lt;62,0,'Combined Retirement'!$I$14)</f>
        <v>2192</v>
      </c>
      <c r="I1095" s="25">
        <f>IF(C1095&lt;62,0,'Combined Retirement'!$I$13)</f>
        <v>2420</v>
      </c>
      <c r="J1095" s="25">
        <f t="shared" si="1043"/>
        <v>7863.2184191855868</v>
      </c>
      <c r="K1095" s="25">
        <f t="shared" si="1044"/>
        <v>20282.026119384056</v>
      </c>
      <c r="L1095" s="25"/>
      <c r="N1095" s="25">
        <f>'Combined Retirement'!$C$18/12</f>
        <v>39153.069999999992</v>
      </c>
      <c r="O1095" s="25">
        <f t="shared" si="1045"/>
        <v>11007.82546143035</v>
      </c>
      <c r="P1095" s="25">
        <f t="shared" si="1046"/>
        <v>28145.244538569641</v>
      </c>
      <c r="Q1095" s="25">
        <f t="array" aca="1" ref="Q1095" ca="1">INDEX('Isaac 401k'!L:L,MATCH('Retirement Calculator'!A1095,'Isaac 401k'!N:N,0),0)</f>
        <v>-14798177.62252008</v>
      </c>
      <c r="R1095" s="25">
        <f t="array" aca="1" ref="R1095" ca="1">INDEX('Lorri 401b'!L:L,MATCH('Retirement Calculator'!A1095,'Lorri 401b'!N:N,0),0)</f>
        <v>-37730072.839837663</v>
      </c>
      <c r="S1095" s="25">
        <f t="shared" ca="1" si="1047"/>
        <v>-52528250.462357745</v>
      </c>
    </row>
    <row r="1096" spans="1:19" ht="15.75" customHeight="1" x14ac:dyDescent="0.3">
      <c r="A1096" s="37">
        <v>84312</v>
      </c>
      <c r="B1096" s="409">
        <f t="shared" ref="B1096:C1096" si="1112">($A1096-B$9)/365.25</f>
        <v>148.95550992470911</v>
      </c>
      <c r="C1096" s="409">
        <f t="shared" si="1112"/>
        <v>144.34496919917865</v>
      </c>
      <c r="E1096" s="25">
        <f>IF(C1096&gt;$B$7,0,'Combined Retirement'!$D$13/12)</f>
        <v>0</v>
      </c>
      <c r="F1096" s="25">
        <f>IF(H1096=0,'Combined Retirement'!$D$32,0)+'Combined Retirement'!$B$24</f>
        <v>2870.372285649099</v>
      </c>
      <c r="G1096" s="25">
        <f>'Combined Retirement'!$C$24</f>
        <v>3525.4531757812501</v>
      </c>
      <c r="H1096" s="25">
        <f>IF(B1096&lt;62,0,'Combined Retirement'!$I$14)</f>
        <v>2192</v>
      </c>
      <c r="I1096" s="25">
        <f>IF(C1096&lt;62,0,'Combined Retirement'!$I$13)</f>
        <v>2420</v>
      </c>
      <c r="J1096" s="25">
        <f t="shared" si="1043"/>
        <v>7863.2184191855868</v>
      </c>
      <c r="K1096" s="25">
        <f t="shared" si="1044"/>
        <v>20282.026119384056</v>
      </c>
      <c r="L1096" s="25"/>
      <c r="N1096" s="25">
        <f>'Combined Retirement'!$C$18/12</f>
        <v>39153.069999999992</v>
      </c>
      <c r="O1096" s="25">
        <f t="shared" si="1045"/>
        <v>11007.82546143035</v>
      </c>
      <c r="P1096" s="25">
        <f t="shared" si="1046"/>
        <v>28145.244538569641</v>
      </c>
      <c r="Q1096" s="25">
        <f t="array" aca="1" ref="Q1096" ca="1">INDEX('Isaac 401k'!L:L,MATCH('Retirement Calculator'!A1096,'Isaac 401k'!N:N,0),0)</f>
        <v>-14867732.677776512</v>
      </c>
      <c r="R1096" s="25">
        <f t="array" aca="1" ref="R1096" ca="1">INDEX('Lorri 401b'!L:L,MATCH('Retirement Calculator'!A1096,'Lorri 401b'!N:N,0),0)</f>
        <v>-37907648.011231862</v>
      </c>
      <c r="S1096" s="25">
        <f t="shared" ca="1" si="1047"/>
        <v>-52775380.68900837</v>
      </c>
    </row>
    <row r="1097" spans="1:19" ht="15.75" customHeight="1" x14ac:dyDescent="0.3">
      <c r="A1097" s="37">
        <v>84342</v>
      </c>
      <c r="B1097" s="409">
        <f t="shared" ref="B1097:C1097" si="1113">($A1097-B$9)/365.25</f>
        <v>149.03764544832308</v>
      </c>
      <c r="C1097" s="409">
        <f t="shared" si="1113"/>
        <v>144.42710472279262</v>
      </c>
      <c r="E1097" s="25">
        <f>IF(C1097&gt;$B$7,0,'Combined Retirement'!$D$13/12)</f>
        <v>0</v>
      </c>
      <c r="F1097" s="25">
        <f>IF(H1097=0,'Combined Retirement'!$D$32,0)+'Combined Retirement'!$B$24</f>
        <v>2870.372285649099</v>
      </c>
      <c r="G1097" s="25">
        <f>'Combined Retirement'!$C$24</f>
        <v>3525.4531757812501</v>
      </c>
      <c r="H1097" s="25">
        <f>IF(B1097&lt;62,0,'Combined Retirement'!$I$14)</f>
        <v>2192</v>
      </c>
      <c r="I1097" s="25">
        <f>IF(C1097&lt;62,0,'Combined Retirement'!$I$13)</f>
        <v>2420</v>
      </c>
      <c r="J1097" s="25">
        <f t="shared" si="1043"/>
        <v>7863.2184191855868</v>
      </c>
      <c r="K1097" s="25">
        <f t="shared" si="1044"/>
        <v>20282.026119384056</v>
      </c>
      <c r="L1097" s="25"/>
      <c r="N1097" s="25">
        <f>'Combined Retirement'!$C$18/12</f>
        <v>39153.069999999992</v>
      </c>
      <c r="O1097" s="25">
        <f t="shared" si="1045"/>
        <v>11007.82546143035</v>
      </c>
      <c r="P1097" s="25">
        <f t="shared" si="1046"/>
        <v>28145.244538569641</v>
      </c>
      <c r="Q1097" s="25">
        <f t="array" aca="1" ref="Q1097" ca="1">INDEX('Isaac 401k'!L:L,MATCH('Retirement Calculator'!A1097,'Isaac 401k'!N:N,0),0)</f>
        <v>-14937577.54576318</v>
      </c>
      <c r="R1097" s="25">
        <f t="array" aca="1" ref="R1097" ca="1">INDEX('Lorri 401b'!L:L,MATCH('Retirement Calculator'!A1097,'Lorri 401b'!N:N,0),0)</f>
        <v>-38085963.079173543</v>
      </c>
      <c r="S1097" s="25">
        <f t="shared" ca="1" si="1047"/>
        <v>-53023540.624936722</v>
      </c>
    </row>
    <row r="1098" spans="1:19" ht="15.75" customHeight="1" x14ac:dyDescent="0.3">
      <c r="A1098" s="37">
        <v>84373</v>
      </c>
      <c r="B1098" s="409">
        <f t="shared" ref="B1098:C1098" si="1114">($A1098-B$9)/365.25</f>
        <v>149.12251882272417</v>
      </c>
      <c r="C1098" s="409">
        <f t="shared" si="1114"/>
        <v>144.51197809719369</v>
      </c>
      <c r="E1098" s="25">
        <f>IF(C1098&gt;$B$7,0,'Combined Retirement'!$D$13/12)</f>
        <v>0</v>
      </c>
      <c r="F1098" s="25">
        <f>IF(H1098=0,'Combined Retirement'!$D$32,0)+'Combined Retirement'!$B$24</f>
        <v>2870.372285649099</v>
      </c>
      <c r="G1098" s="25">
        <f>'Combined Retirement'!$C$24</f>
        <v>3525.4531757812501</v>
      </c>
      <c r="H1098" s="25">
        <f>IF(B1098&lt;62,0,'Combined Retirement'!$I$14)</f>
        <v>2192</v>
      </c>
      <c r="I1098" s="25">
        <f>IF(C1098&lt;62,0,'Combined Retirement'!$I$13)</f>
        <v>2420</v>
      </c>
      <c r="J1098" s="25">
        <f t="shared" si="1043"/>
        <v>7863.2184191855868</v>
      </c>
      <c r="K1098" s="25">
        <f t="shared" si="1044"/>
        <v>20282.026119384056</v>
      </c>
      <c r="L1098" s="25"/>
      <c r="N1098" s="25">
        <f>'Combined Retirement'!$C$18/12</f>
        <v>39153.069999999992</v>
      </c>
      <c r="O1098" s="25">
        <f t="shared" si="1045"/>
        <v>11007.82546143035</v>
      </c>
      <c r="P1098" s="25">
        <f t="shared" si="1046"/>
        <v>28145.244538569641</v>
      </c>
      <c r="Q1098" s="25">
        <f t="array" aca="1" ref="Q1098" ca="1">INDEX('Isaac 401k'!L:L,MATCH('Retirement Calculator'!A1098,'Isaac 401k'!N:N,0),0)</f>
        <v>-15007713.434033124</v>
      </c>
      <c r="R1098" s="25">
        <f t="array" aca="1" ref="R1098" ca="1">INDEX('Lorri 401b'!L:L,MATCH('Retirement Calculator'!A1098,'Lorri 401b'!N:N,0),0)</f>
        <v>-38265021.12656498</v>
      </c>
      <c r="S1098" s="25">
        <f t="shared" ca="1" si="1047"/>
        <v>-53272734.560598105</v>
      </c>
    </row>
    <row r="1099" spans="1:19" ht="15.75" customHeight="1" x14ac:dyDescent="0.3">
      <c r="A1099" s="37">
        <v>84404</v>
      </c>
      <c r="B1099" s="409">
        <f t="shared" ref="B1099:C1099" si="1115">($A1099-B$9)/365.25</f>
        <v>149.20739219712524</v>
      </c>
      <c r="C1099" s="409">
        <f t="shared" si="1115"/>
        <v>144.59685147159479</v>
      </c>
      <c r="E1099" s="25">
        <f>IF(C1099&gt;$B$7,0,'Combined Retirement'!$D$13/12)</f>
        <v>0</v>
      </c>
      <c r="F1099" s="25">
        <f>IF(H1099=0,'Combined Retirement'!$D$32,0)+'Combined Retirement'!$B$24</f>
        <v>2870.372285649099</v>
      </c>
      <c r="G1099" s="25">
        <f>'Combined Retirement'!$C$24</f>
        <v>3525.4531757812501</v>
      </c>
      <c r="H1099" s="25">
        <f>IF(B1099&lt;62,0,'Combined Retirement'!$I$14)</f>
        <v>2192</v>
      </c>
      <c r="I1099" s="25">
        <f>IF(C1099&lt;62,0,'Combined Retirement'!$I$13)</f>
        <v>2420</v>
      </c>
      <c r="J1099" s="25">
        <f t="shared" si="1043"/>
        <v>7863.2184191855868</v>
      </c>
      <c r="K1099" s="25">
        <f t="shared" si="1044"/>
        <v>20282.026119384056</v>
      </c>
      <c r="L1099" s="25"/>
      <c r="N1099" s="25">
        <f>'Combined Retirement'!$C$18/12</f>
        <v>39153.069999999992</v>
      </c>
      <c r="O1099" s="25">
        <f t="shared" si="1045"/>
        <v>11007.82546143035</v>
      </c>
      <c r="P1099" s="25">
        <f t="shared" si="1046"/>
        <v>28145.244538569641</v>
      </c>
      <c r="Q1099" s="25">
        <f t="array" aca="1" ref="Q1099" ca="1">INDEX('Isaac 401k'!L:L,MATCH('Retirement Calculator'!A1099,'Isaac 401k'!N:N,0),0)</f>
        <v>-15078141.55517086</v>
      </c>
      <c r="R1099" s="25">
        <f t="array" aca="1" ref="R1099" ca="1">INDEX('Lorri 401b'!L:L,MATCH('Retirement Calculator'!A1099,'Lorri 401b'!N:N,0),0)</f>
        <v>-38444825.249153882</v>
      </c>
      <c r="S1099" s="25">
        <f t="shared" ca="1" si="1047"/>
        <v>-53522966.804324746</v>
      </c>
    </row>
    <row r="1100" spans="1:19" ht="15.75" customHeight="1" x14ac:dyDescent="0.3">
      <c r="A1100" s="37">
        <v>84432</v>
      </c>
      <c r="B1100" s="409">
        <f t="shared" ref="B1100:C1100" si="1116">($A1100-B$9)/365.25</f>
        <v>149.28405201916496</v>
      </c>
      <c r="C1100" s="409">
        <f t="shared" si="1116"/>
        <v>144.6735112936345</v>
      </c>
      <c r="E1100" s="25">
        <f>IF(C1100&gt;$B$7,0,'Combined Retirement'!$D$13/12)</f>
        <v>0</v>
      </c>
      <c r="F1100" s="25">
        <f>IF(H1100=0,'Combined Retirement'!$D$32,0)+'Combined Retirement'!$B$24</f>
        <v>2870.372285649099</v>
      </c>
      <c r="G1100" s="25">
        <f>'Combined Retirement'!$C$24</f>
        <v>3525.4531757812501</v>
      </c>
      <c r="H1100" s="25">
        <f>IF(B1100&lt;62,0,'Combined Retirement'!$I$14)</f>
        <v>2192</v>
      </c>
      <c r="I1100" s="25">
        <f>IF(C1100&lt;62,0,'Combined Retirement'!$I$13)</f>
        <v>2420</v>
      </c>
      <c r="J1100" s="25">
        <f t="shared" si="1043"/>
        <v>7863.2184191855868</v>
      </c>
      <c r="K1100" s="25">
        <f t="shared" si="1044"/>
        <v>20282.026119384056</v>
      </c>
      <c r="L1100" s="25"/>
      <c r="N1100" s="25">
        <f>'Combined Retirement'!$C$18/12</f>
        <v>39153.069999999992</v>
      </c>
      <c r="O1100" s="25">
        <f t="shared" si="1045"/>
        <v>11007.82546143035</v>
      </c>
      <c r="P1100" s="25">
        <f t="shared" si="1046"/>
        <v>28145.244538569641</v>
      </c>
      <c r="Q1100" s="25">
        <f t="array" aca="1" ref="Q1100" ca="1">INDEX('Isaac 401k'!L:L,MATCH('Retirement Calculator'!A1100,'Isaac 401k'!N:N,0),0)</f>
        <v>-15148863.126813337</v>
      </c>
      <c r="R1100" s="25">
        <f t="array" aca="1" ref="R1100" ca="1">INDEX('Lorri 401b'!L:L,MATCH('Retirement Calculator'!A1100,'Lorri 401b'!N:N,0),0)</f>
        <v>-38625378.555586904</v>
      </c>
      <c r="S1100" s="25">
        <f t="shared" ca="1" si="1047"/>
        <v>-53774241.682400241</v>
      </c>
    </row>
    <row r="1101" spans="1:19" ht="15.75" customHeight="1" x14ac:dyDescent="0.3">
      <c r="A1101" s="37">
        <v>84463</v>
      </c>
      <c r="B1101" s="409">
        <f t="shared" ref="B1101:C1101" si="1117">($A1101-B$9)/365.25</f>
        <v>149.36892539356606</v>
      </c>
      <c r="C1101" s="409">
        <f t="shared" si="1117"/>
        <v>144.7583846680356</v>
      </c>
      <c r="E1101" s="25">
        <f>IF(C1101&gt;$B$7,0,'Combined Retirement'!$D$13/12)</f>
        <v>0</v>
      </c>
      <c r="F1101" s="25">
        <f>IF(H1101=0,'Combined Retirement'!$D$32,0)+'Combined Retirement'!$B$24</f>
        <v>2870.372285649099</v>
      </c>
      <c r="G1101" s="25">
        <f>'Combined Retirement'!$C$24</f>
        <v>3525.4531757812501</v>
      </c>
      <c r="H1101" s="25">
        <f>IF(B1101&lt;62,0,'Combined Retirement'!$I$14)</f>
        <v>2192</v>
      </c>
      <c r="I1101" s="25">
        <f>IF(C1101&lt;62,0,'Combined Retirement'!$I$13)</f>
        <v>2420</v>
      </c>
      <c r="J1101" s="25">
        <f t="shared" si="1043"/>
        <v>7863.2184191855868</v>
      </c>
      <c r="K1101" s="25">
        <f t="shared" si="1044"/>
        <v>20282.026119384056</v>
      </c>
      <c r="L1101" s="25"/>
      <c r="N1101" s="25">
        <f>'Combined Retirement'!$C$18/12</f>
        <v>39153.069999999992</v>
      </c>
      <c r="O1101" s="25">
        <f t="shared" si="1045"/>
        <v>11007.82546143035</v>
      </c>
      <c r="P1101" s="25">
        <f t="shared" si="1046"/>
        <v>28145.244538569641</v>
      </c>
      <c r="Q1101" s="25">
        <f t="array" aca="1" ref="Q1101" ca="1">INDEX('Isaac 401k'!L:L,MATCH('Retirement Calculator'!A1101,'Isaac 401k'!N:N,0),0)</f>
        <v>-15219879.371670991</v>
      </c>
      <c r="R1101" s="25">
        <f t="array" aca="1" ref="R1101" ca="1">INDEX('Lorri 401b'!L:L,MATCH('Retirement Calculator'!A1101,'Lorri 401b'!N:N,0),0)</f>
        <v>-38806684.167463392</v>
      </c>
      <c r="S1101" s="25">
        <f t="shared" ca="1" si="1047"/>
        <v>-54026563.539134383</v>
      </c>
    </row>
    <row r="1102" spans="1:19" ht="15.75" customHeight="1" x14ac:dyDescent="0.3">
      <c r="A1102" s="37">
        <v>84493</v>
      </c>
      <c r="B1102" s="409">
        <f t="shared" ref="B1102:C1102" si="1118">($A1102-B$9)/365.25</f>
        <v>149.45106091718</v>
      </c>
      <c r="C1102" s="409">
        <f t="shared" si="1118"/>
        <v>144.84052019164955</v>
      </c>
      <c r="E1102" s="25">
        <f>IF(C1102&gt;$B$7,0,'Combined Retirement'!$D$13/12)</f>
        <v>0</v>
      </c>
      <c r="F1102" s="25">
        <f>IF(H1102=0,'Combined Retirement'!$D$32,0)+'Combined Retirement'!$B$24</f>
        <v>2870.372285649099</v>
      </c>
      <c r="G1102" s="25">
        <f>'Combined Retirement'!$C$24</f>
        <v>3525.4531757812501</v>
      </c>
      <c r="H1102" s="25">
        <f>IF(B1102&lt;62,0,'Combined Retirement'!$I$14)</f>
        <v>2192</v>
      </c>
      <c r="I1102" s="25">
        <f>IF(C1102&lt;62,0,'Combined Retirement'!$I$13)</f>
        <v>2420</v>
      </c>
      <c r="J1102" s="25">
        <f t="shared" si="1043"/>
        <v>7863.2184191855868</v>
      </c>
      <c r="K1102" s="25">
        <f t="shared" si="1044"/>
        <v>20282.026119384056</v>
      </c>
      <c r="L1102" s="25"/>
      <c r="N1102" s="25">
        <f>'Combined Retirement'!$C$18/12</f>
        <v>39153.069999999992</v>
      </c>
      <c r="O1102" s="25">
        <f t="shared" si="1045"/>
        <v>11007.82546143035</v>
      </c>
      <c r="P1102" s="25">
        <f t="shared" si="1046"/>
        <v>28145.244538569641</v>
      </c>
      <c r="Q1102" s="25">
        <f t="array" aca="1" ref="Q1102" ca="1">INDEX('Isaac 401k'!L:L,MATCH('Retirement Calculator'!A1102,'Isaac 401k'!N:N,0),0)</f>
        <v>-15291191.517548885</v>
      </c>
      <c r="R1102" s="25">
        <f t="array" aca="1" ref="R1102" ca="1">INDEX('Lorri 401b'!L:L,MATCH('Retirement Calculator'!A1102,'Lorri 401b'!N:N,0),0)</f>
        <v>-38988745.219389372</v>
      </c>
      <c r="S1102" s="25">
        <f t="shared" ca="1" si="1047"/>
        <v>-54279936.736938253</v>
      </c>
    </row>
    <row r="1103" spans="1:19" ht="15.75" customHeight="1" x14ac:dyDescent="0.3">
      <c r="A1103" s="37">
        <v>84524</v>
      </c>
      <c r="B1103" s="409">
        <f t="shared" ref="B1103:C1103" si="1119">($A1103-B$9)/365.25</f>
        <v>149.5359342915811</v>
      </c>
      <c r="C1103" s="409">
        <f t="shared" si="1119"/>
        <v>144.92539356605064</v>
      </c>
      <c r="E1103" s="25">
        <f>IF(C1103&gt;$B$7,0,'Combined Retirement'!$D$13/12)</f>
        <v>0</v>
      </c>
      <c r="F1103" s="25">
        <f>IF(H1103=0,'Combined Retirement'!$D$32,0)+'Combined Retirement'!$B$24</f>
        <v>2870.372285649099</v>
      </c>
      <c r="G1103" s="25">
        <f>'Combined Retirement'!$C$24</f>
        <v>3525.4531757812501</v>
      </c>
      <c r="H1103" s="25">
        <f>IF(B1103&lt;62,0,'Combined Retirement'!$I$14)</f>
        <v>2192</v>
      </c>
      <c r="I1103" s="25">
        <f>IF(C1103&lt;62,0,'Combined Retirement'!$I$13)</f>
        <v>2420</v>
      </c>
      <c r="J1103" s="25">
        <f t="shared" si="1043"/>
        <v>7863.2184191855868</v>
      </c>
      <c r="K1103" s="25">
        <f t="shared" si="1044"/>
        <v>20282.026119384056</v>
      </c>
      <c r="L1103" s="25"/>
      <c r="N1103" s="25">
        <f>'Combined Retirement'!$C$18/12</f>
        <v>39153.069999999992</v>
      </c>
      <c r="O1103" s="25">
        <f t="shared" si="1045"/>
        <v>11007.82546143035</v>
      </c>
      <c r="P1103" s="25">
        <f t="shared" si="1046"/>
        <v>28145.244538569641</v>
      </c>
      <c r="Q1103" s="25">
        <f t="array" aca="1" ref="Q1103" ca="1">INDEX('Isaac 401k'!L:L,MATCH('Retirement Calculator'!A1103,'Isaac 401k'!N:N,0),0)</f>
        <v>-15362800.797367938</v>
      </c>
      <c r="R1103" s="25">
        <f t="array" aca="1" ref="R1103" ca="1">INDEX('Lorri 401b'!L:L,MATCH('Retirement Calculator'!A1103,'Lorri 401b'!N:N,0),0)</f>
        <v>-39171564.859031707</v>
      </c>
      <c r="S1103" s="25">
        <f t="shared" ca="1" si="1047"/>
        <v>-54534365.656399645</v>
      </c>
    </row>
    <row r="1104" spans="1:19" ht="15.75" customHeight="1" x14ac:dyDescent="0.3">
      <c r="A1104" s="37">
        <v>84554</v>
      </c>
      <c r="B1104" s="409">
        <f t="shared" ref="B1104:C1104" si="1120">($A1104-B$9)/365.25</f>
        <v>149.61806981519507</v>
      </c>
      <c r="C1104" s="409">
        <f t="shared" si="1120"/>
        <v>145.00752908966462</v>
      </c>
      <c r="E1104" s="25">
        <f>IF(C1104&gt;$B$7,0,'Combined Retirement'!$D$13/12)</f>
        <v>0</v>
      </c>
      <c r="F1104" s="25">
        <f>IF(H1104=0,'Combined Retirement'!$D$32,0)+'Combined Retirement'!$B$24</f>
        <v>2870.372285649099</v>
      </c>
      <c r="G1104" s="25">
        <f>'Combined Retirement'!$C$24</f>
        <v>3525.4531757812501</v>
      </c>
      <c r="H1104" s="25">
        <f>IF(B1104&lt;62,0,'Combined Retirement'!$I$14)</f>
        <v>2192</v>
      </c>
      <c r="I1104" s="25">
        <f>IF(C1104&lt;62,0,'Combined Retirement'!$I$13)</f>
        <v>2420</v>
      </c>
      <c r="J1104" s="25">
        <f t="shared" si="1043"/>
        <v>7863.2184191855868</v>
      </c>
      <c r="K1104" s="25">
        <f t="shared" si="1044"/>
        <v>20282.026119384056</v>
      </c>
      <c r="L1104" s="25"/>
      <c r="N1104" s="25">
        <f>'Combined Retirement'!$C$18/12</f>
        <v>39153.069999999992</v>
      </c>
      <c r="O1104" s="25">
        <f t="shared" si="1045"/>
        <v>11007.82546143035</v>
      </c>
      <c r="P1104" s="25">
        <f t="shared" si="1046"/>
        <v>28145.244538569641</v>
      </c>
      <c r="Q1104" s="25">
        <f t="array" aca="1" ref="Q1104" ca="1">INDEX('Isaac 401k'!L:L,MATCH('Retirement Calculator'!A1104,'Isaac 401k'!N:N,0),0)</f>
        <v>-15434708.449186236</v>
      </c>
      <c r="R1104" s="25">
        <f t="array" aca="1" ref="R1104" ca="1">INDEX('Lorri 401b'!L:L,MATCH('Retirement Calculator'!A1104,'Lorri 401b'!N:N,0),0)</f>
        <v>-39355146.247172549</v>
      </c>
      <c r="S1104" s="25">
        <f t="shared" ca="1" si="1047"/>
        <v>-54789854.696358785</v>
      </c>
    </row>
    <row r="1105" spans="1:19" ht="15.75" customHeight="1" x14ac:dyDescent="0.3">
      <c r="A1105" s="37">
        <v>84585</v>
      </c>
      <c r="B1105" s="409">
        <f t="shared" ref="B1105:C1105" si="1121">($A1105-B$9)/365.25</f>
        <v>149.70294318959617</v>
      </c>
      <c r="C1105" s="409">
        <f t="shared" si="1121"/>
        <v>145.09240246406571</v>
      </c>
      <c r="E1105" s="25">
        <f>IF(C1105&gt;$B$7,0,'Combined Retirement'!$D$13/12)</f>
        <v>0</v>
      </c>
      <c r="F1105" s="25">
        <f>IF(H1105=0,'Combined Retirement'!$D$32,0)+'Combined Retirement'!$B$24</f>
        <v>2870.372285649099</v>
      </c>
      <c r="G1105" s="25">
        <f>'Combined Retirement'!$C$24</f>
        <v>3525.4531757812501</v>
      </c>
      <c r="H1105" s="25">
        <f>IF(B1105&lt;62,0,'Combined Retirement'!$I$14)</f>
        <v>2192</v>
      </c>
      <c r="I1105" s="25">
        <f>IF(C1105&lt;62,0,'Combined Retirement'!$I$13)</f>
        <v>2420</v>
      </c>
      <c r="J1105" s="25">
        <f t="shared" si="1043"/>
        <v>7863.2184191855868</v>
      </c>
      <c r="K1105" s="25">
        <f t="shared" si="1044"/>
        <v>20282.026119384056</v>
      </c>
      <c r="L1105" s="25"/>
      <c r="N1105" s="25">
        <f>'Combined Retirement'!$C$18/12</f>
        <v>39153.069999999992</v>
      </c>
      <c r="O1105" s="25">
        <f t="shared" si="1045"/>
        <v>11007.82546143035</v>
      </c>
      <c r="P1105" s="25">
        <f t="shared" si="1046"/>
        <v>28145.244538569641</v>
      </c>
      <c r="Q1105" s="25">
        <f t="array" aca="1" ref="Q1105" ca="1">INDEX('Isaac 401k'!L:L,MATCH('Retirement Calculator'!A1105,'Isaac 401k'!N:N,0),0)</f>
        <v>-15506915.716220444</v>
      </c>
      <c r="R1105" s="25">
        <f t="array" aca="1" ref="R1105" ca="1">INDEX('Lorri 401b'!L:L,MATCH('Retirement Calculator'!A1105,'Lorri 401b'!N:N,0),0)</f>
        <v>-39539492.557763979</v>
      </c>
      <c r="S1105" s="25">
        <f t="shared" ca="1" si="1047"/>
        <v>-55046408.273984425</v>
      </c>
    </row>
    <row r="1106" spans="1:19" ht="15.75" customHeight="1" x14ac:dyDescent="0.3">
      <c r="A1106" s="37">
        <v>84616</v>
      </c>
      <c r="B1106" s="409">
        <f t="shared" ref="B1106:C1106" si="1122">($A1106-B$9)/365.25</f>
        <v>149.78781656399727</v>
      </c>
      <c r="C1106" s="409">
        <f t="shared" si="1122"/>
        <v>145.17727583846681</v>
      </c>
      <c r="E1106" s="25">
        <f>IF(C1106&gt;$B$7,0,'Combined Retirement'!$D$13/12)</f>
        <v>0</v>
      </c>
      <c r="F1106" s="25">
        <f>IF(H1106=0,'Combined Retirement'!$D$32,0)+'Combined Retirement'!$B$24</f>
        <v>2870.372285649099</v>
      </c>
      <c r="G1106" s="25">
        <f>'Combined Retirement'!$C$24</f>
        <v>3525.4531757812501</v>
      </c>
      <c r="H1106" s="25">
        <f>IF(B1106&lt;62,0,'Combined Retirement'!$I$14)</f>
        <v>2192</v>
      </c>
      <c r="I1106" s="25">
        <f>IF(C1106&lt;62,0,'Combined Retirement'!$I$13)</f>
        <v>2420</v>
      </c>
      <c r="J1106" s="25">
        <f t="shared" si="1043"/>
        <v>7863.2184191855868</v>
      </c>
      <c r="K1106" s="25">
        <f t="shared" si="1044"/>
        <v>20282.026119384056</v>
      </c>
      <c r="L1106" s="25"/>
      <c r="N1106" s="25">
        <f>'Combined Retirement'!$C$18/12</f>
        <v>39153.069999999992</v>
      </c>
      <c r="O1106" s="25">
        <f t="shared" si="1045"/>
        <v>11007.82546143035</v>
      </c>
      <c r="P1106" s="25">
        <f t="shared" si="1046"/>
        <v>28145.244538569641</v>
      </c>
      <c r="Q1106" s="25">
        <f t="array" aca="1" ref="Q1106" ca="1">INDEX('Isaac 401k'!L:L,MATCH('Retirement Calculator'!A1106,'Isaac 401k'!N:N,0),0)</f>
        <v>-15579423.846867295</v>
      </c>
      <c r="R1106" s="25">
        <f t="array" aca="1" ref="R1106" ca="1">INDEX('Lorri 401b'!L:L,MATCH('Retirement Calculator'!A1106,'Lorri 401b'!N:N,0),0)</f>
        <v>-39724606.977982871</v>
      </c>
      <c r="S1106" s="25">
        <f t="shared" ca="1" si="1047"/>
        <v>-55304030.824850164</v>
      </c>
    </row>
    <row r="1107" spans="1:19" ht="15.75" customHeight="1" x14ac:dyDescent="0.3">
      <c r="A1107" s="37">
        <v>84646</v>
      </c>
      <c r="B1107" s="409">
        <f t="shared" ref="B1107:C1107" si="1123">($A1107-B$9)/365.25</f>
        <v>149.86995208761124</v>
      </c>
      <c r="C1107" s="409">
        <f t="shared" si="1123"/>
        <v>145.25941136208075</v>
      </c>
      <c r="E1107" s="25">
        <f>IF(C1107&gt;$B$7,0,'Combined Retirement'!$D$13/12)</f>
        <v>0</v>
      </c>
      <c r="F1107" s="25">
        <f>IF(H1107=0,'Combined Retirement'!$D$32,0)+'Combined Retirement'!$B$24</f>
        <v>2870.372285649099</v>
      </c>
      <c r="G1107" s="25">
        <f>'Combined Retirement'!$C$24</f>
        <v>3525.4531757812501</v>
      </c>
      <c r="H1107" s="25">
        <f>IF(B1107&lt;62,0,'Combined Retirement'!$I$14)</f>
        <v>2192</v>
      </c>
      <c r="I1107" s="25">
        <f>IF(C1107&lt;62,0,'Combined Retirement'!$I$13)</f>
        <v>2420</v>
      </c>
      <c r="J1107" s="25">
        <f t="shared" si="1043"/>
        <v>7863.2184191855868</v>
      </c>
      <c r="K1107" s="25">
        <f t="shared" si="1044"/>
        <v>20282.026119384056</v>
      </c>
      <c r="L1107" s="25"/>
      <c r="N1107" s="25">
        <f>'Combined Retirement'!$C$18/12</f>
        <v>39153.069999999992</v>
      </c>
      <c r="O1107" s="25">
        <f t="shared" si="1045"/>
        <v>11007.82546143035</v>
      </c>
      <c r="P1107" s="25">
        <f t="shared" si="1046"/>
        <v>28145.244538569641</v>
      </c>
      <c r="Q1107" s="25">
        <f t="array" aca="1" ref="Q1107" ca="1">INDEX('Isaac 401k'!L:L,MATCH('Retirement Calculator'!A1107,'Isaac 401k'!N:N,0),0)</f>
        <v>-15652234.094725173</v>
      </c>
      <c r="R1107" s="25">
        <f t="array" aca="1" ref="R1107" ca="1">INDEX('Lorri 401b'!L:L,MATCH('Retirement Calculator'!A1107,'Lorri 401b'!N:N,0),0)</f>
        <v>-39910492.70828601</v>
      </c>
      <c r="S1107" s="25">
        <f t="shared" ca="1" si="1047"/>
        <v>-55562726.803011179</v>
      </c>
    </row>
    <row r="1108" spans="1:19" ht="15.75" customHeight="1" x14ac:dyDescent="0.3">
      <c r="A1108" s="37">
        <v>84677</v>
      </c>
      <c r="B1108" s="409">
        <f t="shared" ref="B1108:C1108" si="1124">($A1108-B$9)/365.25</f>
        <v>149.95482546201231</v>
      </c>
      <c r="C1108" s="409">
        <f t="shared" si="1124"/>
        <v>145.34428473648185</v>
      </c>
      <c r="E1108" s="25">
        <f>IF(C1108&gt;$B$7,0,'Combined Retirement'!$D$13/12)</f>
        <v>0</v>
      </c>
      <c r="F1108" s="25">
        <f>IF(H1108=0,'Combined Retirement'!$D$32,0)+'Combined Retirement'!$B$24</f>
        <v>2870.372285649099</v>
      </c>
      <c r="G1108" s="25">
        <f>'Combined Retirement'!$C$24</f>
        <v>3525.4531757812501</v>
      </c>
      <c r="H1108" s="25">
        <f>IF(B1108&lt;62,0,'Combined Retirement'!$I$14)</f>
        <v>2192</v>
      </c>
      <c r="I1108" s="25">
        <f>IF(C1108&lt;62,0,'Combined Retirement'!$I$13)</f>
        <v>2420</v>
      </c>
      <c r="J1108" s="25">
        <f t="shared" si="1043"/>
        <v>7863.2184191855868</v>
      </c>
      <c r="K1108" s="25">
        <f t="shared" si="1044"/>
        <v>20282.026119384056</v>
      </c>
      <c r="L1108" s="25"/>
      <c r="N1108" s="25">
        <f>'Combined Retirement'!$C$18/12</f>
        <v>39153.069999999992</v>
      </c>
      <c r="O1108" s="25">
        <f t="shared" si="1045"/>
        <v>11007.82546143035</v>
      </c>
      <c r="P1108" s="25">
        <f t="shared" si="1046"/>
        <v>28145.244538569641</v>
      </c>
      <c r="Q1108" s="25">
        <f t="array" aca="1" ref="Q1108" ca="1">INDEX('Isaac 401k'!L:L,MATCH('Retirement Calculator'!A1108,'Isaac 401k'!N:N,0),0)</f>
        <v>-15725347.718615793</v>
      </c>
      <c r="R1108" s="25">
        <f t="array" aca="1" ref="R1108" ca="1">INDEX('Lorri 401b'!L:L,MATCH('Retirement Calculator'!A1108,'Lorri 401b'!N:N,0),0)</f>
        <v>-40097152.962465413</v>
      </c>
      <c r="S1108" s="25">
        <f t="shared" ca="1" si="1047"/>
        <v>-55822500.681081206</v>
      </c>
    </row>
    <row r="1109" spans="1:19" ht="15.75" customHeight="1" x14ac:dyDescent="0.3">
      <c r="A1109" s="37">
        <v>84707</v>
      </c>
      <c r="B1109" s="409">
        <f t="shared" ref="B1109:C1109" si="1125">($A1109-B$9)/365.25</f>
        <v>150.03696098562628</v>
      </c>
      <c r="C1109" s="409">
        <f t="shared" si="1125"/>
        <v>145.42642026009582</v>
      </c>
      <c r="E1109" s="25">
        <f>IF(C1109&gt;$B$7,0,'Combined Retirement'!$D$13/12)</f>
        <v>0</v>
      </c>
      <c r="F1109" s="25">
        <f>IF(H1109=0,'Combined Retirement'!$D$32,0)+'Combined Retirement'!$B$24</f>
        <v>2870.372285649099</v>
      </c>
      <c r="G1109" s="25">
        <f>'Combined Retirement'!$C$24</f>
        <v>3525.4531757812501</v>
      </c>
      <c r="H1109" s="25">
        <f>IF(B1109&lt;62,0,'Combined Retirement'!$I$14)</f>
        <v>2192</v>
      </c>
      <c r="I1109" s="25">
        <f>IF(C1109&lt;62,0,'Combined Retirement'!$I$13)</f>
        <v>2420</v>
      </c>
      <c r="J1109" s="25">
        <f t="shared" si="1043"/>
        <v>7863.2184191855868</v>
      </c>
      <c r="K1109" s="25">
        <f t="shared" si="1044"/>
        <v>20282.026119384056</v>
      </c>
      <c r="L1109" s="25"/>
      <c r="N1109" s="25">
        <f>'Combined Retirement'!$C$18/12</f>
        <v>39153.069999999992</v>
      </c>
      <c r="O1109" s="25">
        <f t="shared" si="1045"/>
        <v>11007.82546143035</v>
      </c>
      <c r="P1109" s="25">
        <f t="shared" si="1046"/>
        <v>28145.244538569641</v>
      </c>
      <c r="Q1109" s="25">
        <f t="array" aca="1" ref="Q1109" ca="1">INDEX('Isaac 401k'!L:L,MATCH('Retirement Calculator'!A1109,'Isaac 401k'!N:N,0),0)</f>
        <v>-15798765.982605956</v>
      </c>
      <c r="R1109" s="25">
        <f t="array" aca="1" ref="R1109" ca="1">INDEX('Lorri 401b'!L:L,MATCH('Retirement Calculator'!A1109,'Lorri 401b'!N:N,0),0)</f>
        <v>-40284590.967703894</v>
      </c>
      <c r="S1109" s="25">
        <f t="shared" ca="1" si="1047"/>
        <v>-56083356.95030985</v>
      </c>
    </row>
    <row r="1110" spans="1:19" ht="15.75" customHeight="1" x14ac:dyDescent="0.3">
      <c r="A1110" s="37">
        <v>84738</v>
      </c>
      <c r="B1110" s="409">
        <f t="shared" ref="B1110:C1110" si="1126">($A1110-B$9)/365.25</f>
        <v>150.12183436002738</v>
      </c>
      <c r="C1110" s="409">
        <f t="shared" si="1126"/>
        <v>145.51129363449692</v>
      </c>
      <c r="E1110" s="25">
        <f>IF(C1110&gt;$B$7,0,'Combined Retirement'!$D$13/12)</f>
        <v>0</v>
      </c>
      <c r="F1110" s="25">
        <f>IF(H1110=0,'Combined Retirement'!$D$32,0)+'Combined Retirement'!$B$24</f>
        <v>2870.372285649099</v>
      </c>
      <c r="G1110" s="25">
        <f>'Combined Retirement'!$C$24</f>
        <v>3525.4531757812501</v>
      </c>
      <c r="H1110" s="25">
        <f>IF(B1110&lt;62,0,'Combined Retirement'!$I$14)</f>
        <v>2192</v>
      </c>
      <c r="I1110" s="25">
        <f>IF(C1110&lt;62,0,'Combined Retirement'!$I$13)</f>
        <v>2420</v>
      </c>
      <c r="J1110" s="25">
        <f t="shared" si="1043"/>
        <v>7863.2184191855868</v>
      </c>
      <c r="K1110" s="25">
        <f t="shared" si="1044"/>
        <v>20282.026119384056</v>
      </c>
      <c r="L1110" s="25"/>
      <c r="N1110" s="25">
        <f>'Combined Retirement'!$C$18/12</f>
        <v>39153.069999999992</v>
      </c>
      <c r="O1110" s="25">
        <f t="shared" si="1045"/>
        <v>11007.82546143035</v>
      </c>
      <c r="P1110" s="25">
        <f t="shared" si="1046"/>
        <v>28145.244538569641</v>
      </c>
      <c r="Q1110" s="25">
        <f t="array" aca="1" ref="Q1110" ca="1">INDEX('Isaac 401k'!L:L,MATCH('Retirement Calculator'!A1110,'Isaac 401k'!N:N,0),0)</f>
        <v>-15872490.156029413</v>
      </c>
      <c r="R1110" s="25">
        <f t="array" aca="1" ref="R1110" ca="1">INDEX('Lorri 401b'!L:L,MATCH('Retirement Calculator'!A1110,'Lorri 401b'!N:N,0),0)</f>
        <v>-40472809.964630872</v>
      </c>
      <c r="S1110" s="25">
        <f t="shared" ca="1" si="1047"/>
        <v>-56345300.120660283</v>
      </c>
    </row>
    <row r="1111" spans="1:19" ht="15.75" customHeight="1" x14ac:dyDescent="0.3">
      <c r="A1111" s="37">
        <v>84769</v>
      </c>
      <c r="B1111" s="409">
        <f t="shared" ref="B1111:C1111" si="1127">($A1111-B$9)/365.25</f>
        <v>150.20670773442848</v>
      </c>
      <c r="C1111" s="409">
        <f t="shared" si="1127"/>
        <v>145.59616700889802</v>
      </c>
      <c r="E1111" s="25">
        <f>IF(C1111&gt;$B$7,0,'Combined Retirement'!$D$13/12)</f>
        <v>0</v>
      </c>
      <c r="F1111" s="25">
        <f>IF(H1111=0,'Combined Retirement'!$D$32,0)+'Combined Retirement'!$B$24</f>
        <v>2870.372285649099</v>
      </c>
      <c r="G1111" s="25">
        <f>'Combined Retirement'!$C$24</f>
        <v>3525.4531757812501</v>
      </c>
      <c r="H1111" s="25">
        <f>IF(B1111&lt;62,0,'Combined Retirement'!$I$14)</f>
        <v>2192</v>
      </c>
      <c r="I1111" s="25">
        <f>IF(C1111&lt;62,0,'Combined Retirement'!$I$13)</f>
        <v>2420</v>
      </c>
      <c r="J1111" s="25">
        <f t="shared" si="1043"/>
        <v>7863.2184191855868</v>
      </c>
      <c r="K1111" s="25">
        <f t="shared" si="1044"/>
        <v>20282.026119384056</v>
      </c>
      <c r="L1111" s="25"/>
      <c r="N1111" s="25">
        <f>'Combined Retirement'!$C$18/12</f>
        <v>39153.069999999992</v>
      </c>
      <c r="O1111" s="25">
        <f t="shared" si="1045"/>
        <v>11007.82546143035</v>
      </c>
      <c r="P1111" s="25">
        <f t="shared" si="1046"/>
        <v>28145.244538569641</v>
      </c>
      <c r="Q1111" s="25">
        <f t="array" aca="1" ref="Q1111" ca="1">INDEX('Isaac 401k'!L:L,MATCH('Retirement Calculator'!A1111,'Isaac 401k'!N:N,0),0)</f>
        <v>-15946521.5135088</v>
      </c>
      <c r="R1111" s="25">
        <f t="array" aca="1" ref="R1111" ca="1">INDEX('Lorri 401b'!L:L,MATCH('Retirement Calculator'!A1111,'Lorri 401b'!N:N,0),0)</f>
        <v>-40661813.20737838</v>
      </c>
      <c r="S1111" s="25">
        <f t="shared" ca="1" si="1047"/>
        <v>-56608334.720887184</v>
      </c>
    </row>
    <row r="1112" spans="1:19" ht="15.75" customHeight="1" x14ac:dyDescent="0.3">
      <c r="A1112" s="37">
        <v>84798</v>
      </c>
      <c r="B1112" s="409">
        <f t="shared" ref="B1112:C1112" si="1128">($A1112-B$9)/365.25</f>
        <v>150.28610540725529</v>
      </c>
      <c r="C1112" s="409">
        <f t="shared" si="1128"/>
        <v>145.67556468172484</v>
      </c>
      <c r="E1112" s="25">
        <f>IF(C1112&gt;$B$7,0,'Combined Retirement'!$D$13/12)</f>
        <v>0</v>
      </c>
      <c r="F1112" s="25">
        <f>IF(H1112=0,'Combined Retirement'!$D$32,0)+'Combined Retirement'!$B$24</f>
        <v>2870.372285649099</v>
      </c>
      <c r="G1112" s="25">
        <f>'Combined Retirement'!$C$24</f>
        <v>3525.4531757812501</v>
      </c>
      <c r="H1112" s="25">
        <f>IF(B1112&lt;62,0,'Combined Retirement'!$I$14)</f>
        <v>2192</v>
      </c>
      <c r="I1112" s="25">
        <f>IF(C1112&lt;62,0,'Combined Retirement'!$I$13)</f>
        <v>2420</v>
      </c>
      <c r="J1112" s="25">
        <f t="shared" si="1043"/>
        <v>7863.2184191855868</v>
      </c>
      <c r="K1112" s="25">
        <f t="shared" si="1044"/>
        <v>20282.026119384056</v>
      </c>
      <c r="L1112" s="25"/>
      <c r="N1112" s="25">
        <f>'Combined Retirement'!$C$18/12</f>
        <v>39153.069999999992</v>
      </c>
      <c r="O1112" s="25">
        <f t="shared" si="1045"/>
        <v>11007.82546143035</v>
      </c>
      <c r="P1112" s="25">
        <f t="shared" si="1046"/>
        <v>28145.244538569641</v>
      </c>
      <c r="Q1112" s="25">
        <f t="array" aca="1" ref="Q1112" ca="1">INDEX('Isaac 401k'!L:L,MATCH('Retirement Calculator'!A1112,'Isaac 401k'!N:N,0),0)</f>
        <v>-16020861.334977685</v>
      </c>
      <c r="R1112" s="25">
        <f t="array" aca="1" ref="R1112" ca="1">INDEX('Lorri 401b'!L:L,MATCH('Retirement Calculator'!A1112,'Lorri 401b'!N:N,0),0)</f>
        <v>-40851603.963637337</v>
      </c>
      <c r="S1112" s="25">
        <f t="shared" ca="1" si="1047"/>
        <v>-56872465.298615023</v>
      </c>
    </row>
    <row r="1113" spans="1:19" ht="15.75" customHeight="1" x14ac:dyDescent="0.3">
      <c r="A1113" s="37">
        <v>84829</v>
      </c>
      <c r="B1113" s="409">
        <f t="shared" ref="B1113:C1113" si="1129">($A1113-B$9)/365.25</f>
        <v>150.37097878165639</v>
      </c>
      <c r="C1113" s="409">
        <f t="shared" si="1129"/>
        <v>145.76043805612593</v>
      </c>
      <c r="E1113" s="25">
        <f>IF(C1113&gt;$B$7,0,'Combined Retirement'!$D$13/12)</f>
        <v>0</v>
      </c>
      <c r="F1113" s="25">
        <f>IF(H1113=0,'Combined Retirement'!$D$32,0)+'Combined Retirement'!$B$24</f>
        <v>2870.372285649099</v>
      </c>
      <c r="G1113" s="25">
        <f>'Combined Retirement'!$C$24</f>
        <v>3525.4531757812501</v>
      </c>
      <c r="H1113" s="25">
        <f>IF(B1113&lt;62,0,'Combined Retirement'!$I$14)</f>
        <v>2192</v>
      </c>
      <c r="I1113" s="25">
        <f>IF(C1113&lt;62,0,'Combined Retirement'!$I$13)</f>
        <v>2420</v>
      </c>
      <c r="J1113" s="25">
        <f t="shared" si="1043"/>
        <v>7863.2184191855868</v>
      </c>
      <c r="K1113" s="25">
        <f t="shared" si="1044"/>
        <v>20282.026119384056</v>
      </c>
      <c r="L1113" s="25"/>
      <c r="N1113" s="25">
        <f>'Combined Retirement'!$C$18/12</f>
        <v>39153.069999999992</v>
      </c>
      <c r="O1113" s="25">
        <f t="shared" si="1045"/>
        <v>11007.82546143035</v>
      </c>
      <c r="P1113" s="25">
        <f t="shared" si="1046"/>
        <v>28145.244538569641</v>
      </c>
      <c r="Q1113" s="25">
        <f t="array" aca="1" ref="Q1113" ca="1">INDEX('Isaac 401k'!L:L,MATCH('Retirement Calculator'!A1113,'Isaac 401k'!N:N,0),0)</f>
        <v>-16095510.90570269</v>
      </c>
      <c r="R1113" s="25">
        <f t="array" aca="1" ref="R1113" ca="1">INDEX('Lorri 401b'!L:L,MATCH('Retirement Calculator'!A1113,'Lorri 401b'!N:N,0),0)</f>
        <v>-41042185.51471404</v>
      </c>
      <c r="S1113" s="25">
        <f t="shared" ca="1" si="1047"/>
        <v>-57137696.420416728</v>
      </c>
    </row>
    <row r="1114" spans="1:19" ht="15.75" customHeight="1" x14ac:dyDescent="0.3">
      <c r="A1114" s="37">
        <v>84859</v>
      </c>
      <c r="B1114" s="409">
        <f t="shared" ref="B1114:C1114" si="1130">($A1114-B$9)/365.25</f>
        <v>150.45311430527036</v>
      </c>
      <c r="C1114" s="409">
        <f t="shared" si="1130"/>
        <v>145.84257357973991</v>
      </c>
      <c r="E1114" s="25">
        <f>IF(C1114&gt;$B$7,0,'Combined Retirement'!$D$13/12)</f>
        <v>0</v>
      </c>
      <c r="F1114" s="25">
        <f>IF(H1114=0,'Combined Retirement'!$D$32,0)+'Combined Retirement'!$B$24</f>
        <v>2870.372285649099</v>
      </c>
      <c r="G1114" s="25">
        <f>'Combined Retirement'!$C$24</f>
        <v>3525.4531757812501</v>
      </c>
      <c r="H1114" s="25">
        <f>IF(B1114&lt;62,0,'Combined Retirement'!$I$14)</f>
        <v>2192</v>
      </c>
      <c r="I1114" s="25">
        <f>IF(C1114&lt;62,0,'Combined Retirement'!$I$13)</f>
        <v>2420</v>
      </c>
      <c r="J1114" s="25">
        <f t="shared" si="1043"/>
        <v>7863.2184191855868</v>
      </c>
      <c r="K1114" s="25">
        <f t="shared" si="1044"/>
        <v>20282.026119384056</v>
      </c>
      <c r="L1114" s="25"/>
      <c r="N1114" s="25">
        <f>'Combined Retirement'!$C$18/12</f>
        <v>39153.069999999992</v>
      </c>
      <c r="O1114" s="25">
        <f t="shared" si="1045"/>
        <v>11007.82546143035</v>
      </c>
      <c r="P1114" s="25">
        <f t="shared" si="1046"/>
        <v>28145.244538569641</v>
      </c>
      <c r="Q1114" s="25">
        <f t="array" aca="1" ref="Q1114" ca="1">INDEX('Isaac 401k'!L:L,MATCH('Retirement Calculator'!A1114,'Isaac 401k'!N:N,0),0)</f>
        <v>-16170471.516305715</v>
      </c>
      <c r="R1114" s="25">
        <f t="array" aca="1" ref="R1114" ca="1">INDEX('Lorri 401b'!L:L,MATCH('Retirement Calculator'!A1114,'Lorri 401b'!N:N,0),0)</f>
        <v>-41233561.155586891</v>
      </c>
      <c r="S1114" s="25">
        <f t="shared" ca="1" si="1047"/>
        <v>-57404032.671892606</v>
      </c>
    </row>
    <row r="1115" spans="1:19" ht="15.75" customHeight="1" x14ac:dyDescent="0.3">
      <c r="A1115" s="37">
        <v>84890</v>
      </c>
      <c r="B1115" s="409">
        <f t="shared" ref="B1115:C1115" si="1131">($A1115-B$9)/365.25</f>
        <v>150.53798767967146</v>
      </c>
      <c r="C1115" s="409">
        <f t="shared" si="1131"/>
        <v>145.927446954141</v>
      </c>
      <c r="E1115" s="25">
        <f>IF(C1115&gt;$B$7,0,'Combined Retirement'!$D$13/12)</f>
        <v>0</v>
      </c>
      <c r="F1115" s="25">
        <f>IF(H1115=0,'Combined Retirement'!$D$32,0)+'Combined Retirement'!$B$24</f>
        <v>2870.372285649099</v>
      </c>
      <c r="G1115" s="25">
        <f>'Combined Retirement'!$C$24</f>
        <v>3525.4531757812501</v>
      </c>
      <c r="H1115" s="25">
        <f>IF(B1115&lt;62,0,'Combined Retirement'!$I$14)</f>
        <v>2192</v>
      </c>
      <c r="I1115" s="25">
        <f>IF(C1115&lt;62,0,'Combined Retirement'!$I$13)</f>
        <v>2420</v>
      </c>
      <c r="J1115" s="25">
        <f t="shared" si="1043"/>
        <v>7863.2184191855868</v>
      </c>
      <c r="K1115" s="25">
        <f t="shared" si="1044"/>
        <v>20282.026119384056</v>
      </c>
      <c r="L1115" s="25"/>
      <c r="N1115" s="25">
        <f>'Combined Retirement'!$C$18/12</f>
        <v>39153.069999999992</v>
      </c>
      <c r="O1115" s="25">
        <f t="shared" si="1045"/>
        <v>11007.82546143035</v>
      </c>
      <c r="P1115" s="25">
        <f t="shared" si="1046"/>
        <v>28145.244538569641</v>
      </c>
      <c r="Q1115" s="25">
        <f t="array" aca="1" ref="Q1115" ca="1">INDEX('Isaac 401k'!L:L,MATCH('Retirement Calculator'!A1115,'Isaac 401k'!N:N,0),0)</f>
        <v>-16245744.462786254</v>
      </c>
      <c r="R1115" s="25">
        <f t="array" aca="1" ref="R1115" ca="1">INDEX('Lorri 401b'!L:L,MATCH('Retirement Calculator'!A1115,'Lorri 401b'!N:N,0),0)</f>
        <v>-41425734.194963381</v>
      </c>
      <c r="S1115" s="25">
        <f t="shared" ca="1" si="1047"/>
        <v>-57671478.657749638</v>
      </c>
    </row>
    <row r="1116" spans="1:19" ht="15.75" customHeight="1" x14ac:dyDescent="0.3">
      <c r="A1116" s="37">
        <v>84920</v>
      </c>
      <c r="B1116" s="409">
        <f t="shared" ref="B1116:C1116" si="1132">($A1116-B$9)/365.25</f>
        <v>150.62012320328543</v>
      </c>
      <c r="C1116" s="409">
        <f t="shared" si="1132"/>
        <v>146.00958247775498</v>
      </c>
      <c r="E1116" s="25">
        <f>IF(C1116&gt;$B$7,0,'Combined Retirement'!$D$13/12)</f>
        <v>0</v>
      </c>
      <c r="F1116" s="25">
        <f>IF(H1116=0,'Combined Retirement'!$D$32,0)+'Combined Retirement'!$B$24</f>
        <v>2870.372285649099</v>
      </c>
      <c r="G1116" s="25">
        <f>'Combined Retirement'!$C$24</f>
        <v>3525.4531757812501</v>
      </c>
      <c r="H1116" s="25">
        <f>IF(B1116&lt;62,0,'Combined Retirement'!$I$14)</f>
        <v>2192</v>
      </c>
      <c r="I1116" s="25">
        <f>IF(C1116&lt;62,0,'Combined Retirement'!$I$13)</f>
        <v>2420</v>
      </c>
      <c r="J1116" s="25">
        <f t="shared" si="1043"/>
        <v>7863.2184191855868</v>
      </c>
      <c r="K1116" s="25">
        <f t="shared" si="1044"/>
        <v>20282.026119384056</v>
      </c>
      <c r="L1116" s="25"/>
      <c r="N1116" s="25">
        <f>'Combined Retirement'!$C$18/12</f>
        <v>39153.069999999992</v>
      </c>
      <c r="O1116" s="25">
        <f t="shared" si="1045"/>
        <v>11007.82546143035</v>
      </c>
      <c r="P1116" s="25">
        <f t="shared" si="1046"/>
        <v>28145.244538569641</v>
      </c>
      <c r="Q1116" s="25">
        <f t="array" aca="1" ref="Q1116" ca="1">INDEX('Isaac 401k'!L:L,MATCH('Retirement Calculator'!A1116,'Isaac 401k'!N:N,0),0)</f>
        <v>-16321331.046543794</v>
      </c>
      <c r="R1116" s="25">
        <f t="array" aca="1" ref="R1116" ca="1">INDEX('Lorri 401b'!L:L,MATCH('Retirement Calculator'!A1116,'Lorri 401b'!N:N,0),0)</f>
        <v>-41618707.955337271</v>
      </c>
      <c r="S1116" s="25">
        <f t="shared" ca="1" si="1047"/>
        <v>-57940039.001881063</v>
      </c>
    </row>
    <row r="1117" spans="1:19" ht="15.75" customHeight="1" x14ac:dyDescent="0.3">
      <c r="A1117" s="37">
        <v>84951</v>
      </c>
      <c r="B1117" s="409">
        <f t="shared" ref="B1117:C1117" si="1133">($A1117-B$9)/365.25</f>
        <v>150.70499657768653</v>
      </c>
      <c r="C1117" s="409">
        <f t="shared" si="1133"/>
        <v>146.09445585215605</v>
      </c>
      <c r="E1117" s="25">
        <f>IF(C1117&gt;$B$7,0,'Combined Retirement'!$D$13/12)</f>
        <v>0</v>
      </c>
      <c r="F1117" s="25">
        <f>IF(H1117=0,'Combined Retirement'!$D$32,0)+'Combined Retirement'!$B$24</f>
        <v>2870.372285649099</v>
      </c>
      <c r="G1117" s="25">
        <f>'Combined Retirement'!$C$24</f>
        <v>3525.4531757812501</v>
      </c>
      <c r="H1117" s="25">
        <f>IF(B1117&lt;62,0,'Combined Retirement'!$I$14)</f>
        <v>2192</v>
      </c>
      <c r="I1117" s="25">
        <f>IF(C1117&lt;62,0,'Combined Retirement'!$I$13)</f>
        <v>2420</v>
      </c>
      <c r="J1117" s="25">
        <f t="shared" si="1043"/>
        <v>7863.2184191855868</v>
      </c>
      <c r="K1117" s="25">
        <f t="shared" si="1044"/>
        <v>20282.026119384056</v>
      </c>
      <c r="L1117" s="25"/>
      <c r="N1117" s="25">
        <f>'Combined Retirement'!$C$18/12</f>
        <v>39153.069999999992</v>
      </c>
      <c r="O1117" s="25">
        <f t="shared" si="1045"/>
        <v>11007.82546143035</v>
      </c>
      <c r="P1117" s="25">
        <f t="shared" si="1046"/>
        <v>28145.244538569641</v>
      </c>
      <c r="Q1117" s="25">
        <f t="array" aca="1" ref="Q1117" ca="1">INDEX('Isaac 401k'!L:L,MATCH('Retirement Calculator'!A1117,'Isaac 401k'!N:N,0),0)</f>
        <v>-16397232.574400324</v>
      </c>
      <c r="R1117" s="25">
        <f t="array" aca="1" ref="R1117" ca="1">INDEX('Lorri 401b'!L:L,MATCH('Retirement Calculator'!A1117,'Lorri 401b'!N:N,0),0)</f>
        <v>-41812485.773046054</v>
      </c>
      <c r="S1117" s="25">
        <f t="shared" ca="1" si="1047"/>
        <v>-58209718.347446382</v>
      </c>
    </row>
    <row r="1118" spans="1:19" ht="15.75" customHeight="1" x14ac:dyDescent="0.3">
      <c r="A1118" s="37">
        <v>84982</v>
      </c>
      <c r="B1118" s="409">
        <f t="shared" ref="B1118:C1118" si="1134">($A1118-B$9)/365.25</f>
        <v>150.7898699520876</v>
      </c>
      <c r="C1118" s="409">
        <f t="shared" si="1134"/>
        <v>146.17932922655714</v>
      </c>
      <c r="E1118" s="25">
        <f>IF(C1118&gt;$B$7,0,'Combined Retirement'!$D$13/12)</f>
        <v>0</v>
      </c>
      <c r="F1118" s="25">
        <f>IF(H1118=0,'Combined Retirement'!$D$32,0)+'Combined Retirement'!$B$24</f>
        <v>2870.372285649099</v>
      </c>
      <c r="G1118" s="25">
        <f>'Combined Retirement'!$C$24</f>
        <v>3525.4531757812501</v>
      </c>
      <c r="H1118" s="25">
        <f>IF(B1118&lt;62,0,'Combined Retirement'!$I$14)</f>
        <v>2192</v>
      </c>
      <c r="I1118" s="25">
        <f>IF(C1118&lt;62,0,'Combined Retirement'!$I$13)</f>
        <v>2420</v>
      </c>
      <c r="J1118" s="25">
        <f t="shared" si="1043"/>
        <v>7863.2184191855868</v>
      </c>
      <c r="K1118" s="25">
        <f t="shared" si="1044"/>
        <v>20282.026119384056</v>
      </c>
      <c r="L1118" s="25"/>
      <c r="N1118" s="25">
        <f>'Combined Retirement'!$C$18/12</f>
        <v>39153.069999999992</v>
      </c>
      <c r="O1118" s="25">
        <f t="shared" si="1045"/>
        <v>11007.82546143035</v>
      </c>
      <c r="P1118" s="25">
        <f t="shared" si="1046"/>
        <v>28145.244538569641</v>
      </c>
      <c r="Q1118" s="25">
        <f t="array" aca="1" ref="Q1118" ca="1">INDEX('Isaac 401k'!L:L,MATCH('Retirement Calculator'!A1118,'Isaac 401k'!N:N,0),0)</f>
        <v>-16473450.358622923</v>
      </c>
      <c r="R1118" s="25">
        <f t="array" aca="1" ref="R1118" ca="1">INDEX('Lorri 401b'!L:L,MATCH('Retirement Calculator'!A1118,'Lorri 401b'!N:N,0),0)</f>
        <v>-42007070.998328626</v>
      </c>
      <c r="S1118" s="25">
        <f t="shared" ca="1" si="1047"/>
        <v>-58480521.35695155</v>
      </c>
    </row>
    <row r="1119" spans="1:19" ht="15.75" customHeight="1" x14ac:dyDescent="0.3">
      <c r="A1119" s="37">
        <v>85012</v>
      </c>
      <c r="B1119" s="409">
        <f t="shared" ref="B1119:C1119" si="1135">($A1119-B$9)/365.25</f>
        <v>150.87200547570157</v>
      </c>
      <c r="C1119" s="409">
        <f t="shared" si="1135"/>
        <v>146.26146475017111</v>
      </c>
      <c r="E1119" s="25">
        <f>IF(C1119&gt;$B$7,0,'Combined Retirement'!$D$13/12)</f>
        <v>0</v>
      </c>
      <c r="F1119" s="25">
        <f>IF(H1119=0,'Combined Retirement'!$D$32,0)+'Combined Retirement'!$B$24</f>
        <v>2870.372285649099</v>
      </c>
      <c r="G1119" s="25">
        <f>'Combined Retirement'!$C$24</f>
        <v>3525.4531757812501</v>
      </c>
      <c r="H1119" s="25">
        <f>IF(B1119&lt;62,0,'Combined Retirement'!$I$14)</f>
        <v>2192</v>
      </c>
      <c r="I1119" s="25">
        <f>IF(C1119&lt;62,0,'Combined Retirement'!$I$13)</f>
        <v>2420</v>
      </c>
      <c r="J1119" s="25">
        <f t="shared" si="1043"/>
        <v>7863.2184191855868</v>
      </c>
      <c r="K1119" s="25">
        <f t="shared" si="1044"/>
        <v>20282.026119384056</v>
      </c>
      <c r="L1119" s="25"/>
      <c r="N1119" s="25">
        <f>'Combined Retirement'!$C$18/12</f>
        <v>39153.069999999992</v>
      </c>
      <c r="O1119" s="25">
        <f t="shared" si="1045"/>
        <v>11007.82546143035</v>
      </c>
      <c r="P1119" s="25">
        <f t="shared" si="1046"/>
        <v>28145.244538569641</v>
      </c>
      <c r="Q1119" s="25">
        <f t="array" aca="1" ref="Q1119" ca="1">INDEX('Isaac 401k'!L:L,MATCH('Retirement Calculator'!A1119,'Isaac 401k'!N:N,0),0)</f>
        <v>-16549985.716946451</v>
      </c>
      <c r="R1119" s="25">
        <f t="array" aca="1" ref="R1119" ca="1">INDEX('Lorri 401b'!L:L,MATCH('Retirement Calculator'!A1119,'Lorri 401b'!N:N,0),0)</f>
        <v>-42202466.99538321</v>
      </c>
      <c r="S1119" s="25">
        <f t="shared" ca="1" si="1047"/>
        <v>-58752452.712329663</v>
      </c>
    </row>
    <row r="1120" spans="1:19" ht="15.75" customHeight="1" x14ac:dyDescent="0.3">
      <c r="A1120" s="37">
        <v>85043</v>
      </c>
      <c r="B1120" s="409">
        <f t="shared" ref="B1120:C1120" si="1136">($A1120-B$9)/365.25</f>
        <v>150.95687885010267</v>
      </c>
      <c r="C1120" s="409">
        <f t="shared" si="1136"/>
        <v>146.34633812457221</v>
      </c>
      <c r="E1120" s="25">
        <f>IF(C1120&gt;$B$7,0,'Combined Retirement'!$D$13/12)</f>
        <v>0</v>
      </c>
      <c r="F1120" s="25">
        <f>IF(H1120=0,'Combined Retirement'!$D$32,0)+'Combined Retirement'!$B$24</f>
        <v>2870.372285649099</v>
      </c>
      <c r="G1120" s="25">
        <f>'Combined Retirement'!$C$24</f>
        <v>3525.4531757812501</v>
      </c>
      <c r="H1120" s="25">
        <f>IF(B1120&lt;62,0,'Combined Retirement'!$I$14)</f>
        <v>2192</v>
      </c>
      <c r="I1120" s="25">
        <f>IF(C1120&lt;62,0,'Combined Retirement'!$I$13)</f>
        <v>2420</v>
      </c>
      <c r="J1120" s="25">
        <f t="shared" si="1043"/>
        <v>7863.2184191855868</v>
      </c>
      <c r="K1120" s="25">
        <f t="shared" si="1044"/>
        <v>20282.026119384056</v>
      </c>
      <c r="L1120" s="25"/>
      <c r="N1120" s="25">
        <f>'Combined Retirement'!$C$18/12</f>
        <v>39153.069999999992</v>
      </c>
      <c r="O1120" s="25">
        <f t="shared" si="1045"/>
        <v>11007.82546143035</v>
      </c>
      <c r="P1120" s="25">
        <f t="shared" si="1046"/>
        <v>28145.244538569641</v>
      </c>
      <c r="Q1120" s="25">
        <f t="array" aca="1" ref="Q1120" ca="1">INDEX('Isaac 401k'!L:L,MATCH('Retirement Calculator'!A1120,'Isaac 401k'!N:N,0),0)</f>
        <v>-16626839.972596327</v>
      </c>
      <c r="R1120" s="25">
        <f t="array" aca="1" ref="R1120" ca="1">INDEX('Lorri 401b'!L:L,MATCH('Retirement Calculator'!A1120,'Lorri 401b'!N:N,0),0)</f>
        <v>-42398677.142425522</v>
      </c>
      <c r="S1120" s="25">
        <f t="shared" ca="1" si="1047"/>
        <v>-59025517.115021847</v>
      </c>
    </row>
    <row r="1121" spans="1:19" ht="15.75" customHeight="1" x14ac:dyDescent="0.3">
      <c r="A1121" s="37">
        <v>85073</v>
      </c>
      <c r="B1121" s="409">
        <f t="shared" ref="B1121:C1121" si="1137">($A1121-B$9)/365.25</f>
        <v>151.03901437371664</v>
      </c>
      <c r="C1121" s="409">
        <f t="shared" si="1137"/>
        <v>146.42847364818618</v>
      </c>
      <c r="E1121" s="25">
        <f>IF(C1121&gt;$B$7,0,'Combined Retirement'!$D$13/12)</f>
        <v>0</v>
      </c>
      <c r="F1121" s="25">
        <f>IF(H1121=0,'Combined Retirement'!$D$32,0)+'Combined Retirement'!$B$24</f>
        <v>2870.372285649099</v>
      </c>
      <c r="G1121" s="25">
        <f>'Combined Retirement'!$C$24</f>
        <v>3525.4531757812501</v>
      </c>
      <c r="H1121" s="25">
        <f>IF(B1121&lt;62,0,'Combined Retirement'!$I$14)</f>
        <v>2192</v>
      </c>
      <c r="I1121" s="25">
        <f>IF(C1121&lt;62,0,'Combined Retirement'!$I$13)</f>
        <v>2420</v>
      </c>
      <c r="J1121" s="25">
        <f t="shared" si="1043"/>
        <v>7863.2184191855868</v>
      </c>
      <c r="K1121" s="25">
        <f t="shared" si="1044"/>
        <v>20282.026119384056</v>
      </c>
      <c r="L1121" s="25"/>
      <c r="N1121" s="25">
        <f>'Combined Retirement'!$C$18/12</f>
        <v>39153.069999999992</v>
      </c>
      <c r="O1121" s="25">
        <f t="shared" si="1045"/>
        <v>11007.82546143035</v>
      </c>
      <c r="P1121" s="25">
        <f t="shared" si="1046"/>
        <v>28145.244538569641</v>
      </c>
      <c r="Q1121" s="25">
        <f t="array" aca="1" ref="Q1121" ca="1">INDEX('Isaac 401k'!L:L,MATCH('Retirement Calculator'!A1121,'Isaac 401k'!N:N,0),0)</f>
        <v>-16704014.45431141</v>
      </c>
      <c r="R1121" s="25">
        <f t="array" aca="1" ref="R1121" ca="1">INDEX('Lorri 401b'!L:L,MATCH('Retirement Calculator'!A1121,'Lorri 401b'!N:N,0),0)</f>
        <v>-42595704.831747174</v>
      </c>
      <c r="S1121" s="25">
        <f t="shared" ca="1" si="1047"/>
        <v>-59299719.286058582</v>
      </c>
    </row>
    <row r="1122" spans="1:19" ht="15.75" customHeight="1" x14ac:dyDescent="0.3">
      <c r="A1122" s="37">
        <v>85104</v>
      </c>
      <c r="B1122" s="409">
        <f t="shared" ref="B1122:C1122" si="1138">($A1122-B$9)/365.25</f>
        <v>151.12388774811774</v>
      </c>
      <c r="C1122" s="409">
        <f t="shared" si="1138"/>
        <v>146.51334702258728</v>
      </c>
      <c r="E1122" s="25">
        <f>IF(C1122&gt;$B$7,0,'Combined Retirement'!$D$13/12)</f>
        <v>0</v>
      </c>
      <c r="F1122" s="25">
        <f>IF(H1122=0,'Combined Retirement'!$D$32,0)+'Combined Retirement'!$B$24</f>
        <v>2870.372285649099</v>
      </c>
      <c r="G1122" s="25">
        <f>'Combined Retirement'!$C$24</f>
        <v>3525.4531757812501</v>
      </c>
      <c r="H1122" s="25">
        <f>IF(B1122&lt;62,0,'Combined Retirement'!$I$14)</f>
        <v>2192</v>
      </c>
      <c r="I1122" s="25">
        <f>IF(C1122&lt;62,0,'Combined Retirement'!$I$13)</f>
        <v>2420</v>
      </c>
      <c r="J1122" s="25">
        <f t="shared" si="1043"/>
        <v>7863.2184191855868</v>
      </c>
      <c r="K1122" s="25">
        <f t="shared" si="1044"/>
        <v>20282.026119384056</v>
      </c>
      <c r="L1122" s="25"/>
      <c r="N1122" s="25">
        <f>'Combined Retirement'!$C$18/12</f>
        <v>39153.069999999992</v>
      </c>
      <c r="O1122" s="25">
        <f t="shared" si="1045"/>
        <v>11007.82546143035</v>
      </c>
      <c r="P1122" s="25">
        <f t="shared" si="1046"/>
        <v>28145.244538569641</v>
      </c>
      <c r="Q1122" s="25">
        <f t="array" aca="1" ref="Q1122" ca="1">INDEX('Isaac 401k'!L:L,MATCH('Retirement Calculator'!A1122,'Isaac 401k'!N:N,0),0)</f>
        <v>-16781510.496366974</v>
      </c>
      <c r="R1122" s="25">
        <f t="array" aca="1" ref="R1122" ca="1">INDEX('Lorri 401b'!L:L,MATCH('Retirement Calculator'!A1122,'Lorri 401b'!N:N,0),0)</f>
        <v>-42793553.469774336</v>
      </c>
      <c r="S1122" s="25">
        <f t="shared" ca="1" si="1047"/>
        <v>-59575063.966141313</v>
      </c>
    </row>
    <row r="1123" spans="1:19" ht="15.75" customHeight="1" x14ac:dyDescent="0.3">
      <c r="A1123" s="37">
        <v>85135</v>
      </c>
      <c r="B1123" s="409">
        <f t="shared" ref="B1123:C1123" si="1139">($A1123-B$9)/365.25</f>
        <v>151.20876112251884</v>
      </c>
      <c r="C1123" s="409">
        <f t="shared" si="1139"/>
        <v>146.59822039698835</v>
      </c>
      <c r="E1123" s="25">
        <f>IF(C1123&gt;$B$7,0,'Combined Retirement'!$D$13/12)</f>
        <v>0</v>
      </c>
      <c r="F1123" s="25">
        <f>IF(H1123=0,'Combined Retirement'!$D$32,0)+'Combined Retirement'!$B$24</f>
        <v>2870.372285649099</v>
      </c>
      <c r="G1123" s="25">
        <f>'Combined Retirement'!$C$24</f>
        <v>3525.4531757812501</v>
      </c>
      <c r="H1123" s="25">
        <f>IF(B1123&lt;62,0,'Combined Retirement'!$I$14)</f>
        <v>2192</v>
      </c>
      <c r="I1123" s="25">
        <f>IF(C1123&lt;62,0,'Combined Retirement'!$I$13)</f>
        <v>2420</v>
      </c>
      <c r="J1123" s="25">
        <f t="shared" si="1043"/>
        <v>7863.2184191855868</v>
      </c>
      <c r="K1123" s="25">
        <f t="shared" si="1044"/>
        <v>20282.026119384056</v>
      </c>
      <c r="L1123" s="25"/>
      <c r="N1123" s="25">
        <f>'Combined Retirement'!$C$18/12</f>
        <v>39153.069999999992</v>
      </c>
      <c r="O1123" s="25">
        <f t="shared" si="1045"/>
        <v>11007.82546143035</v>
      </c>
      <c r="P1123" s="25">
        <f t="shared" si="1046"/>
        <v>28145.244538569641</v>
      </c>
      <c r="Q1123" s="25">
        <f t="array" aca="1" ref="Q1123" ca="1">INDEX('Isaac 401k'!L:L,MATCH('Retirement Calculator'!A1123,'Isaac 401k'!N:N,0),0)</f>
        <v>-16859329.438597769</v>
      </c>
      <c r="R1123" s="25">
        <f t="array" aca="1" ref="R1123" ca="1">INDEX('Lorri 401b'!L:L,MATCH('Retirement Calculator'!A1123,'Lorri 401b'!N:N,0),0)</f>
        <v>-42992226.477126606</v>
      </c>
      <c r="S1123" s="25">
        <f t="shared" ca="1" si="1047"/>
        <v>-59851555.915724374</v>
      </c>
    </row>
    <row r="1124" spans="1:19" ht="15.75" customHeight="1" x14ac:dyDescent="0.3">
      <c r="A1124" s="37">
        <v>85163</v>
      </c>
      <c r="B1124" s="409">
        <f t="shared" ref="B1124:C1124" si="1140">($A1124-B$9)/365.25</f>
        <v>151.28542094455852</v>
      </c>
      <c r="C1124" s="409">
        <f t="shared" si="1140"/>
        <v>146.67488021902807</v>
      </c>
      <c r="E1124" s="25">
        <f>IF(C1124&gt;$B$7,0,'Combined Retirement'!$D$13/12)</f>
        <v>0</v>
      </c>
      <c r="F1124" s="25">
        <f>IF(H1124=0,'Combined Retirement'!$D$32,0)+'Combined Retirement'!$B$24</f>
        <v>2870.372285649099</v>
      </c>
      <c r="G1124" s="25">
        <f>'Combined Retirement'!$C$24</f>
        <v>3525.4531757812501</v>
      </c>
      <c r="H1124" s="25">
        <f>IF(B1124&lt;62,0,'Combined Retirement'!$I$14)</f>
        <v>2192</v>
      </c>
      <c r="I1124" s="25">
        <f>IF(C1124&lt;62,0,'Combined Retirement'!$I$13)</f>
        <v>2420</v>
      </c>
      <c r="J1124" s="25">
        <f t="shared" si="1043"/>
        <v>7863.2184191855868</v>
      </c>
      <c r="K1124" s="25">
        <f t="shared" si="1044"/>
        <v>20282.026119384056</v>
      </c>
      <c r="L1124" s="25"/>
      <c r="N1124" s="25">
        <f>'Combined Retirement'!$C$18/12</f>
        <v>39153.069999999992</v>
      </c>
      <c r="O1124" s="25">
        <f t="shared" si="1045"/>
        <v>11007.82546143035</v>
      </c>
      <c r="P1124" s="25">
        <f t="shared" si="1046"/>
        <v>28145.244538569641</v>
      </c>
      <c r="Q1124" s="25">
        <f t="array" aca="1" ref="Q1124" ca="1">INDEX('Isaac 401k'!L:L,MATCH('Retirement Calculator'!A1124,'Isaac 401k'!N:N,0),0)</f>
        <v>-16937472.626421191</v>
      </c>
      <c r="R1124" s="25">
        <f t="array" aca="1" ref="R1124" ca="1">INDEX('Lorri 401b'!L:L,MATCH('Retirement Calculator'!A1124,'Lorri 401b'!N:N,0),0)</f>
        <v>-43191727.28867618</v>
      </c>
      <c r="S1124" s="25">
        <f t="shared" ca="1" si="1047"/>
        <v>-60129199.915097371</v>
      </c>
    </row>
    <row r="1125" spans="1:19" ht="15.75" customHeight="1" x14ac:dyDescent="0.3">
      <c r="A1125" s="37">
        <v>85194</v>
      </c>
      <c r="B1125" s="409">
        <f t="shared" ref="B1125:C1125" si="1141">($A1125-B$9)/365.25</f>
        <v>151.37029431895962</v>
      </c>
      <c r="C1125" s="409">
        <f t="shared" si="1141"/>
        <v>146.75975359342917</v>
      </c>
      <c r="E1125" s="25">
        <f>IF(C1125&gt;$B$7,0,'Combined Retirement'!$D$13/12)</f>
        <v>0</v>
      </c>
      <c r="F1125" s="25">
        <f>IF(H1125=0,'Combined Retirement'!$D$32,0)+'Combined Retirement'!$B$24</f>
        <v>2870.372285649099</v>
      </c>
      <c r="G1125" s="25">
        <f>'Combined Retirement'!$C$24</f>
        <v>3525.4531757812501</v>
      </c>
      <c r="H1125" s="25">
        <f>IF(B1125&lt;62,0,'Combined Retirement'!$I$14)</f>
        <v>2192</v>
      </c>
      <c r="I1125" s="25">
        <f>IF(C1125&lt;62,0,'Combined Retirement'!$I$13)</f>
        <v>2420</v>
      </c>
      <c r="J1125" s="25">
        <f t="shared" si="1043"/>
        <v>7863.2184191855868</v>
      </c>
      <c r="K1125" s="25">
        <f t="shared" si="1044"/>
        <v>20282.026119384056</v>
      </c>
      <c r="L1125" s="25"/>
      <c r="N1125" s="25">
        <f>'Combined Retirement'!$C$18/12</f>
        <v>39153.069999999992</v>
      </c>
      <c r="O1125" s="25">
        <f t="shared" si="1045"/>
        <v>11007.82546143035</v>
      </c>
      <c r="P1125" s="25">
        <f t="shared" si="1046"/>
        <v>28145.244538569641</v>
      </c>
      <c r="Q1125" s="25">
        <f t="array" aca="1" ref="Q1125" ca="1">INDEX('Isaac 401k'!L:L,MATCH('Retirement Calculator'!A1125,'Isaac 401k'!N:N,0),0)</f>
        <v>-17015941.410860546</v>
      </c>
      <c r="R1125" s="25">
        <f t="array" aca="1" ref="R1125" ca="1">INDEX('Lorri 401b'!L:L,MATCH('Retirement Calculator'!A1125,'Lorri 401b'!N:N,0),0)</f>
        <v>-43392059.353607208</v>
      </c>
      <c r="S1125" s="25">
        <f t="shared" ca="1" si="1047"/>
        <v>-60408000.764467753</v>
      </c>
    </row>
    <row r="1126" spans="1:19" ht="15.75" customHeight="1" x14ac:dyDescent="0.3">
      <c r="A1126" s="37">
        <v>85224</v>
      </c>
      <c r="B1126" s="409">
        <f t="shared" ref="B1126:C1126" si="1142">($A1126-B$9)/365.25</f>
        <v>151.45242984257359</v>
      </c>
      <c r="C1126" s="409">
        <f t="shared" si="1142"/>
        <v>146.84188911704311</v>
      </c>
      <c r="E1126" s="25">
        <f>IF(C1126&gt;$B$7,0,'Combined Retirement'!$D$13/12)</f>
        <v>0</v>
      </c>
      <c r="F1126" s="25">
        <f>IF(H1126=0,'Combined Retirement'!$D$32,0)+'Combined Retirement'!$B$24</f>
        <v>2870.372285649099</v>
      </c>
      <c r="G1126" s="25">
        <f>'Combined Retirement'!$C$24</f>
        <v>3525.4531757812501</v>
      </c>
      <c r="H1126" s="25">
        <f>IF(B1126&lt;62,0,'Combined Retirement'!$I$14)</f>
        <v>2192</v>
      </c>
      <c r="I1126" s="25">
        <f>IF(C1126&lt;62,0,'Combined Retirement'!$I$13)</f>
        <v>2420</v>
      </c>
      <c r="J1126" s="25">
        <f t="shared" si="1043"/>
        <v>7863.2184191855868</v>
      </c>
      <c r="K1126" s="25">
        <f t="shared" si="1044"/>
        <v>20282.026119384056</v>
      </c>
      <c r="L1126" s="25"/>
      <c r="N1126" s="25">
        <f>'Combined Retirement'!$C$18/12</f>
        <v>39153.069999999992</v>
      </c>
      <c r="O1126" s="25">
        <f t="shared" si="1045"/>
        <v>11007.82546143035</v>
      </c>
      <c r="P1126" s="25">
        <f t="shared" si="1046"/>
        <v>28145.244538569641</v>
      </c>
      <c r="Q1126" s="25">
        <f t="array" aca="1" ref="Q1126" ca="1">INDEX('Isaac 401k'!L:L,MATCH('Retirement Calculator'!A1126,'Isaac 401k'!N:N,0),0)</f>
        <v>-17094737.148568399</v>
      </c>
      <c r="R1126" s="25">
        <f t="array" aca="1" ref="R1126" ca="1">INDEX('Lorri 401b'!L:L,MATCH('Retirement Calculator'!A1126,'Lorri 401b'!N:N,0),0)</f>
        <v>-43593226.135475449</v>
      </c>
      <c r="S1126" s="25">
        <f t="shared" ca="1" si="1047"/>
        <v>-60687963.284043849</v>
      </c>
    </row>
    <row r="1127" spans="1:19" ht="15.75" customHeight="1" x14ac:dyDescent="0.3">
      <c r="A1127" s="37">
        <v>85255</v>
      </c>
      <c r="B1127" s="409">
        <f t="shared" ref="B1127:C1127" si="1143">($A1127-B$9)/365.25</f>
        <v>151.53730321697466</v>
      </c>
      <c r="C1127" s="409">
        <f t="shared" si="1143"/>
        <v>146.92676249144421</v>
      </c>
      <c r="E1127" s="25">
        <f>IF(C1127&gt;$B$7,0,'Combined Retirement'!$D$13/12)</f>
        <v>0</v>
      </c>
      <c r="F1127" s="25">
        <f>IF(H1127=0,'Combined Retirement'!$D$32,0)+'Combined Retirement'!$B$24</f>
        <v>2870.372285649099</v>
      </c>
      <c r="G1127" s="25">
        <f>'Combined Retirement'!$C$24</f>
        <v>3525.4531757812501</v>
      </c>
      <c r="H1127" s="25">
        <f>IF(B1127&lt;62,0,'Combined Retirement'!$I$14)</f>
        <v>2192</v>
      </c>
      <c r="I1127" s="25">
        <f>IF(C1127&lt;62,0,'Combined Retirement'!$I$13)</f>
        <v>2420</v>
      </c>
      <c r="J1127" s="25">
        <f t="shared" si="1043"/>
        <v>7863.2184191855868</v>
      </c>
      <c r="K1127" s="25">
        <f t="shared" si="1044"/>
        <v>20282.026119384056</v>
      </c>
      <c r="L1127" s="25"/>
      <c r="N1127" s="25">
        <f>'Combined Retirement'!$C$18/12</f>
        <v>39153.069999999992</v>
      </c>
      <c r="O1127" s="25">
        <f t="shared" si="1045"/>
        <v>11007.82546143035</v>
      </c>
      <c r="P1127" s="25">
        <f t="shared" si="1046"/>
        <v>28145.244538569641</v>
      </c>
      <c r="Q1127" s="25">
        <f t="array" aca="1" ref="Q1127" ca="1">INDEX('Isaac 401k'!L:L,MATCH('Retirement Calculator'!A1127,'Isaac 401k'!N:N,0),0)</f>
        <v>-17173861.201850034</v>
      </c>
      <c r="R1127" s="25">
        <f t="array" aca="1" ref="R1127" ca="1">INDEX('Lorri 401b'!L:L,MATCH('Retirement Calculator'!A1127,'Lorri 401b'!N:N,0),0)</f>
        <v>-43795231.112268142</v>
      </c>
      <c r="S1127" s="25">
        <f t="shared" ca="1" si="1047"/>
        <v>-60969092.314118177</v>
      </c>
    </row>
    <row r="1128" spans="1:19" ht="15.75" customHeight="1" x14ac:dyDescent="0.3">
      <c r="A1128" s="37">
        <v>85285</v>
      </c>
      <c r="B1128" s="409">
        <f t="shared" ref="B1128:C1128" si="1144">($A1128-B$9)/365.25</f>
        <v>151.61943874058863</v>
      </c>
      <c r="C1128" s="409">
        <f t="shared" si="1144"/>
        <v>147.00889801505818</v>
      </c>
      <c r="E1128" s="25">
        <f>IF(C1128&gt;$B$7,0,'Combined Retirement'!$D$13/12)</f>
        <v>0</v>
      </c>
      <c r="F1128" s="25">
        <f>IF(H1128=0,'Combined Retirement'!$D$32,0)+'Combined Retirement'!$B$24</f>
        <v>2870.372285649099</v>
      </c>
      <c r="G1128" s="25">
        <f>'Combined Retirement'!$C$24</f>
        <v>3525.4531757812501</v>
      </c>
      <c r="H1128" s="25">
        <f>IF(B1128&lt;62,0,'Combined Retirement'!$I$14)</f>
        <v>2192</v>
      </c>
      <c r="I1128" s="25">
        <f>IF(C1128&lt;62,0,'Combined Retirement'!$I$13)</f>
        <v>2420</v>
      </c>
      <c r="J1128" s="25">
        <f t="shared" si="1043"/>
        <v>7863.2184191855868</v>
      </c>
      <c r="K1128" s="25">
        <f t="shared" si="1044"/>
        <v>20282.026119384056</v>
      </c>
      <c r="L1128" s="25"/>
      <c r="N1128" s="25">
        <f>'Combined Retirement'!$C$18/12</f>
        <v>39153.069999999992</v>
      </c>
      <c r="O1128" s="25">
        <f t="shared" si="1045"/>
        <v>11007.82546143035</v>
      </c>
      <c r="P1128" s="25">
        <f t="shared" si="1046"/>
        <v>28145.244538569641</v>
      </c>
      <c r="Q1128" s="25">
        <f t="array" aca="1" ref="Q1128" ca="1">INDEX('Isaac 401k'!L:L,MATCH('Retirement Calculator'!A1128,'Isaac 401k'!N:N,0),0)</f>
        <v>-17253314.938687008</v>
      </c>
      <c r="R1128" s="25">
        <f t="array" aca="1" ref="R1128" ca="1">INDEX('Lorri 401b'!L:L,MATCH('Retirement Calculator'!A1128,'Lorri 401b'!N:N,0),0)</f>
        <v>-43998077.776464142</v>
      </c>
      <c r="S1128" s="25">
        <f t="shared" ca="1" si="1047"/>
        <v>-61251392.715151146</v>
      </c>
    </row>
    <row r="1129" spans="1:19" ht="15.75" customHeight="1" x14ac:dyDescent="0.3">
      <c r="A1129" s="37">
        <v>85316</v>
      </c>
      <c r="B1129" s="409">
        <f t="shared" ref="B1129:C1129" si="1145">($A1129-B$9)/365.25</f>
        <v>151.70431211498973</v>
      </c>
      <c r="C1129" s="409">
        <f t="shared" si="1145"/>
        <v>147.09377138945928</v>
      </c>
      <c r="E1129" s="25">
        <f>IF(C1129&gt;$B$7,0,'Combined Retirement'!$D$13/12)</f>
        <v>0</v>
      </c>
      <c r="F1129" s="25">
        <f>IF(H1129=0,'Combined Retirement'!$D$32,0)+'Combined Retirement'!$B$24</f>
        <v>2870.372285649099</v>
      </c>
      <c r="G1129" s="25">
        <f>'Combined Retirement'!$C$24</f>
        <v>3525.4531757812501</v>
      </c>
      <c r="H1129" s="25">
        <f>IF(B1129&lt;62,0,'Combined Retirement'!$I$14)</f>
        <v>2192</v>
      </c>
      <c r="I1129" s="25">
        <f>IF(C1129&lt;62,0,'Combined Retirement'!$I$13)</f>
        <v>2420</v>
      </c>
      <c r="J1129" s="25">
        <f t="shared" si="1043"/>
        <v>7863.2184191855868</v>
      </c>
      <c r="K1129" s="25">
        <f t="shared" si="1044"/>
        <v>20282.026119384056</v>
      </c>
      <c r="L1129" s="25"/>
      <c r="N1129" s="25">
        <f>'Combined Retirement'!$C$18/12</f>
        <v>39153.069999999992</v>
      </c>
      <c r="O1129" s="25">
        <f t="shared" si="1045"/>
        <v>11007.82546143035</v>
      </c>
      <c r="P1129" s="25">
        <f t="shared" si="1046"/>
        <v>28145.244538569641</v>
      </c>
      <c r="Q1129" s="25">
        <f t="array" aca="1" ref="Q1129" ca="1">INDEX('Isaac 401k'!L:L,MATCH('Retirement Calculator'!A1129,'Isaac 401k'!N:N,0),0)</f>
        <v>-17333099.732760806</v>
      </c>
      <c r="R1129" s="25">
        <f t="array" aca="1" ref="R1129" ca="1">INDEX('Lorri 401b'!L:L,MATCH('Retirement Calculator'!A1129,'Lorri 401b'!N:N,0),0)</f>
        <v>-44201769.635094285</v>
      </c>
      <c r="S1129" s="25">
        <f t="shared" ca="1" si="1047"/>
        <v>-61534869.367855087</v>
      </c>
    </row>
    <row r="1130" spans="1:19" ht="15.75" customHeight="1" x14ac:dyDescent="0.3">
      <c r="A1130" s="37">
        <v>85347</v>
      </c>
      <c r="B1130" s="409">
        <f t="shared" ref="B1130:C1130" si="1146">($A1130-B$9)/365.25</f>
        <v>151.78918548939083</v>
      </c>
      <c r="C1130" s="409">
        <f t="shared" si="1146"/>
        <v>147.17864476386038</v>
      </c>
      <c r="E1130" s="25">
        <f>IF(C1130&gt;$B$7,0,'Combined Retirement'!$D$13/12)</f>
        <v>0</v>
      </c>
      <c r="F1130" s="25">
        <f>IF(H1130=0,'Combined Retirement'!$D$32,0)+'Combined Retirement'!$B$24</f>
        <v>2870.372285649099</v>
      </c>
      <c r="G1130" s="25">
        <f>'Combined Retirement'!$C$24</f>
        <v>3525.4531757812501</v>
      </c>
      <c r="H1130" s="25">
        <f>IF(B1130&lt;62,0,'Combined Retirement'!$I$14)</f>
        <v>2192</v>
      </c>
      <c r="I1130" s="25">
        <f>IF(C1130&lt;62,0,'Combined Retirement'!$I$13)</f>
        <v>2420</v>
      </c>
      <c r="J1130" s="25">
        <f t="shared" si="1043"/>
        <v>7863.2184191855868</v>
      </c>
      <c r="K1130" s="25">
        <f t="shared" si="1044"/>
        <v>20282.026119384056</v>
      </c>
      <c r="L1130" s="25"/>
      <c r="N1130" s="25">
        <f>'Combined Retirement'!$C$18/12</f>
        <v>39153.069999999992</v>
      </c>
      <c r="O1130" s="25">
        <f t="shared" si="1045"/>
        <v>11007.82546143035</v>
      </c>
      <c r="P1130" s="25">
        <f t="shared" si="1046"/>
        <v>28145.244538569641</v>
      </c>
      <c r="Q1130" s="25">
        <f t="array" aca="1" ref="Q1130" ca="1">INDEX('Isaac 401k'!L:L,MATCH('Retirement Calculator'!A1130,'Isaac 401k'!N:N,0),0)</f>
        <v>-17413216.963476576</v>
      </c>
      <c r="R1130" s="25">
        <f t="array" aca="1" ref="R1130" ca="1">INDEX('Lorri 401b'!L:L,MATCH('Retirement Calculator'!A1130,'Lorri 401b'!N:N,0),0)</f>
        <v>-44406310.209802054</v>
      </c>
      <c r="S1130" s="25">
        <f t="shared" ca="1" si="1047"/>
        <v>-61819527.17327863</v>
      </c>
    </row>
    <row r="1131" spans="1:19" ht="15.75" customHeight="1" x14ac:dyDescent="0.3">
      <c r="A1131" s="37">
        <v>85377</v>
      </c>
      <c r="B1131" s="409">
        <f t="shared" ref="B1131:C1131" si="1147">($A1131-B$9)/365.25</f>
        <v>151.8713210130048</v>
      </c>
      <c r="C1131" s="409">
        <f t="shared" si="1147"/>
        <v>147.26078028747432</v>
      </c>
      <c r="E1131" s="25">
        <f>IF(C1131&gt;$B$7,0,'Combined Retirement'!$D$13/12)</f>
        <v>0</v>
      </c>
      <c r="F1131" s="25">
        <f>IF(H1131=0,'Combined Retirement'!$D$32,0)+'Combined Retirement'!$B$24</f>
        <v>2870.372285649099</v>
      </c>
      <c r="G1131" s="25">
        <f>'Combined Retirement'!$C$24</f>
        <v>3525.4531757812501</v>
      </c>
      <c r="H1131" s="25">
        <f>IF(B1131&lt;62,0,'Combined Retirement'!$I$14)</f>
        <v>2192</v>
      </c>
      <c r="I1131" s="25">
        <f>IF(C1131&lt;62,0,'Combined Retirement'!$I$13)</f>
        <v>2420</v>
      </c>
      <c r="J1131" s="25">
        <f t="shared" si="1043"/>
        <v>7863.2184191855868</v>
      </c>
      <c r="K1131" s="25">
        <f t="shared" si="1044"/>
        <v>20282.026119384056</v>
      </c>
      <c r="L1131" s="25"/>
      <c r="N1131" s="25">
        <f>'Combined Retirement'!$C$18/12</f>
        <v>39153.069999999992</v>
      </c>
      <c r="O1131" s="25">
        <f t="shared" si="1045"/>
        <v>11007.82546143035</v>
      </c>
      <c r="P1131" s="25">
        <f t="shared" si="1046"/>
        <v>28145.244538569641</v>
      </c>
      <c r="Q1131" s="25">
        <f t="array" aca="1" ref="Q1131" ca="1">INDEX('Isaac 401k'!L:L,MATCH('Retirement Calculator'!A1131,'Isaac 401k'!N:N,0),0)</f>
        <v>-17493668.015986994</v>
      </c>
      <c r="R1131" s="25">
        <f t="array" aca="1" ref="R1131" ca="1">INDEX('Lorri 401b'!L:L,MATCH('Retirement Calculator'!A1131,'Lorri 401b'!N:N,0),0)</f>
        <v>-44611703.036904439</v>
      </c>
      <c r="S1131" s="25">
        <f t="shared" ca="1" si="1047"/>
        <v>-62105371.052891433</v>
      </c>
    </row>
    <row r="1132" spans="1:19" ht="15.75" customHeight="1" x14ac:dyDescent="0.3">
      <c r="A1132" s="37">
        <v>85408</v>
      </c>
      <c r="B1132" s="409">
        <f t="shared" ref="B1132:C1132" si="1148">($A1132-B$9)/365.25</f>
        <v>151.95619438740587</v>
      </c>
      <c r="C1132" s="409">
        <f t="shared" si="1148"/>
        <v>147.34565366187542</v>
      </c>
      <c r="E1132" s="25">
        <f>IF(C1132&gt;$B$7,0,'Combined Retirement'!$D$13/12)</f>
        <v>0</v>
      </c>
      <c r="F1132" s="25">
        <f>IF(H1132=0,'Combined Retirement'!$D$32,0)+'Combined Retirement'!$B$24</f>
        <v>2870.372285649099</v>
      </c>
      <c r="G1132" s="25">
        <f>'Combined Retirement'!$C$24</f>
        <v>3525.4531757812501</v>
      </c>
      <c r="H1132" s="25">
        <f>IF(B1132&lt;62,0,'Combined Retirement'!$I$14)</f>
        <v>2192</v>
      </c>
      <c r="I1132" s="25">
        <f>IF(C1132&lt;62,0,'Combined Retirement'!$I$13)</f>
        <v>2420</v>
      </c>
      <c r="J1132" s="25">
        <f t="shared" si="1043"/>
        <v>7863.2184191855868</v>
      </c>
      <c r="K1132" s="25">
        <f t="shared" si="1044"/>
        <v>20282.026119384056</v>
      </c>
      <c r="L1132" s="25"/>
      <c r="N1132" s="25">
        <f>'Combined Retirement'!$C$18/12</f>
        <v>39153.069999999992</v>
      </c>
      <c r="O1132" s="25">
        <f t="shared" si="1045"/>
        <v>11007.82546143035</v>
      </c>
      <c r="P1132" s="25">
        <f t="shared" si="1046"/>
        <v>28145.244538569641</v>
      </c>
      <c r="Q1132" s="25">
        <f t="array" aca="1" ref="Q1132" ca="1">INDEX('Isaac 401k'!L:L,MATCH('Retirement Calculator'!A1132,'Isaac 401k'!N:N,0),0)</f>
        <v>-17574454.281216208</v>
      </c>
      <c r="R1132" s="25">
        <f t="array" aca="1" ref="R1132" ca="1">INDEX('Lorri 401b'!L:L,MATCH('Retirement Calculator'!A1132,'Lorri 401b'!N:N,0),0)</f>
        <v>-44817951.667453088</v>
      </c>
      <c r="S1132" s="25">
        <f t="shared" ca="1" si="1047"/>
        <v>-62392405.948669299</v>
      </c>
    </row>
    <row r="1133" spans="1:19" ht="15.75" customHeight="1" x14ac:dyDescent="0.3">
      <c r="A1133" s="37">
        <v>85438</v>
      </c>
      <c r="B1133" s="409">
        <f t="shared" ref="B1133:C1133" si="1149">($A1133-B$9)/365.25</f>
        <v>152.03832991101984</v>
      </c>
      <c r="C1133" s="409">
        <f t="shared" si="1149"/>
        <v>147.42778918548939</v>
      </c>
      <c r="E1133" s="25">
        <f>IF(C1133&gt;$B$7,0,'Combined Retirement'!$D$13/12)</f>
        <v>0</v>
      </c>
      <c r="F1133" s="25">
        <f>IF(H1133=0,'Combined Retirement'!$D$32,0)+'Combined Retirement'!$B$24</f>
        <v>2870.372285649099</v>
      </c>
      <c r="G1133" s="25">
        <f>'Combined Retirement'!$C$24</f>
        <v>3525.4531757812501</v>
      </c>
      <c r="H1133" s="25">
        <f>IF(B1133&lt;62,0,'Combined Retirement'!$I$14)</f>
        <v>2192</v>
      </c>
      <c r="I1133" s="25">
        <f>IF(C1133&lt;62,0,'Combined Retirement'!$I$13)</f>
        <v>2420</v>
      </c>
      <c r="J1133" s="25">
        <f t="shared" si="1043"/>
        <v>7863.2184191855868</v>
      </c>
      <c r="K1133" s="25">
        <f t="shared" si="1044"/>
        <v>20282.026119384056</v>
      </c>
      <c r="L1133" s="25"/>
      <c r="N1133" s="25">
        <f>'Combined Retirement'!$C$18/12</f>
        <v>39153.069999999992</v>
      </c>
      <c r="O1133" s="25">
        <f t="shared" si="1045"/>
        <v>11007.82546143035</v>
      </c>
      <c r="P1133" s="25">
        <f t="shared" si="1046"/>
        <v>28145.244538569641</v>
      </c>
      <c r="Q1133" s="25">
        <f t="array" aca="1" ref="Q1133" ca="1">INDEX('Isaac 401k'!L:L,MATCH('Retirement Calculator'!A1133,'Isaac 401k'!N:N,0),0)</f>
        <v>-17655577.155883875</v>
      </c>
      <c r="R1133" s="25">
        <f t="array" aca="1" ref="R1133" ca="1">INDEX('Lorri 401b'!L:L,MATCH('Retirement Calculator'!A1133,'Lorri 401b'!N:N,0),0)</f>
        <v>-45025059.667295687</v>
      </c>
      <c r="S1133" s="25">
        <f t="shared" ca="1" si="1047"/>
        <v>-62680636.823179558</v>
      </c>
    </row>
    <row r="1134" spans="1:19" ht="15.75" customHeight="1" x14ac:dyDescent="0.3">
      <c r="A1134" s="37">
        <v>85469</v>
      </c>
      <c r="B1134" s="409">
        <f t="shared" ref="B1134:C1134" si="1150">($A1134-B$9)/365.25</f>
        <v>152.12320328542094</v>
      </c>
      <c r="C1134" s="409">
        <f t="shared" si="1150"/>
        <v>147.51266255989049</v>
      </c>
      <c r="E1134" s="25">
        <f>IF(C1134&gt;$B$7,0,'Combined Retirement'!$D$13/12)</f>
        <v>0</v>
      </c>
      <c r="F1134" s="25">
        <f>IF(H1134=0,'Combined Retirement'!$D$32,0)+'Combined Retirement'!$B$24</f>
        <v>2870.372285649099</v>
      </c>
      <c r="G1134" s="25">
        <f>'Combined Retirement'!$C$24</f>
        <v>3525.4531757812501</v>
      </c>
      <c r="H1134" s="25">
        <f>IF(B1134&lt;62,0,'Combined Retirement'!$I$14)</f>
        <v>2192</v>
      </c>
      <c r="I1134" s="25">
        <f>IF(C1134&lt;62,0,'Combined Retirement'!$I$13)</f>
        <v>2420</v>
      </c>
      <c r="J1134" s="25">
        <f t="shared" si="1043"/>
        <v>7863.2184191855868</v>
      </c>
      <c r="K1134" s="25">
        <f t="shared" si="1044"/>
        <v>20282.026119384056</v>
      </c>
      <c r="L1134" s="25"/>
      <c r="N1134" s="25">
        <f>'Combined Retirement'!$C$18/12</f>
        <v>39153.069999999992</v>
      </c>
      <c r="O1134" s="25">
        <f t="shared" si="1045"/>
        <v>11007.82546143035</v>
      </c>
      <c r="P1134" s="25">
        <f t="shared" si="1046"/>
        <v>28145.244538569641</v>
      </c>
      <c r="Q1134" s="25">
        <f t="array" aca="1" ref="Q1134" ca="1">INDEX('Isaac 401k'!L:L,MATCH('Retirement Calculator'!A1134,'Isaac 401k'!N:N,0),0)</f>
        <v>-17737038.042529326</v>
      </c>
      <c r="R1134" s="25">
        <f t="array" aca="1" ref="R1134" ca="1">INDEX('Lorri 401b'!L:L,MATCH('Retirement Calculator'!A1134,'Lorri 401b'!N:N,0),0)</f>
        <v>-45233030.617137633</v>
      </c>
      <c r="S1134" s="25">
        <f t="shared" ca="1" si="1047"/>
        <v>-62970068.659666955</v>
      </c>
    </row>
    <row r="1135" spans="1:19" ht="15.75" customHeight="1" x14ac:dyDescent="0.3">
      <c r="A1135" s="37">
        <v>85500</v>
      </c>
      <c r="B1135" s="409">
        <f t="shared" ref="B1135:C1135" si="1151">($A1135-B$9)/365.25</f>
        <v>152.20807665982204</v>
      </c>
      <c r="C1135" s="409">
        <f t="shared" si="1151"/>
        <v>147.59753593429159</v>
      </c>
      <c r="E1135" s="25">
        <f>IF(C1135&gt;$B$7,0,'Combined Retirement'!$D$13/12)</f>
        <v>0</v>
      </c>
      <c r="F1135" s="25">
        <f>IF(H1135=0,'Combined Retirement'!$D$32,0)+'Combined Retirement'!$B$24</f>
        <v>2870.372285649099</v>
      </c>
      <c r="G1135" s="25">
        <f>'Combined Retirement'!$C$24</f>
        <v>3525.4531757812501</v>
      </c>
      <c r="H1135" s="25">
        <f>IF(B1135&lt;62,0,'Combined Retirement'!$I$14)</f>
        <v>2192</v>
      </c>
      <c r="I1135" s="25">
        <f>IF(C1135&lt;62,0,'Combined Retirement'!$I$13)</f>
        <v>2420</v>
      </c>
      <c r="J1135" s="25">
        <f t="shared" si="1043"/>
        <v>7863.2184191855868</v>
      </c>
      <c r="K1135" s="25">
        <f t="shared" si="1044"/>
        <v>20282.026119384056</v>
      </c>
      <c r="L1135" s="25"/>
      <c r="N1135" s="25">
        <f>'Combined Retirement'!$C$18/12</f>
        <v>39153.069999999992</v>
      </c>
      <c r="O1135" s="25">
        <f t="shared" si="1045"/>
        <v>11007.82546143035</v>
      </c>
      <c r="P1135" s="25">
        <f t="shared" si="1046"/>
        <v>28145.244538569641</v>
      </c>
      <c r="Q1135" s="25">
        <f t="array" aca="1" ref="Q1135" ca="1">INDEX('Isaac 401k'!L:L,MATCH('Retirement Calculator'!A1135,'Isaac 401k'!N:N,0),0)</f>
        <v>-17818838.349535797</v>
      </c>
      <c r="R1135" s="25">
        <f t="array" aca="1" ref="R1135" ca="1">INDEX('Lorri 401b'!L:L,MATCH('Retirement Calculator'!A1135,'Lorri 401b'!N:N,0),0)</f>
        <v>-45441868.112603918</v>
      </c>
      <c r="S1135" s="25">
        <f t="shared" ca="1" si="1047"/>
        <v>-63260706.462139711</v>
      </c>
    </row>
    <row r="1136" spans="1:19" ht="15.75" customHeight="1" x14ac:dyDescent="0.3">
      <c r="A1136" s="37">
        <v>85528</v>
      </c>
      <c r="B1136" s="409">
        <f t="shared" ref="B1136:C1136" si="1152">($A1136-B$9)/365.25</f>
        <v>152.28473648186173</v>
      </c>
      <c r="C1136" s="409">
        <f t="shared" si="1152"/>
        <v>147.67419575633127</v>
      </c>
      <c r="E1136" s="25">
        <f>IF(C1136&gt;$B$7,0,'Combined Retirement'!$D$13/12)</f>
        <v>0</v>
      </c>
      <c r="F1136" s="25">
        <f>IF(H1136=0,'Combined Retirement'!$D$32,0)+'Combined Retirement'!$B$24</f>
        <v>2870.372285649099</v>
      </c>
      <c r="G1136" s="25">
        <f>'Combined Retirement'!$C$24</f>
        <v>3525.4531757812501</v>
      </c>
      <c r="H1136" s="25">
        <f>IF(B1136&lt;62,0,'Combined Retirement'!$I$14)</f>
        <v>2192</v>
      </c>
      <c r="I1136" s="25">
        <f>IF(C1136&lt;62,0,'Combined Retirement'!$I$13)</f>
        <v>2420</v>
      </c>
      <c r="J1136" s="25">
        <f t="shared" si="1043"/>
        <v>7863.2184191855868</v>
      </c>
      <c r="K1136" s="25">
        <f t="shared" si="1044"/>
        <v>20282.026119384056</v>
      </c>
      <c r="L1136" s="25"/>
      <c r="N1136" s="25">
        <f>'Combined Retirement'!$C$18/12</f>
        <v>39153.069999999992</v>
      </c>
      <c r="O1136" s="25">
        <f t="shared" si="1045"/>
        <v>11007.82546143035</v>
      </c>
      <c r="P1136" s="25">
        <f t="shared" si="1046"/>
        <v>28145.244538569641</v>
      </c>
      <c r="Q1136" s="25">
        <f t="array" aca="1" ref="Q1136" ca="1">INDEX('Isaac 401k'!L:L,MATCH('Retirement Calculator'!A1136,'Isaac 401k'!N:N,0),0)</f>
        <v>-17900979.491154797</v>
      </c>
      <c r="R1136" s="25">
        <f t="array" aca="1" ref="R1136" ca="1">INDEX('Lorri 401b'!L:L,MATCH('Retirement Calculator'!A1136,'Lorri 401b'!N:N,0),0)</f>
        <v>-45651575.764301315</v>
      </c>
      <c r="S1136" s="25">
        <f t="shared" ca="1" si="1047"/>
        <v>-63552555.255456112</v>
      </c>
    </row>
    <row r="1137" spans="1:19" ht="15.75" customHeight="1" x14ac:dyDescent="0.3">
      <c r="A1137" s="37">
        <v>85559</v>
      </c>
      <c r="B1137" s="409">
        <f t="shared" ref="B1137:C1137" si="1153">($A1137-B$9)/365.25</f>
        <v>152.36960985626283</v>
      </c>
      <c r="C1137" s="409">
        <f t="shared" si="1153"/>
        <v>147.75906913073237</v>
      </c>
      <c r="E1137" s="25">
        <f>IF(C1137&gt;$B$7,0,'Combined Retirement'!$D$13/12)</f>
        <v>0</v>
      </c>
      <c r="F1137" s="25">
        <f>IF(H1137=0,'Combined Retirement'!$D$32,0)+'Combined Retirement'!$B$24</f>
        <v>2870.372285649099</v>
      </c>
      <c r="G1137" s="25">
        <f>'Combined Retirement'!$C$24</f>
        <v>3525.4531757812501</v>
      </c>
      <c r="H1137" s="25">
        <f>IF(B1137&lt;62,0,'Combined Retirement'!$I$14)</f>
        <v>2192</v>
      </c>
      <c r="I1137" s="25">
        <f>IF(C1137&lt;62,0,'Combined Retirement'!$I$13)</f>
        <v>2420</v>
      </c>
      <c r="J1137" s="25">
        <f t="shared" si="1043"/>
        <v>7863.2184191855868</v>
      </c>
      <c r="K1137" s="25">
        <f t="shared" si="1044"/>
        <v>20282.026119384056</v>
      </c>
      <c r="L1137" s="25"/>
      <c r="N1137" s="25">
        <f>'Combined Retirement'!$C$18/12</f>
        <v>39153.069999999992</v>
      </c>
      <c r="O1137" s="25">
        <f t="shared" si="1045"/>
        <v>11007.82546143035</v>
      </c>
      <c r="P1137" s="25">
        <f t="shared" si="1046"/>
        <v>28145.244538569641</v>
      </c>
      <c r="Q1137" s="25">
        <f t="array" aca="1" ref="Q1137" ca="1">INDEX('Isaac 401k'!L:L,MATCH('Retirement Calculator'!A1137,'Isaac 401k'!N:N,0),0)</f>
        <v>-17983462.887530543</v>
      </c>
      <c r="R1137" s="25">
        <f t="array" aca="1" ref="R1137" ca="1">INDEX('Lorri 401b'!L:L,MATCH('Retirement Calculator'!A1137,'Lorri 401b'!N:N,0),0)</f>
        <v>-45862157.197880782</v>
      </c>
      <c r="S1137" s="25">
        <f t="shared" ca="1" si="1047"/>
        <v>-63845620.085411325</v>
      </c>
    </row>
    <row r="1138" spans="1:19" ht="15.75" customHeight="1" x14ac:dyDescent="0.3">
      <c r="A1138" s="37">
        <v>85589</v>
      </c>
      <c r="B1138" s="409">
        <f t="shared" ref="B1138:C1138" si="1154">($A1138-B$9)/365.25</f>
        <v>152.4517453798768</v>
      </c>
      <c r="C1138" s="409">
        <f t="shared" si="1154"/>
        <v>147.84120465434634</v>
      </c>
      <c r="E1138" s="25">
        <f>IF(C1138&gt;$B$7,0,'Combined Retirement'!$D$13/12)</f>
        <v>0</v>
      </c>
      <c r="F1138" s="25">
        <f>IF(H1138=0,'Combined Retirement'!$D$32,0)+'Combined Retirement'!$B$24</f>
        <v>2870.372285649099</v>
      </c>
      <c r="G1138" s="25">
        <f>'Combined Retirement'!$C$24</f>
        <v>3525.4531757812501</v>
      </c>
      <c r="H1138" s="25">
        <f>IF(B1138&lt;62,0,'Combined Retirement'!$I$14)</f>
        <v>2192</v>
      </c>
      <c r="I1138" s="25">
        <f>IF(C1138&lt;62,0,'Combined Retirement'!$I$13)</f>
        <v>2420</v>
      </c>
      <c r="J1138" s="25">
        <f t="shared" si="1043"/>
        <v>7863.2184191855868</v>
      </c>
      <c r="K1138" s="25">
        <f t="shared" si="1044"/>
        <v>20282.026119384056</v>
      </c>
      <c r="L1138" s="25"/>
      <c r="N1138" s="25">
        <f>'Combined Retirement'!$C$18/12</f>
        <v>39153.069999999992</v>
      </c>
      <c r="O1138" s="25">
        <f t="shared" si="1045"/>
        <v>11007.82546143035</v>
      </c>
      <c r="P1138" s="25">
        <f t="shared" si="1046"/>
        <v>28145.244538569641</v>
      </c>
      <c r="Q1138" s="25">
        <f t="array" aca="1" ref="Q1138" ca="1">INDEX('Isaac 401k'!L:L,MATCH('Retirement Calculator'!A1138,'Isaac 401k'!N:N,0),0)</f>
        <v>-18066289.964724518</v>
      </c>
      <c r="R1138" s="25">
        <f t="array" aca="1" ref="R1138" ca="1">INDEX('Lorri 401b'!L:L,MATCH('Retirement Calculator'!A1138,'Lorri 401b'!N:N,0),0)</f>
        <v>-46073616.054100163</v>
      </c>
      <c r="S1138" s="25">
        <f t="shared" ca="1" si="1047"/>
        <v>-64139906.018824682</v>
      </c>
    </row>
    <row r="1139" spans="1:19" ht="15.75" customHeight="1" x14ac:dyDescent="0.3">
      <c r="A1139" s="37">
        <v>85620</v>
      </c>
      <c r="B1139" s="409">
        <f t="shared" ref="B1139:C1139" si="1155">($A1139-B$9)/365.25</f>
        <v>152.5366187542779</v>
      </c>
      <c r="C1139" s="409">
        <f t="shared" si="1155"/>
        <v>147.92607802874744</v>
      </c>
      <c r="E1139" s="25">
        <f>IF(C1139&gt;$B$7,0,'Combined Retirement'!$D$13/12)</f>
        <v>0</v>
      </c>
      <c r="F1139" s="25">
        <f>IF(H1139=0,'Combined Retirement'!$D$32,0)+'Combined Retirement'!$B$24</f>
        <v>2870.372285649099</v>
      </c>
      <c r="G1139" s="25">
        <f>'Combined Retirement'!$C$24</f>
        <v>3525.4531757812501</v>
      </c>
      <c r="H1139" s="25">
        <f>IF(B1139&lt;62,0,'Combined Retirement'!$I$14)</f>
        <v>2192</v>
      </c>
      <c r="I1139" s="25">
        <f>IF(C1139&lt;62,0,'Combined Retirement'!$I$13)</f>
        <v>2420</v>
      </c>
      <c r="J1139" s="25">
        <f t="shared" si="1043"/>
        <v>7863.2184191855868</v>
      </c>
      <c r="K1139" s="25">
        <f t="shared" si="1044"/>
        <v>20282.026119384056</v>
      </c>
      <c r="L1139" s="25"/>
      <c r="N1139" s="25">
        <f>'Combined Retirement'!$C$18/12</f>
        <v>39153.069999999992</v>
      </c>
      <c r="O1139" s="25">
        <f t="shared" si="1045"/>
        <v>11007.82546143035</v>
      </c>
      <c r="P1139" s="25">
        <f t="shared" si="1046"/>
        <v>28145.244538569641</v>
      </c>
      <c r="Q1139" s="25">
        <f t="array" aca="1" ref="Q1139" ca="1">INDEX('Isaac 401k'!L:L,MATCH('Retirement Calculator'!A1139,'Isaac 401k'!N:N,0),0)</f>
        <v>-18149462.154740136</v>
      </c>
      <c r="R1139" s="25">
        <f t="array" aca="1" ref="R1139" ca="1">INDEX('Lorri 401b'!L:L,MATCH('Retirement Calculator'!A1139,'Lorri 401b'!N:N,0),0)</f>
        <v>-46285955.988887124</v>
      </c>
      <c r="S1139" s="25">
        <f t="shared" ca="1" si="1047"/>
        <v>-64435418.143627256</v>
      </c>
    </row>
    <row r="1140" spans="1:19" ht="15.75" customHeight="1" x14ac:dyDescent="0.3">
      <c r="A1140" s="37">
        <v>85650</v>
      </c>
      <c r="B1140" s="409">
        <f t="shared" ref="B1140:C1140" si="1156">($A1140-B$9)/365.25</f>
        <v>152.61875427789187</v>
      </c>
      <c r="C1140" s="409">
        <f t="shared" si="1156"/>
        <v>148.00821355236138</v>
      </c>
      <c r="E1140" s="25">
        <f>IF(C1140&gt;$B$7,0,'Combined Retirement'!$D$13/12)</f>
        <v>0</v>
      </c>
      <c r="F1140" s="25">
        <f>IF(H1140=0,'Combined Retirement'!$D$32,0)+'Combined Retirement'!$B$24</f>
        <v>2870.372285649099</v>
      </c>
      <c r="G1140" s="25">
        <f>'Combined Retirement'!$C$24</f>
        <v>3525.4531757812501</v>
      </c>
      <c r="H1140" s="25">
        <f>IF(B1140&lt;62,0,'Combined Retirement'!$I$14)</f>
        <v>2192</v>
      </c>
      <c r="I1140" s="25">
        <f>IF(C1140&lt;62,0,'Combined Retirement'!$I$13)</f>
        <v>2420</v>
      </c>
      <c r="J1140" s="25">
        <f t="shared" si="1043"/>
        <v>7863.2184191855868</v>
      </c>
      <c r="K1140" s="25">
        <f t="shared" si="1044"/>
        <v>20282.026119384056</v>
      </c>
      <c r="L1140" s="25"/>
      <c r="N1140" s="25">
        <f>'Combined Retirement'!$C$18/12</f>
        <v>39153.069999999992</v>
      </c>
      <c r="O1140" s="25">
        <f t="shared" si="1045"/>
        <v>11007.82546143035</v>
      </c>
      <c r="P1140" s="25">
        <f t="shared" si="1046"/>
        <v>28145.244538569641</v>
      </c>
      <c r="Q1140" s="25">
        <f t="array" aca="1" ref="Q1140" ca="1">INDEX('Isaac 401k'!L:L,MATCH('Retirement Calculator'!A1140,'Isaac 401k'!N:N,0),0)</f>
        <v>-18232980.895547487</v>
      </c>
      <c r="R1140" s="25">
        <f t="array" aca="1" ref="R1140" ca="1">INDEX('Lorri 401b'!L:L,MATCH('Retirement Calculator'!A1140,'Lorri 401b'!N:N,0),0)</f>
        <v>-46499180.673402369</v>
      </c>
      <c r="S1140" s="25">
        <f t="shared" ca="1" si="1047"/>
        <v>-64732161.568949856</v>
      </c>
    </row>
    <row r="1141" spans="1:19" ht="15.75" customHeight="1" x14ac:dyDescent="0.3">
      <c r="A1141" s="37">
        <v>85681</v>
      </c>
      <c r="B1141" s="409">
        <f t="shared" ref="B1141:C1141" si="1157">($A1141-B$9)/365.25</f>
        <v>152.70362765229294</v>
      </c>
      <c r="C1141" s="409">
        <f t="shared" si="1157"/>
        <v>148.09308692676248</v>
      </c>
      <c r="E1141" s="25">
        <f>IF(C1141&gt;$B$7,0,'Combined Retirement'!$D$13/12)</f>
        <v>0</v>
      </c>
      <c r="F1141" s="25">
        <f>IF(H1141=0,'Combined Retirement'!$D$32,0)+'Combined Retirement'!$B$24</f>
        <v>2870.372285649099</v>
      </c>
      <c r="G1141" s="25">
        <f>'Combined Retirement'!$C$24</f>
        <v>3525.4531757812501</v>
      </c>
      <c r="H1141" s="25">
        <f>IF(B1141&lt;62,0,'Combined Retirement'!$I$14)</f>
        <v>2192</v>
      </c>
      <c r="I1141" s="25">
        <f>IF(C1141&lt;62,0,'Combined Retirement'!$I$13)</f>
        <v>2420</v>
      </c>
      <c r="J1141" s="25">
        <f t="shared" si="1043"/>
        <v>7863.2184191855868</v>
      </c>
      <c r="K1141" s="25">
        <f t="shared" si="1044"/>
        <v>20282.026119384056</v>
      </c>
      <c r="L1141" s="25"/>
      <c r="N1141" s="25">
        <f>'Combined Retirement'!$C$18/12</f>
        <v>39153.069999999992</v>
      </c>
      <c r="O1141" s="25">
        <f t="shared" si="1045"/>
        <v>11007.82546143035</v>
      </c>
      <c r="P1141" s="25">
        <f t="shared" si="1046"/>
        <v>28145.244538569641</v>
      </c>
      <c r="Q1141" s="25">
        <f t="array" aca="1" ref="Q1141" ca="1">INDEX('Isaac 401k'!L:L,MATCH('Retirement Calculator'!A1141,'Isaac 401k'!N:N,0),0)</f>
        <v>-18316847.631108202</v>
      </c>
      <c r="R1141" s="25">
        <f t="array" aca="1" ref="R1141" ca="1">INDEX('Lorri 401b'!L:L,MATCH('Retirement Calculator'!A1141,'Lorri 401b'!N:N,0),0)</f>
        <v>-46713293.794103093</v>
      </c>
      <c r="S1141" s="25">
        <f t="shared" ca="1" si="1047"/>
        <v>-65030141.425211295</v>
      </c>
    </row>
    <row r="1142" spans="1:19" ht="15.75" customHeight="1" x14ac:dyDescent="0.3">
      <c r="A1142" s="37">
        <v>85712</v>
      </c>
      <c r="B1142" s="409">
        <f t="shared" ref="B1142:C1142" si="1158">($A1142-B$9)/365.25</f>
        <v>152.78850102669404</v>
      </c>
      <c r="C1142" s="409">
        <f t="shared" si="1158"/>
        <v>148.17796030116358</v>
      </c>
      <c r="E1142" s="25">
        <f>IF(C1142&gt;$B$7,0,'Combined Retirement'!$D$13/12)</f>
        <v>0</v>
      </c>
      <c r="F1142" s="25">
        <f>IF(H1142=0,'Combined Retirement'!$D$32,0)+'Combined Retirement'!$B$24</f>
        <v>2870.372285649099</v>
      </c>
      <c r="G1142" s="25">
        <f>'Combined Retirement'!$C$24</f>
        <v>3525.4531757812501</v>
      </c>
      <c r="H1142" s="25">
        <f>IF(B1142&lt;62,0,'Combined Retirement'!$I$14)</f>
        <v>2192</v>
      </c>
      <c r="I1142" s="25">
        <f>IF(C1142&lt;62,0,'Combined Retirement'!$I$13)</f>
        <v>2420</v>
      </c>
      <c r="J1142" s="25">
        <f t="shared" si="1043"/>
        <v>7863.2184191855868</v>
      </c>
      <c r="K1142" s="25">
        <f t="shared" si="1044"/>
        <v>20282.026119384056</v>
      </c>
      <c r="L1142" s="25"/>
      <c r="N1142" s="25">
        <f>'Combined Retirement'!$C$18/12</f>
        <v>39153.069999999992</v>
      </c>
      <c r="O1142" s="25">
        <f t="shared" si="1045"/>
        <v>11007.82546143035</v>
      </c>
      <c r="P1142" s="25">
        <f t="shared" si="1046"/>
        <v>28145.244538569641</v>
      </c>
      <c r="Q1142" s="25">
        <f t="array" aca="1" ref="Q1142" ca="1">INDEX('Isaac 401k'!L:L,MATCH('Retirement Calculator'!A1142,'Isaac 401k'!N:N,0),0)</f>
        <v>-18401063.811400421</v>
      </c>
      <c r="R1142" s="25">
        <f t="array" aca="1" ref="R1142" ca="1">INDEX('Lorri 401b'!L:L,MATCH('Retirement Calculator'!A1142,'Lorri 401b'!N:N,0),0)</f>
        <v>-46928299.052806735</v>
      </c>
      <c r="S1142" s="25">
        <f t="shared" ca="1" si="1047"/>
        <v>-65329362.864207156</v>
      </c>
    </row>
    <row r="1143" spans="1:19" ht="15.75" customHeight="1" x14ac:dyDescent="0.3">
      <c r="A1143" s="37">
        <v>85742</v>
      </c>
      <c r="B1143" s="409">
        <f t="shared" ref="B1143:C1143" si="1159">($A1143-B$9)/365.25</f>
        <v>152.87063655030801</v>
      </c>
      <c r="C1143" s="409">
        <f t="shared" si="1159"/>
        <v>148.26009582477755</v>
      </c>
      <c r="E1143" s="25">
        <f>IF(C1143&gt;$B$7,0,'Combined Retirement'!$D$13/12)</f>
        <v>0</v>
      </c>
      <c r="F1143" s="25">
        <f>IF(H1143=0,'Combined Retirement'!$D$32,0)+'Combined Retirement'!$B$24</f>
        <v>2870.372285649099</v>
      </c>
      <c r="G1143" s="25">
        <f>'Combined Retirement'!$C$24</f>
        <v>3525.4531757812501</v>
      </c>
      <c r="H1143" s="25">
        <f>IF(B1143&lt;62,0,'Combined Retirement'!$I$14)</f>
        <v>2192</v>
      </c>
      <c r="I1143" s="25">
        <f>IF(C1143&lt;62,0,'Combined Retirement'!$I$13)</f>
        <v>2420</v>
      </c>
      <c r="J1143" s="25">
        <f t="shared" si="1043"/>
        <v>7863.2184191855868</v>
      </c>
      <c r="K1143" s="25">
        <f t="shared" si="1044"/>
        <v>20282.026119384056</v>
      </c>
      <c r="L1143" s="25"/>
      <c r="N1143" s="25">
        <f>'Combined Retirement'!$C$18/12</f>
        <v>39153.069999999992</v>
      </c>
      <c r="O1143" s="25">
        <f t="shared" si="1045"/>
        <v>11007.82546143035</v>
      </c>
      <c r="P1143" s="25">
        <f t="shared" si="1046"/>
        <v>28145.244538569641</v>
      </c>
      <c r="Q1143" s="25">
        <f t="array" aca="1" ref="Q1143" ca="1">INDEX('Isaac 401k'!L:L,MATCH('Retirement Calculator'!A1143,'Isaac 401k'!N:N,0),0)</f>
        <v>-18485630.892443854</v>
      </c>
      <c r="R1143" s="25">
        <f t="array" aca="1" ref="R1143" ca="1">INDEX('Lorri 401b'!L:L,MATCH('Retirement Calculator'!A1143,'Lorri 401b'!N:N,0),0)</f>
        <v>-47144200.166754976</v>
      </c>
      <c r="S1143" s="25">
        <f t="shared" ca="1" si="1047"/>
        <v>-65629831.059198827</v>
      </c>
    </row>
    <row r="1144" spans="1:19" ht="15.75" customHeight="1" x14ac:dyDescent="0.3">
      <c r="A1144" s="37">
        <v>85773</v>
      </c>
      <c r="B1144" s="409">
        <f t="shared" ref="B1144:C1144" si="1160">($A1144-B$9)/365.25</f>
        <v>152.95550992470911</v>
      </c>
      <c r="C1144" s="409">
        <f t="shared" si="1160"/>
        <v>148.34496919917865</v>
      </c>
      <c r="E1144" s="25">
        <f>IF(C1144&gt;$B$7,0,'Combined Retirement'!$D$13/12)</f>
        <v>0</v>
      </c>
      <c r="F1144" s="25">
        <f>IF(H1144=0,'Combined Retirement'!$D$32,0)+'Combined Retirement'!$B$24</f>
        <v>2870.372285649099</v>
      </c>
      <c r="G1144" s="25">
        <f>'Combined Retirement'!$C$24</f>
        <v>3525.4531757812501</v>
      </c>
      <c r="H1144" s="25">
        <f>IF(B1144&lt;62,0,'Combined Retirement'!$I$14)</f>
        <v>2192</v>
      </c>
      <c r="I1144" s="25">
        <f>IF(C1144&lt;62,0,'Combined Retirement'!$I$13)</f>
        <v>2420</v>
      </c>
      <c r="J1144" s="25">
        <f t="shared" si="1043"/>
        <v>7863.2184191855868</v>
      </c>
      <c r="K1144" s="25">
        <f t="shared" si="1044"/>
        <v>20282.026119384056</v>
      </c>
      <c r="L1144" s="25"/>
      <c r="N1144" s="25">
        <f>'Combined Retirement'!$C$18/12</f>
        <v>39153.069999999992</v>
      </c>
      <c r="O1144" s="25">
        <f t="shared" si="1045"/>
        <v>11007.82546143035</v>
      </c>
      <c r="P1144" s="25">
        <f t="shared" si="1046"/>
        <v>28145.244538569641</v>
      </c>
      <c r="Q1144" s="25">
        <f t="array" aca="1" ref="Q1144" ca="1">INDEX('Isaac 401k'!L:L,MATCH('Retirement Calculator'!A1144,'Isaac 401k'!N:N,0),0)</f>
        <v>-18570550.336324971</v>
      </c>
      <c r="R1144" s="25">
        <f t="array" aca="1" ref="R1144" ca="1">INDEX('Lorri 401b'!L:L,MATCH('Retirement Calculator'!A1144,'Lorri 401b'!N:N,0),0)</f>
        <v>-47361000.868678004</v>
      </c>
      <c r="S1144" s="25">
        <f t="shared" ca="1" si="1047"/>
        <v>-65931551.205002978</v>
      </c>
    </row>
    <row r="1145" spans="1:19" ht="15.75" customHeight="1" x14ac:dyDescent="0.3">
      <c r="A1145" s="37">
        <v>85803</v>
      </c>
      <c r="B1145" s="409">
        <f t="shared" ref="B1145:C1145" si="1161">($A1145-B$9)/365.25</f>
        <v>153.03764544832308</v>
      </c>
      <c r="C1145" s="409">
        <f t="shared" si="1161"/>
        <v>148.42710472279262</v>
      </c>
      <c r="E1145" s="25">
        <f>IF(C1145&gt;$B$7,0,'Combined Retirement'!$D$13/12)</f>
        <v>0</v>
      </c>
      <c r="F1145" s="25">
        <f>IF(H1145=0,'Combined Retirement'!$D$32,0)+'Combined Retirement'!$B$24</f>
        <v>2870.372285649099</v>
      </c>
      <c r="G1145" s="25">
        <f>'Combined Retirement'!$C$24</f>
        <v>3525.4531757812501</v>
      </c>
      <c r="H1145" s="25">
        <f>IF(B1145&lt;62,0,'Combined Retirement'!$I$14)</f>
        <v>2192</v>
      </c>
      <c r="I1145" s="25">
        <f>IF(C1145&lt;62,0,'Combined Retirement'!$I$13)</f>
        <v>2420</v>
      </c>
      <c r="J1145" s="25">
        <f t="shared" si="1043"/>
        <v>7863.2184191855868</v>
      </c>
      <c r="K1145" s="25">
        <f t="shared" si="1044"/>
        <v>20282.026119384056</v>
      </c>
      <c r="L1145" s="25"/>
      <c r="N1145" s="25">
        <f>'Combined Retirement'!$C$18/12</f>
        <v>39153.069999999992</v>
      </c>
      <c r="O1145" s="25">
        <f t="shared" si="1045"/>
        <v>11007.82546143035</v>
      </c>
      <c r="P1145" s="25">
        <f t="shared" si="1046"/>
        <v>28145.244538569641</v>
      </c>
      <c r="Q1145" s="25">
        <f t="array" aca="1" ref="Q1145" ca="1">INDEX('Isaac 401k'!L:L,MATCH('Retirement Calculator'!A1145,'Isaac 401k'!N:N,0),0)</f>
        <v>-18655823.61122226</v>
      </c>
      <c r="R1145" s="25">
        <f t="array" aca="1" ref="R1145" ca="1">INDEX('Lorri 401b'!L:L,MATCH('Retirement Calculator'!A1145,'Lorri 401b'!N:N,0),0)</f>
        <v>-47578704.90685904</v>
      </c>
      <c r="S1145" s="25">
        <f t="shared" ca="1" si="1047"/>
        <v>-66234528.5180813</v>
      </c>
    </row>
    <row r="1146" spans="1:19" ht="15.75" customHeight="1" x14ac:dyDescent="0.3">
      <c r="A1146" s="37">
        <v>85834</v>
      </c>
      <c r="B1146" s="409">
        <f t="shared" ref="B1146:C1146" si="1162">($A1146-B$9)/365.25</f>
        <v>153.12251882272417</v>
      </c>
      <c r="C1146" s="409">
        <f t="shared" si="1162"/>
        <v>148.51197809719369</v>
      </c>
      <c r="E1146" s="25">
        <f>IF(C1146&gt;$B$7,0,'Combined Retirement'!$D$13/12)</f>
        <v>0</v>
      </c>
      <c r="F1146" s="25">
        <f>IF(H1146=0,'Combined Retirement'!$D$32,0)+'Combined Retirement'!$B$24</f>
        <v>2870.372285649099</v>
      </c>
      <c r="G1146" s="25">
        <f>'Combined Retirement'!$C$24</f>
        <v>3525.4531757812501</v>
      </c>
      <c r="H1146" s="25">
        <f>IF(B1146&lt;62,0,'Combined Retirement'!$I$14)</f>
        <v>2192</v>
      </c>
      <c r="I1146" s="25">
        <f>IF(C1146&lt;62,0,'Combined Retirement'!$I$13)</f>
        <v>2420</v>
      </c>
      <c r="J1146" s="25">
        <f t="shared" si="1043"/>
        <v>7863.2184191855868</v>
      </c>
      <c r="K1146" s="25">
        <f t="shared" si="1044"/>
        <v>20282.026119384056</v>
      </c>
      <c r="L1146" s="25"/>
      <c r="N1146" s="25">
        <f>'Combined Retirement'!$C$18/12</f>
        <v>39153.069999999992</v>
      </c>
      <c r="O1146" s="25">
        <f t="shared" si="1045"/>
        <v>11007.82546143035</v>
      </c>
      <c r="P1146" s="25">
        <f t="shared" si="1046"/>
        <v>28145.244538569641</v>
      </c>
      <c r="Q1146" s="25">
        <f t="array" aca="1" ref="Q1146" ca="1">INDEX('Isaac 401k'!L:L,MATCH('Retirement Calculator'!A1146,'Isaac 401k'!N:N,0),0)</f>
        <v>-18741452.191431619</v>
      </c>
      <c r="R1146" s="25">
        <f t="array" aca="1" ref="R1146" ca="1">INDEX('Lorri 401b'!L:L,MATCH('Retirement Calculator'!A1146,'Lorri 401b'!N:N,0),0)</f>
        <v>-47797316.045199163</v>
      </c>
      <c r="S1146" s="25">
        <f t="shared" ca="1" si="1047"/>
        <v>-66538768.236630782</v>
      </c>
    </row>
    <row r="1147" spans="1:19" ht="15.75" customHeight="1" x14ac:dyDescent="0.3">
      <c r="A1147" s="37">
        <v>85865</v>
      </c>
      <c r="B1147" s="409">
        <f t="shared" ref="B1147:C1147" si="1163">($A1147-B$9)/365.25</f>
        <v>153.20739219712524</v>
      </c>
      <c r="C1147" s="409">
        <f t="shared" si="1163"/>
        <v>148.59685147159479</v>
      </c>
      <c r="E1147" s="25">
        <f>IF(C1147&gt;$B$7,0,'Combined Retirement'!$D$13/12)</f>
        <v>0</v>
      </c>
      <c r="F1147" s="25">
        <f>IF(H1147=0,'Combined Retirement'!$D$32,0)+'Combined Retirement'!$B$24</f>
        <v>2870.372285649099</v>
      </c>
      <c r="G1147" s="25">
        <f>'Combined Retirement'!$C$24</f>
        <v>3525.4531757812501</v>
      </c>
      <c r="H1147" s="25">
        <f>IF(B1147&lt;62,0,'Combined Retirement'!$I$14)</f>
        <v>2192</v>
      </c>
      <c r="I1147" s="25">
        <f>IF(C1147&lt;62,0,'Combined Retirement'!$I$13)</f>
        <v>2420</v>
      </c>
      <c r="J1147" s="25">
        <f t="shared" si="1043"/>
        <v>7863.2184191855868</v>
      </c>
      <c r="K1147" s="25">
        <f t="shared" si="1044"/>
        <v>20282.026119384056</v>
      </c>
      <c r="L1147" s="25"/>
      <c r="N1147" s="25">
        <f>'Combined Retirement'!$C$18/12</f>
        <v>39153.069999999992</v>
      </c>
      <c r="O1147" s="25">
        <f t="shared" si="1045"/>
        <v>11007.82546143035</v>
      </c>
      <c r="P1147" s="25">
        <f t="shared" si="1046"/>
        <v>28145.244538569641</v>
      </c>
      <c r="Q1147" s="25">
        <f t="array" aca="1" ref="Q1147" ca="1">INDEX('Isaac 401k'!L:L,MATCH('Retirement Calculator'!A1147,'Isaac 401k'!N:N,0),0)</f>
        <v>-18827437.557391852</v>
      </c>
      <c r="R1147" s="25">
        <f t="array" aca="1" ref="R1147" ca="1">INDEX('Lorri 401b'!L:L,MATCH('Retirement Calculator'!A1147,'Lorri 401b'!N:N,0),0)</f>
        <v>-48016838.063282371</v>
      </c>
      <c r="S1147" s="25">
        <f t="shared" ca="1" si="1047"/>
        <v>-66844275.620674223</v>
      </c>
    </row>
    <row r="1148" spans="1:19" ht="15.75" customHeight="1" x14ac:dyDescent="0.3">
      <c r="A1148" s="37">
        <v>85893</v>
      </c>
      <c r="B1148" s="409">
        <f t="shared" ref="B1148:C1148" si="1164">($A1148-B$9)/365.25</f>
        <v>153.28405201916496</v>
      </c>
      <c r="C1148" s="409">
        <f t="shared" si="1164"/>
        <v>148.6735112936345</v>
      </c>
      <c r="E1148" s="25">
        <f>IF(C1148&gt;$B$7,0,'Combined Retirement'!$D$13/12)</f>
        <v>0</v>
      </c>
      <c r="F1148" s="25">
        <f>IF(H1148=0,'Combined Retirement'!$D$32,0)+'Combined Retirement'!$B$24</f>
        <v>2870.372285649099</v>
      </c>
      <c r="G1148" s="25">
        <f>'Combined Retirement'!$C$24</f>
        <v>3525.4531757812501</v>
      </c>
      <c r="H1148" s="25">
        <f>IF(B1148&lt;62,0,'Combined Retirement'!$I$14)</f>
        <v>2192</v>
      </c>
      <c r="I1148" s="25">
        <f>IF(C1148&lt;62,0,'Combined Retirement'!$I$13)</f>
        <v>2420</v>
      </c>
      <c r="J1148" s="25">
        <f t="shared" si="1043"/>
        <v>7863.2184191855868</v>
      </c>
      <c r="K1148" s="25">
        <f t="shared" si="1044"/>
        <v>20282.026119384056</v>
      </c>
      <c r="L1148" s="25"/>
      <c r="N1148" s="25">
        <f>'Combined Retirement'!$C$18/12</f>
        <v>39153.069999999992</v>
      </c>
      <c r="O1148" s="25">
        <f t="shared" si="1045"/>
        <v>11007.82546143035</v>
      </c>
      <c r="P1148" s="25">
        <f t="shared" si="1046"/>
        <v>28145.244538569641</v>
      </c>
      <c r="Q1148" s="25">
        <f t="array" aca="1" ref="Q1148" ca="1">INDEX('Isaac 401k'!L:L,MATCH('Retirement Calculator'!A1148,'Isaac 401k'!N:N,0),0)</f>
        <v>-18913781.195710253</v>
      </c>
      <c r="R1148" s="25">
        <f t="array" aca="1" ref="R1148" ca="1">INDEX('Lorri 401b'!L:L,MATCH('Retirement Calculator'!A1148,'Lorri 401b'!N:N,0),0)</f>
        <v>-48237274.756440923</v>
      </c>
      <c r="S1148" s="25">
        <f t="shared" ca="1" si="1047"/>
        <v>-67151055.952151179</v>
      </c>
    </row>
    <row r="1149" spans="1:19" ht="15.75" customHeight="1" x14ac:dyDescent="0.3">
      <c r="A1149" s="37">
        <v>85924</v>
      </c>
      <c r="B1149" s="409">
        <f t="shared" ref="B1149:C1149" si="1165">($A1149-B$9)/365.25</f>
        <v>153.36892539356606</v>
      </c>
      <c r="C1149" s="409">
        <f t="shared" si="1165"/>
        <v>148.7583846680356</v>
      </c>
      <c r="E1149" s="25">
        <f>IF(C1149&gt;$B$7,0,'Combined Retirement'!$D$13/12)</f>
        <v>0</v>
      </c>
      <c r="F1149" s="25">
        <f>IF(H1149=0,'Combined Retirement'!$D$32,0)+'Combined Retirement'!$B$24</f>
        <v>2870.372285649099</v>
      </c>
      <c r="G1149" s="25">
        <f>'Combined Retirement'!$C$24</f>
        <v>3525.4531757812501</v>
      </c>
      <c r="H1149" s="25">
        <f>IF(B1149&lt;62,0,'Combined Retirement'!$I$14)</f>
        <v>2192</v>
      </c>
      <c r="I1149" s="25">
        <f>IF(C1149&lt;62,0,'Combined Retirement'!$I$13)</f>
        <v>2420</v>
      </c>
      <c r="J1149" s="25">
        <f t="shared" si="1043"/>
        <v>7863.2184191855868</v>
      </c>
      <c r="K1149" s="25">
        <f t="shared" si="1044"/>
        <v>20282.026119384056</v>
      </c>
      <c r="L1149" s="25"/>
      <c r="N1149" s="25">
        <f>'Combined Retirement'!$C$18/12</f>
        <v>39153.069999999992</v>
      </c>
      <c r="O1149" s="25">
        <f t="shared" si="1045"/>
        <v>11007.82546143035</v>
      </c>
      <c r="P1149" s="25">
        <f t="shared" si="1046"/>
        <v>28145.244538569641</v>
      </c>
      <c r="Q1149" s="25">
        <f t="array" aca="1" ref="Q1149" ca="1">INDEX('Isaac 401k'!L:L,MATCH('Retirement Calculator'!A1149,'Isaac 401k'!N:N,0),0)</f>
        <v>-19000484.599188313</v>
      </c>
      <c r="R1149" s="25">
        <f t="array" aca="1" ref="R1149" ca="1">INDEX('Lorri 401b'!L:L,MATCH('Retirement Calculator'!A1149,'Lorri 401b'!N:N,0),0)</f>
        <v>-48458629.935820974</v>
      </c>
      <c r="S1149" s="25">
        <f t="shared" ca="1" si="1047"/>
        <v>-67459114.535009295</v>
      </c>
    </row>
    <row r="1150" spans="1:19" ht="15.75" customHeight="1" x14ac:dyDescent="0.3">
      <c r="A1150" s="37">
        <v>85954</v>
      </c>
      <c r="B1150" s="409">
        <f t="shared" ref="B1150:C1150" si="1166">($A1150-B$9)/365.25</f>
        <v>153.45106091718</v>
      </c>
      <c r="C1150" s="409">
        <f t="shared" si="1166"/>
        <v>148.84052019164955</v>
      </c>
      <c r="E1150" s="25">
        <f>IF(C1150&gt;$B$7,0,'Combined Retirement'!$D$13/12)</f>
        <v>0</v>
      </c>
      <c r="F1150" s="25">
        <f>IF(H1150=0,'Combined Retirement'!$D$32,0)+'Combined Retirement'!$B$24</f>
        <v>2870.372285649099</v>
      </c>
      <c r="G1150" s="25">
        <f>'Combined Retirement'!$C$24</f>
        <v>3525.4531757812501</v>
      </c>
      <c r="H1150" s="25">
        <f>IF(B1150&lt;62,0,'Combined Retirement'!$I$14)</f>
        <v>2192</v>
      </c>
      <c r="I1150" s="25">
        <f>IF(C1150&lt;62,0,'Combined Retirement'!$I$13)</f>
        <v>2420</v>
      </c>
      <c r="J1150" s="25">
        <f t="shared" si="1043"/>
        <v>7863.2184191855868</v>
      </c>
      <c r="K1150" s="25">
        <f t="shared" si="1044"/>
        <v>20282.026119384056</v>
      </c>
      <c r="L1150" s="25"/>
      <c r="N1150" s="25">
        <f>'Combined Retirement'!$C$18/12</f>
        <v>39153.069999999992</v>
      </c>
      <c r="O1150" s="25">
        <f t="shared" si="1045"/>
        <v>11007.82546143035</v>
      </c>
      <c r="P1150" s="25">
        <f t="shared" si="1046"/>
        <v>28145.244538569641</v>
      </c>
      <c r="Q1150" s="25">
        <f t="array" aca="1" ref="Q1150" ca="1">INDEX('Isaac 401k'!L:L,MATCH('Retirement Calculator'!A1150,'Isaac 401k'!N:N,0),0)</f>
        <v>-19087549.266847532</v>
      </c>
      <c r="R1150" s="25">
        <f t="array" aca="1" ref="R1150" ca="1">INDEX('Lorri 401b'!L:L,MATCH('Retirement Calculator'!A1150,'Lorri 401b'!N:N,0),0)</f>
        <v>-48680907.428448439</v>
      </c>
      <c r="S1150" s="25">
        <f t="shared" ca="1" si="1047"/>
        <v>-67768456.695295975</v>
      </c>
    </row>
    <row r="1151" spans="1:19" ht="15.75" customHeight="1" x14ac:dyDescent="0.3">
      <c r="A1151" s="37">
        <v>85985</v>
      </c>
      <c r="B1151" s="409">
        <f t="shared" ref="B1151:C1151" si="1167">($A1151-B$9)/365.25</f>
        <v>153.5359342915811</v>
      </c>
      <c r="C1151" s="409">
        <f t="shared" si="1167"/>
        <v>148.92539356605064</v>
      </c>
      <c r="E1151" s="25">
        <f>IF(C1151&gt;$B$7,0,'Combined Retirement'!$D$13/12)</f>
        <v>0</v>
      </c>
      <c r="F1151" s="25">
        <f>IF(H1151=0,'Combined Retirement'!$D$32,0)+'Combined Retirement'!$B$24</f>
        <v>2870.372285649099</v>
      </c>
      <c r="G1151" s="25">
        <f>'Combined Retirement'!$C$24</f>
        <v>3525.4531757812501</v>
      </c>
      <c r="H1151" s="25">
        <f>IF(B1151&lt;62,0,'Combined Retirement'!$I$14)</f>
        <v>2192</v>
      </c>
      <c r="I1151" s="25">
        <f>IF(C1151&lt;62,0,'Combined Retirement'!$I$13)</f>
        <v>2420</v>
      </c>
      <c r="J1151" s="25">
        <f t="shared" si="1043"/>
        <v>7863.2184191855868</v>
      </c>
      <c r="K1151" s="25">
        <f t="shared" si="1044"/>
        <v>20282.026119384056</v>
      </c>
      <c r="L1151" s="25"/>
      <c r="N1151" s="25">
        <f>'Combined Retirement'!$C$18/12</f>
        <v>39153.069999999992</v>
      </c>
      <c r="O1151" s="25">
        <f t="shared" si="1045"/>
        <v>11007.82546143035</v>
      </c>
      <c r="P1151" s="25">
        <f t="shared" si="1046"/>
        <v>28145.244538569641</v>
      </c>
      <c r="Q1151" s="25">
        <f t="array" aca="1" ref="Q1151" ca="1">INDEX('Isaac 401k'!L:L,MATCH('Retirement Calculator'!A1151,'Isaac 401k'!N:N,0),0)</f>
        <v>-19174976.70395533</v>
      </c>
      <c r="R1151" s="25">
        <f t="array" aca="1" ref="R1151" ca="1">INDEX('Lorri 401b'!L:L,MATCH('Retirement Calculator'!A1151,'Lorri 401b'!N:N,0),0)</f>
        <v>-48904111.077295184</v>
      </c>
      <c r="S1151" s="25">
        <f t="shared" ca="1" si="1047"/>
        <v>-68079087.781250507</v>
      </c>
    </row>
    <row r="1152" spans="1:19" ht="15.75" customHeight="1" x14ac:dyDescent="0.3">
      <c r="A1152" s="37">
        <v>86015</v>
      </c>
      <c r="B1152" s="409">
        <f t="shared" ref="B1152:C1152" si="1168">($A1152-B$9)/365.25</f>
        <v>153.61806981519507</v>
      </c>
      <c r="C1152" s="409">
        <f t="shared" si="1168"/>
        <v>149.00752908966462</v>
      </c>
      <c r="E1152" s="25">
        <f>IF(C1152&gt;$B$7,0,'Combined Retirement'!$D$13/12)</f>
        <v>0</v>
      </c>
      <c r="F1152" s="25">
        <f>IF(H1152=0,'Combined Retirement'!$D$32,0)+'Combined Retirement'!$B$24</f>
        <v>2870.372285649099</v>
      </c>
      <c r="G1152" s="25">
        <f>'Combined Retirement'!$C$24</f>
        <v>3525.4531757812501</v>
      </c>
      <c r="H1152" s="25">
        <f>IF(B1152&lt;62,0,'Combined Retirement'!$I$14)</f>
        <v>2192</v>
      </c>
      <c r="I1152" s="25">
        <f>IF(C1152&lt;62,0,'Combined Retirement'!$I$13)</f>
        <v>2420</v>
      </c>
      <c r="J1152" s="25">
        <f t="shared" si="1043"/>
        <v>7863.2184191855868</v>
      </c>
      <c r="K1152" s="25">
        <f t="shared" si="1044"/>
        <v>20282.026119384056</v>
      </c>
      <c r="L1152" s="25"/>
      <c r="N1152" s="25">
        <f>'Combined Retirement'!$C$18/12</f>
        <v>39153.069999999992</v>
      </c>
      <c r="O1152" s="25">
        <f t="shared" si="1045"/>
        <v>11007.82546143035</v>
      </c>
      <c r="P1152" s="25">
        <f t="shared" si="1046"/>
        <v>28145.244538569641</v>
      </c>
      <c r="Q1152" s="25">
        <f t="array" aca="1" ref="Q1152" ca="1">INDEX('Isaac 401k'!L:L,MATCH('Retirement Calculator'!A1152,'Isaac 401k'!N:N,0),0)</f>
        <v>-19262768.422051076</v>
      </c>
      <c r="R1152" s="25">
        <f t="array" aca="1" ref="R1152" ca="1">INDEX('Lorri 401b'!L:L,MATCH('Retirement Calculator'!A1152,'Lorri 401b'!N:N,0),0)</f>
        <v>-49128244.741345458</v>
      </c>
      <c r="S1152" s="25">
        <f t="shared" ca="1" si="1047"/>
        <v>-68391013.163396537</v>
      </c>
    </row>
    <row r="1153" spans="1:19" ht="15.75" customHeight="1" x14ac:dyDescent="0.3">
      <c r="A1153" s="37">
        <v>86046</v>
      </c>
      <c r="B1153" s="409">
        <f t="shared" ref="B1153:C1153" si="1169">($A1153-B$9)/365.25</f>
        <v>153.70294318959617</v>
      </c>
      <c r="C1153" s="409">
        <f t="shared" si="1169"/>
        <v>149.09240246406571</v>
      </c>
      <c r="E1153" s="25">
        <f>IF(C1153&gt;$B$7,0,'Combined Retirement'!$D$13/12)</f>
        <v>0</v>
      </c>
      <c r="F1153" s="25">
        <f>IF(H1153=0,'Combined Retirement'!$D$32,0)+'Combined Retirement'!$B$24</f>
        <v>2870.372285649099</v>
      </c>
      <c r="G1153" s="25">
        <f>'Combined Retirement'!$C$24</f>
        <v>3525.4531757812501</v>
      </c>
      <c r="H1153" s="25">
        <f>IF(B1153&lt;62,0,'Combined Retirement'!$I$14)</f>
        <v>2192</v>
      </c>
      <c r="I1153" s="25">
        <f>IF(C1153&lt;62,0,'Combined Retirement'!$I$13)</f>
        <v>2420</v>
      </c>
      <c r="J1153" s="25">
        <f t="shared" si="1043"/>
        <v>7863.2184191855868</v>
      </c>
      <c r="K1153" s="25">
        <f t="shared" si="1044"/>
        <v>20282.026119384056</v>
      </c>
      <c r="L1153" s="25"/>
      <c r="N1153" s="25">
        <f>'Combined Retirement'!$C$18/12</f>
        <v>39153.069999999992</v>
      </c>
      <c r="O1153" s="25">
        <f t="shared" si="1045"/>
        <v>11007.82546143035</v>
      </c>
      <c r="P1153" s="25">
        <f t="shared" si="1046"/>
        <v>28145.244538569641</v>
      </c>
      <c r="Q1153" s="25">
        <f t="array" aca="1" ref="Q1153" ca="1">INDEX('Isaac 401k'!L:L,MATCH('Retirement Calculator'!A1153,'Isaac 401k'!N:N,0),0)</f>
        <v>-19350925.938972224</v>
      </c>
      <c r="R1153" s="25">
        <f t="array" aca="1" ref="R1153" ca="1">INDEX('Lorri 401b'!L:L,MATCH('Retirement Calculator'!A1153,'Lorri 401b'!N:N,0),0)</f>
        <v>-49353312.295662612</v>
      </c>
      <c r="S1153" s="25">
        <f t="shared" ca="1" si="1047"/>
        <v>-68704238.234634832</v>
      </c>
    </row>
    <row r="1154" spans="1:19" ht="15.75" customHeight="1" x14ac:dyDescent="0.3">
      <c r="A1154" s="37">
        <v>86077</v>
      </c>
      <c r="B1154" s="409">
        <f t="shared" ref="B1154:C1154" si="1170">($A1154-B$9)/365.25</f>
        <v>153.78781656399727</v>
      </c>
      <c r="C1154" s="409">
        <f t="shared" si="1170"/>
        <v>149.17727583846681</v>
      </c>
      <c r="E1154" s="25">
        <f>IF(C1154&gt;$B$7,0,'Combined Retirement'!$D$13/12)</f>
        <v>0</v>
      </c>
      <c r="F1154" s="25">
        <f>IF(H1154=0,'Combined Retirement'!$D$32,0)+'Combined Retirement'!$B$24</f>
        <v>2870.372285649099</v>
      </c>
      <c r="G1154" s="25">
        <f>'Combined Retirement'!$C$24</f>
        <v>3525.4531757812501</v>
      </c>
      <c r="H1154" s="25">
        <f>IF(B1154&lt;62,0,'Combined Retirement'!$I$14)</f>
        <v>2192</v>
      </c>
      <c r="I1154" s="25">
        <f>IF(C1154&lt;62,0,'Combined Retirement'!$I$13)</f>
        <v>2420</v>
      </c>
      <c r="J1154" s="25">
        <f t="shared" si="1043"/>
        <v>7863.2184191855868</v>
      </c>
      <c r="K1154" s="25">
        <f t="shared" si="1044"/>
        <v>20282.026119384056</v>
      </c>
      <c r="L1154" s="25"/>
      <c r="N1154" s="25">
        <f>'Combined Retirement'!$C$18/12</f>
        <v>39153.069999999992</v>
      </c>
      <c r="O1154" s="25">
        <f t="shared" si="1045"/>
        <v>11007.82546143035</v>
      </c>
      <c r="P1154" s="25">
        <f t="shared" si="1046"/>
        <v>28145.244538569641</v>
      </c>
      <c r="Q1154" s="25">
        <f t="array" aca="1" ref="Q1154" ca="1">INDEX('Isaac 401k'!L:L,MATCH('Retirement Calculator'!A1154,'Isaac 401k'!N:N,0),0)</f>
        <v>-19439450.77888054</v>
      </c>
      <c r="R1154" s="25">
        <f t="array" aca="1" ref="R1154" ca="1">INDEX('Lorri 401b'!L:L,MATCH('Retirement Calculator'!A1154,'Lorri 401b'!N:N,0),0)</f>
        <v>-49579317.631456085</v>
      </c>
      <c r="S1154" s="25">
        <f t="shared" ca="1" si="1047"/>
        <v>-69018768.410336629</v>
      </c>
    </row>
    <row r="1155" spans="1:19" ht="15.75" customHeight="1" x14ac:dyDescent="0.3">
      <c r="A1155" s="37">
        <v>86107</v>
      </c>
      <c r="B1155" s="409">
        <f t="shared" ref="B1155:C1155" si="1171">($A1155-B$9)/365.25</f>
        <v>153.86995208761124</v>
      </c>
      <c r="C1155" s="409">
        <f t="shared" si="1171"/>
        <v>149.25941136208075</v>
      </c>
      <c r="E1155" s="25">
        <f>IF(C1155&gt;$B$7,0,'Combined Retirement'!$D$13/12)</f>
        <v>0</v>
      </c>
      <c r="F1155" s="25">
        <f>IF(H1155=0,'Combined Retirement'!$D$32,0)+'Combined Retirement'!$B$24</f>
        <v>2870.372285649099</v>
      </c>
      <c r="G1155" s="25">
        <f>'Combined Retirement'!$C$24</f>
        <v>3525.4531757812501</v>
      </c>
      <c r="H1155" s="25">
        <f>IF(B1155&lt;62,0,'Combined Retirement'!$I$14)</f>
        <v>2192</v>
      </c>
      <c r="I1155" s="25">
        <f>IF(C1155&lt;62,0,'Combined Retirement'!$I$13)</f>
        <v>2420</v>
      </c>
      <c r="J1155" s="25">
        <f t="shared" si="1043"/>
        <v>7863.2184191855868</v>
      </c>
      <c r="K1155" s="25">
        <f t="shared" si="1044"/>
        <v>20282.026119384056</v>
      </c>
      <c r="L1155" s="25"/>
      <c r="N1155" s="25">
        <f>'Combined Retirement'!$C$18/12</f>
        <v>39153.069999999992</v>
      </c>
      <c r="O1155" s="25">
        <f t="shared" si="1045"/>
        <v>11007.82546143035</v>
      </c>
      <c r="P1155" s="25">
        <f t="shared" si="1046"/>
        <v>28145.244538569641</v>
      </c>
      <c r="Q1155" s="25">
        <f t="array" aca="1" ref="Q1155" ca="1">INDEX('Isaac 401k'!L:L,MATCH('Retirement Calculator'!A1155,'Isaac 401k'!N:N,0),0)</f>
        <v>-19528344.472288474</v>
      </c>
      <c r="R1155" s="25">
        <f t="array" aca="1" ref="R1155" ca="1">INDEX('Lorri 401b'!L:L,MATCH('Retirement Calculator'!A1155,'Lorri 401b'!N:N,0),0)</f>
        <v>-49806264.656148694</v>
      </c>
      <c r="S1155" s="25">
        <f t="shared" ca="1" si="1047"/>
        <v>-69334609.128437161</v>
      </c>
    </row>
    <row r="1156" spans="1:19" ht="15.75" customHeight="1" x14ac:dyDescent="0.3">
      <c r="A1156" s="37">
        <v>86138</v>
      </c>
      <c r="B1156" s="409">
        <f t="shared" ref="B1156:C1156" si="1172">($A1156-B$9)/365.25</f>
        <v>153.95482546201231</v>
      </c>
      <c r="C1156" s="409">
        <f t="shared" si="1172"/>
        <v>149.34428473648185</v>
      </c>
      <c r="E1156" s="25">
        <f>IF(C1156&gt;$B$7,0,'Combined Retirement'!$D$13/12)</f>
        <v>0</v>
      </c>
      <c r="F1156" s="25">
        <f>IF(H1156=0,'Combined Retirement'!$D$32,0)+'Combined Retirement'!$B$24</f>
        <v>2870.372285649099</v>
      </c>
      <c r="G1156" s="25">
        <f>'Combined Retirement'!$C$24</f>
        <v>3525.4531757812501</v>
      </c>
      <c r="H1156" s="25">
        <f>IF(B1156&lt;62,0,'Combined Retirement'!$I$14)</f>
        <v>2192</v>
      </c>
      <c r="I1156" s="25">
        <f>IF(C1156&lt;62,0,'Combined Retirement'!$I$13)</f>
        <v>2420</v>
      </c>
      <c r="J1156" s="25">
        <f t="shared" si="1043"/>
        <v>7863.2184191855868</v>
      </c>
      <c r="K1156" s="25">
        <f t="shared" si="1044"/>
        <v>20282.026119384056</v>
      </c>
      <c r="L1156" s="25"/>
      <c r="N1156" s="25">
        <f>'Combined Retirement'!$C$18/12</f>
        <v>39153.069999999992</v>
      </c>
      <c r="O1156" s="25">
        <f t="shared" si="1045"/>
        <v>11007.82546143035</v>
      </c>
      <c r="P1156" s="25">
        <f t="shared" si="1046"/>
        <v>28145.244538569641</v>
      </c>
      <c r="Q1156" s="25">
        <f t="array" aca="1" ref="Q1156" ca="1">INDEX('Isaac 401k'!L:L,MATCH('Retirement Calculator'!A1156,'Isaac 401k'!N:N,0),0)</f>
        <v>-19617608.556085609</v>
      </c>
      <c r="R1156" s="25">
        <f t="array" aca="1" ref="R1156" ca="1">INDEX('Lorri 401b'!L:L,MATCH('Retirement Calculator'!A1156,'Lorri 401b'!N:N,0),0)</f>
        <v>-50034157.293444194</v>
      </c>
      <c r="S1156" s="25">
        <f t="shared" ca="1" si="1047"/>
        <v>-69651765.849529803</v>
      </c>
    </row>
    <row r="1157" spans="1:19" ht="15.75" customHeight="1" x14ac:dyDescent="0.3">
      <c r="A1157" s="37">
        <v>86168</v>
      </c>
      <c r="B1157" s="409">
        <f t="shared" ref="B1157:C1157" si="1173">($A1157-B$9)/365.25</f>
        <v>154.03696098562628</v>
      </c>
      <c r="C1157" s="409">
        <f t="shared" si="1173"/>
        <v>149.42642026009582</v>
      </c>
      <c r="E1157" s="25">
        <f>IF(C1157&gt;$B$7,0,'Combined Retirement'!$D$13/12)</f>
        <v>0</v>
      </c>
      <c r="F1157" s="25">
        <f>IF(H1157=0,'Combined Retirement'!$D$32,0)+'Combined Retirement'!$B$24</f>
        <v>2870.372285649099</v>
      </c>
      <c r="G1157" s="25">
        <f>'Combined Retirement'!$C$24</f>
        <v>3525.4531757812501</v>
      </c>
      <c r="H1157" s="25">
        <f>IF(B1157&lt;62,0,'Combined Retirement'!$I$14)</f>
        <v>2192</v>
      </c>
      <c r="I1157" s="25">
        <f>IF(C1157&lt;62,0,'Combined Retirement'!$I$13)</f>
        <v>2420</v>
      </c>
      <c r="J1157" s="25">
        <f t="shared" si="1043"/>
        <v>7863.2184191855868</v>
      </c>
      <c r="K1157" s="25">
        <f t="shared" si="1044"/>
        <v>20282.026119384056</v>
      </c>
      <c r="L1157" s="25"/>
      <c r="N1157" s="25">
        <f>'Combined Retirement'!$C$18/12</f>
        <v>39153.069999999992</v>
      </c>
      <c r="O1157" s="25">
        <f t="shared" si="1045"/>
        <v>11007.82546143035</v>
      </c>
      <c r="P1157" s="25">
        <f t="shared" si="1046"/>
        <v>28145.244538569641</v>
      </c>
      <c r="Q1157" s="25">
        <f t="array" aca="1" ref="Q1157" ca="1">INDEX('Isaac 401k'!L:L,MATCH('Retirement Calculator'!A1157,'Isaac 401k'!N:N,0),0)</f>
        <v>-19707244.573565233</v>
      </c>
      <c r="R1157" s="25">
        <f t="array" aca="1" ref="R1157" ca="1">INDEX('Lorri 401b'!L:L,MATCH('Retirement Calculator'!A1157,'Lorri 401b'!N:N,0),0)</f>
        <v>-50262999.483395092</v>
      </c>
      <c r="S1157" s="25">
        <f t="shared" ca="1" si="1047"/>
        <v>-69970244.056960329</v>
      </c>
    </row>
    <row r="1158" spans="1:19" ht="15.75" customHeight="1" x14ac:dyDescent="0.3">
      <c r="A1158" s="37">
        <v>86199</v>
      </c>
      <c r="B1158" s="409">
        <f t="shared" ref="B1158:C1158" si="1174">($A1158-B$9)/365.25</f>
        <v>154.12183436002738</v>
      </c>
      <c r="C1158" s="409">
        <f t="shared" si="1174"/>
        <v>149.51129363449692</v>
      </c>
      <c r="E1158" s="25">
        <f>IF(C1158&gt;$B$7,0,'Combined Retirement'!$D$13/12)</f>
        <v>0</v>
      </c>
      <c r="F1158" s="25">
        <f>IF(H1158=0,'Combined Retirement'!$D$32,0)+'Combined Retirement'!$B$24</f>
        <v>2870.372285649099</v>
      </c>
      <c r="G1158" s="25">
        <f>'Combined Retirement'!$C$24</f>
        <v>3525.4531757812501</v>
      </c>
      <c r="H1158" s="25">
        <f>IF(B1158&lt;62,0,'Combined Retirement'!$I$14)</f>
        <v>2192</v>
      </c>
      <c r="I1158" s="25">
        <f>IF(C1158&lt;62,0,'Combined Retirement'!$I$13)</f>
        <v>2420</v>
      </c>
      <c r="J1158" s="25">
        <f t="shared" si="1043"/>
        <v>7863.2184191855868</v>
      </c>
      <c r="K1158" s="25">
        <f t="shared" si="1044"/>
        <v>20282.026119384056</v>
      </c>
      <c r="L1158" s="25"/>
      <c r="N1158" s="25">
        <f>'Combined Retirement'!$C$18/12</f>
        <v>39153.069999999992</v>
      </c>
      <c r="O1158" s="25">
        <f t="shared" si="1045"/>
        <v>11007.82546143035</v>
      </c>
      <c r="P1158" s="25">
        <f t="shared" si="1046"/>
        <v>28145.244538569641</v>
      </c>
      <c r="Q1158" s="25">
        <f t="array" aca="1" ref="Q1158" ca="1">INDEX('Isaac 401k'!L:L,MATCH('Retirement Calculator'!A1158,'Isaac 401k'!N:N,0),0)</f>
        <v>-19797254.074451022</v>
      </c>
      <c r="R1158" s="25">
        <f t="array" aca="1" ref="R1158" ca="1">INDEX('Lorri 401b'!L:L,MATCH('Retirement Calculator'!A1158,'Lorri 401b'!N:N,0),0)</f>
        <v>-50492795.182470784</v>
      </c>
      <c r="S1158" s="25">
        <f t="shared" ca="1" si="1047"/>
        <v>-70290049.256921798</v>
      </c>
    </row>
    <row r="1159" spans="1:19" ht="15.75" customHeight="1" x14ac:dyDescent="0.3">
      <c r="A1159" s="37">
        <v>86230</v>
      </c>
      <c r="B1159" s="409">
        <f t="shared" ref="B1159:C1159" si="1175">($A1159-B$9)/365.25</f>
        <v>154.20670773442848</v>
      </c>
      <c r="C1159" s="409">
        <f t="shared" si="1175"/>
        <v>149.59616700889802</v>
      </c>
      <c r="E1159" s="25">
        <f>IF(C1159&gt;$B$7,0,'Combined Retirement'!$D$13/12)</f>
        <v>0</v>
      </c>
      <c r="F1159" s="25">
        <f>IF(H1159=0,'Combined Retirement'!$D$32,0)+'Combined Retirement'!$B$24</f>
        <v>2870.372285649099</v>
      </c>
      <c r="G1159" s="25">
        <f>'Combined Retirement'!$C$24</f>
        <v>3525.4531757812501</v>
      </c>
      <c r="H1159" s="25">
        <f>IF(B1159&lt;62,0,'Combined Retirement'!$I$14)</f>
        <v>2192</v>
      </c>
      <c r="I1159" s="25">
        <f>IF(C1159&lt;62,0,'Combined Retirement'!$I$13)</f>
        <v>2420</v>
      </c>
      <c r="J1159" s="25">
        <f t="shared" si="1043"/>
        <v>7863.2184191855868</v>
      </c>
      <c r="K1159" s="25">
        <f t="shared" si="1044"/>
        <v>20282.026119384056</v>
      </c>
      <c r="L1159" s="25"/>
      <c r="N1159" s="25">
        <f>'Combined Retirement'!$C$18/12</f>
        <v>39153.069999999992</v>
      </c>
      <c r="O1159" s="25">
        <f t="shared" si="1045"/>
        <v>11007.82546143035</v>
      </c>
      <c r="P1159" s="25">
        <f t="shared" si="1046"/>
        <v>28145.244538569641</v>
      </c>
      <c r="Q1159" s="25">
        <f t="array" aca="1" ref="Q1159" ca="1">INDEX('Isaac 401k'!L:L,MATCH('Retirement Calculator'!A1159,'Isaac 401k'!N:N,0),0)</f>
        <v>-19887638.614923835</v>
      </c>
      <c r="R1159" s="25">
        <f t="array" aca="1" ref="R1159" ca="1">INDEX('Lorri 401b'!L:L,MATCH('Retirement Calculator'!A1159,'Lorri 401b'!N:N,0),0)</f>
        <v>-50723548.363625959</v>
      </c>
      <c r="S1159" s="25">
        <f t="shared" ca="1" si="1047"/>
        <v>-70611186.978549793</v>
      </c>
    </row>
    <row r="1160" spans="1:19" ht="15.75" customHeight="1" x14ac:dyDescent="0.3">
      <c r="A1160" s="37">
        <v>86259</v>
      </c>
      <c r="B1160" s="409">
        <f t="shared" ref="B1160:C1160" si="1176">($A1160-B$9)/365.25</f>
        <v>154.28610540725529</v>
      </c>
      <c r="C1160" s="409">
        <f t="shared" si="1176"/>
        <v>149.67556468172484</v>
      </c>
      <c r="E1160" s="25">
        <f>IF(C1160&gt;$B$7,0,'Combined Retirement'!$D$13/12)</f>
        <v>0</v>
      </c>
      <c r="F1160" s="25">
        <f>IF(H1160=0,'Combined Retirement'!$D$32,0)+'Combined Retirement'!$B$24</f>
        <v>2870.372285649099</v>
      </c>
      <c r="G1160" s="25">
        <f>'Combined Retirement'!$C$24</f>
        <v>3525.4531757812501</v>
      </c>
      <c r="H1160" s="25">
        <f>IF(B1160&lt;62,0,'Combined Retirement'!$I$14)</f>
        <v>2192</v>
      </c>
      <c r="I1160" s="25">
        <f>IF(C1160&lt;62,0,'Combined Retirement'!$I$13)</f>
        <v>2420</v>
      </c>
      <c r="J1160" s="25">
        <f t="shared" si="1043"/>
        <v>7863.2184191855868</v>
      </c>
      <c r="K1160" s="25">
        <f t="shared" si="1044"/>
        <v>20282.026119384056</v>
      </c>
      <c r="L1160" s="25"/>
      <c r="N1160" s="25">
        <f>'Combined Retirement'!$C$18/12</f>
        <v>39153.069999999992</v>
      </c>
      <c r="O1160" s="25">
        <f t="shared" si="1045"/>
        <v>11007.82546143035</v>
      </c>
      <c r="P1160" s="25">
        <f t="shared" si="1046"/>
        <v>28145.244538569641</v>
      </c>
      <c r="Q1160" s="25">
        <f t="array" aca="1" ref="Q1160" ca="1">INDEX('Isaac 401k'!L:L,MATCH('Retirement Calculator'!A1160,'Isaac 401k'!N:N,0),0)</f>
        <v>-19978399.757648617</v>
      </c>
      <c r="R1160" s="25">
        <f t="array" aca="1" ref="R1160" ca="1">INDEX('Lorri 401b'!L:L,MATCH('Retirement Calculator'!A1160,'Lorri 401b'!N:N,0),0)</f>
        <v>-50955263.016369276</v>
      </c>
      <c r="S1160" s="25">
        <f t="shared" ca="1" si="1047"/>
        <v>-70933662.7740179</v>
      </c>
    </row>
    <row r="1161" spans="1:19" ht="15.75" customHeight="1" x14ac:dyDescent="0.3">
      <c r="A1161" s="37">
        <v>86290</v>
      </c>
      <c r="B1161" s="409">
        <f t="shared" ref="B1161:C1161" si="1177">($A1161-B$9)/365.25</f>
        <v>154.37097878165639</v>
      </c>
      <c r="C1161" s="409">
        <f t="shared" si="1177"/>
        <v>149.76043805612593</v>
      </c>
      <c r="E1161" s="25">
        <f>IF(C1161&gt;$B$7,0,'Combined Retirement'!$D$13/12)</f>
        <v>0</v>
      </c>
      <c r="F1161" s="25">
        <f>IF(H1161=0,'Combined Retirement'!$D$32,0)+'Combined Retirement'!$B$24</f>
        <v>2870.372285649099</v>
      </c>
      <c r="G1161" s="25">
        <f>'Combined Retirement'!$C$24</f>
        <v>3525.4531757812501</v>
      </c>
      <c r="H1161" s="25">
        <f>IF(B1161&lt;62,0,'Combined Retirement'!$I$14)</f>
        <v>2192</v>
      </c>
      <c r="I1161" s="25">
        <f>IF(C1161&lt;62,0,'Combined Retirement'!$I$13)</f>
        <v>2420</v>
      </c>
      <c r="J1161" s="25">
        <f t="shared" si="1043"/>
        <v>7863.2184191855868</v>
      </c>
      <c r="K1161" s="25">
        <f t="shared" si="1044"/>
        <v>20282.026119384056</v>
      </c>
      <c r="L1161" s="25"/>
      <c r="N1161" s="25">
        <f>'Combined Retirement'!$C$18/12</f>
        <v>39153.069999999992</v>
      </c>
      <c r="O1161" s="25">
        <f t="shared" si="1045"/>
        <v>11007.82546143035</v>
      </c>
      <c r="P1161" s="25">
        <f t="shared" si="1046"/>
        <v>28145.244538569641</v>
      </c>
      <c r="Q1161" s="25">
        <f t="array" aca="1" ref="Q1161" ca="1">INDEX('Isaac 401k'!L:L,MATCH('Retirement Calculator'!A1161,'Isaac 401k'!N:N,0),0)</f>
        <v>-20069539.07180142</v>
      </c>
      <c r="R1161" s="25">
        <f t="array" aca="1" ref="R1161" ca="1">INDEX('Lorri 401b'!L:L,MATCH('Retirement Calculator'!A1161,'Lorri 401b'!N:N,0),0)</f>
        <v>-51187943.146832362</v>
      </c>
      <c r="S1161" s="25">
        <f t="shared" ca="1" si="1047"/>
        <v>-71257482.218633786</v>
      </c>
    </row>
    <row r="1162" spans="1:19" ht="15.75" customHeight="1" x14ac:dyDescent="0.3">
      <c r="A1162" s="37">
        <v>86320</v>
      </c>
      <c r="B1162" s="409">
        <f t="shared" ref="B1162:C1162" si="1178">($A1162-B$9)/365.25</f>
        <v>154.45311430527036</v>
      </c>
      <c r="C1162" s="409">
        <f t="shared" si="1178"/>
        <v>149.84257357973991</v>
      </c>
      <c r="E1162" s="25">
        <f>IF(C1162&gt;$B$7,0,'Combined Retirement'!$D$13/12)</f>
        <v>0</v>
      </c>
      <c r="F1162" s="25">
        <f>IF(H1162=0,'Combined Retirement'!$D$32,0)+'Combined Retirement'!$B$24</f>
        <v>2870.372285649099</v>
      </c>
      <c r="G1162" s="25">
        <f>'Combined Retirement'!$C$24</f>
        <v>3525.4531757812501</v>
      </c>
      <c r="H1162" s="25">
        <f>IF(B1162&lt;62,0,'Combined Retirement'!$I$14)</f>
        <v>2192</v>
      </c>
      <c r="I1162" s="25">
        <f>IF(C1162&lt;62,0,'Combined Retirement'!$I$13)</f>
        <v>2420</v>
      </c>
      <c r="J1162" s="25">
        <f t="shared" si="1043"/>
        <v>7863.2184191855868</v>
      </c>
      <c r="K1162" s="25">
        <f t="shared" si="1044"/>
        <v>20282.026119384056</v>
      </c>
      <c r="L1162" s="25"/>
      <c r="N1162" s="25">
        <f>'Combined Retirement'!$C$18/12</f>
        <v>39153.069999999992</v>
      </c>
      <c r="O1162" s="25">
        <f t="shared" si="1045"/>
        <v>11007.82546143035</v>
      </c>
      <c r="P1162" s="25">
        <f t="shared" si="1046"/>
        <v>28145.244538569641</v>
      </c>
      <c r="Q1162" s="25">
        <f t="array" aca="1" ref="Q1162" ca="1">INDEX('Isaac 401k'!L:L,MATCH('Retirement Calculator'!A1162,'Isaac 401k'!N:N,0),0)</f>
        <v>-20161058.133096527</v>
      </c>
      <c r="R1162" s="25">
        <f t="array" aca="1" ref="R1162" ca="1">INDEX('Lorri 401b'!L:L,MATCH('Retirement Calculator'!A1162,'Lorri 401b'!N:N,0),0)</f>
        <v>-51421592.777839042</v>
      </c>
      <c r="S1162" s="25">
        <f t="shared" ca="1" si="1047"/>
        <v>-71582650.910935566</v>
      </c>
    </row>
    <row r="1163" spans="1:19" ht="15.75" customHeight="1" x14ac:dyDescent="0.3">
      <c r="A1163" s="37">
        <v>86351</v>
      </c>
      <c r="B1163" s="409">
        <f t="shared" ref="B1163:C1163" si="1179">($A1163-B$9)/365.25</f>
        <v>154.53798767967146</v>
      </c>
      <c r="C1163" s="409">
        <f t="shared" si="1179"/>
        <v>149.927446954141</v>
      </c>
      <c r="E1163" s="25">
        <f>IF(C1163&gt;$B$7,0,'Combined Retirement'!$D$13/12)</f>
        <v>0</v>
      </c>
      <c r="F1163" s="25">
        <f>IF(H1163=0,'Combined Retirement'!$D$32,0)+'Combined Retirement'!$B$24</f>
        <v>2870.372285649099</v>
      </c>
      <c r="G1163" s="25">
        <f>'Combined Retirement'!$C$24</f>
        <v>3525.4531757812501</v>
      </c>
      <c r="H1163" s="25">
        <f>IF(B1163&lt;62,0,'Combined Retirement'!$I$14)</f>
        <v>2192</v>
      </c>
      <c r="I1163" s="25">
        <f>IF(C1163&lt;62,0,'Combined Retirement'!$I$13)</f>
        <v>2420</v>
      </c>
      <c r="J1163" s="25">
        <f t="shared" si="1043"/>
        <v>7863.2184191855868</v>
      </c>
      <c r="K1163" s="25">
        <f t="shared" si="1044"/>
        <v>20282.026119384056</v>
      </c>
      <c r="L1163" s="25"/>
      <c r="N1163" s="25">
        <f>'Combined Retirement'!$C$18/12</f>
        <v>39153.069999999992</v>
      </c>
      <c r="O1163" s="25">
        <f t="shared" si="1045"/>
        <v>11007.82546143035</v>
      </c>
      <c r="P1163" s="25">
        <f t="shared" si="1046"/>
        <v>28145.244538569641</v>
      </c>
      <c r="Q1163" s="25">
        <f t="array" aca="1" ref="Q1163" ca="1">INDEX('Isaac 401k'!L:L,MATCH('Retirement Calculator'!A1163,'Isaac 401k'!N:N,0),0)</f>
        <v>-20252958.523813695</v>
      </c>
      <c r="R1163" s="25">
        <f t="array" aca="1" ref="R1163" ca="1">INDEX('Lorri 401b'!L:L,MATCH('Retirement Calculator'!A1163,'Lorri 401b'!N:N,0),0)</f>
        <v>-51656215.948974915</v>
      </c>
      <c r="S1163" s="25">
        <f t="shared" ca="1" si="1047"/>
        <v>-71909174.472788602</v>
      </c>
    </row>
    <row r="1164" spans="1:19" ht="15.75" customHeight="1" x14ac:dyDescent="0.3">
      <c r="A1164" s="37">
        <v>86381</v>
      </c>
      <c r="B1164" s="409">
        <f t="shared" ref="B1164:C1164" si="1180">($A1164-B$9)/365.25</f>
        <v>154.62012320328543</v>
      </c>
      <c r="C1164" s="409">
        <f t="shared" si="1180"/>
        <v>150.00958247775498</v>
      </c>
      <c r="E1164" s="25">
        <f>IF(C1164&gt;$B$7,0,'Combined Retirement'!$D$13/12)</f>
        <v>0</v>
      </c>
      <c r="F1164" s="25">
        <f>IF(H1164=0,'Combined Retirement'!$D$32,0)+'Combined Retirement'!$B$24</f>
        <v>2870.372285649099</v>
      </c>
      <c r="G1164" s="25">
        <f>'Combined Retirement'!$C$24</f>
        <v>3525.4531757812501</v>
      </c>
      <c r="H1164" s="25">
        <f>IF(B1164&lt;62,0,'Combined Retirement'!$I$14)</f>
        <v>2192</v>
      </c>
      <c r="I1164" s="25">
        <f>IF(C1164&lt;62,0,'Combined Retirement'!$I$13)</f>
        <v>2420</v>
      </c>
      <c r="J1164" s="25">
        <f t="shared" si="1043"/>
        <v>7863.2184191855868</v>
      </c>
      <c r="K1164" s="25">
        <f t="shared" si="1044"/>
        <v>20282.026119384056</v>
      </c>
      <c r="L1164" s="25"/>
      <c r="N1164" s="25">
        <f>'Combined Retirement'!$C$18/12</f>
        <v>39153.069999999992</v>
      </c>
      <c r="O1164" s="25">
        <f t="shared" si="1045"/>
        <v>11007.82546143035</v>
      </c>
      <c r="P1164" s="25">
        <f t="shared" si="1046"/>
        <v>28145.244538569641</v>
      </c>
      <c r="Q1164" s="25">
        <f t="array" aca="1" ref="Q1164" ca="1">INDEX('Isaac 401k'!L:L,MATCH('Retirement Calculator'!A1164,'Isaac 401k'!N:N,0),0)</f>
        <v>-20345241.832825519</v>
      </c>
      <c r="R1164" s="25">
        <f t="array" aca="1" ref="R1164" ca="1">INDEX('Lorri 401b'!L:L,MATCH('Retirement Calculator'!A1164,'Lorri 401b'!N:N,0),0)</f>
        <v>-51891816.716657192</v>
      </c>
      <c r="S1164" s="25">
        <f t="shared" ca="1" si="1047"/>
        <v>-72237058.549482703</v>
      </c>
    </row>
    <row r="1165" spans="1:19" ht="15.75" customHeight="1" x14ac:dyDescent="0.3">
      <c r="A1165" s="37">
        <v>86412</v>
      </c>
      <c r="B1165" s="409">
        <f t="shared" ref="B1165:C1165" si="1181">($A1165-B$9)/365.25</f>
        <v>154.70499657768653</v>
      </c>
      <c r="C1165" s="409">
        <f t="shared" si="1181"/>
        <v>150.09445585215605</v>
      </c>
      <c r="E1165" s="25">
        <f>IF(C1165&gt;$B$7,0,'Combined Retirement'!$D$13/12)</f>
        <v>0</v>
      </c>
      <c r="F1165" s="25">
        <f>IF(H1165=0,'Combined Retirement'!$D$32,0)+'Combined Retirement'!$B$24</f>
        <v>2870.372285649099</v>
      </c>
      <c r="G1165" s="25">
        <f>'Combined Retirement'!$C$24</f>
        <v>3525.4531757812501</v>
      </c>
      <c r="H1165" s="25">
        <f>IF(B1165&lt;62,0,'Combined Retirement'!$I$14)</f>
        <v>2192</v>
      </c>
      <c r="I1165" s="25">
        <f>IF(C1165&lt;62,0,'Combined Retirement'!$I$13)</f>
        <v>2420</v>
      </c>
      <c r="J1165" s="25">
        <f t="shared" si="1043"/>
        <v>7863.2184191855868</v>
      </c>
      <c r="K1165" s="25">
        <f t="shared" si="1044"/>
        <v>20282.026119384056</v>
      </c>
      <c r="L1165" s="25"/>
      <c r="N1165" s="25">
        <f>'Combined Retirement'!$C$18/12</f>
        <v>39153.069999999992</v>
      </c>
      <c r="O1165" s="25">
        <f t="shared" si="1045"/>
        <v>11007.82546143035</v>
      </c>
      <c r="P1165" s="25">
        <f t="shared" si="1046"/>
        <v>28145.244538569641</v>
      </c>
      <c r="Q1165" s="25">
        <f t="array" aca="1" ref="Q1165" ca="1">INDEX('Isaac 401k'!L:L,MATCH('Retirement Calculator'!A1165,'Isaac 401k'!N:N,0),0)</f>
        <v>-20437909.655624893</v>
      </c>
      <c r="R1165" s="25">
        <f t="array" aca="1" ref="R1165" ca="1">INDEX('Lorri 401b'!L:L,MATCH('Retirement Calculator'!A1165,'Lorri 401b'!N:N,0),0)</f>
        <v>-52128399.154204808</v>
      </c>
      <c r="S1165" s="25">
        <f t="shared" ca="1" si="1047"/>
        <v>-72566308.809829697</v>
      </c>
    </row>
    <row r="1166" spans="1:19" ht="15.75" customHeight="1" x14ac:dyDescent="0.3">
      <c r="A1166" s="37">
        <v>86443</v>
      </c>
      <c r="B1166" s="409">
        <f t="shared" ref="B1166:C1166" si="1182">($A1166-B$9)/365.25</f>
        <v>154.7898699520876</v>
      </c>
      <c r="C1166" s="409">
        <f t="shared" si="1182"/>
        <v>150.17932922655714</v>
      </c>
      <c r="E1166" s="25">
        <f>IF(C1166&gt;$B$7,0,'Combined Retirement'!$D$13/12)</f>
        <v>0</v>
      </c>
      <c r="F1166" s="25">
        <f>IF(H1166=0,'Combined Retirement'!$D$32,0)+'Combined Retirement'!$B$24</f>
        <v>2870.372285649099</v>
      </c>
      <c r="G1166" s="25">
        <f>'Combined Retirement'!$C$24</f>
        <v>3525.4531757812501</v>
      </c>
      <c r="H1166" s="25">
        <f>IF(B1166&lt;62,0,'Combined Retirement'!$I$14)</f>
        <v>2192</v>
      </c>
      <c r="I1166" s="25">
        <f>IF(C1166&lt;62,0,'Combined Retirement'!$I$13)</f>
        <v>2420</v>
      </c>
      <c r="J1166" s="25">
        <f t="shared" si="1043"/>
        <v>7863.2184191855868</v>
      </c>
      <c r="K1166" s="25">
        <f t="shared" si="1044"/>
        <v>20282.026119384056</v>
      </c>
      <c r="L1166" s="25"/>
      <c r="N1166" s="25">
        <f>'Combined Retirement'!$C$18/12</f>
        <v>39153.069999999992</v>
      </c>
      <c r="O1166" s="25">
        <f t="shared" si="1045"/>
        <v>11007.82546143035</v>
      </c>
      <c r="P1166" s="25">
        <f t="shared" si="1046"/>
        <v>28145.244538569641</v>
      </c>
      <c r="Q1166" s="25">
        <f t="array" aca="1" ref="Q1166" ca="1">INDEX('Isaac 401k'!L:L,MATCH('Retirement Calculator'!A1166,'Isaac 401k'!N:N,0),0)</f>
        <v>-20530963.594352596</v>
      </c>
      <c r="R1166" s="25">
        <f t="array" aca="1" ref="R1166" ca="1">INDEX('Lorri 401b'!L:L,MATCH('Retirement Calculator'!A1166,'Lorri 401b'!N:N,0),0)</f>
        <v>-52365967.35190887</v>
      </c>
      <c r="S1166" s="25">
        <f t="shared" ca="1" si="1047"/>
        <v>-72896930.946261466</v>
      </c>
    </row>
    <row r="1167" spans="1:19" ht="15.75" customHeight="1" x14ac:dyDescent="0.3">
      <c r="A1167" s="37">
        <v>86473</v>
      </c>
      <c r="B1167" s="409">
        <f t="shared" ref="B1167:C1167" si="1183">($A1167-B$9)/365.25</f>
        <v>154.87200547570157</v>
      </c>
      <c r="C1167" s="409">
        <f t="shared" si="1183"/>
        <v>150.26146475017111</v>
      </c>
      <c r="E1167" s="25">
        <f>IF(C1167&gt;$B$7,0,'Combined Retirement'!$D$13/12)</f>
        <v>0</v>
      </c>
      <c r="F1167" s="25">
        <f>IF(H1167=0,'Combined Retirement'!$D$32,0)+'Combined Retirement'!$B$24</f>
        <v>2870.372285649099</v>
      </c>
      <c r="G1167" s="25">
        <f>'Combined Retirement'!$C$24</f>
        <v>3525.4531757812501</v>
      </c>
      <c r="H1167" s="25">
        <f>IF(B1167&lt;62,0,'Combined Retirement'!$I$14)</f>
        <v>2192</v>
      </c>
      <c r="I1167" s="25">
        <f>IF(C1167&lt;62,0,'Combined Retirement'!$I$13)</f>
        <v>2420</v>
      </c>
      <c r="J1167" s="25">
        <f t="shared" si="1043"/>
        <v>7863.2184191855868</v>
      </c>
      <c r="K1167" s="25">
        <f t="shared" si="1044"/>
        <v>20282.026119384056</v>
      </c>
      <c r="L1167" s="25"/>
      <c r="N1167" s="25">
        <f>'Combined Retirement'!$C$18/12</f>
        <v>39153.069999999992</v>
      </c>
      <c r="O1167" s="25">
        <f t="shared" si="1045"/>
        <v>11007.82546143035</v>
      </c>
      <c r="P1167" s="25">
        <f t="shared" si="1046"/>
        <v>28145.244538569641</v>
      </c>
      <c r="Q1167" s="25">
        <f t="array" aca="1" ref="Q1167" ca="1">INDEX('Isaac 401k'!L:L,MATCH('Retirement Calculator'!A1167,'Isaac 401k'!N:N,0),0)</f>
        <v>-20624405.257824998</v>
      </c>
      <c r="R1167" s="25">
        <f t="array" aca="1" ref="R1167" ca="1">INDEX('Lorri 401b'!L:L,MATCH('Retirement Calculator'!A1167,'Lorri 401b'!N:N,0),0)</f>
        <v>-52604525.417103373</v>
      </c>
      <c r="S1167" s="25">
        <f t="shared" ca="1" si="1047"/>
        <v>-73228930.674928367</v>
      </c>
    </row>
    <row r="1168" spans="1:19" ht="15.75" customHeight="1" x14ac:dyDescent="0.3">
      <c r="A1168" s="37">
        <v>86504</v>
      </c>
      <c r="B1168" s="409">
        <f t="shared" ref="B1168:C1168" si="1184">($A1168-B$9)/365.25</f>
        <v>154.95687885010267</v>
      </c>
      <c r="C1168" s="409">
        <f t="shared" si="1184"/>
        <v>150.34633812457221</v>
      </c>
      <c r="E1168" s="25">
        <f>IF(C1168&gt;$B$7,0,'Combined Retirement'!$D$13/12)</f>
        <v>0</v>
      </c>
      <c r="F1168" s="25">
        <f>IF(H1168=0,'Combined Retirement'!$D$32,0)+'Combined Retirement'!$B$24</f>
        <v>2870.372285649099</v>
      </c>
      <c r="G1168" s="25">
        <f>'Combined Retirement'!$C$24</f>
        <v>3525.4531757812501</v>
      </c>
      <c r="H1168" s="25">
        <f>IF(B1168&lt;62,0,'Combined Retirement'!$I$14)</f>
        <v>2192</v>
      </c>
      <c r="I1168" s="25">
        <f>IF(C1168&lt;62,0,'Combined Retirement'!$I$13)</f>
        <v>2420</v>
      </c>
      <c r="J1168" s="25">
        <f t="shared" si="1043"/>
        <v>7863.2184191855868</v>
      </c>
      <c r="K1168" s="25">
        <f t="shared" si="1044"/>
        <v>20282.026119384056</v>
      </c>
      <c r="L1168" s="25"/>
      <c r="N1168" s="25">
        <f>'Combined Retirement'!$C$18/12</f>
        <v>39153.069999999992</v>
      </c>
      <c r="O1168" s="25">
        <f t="shared" si="1045"/>
        <v>11007.82546143035</v>
      </c>
      <c r="P1168" s="25">
        <f t="shared" si="1046"/>
        <v>28145.244538569641</v>
      </c>
      <c r="Q1168" s="25">
        <f t="array" aca="1" ref="Q1168" ca="1">INDEX('Isaac 401k'!L:L,MATCH('Retirement Calculator'!A1168,'Isaac 401k'!N:N,0),0)</f>
        <v>-20718236.261561871</v>
      </c>
      <c r="R1168" s="25">
        <f t="array" aca="1" ref="R1168" ca="1">INDEX('Lorri 401b'!L:L,MATCH('Retirement Calculator'!A1168,'Lorri 401b'!N:N,0),0)</f>
        <v>-52844077.474236183</v>
      </c>
      <c r="S1168" s="25">
        <f t="shared" ca="1" si="1047"/>
        <v>-73562313.735798061</v>
      </c>
    </row>
    <row r="1169" spans="1:19" ht="15.75" customHeight="1" x14ac:dyDescent="0.3">
      <c r="A1169" s="37">
        <v>86534</v>
      </c>
      <c r="B1169" s="409">
        <f t="shared" ref="B1169:C1169" si="1185">($A1169-B$9)/365.25</f>
        <v>155.03901437371664</v>
      </c>
      <c r="C1169" s="409">
        <f t="shared" si="1185"/>
        <v>150.42847364818618</v>
      </c>
      <c r="E1169" s="25">
        <f>IF(C1169&gt;$B$7,0,'Combined Retirement'!$D$13/12)</f>
        <v>0</v>
      </c>
      <c r="F1169" s="25">
        <f>IF(H1169=0,'Combined Retirement'!$D$32,0)+'Combined Retirement'!$B$24</f>
        <v>2870.372285649099</v>
      </c>
      <c r="G1169" s="25">
        <f>'Combined Retirement'!$C$24</f>
        <v>3525.4531757812501</v>
      </c>
      <c r="H1169" s="25">
        <f>IF(B1169&lt;62,0,'Combined Retirement'!$I$14)</f>
        <v>2192</v>
      </c>
      <c r="I1169" s="25">
        <f>IF(C1169&lt;62,0,'Combined Retirement'!$I$13)</f>
        <v>2420</v>
      </c>
      <c r="J1169" s="25">
        <f t="shared" si="1043"/>
        <v>7863.2184191855868</v>
      </c>
      <c r="K1169" s="25">
        <f t="shared" si="1044"/>
        <v>20282.026119384056</v>
      </c>
      <c r="L1169" s="25"/>
      <c r="N1169" s="25">
        <f>'Combined Retirement'!$C$18/12</f>
        <v>39153.069999999992</v>
      </c>
      <c r="O1169" s="25">
        <f t="shared" si="1045"/>
        <v>11007.82546143035</v>
      </c>
      <c r="P1169" s="25">
        <f t="shared" si="1046"/>
        <v>28145.244538569641</v>
      </c>
      <c r="Q1169" s="25">
        <f t="array" aca="1" ref="Q1169" ca="1">INDEX('Isaac 401k'!L:L,MATCH('Retirement Calculator'!A1169,'Isaac 401k'!N:N,0),0)</f>
        <v>-20812458.227814313</v>
      </c>
      <c r="R1169" s="25">
        <f t="array" aca="1" ref="R1169" ca="1">INDEX('Lorri 401b'!L:L,MATCH('Retirement Calculator'!A1169,'Lorri 401b'!N:N,0),0)</f>
        <v>-53084627.66494038</v>
      </c>
      <c r="S1169" s="25">
        <f t="shared" ca="1" si="1047"/>
        <v>-73897085.892754689</v>
      </c>
    </row>
    <row r="1170" spans="1:19" ht="15.75" customHeight="1" x14ac:dyDescent="0.3">
      <c r="A1170" s="37">
        <v>86565</v>
      </c>
      <c r="B1170" s="409">
        <f t="shared" ref="B1170:C1170" si="1186">($A1170-B$9)/365.25</f>
        <v>155.12388774811774</v>
      </c>
      <c r="C1170" s="409">
        <f t="shared" si="1186"/>
        <v>150.51334702258728</v>
      </c>
      <c r="E1170" s="25">
        <f>IF(C1170&gt;$B$7,0,'Combined Retirement'!$D$13/12)</f>
        <v>0</v>
      </c>
      <c r="F1170" s="25">
        <f>IF(H1170=0,'Combined Retirement'!$D$32,0)+'Combined Retirement'!$B$24</f>
        <v>2870.372285649099</v>
      </c>
      <c r="G1170" s="25">
        <f>'Combined Retirement'!$C$24</f>
        <v>3525.4531757812501</v>
      </c>
      <c r="H1170" s="25">
        <f>IF(B1170&lt;62,0,'Combined Retirement'!$I$14)</f>
        <v>2192</v>
      </c>
      <c r="I1170" s="25">
        <f>IF(C1170&lt;62,0,'Combined Retirement'!$I$13)</f>
        <v>2420</v>
      </c>
      <c r="J1170" s="25">
        <f t="shared" si="1043"/>
        <v>7863.2184191855868</v>
      </c>
      <c r="K1170" s="25">
        <f t="shared" si="1044"/>
        <v>20282.026119384056</v>
      </c>
      <c r="L1170" s="25"/>
      <c r="N1170" s="25">
        <f>'Combined Retirement'!$C$18/12</f>
        <v>39153.069999999992</v>
      </c>
      <c r="O1170" s="25">
        <f t="shared" si="1045"/>
        <v>11007.82546143035</v>
      </c>
      <c r="P1170" s="25">
        <f t="shared" si="1046"/>
        <v>28145.244538569641</v>
      </c>
      <c r="Q1170" s="25">
        <f t="array" aca="1" ref="Q1170" ca="1">INDEX('Isaac 401k'!L:L,MATCH('Retirement Calculator'!A1170,'Isaac 401k'!N:N,0),0)</f>
        <v>-20907072.785592806</v>
      </c>
      <c r="R1170" s="25">
        <f t="array" aca="1" ref="R1170" ca="1">INDEX('Lorri 401b'!L:L,MATCH('Retirement Calculator'!A1170,'Lorri 401b'!N:N,0),0)</f>
        <v>-53326180.148105845</v>
      </c>
      <c r="S1170" s="25">
        <f t="shared" ca="1" si="1047"/>
        <v>-74233252.933698654</v>
      </c>
    </row>
    <row r="1171" spans="1:19" ht="15.75" customHeight="1" x14ac:dyDescent="0.3">
      <c r="A1171" s="37">
        <v>86596</v>
      </c>
      <c r="B1171" s="409">
        <f t="shared" ref="B1171:C1171" si="1187">($A1171-B$9)/365.25</f>
        <v>155.20876112251884</v>
      </c>
      <c r="C1171" s="409">
        <f t="shared" si="1187"/>
        <v>150.59822039698835</v>
      </c>
      <c r="E1171" s="25">
        <f>IF(C1171&gt;$B$7,0,'Combined Retirement'!$D$13/12)</f>
        <v>0</v>
      </c>
      <c r="F1171" s="25">
        <f>IF(H1171=0,'Combined Retirement'!$D$32,0)+'Combined Retirement'!$B$24</f>
        <v>2870.372285649099</v>
      </c>
      <c r="G1171" s="25">
        <f>'Combined Retirement'!$C$24</f>
        <v>3525.4531757812501</v>
      </c>
      <c r="H1171" s="25">
        <f>IF(B1171&lt;62,0,'Combined Retirement'!$I$14)</f>
        <v>2192</v>
      </c>
      <c r="I1171" s="25">
        <f>IF(C1171&lt;62,0,'Combined Retirement'!$I$13)</f>
        <v>2420</v>
      </c>
      <c r="J1171" s="25">
        <f t="shared" si="1043"/>
        <v>7863.2184191855868</v>
      </c>
      <c r="K1171" s="25">
        <f t="shared" si="1044"/>
        <v>20282.026119384056</v>
      </c>
      <c r="L1171" s="25"/>
      <c r="N1171" s="25">
        <f>'Combined Retirement'!$C$18/12</f>
        <v>39153.069999999992</v>
      </c>
      <c r="O1171" s="25">
        <f t="shared" si="1045"/>
        <v>11007.82546143035</v>
      </c>
      <c r="P1171" s="25">
        <f t="shared" si="1046"/>
        <v>28145.244538569641</v>
      </c>
      <c r="Q1171" s="25">
        <f t="array" aca="1" ref="Q1171" ca="1">INDEX('Isaac 401k'!L:L,MATCH('Retirement Calculator'!A1171,'Isaac 401k'!N:N,0),0)</f>
        <v>-21002081.570695374</v>
      </c>
      <c r="R1171" s="25">
        <f t="array" aca="1" ref="R1171" ca="1">INDEX('Lorri 401b'!L:L,MATCH('Retirement Calculator'!A1171,'Lorri 401b'!N:N,0),0)</f>
        <v>-53568739.099951163</v>
      </c>
      <c r="S1171" s="25">
        <f t="shared" ca="1" si="1047"/>
        <v>-74570820.670646533</v>
      </c>
    </row>
  </sheetData>
  <autoFilter ref="A10:P10" xr:uid="{00000000-0009-0000-0000-000009000000}"/>
  <mergeCells count="2">
    <mergeCell ref="M1:N1"/>
    <mergeCell ref="J6:K6"/>
  </mergeCell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>
      <pane ySplit="6" topLeftCell="A67" activePane="bottomLeft" state="frozen"/>
      <selection pane="bottomLeft" activeCell="B8" sqref="B8"/>
    </sheetView>
  </sheetViews>
  <sheetFormatPr defaultColWidth="14.44140625" defaultRowHeight="15" customHeight="1" x14ac:dyDescent="0.3"/>
  <cols>
    <col min="1" max="1" width="11.33203125" customWidth="1"/>
    <col min="2" max="3" width="11" customWidth="1"/>
    <col min="4" max="4" width="15.6640625" customWidth="1"/>
    <col min="5" max="5" width="16.109375" customWidth="1"/>
    <col min="6" max="6" width="14.109375" customWidth="1"/>
    <col min="7" max="7" width="10" customWidth="1"/>
    <col min="8" max="8" width="19.33203125" customWidth="1"/>
    <col min="9" max="9" width="16.109375" customWidth="1"/>
    <col min="10" max="10" width="13.109375" customWidth="1"/>
    <col min="11" max="11" width="8" customWidth="1"/>
    <col min="12" max="13" width="13.6640625" customWidth="1"/>
    <col min="14" max="14" width="16.109375" customWidth="1"/>
    <col min="15" max="15" width="12.6640625" customWidth="1"/>
    <col min="16" max="16" width="8" customWidth="1"/>
    <col min="17" max="17" width="19.33203125" customWidth="1"/>
    <col min="18" max="18" width="13.109375" customWidth="1"/>
    <col min="19" max="19" width="16.109375" customWidth="1"/>
    <col min="20" max="20" width="13.109375" customWidth="1"/>
    <col min="21" max="21" width="8" customWidth="1"/>
    <col min="22" max="22" width="15.109375" customWidth="1"/>
    <col min="23" max="23" width="13.109375" customWidth="1"/>
    <col min="24" max="24" width="16.109375" customWidth="1"/>
    <col min="25" max="25" width="12.6640625" customWidth="1"/>
    <col min="26" max="26" width="8" customWidth="1"/>
  </cols>
  <sheetData>
    <row r="1" spans="1:26" ht="11.25" customHeight="1" x14ac:dyDescent="0.3">
      <c r="A1" s="304"/>
      <c r="B1" s="349" t="s">
        <v>607</v>
      </c>
      <c r="C1" s="349" t="s">
        <v>608</v>
      </c>
      <c r="D1" s="410" t="s">
        <v>609</v>
      </c>
      <c r="E1" s="410" t="s">
        <v>610</v>
      </c>
      <c r="F1" s="410" t="s">
        <v>611</v>
      </c>
      <c r="G1" s="410" t="s">
        <v>612</v>
      </c>
      <c r="H1" s="307"/>
      <c r="I1" s="307"/>
      <c r="J1" s="411"/>
      <c r="K1" s="411"/>
      <c r="L1" s="307"/>
      <c r="M1" s="307"/>
      <c r="N1" s="307"/>
      <c r="O1" s="411"/>
      <c r="P1" s="411"/>
      <c r="Q1" s="412">
        <f ca="1">(TODAY()-B18)/365</f>
        <v>15.876712328767123</v>
      </c>
      <c r="R1" s="411"/>
      <c r="S1" s="411"/>
      <c r="T1" s="411"/>
      <c r="U1" s="411"/>
      <c r="V1" s="412">
        <f ca="1">(TODAY()-B16)/365</f>
        <v>16.372602739726027</v>
      </c>
      <c r="W1" s="307"/>
      <c r="X1" s="411"/>
      <c r="Y1" s="307"/>
      <c r="Z1" s="307"/>
    </row>
    <row r="2" spans="1:26" ht="11.25" customHeight="1" x14ac:dyDescent="0.3">
      <c r="A2" s="412">
        <f ca="1">(C2-B2)/365</f>
        <v>18.627397260273973</v>
      </c>
      <c r="B2" s="349">
        <v>39356</v>
      </c>
      <c r="C2" s="349">
        <f ca="1">TODAY()</f>
        <v>46155</v>
      </c>
      <c r="D2" s="410">
        <f>-(SUM(D7:D80))</f>
        <v>-435224.27000000008</v>
      </c>
      <c r="E2" s="410">
        <f>(H82+L82+Q82+V82)*-1</f>
        <v>1063118.3599999999</v>
      </c>
      <c r="F2" s="296">
        <f ca="1">D4</f>
        <v>0.1115842044353485</v>
      </c>
      <c r="G2" s="413">
        <f ca="1">(72/(F2*100))</f>
        <v>6.4525261764729933</v>
      </c>
      <c r="H2" s="412"/>
      <c r="I2" s="307"/>
      <c r="J2" s="411"/>
      <c r="K2" s="411"/>
      <c r="L2" s="307"/>
      <c r="M2" s="307"/>
      <c r="N2" s="307"/>
      <c r="O2" s="411"/>
      <c r="P2" s="411"/>
      <c r="Q2" s="411"/>
      <c r="R2" s="411"/>
      <c r="S2" s="411"/>
      <c r="T2" s="411"/>
      <c r="U2" s="411"/>
      <c r="V2" s="411"/>
      <c r="W2" s="307"/>
      <c r="X2" s="411"/>
      <c r="Y2" s="307"/>
      <c r="Z2" s="307"/>
    </row>
    <row r="3" spans="1:26" ht="11.25" customHeight="1" x14ac:dyDescent="0.3">
      <c r="A3" s="304"/>
      <c r="B3" s="414"/>
      <c r="C3" s="414"/>
      <c r="D3" s="411"/>
      <c r="E3" s="411"/>
      <c r="F3" s="307"/>
      <c r="G3" s="307"/>
      <c r="H3" s="307"/>
      <c r="I3" s="307"/>
      <c r="J3" s="411"/>
      <c r="K3" s="411"/>
      <c r="L3" s="307"/>
      <c r="M3" s="307"/>
      <c r="N3" s="307"/>
      <c r="O3" s="411"/>
      <c r="P3" s="411"/>
      <c r="Q3" s="411"/>
      <c r="R3" s="411"/>
      <c r="S3" s="411"/>
      <c r="T3" s="411"/>
      <c r="U3" s="411"/>
      <c r="V3" s="411"/>
      <c r="W3" s="307"/>
      <c r="X3" s="411"/>
      <c r="Y3" s="307"/>
      <c r="Z3" s="307"/>
    </row>
    <row r="4" spans="1:26" ht="11.25" customHeight="1" x14ac:dyDescent="0.3">
      <c r="A4" s="415"/>
      <c r="B4" s="416"/>
      <c r="C4" s="417"/>
      <c r="D4" s="307">
        <f ca="1">XIRR(D7:D82,B7:B82)</f>
        <v>0.1115842044353485</v>
      </c>
      <c r="E4" s="411"/>
      <c r="F4" s="307"/>
      <c r="G4" s="307"/>
      <c r="H4" s="307"/>
      <c r="I4" s="411"/>
      <c r="J4" s="307">
        <f ca="1">XIRR(H8:H82,B8:B82)</f>
        <v>0.11310397982597351</v>
      </c>
      <c r="K4" s="307"/>
      <c r="L4" s="307"/>
      <c r="M4" s="307"/>
      <c r="N4" s="411"/>
      <c r="O4" s="307">
        <f ca="1">XIRR(L7:L82,B7:B82)</f>
        <v>0.11018785834312439</v>
      </c>
      <c r="P4" s="307"/>
      <c r="Q4" s="307"/>
      <c r="R4" s="411"/>
      <c r="S4" s="411"/>
      <c r="T4" s="307">
        <f ca="1">XIRR(Q18:Q82,B18:B82)</f>
        <v>0.11048911213874815</v>
      </c>
      <c r="U4" s="307"/>
      <c r="V4" s="307"/>
      <c r="W4" s="307"/>
      <c r="X4" s="411"/>
      <c r="Y4" s="307">
        <f ca="1">XIRR(V16:V82,B16:B82)</f>
        <v>0.1110995829105377</v>
      </c>
      <c r="Z4" s="307"/>
    </row>
    <row r="5" spans="1:26" ht="11.25" customHeight="1" x14ac:dyDescent="0.3">
      <c r="A5" s="415"/>
      <c r="B5" s="306"/>
      <c r="C5" s="306"/>
      <c r="D5" s="556" t="s">
        <v>613</v>
      </c>
      <c r="E5" s="552"/>
      <c r="F5" s="552"/>
      <c r="G5" s="537"/>
      <c r="H5" s="557" t="s">
        <v>614</v>
      </c>
      <c r="I5" s="552"/>
      <c r="J5" s="552"/>
      <c r="K5" s="537"/>
      <c r="L5" s="558" t="s">
        <v>615</v>
      </c>
      <c r="M5" s="552"/>
      <c r="N5" s="552"/>
      <c r="O5" s="552"/>
      <c r="P5" s="537"/>
      <c r="Q5" s="557" t="s">
        <v>616</v>
      </c>
      <c r="R5" s="552"/>
      <c r="S5" s="552"/>
      <c r="T5" s="552"/>
      <c r="U5" s="537"/>
      <c r="V5" s="558" t="s">
        <v>617</v>
      </c>
      <c r="W5" s="552"/>
      <c r="X5" s="552"/>
      <c r="Y5" s="552"/>
      <c r="Z5" s="537"/>
    </row>
    <row r="6" spans="1:26" ht="11.25" customHeight="1" x14ac:dyDescent="0.3">
      <c r="A6" s="418" t="s">
        <v>618</v>
      </c>
      <c r="B6" s="418">
        <f ca="1">MAX(A:A)</f>
        <v>75</v>
      </c>
      <c r="C6" s="416"/>
      <c r="D6" s="349" t="s">
        <v>619</v>
      </c>
      <c r="E6" s="296" t="s">
        <v>620</v>
      </c>
      <c r="F6" s="296" t="s">
        <v>621</v>
      </c>
      <c r="G6" s="296" t="s">
        <v>622</v>
      </c>
      <c r="H6" s="419" t="s">
        <v>619</v>
      </c>
      <c r="I6" s="419" t="s">
        <v>620</v>
      </c>
      <c r="J6" s="419" t="s">
        <v>621</v>
      </c>
      <c r="K6" s="419" t="s">
        <v>622</v>
      </c>
      <c r="L6" s="420" t="s">
        <v>619</v>
      </c>
      <c r="M6" s="420" t="s">
        <v>623</v>
      </c>
      <c r="N6" s="420" t="s">
        <v>620</v>
      </c>
      <c r="O6" s="420" t="s">
        <v>621</v>
      </c>
      <c r="P6" s="420" t="s">
        <v>622</v>
      </c>
      <c r="Q6" s="419" t="s">
        <v>624</v>
      </c>
      <c r="R6" s="419" t="s">
        <v>625</v>
      </c>
      <c r="S6" s="419" t="s">
        <v>626</v>
      </c>
      <c r="T6" s="419" t="s">
        <v>621</v>
      </c>
      <c r="U6" s="419" t="s">
        <v>622</v>
      </c>
      <c r="V6" s="420" t="s">
        <v>627</v>
      </c>
      <c r="W6" s="420" t="s">
        <v>625</v>
      </c>
      <c r="X6" s="420" t="s">
        <v>620</v>
      </c>
      <c r="Y6" s="420" t="s">
        <v>621</v>
      </c>
      <c r="Z6" s="420" t="s">
        <v>622</v>
      </c>
    </row>
    <row r="7" spans="1:26" ht="11.25" customHeight="1" x14ac:dyDescent="0.3">
      <c r="A7" s="421">
        <f t="shared" ref="A7:A81" si="0">_xlfn.RANK.EQ(G7,$G$7:$G$81)</f>
        <v>58</v>
      </c>
      <c r="B7" s="422">
        <v>39356</v>
      </c>
      <c r="C7" s="422">
        <v>39447</v>
      </c>
      <c r="D7" s="410">
        <f t="shared" ref="D7:D81" si="1">H7+L7+Q7+V7</f>
        <v>33.119999999999997</v>
      </c>
      <c r="E7" s="352">
        <f t="shared" ref="E7:F7" si="2">I7+N7+S7+X7</f>
        <v>0.05</v>
      </c>
      <c r="F7" s="352">
        <f t="shared" si="2"/>
        <v>33.17</v>
      </c>
      <c r="G7" s="296">
        <f>E7/(0+(D7/2))</f>
        <v>3.0193236714975849E-3</v>
      </c>
      <c r="H7" s="419">
        <v>0</v>
      </c>
      <c r="I7" s="419"/>
      <c r="J7" s="419"/>
      <c r="K7" s="423"/>
      <c r="L7" s="420">
        <v>33.119999999999997</v>
      </c>
      <c r="M7" s="420"/>
      <c r="N7" s="420">
        <v>0.05</v>
      </c>
      <c r="O7" s="420">
        <v>33.17</v>
      </c>
      <c r="P7" s="424">
        <f>N7/(0+(L7/2))</f>
        <v>3.0193236714975849E-3</v>
      </c>
      <c r="Q7" s="419"/>
      <c r="R7" s="419"/>
      <c r="S7" s="419"/>
      <c r="T7" s="419"/>
      <c r="U7" s="419"/>
      <c r="V7" s="420"/>
      <c r="W7" s="420"/>
      <c r="X7" s="420"/>
      <c r="Y7" s="420"/>
      <c r="Z7" s="420"/>
    </row>
    <row r="8" spans="1:26" ht="11.25" customHeight="1" x14ac:dyDescent="0.3">
      <c r="A8" s="421">
        <f t="shared" si="0"/>
        <v>55</v>
      </c>
      <c r="B8" s="422">
        <v>39448</v>
      </c>
      <c r="C8" s="422">
        <v>39538</v>
      </c>
      <c r="D8" s="410">
        <f t="shared" si="1"/>
        <v>616.89</v>
      </c>
      <c r="E8" s="352">
        <f t="shared" ref="E8:F8" si="3">I8+N8+S8+X8</f>
        <v>2.14</v>
      </c>
      <c r="F8" s="352">
        <f t="shared" si="3"/>
        <v>652.20000000000005</v>
      </c>
      <c r="G8" s="296">
        <f t="shared" ref="G8:G81" si="4">E8/(F7+(D8/2))</f>
        <v>6.2643619279012927E-3</v>
      </c>
      <c r="H8" s="419">
        <v>479.8</v>
      </c>
      <c r="I8" s="419">
        <v>1.1200000000000001</v>
      </c>
      <c r="J8" s="419">
        <v>480.92</v>
      </c>
      <c r="K8" s="423">
        <f t="shared" ref="K8:K81" si="5">I8/(J7+(H8/2))</f>
        <v>4.6686119216340144E-3</v>
      </c>
      <c r="L8" s="420">
        <v>137.09</v>
      </c>
      <c r="M8" s="420"/>
      <c r="N8" s="420">
        <v>1.02</v>
      </c>
      <c r="O8" s="420">
        <f t="shared" ref="O8:O75" si="6">O7+L8+N8</f>
        <v>171.28</v>
      </c>
      <c r="P8" s="424">
        <f t="shared" ref="P8:P81" si="7">N8/(O7+(L8/2))</f>
        <v>1.0028019466155435E-2</v>
      </c>
      <c r="Q8" s="419"/>
      <c r="R8" s="419"/>
      <c r="S8" s="419"/>
      <c r="T8" s="419"/>
      <c r="U8" s="419"/>
      <c r="V8" s="420"/>
      <c r="W8" s="420"/>
      <c r="X8" s="420"/>
      <c r="Y8" s="420"/>
      <c r="Z8" s="420"/>
    </row>
    <row r="9" spans="1:26" ht="11.25" customHeight="1" x14ac:dyDescent="0.3">
      <c r="A9" s="421">
        <f t="shared" si="0"/>
        <v>52</v>
      </c>
      <c r="B9" s="422">
        <v>39539</v>
      </c>
      <c r="C9" s="422">
        <v>39629</v>
      </c>
      <c r="D9" s="410">
        <f t="shared" si="1"/>
        <v>1853.77</v>
      </c>
      <c r="E9" s="352">
        <f t="shared" ref="E9:F9" si="8">I9+N9+S9+X9</f>
        <v>12.58</v>
      </c>
      <c r="F9" s="352">
        <f t="shared" si="8"/>
        <v>2518.5500000000002</v>
      </c>
      <c r="G9" s="296">
        <f t="shared" si="4"/>
        <v>7.9666389079751879E-3</v>
      </c>
      <c r="H9" s="419">
        <v>1185.3800000000001</v>
      </c>
      <c r="I9" s="419">
        <v>9.18</v>
      </c>
      <c r="J9" s="419">
        <f t="shared" ref="J9:J81" si="9">J8+H9+I9</f>
        <v>1675.4800000000002</v>
      </c>
      <c r="K9" s="423">
        <f t="shared" si="5"/>
        <v>8.5505909967306549E-3</v>
      </c>
      <c r="L9" s="420">
        <v>668.39</v>
      </c>
      <c r="M9" s="420"/>
      <c r="N9" s="420">
        <v>3.4</v>
      </c>
      <c r="O9" s="420">
        <f t="shared" si="6"/>
        <v>843.06999999999994</v>
      </c>
      <c r="P9" s="424">
        <f t="shared" si="7"/>
        <v>6.7263465057619065E-3</v>
      </c>
      <c r="Q9" s="419"/>
      <c r="R9" s="419"/>
      <c r="S9" s="419"/>
      <c r="T9" s="419"/>
      <c r="U9" s="419"/>
      <c r="V9" s="420"/>
      <c r="W9" s="420"/>
      <c r="X9" s="420"/>
      <c r="Y9" s="420"/>
      <c r="Z9" s="420"/>
    </row>
    <row r="10" spans="1:26" ht="11.25" customHeight="1" x14ac:dyDescent="0.3">
      <c r="A10" s="421">
        <f t="shared" si="0"/>
        <v>49</v>
      </c>
      <c r="B10" s="422">
        <v>39630</v>
      </c>
      <c r="C10" s="422">
        <v>39721</v>
      </c>
      <c r="D10" s="410">
        <f t="shared" si="1"/>
        <v>1317.67</v>
      </c>
      <c r="E10" s="352">
        <f t="shared" ref="E10:F10" si="10">I10+N10+S10+X10</f>
        <v>32.43</v>
      </c>
      <c r="F10" s="352">
        <f t="shared" si="10"/>
        <v>3868.6500000000005</v>
      </c>
      <c r="G10" s="296">
        <f t="shared" si="4"/>
        <v>1.0206506293697489E-2</v>
      </c>
      <c r="H10" s="419">
        <v>1016.04</v>
      </c>
      <c r="I10" s="419">
        <v>22.28</v>
      </c>
      <c r="J10" s="419">
        <f t="shared" si="9"/>
        <v>2713.8000000000006</v>
      </c>
      <c r="K10" s="423">
        <f t="shared" si="5"/>
        <v>1.0203801236546829E-2</v>
      </c>
      <c r="L10" s="420">
        <v>301.63</v>
      </c>
      <c r="M10" s="420"/>
      <c r="N10" s="420">
        <v>10.15</v>
      </c>
      <c r="O10" s="420">
        <f t="shared" si="6"/>
        <v>1154.8499999999999</v>
      </c>
      <c r="P10" s="424">
        <f t="shared" si="7"/>
        <v>1.0212449126407985E-2</v>
      </c>
      <c r="Q10" s="419"/>
      <c r="R10" s="419"/>
      <c r="S10" s="419"/>
      <c r="T10" s="419"/>
      <c r="U10" s="419"/>
      <c r="V10" s="420"/>
      <c r="W10" s="420"/>
      <c r="X10" s="420"/>
      <c r="Y10" s="420"/>
      <c r="Z10" s="420"/>
    </row>
    <row r="11" spans="1:26" ht="11.25" customHeight="1" x14ac:dyDescent="0.3">
      <c r="A11" s="421">
        <f t="shared" si="0"/>
        <v>50</v>
      </c>
      <c r="B11" s="422">
        <v>39722</v>
      </c>
      <c r="C11" s="422">
        <v>39813</v>
      </c>
      <c r="D11" s="410">
        <f t="shared" si="1"/>
        <v>1523.3000000000002</v>
      </c>
      <c r="E11" s="352">
        <f t="shared" ref="E11:F11" si="11">I11+N11+S11+X11</f>
        <v>39.36</v>
      </c>
      <c r="F11" s="352">
        <f t="shared" si="11"/>
        <v>5431.31</v>
      </c>
      <c r="G11" s="296">
        <f t="shared" si="4"/>
        <v>8.5005291233829321E-3</v>
      </c>
      <c r="H11" s="419">
        <v>1255.94</v>
      </c>
      <c r="I11" s="419">
        <v>28.04</v>
      </c>
      <c r="J11" s="419">
        <f t="shared" si="9"/>
        <v>3997.7800000000007</v>
      </c>
      <c r="K11" s="423">
        <f t="shared" si="5"/>
        <v>8.3907629789004012E-3</v>
      </c>
      <c r="L11" s="420">
        <v>267.36</v>
      </c>
      <c r="M11" s="420"/>
      <c r="N11" s="420">
        <v>11.32</v>
      </c>
      <c r="O11" s="420">
        <f t="shared" si="6"/>
        <v>1433.53</v>
      </c>
      <c r="P11" s="424">
        <f t="shared" si="7"/>
        <v>8.7852048458320724E-3</v>
      </c>
      <c r="Q11" s="419"/>
      <c r="R11" s="419"/>
      <c r="S11" s="419"/>
      <c r="T11" s="419"/>
      <c r="U11" s="419"/>
      <c r="V11" s="420"/>
      <c r="W11" s="420"/>
      <c r="X11" s="420"/>
      <c r="Y11" s="420"/>
      <c r="Z11" s="420"/>
    </row>
    <row r="12" spans="1:26" ht="11.25" customHeight="1" x14ac:dyDescent="0.3">
      <c r="A12" s="421">
        <f t="shared" si="0"/>
        <v>63</v>
      </c>
      <c r="B12" s="425">
        <v>39814</v>
      </c>
      <c r="C12" s="425">
        <v>39903</v>
      </c>
      <c r="D12" s="410">
        <f t="shared" si="1"/>
        <v>1580.0299999999997</v>
      </c>
      <c r="E12" s="352">
        <f t="shared" ref="E12:F12" si="12">I12+N12+S12+X12</f>
        <v>-150.55000000000001</v>
      </c>
      <c r="F12" s="352">
        <f t="shared" si="12"/>
        <v>6860.7900000000009</v>
      </c>
      <c r="G12" s="296">
        <f t="shared" si="4"/>
        <v>-2.4199025127283978E-2</v>
      </c>
      <c r="H12" s="419">
        <v>1523.0499999999997</v>
      </c>
      <c r="I12" s="419">
        <v>-105.23</v>
      </c>
      <c r="J12" s="419">
        <f t="shared" si="9"/>
        <v>5415.6</v>
      </c>
      <c r="K12" s="423">
        <f t="shared" si="5"/>
        <v>-2.2110371157133237E-2</v>
      </c>
      <c r="L12" s="420">
        <v>56.98</v>
      </c>
      <c r="M12" s="420"/>
      <c r="N12" s="420">
        <v>-45.32</v>
      </c>
      <c r="O12" s="420">
        <f t="shared" si="6"/>
        <v>1445.19</v>
      </c>
      <c r="P12" s="424">
        <f t="shared" si="7"/>
        <v>-3.0998207958851453E-2</v>
      </c>
      <c r="Q12" s="419"/>
      <c r="R12" s="419"/>
      <c r="S12" s="419"/>
      <c r="T12" s="419"/>
      <c r="U12" s="419"/>
      <c r="V12" s="420"/>
      <c r="W12" s="420"/>
      <c r="X12" s="420"/>
      <c r="Y12" s="420"/>
      <c r="Z12" s="420"/>
    </row>
    <row r="13" spans="1:26" ht="11.25" customHeight="1" x14ac:dyDescent="0.3">
      <c r="A13" s="421">
        <f t="shared" si="0"/>
        <v>2</v>
      </c>
      <c r="B13" s="422">
        <v>39904</v>
      </c>
      <c r="C13" s="422">
        <v>39994</v>
      </c>
      <c r="D13" s="410">
        <f t="shared" si="1"/>
        <v>2024.3000000000002</v>
      </c>
      <c r="E13" s="352">
        <f t="shared" ref="E13:F13" si="13">I13+N13+S13+X13</f>
        <v>1364.23</v>
      </c>
      <c r="F13" s="352">
        <f t="shared" si="13"/>
        <v>10249.32</v>
      </c>
      <c r="G13" s="296">
        <f t="shared" si="4"/>
        <v>0.17328088363432212</v>
      </c>
      <c r="H13" s="419">
        <v>1796.41</v>
      </c>
      <c r="I13" s="419">
        <v>1083.82</v>
      </c>
      <c r="J13" s="419">
        <f t="shared" si="9"/>
        <v>8295.83</v>
      </c>
      <c r="K13" s="423">
        <f t="shared" si="5"/>
        <v>0.17165876994934115</v>
      </c>
      <c r="L13" s="420">
        <v>227.89</v>
      </c>
      <c r="M13" s="420"/>
      <c r="N13" s="420">
        <v>280.41000000000003</v>
      </c>
      <c r="O13" s="420">
        <f t="shared" si="6"/>
        <v>1953.49</v>
      </c>
      <c r="P13" s="424">
        <f t="shared" si="7"/>
        <v>0.17984972436639549</v>
      </c>
      <c r="Q13" s="419"/>
      <c r="R13" s="419"/>
      <c r="S13" s="419"/>
      <c r="T13" s="419"/>
      <c r="U13" s="419"/>
      <c r="V13" s="420"/>
      <c r="W13" s="420"/>
      <c r="X13" s="420"/>
      <c r="Y13" s="420"/>
      <c r="Z13" s="420"/>
    </row>
    <row r="14" spans="1:26" ht="11.25" customHeight="1" x14ac:dyDescent="0.3">
      <c r="A14" s="421">
        <f t="shared" si="0"/>
        <v>3</v>
      </c>
      <c r="B14" s="422">
        <v>39995</v>
      </c>
      <c r="C14" s="422">
        <v>40086</v>
      </c>
      <c r="D14" s="410">
        <f t="shared" si="1"/>
        <v>1150.5</v>
      </c>
      <c r="E14" s="352">
        <f t="shared" ref="E14:F14" si="14">I14+N14+S14+X14</f>
        <v>1817.51</v>
      </c>
      <c r="F14" s="352">
        <f t="shared" si="14"/>
        <v>13217.33</v>
      </c>
      <c r="G14" s="296">
        <f t="shared" si="4"/>
        <v>0.16790597686559375</v>
      </c>
      <c r="H14" s="419">
        <v>256.63</v>
      </c>
      <c r="I14" s="419">
        <v>1434.94</v>
      </c>
      <c r="J14" s="419">
        <f t="shared" si="9"/>
        <v>9987.4</v>
      </c>
      <c r="K14" s="423">
        <f t="shared" si="5"/>
        <v>0.17033657421613707</v>
      </c>
      <c r="L14" s="420">
        <v>893.87</v>
      </c>
      <c r="M14" s="420"/>
      <c r="N14" s="420">
        <v>382.57</v>
      </c>
      <c r="O14" s="420">
        <f t="shared" si="6"/>
        <v>3229.9300000000003</v>
      </c>
      <c r="P14" s="424">
        <f t="shared" si="7"/>
        <v>0.15937594384327775</v>
      </c>
      <c r="Q14" s="419"/>
      <c r="R14" s="419"/>
      <c r="S14" s="419"/>
      <c r="T14" s="419"/>
      <c r="U14" s="419"/>
      <c r="V14" s="420"/>
      <c r="W14" s="420"/>
      <c r="X14" s="420"/>
      <c r="Y14" s="420"/>
      <c r="Z14" s="420"/>
    </row>
    <row r="15" spans="1:26" ht="11.25" customHeight="1" x14ac:dyDescent="0.3">
      <c r="A15" s="421">
        <f t="shared" si="0"/>
        <v>37</v>
      </c>
      <c r="B15" s="422">
        <v>40087</v>
      </c>
      <c r="C15" s="422">
        <v>40178</v>
      </c>
      <c r="D15" s="410">
        <f t="shared" si="1"/>
        <v>1466</v>
      </c>
      <c r="E15" s="352">
        <f t="shared" ref="E15:F15" si="15">I15+N15+S15+X15</f>
        <v>558.29</v>
      </c>
      <c r="F15" s="352">
        <f t="shared" si="15"/>
        <v>15241.619999999999</v>
      </c>
      <c r="G15" s="296">
        <f t="shared" si="4"/>
        <v>4.0019841824530313E-2</v>
      </c>
      <c r="H15" s="419">
        <v>0</v>
      </c>
      <c r="I15" s="419">
        <v>391.74</v>
      </c>
      <c r="J15" s="419">
        <f t="shared" si="9"/>
        <v>10379.14</v>
      </c>
      <c r="K15" s="423">
        <f t="shared" si="5"/>
        <v>3.9223421511103994E-2</v>
      </c>
      <c r="L15" s="420">
        <v>1466</v>
      </c>
      <c r="M15" s="420"/>
      <c r="N15" s="420">
        <v>166.55</v>
      </c>
      <c r="O15" s="420">
        <f t="shared" si="6"/>
        <v>4862.4800000000005</v>
      </c>
      <c r="P15" s="424">
        <f t="shared" si="7"/>
        <v>4.2026985084268456E-2</v>
      </c>
      <c r="Q15" s="419"/>
      <c r="R15" s="419"/>
      <c r="S15" s="419"/>
      <c r="T15" s="419"/>
      <c r="U15" s="419"/>
      <c r="V15" s="420"/>
      <c r="W15" s="420"/>
      <c r="X15" s="420"/>
      <c r="Y15" s="420"/>
      <c r="Z15" s="420"/>
    </row>
    <row r="16" spans="1:26" ht="11.25" customHeight="1" x14ac:dyDescent="0.3">
      <c r="A16" s="421">
        <f t="shared" si="0"/>
        <v>28</v>
      </c>
      <c r="B16" s="422">
        <v>40179</v>
      </c>
      <c r="C16" s="422">
        <v>40268</v>
      </c>
      <c r="D16" s="410">
        <f t="shared" si="1"/>
        <v>1386.53</v>
      </c>
      <c r="E16" s="352">
        <f t="shared" ref="E16:F16" si="16">I16+N16+S16+X16</f>
        <v>828.7700000000001</v>
      </c>
      <c r="F16" s="352">
        <f t="shared" si="16"/>
        <v>17456.920000000002</v>
      </c>
      <c r="G16" s="296">
        <f t="shared" si="4"/>
        <v>5.2009788586488082E-2</v>
      </c>
      <c r="H16" s="419">
        <v>0</v>
      </c>
      <c r="I16" s="419">
        <v>522.48</v>
      </c>
      <c r="J16" s="419">
        <f t="shared" si="9"/>
        <v>10901.619999999999</v>
      </c>
      <c r="K16" s="423">
        <f t="shared" si="5"/>
        <v>5.0339430819894525E-2</v>
      </c>
      <c r="L16" s="420">
        <v>1090</v>
      </c>
      <c r="M16" s="420"/>
      <c r="N16" s="420">
        <v>297.17</v>
      </c>
      <c r="O16" s="420">
        <f t="shared" si="6"/>
        <v>6249.6500000000005</v>
      </c>
      <c r="P16" s="424">
        <f t="shared" si="7"/>
        <v>5.4955358133548342E-2</v>
      </c>
      <c r="Q16" s="419"/>
      <c r="R16" s="419"/>
      <c r="S16" s="419"/>
      <c r="T16" s="419"/>
      <c r="U16" s="419"/>
      <c r="V16" s="420">
        <v>296.52999999999997</v>
      </c>
      <c r="W16" s="420"/>
      <c r="X16" s="420">
        <v>9.1199999999999992</v>
      </c>
      <c r="Y16" s="420">
        <f t="shared" ref="Y16:Y81" si="17">Y15+V16+X16+W16</f>
        <v>305.64999999999998</v>
      </c>
      <c r="Z16" s="424">
        <f t="shared" ref="Z16:Z81" si="18">X16/(Y15+(V16/2))</f>
        <v>6.1511482817927357E-2</v>
      </c>
    </row>
    <row r="17" spans="1:26" ht="11.25" customHeight="1" x14ac:dyDescent="0.3">
      <c r="A17" s="421">
        <f t="shared" si="0"/>
        <v>71</v>
      </c>
      <c r="B17" s="422">
        <v>40269</v>
      </c>
      <c r="C17" s="426">
        <v>40359</v>
      </c>
      <c r="D17" s="410">
        <f t="shared" si="1"/>
        <v>1914.0600000000002</v>
      </c>
      <c r="E17" s="352">
        <f t="shared" ref="E17:F17" si="19">I17+N17+S17+X17</f>
        <v>-1649.6899999999998</v>
      </c>
      <c r="F17" s="352">
        <f t="shared" si="19"/>
        <v>17721.29</v>
      </c>
      <c r="G17" s="296">
        <f t="shared" si="4"/>
        <v>-8.9589143013856329E-2</v>
      </c>
      <c r="H17" s="419">
        <v>269.69</v>
      </c>
      <c r="I17" s="419">
        <v>-964.57</v>
      </c>
      <c r="J17" s="419">
        <f t="shared" si="9"/>
        <v>10206.74</v>
      </c>
      <c r="K17" s="423">
        <f t="shared" si="5"/>
        <v>-8.739845593675151E-2</v>
      </c>
      <c r="L17" s="420">
        <v>1324.91</v>
      </c>
      <c r="M17" s="420"/>
      <c r="N17" s="420">
        <v>-653.51</v>
      </c>
      <c r="O17" s="420">
        <f t="shared" si="6"/>
        <v>6921.05</v>
      </c>
      <c r="P17" s="424">
        <f t="shared" si="7"/>
        <v>-9.4545728110322386E-2</v>
      </c>
      <c r="Q17" s="419"/>
      <c r="R17" s="419"/>
      <c r="S17" s="419"/>
      <c r="T17" s="419"/>
      <c r="U17" s="419"/>
      <c r="V17" s="420">
        <v>319.45999999999998</v>
      </c>
      <c r="W17" s="420"/>
      <c r="X17" s="420">
        <v>-31.61</v>
      </c>
      <c r="Y17" s="420">
        <f t="shared" si="17"/>
        <v>593.49999999999989</v>
      </c>
      <c r="Z17" s="424">
        <f t="shared" si="18"/>
        <v>-6.7922987665993376E-2</v>
      </c>
    </row>
    <row r="18" spans="1:26" ht="11.25" customHeight="1" x14ac:dyDescent="0.3">
      <c r="A18" s="421">
        <f t="shared" si="0"/>
        <v>8</v>
      </c>
      <c r="B18" s="422">
        <v>40360</v>
      </c>
      <c r="C18" s="426">
        <v>40451</v>
      </c>
      <c r="D18" s="410">
        <f t="shared" si="1"/>
        <v>2547.6999999999998</v>
      </c>
      <c r="E18" s="352">
        <f t="shared" ref="E18:F18" si="20">I18+N18+S18+X18</f>
        <v>2062.5700000000002</v>
      </c>
      <c r="F18" s="352">
        <f t="shared" si="20"/>
        <v>22331.559999999998</v>
      </c>
      <c r="G18" s="296">
        <f t="shared" si="4"/>
        <v>0.10858409045682213</v>
      </c>
      <c r="H18" s="419">
        <v>1618.14</v>
      </c>
      <c r="I18" s="419">
        <v>1192.33</v>
      </c>
      <c r="J18" s="419">
        <f t="shared" si="9"/>
        <v>13017.21</v>
      </c>
      <c r="K18" s="423">
        <f t="shared" si="5"/>
        <v>0.10823806873938457</v>
      </c>
      <c r="L18" s="420">
        <v>377.78</v>
      </c>
      <c r="M18" s="420"/>
      <c r="N18" s="420">
        <v>799.23</v>
      </c>
      <c r="O18" s="420">
        <f t="shared" si="6"/>
        <v>8098.0599999999995</v>
      </c>
      <c r="P18" s="424">
        <f t="shared" si="7"/>
        <v>0.11241023130996886</v>
      </c>
      <c r="Q18" s="419">
        <v>273.5</v>
      </c>
      <c r="R18" s="419"/>
      <c r="S18" s="419">
        <v>2.15</v>
      </c>
      <c r="T18" s="419">
        <f t="shared" ref="T18:T81" si="21">T17+Q18+S18+R18</f>
        <v>275.64999999999998</v>
      </c>
      <c r="U18" s="423">
        <f t="shared" ref="U18:U81" si="22">S18/(T17+(Q18/2))</f>
        <v>1.5722120658135282E-2</v>
      </c>
      <c r="V18" s="420">
        <v>278.27999999999997</v>
      </c>
      <c r="W18" s="420"/>
      <c r="X18" s="420">
        <v>68.86</v>
      </c>
      <c r="Y18" s="420">
        <f t="shared" si="17"/>
        <v>940.63999999999987</v>
      </c>
      <c r="Z18" s="424">
        <f t="shared" si="18"/>
        <v>9.3988862196986253E-2</v>
      </c>
    </row>
    <row r="19" spans="1:26" ht="11.25" customHeight="1" x14ac:dyDescent="0.3">
      <c r="A19" s="421">
        <f t="shared" si="0"/>
        <v>11</v>
      </c>
      <c r="B19" s="422">
        <v>40452</v>
      </c>
      <c r="C19" s="426">
        <v>40543</v>
      </c>
      <c r="D19" s="410">
        <f t="shared" si="1"/>
        <v>6533.1900000000005</v>
      </c>
      <c r="E19" s="352">
        <f t="shared" ref="E19:F19" si="23">I19+N19+S19+X19</f>
        <v>2252.0500000000002</v>
      </c>
      <c r="F19" s="352">
        <f t="shared" si="23"/>
        <v>31116.799999999999</v>
      </c>
      <c r="G19" s="296">
        <f t="shared" si="4"/>
        <v>8.7977043658029275E-2</v>
      </c>
      <c r="H19" s="419">
        <v>3863.84</v>
      </c>
      <c r="I19" s="419">
        <v>1331.18</v>
      </c>
      <c r="J19" s="419">
        <f t="shared" si="9"/>
        <v>18212.23</v>
      </c>
      <c r="K19" s="423">
        <f t="shared" si="5"/>
        <v>8.9047322486325298E-2</v>
      </c>
      <c r="L19" s="420">
        <v>283.35000000000002</v>
      </c>
      <c r="M19" s="420"/>
      <c r="N19" s="420">
        <v>687.46</v>
      </c>
      <c r="O19" s="420">
        <f t="shared" si="6"/>
        <v>9068.869999999999</v>
      </c>
      <c r="P19" s="424">
        <f t="shared" si="7"/>
        <v>8.3432294849288255E-2</v>
      </c>
      <c r="Q19" s="419">
        <v>2045.16</v>
      </c>
      <c r="R19" s="419"/>
      <c r="S19" s="419">
        <v>123.52</v>
      </c>
      <c r="T19" s="419">
        <f t="shared" si="21"/>
        <v>2444.33</v>
      </c>
      <c r="U19" s="423">
        <f t="shared" si="22"/>
        <v>9.5144928094405459E-2</v>
      </c>
      <c r="V19" s="420">
        <v>340.84</v>
      </c>
      <c r="W19" s="420"/>
      <c r="X19" s="420">
        <v>109.89</v>
      </c>
      <c r="Y19" s="420">
        <f t="shared" si="17"/>
        <v>1391.37</v>
      </c>
      <c r="Z19" s="424">
        <f t="shared" si="18"/>
        <v>9.8905549655284142E-2</v>
      </c>
    </row>
    <row r="20" spans="1:26" ht="11.25" customHeight="1" x14ac:dyDescent="0.3">
      <c r="A20" s="421">
        <f t="shared" si="0"/>
        <v>31</v>
      </c>
      <c r="B20" s="422">
        <v>40544</v>
      </c>
      <c r="C20" s="426">
        <v>40633</v>
      </c>
      <c r="D20" s="410">
        <f t="shared" si="1"/>
        <v>3746.7000000000007</v>
      </c>
      <c r="E20" s="352">
        <f t="shared" ref="E20:F20" si="24">I20+N20+S20+X20</f>
        <v>1618.06</v>
      </c>
      <c r="F20" s="352">
        <f t="shared" si="24"/>
        <v>36481.56</v>
      </c>
      <c r="G20" s="296">
        <f t="shared" si="4"/>
        <v>4.9046760927125212E-2</v>
      </c>
      <c r="H20" s="419">
        <v>1660.2900000000002</v>
      </c>
      <c r="I20" s="419">
        <v>923.35</v>
      </c>
      <c r="J20" s="419">
        <f t="shared" si="9"/>
        <v>20795.87</v>
      </c>
      <c r="K20" s="423">
        <f t="shared" si="5"/>
        <v>4.8489224689672379E-2</v>
      </c>
      <c r="L20" s="420">
        <v>223.47</v>
      </c>
      <c r="M20" s="420"/>
      <c r="N20" s="420">
        <v>452.46</v>
      </c>
      <c r="O20" s="420">
        <f t="shared" si="6"/>
        <v>9744.7999999999975</v>
      </c>
      <c r="P20" s="424">
        <f t="shared" si="7"/>
        <v>4.9284333657749133E-2</v>
      </c>
      <c r="Q20" s="419">
        <v>1562.47</v>
      </c>
      <c r="R20" s="419"/>
      <c r="S20" s="419">
        <v>163.33000000000001</v>
      </c>
      <c r="T20" s="419">
        <f t="shared" si="21"/>
        <v>4170.13</v>
      </c>
      <c r="U20" s="423">
        <f t="shared" si="22"/>
        <v>5.0636090111344838E-2</v>
      </c>
      <c r="V20" s="420">
        <v>300.47000000000003</v>
      </c>
      <c r="W20" s="420"/>
      <c r="X20" s="420">
        <v>78.92</v>
      </c>
      <c r="Y20" s="420">
        <f t="shared" si="17"/>
        <v>1770.76</v>
      </c>
      <c r="Z20" s="424">
        <f t="shared" si="18"/>
        <v>5.1193399087314843E-2</v>
      </c>
    </row>
    <row r="21" spans="1:26" ht="11.25" customHeight="1" x14ac:dyDescent="0.3">
      <c r="A21" s="421">
        <f t="shared" si="0"/>
        <v>57</v>
      </c>
      <c r="B21" s="422">
        <v>40634</v>
      </c>
      <c r="C21" s="426">
        <v>40724</v>
      </c>
      <c r="D21" s="410">
        <f t="shared" si="1"/>
        <v>4581.7999999999993</v>
      </c>
      <c r="E21" s="352">
        <f t="shared" ref="E21:F21" si="25">I21+N21+S21+X21</f>
        <v>163.54999999999998</v>
      </c>
      <c r="F21" s="352">
        <f t="shared" si="25"/>
        <v>41226.910000000003</v>
      </c>
      <c r="G21" s="296">
        <f t="shared" si="4"/>
        <v>4.2182002380039847E-3</v>
      </c>
      <c r="H21" s="419">
        <v>1946.84</v>
      </c>
      <c r="I21" s="419">
        <v>143.38</v>
      </c>
      <c r="J21" s="419">
        <f t="shared" si="9"/>
        <v>22886.09</v>
      </c>
      <c r="K21" s="423">
        <f t="shared" si="5"/>
        <v>6.5863425035910684E-3</v>
      </c>
      <c r="L21" s="420">
        <v>446.92</v>
      </c>
      <c r="M21" s="420"/>
      <c r="N21" s="420">
        <v>64.150000000000006</v>
      </c>
      <c r="O21" s="420">
        <f t="shared" si="6"/>
        <v>10255.869999999997</v>
      </c>
      <c r="P21" s="424">
        <f t="shared" si="7"/>
        <v>6.4354260422581303E-3</v>
      </c>
      <c r="Q21" s="419">
        <v>1835.14</v>
      </c>
      <c r="R21" s="419"/>
      <c r="S21" s="419">
        <v>-31.3</v>
      </c>
      <c r="T21" s="419">
        <f t="shared" si="21"/>
        <v>5973.97</v>
      </c>
      <c r="U21" s="423">
        <f t="shared" si="22"/>
        <v>-6.1520923010397631E-3</v>
      </c>
      <c r="V21" s="420">
        <v>352.9</v>
      </c>
      <c r="W21" s="420"/>
      <c r="X21" s="420">
        <v>-12.68</v>
      </c>
      <c r="Y21" s="420">
        <f t="shared" si="17"/>
        <v>2110.98</v>
      </c>
      <c r="Z21" s="424">
        <f t="shared" si="18"/>
        <v>-6.5118811016788118E-3</v>
      </c>
    </row>
    <row r="22" spans="1:26" ht="11.25" customHeight="1" x14ac:dyDescent="0.3">
      <c r="A22" s="421">
        <f t="shared" si="0"/>
        <v>74</v>
      </c>
      <c r="B22" s="422">
        <v>40725</v>
      </c>
      <c r="C22" s="426">
        <v>40816</v>
      </c>
      <c r="D22" s="410">
        <f t="shared" si="1"/>
        <v>3774.6600000000008</v>
      </c>
      <c r="E22" s="352">
        <f t="shared" ref="E22:F22" si="26">I22+N22+S22+X22</f>
        <v>-6501.0899999999992</v>
      </c>
      <c r="F22" s="352">
        <f t="shared" si="26"/>
        <v>38500.479999999996</v>
      </c>
      <c r="G22" s="296">
        <f t="shared" si="4"/>
        <v>-0.15078753562628028</v>
      </c>
      <c r="H22" s="419">
        <v>1668.7200000000003</v>
      </c>
      <c r="I22" s="419">
        <v>-3546.62</v>
      </c>
      <c r="J22" s="419">
        <f t="shared" si="9"/>
        <v>21008.190000000002</v>
      </c>
      <c r="K22" s="423">
        <f t="shared" si="5"/>
        <v>-0.14951739954343193</v>
      </c>
      <c r="L22" s="420">
        <v>368.07</v>
      </c>
      <c r="M22" s="420"/>
      <c r="N22" s="420">
        <v>-1548.35</v>
      </c>
      <c r="O22" s="420">
        <f t="shared" si="6"/>
        <v>9075.5899999999965</v>
      </c>
      <c r="P22" s="424">
        <f t="shared" si="7"/>
        <v>-0.14831073654405863</v>
      </c>
      <c r="Q22" s="419">
        <v>1457.5700000000002</v>
      </c>
      <c r="R22" s="419"/>
      <c r="S22" s="419">
        <v>-1054.22</v>
      </c>
      <c r="T22" s="419">
        <f t="shared" si="21"/>
        <v>6377.3200000000006</v>
      </c>
      <c r="U22" s="423">
        <f t="shared" si="22"/>
        <v>-0.15728159540368103</v>
      </c>
      <c r="V22" s="420">
        <v>280.3</v>
      </c>
      <c r="W22" s="420"/>
      <c r="X22" s="420">
        <v>-351.9</v>
      </c>
      <c r="Y22" s="420">
        <f t="shared" si="17"/>
        <v>2039.38</v>
      </c>
      <c r="Z22" s="424">
        <f t="shared" si="18"/>
        <v>-0.15632149187297045</v>
      </c>
    </row>
    <row r="23" spans="1:26" ht="11.25" customHeight="1" x14ac:dyDescent="0.3">
      <c r="A23" s="421">
        <f t="shared" si="0"/>
        <v>12</v>
      </c>
      <c r="B23" s="422">
        <v>40817</v>
      </c>
      <c r="C23" s="426">
        <v>40908</v>
      </c>
      <c r="D23" s="410">
        <f t="shared" si="1"/>
        <v>4156.38</v>
      </c>
      <c r="E23" s="352">
        <f t="shared" ref="E23:F23" si="27">I23+N23+S23+X23</f>
        <v>3470.22</v>
      </c>
      <c r="F23" s="352">
        <f t="shared" si="27"/>
        <v>46127.079999999994</v>
      </c>
      <c r="G23" s="296">
        <f t="shared" si="4"/>
        <v>8.5518327732279048E-2</v>
      </c>
      <c r="H23" s="419">
        <v>2040.26</v>
      </c>
      <c r="I23" s="419">
        <v>1961.05</v>
      </c>
      <c r="J23" s="419">
        <f t="shared" si="9"/>
        <v>25009.5</v>
      </c>
      <c r="K23" s="423">
        <f t="shared" si="5"/>
        <v>8.9024038147257692E-2</v>
      </c>
      <c r="L23" s="420">
        <v>270.62</v>
      </c>
      <c r="M23" s="420"/>
      <c r="N23" s="420">
        <v>824.52</v>
      </c>
      <c r="O23" s="420">
        <f t="shared" si="6"/>
        <v>10170.729999999998</v>
      </c>
      <c r="P23" s="424">
        <f t="shared" si="7"/>
        <v>8.9515682506595487E-2</v>
      </c>
      <c r="Q23" s="419">
        <v>1547.8500000000001</v>
      </c>
      <c r="R23" s="419"/>
      <c r="S23" s="419">
        <v>521.65</v>
      </c>
      <c r="T23" s="419">
        <f t="shared" si="21"/>
        <v>8446.8200000000015</v>
      </c>
      <c r="U23" s="423">
        <f t="shared" si="22"/>
        <v>7.2945340286901084E-2</v>
      </c>
      <c r="V23" s="420">
        <v>297.64999999999998</v>
      </c>
      <c r="W23" s="420"/>
      <c r="X23" s="420">
        <v>163</v>
      </c>
      <c r="Y23" s="420">
        <f t="shared" si="17"/>
        <v>2500.0300000000002</v>
      </c>
      <c r="Z23" s="424">
        <f t="shared" si="18"/>
        <v>7.4490278561652135E-2</v>
      </c>
    </row>
    <row r="24" spans="1:26" ht="11.25" customHeight="1" x14ac:dyDescent="0.3">
      <c r="A24" s="421">
        <f t="shared" si="0"/>
        <v>7</v>
      </c>
      <c r="B24" s="422">
        <v>40909</v>
      </c>
      <c r="C24" s="426">
        <v>40999</v>
      </c>
      <c r="D24" s="410">
        <f t="shared" si="1"/>
        <v>4009.2599999999998</v>
      </c>
      <c r="E24" s="352">
        <f t="shared" ref="E24:F24" si="28">I24+N24+S24+X24</f>
        <v>5260.63</v>
      </c>
      <c r="F24" s="352">
        <f t="shared" si="28"/>
        <v>55396.97</v>
      </c>
      <c r="G24" s="296">
        <f t="shared" si="4"/>
        <v>0.10929655314552508</v>
      </c>
      <c r="H24" s="419">
        <v>1824.4199999999998</v>
      </c>
      <c r="I24" s="419">
        <v>2841.64</v>
      </c>
      <c r="J24" s="419">
        <f t="shared" si="9"/>
        <v>29675.559999999998</v>
      </c>
      <c r="K24" s="423">
        <f t="shared" si="5"/>
        <v>0.10962394070452913</v>
      </c>
      <c r="L24" s="420">
        <v>326.49</v>
      </c>
      <c r="M24" s="420"/>
      <c r="N24" s="420">
        <v>1133.67</v>
      </c>
      <c r="O24" s="420">
        <f t="shared" si="6"/>
        <v>11630.889999999998</v>
      </c>
      <c r="P24" s="424">
        <f t="shared" si="7"/>
        <v>0.10970318778591977</v>
      </c>
      <c r="Q24" s="419">
        <v>1558.6200000000001</v>
      </c>
      <c r="R24" s="419"/>
      <c r="S24" s="419">
        <v>996.22</v>
      </c>
      <c r="T24" s="419">
        <f t="shared" si="21"/>
        <v>11001.660000000002</v>
      </c>
      <c r="U24" s="423">
        <f t="shared" si="22"/>
        <v>0.10797810132742547</v>
      </c>
      <c r="V24" s="420">
        <v>299.73</v>
      </c>
      <c r="W24" s="420"/>
      <c r="X24" s="420">
        <v>289.10000000000002</v>
      </c>
      <c r="Y24" s="420">
        <f t="shared" si="17"/>
        <v>3088.86</v>
      </c>
      <c r="Z24" s="424">
        <f t="shared" si="18"/>
        <v>0.10909866239983093</v>
      </c>
    </row>
    <row r="25" spans="1:26" ht="11.25" customHeight="1" x14ac:dyDescent="0.3">
      <c r="A25" s="421">
        <f t="shared" si="0"/>
        <v>67</v>
      </c>
      <c r="B25" s="422">
        <v>41000</v>
      </c>
      <c r="C25" s="426">
        <v>41090</v>
      </c>
      <c r="D25" s="410">
        <f t="shared" si="1"/>
        <v>4597.21</v>
      </c>
      <c r="E25" s="352">
        <f t="shared" ref="E25:F25" si="29">I25+N25+S25+X25</f>
        <v>-1979.1799999999998</v>
      </c>
      <c r="F25" s="352">
        <f t="shared" si="29"/>
        <v>58014.999999999993</v>
      </c>
      <c r="G25" s="296">
        <f t="shared" si="4"/>
        <v>-3.4303843925639003E-2</v>
      </c>
      <c r="H25" s="419">
        <v>1946.84</v>
      </c>
      <c r="I25" s="419">
        <v>-1067.25</v>
      </c>
      <c r="J25" s="419">
        <f t="shared" si="9"/>
        <v>30555.149999999998</v>
      </c>
      <c r="K25" s="423">
        <f t="shared" si="5"/>
        <v>-3.4821713479535048E-2</v>
      </c>
      <c r="L25" s="420">
        <v>274.95999999999998</v>
      </c>
      <c r="M25" s="420"/>
      <c r="N25" s="420">
        <v>-422.87</v>
      </c>
      <c r="O25" s="420">
        <f t="shared" si="6"/>
        <v>11482.979999999996</v>
      </c>
      <c r="P25" s="424">
        <f t="shared" si="7"/>
        <v>-3.5932758742289725E-2</v>
      </c>
      <c r="Q25" s="419">
        <v>1992.29</v>
      </c>
      <c r="R25" s="419"/>
      <c r="S25" s="419">
        <v>-380.96</v>
      </c>
      <c r="T25" s="419">
        <f t="shared" si="21"/>
        <v>12612.990000000002</v>
      </c>
      <c r="U25" s="423">
        <f t="shared" si="22"/>
        <v>-3.1752474723501498E-2</v>
      </c>
      <c r="V25" s="420">
        <v>383.12</v>
      </c>
      <c r="W25" s="420"/>
      <c r="X25" s="420">
        <v>-108.1</v>
      </c>
      <c r="Y25" s="420">
        <f t="shared" si="17"/>
        <v>3363.88</v>
      </c>
      <c r="Z25" s="424">
        <f t="shared" si="18"/>
        <v>-3.2953097469226499E-2</v>
      </c>
    </row>
    <row r="26" spans="1:26" ht="11.25" customHeight="1" x14ac:dyDescent="0.3">
      <c r="A26" s="421">
        <f t="shared" si="0"/>
        <v>26</v>
      </c>
      <c r="B26" s="422">
        <v>41091</v>
      </c>
      <c r="C26" s="426">
        <v>41182</v>
      </c>
      <c r="D26" s="410">
        <f t="shared" si="1"/>
        <v>3933.5200000000004</v>
      </c>
      <c r="E26" s="352">
        <f t="shared" ref="E26:F26" si="30">I26+N26+S26+X26</f>
        <v>3440.42</v>
      </c>
      <c r="F26" s="352">
        <f t="shared" si="30"/>
        <v>65388.939999999995</v>
      </c>
      <c r="G26" s="296">
        <f t="shared" si="4"/>
        <v>5.7357770095442351E-2</v>
      </c>
      <c r="H26" s="419">
        <v>1529.66</v>
      </c>
      <c r="I26" s="419">
        <v>1808.7</v>
      </c>
      <c r="J26" s="419">
        <f t="shared" si="9"/>
        <v>33893.509999999995</v>
      </c>
      <c r="K26" s="423">
        <f t="shared" si="5"/>
        <v>5.7749079022400403E-2</v>
      </c>
      <c r="L26" s="420">
        <v>532.69000000000005</v>
      </c>
      <c r="M26" s="420"/>
      <c r="N26" s="420">
        <v>676.72</v>
      </c>
      <c r="O26" s="420">
        <f t="shared" si="6"/>
        <v>12692.389999999996</v>
      </c>
      <c r="P26" s="424">
        <f t="shared" si="7"/>
        <v>5.7596500224481005E-2</v>
      </c>
      <c r="Q26" s="419">
        <v>1569.3700000000001</v>
      </c>
      <c r="R26" s="419"/>
      <c r="S26" s="419">
        <v>756.83</v>
      </c>
      <c r="T26" s="419">
        <f t="shared" si="21"/>
        <v>14939.190000000002</v>
      </c>
      <c r="U26" s="423">
        <f t="shared" si="22"/>
        <v>5.6489652122476475E-2</v>
      </c>
      <c r="V26" s="420">
        <v>301.8</v>
      </c>
      <c r="W26" s="420"/>
      <c r="X26" s="420">
        <v>198.17</v>
      </c>
      <c r="Y26" s="420">
        <f t="shared" si="17"/>
        <v>3863.8500000000004</v>
      </c>
      <c r="Z26" s="424">
        <f t="shared" si="18"/>
        <v>5.6381907260198358E-2</v>
      </c>
    </row>
    <row r="27" spans="1:26" ht="11.25" customHeight="1" x14ac:dyDescent="0.3">
      <c r="A27" s="421">
        <f t="shared" si="0"/>
        <v>41</v>
      </c>
      <c r="B27" s="422">
        <v>41183</v>
      </c>
      <c r="C27" s="426">
        <v>41274</v>
      </c>
      <c r="D27" s="410">
        <f t="shared" si="1"/>
        <v>4615.8599999999997</v>
      </c>
      <c r="E27" s="352">
        <f t="shared" ref="E27:F27" si="31">I27+N27+S27+X27</f>
        <v>1640.4599999999998</v>
      </c>
      <c r="F27" s="352">
        <f t="shared" si="31"/>
        <v>71645.25999999998</v>
      </c>
      <c r="G27" s="296">
        <f t="shared" si="4"/>
        <v>2.4232434970774867E-2</v>
      </c>
      <c r="H27" s="419">
        <v>1946.84</v>
      </c>
      <c r="I27" s="419">
        <v>835.2</v>
      </c>
      <c r="J27" s="419">
        <f t="shared" si="9"/>
        <v>36675.549999999988</v>
      </c>
      <c r="K27" s="423">
        <f t="shared" si="5"/>
        <v>2.3953929984658822E-2</v>
      </c>
      <c r="L27" s="420">
        <v>438.25</v>
      </c>
      <c r="M27" s="420"/>
      <c r="N27" s="420">
        <v>307.38</v>
      </c>
      <c r="O27" s="420">
        <f t="shared" si="6"/>
        <v>13438.019999999995</v>
      </c>
      <c r="P27" s="424">
        <f t="shared" si="7"/>
        <v>2.380665630640557E-2</v>
      </c>
      <c r="Q27" s="419">
        <v>1870.98</v>
      </c>
      <c r="R27" s="419"/>
      <c r="S27" s="419">
        <v>398.3</v>
      </c>
      <c r="T27" s="419">
        <f t="shared" si="21"/>
        <v>17208.47</v>
      </c>
      <c r="U27" s="423">
        <f t="shared" si="22"/>
        <v>2.5090269536141827E-2</v>
      </c>
      <c r="V27" s="420">
        <v>359.79</v>
      </c>
      <c r="W27" s="420"/>
      <c r="X27" s="420">
        <v>99.58</v>
      </c>
      <c r="Y27" s="420">
        <f t="shared" si="17"/>
        <v>4323.22</v>
      </c>
      <c r="Z27" s="424">
        <f t="shared" si="18"/>
        <v>2.4625687326970416E-2</v>
      </c>
    </row>
    <row r="28" spans="1:26" ht="11.25" customHeight="1" x14ac:dyDescent="0.3">
      <c r="A28" s="421">
        <f t="shared" si="0"/>
        <v>13</v>
      </c>
      <c r="B28" s="422">
        <v>41275</v>
      </c>
      <c r="C28" s="426">
        <v>41364</v>
      </c>
      <c r="D28" s="410">
        <f t="shared" si="1"/>
        <v>3774.9599999999996</v>
      </c>
      <c r="E28" s="352">
        <f t="shared" ref="E28:F28" si="32">I28+N28+S28+X28</f>
        <v>5662.7</v>
      </c>
      <c r="F28" s="352">
        <f t="shared" si="32"/>
        <v>81082.919999999984</v>
      </c>
      <c r="G28" s="296">
        <f t="shared" si="4"/>
        <v>7.7009234254020745E-2</v>
      </c>
      <c r="H28" s="419">
        <v>1495.97</v>
      </c>
      <c r="I28" s="419">
        <v>3009.58</v>
      </c>
      <c r="J28" s="419">
        <f t="shared" si="9"/>
        <v>41181.099999999991</v>
      </c>
      <c r="K28" s="423">
        <f t="shared" si="5"/>
        <v>8.0419447280969072E-2</v>
      </c>
      <c r="L28" s="420">
        <v>406.95</v>
      </c>
      <c r="M28" s="420"/>
      <c r="N28" s="420">
        <v>1093.82</v>
      </c>
      <c r="O28" s="420">
        <f t="shared" si="6"/>
        <v>14938.789999999995</v>
      </c>
      <c r="P28" s="424">
        <f t="shared" si="7"/>
        <v>8.0183293693249919E-2</v>
      </c>
      <c r="Q28" s="419">
        <v>1570.11</v>
      </c>
      <c r="R28" s="419"/>
      <c r="S28" s="419">
        <v>1248.3</v>
      </c>
      <c r="T28" s="419">
        <f t="shared" si="21"/>
        <v>20026.88</v>
      </c>
      <c r="U28" s="423">
        <f t="shared" si="22"/>
        <v>6.9374955713235723E-2</v>
      </c>
      <c r="V28" s="420">
        <v>301.93</v>
      </c>
      <c r="W28" s="420"/>
      <c r="X28" s="420">
        <v>311</v>
      </c>
      <c r="Y28" s="420">
        <f t="shared" si="17"/>
        <v>4936.1500000000005</v>
      </c>
      <c r="Z28" s="424">
        <f t="shared" si="18"/>
        <v>6.9509866042642393E-2</v>
      </c>
    </row>
    <row r="29" spans="1:26" ht="11.25" customHeight="1" x14ac:dyDescent="0.3">
      <c r="A29" s="421">
        <f t="shared" si="0"/>
        <v>54</v>
      </c>
      <c r="B29" s="422">
        <v>41365</v>
      </c>
      <c r="C29" s="426">
        <v>41455</v>
      </c>
      <c r="D29" s="410">
        <f t="shared" si="1"/>
        <v>4436.24</v>
      </c>
      <c r="E29" s="352">
        <f t="shared" ref="E29:F29" si="33">I29+N29+S29+X29</f>
        <v>607.16</v>
      </c>
      <c r="F29" s="352">
        <f t="shared" si="33"/>
        <v>86126.319999999992</v>
      </c>
      <c r="G29" s="296">
        <f t="shared" si="4"/>
        <v>7.2887445342819266E-3</v>
      </c>
      <c r="H29" s="419">
        <v>501.47</v>
      </c>
      <c r="I29" s="419">
        <v>553.12</v>
      </c>
      <c r="J29" s="419">
        <f t="shared" si="9"/>
        <v>42235.689999999995</v>
      </c>
      <c r="K29" s="423">
        <f t="shared" si="5"/>
        <v>1.3350120746522575E-2</v>
      </c>
      <c r="L29" s="420">
        <v>1453.39</v>
      </c>
      <c r="M29" s="420"/>
      <c r="N29" s="420">
        <v>183.76</v>
      </c>
      <c r="O29" s="420">
        <f t="shared" si="6"/>
        <v>16575.939999999995</v>
      </c>
      <c r="P29" s="424">
        <f t="shared" si="7"/>
        <v>1.1730246462206568E-2</v>
      </c>
      <c r="Q29" s="419">
        <v>2081.16</v>
      </c>
      <c r="R29" s="419"/>
      <c r="S29" s="419">
        <v>-105.6</v>
      </c>
      <c r="T29" s="419">
        <f t="shared" si="21"/>
        <v>22002.440000000002</v>
      </c>
      <c r="U29" s="423">
        <f t="shared" si="22"/>
        <v>-5.0124694671308265E-3</v>
      </c>
      <c r="V29" s="420">
        <v>400.22</v>
      </c>
      <c r="W29" s="420"/>
      <c r="X29" s="420">
        <v>-24.12</v>
      </c>
      <c r="Y29" s="420">
        <f t="shared" si="17"/>
        <v>5312.2500000000009</v>
      </c>
      <c r="Z29" s="424">
        <f t="shared" si="18"/>
        <v>-4.6960239551736092E-3</v>
      </c>
    </row>
    <row r="30" spans="1:26" ht="11.25" customHeight="1" x14ac:dyDescent="0.3">
      <c r="A30" s="421">
        <f t="shared" si="0"/>
        <v>21</v>
      </c>
      <c r="B30" s="422">
        <v>41456</v>
      </c>
      <c r="C30" s="426">
        <v>41547</v>
      </c>
      <c r="D30" s="410">
        <f t="shared" si="1"/>
        <v>3950.57</v>
      </c>
      <c r="E30" s="352">
        <f t="shared" ref="E30:F30" si="34">I30+N30+S30+X30</f>
        <v>5984.2</v>
      </c>
      <c r="F30" s="352">
        <f t="shared" si="34"/>
        <v>96061.090000000011</v>
      </c>
      <c r="G30" s="296">
        <f t="shared" si="4"/>
        <v>6.7923847698347833E-2</v>
      </c>
      <c r="H30" s="419">
        <v>0</v>
      </c>
      <c r="I30" s="419">
        <v>3021.48</v>
      </c>
      <c r="J30" s="419">
        <f t="shared" si="9"/>
        <v>45257.17</v>
      </c>
      <c r="K30" s="423">
        <f t="shared" si="5"/>
        <v>7.1538549506353522E-2</v>
      </c>
      <c r="L30" s="420">
        <v>1744.08</v>
      </c>
      <c r="M30" s="420"/>
      <c r="N30" s="420">
        <v>1238.0899999999999</v>
      </c>
      <c r="O30" s="420">
        <f t="shared" si="6"/>
        <v>19558.109999999997</v>
      </c>
      <c r="P30" s="424">
        <f t="shared" si="7"/>
        <v>7.0958930489374711E-2</v>
      </c>
      <c r="Q30" s="419">
        <v>1850.59</v>
      </c>
      <c r="R30" s="419"/>
      <c r="S30" s="419">
        <v>1390.7</v>
      </c>
      <c r="T30" s="419">
        <f t="shared" si="21"/>
        <v>25243.730000000003</v>
      </c>
      <c r="U30" s="423">
        <f t="shared" si="22"/>
        <v>6.0655795262811611E-2</v>
      </c>
      <c r="V30" s="420">
        <v>355.9</v>
      </c>
      <c r="W30" s="420"/>
      <c r="X30" s="420">
        <v>333.93</v>
      </c>
      <c r="Y30" s="420">
        <f t="shared" si="17"/>
        <v>6002.0800000000008</v>
      </c>
      <c r="Z30" s="424">
        <f t="shared" si="18"/>
        <v>6.0822920840770824E-2</v>
      </c>
    </row>
    <row r="31" spans="1:26" ht="11.25" customHeight="1" x14ac:dyDescent="0.3">
      <c r="A31" s="421">
        <f t="shared" si="0"/>
        <v>17</v>
      </c>
      <c r="B31" s="422">
        <v>41548</v>
      </c>
      <c r="C31" s="426">
        <v>41639</v>
      </c>
      <c r="D31" s="410">
        <f t="shared" si="1"/>
        <v>4145.34</v>
      </c>
      <c r="E31" s="352">
        <f t="shared" ref="E31:F31" si="35">I31+N31+S31+X31</f>
        <v>6997.7899999999991</v>
      </c>
      <c r="F31" s="352">
        <f t="shared" si="35"/>
        <v>107206.51000000001</v>
      </c>
      <c r="G31" s="296">
        <f t="shared" si="4"/>
        <v>7.130869132090728E-2</v>
      </c>
      <c r="H31" s="419">
        <v>0</v>
      </c>
      <c r="I31" s="419">
        <v>3416.72</v>
      </c>
      <c r="J31" s="419">
        <f t="shared" si="9"/>
        <v>48673.89</v>
      </c>
      <c r="K31" s="423">
        <f t="shared" si="5"/>
        <v>7.549566179237456E-2</v>
      </c>
      <c r="L31" s="420">
        <v>2111.1999999999998</v>
      </c>
      <c r="M31" s="420"/>
      <c r="N31" s="420">
        <v>1555.19</v>
      </c>
      <c r="O31" s="420">
        <f t="shared" si="6"/>
        <v>23224.499999999996</v>
      </c>
      <c r="P31" s="424">
        <f t="shared" si="7"/>
        <v>7.5444449349486353E-2</v>
      </c>
      <c r="Q31" s="419">
        <v>1706.06</v>
      </c>
      <c r="R31" s="419">
        <v>2.27</v>
      </c>
      <c r="S31" s="419">
        <v>1638.4</v>
      </c>
      <c r="T31" s="419">
        <f t="shared" si="21"/>
        <v>28590.460000000006</v>
      </c>
      <c r="U31" s="423">
        <f t="shared" si="22"/>
        <v>6.2781739955458077E-2</v>
      </c>
      <c r="V31" s="420">
        <v>328.08</v>
      </c>
      <c r="W31" s="420">
        <v>0.02</v>
      </c>
      <c r="X31" s="420">
        <v>387.48</v>
      </c>
      <c r="Y31" s="420">
        <f t="shared" si="17"/>
        <v>6717.6600000000017</v>
      </c>
      <c r="Z31" s="424">
        <f t="shared" si="18"/>
        <v>6.2840165290328431E-2</v>
      </c>
    </row>
    <row r="32" spans="1:26" ht="11.25" customHeight="1" x14ac:dyDescent="0.3">
      <c r="A32" s="421">
        <f t="shared" si="0"/>
        <v>45</v>
      </c>
      <c r="B32" s="422">
        <v>41640</v>
      </c>
      <c r="C32" s="426">
        <v>41729</v>
      </c>
      <c r="D32" s="410">
        <f t="shared" si="1"/>
        <v>3846.0099999999998</v>
      </c>
      <c r="E32" s="352">
        <f t="shared" ref="E32:F32" si="36">I32+N32+S32+X32</f>
        <v>1931.0800000000002</v>
      </c>
      <c r="F32" s="352">
        <f t="shared" si="36"/>
        <v>112983.6</v>
      </c>
      <c r="G32" s="296">
        <f t="shared" si="4"/>
        <v>1.7695304519588489E-2</v>
      </c>
      <c r="H32" s="419">
        <v>0</v>
      </c>
      <c r="I32" s="419">
        <v>829.61</v>
      </c>
      <c r="J32" s="419">
        <f t="shared" si="9"/>
        <v>49503.5</v>
      </c>
      <c r="K32" s="423">
        <f t="shared" si="5"/>
        <v>1.7044251034795042E-2</v>
      </c>
      <c r="L32" s="420">
        <v>1531.6</v>
      </c>
      <c r="M32" s="420"/>
      <c r="N32" s="420">
        <v>424.27</v>
      </c>
      <c r="O32" s="420">
        <f t="shared" si="6"/>
        <v>25180.369999999995</v>
      </c>
      <c r="P32" s="424">
        <f t="shared" si="7"/>
        <v>1.7685064380186993E-2</v>
      </c>
      <c r="Q32" s="419">
        <v>1823.48</v>
      </c>
      <c r="R32" s="419">
        <v>0</v>
      </c>
      <c r="S32" s="419">
        <v>547.29</v>
      </c>
      <c r="T32" s="419">
        <f t="shared" si="21"/>
        <v>30961.230000000007</v>
      </c>
      <c r="U32" s="423">
        <f t="shared" si="22"/>
        <v>1.8550819938852013E-2</v>
      </c>
      <c r="V32" s="420">
        <v>490.93</v>
      </c>
      <c r="W32" s="420">
        <v>0</v>
      </c>
      <c r="X32" s="420">
        <v>129.91</v>
      </c>
      <c r="Y32" s="420">
        <f t="shared" si="17"/>
        <v>7338.5000000000018</v>
      </c>
      <c r="Z32" s="424">
        <f t="shared" si="18"/>
        <v>1.8656853065254459E-2</v>
      </c>
    </row>
    <row r="33" spans="1:26" ht="11.25" customHeight="1" x14ac:dyDescent="0.3">
      <c r="A33" s="421">
        <f t="shared" si="0"/>
        <v>35</v>
      </c>
      <c r="B33" s="422">
        <v>41730</v>
      </c>
      <c r="C33" s="426">
        <v>41820</v>
      </c>
      <c r="D33" s="410">
        <f t="shared" si="1"/>
        <v>6383.4399999999987</v>
      </c>
      <c r="E33" s="352">
        <f t="shared" ref="E33:F33" si="37">I33+N33+S33+X33</f>
        <v>4965.99</v>
      </c>
      <c r="F33" s="352">
        <f t="shared" si="37"/>
        <v>124333.03</v>
      </c>
      <c r="G33" s="296">
        <f t="shared" si="4"/>
        <v>4.2745653724043965E-2</v>
      </c>
      <c r="H33" s="419">
        <v>3610.98</v>
      </c>
      <c r="I33" s="419">
        <v>2055.4699999999998</v>
      </c>
      <c r="J33" s="419">
        <f t="shared" si="9"/>
        <v>55169.950000000004</v>
      </c>
      <c r="K33" s="423">
        <f t="shared" si="5"/>
        <v>4.0060620955508962E-2</v>
      </c>
      <c r="L33" s="420">
        <v>796.42</v>
      </c>
      <c r="M33" s="420"/>
      <c r="N33" s="420">
        <v>1067.98</v>
      </c>
      <c r="O33" s="420">
        <f t="shared" si="6"/>
        <v>27044.769999999993</v>
      </c>
      <c r="P33" s="424">
        <f t="shared" si="7"/>
        <v>4.1752904187800893E-2</v>
      </c>
      <c r="Q33" s="419">
        <v>1556.8899999999999</v>
      </c>
      <c r="R33" s="419">
        <v>0</v>
      </c>
      <c r="S33" s="419">
        <v>1488.41</v>
      </c>
      <c r="T33" s="419">
        <f t="shared" si="21"/>
        <v>34006.530000000006</v>
      </c>
      <c r="U33" s="423">
        <f t="shared" si="22"/>
        <v>4.6894304998397113E-2</v>
      </c>
      <c r="V33" s="420">
        <v>419.15</v>
      </c>
      <c r="W33" s="420">
        <v>0</v>
      </c>
      <c r="X33" s="420">
        <v>354.13</v>
      </c>
      <c r="Y33" s="420">
        <f t="shared" si="17"/>
        <v>8111.7800000000016</v>
      </c>
      <c r="Z33" s="424">
        <f t="shared" si="18"/>
        <v>4.6916597940534495E-2</v>
      </c>
    </row>
    <row r="34" spans="1:26" ht="11.25" customHeight="1" x14ac:dyDescent="0.3">
      <c r="A34" s="421">
        <f t="shared" si="0"/>
        <v>62</v>
      </c>
      <c r="B34" s="422">
        <v>41821</v>
      </c>
      <c r="C34" s="426">
        <v>41912</v>
      </c>
      <c r="D34" s="410">
        <f t="shared" si="1"/>
        <v>5020.3499999999995</v>
      </c>
      <c r="E34" s="352">
        <f t="shared" ref="E34:F34" si="38">I34+N34+S34+X34</f>
        <v>-2295.38</v>
      </c>
      <c r="F34" s="352">
        <f t="shared" si="38"/>
        <v>127058</v>
      </c>
      <c r="G34" s="296">
        <f t="shared" si="4"/>
        <v>-1.8096199950166824E-2</v>
      </c>
      <c r="H34" s="419">
        <v>2025.8700000000001</v>
      </c>
      <c r="I34" s="419">
        <v>-1025.43</v>
      </c>
      <c r="J34" s="419">
        <f t="shared" si="9"/>
        <v>56170.390000000007</v>
      </c>
      <c r="K34" s="423">
        <f t="shared" si="5"/>
        <v>-1.8251643716765346E-2</v>
      </c>
      <c r="L34" s="420">
        <v>592.21</v>
      </c>
      <c r="M34" s="420"/>
      <c r="N34" s="420">
        <v>-500.96</v>
      </c>
      <c r="O34" s="420">
        <f t="shared" si="6"/>
        <v>27136.019999999993</v>
      </c>
      <c r="P34" s="424">
        <f t="shared" si="7"/>
        <v>-1.8322749363361639E-2</v>
      </c>
      <c r="Q34" s="419">
        <v>1892.7</v>
      </c>
      <c r="R34" s="419">
        <v>0</v>
      </c>
      <c r="S34" s="419">
        <v>-620.16999999999996</v>
      </c>
      <c r="T34" s="419">
        <f t="shared" si="21"/>
        <v>35279.060000000005</v>
      </c>
      <c r="U34" s="423">
        <f t="shared" si="22"/>
        <v>-1.7743030045020609E-2</v>
      </c>
      <c r="V34" s="420">
        <v>509.57</v>
      </c>
      <c r="W34" s="420">
        <v>0</v>
      </c>
      <c r="X34" s="420">
        <v>-148.82</v>
      </c>
      <c r="Y34" s="420">
        <f t="shared" si="17"/>
        <v>8472.5300000000025</v>
      </c>
      <c r="Z34" s="424">
        <f t="shared" si="18"/>
        <v>-1.7787467138544906E-2</v>
      </c>
    </row>
    <row r="35" spans="1:26" ht="11.25" customHeight="1" x14ac:dyDescent="0.3">
      <c r="A35" s="421">
        <f t="shared" si="0"/>
        <v>43</v>
      </c>
      <c r="B35" s="422">
        <v>41913</v>
      </c>
      <c r="C35" s="426">
        <v>42004</v>
      </c>
      <c r="D35" s="410">
        <f t="shared" si="1"/>
        <v>4102.1200000000008</v>
      </c>
      <c r="E35" s="352">
        <f t="shared" ref="E35:F35" si="39">I35+N35+S35+X35</f>
        <v>2984.8799999999997</v>
      </c>
      <c r="F35" s="352">
        <f t="shared" si="39"/>
        <v>134145</v>
      </c>
      <c r="G35" s="296">
        <f t="shared" si="4"/>
        <v>2.3119059189184707E-2</v>
      </c>
      <c r="H35" s="419">
        <v>1736.46</v>
      </c>
      <c r="I35" s="419">
        <v>1319.31</v>
      </c>
      <c r="J35" s="419">
        <f t="shared" si="9"/>
        <v>59226.16</v>
      </c>
      <c r="K35" s="423">
        <f t="shared" si="5"/>
        <v>2.3130117804392877E-2</v>
      </c>
      <c r="L35" s="420">
        <v>326.72000000000003</v>
      </c>
      <c r="M35" s="420"/>
      <c r="N35" s="420">
        <v>634.78</v>
      </c>
      <c r="O35" s="420">
        <f t="shared" si="6"/>
        <v>28097.519999999993</v>
      </c>
      <c r="P35" s="424">
        <f t="shared" si="7"/>
        <v>2.3252542731739701E-2</v>
      </c>
      <c r="Q35" s="419">
        <v>1606.43</v>
      </c>
      <c r="R35" s="419">
        <v>0</v>
      </c>
      <c r="S35" s="419">
        <v>830.77</v>
      </c>
      <c r="T35" s="419">
        <f t="shared" si="21"/>
        <v>37716.26</v>
      </c>
      <c r="U35" s="423">
        <f t="shared" si="22"/>
        <v>2.3024324270019002E-2</v>
      </c>
      <c r="V35" s="420">
        <v>432.51</v>
      </c>
      <c r="W35" s="420">
        <v>0</v>
      </c>
      <c r="X35" s="420">
        <v>200.02</v>
      </c>
      <c r="Y35" s="420">
        <f t="shared" si="17"/>
        <v>9105.0600000000031</v>
      </c>
      <c r="Z35" s="424">
        <f t="shared" si="18"/>
        <v>2.3020479848448312E-2</v>
      </c>
    </row>
    <row r="36" spans="1:26" ht="11.25" customHeight="1" x14ac:dyDescent="0.3">
      <c r="A36" s="421">
        <f t="shared" si="0"/>
        <v>40</v>
      </c>
      <c r="B36" s="422">
        <v>42005</v>
      </c>
      <c r="C36" s="426">
        <v>42094</v>
      </c>
      <c r="D36" s="410">
        <f t="shared" si="1"/>
        <v>4793.9600000000009</v>
      </c>
      <c r="E36" s="352">
        <f t="shared" ref="E36:F36" si="40">I36+N36+S36+X36</f>
        <v>3973.43</v>
      </c>
      <c r="F36" s="352">
        <f t="shared" si="40"/>
        <v>142918.84999999998</v>
      </c>
      <c r="G36" s="296">
        <f t="shared" si="4"/>
        <v>2.910042757546067E-2</v>
      </c>
      <c r="H36" s="419">
        <v>2091.4</v>
      </c>
      <c r="I36" s="419">
        <v>1787.19</v>
      </c>
      <c r="J36" s="419">
        <f t="shared" si="9"/>
        <v>63104.750000000007</v>
      </c>
      <c r="K36" s="423">
        <f t="shared" si="5"/>
        <v>2.9652146125903531E-2</v>
      </c>
      <c r="L36" s="420">
        <v>247.5</v>
      </c>
      <c r="M36" s="420"/>
      <c r="N36" s="420">
        <v>834.13</v>
      </c>
      <c r="O36" s="420">
        <f t="shared" si="6"/>
        <v>29179.149999999994</v>
      </c>
      <c r="P36" s="424">
        <f t="shared" si="7"/>
        <v>2.9556784652143585E-2</v>
      </c>
      <c r="Q36" s="419">
        <v>1934.29</v>
      </c>
      <c r="R36" s="419">
        <v>5.54</v>
      </c>
      <c r="S36" s="419">
        <v>1088.68</v>
      </c>
      <c r="T36" s="419">
        <f t="shared" si="21"/>
        <v>40744.770000000004</v>
      </c>
      <c r="U36" s="423">
        <f t="shared" si="22"/>
        <v>2.8143334331608091E-2</v>
      </c>
      <c r="V36" s="420">
        <v>520.77</v>
      </c>
      <c r="W36" s="420">
        <v>0.92</v>
      </c>
      <c r="X36" s="420">
        <v>263.43</v>
      </c>
      <c r="Y36" s="420">
        <f t="shared" si="17"/>
        <v>9890.1800000000039</v>
      </c>
      <c r="Z36" s="424">
        <f t="shared" si="18"/>
        <v>2.8127867922987101E-2</v>
      </c>
    </row>
    <row r="37" spans="1:26" ht="11.25" customHeight="1" x14ac:dyDescent="0.3">
      <c r="A37" s="421">
        <f t="shared" si="0"/>
        <v>59</v>
      </c>
      <c r="B37" s="422">
        <v>42095</v>
      </c>
      <c r="C37" s="426">
        <v>42185</v>
      </c>
      <c r="D37" s="410">
        <f t="shared" si="1"/>
        <v>4068.3700000000003</v>
      </c>
      <c r="E37" s="352">
        <f t="shared" ref="E37:F37" si="41">I37+N37+S37+X37</f>
        <v>-226.57999999999998</v>
      </c>
      <c r="F37" s="352">
        <f t="shared" si="41"/>
        <v>146760.63999999998</v>
      </c>
      <c r="G37" s="296">
        <f t="shared" si="4"/>
        <v>-1.5631269810942559E-3</v>
      </c>
      <c r="H37" s="419">
        <v>1804.98</v>
      </c>
      <c r="I37" s="419">
        <v>123.14</v>
      </c>
      <c r="J37" s="419">
        <f t="shared" si="9"/>
        <v>65032.87000000001</v>
      </c>
      <c r="K37" s="423">
        <f t="shared" si="5"/>
        <v>1.9238448650496412E-3</v>
      </c>
      <c r="L37" s="420">
        <v>165.03</v>
      </c>
      <c r="M37" s="420"/>
      <c r="N37" s="420">
        <v>69.069999999999993</v>
      </c>
      <c r="O37" s="420">
        <f t="shared" si="6"/>
        <v>29413.249999999993</v>
      </c>
      <c r="P37" s="424">
        <f t="shared" si="7"/>
        <v>2.3604261753389635E-3</v>
      </c>
      <c r="Q37" s="419">
        <v>1653.25</v>
      </c>
      <c r="R37" s="419">
        <v>0</v>
      </c>
      <c r="S37" s="419">
        <v>-336.09</v>
      </c>
      <c r="T37" s="419">
        <f t="shared" si="21"/>
        <v>42061.930000000008</v>
      </c>
      <c r="U37" s="423">
        <f t="shared" si="22"/>
        <v>-8.0846457040953269E-3</v>
      </c>
      <c r="V37" s="420">
        <v>445.11</v>
      </c>
      <c r="W37" s="420">
        <v>0</v>
      </c>
      <c r="X37" s="420">
        <v>-82.7</v>
      </c>
      <c r="Y37" s="420">
        <f t="shared" si="17"/>
        <v>10252.590000000004</v>
      </c>
      <c r="Z37" s="424">
        <f t="shared" si="18"/>
        <v>-8.177807487292011E-3</v>
      </c>
    </row>
    <row r="38" spans="1:26" ht="11.25" customHeight="1" x14ac:dyDescent="0.3">
      <c r="A38" s="421">
        <f t="shared" si="0"/>
        <v>70</v>
      </c>
      <c r="B38" s="422">
        <v>42186</v>
      </c>
      <c r="C38" s="426">
        <v>42277</v>
      </c>
      <c r="D38" s="410">
        <f t="shared" si="1"/>
        <v>5794.38</v>
      </c>
      <c r="E38" s="352">
        <f t="shared" ref="E38:F38" si="42">I38+N38+S38+X38</f>
        <v>-10558.59</v>
      </c>
      <c r="F38" s="352">
        <f t="shared" si="42"/>
        <v>141996.43</v>
      </c>
      <c r="G38" s="296">
        <f t="shared" si="4"/>
        <v>-7.0551537463826655E-2</v>
      </c>
      <c r="H38" s="419">
        <v>2219.66</v>
      </c>
      <c r="I38" s="419">
        <v>-4630.16</v>
      </c>
      <c r="J38" s="419">
        <f t="shared" si="9"/>
        <v>62622.37000000001</v>
      </c>
      <c r="K38" s="423">
        <f t="shared" si="5"/>
        <v>-7.0002585319317162E-2</v>
      </c>
      <c r="L38" s="420">
        <v>845.66</v>
      </c>
      <c r="M38" s="420"/>
      <c r="N38" s="420">
        <v>-2066.1999999999998</v>
      </c>
      <c r="O38" s="420">
        <f t="shared" si="6"/>
        <v>28192.709999999992</v>
      </c>
      <c r="P38" s="424">
        <f t="shared" si="7"/>
        <v>-6.9251724757407818E-2</v>
      </c>
      <c r="Q38" s="419">
        <v>2150.17</v>
      </c>
      <c r="R38" s="419">
        <v>0</v>
      </c>
      <c r="S38" s="419">
        <v>-3103.52</v>
      </c>
      <c r="T38" s="419">
        <f t="shared" si="21"/>
        <v>41108.580000000009</v>
      </c>
      <c r="U38" s="423">
        <f t="shared" si="22"/>
        <v>-7.1945636479482863E-2</v>
      </c>
      <c r="V38" s="420">
        <v>578.89</v>
      </c>
      <c r="W38" s="420">
        <v>0</v>
      </c>
      <c r="X38" s="420">
        <v>-758.71</v>
      </c>
      <c r="Y38" s="420">
        <f t="shared" si="17"/>
        <v>10072.770000000004</v>
      </c>
      <c r="Z38" s="424">
        <f t="shared" si="18"/>
        <v>-7.1969975436431369E-2</v>
      </c>
    </row>
    <row r="39" spans="1:26" ht="11.25" customHeight="1" x14ac:dyDescent="0.3">
      <c r="A39" s="421">
        <f t="shared" si="0"/>
        <v>32</v>
      </c>
      <c r="B39" s="422">
        <v>42278</v>
      </c>
      <c r="C39" s="426">
        <v>42369</v>
      </c>
      <c r="D39" s="410">
        <f t="shared" si="1"/>
        <v>5396.380000000001</v>
      </c>
      <c r="E39" s="352">
        <f t="shared" ref="E39:F39" si="43">I39+N39+S39+X39</f>
        <v>6605.6100000000006</v>
      </c>
      <c r="F39" s="352">
        <f t="shared" si="43"/>
        <v>154009.28</v>
      </c>
      <c r="G39" s="296">
        <f t="shared" si="4"/>
        <v>4.565207745802851E-2</v>
      </c>
      <c r="H39" s="419">
        <v>2032.6799999999998</v>
      </c>
      <c r="I39" s="419">
        <v>2853.65</v>
      </c>
      <c r="J39" s="419">
        <f t="shared" si="9"/>
        <v>67508.700000000012</v>
      </c>
      <c r="K39" s="423">
        <f t="shared" si="5"/>
        <v>4.4841418061428329E-2</v>
      </c>
      <c r="L39" s="420">
        <v>419.55</v>
      </c>
      <c r="M39" s="420"/>
      <c r="N39" s="420">
        <v>1292.8499999999999</v>
      </c>
      <c r="O39" s="420">
        <f t="shared" si="6"/>
        <v>29905.10999999999</v>
      </c>
      <c r="P39" s="424">
        <f t="shared" si="7"/>
        <v>4.5518904419806938E-2</v>
      </c>
      <c r="Q39" s="419">
        <v>2319.63</v>
      </c>
      <c r="R39" s="419">
        <v>8.6199999999999992</v>
      </c>
      <c r="S39" s="419">
        <v>1975.43</v>
      </c>
      <c r="T39" s="419">
        <f t="shared" si="21"/>
        <v>45412.260000000009</v>
      </c>
      <c r="U39" s="423">
        <f t="shared" si="22"/>
        <v>4.6735391774397859E-2</v>
      </c>
      <c r="V39" s="420">
        <v>624.52</v>
      </c>
      <c r="W39" s="420">
        <v>2.2400000000000002</v>
      </c>
      <c r="X39" s="420">
        <v>483.68</v>
      </c>
      <c r="Y39" s="420">
        <f t="shared" si="17"/>
        <v>11183.210000000005</v>
      </c>
      <c r="Z39" s="424">
        <f t="shared" si="18"/>
        <v>4.6574733053250668E-2</v>
      </c>
    </row>
    <row r="40" spans="1:26" ht="11.25" customHeight="1" x14ac:dyDescent="0.3">
      <c r="A40" s="421">
        <f t="shared" si="0"/>
        <v>53</v>
      </c>
      <c r="B40" s="422">
        <v>42370</v>
      </c>
      <c r="C40" s="426">
        <v>42460</v>
      </c>
      <c r="D40" s="410">
        <f t="shared" si="1"/>
        <v>5972.98</v>
      </c>
      <c r="E40" s="352">
        <f t="shared" ref="E40:F40" si="44">I40+N40+S40+X40</f>
        <v>1204.92</v>
      </c>
      <c r="F40" s="352">
        <f t="shared" si="44"/>
        <v>161187.18000000002</v>
      </c>
      <c r="G40" s="296">
        <f t="shared" si="4"/>
        <v>7.6748564626932317E-3</v>
      </c>
      <c r="H40" s="419">
        <v>2391.1600000000003</v>
      </c>
      <c r="I40" s="419">
        <v>216.96</v>
      </c>
      <c r="J40" s="419">
        <f t="shared" si="9"/>
        <v>70116.820000000022</v>
      </c>
      <c r="K40" s="423">
        <f t="shared" si="5"/>
        <v>3.1578818670394328E-3</v>
      </c>
      <c r="L40" s="420">
        <v>257.87</v>
      </c>
      <c r="M40" s="420"/>
      <c r="N40" s="420">
        <v>53.78</v>
      </c>
      <c r="O40" s="420">
        <f t="shared" si="6"/>
        <v>30216.759999999987</v>
      </c>
      <c r="P40" s="424">
        <f t="shared" si="7"/>
        <v>1.7906345948406222E-3</v>
      </c>
      <c r="Q40" s="419">
        <v>2618.87</v>
      </c>
      <c r="R40" s="419">
        <v>0</v>
      </c>
      <c r="S40" s="419">
        <v>746.75</v>
      </c>
      <c r="T40" s="419">
        <f t="shared" si="21"/>
        <v>48777.880000000012</v>
      </c>
      <c r="U40" s="423">
        <f t="shared" si="22"/>
        <v>1.5982938975137778E-2</v>
      </c>
      <c r="V40" s="420">
        <v>705.08</v>
      </c>
      <c r="W40" s="420">
        <v>0</v>
      </c>
      <c r="X40" s="420">
        <v>187.43</v>
      </c>
      <c r="Y40" s="420">
        <f t="shared" si="17"/>
        <v>12075.720000000005</v>
      </c>
      <c r="Z40" s="424">
        <f t="shared" si="18"/>
        <v>1.6247751554948738E-2</v>
      </c>
    </row>
    <row r="41" spans="1:26" ht="11.25" customHeight="1" x14ac:dyDescent="0.3">
      <c r="A41" s="421">
        <f t="shared" si="0"/>
        <v>47</v>
      </c>
      <c r="B41" s="422">
        <v>42461</v>
      </c>
      <c r="C41" s="426">
        <v>42551</v>
      </c>
      <c r="D41" s="410">
        <f t="shared" si="1"/>
        <v>5490.93</v>
      </c>
      <c r="E41" s="352">
        <f t="shared" ref="E41:F41" si="45">I41+N41+S41+X41</f>
        <v>2765.2200000000003</v>
      </c>
      <c r="F41" s="352">
        <f t="shared" si="45"/>
        <v>169443.33000000005</v>
      </c>
      <c r="G41" s="296">
        <f t="shared" si="4"/>
        <v>1.6868025279528673E-2</v>
      </c>
      <c r="H41" s="419">
        <v>2056.3200000000002</v>
      </c>
      <c r="I41" s="419">
        <v>1078.08</v>
      </c>
      <c r="J41" s="419">
        <f t="shared" si="9"/>
        <v>73251.22000000003</v>
      </c>
      <c r="K41" s="423">
        <f t="shared" si="5"/>
        <v>1.5153282775538056E-2</v>
      </c>
      <c r="L41" s="420">
        <v>365.3</v>
      </c>
      <c r="M41" s="420"/>
      <c r="N41" s="420">
        <v>458.99</v>
      </c>
      <c r="O41" s="420">
        <f t="shared" si="6"/>
        <v>31041.049999999988</v>
      </c>
      <c r="P41" s="424">
        <f t="shared" si="7"/>
        <v>1.5098648296134701E-2</v>
      </c>
      <c r="Q41" s="419">
        <v>2418.2399999999998</v>
      </c>
      <c r="R41" s="419">
        <v>0</v>
      </c>
      <c r="S41" s="419">
        <v>984.08</v>
      </c>
      <c r="T41" s="419">
        <f t="shared" si="21"/>
        <v>52180.200000000012</v>
      </c>
      <c r="U41" s="423">
        <f t="shared" si="22"/>
        <v>1.968671854682217E-2</v>
      </c>
      <c r="V41" s="420">
        <v>651.07000000000005</v>
      </c>
      <c r="W41" s="420">
        <v>0</v>
      </c>
      <c r="X41" s="420">
        <v>244.07</v>
      </c>
      <c r="Y41" s="420">
        <f t="shared" si="17"/>
        <v>12970.860000000004</v>
      </c>
      <c r="Z41" s="424">
        <f t="shared" si="18"/>
        <v>1.9681072601119797E-2</v>
      </c>
    </row>
    <row r="42" spans="1:26" ht="11.25" customHeight="1" x14ac:dyDescent="0.3">
      <c r="A42" s="421">
        <f t="shared" si="0"/>
        <v>33</v>
      </c>
      <c r="B42" s="422">
        <v>42552</v>
      </c>
      <c r="C42" s="426">
        <v>42643</v>
      </c>
      <c r="D42" s="410">
        <f t="shared" si="1"/>
        <v>6394.45</v>
      </c>
      <c r="E42" s="352">
        <f t="shared" ref="E42:F42" si="46">I42+N42+S42+X42</f>
        <v>7537.78</v>
      </c>
      <c r="F42" s="352">
        <f t="shared" si="46"/>
        <v>183375.56000000003</v>
      </c>
      <c r="G42" s="296">
        <f t="shared" si="4"/>
        <v>4.3661699303503727E-2</v>
      </c>
      <c r="H42" s="419">
        <v>2432.4899999999998</v>
      </c>
      <c r="I42" s="419">
        <v>3287.43</v>
      </c>
      <c r="J42" s="419">
        <f t="shared" si="9"/>
        <v>78971.140000000029</v>
      </c>
      <c r="K42" s="423">
        <f t="shared" si="5"/>
        <v>4.4145856180279518E-2</v>
      </c>
      <c r="L42" s="420">
        <v>580.16</v>
      </c>
      <c r="M42" s="420"/>
      <c r="N42" s="420">
        <v>1388.59</v>
      </c>
      <c r="O42" s="420">
        <f t="shared" si="6"/>
        <v>33009.799999999988</v>
      </c>
      <c r="P42" s="424">
        <f t="shared" si="7"/>
        <v>4.4319818659588735E-2</v>
      </c>
      <c r="Q42" s="419">
        <v>2664.45</v>
      </c>
      <c r="R42" s="419">
        <v>0</v>
      </c>
      <c r="S42" s="419">
        <v>2291.5500000000002</v>
      </c>
      <c r="T42" s="419">
        <f t="shared" si="21"/>
        <v>57136.200000000012</v>
      </c>
      <c r="U42" s="423">
        <f t="shared" si="22"/>
        <v>4.2822764993363689E-2</v>
      </c>
      <c r="V42" s="420">
        <v>717.35</v>
      </c>
      <c r="W42" s="420">
        <v>0</v>
      </c>
      <c r="X42" s="420">
        <v>570.21</v>
      </c>
      <c r="Y42" s="420">
        <f t="shared" si="17"/>
        <v>14258.420000000006</v>
      </c>
      <c r="Z42" s="424">
        <f t="shared" si="18"/>
        <v>4.2777936364621863E-2</v>
      </c>
    </row>
    <row r="43" spans="1:26" ht="11.25" customHeight="1" x14ac:dyDescent="0.3">
      <c r="A43" s="421">
        <f t="shared" si="0"/>
        <v>48</v>
      </c>
      <c r="B43" s="422">
        <v>42644</v>
      </c>
      <c r="C43" s="426">
        <v>42735</v>
      </c>
      <c r="D43" s="410">
        <f t="shared" si="1"/>
        <v>5352.59</v>
      </c>
      <c r="E43" s="352">
        <f t="shared" ref="E43:F43" si="47">I43+N43+S43+X43</f>
        <v>3018.9100000000003</v>
      </c>
      <c r="F43" s="352">
        <f t="shared" si="47"/>
        <v>191754.43000000002</v>
      </c>
      <c r="G43" s="296">
        <f t="shared" si="4"/>
        <v>1.6226175224106201E-2</v>
      </c>
      <c r="H43" s="419">
        <v>2123.2200000000003</v>
      </c>
      <c r="I43" s="419">
        <v>1866.38</v>
      </c>
      <c r="J43" s="419">
        <f t="shared" si="9"/>
        <v>82960.740000000034</v>
      </c>
      <c r="K43" s="423">
        <f t="shared" si="5"/>
        <v>2.3320203291777423E-2</v>
      </c>
      <c r="L43" s="420">
        <v>257.85000000000002</v>
      </c>
      <c r="M43" s="420"/>
      <c r="N43" s="420">
        <v>769.01</v>
      </c>
      <c r="O43" s="420">
        <f t="shared" si="6"/>
        <v>34036.659999999989</v>
      </c>
      <c r="P43" s="424">
        <f t="shared" si="7"/>
        <v>2.320578115180956E-2</v>
      </c>
      <c r="Q43" s="419">
        <v>2341.19</v>
      </c>
      <c r="R43" s="419">
        <v>6.28</v>
      </c>
      <c r="S43" s="419">
        <v>306.20999999999998</v>
      </c>
      <c r="T43" s="419">
        <f t="shared" si="21"/>
        <v>59789.880000000012</v>
      </c>
      <c r="U43" s="423">
        <f t="shared" si="22"/>
        <v>5.2517035107143154E-3</v>
      </c>
      <c r="V43" s="420">
        <v>630.33000000000004</v>
      </c>
      <c r="W43" s="420">
        <v>1.0900000000000001</v>
      </c>
      <c r="X43" s="420">
        <v>77.31</v>
      </c>
      <c r="Y43" s="420">
        <f t="shared" si="17"/>
        <v>14967.150000000005</v>
      </c>
      <c r="Z43" s="424">
        <f t="shared" si="18"/>
        <v>5.3048031764318781E-3</v>
      </c>
    </row>
    <row r="44" spans="1:26" ht="11.25" customHeight="1" x14ac:dyDescent="0.3">
      <c r="A44" s="421">
        <f t="shared" si="0"/>
        <v>27</v>
      </c>
      <c r="B44" s="422">
        <v>42736</v>
      </c>
      <c r="C44" s="426">
        <v>42825</v>
      </c>
      <c r="D44" s="410">
        <f t="shared" si="1"/>
        <v>6321.97</v>
      </c>
      <c r="E44" s="352">
        <f t="shared" ref="E44:F44" si="48">I44+N44+S44+X44</f>
        <v>10772.96</v>
      </c>
      <c r="F44" s="352">
        <f t="shared" si="48"/>
        <v>208849.36000000004</v>
      </c>
      <c r="G44" s="296">
        <f t="shared" si="4"/>
        <v>5.5269923109980801E-2</v>
      </c>
      <c r="H44" s="419">
        <v>2507.04</v>
      </c>
      <c r="I44" s="419">
        <v>4436.24</v>
      </c>
      <c r="J44" s="419">
        <f t="shared" si="9"/>
        <v>89904.020000000033</v>
      </c>
      <c r="K44" s="423">
        <f t="shared" si="5"/>
        <v>5.2678014388537024E-2</v>
      </c>
      <c r="L44" s="420">
        <v>263.27999999999997</v>
      </c>
      <c r="M44" s="420"/>
      <c r="N44" s="420">
        <v>1801.81</v>
      </c>
      <c r="O44" s="420">
        <f t="shared" si="6"/>
        <v>36101.749999999985</v>
      </c>
      <c r="P44" s="424">
        <f t="shared" si="7"/>
        <v>5.2733381526151452E-2</v>
      </c>
      <c r="Q44" s="419">
        <v>2798.2700000000004</v>
      </c>
      <c r="R44" s="419">
        <v>0</v>
      </c>
      <c r="S44" s="419">
        <v>3626</v>
      </c>
      <c r="T44" s="419">
        <f t="shared" si="21"/>
        <v>66214.150000000009</v>
      </c>
      <c r="U44" s="423">
        <f t="shared" si="22"/>
        <v>5.9259002616727841E-2</v>
      </c>
      <c r="V44" s="420">
        <v>753.38</v>
      </c>
      <c r="W44" s="420">
        <v>0</v>
      </c>
      <c r="X44" s="420">
        <v>908.91</v>
      </c>
      <c r="Y44" s="420">
        <f t="shared" si="17"/>
        <v>16629.440000000006</v>
      </c>
      <c r="Z44" s="424">
        <f t="shared" si="18"/>
        <v>5.9236149490609888E-2</v>
      </c>
    </row>
    <row r="45" spans="1:26" ht="11.25" customHeight="1" x14ac:dyDescent="0.3">
      <c r="A45" s="421">
        <f t="shared" si="0"/>
        <v>38</v>
      </c>
      <c r="B45" s="422">
        <v>42826</v>
      </c>
      <c r="C45" s="422">
        <v>42916</v>
      </c>
      <c r="D45" s="410">
        <f t="shared" si="1"/>
        <v>6130.92</v>
      </c>
      <c r="E45" s="352">
        <f t="shared" ref="E45:F45" si="49">I45+N45+S45+X45</f>
        <v>7656.6699999999992</v>
      </c>
      <c r="F45" s="352">
        <f t="shared" si="49"/>
        <v>222636.95</v>
      </c>
      <c r="G45" s="296">
        <f t="shared" si="4"/>
        <v>3.6130885041452024E-2</v>
      </c>
      <c r="H45" s="419">
        <v>2519.0200000000004</v>
      </c>
      <c r="I45" s="419">
        <v>3138.16</v>
      </c>
      <c r="J45" s="419">
        <f t="shared" si="9"/>
        <v>95561.200000000041</v>
      </c>
      <c r="K45" s="423">
        <f t="shared" si="5"/>
        <v>3.4423414714195459E-2</v>
      </c>
      <c r="L45" s="420">
        <v>329.1</v>
      </c>
      <c r="M45" s="420"/>
      <c r="N45" s="420">
        <v>1254.71</v>
      </c>
      <c r="O45" s="420">
        <f t="shared" si="6"/>
        <v>37685.559999999983</v>
      </c>
      <c r="P45" s="424">
        <f t="shared" si="7"/>
        <v>3.4597132875424305E-2</v>
      </c>
      <c r="Q45" s="419">
        <v>2586.4499999999998</v>
      </c>
      <c r="R45" s="419">
        <v>0</v>
      </c>
      <c r="S45" s="419">
        <v>2608.19</v>
      </c>
      <c r="T45" s="419">
        <f t="shared" si="21"/>
        <v>71408.790000000008</v>
      </c>
      <c r="U45" s="423">
        <f t="shared" si="22"/>
        <v>3.8635630551476778E-2</v>
      </c>
      <c r="V45" s="420">
        <v>696.35</v>
      </c>
      <c r="W45" s="420">
        <v>0</v>
      </c>
      <c r="X45" s="420">
        <v>655.61</v>
      </c>
      <c r="Y45" s="420">
        <f t="shared" si="17"/>
        <v>17981.400000000005</v>
      </c>
      <c r="Z45" s="424">
        <f t="shared" si="18"/>
        <v>3.8616142491156726E-2</v>
      </c>
    </row>
    <row r="46" spans="1:26" ht="11.25" customHeight="1" x14ac:dyDescent="0.3">
      <c r="A46" s="421">
        <f t="shared" si="0"/>
        <v>34</v>
      </c>
      <c r="B46" s="422">
        <v>42917</v>
      </c>
      <c r="C46" s="422">
        <v>43008</v>
      </c>
      <c r="D46" s="410">
        <f t="shared" si="1"/>
        <v>6326.3899999999994</v>
      </c>
      <c r="E46" s="352">
        <f t="shared" ref="E46:F46" si="50">I46+N46+S46+X46</f>
        <v>9681.82</v>
      </c>
      <c r="F46" s="352">
        <f t="shared" si="50"/>
        <v>238645.16</v>
      </c>
      <c r="G46" s="296">
        <f t="shared" si="4"/>
        <v>4.2877828975707695E-2</v>
      </c>
      <c r="H46" s="419">
        <v>2193</v>
      </c>
      <c r="I46" s="419">
        <v>4008.93</v>
      </c>
      <c r="J46" s="419">
        <f t="shared" si="9"/>
        <v>101763.13000000003</v>
      </c>
      <c r="K46" s="423">
        <f t="shared" si="5"/>
        <v>4.1475536868764706E-2</v>
      </c>
      <c r="L46" s="420">
        <v>614.30999999999995</v>
      </c>
      <c r="M46" s="420"/>
      <c r="N46" s="420">
        <v>1571.89</v>
      </c>
      <c r="O46" s="420">
        <f t="shared" si="6"/>
        <v>39871.75999999998</v>
      </c>
      <c r="P46" s="424">
        <f t="shared" si="7"/>
        <v>4.1373458043206461E-2</v>
      </c>
      <c r="Q46" s="419">
        <v>2772.6</v>
      </c>
      <c r="R46" s="419">
        <v>0</v>
      </c>
      <c r="S46" s="419">
        <v>3275.23</v>
      </c>
      <c r="T46" s="419">
        <f t="shared" si="21"/>
        <v>77456.62000000001</v>
      </c>
      <c r="U46" s="423">
        <f t="shared" si="22"/>
        <v>4.4992457595697727E-2</v>
      </c>
      <c r="V46" s="420">
        <v>746.48</v>
      </c>
      <c r="W46" s="420">
        <v>0</v>
      </c>
      <c r="X46" s="420">
        <v>825.77</v>
      </c>
      <c r="Y46" s="420">
        <f t="shared" si="17"/>
        <v>19553.650000000005</v>
      </c>
      <c r="Z46" s="424">
        <f t="shared" si="18"/>
        <v>4.498971377264821E-2</v>
      </c>
    </row>
    <row r="47" spans="1:26" ht="11.25" customHeight="1" x14ac:dyDescent="0.3">
      <c r="A47" s="421">
        <f t="shared" si="0"/>
        <v>30</v>
      </c>
      <c r="B47" s="422">
        <v>43009</v>
      </c>
      <c r="C47" s="422">
        <v>43100</v>
      </c>
      <c r="D47" s="410">
        <f t="shared" si="1"/>
        <v>6272.63</v>
      </c>
      <c r="E47" s="352">
        <f t="shared" ref="E47:F47" si="51">I47+N47+S47+X47</f>
        <v>11946.29</v>
      </c>
      <c r="F47" s="352">
        <f t="shared" si="51"/>
        <v>256868.65000000002</v>
      </c>
      <c r="G47" s="296">
        <f t="shared" si="4"/>
        <v>4.9409451241043179E-2</v>
      </c>
      <c r="H47" s="419">
        <v>2226.84</v>
      </c>
      <c r="I47" s="419">
        <v>4866.43</v>
      </c>
      <c r="J47" s="419">
        <f t="shared" si="9"/>
        <v>108856.40000000002</v>
      </c>
      <c r="K47" s="423">
        <f t="shared" si="5"/>
        <v>4.7303588621507998E-2</v>
      </c>
      <c r="L47" s="420">
        <v>1158.25</v>
      </c>
      <c r="M47" s="420"/>
      <c r="N47" s="420">
        <v>1923.03</v>
      </c>
      <c r="O47" s="420">
        <f t="shared" si="6"/>
        <v>42953.039999999979</v>
      </c>
      <c r="P47" s="424">
        <f t="shared" si="7"/>
        <v>4.7539874591124541E-2</v>
      </c>
      <c r="Q47" s="419">
        <v>2275.04</v>
      </c>
      <c r="R47" s="419">
        <v>4.5599999999999996</v>
      </c>
      <c r="S47" s="419">
        <v>4116.6000000000004</v>
      </c>
      <c r="T47" s="419">
        <f t="shared" si="21"/>
        <v>83852.820000000007</v>
      </c>
      <c r="U47" s="423">
        <f t="shared" si="22"/>
        <v>5.2377950824323539E-2</v>
      </c>
      <c r="V47" s="420">
        <v>612.5</v>
      </c>
      <c r="W47" s="420">
        <v>0.01</v>
      </c>
      <c r="X47" s="420">
        <v>1040.23</v>
      </c>
      <c r="Y47" s="420">
        <f t="shared" si="17"/>
        <v>21206.390000000003</v>
      </c>
      <c r="Z47" s="424">
        <f t="shared" si="18"/>
        <v>5.2378410767425804E-2</v>
      </c>
    </row>
    <row r="48" spans="1:26" ht="11.25" customHeight="1" x14ac:dyDescent="0.3">
      <c r="A48" s="421">
        <f t="shared" si="0"/>
        <v>61</v>
      </c>
      <c r="B48" s="422">
        <v>43101</v>
      </c>
      <c r="C48" s="422">
        <v>43190</v>
      </c>
      <c r="D48" s="410">
        <f t="shared" si="1"/>
        <v>6576.6399999999994</v>
      </c>
      <c r="E48" s="352">
        <f t="shared" ref="E48:F48" si="52">I48+N48+S48+X48</f>
        <v>-1986.06</v>
      </c>
      <c r="F48" s="352">
        <f t="shared" si="52"/>
        <v>261459.23</v>
      </c>
      <c r="G48" s="296">
        <f t="shared" si="4"/>
        <v>-7.634083376662942E-3</v>
      </c>
      <c r="H48" s="419">
        <v>2629.98</v>
      </c>
      <c r="I48" s="419">
        <v>-625.94000000000005</v>
      </c>
      <c r="J48" s="419">
        <f t="shared" si="9"/>
        <v>110860.44000000002</v>
      </c>
      <c r="K48" s="423">
        <f t="shared" si="5"/>
        <v>-5.6815113252179162E-3</v>
      </c>
      <c r="L48" s="420">
        <v>278.63</v>
      </c>
      <c r="M48" s="420"/>
      <c r="N48" s="420">
        <v>-225.64</v>
      </c>
      <c r="O48" s="420">
        <f t="shared" si="6"/>
        <v>43006.029999999977</v>
      </c>
      <c r="P48" s="424">
        <f t="shared" si="7"/>
        <v>-5.2361956082465225E-3</v>
      </c>
      <c r="Q48" s="419">
        <v>2889.97</v>
      </c>
      <c r="R48" s="419">
        <v>0</v>
      </c>
      <c r="S48" s="419">
        <v>-904.56</v>
      </c>
      <c r="T48" s="419">
        <f t="shared" si="21"/>
        <v>85838.23000000001</v>
      </c>
      <c r="U48" s="423">
        <f t="shared" si="22"/>
        <v>-1.0604727753545356E-2</v>
      </c>
      <c r="V48" s="420">
        <v>778.06</v>
      </c>
      <c r="W48" s="420">
        <v>0</v>
      </c>
      <c r="X48" s="420">
        <v>-229.92</v>
      </c>
      <c r="Y48" s="420">
        <f t="shared" si="17"/>
        <v>21754.530000000006</v>
      </c>
      <c r="Z48" s="424">
        <f t="shared" si="18"/>
        <v>-1.0646701939577927E-2</v>
      </c>
    </row>
    <row r="49" spans="1:26" ht="11.25" customHeight="1" x14ac:dyDescent="0.3">
      <c r="A49" s="421">
        <f t="shared" si="0"/>
        <v>44</v>
      </c>
      <c r="B49" s="422">
        <v>43191</v>
      </c>
      <c r="C49" s="422">
        <v>43281</v>
      </c>
      <c r="D49" s="410">
        <f t="shared" si="1"/>
        <v>6412.6500000000005</v>
      </c>
      <c r="E49" s="352">
        <f t="shared" ref="E49:F49" si="53">I49+N49+S49+X49</f>
        <v>4812.1499999999996</v>
      </c>
      <c r="F49" s="352">
        <f t="shared" si="53"/>
        <v>272684.03000000003</v>
      </c>
      <c r="G49" s="296">
        <f t="shared" si="4"/>
        <v>1.8182003321134857E-2</v>
      </c>
      <c r="H49" s="419">
        <v>2454.0100000000002</v>
      </c>
      <c r="I49" s="419">
        <v>2306.91</v>
      </c>
      <c r="J49" s="419">
        <f t="shared" si="9"/>
        <v>115621.36000000002</v>
      </c>
      <c r="K49" s="423">
        <f t="shared" si="5"/>
        <v>2.058134164803203E-2</v>
      </c>
      <c r="L49" s="420">
        <v>633.24</v>
      </c>
      <c r="M49" s="420"/>
      <c r="N49" s="420">
        <v>892.71</v>
      </c>
      <c r="O49" s="420">
        <f t="shared" si="6"/>
        <v>44531.979999999974</v>
      </c>
      <c r="P49" s="424">
        <f t="shared" si="7"/>
        <v>2.0606080191308714E-2</v>
      </c>
      <c r="Q49" s="419">
        <v>2620.0100000000002</v>
      </c>
      <c r="R49" s="419">
        <v>0</v>
      </c>
      <c r="S49" s="419">
        <v>1286.52</v>
      </c>
      <c r="T49" s="419">
        <f t="shared" si="21"/>
        <v>89744.760000000009</v>
      </c>
      <c r="U49" s="423">
        <f t="shared" si="22"/>
        <v>1.4762433226559318E-2</v>
      </c>
      <c r="V49" s="420">
        <v>705.39</v>
      </c>
      <c r="W49" s="420">
        <v>0</v>
      </c>
      <c r="X49" s="420">
        <v>326.01</v>
      </c>
      <c r="Y49" s="420">
        <f t="shared" si="17"/>
        <v>22785.930000000004</v>
      </c>
      <c r="Z49" s="424">
        <f t="shared" si="18"/>
        <v>1.4746762653385936E-2</v>
      </c>
    </row>
    <row r="50" spans="1:26" ht="11.25" customHeight="1" x14ac:dyDescent="0.3">
      <c r="A50" s="421">
        <f t="shared" si="0"/>
        <v>36</v>
      </c>
      <c r="B50" s="422">
        <v>43282</v>
      </c>
      <c r="C50" s="422">
        <v>43373</v>
      </c>
      <c r="D50" s="410">
        <f t="shared" si="1"/>
        <v>5881.42</v>
      </c>
      <c r="E50" s="352">
        <f t="shared" ref="E50:F50" si="54">I50+N50+S50+X50</f>
        <v>11350.779999999999</v>
      </c>
      <c r="F50" s="352">
        <f t="shared" si="54"/>
        <v>289916.23</v>
      </c>
      <c r="G50" s="296">
        <f t="shared" si="4"/>
        <v>4.1182007101394441E-2</v>
      </c>
      <c r="H50" s="419">
        <v>2076.4699999999998</v>
      </c>
      <c r="I50" s="419">
        <v>5094.57</v>
      </c>
      <c r="J50" s="419">
        <f t="shared" si="9"/>
        <v>122792.40000000002</v>
      </c>
      <c r="K50" s="423">
        <f t="shared" si="5"/>
        <v>4.3670389906633904E-2</v>
      </c>
      <c r="L50" s="420">
        <v>303.95999999999998</v>
      </c>
      <c r="M50" s="420"/>
      <c r="N50" s="420">
        <v>1955.79</v>
      </c>
      <c r="O50" s="420">
        <f t="shared" si="6"/>
        <v>46791.729999999974</v>
      </c>
      <c r="P50" s="424">
        <f t="shared" si="7"/>
        <v>4.3769397340790765E-2</v>
      </c>
      <c r="Q50" s="419">
        <v>2758.34</v>
      </c>
      <c r="R50" s="419">
        <v>0</v>
      </c>
      <c r="S50" s="419">
        <v>3429.13</v>
      </c>
      <c r="T50" s="419">
        <f t="shared" si="21"/>
        <v>95932.23000000001</v>
      </c>
      <c r="U50" s="423">
        <f t="shared" si="22"/>
        <v>3.7631498114710372E-2</v>
      </c>
      <c r="V50" s="420">
        <v>742.65</v>
      </c>
      <c r="W50" s="420">
        <v>0</v>
      </c>
      <c r="X50" s="420">
        <v>871.29</v>
      </c>
      <c r="Y50" s="420">
        <f t="shared" si="17"/>
        <v>24399.870000000006</v>
      </c>
      <c r="Z50" s="424">
        <f t="shared" si="18"/>
        <v>3.7624925752210256E-2</v>
      </c>
    </row>
    <row r="51" spans="1:26" ht="11.25" customHeight="1" x14ac:dyDescent="0.3">
      <c r="A51" s="421">
        <f t="shared" si="0"/>
        <v>72</v>
      </c>
      <c r="B51" s="422">
        <v>43374</v>
      </c>
      <c r="C51" s="422">
        <v>43465</v>
      </c>
      <c r="D51" s="410">
        <f t="shared" si="1"/>
        <v>6077.6</v>
      </c>
      <c r="E51" s="352">
        <f t="shared" ref="E51:F51" si="55">I51+N51+S51+X51</f>
        <v>-33155.630000000005</v>
      </c>
      <c r="F51" s="352">
        <f t="shared" si="55"/>
        <v>262846.91000000003</v>
      </c>
      <c r="G51" s="296">
        <f t="shared" si="4"/>
        <v>-0.11317651722859992</v>
      </c>
      <c r="H51" s="419">
        <v>2265.2399999999998</v>
      </c>
      <c r="I51" s="419">
        <v>-14051.78</v>
      </c>
      <c r="J51" s="419">
        <f t="shared" si="9"/>
        <v>111005.86000000003</v>
      </c>
      <c r="K51" s="423">
        <f t="shared" si="5"/>
        <v>-0.11338937044351495</v>
      </c>
      <c r="L51" s="420">
        <v>303.95999999999998</v>
      </c>
      <c r="M51" s="420"/>
      <c r="N51" s="420">
        <v>-5317.24</v>
      </c>
      <c r="O51" s="420">
        <f t="shared" si="6"/>
        <v>41778.449999999975</v>
      </c>
      <c r="P51" s="424">
        <f t="shared" si="7"/>
        <v>-0.11326842296870022</v>
      </c>
      <c r="Q51" s="419">
        <v>2764.1800000000003</v>
      </c>
      <c r="R51" s="419">
        <v>7.98</v>
      </c>
      <c r="S51" s="419">
        <v>-10989.38</v>
      </c>
      <c r="T51" s="419">
        <f t="shared" si="21"/>
        <v>87715.01</v>
      </c>
      <c r="U51" s="423">
        <f t="shared" si="22"/>
        <v>-0.11292664841104576</v>
      </c>
      <c r="V51" s="420">
        <v>744.22</v>
      </c>
      <c r="W51" s="420">
        <v>0.73</v>
      </c>
      <c r="X51" s="420">
        <v>-2797.23</v>
      </c>
      <c r="Y51" s="420">
        <f t="shared" si="17"/>
        <v>22347.590000000007</v>
      </c>
      <c r="Z51" s="424">
        <f t="shared" si="18"/>
        <v>-0.11291911264259051</v>
      </c>
    </row>
    <row r="52" spans="1:26" ht="11.25" customHeight="1" x14ac:dyDescent="0.3">
      <c r="A52" s="421">
        <f t="shared" si="0"/>
        <v>6</v>
      </c>
      <c r="B52" s="422">
        <v>43466</v>
      </c>
      <c r="C52" s="422">
        <v>43555</v>
      </c>
      <c r="D52" s="410">
        <f t="shared" si="1"/>
        <v>6254.04</v>
      </c>
      <c r="E52" s="352">
        <f t="shared" ref="E52:F52" si="56">I52+N52+S52+X52</f>
        <v>30179.269999999997</v>
      </c>
      <c r="F52" s="352">
        <f t="shared" si="56"/>
        <v>299280.21999999997</v>
      </c>
      <c r="G52" s="296">
        <f t="shared" si="4"/>
        <v>0.11346702287701652</v>
      </c>
      <c r="H52" s="419">
        <v>2642.78</v>
      </c>
      <c r="I52" s="419">
        <v>11936.14</v>
      </c>
      <c r="J52" s="419">
        <f t="shared" si="9"/>
        <v>125584.78000000003</v>
      </c>
      <c r="K52" s="423">
        <f t="shared" si="5"/>
        <v>0.10626219372414082</v>
      </c>
      <c r="L52" s="420">
        <v>434.51</v>
      </c>
      <c r="M52" s="420"/>
      <c r="N52" s="420">
        <v>4462.8500000000004</v>
      </c>
      <c r="O52" s="420">
        <f t="shared" si="6"/>
        <v>46675.809999999976</v>
      </c>
      <c r="P52" s="424">
        <f t="shared" si="7"/>
        <v>0.10626920062420676</v>
      </c>
      <c r="Q52" s="419">
        <v>2359.86</v>
      </c>
      <c r="R52" s="419">
        <v>0</v>
      </c>
      <c r="S52" s="419">
        <v>10975.25</v>
      </c>
      <c r="T52" s="419">
        <f t="shared" si="21"/>
        <v>101050.12</v>
      </c>
      <c r="U52" s="423">
        <f t="shared" si="22"/>
        <v>0.12346315774553648</v>
      </c>
      <c r="V52" s="420">
        <v>816.89</v>
      </c>
      <c r="W52" s="420">
        <v>0</v>
      </c>
      <c r="X52" s="420">
        <v>2805.03</v>
      </c>
      <c r="Y52" s="420">
        <f t="shared" si="17"/>
        <v>25969.510000000006</v>
      </c>
      <c r="Z52" s="424">
        <f t="shared" si="18"/>
        <v>0.12326532280337939</v>
      </c>
    </row>
    <row r="53" spans="1:26" ht="11.25" customHeight="1" x14ac:dyDescent="0.3">
      <c r="A53" s="421">
        <f t="shared" si="0"/>
        <v>39</v>
      </c>
      <c r="B53" s="422">
        <v>43556</v>
      </c>
      <c r="C53" s="422">
        <v>43646</v>
      </c>
      <c r="D53" s="410">
        <f t="shared" si="1"/>
        <v>6406.14</v>
      </c>
      <c r="E53" s="352">
        <f t="shared" ref="E53:F53" si="57">I53+N53+S53+X53</f>
        <v>10419.14</v>
      </c>
      <c r="F53" s="352">
        <f t="shared" si="57"/>
        <v>316095.5</v>
      </c>
      <c r="G53" s="296">
        <f t="shared" si="4"/>
        <v>3.4445340765765935E-2</v>
      </c>
      <c r="H53" s="419">
        <v>2720.5</v>
      </c>
      <c r="I53" s="419">
        <v>4541.88</v>
      </c>
      <c r="J53" s="419">
        <f t="shared" si="9"/>
        <v>132847.16000000003</v>
      </c>
      <c r="K53" s="423">
        <f t="shared" si="5"/>
        <v>3.5778320742450485E-2</v>
      </c>
      <c r="L53" s="420">
        <v>276.60000000000002</v>
      </c>
      <c r="M53" s="420"/>
      <c r="N53" s="420">
        <v>1676.71</v>
      </c>
      <c r="O53" s="420">
        <f t="shared" si="6"/>
        <v>48629.119999999974</v>
      </c>
      <c r="P53" s="424">
        <f t="shared" si="7"/>
        <v>3.5816338279206862E-2</v>
      </c>
      <c r="Q53" s="419">
        <v>2532.42</v>
      </c>
      <c r="R53" s="419">
        <v>-5</v>
      </c>
      <c r="S53" s="419">
        <v>3336.74</v>
      </c>
      <c r="T53" s="419">
        <f t="shared" si="21"/>
        <v>106914.28</v>
      </c>
      <c r="U53" s="423">
        <f t="shared" si="22"/>
        <v>3.2611998495254861E-2</v>
      </c>
      <c r="V53" s="420">
        <v>876.62</v>
      </c>
      <c r="W53" s="420">
        <v>-5</v>
      </c>
      <c r="X53" s="420">
        <v>863.81</v>
      </c>
      <c r="Y53" s="420">
        <f t="shared" si="17"/>
        <v>27704.940000000006</v>
      </c>
      <c r="Z53" s="424">
        <f t="shared" si="18"/>
        <v>3.2710386544591706E-2</v>
      </c>
    </row>
    <row r="54" spans="1:26" ht="11.25" customHeight="1" x14ac:dyDescent="0.3">
      <c r="A54" s="421">
        <f t="shared" si="0"/>
        <v>56</v>
      </c>
      <c r="B54" s="422">
        <v>43647</v>
      </c>
      <c r="C54" s="422">
        <v>43738</v>
      </c>
      <c r="D54" s="410">
        <f t="shared" si="1"/>
        <v>7673.9400000000005</v>
      </c>
      <c r="E54" s="352">
        <f t="shared" ref="E54:F54" si="58">I54+N54+S54+X54</f>
        <v>1434.08</v>
      </c>
      <c r="F54" s="352">
        <f t="shared" si="58"/>
        <v>325193.52</v>
      </c>
      <c r="G54" s="296">
        <f t="shared" si="4"/>
        <v>4.4824459361689677E-3</v>
      </c>
      <c r="H54" s="419">
        <v>2338.65</v>
      </c>
      <c r="I54" s="419">
        <v>572.88</v>
      </c>
      <c r="J54" s="419">
        <f t="shared" si="9"/>
        <v>135758.69000000003</v>
      </c>
      <c r="K54" s="423">
        <f t="shared" si="5"/>
        <v>4.2746979970411832E-3</v>
      </c>
      <c r="L54" s="420">
        <v>774.48</v>
      </c>
      <c r="M54" s="420"/>
      <c r="N54" s="420">
        <v>197.29</v>
      </c>
      <c r="O54" s="420">
        <f t="shared" si="6"/>
        <v>49600.889999999978</v>
      </c>
      <c r="P54" s="424">
        <f t="shared" si="7"/>
        <v>4.024982679252399E-3</v>
      </c>
      <c r="Q54" s="419">
        <v>3388.01</v>
      </c>
      <c r="R54" s="419">
        <v>-5</v>
      </c>
      <c r="S54" s="419">
        <v>525.37</v>
      </c>
      <c r="T54" s="419">
        <f t="shared" si="21"/>
        <v>110822.65999999999</v>
      </c>
      <c r="U54" s="423">
        <f t="shared" si="22"/>
        <v>4.8372921089767694E-3</v>
      </c>
      <c r="V54" s="420">
        <v>1172.8</v>
      </c>
      <c r="W54" s="420">
        <v>-5</v>
      </c>
      <c r="X54" s="420">
        <v>138.54</v>
      </c>
      <c r="Y54" s="420">
        <f t="shared" si="17"/>
        <v>29011.280000000006</v>
      </c>
      <c r="Z54" s="424">
        <f t="shared" si="18"/>
        <v>4.8969048479145898E-3</v>
      </c>
    </row>
    <row r="55" spans="1:26" ht="11.25" customHeight="1" x14ac:dyDescent="0.3">
      <c r="A55" s="421">
        <f t="shared" si="0"/>
        <v>14</v>
      </c>
      <c r="B55" s="427">
        <v>43739</v>
      </c>
      <c r="C55" s="427">
        <v>43830</v>
      </c>
      <c r="D55" s="428">
        <f t="shared" si="1"/>
        <v>7170.0499999999993</v>
      </c>
      <c r="E55" s="429">
        <f t="shared" ref="E55:F55" si="59">I55+N55+S55+X55</f>
        <v>25173.34</v>
      </c>
      <c r="F55" s="429">
        <f t="shared" si="59"/>
        <v>357563.51</v>
      </c>
      <c r="G55" s="296">
        <f t="shared" si="4"/>
        <v>7.6566249175413797E-2</v>
      </c>
      <c r="H55" s="430">
        <v>2373.7199999999998</v>
      </c>
      <c r="I55" s="430">
        <v>9824.64</v>
      </c>
      <c r="J55" s="430">
        <f t="shared" si="9"/>
        <v>147957.05000000005</v>
      </c>
      <c r="K55" s="431">
        <f t="shared" si="5"/>
        <v>7.1741213935027442E-2</v>
      </c>
      <c r="L55" s="432">
        <v>342.79</v>
      </c>
      <c r="M55" s="432"/>
      <c r="N55" s="432">
        <v>3566.35</v>
      </c>
      <c r="O55" s="432">
        <f t="shared" si="6"/>
        <v>53510.029999999977</v>
      </c>
      <c r="P55" s="433">
        <f t="shared" si="7"/>
        <v>7.1653330764299888E-2</v>
      </c>
      <c r="Q55" s="430">
        <v>3308.31</v>
      </c>
      <c r="R55" s="430">
        <v>28.77</v>
      </c>
      <c r="S55" s="430">
        <v>9328.2900000000009</v>
      </c>
      <c r="T55" s="430">
        <f t="shared" si="21"/>
        <v>123488.02999999998</v>
      </c>
      <c r="U55" s="431">
        <f t="shared" si="22"/>
        <v>8.2935225361777914E-2</v>
      </c>
      <c r="V55" s="432">
        <v>1145.23</v>
      </c>
      <c r="W55" s="432">
        <v>-2.17</v>
      </c>
      <c r="X55" s="432">
        <v>2454.06</v>
      </c>
      <c r="Y55" s="432">
        <f t="shared" si="17"/>
        <v>32608.400000000009</v>
      </c>
      <c r="Z55" s="424">
        <f t="shared" si="18"/>
        <v>8.2952565914664017E-2</v>
      </c>
    </row>
    <row r="56" spans="1:26" ht="11.25" customHeight="1" x14ac:dyDescent="0.3">
      <c r="A56" s="421">
        <f t="shared" si="0"/>
        <v>75</v>
      </c>
      <c r="B56" s="422">
        <v>43831</v>
      </c>
      <c r="C56" s="422">
        <v>43921</v>
      </c>
      <c r="D56" s="410">
        <f t="shared" si="1"/>
        <v>7742.6099999999988</v>
      </c>
      <c r="E56" s="352">
        <f t="shared" ref="E56:F56" si="60">I56+N56+S56+X56</f>
        <v>-70829.37</v>
      </c>
      <c r="F56" s="352">
        <f t="shared" si="60"/>
        <v>294466.75</v>
      </c>
      <c r="G56" s="296">
        <f t="shared" si="4"/>
        <v>-0.19596720365745618</v>
      </c>
      <c r="H56" s="419">
        <v>2012.79</v>
      </c>
      <c r="I56" s="419">
        <v>-27147.94</v>
      </c>
      <c r="J56" s="419">
        <f t="shared" si="9"/>
        <v>122821.90000000005</v>
      </c>
      <c r="K56" s="423">
        <f t="shared" si="5"/>
        <v>-0.18224565093805392</v>
      </c>
      <c r="L56" s="420">
        <v>1354.74</v>
      </c>
      <c r="M56" s="420"/>
      <c r="N56" s="420">
        <v>-9790.6200000000008</v>
      </c>
      <c r="O56" s="420">
        <f t="shared" si="6"/>
        <v>45074.149999999972</v>
      </c>
      <c r="P56" s="424">
        <f t="shared" si="7"/>
        <v>-0.18068074866112796</v>
      </c>
      <c r="Q56" s="419">
        <v>3250.02</v>
      </c>
      <c r="R56" s="419">
        <v>-5</v>
      </c>
      <c r="S56" s="419">
        <v>-26778.080000000002</v>
      </c>
      <c r="T56" s="419">
        <f t="shared" si="21"/>
        <v>99954.969999999987</v>
      </c>
      <c r="U56" s="423">
        <f t="shared" si="22"/>
        <v>-0.21403108740703611</v>
      </c>
      <c r="V56" s="420">
        <v>1125.06</v>
      </c>
      <c r="W56" s="420">
        <v>-5</v>
      </c>
      <c r="X56" s="420">
        <v>-7112.73</v>
      </c>
      <c r="Y56" s="420">
        <f t="shared" si="17"/>
        <v>26615.730000000007</v>
      </c>
      <c r="Z56" s="424">
        <f t="shared" si="18"/>
        <v>-0.21442660787623374</v>
      </c>
    </row>
    <row r="57" spans="1:26" ht="11.25" customHeight="1" x14ac:dyDescent="0.3">
      <c r="A57" s="421">
        <f t="shared" si="0"/>
        <v>1</v>
      </c>
      <c r="B57" s="422">
        <v>43922</v>
      </c>
      <c r="C57" s="422">
        <v>44012</v>
      </c>
      <c r="D57" s="410">
        <f t="shared" si="1"/>
        <v>7612.45</v>
      </c>
      <c r="E57" s="352">
        <f t="shared" ref="E57:F57" si="61">I57+N57+S57+X57</f>
        <v>52103.11</v>
      </c>
      <c r="F57" s="352">
        <f t="shared" si="61"/>
        <v>354172.31000000006</v>
      </c>
      <c r="G57" s="296">
        <f t="shared" si="4"/>
        <v>0.17468263760737962</v>
      </c>
      <c r="H57" s="419">
        <v>763.49</v>
      </c>
      <c r="I57" s="419">
        <v>20618.64</v>
      </c>
      <c r="J57" s="419">
        <f t="shared" si="9"/>
        <v>144204.03000000006</v>
      </c>
      <c r="K57" s="423">
        <f t="shared" si="5"/>
        <v>0.16735413956299744</v>
      </c>
      <c r="L57" s="420">
        <v>2473.89</v>
      </c>
      <c r="M57" s="420"/>
      <c r="N57" s="420">
        <v>7704.29</v>
      </c>
      <c r="O57" s="420">
        <f t="shared" si="6"/>
        <v>55252.329999999973</v>
      </c>
      <c r="P57" s="424">
        <f t="shared" si="7"/>
        <v>0.1663594868573072</v>
      </c>
      <c r="Q57" s="419">
        <v>3250.02</v>
      </c>
      <c r="R57" s="419">
        <v>-5</v>
      </c>
      <c r="S57" s="419">
        <v>18764.759999999998</v>
      </c>
      <c r="T57" s="419">
        <f t="shared" si="21"/>
        <v>121964.74999999999</v>
      </c>
      <c r="U57" s="423">
        <f t="shared" si="22"/>
        <v>0.18472892000963184</v>
      </c>
      <c r="V57" s="420">
        <v>1125.05</v>
      </c>
      <c r="W57" s="420">
        <v>-5</v>
      </c>
      <c r="X57" s="420">
        <v>5015.42</v>
      </c>
      <c r="Y57" s="420">
        <f t="shared" si="17"/>
        <v>32751.200000000004</v>
      </c>
      <c r="Z57" s="424">
        <f t="shared" si="18"/>
        <v>0.18453796978503581</v>
      </c>
    </row>
    <row r="58" spans="1:26" ht="11.25" customHeight="1" x14ac:dyDescent="0.3">
      <c r="A58" s="421">
        <f t="shared" si="0"/>
        <v>20</v>
      </c>
      <c r="B58" s="422">
        <v>44013</v>
      </c>
      <c r="C58" s="422">
        <v>44104</v>
      </c>
      <c r="D58" s="410">
        <f t="shared" si="1"/>
        <v>7217.0099999999993</v>
      </c>
      <c r="E58" s="352">
        <f t="shared" ref="E58:F58" si="62">I58+N58+S58+X58</f>
        <v>24573.86</v>
      </c>
      <c r="F58" s="352">
        <f t="shared" si="62"/>
        <v>385953.18</v>
      </c>
      <c r="G58" s="296">
        <f t="shared" si="4"/>
        <v>6.8684118794910778E-2</v>
      </c>
      <c r="H58" s="419">
        <v>2341.29</v>
      </c>
      <c r="I58" s="419">
        <v>9153.7999999999993</v>
      </c>
      <c r="J58" s="419">
        <f t="shared" si="9"/>
        <v>155699.12000000005</v>
      </c>
      <c r="K58" s="423">
        <f t="shared" si="5"/>
        <v>6.2966950742968097E-2</v>
      </c>
      <c r="L58" s="420">
        <v>500.66</v>
      </c>
      <c r="M58" s="420"/>
      <c r="N58" s="420">
        <v>3518.08</v>
      </c>
      <c r="O58" s="420">
        <f t="shared" si="6"/>
        <v>59271.069999999978</v>
      </c>
      <c r="P58" s="424">
        <f t="shared" si="7"/>
        <v>6.3385790879211937E-2</v>
      </c>
      <c r="Q58" s="419">
        <v>3250.02</v>
      </c>
      <c r="R58" s="419">
        <v>-5</v>
      </c>
      <c r="S58" s="419">
        <v>9379.41</v>
      </c>
      <c r="T58" s="419">
        <f t="shared" si="21"/>
        <v>134589.18</v>
      </c>
      <c r="U58" s="423">
        <f t="shared" si="22"/>
        <v>7.5891481624367596E-2</v>
      </c>
      <c r="V58" s="420">
        <v>1125.04</v>
      </c>
      <c r="W58" s="420">
        <v>-5</v>
      </c>
      <c r="X58" s="420">
        <v>2522.5700000000002</v>
      </c>
      <c r="Y58" s="420">
        <f t="shared" si="17"/>
        <v>36393.810000000005</v>
      </c>
      <c r="Z58" s="424">
        <f t="shared" si="18"/>
        <v>7.5721654621579343E-2</v>
      </c>
    </row>
    <row r="59" spans="1:26" ht="11.25" customHeight="1" x14ac:dyDescent="0.3">
      <c r="A59" s="421">
        <f t="shared" si="0"/>
        <v>4</v>
      </c>
      <c r="B59" s="422">
        <v>44105</v>
      </c>
      <c r="C59" s="422">
        <v>44196</v>
      </c>
      <c r="D59" s="410">
        <f t="shared" si="1"/>
        <v>7890.2699999999995</v>
      </c>
      <c r="E59" s="352">
        <f t="shared" ref="E59:F59" si="63">I59+N59+S59+X59</f>
        <v>52550.63</v>
      </c>
      <c r="F59" s="352">
        <f t="shared" si="63"/>
        <v>446432.66000000003</v>
      </c>
      <c r="G59" s="296">
        <f t="shared" si="4"/>
        <v>0.13478034651162829</v>
      </c>
      <c r="H59" s="419">
        <v>3043.98</v>
      </c>
      <c r="I59" s="419">
        <v>20324.8</v>
      </c>
      <c r="J59" s="419">
        <f t="shared" si="9"/>
        <v>179067.90000000005</v>
      </c>
      <c r="K59" s="423">
        <f t="shared" si="5"/>
        <v>0.12927526080944216</v>
      </c>
      <c r="L59" s="420">
        <v>471.22</v>
      </c>
      <c r="M59" s="420"/>
      <c r="N59" s="420">
        <v>7727.21</v>
      </c>
      <c r="O59" s="420">
        <f t="shared" si="6"/>
        <v>67469.499999999985</v>
      </c>
      <c r="P59" s="424">
        <f t="shared" si="7"/>
        <v>0.12985449700773094</v>
      </c>
      <c r="Q59" s="419">
        <v>3250.02</v>
      </c>
      <c r="R59" s="419">
        <v>39.450000000000003</v>
      </c>
      <c r="S59" s="419">
        <v>19269.02</v>
      </c>
      <c r="T59" s="419">
        <f t="shared" si="21"/>
        <v>157147.66999999998</v>
      </c>
      <c r="U59" s="423">
        <f t="shared" si="22"/>
        <v>0.14146117963187241</v>
      </c>
      <c r="V59" s="420">
        <v>1125.05</v>
      </c>
      <c r="W59" s="420">
        <v>-0.87</v>
      </c>
      <c r="X59" s="420">
        <v>5229.6000000000004</v>
      </c>
      <c r="Y59" s="420">
        <f t="shared" si="17"/>
        <v>42747.590000000004</v>
      </c>
      <c r="Z59" s="424">
        <f t="shared" si="18"/>
        <v>0.14150753855868012</v>
      </c>
    </row>
    <row r="60" spans="1:26" ht="11.25" customHeight="1" x14ac:dyDescent="0.3">
      <c r="A60" s="421">
        <f t="shared" si="0"/>
        <v>29</v>
      </c>
      <c r="B60" s="422">
        <v>44197</v>
      </c>
      <c r="C60" s="422">
        <v>44286</v>
      </c>
      <c r="D60" s="410">
        <f t="shared" si="1"/>
        <v>7692.97</v>
      </c>
      <c r="E60" s="352">
        <f t="shared" ref="E60:F60" si="64">I60+N60+S60+X60</f>
        <v>23221.300000000003</v>
      </c>
      <c r="F60" s="352">
        <f t="shared" si="64"/>
        <v>477336.93000000005</v>
      </c>
      <c r="G60" s="296">
        <f t="shared" si="4"/>
        <v>5.1570898314644356E-2</v>
      </c>
      <c r="H60" s="419">
        <v>3135.9</v>
      </c>
      <c r="I60" s="419">
        <v>9365.5400000000009</v>
      </c>
      <c r="J60" s="419">
        <f t="shared" si="9"/>
        <v>191569.34000000005</v>
      </c>
      <c r="K60" s="423">
        <f t="shared" si="5"/>
        <v>5.1847626038795717E-2</v>
      </c>
      <c r="L60" s="420">
        <v>182</v>
      </c>
      <c r="M60" s="420"/>
      <c r="N60" s="420">
        <v>3519.58</v>
      </c>
      <c r="O60" s="420">
        <f t="shared" si="6"/>
        <v>71171.079999999987</v>
      </c>
      <c r="P60" s="424">
        <f t="shared" si="7"/>
        <v>5.2095233161388692E-2</v>
      </c>
      <c r="Q60" s="419">
        <v>3250.02</v>
      </c>
      <c r="R60" s="419">
        <v>-5</v>
      </c>
      <c r="S60" s="419">
        <v>8122.69</v>
      </c>
      <c r="T60" s="419">
        <f t="shared" si="21"/>
        <v>168515.37999999998</v>
      </c>
      <c r="U60" s="423">
        <f t="shared" si="22"/>
        <v>5.1159242257547081E-2</v>
      </c>
      <c r="V60" s="420">
        <v>1125.05</v>
      </c>
      <c r="W60" s="420">
        <v>-5</v>
      </c>
      <c r="X60" s="420">
        <v>2213.4899999999998</v>
      </c>
      <c r="Y60" s="420">
        <f t="shared" si="17"/>
        <v>46081.130000000005</v>
      </c>
      <c r="Z60" s="424">
        <f t="shared" si="18"/>
        <v>5.1107922479540852E-2</v>
      </c>
    </row>
    <row r="61" spans="1:26" ht="11.25" customHeight="1" x14ac:dyDescent="0.3">
      <c r="A61" s="421">
        <f t="shared" si="0"/>
        <v>19</v>
      </c>
      <c r="B61" s="422">
        <v>44287</v>
      </c>
      <c r="C61" s="422">
        <v>44377</v>
      </c>
      <c r="D61" s="410">
        <f t="shared" si="1"/>
        <v>9395.75</v>
      </c>
      <c r="E61" s="352">
        <f t="shared" ref="E61:F61" si="65">I61+N61+S61+X61</f>
        <v>33364.39</v>
      </c>
      <c r="F61" s="352">
        <f t="shared" si="65"/>
        <v>520087.07</v>
      </c>
      <c r="G61" s="296">
        <f t="shared" si="4"/>
        <v>6.9215728104944613E-2</v>
      </c>
      <c r="H61" s="419">
        <v>3722.18</v>
      </c>
      <c r="I61" s="419">
        <v>13315.57</v>
      </c>
      <c r="J61" s="419">
        <f t="shared" si="9"/>
        <v>208607.09000000005</v>
      </c>
      <c r="K61" s="423">
        <f t="shared" si="5"/>
        <v>6.8839065290812809E-2</v>
      </c>
      <c r="L61" s="420">
        <v>1152.69</v>
      </c>
      <c r="M61" s="420"/>
      <c r="N61" s="420">
        <v>4935.9399999999996</v>
      </c>
      <c r="O61" s="420">
        <f t="shared" si="6"/>
        <v>77259.709999999992</v>
      </c>
      <c r="P61" s="424">
        <f t="shared" si="7"/>
        <v>6.8796057837615776E-2</v>
      </c>
      <c r="Q61" s="419">
        <v>3358.36</v>
      </c>
      <c r="R61" s="419">
        <v>-5</v>
      </c>
      <c r="S61" s="419">
        <v>11862.74</v>
      </c>
      <c r="T61" s="419">
        <f t="shared" si="21"/>
        <v>183731.47999999995</v>
      </c>
      <c r="U61" s="423">
        <f t="shared" si="22"/>
        <v>6.9701052724599435E-2</v>
      </c>
      <c r="V61" s="420">
        <v>1162.52</v>
      </c>
      <c r="W61" s="420">
        <v>-5</v>
      </c>
      <c r="X61" s="420">
        <v>3250.14</v>
      </c>
      <c r="Y61" s="420">
        <f t="shared" si="17"/>
        <v>50488.79</v>
      </c>
      <c r="Z61" s="424">
        <f t="shared" si="18"/>
        <v>6.9652240273162164E-2</v>
      </c>
    </row>
    <row r="62" spans="1:26" ht="11.25" customHeight="1" x14ac:dyDescent="0.3">
      <c r="A62" s="421">
        <f t="shared" si="0"/>
        <v>60</v>
      </c>
      <c r="B62" s="422">
        <v>44378</v>
      </c>
      <c r="C62" s="422">
        <v>44469</v>
      </c>
      <c r="D62" s="410">
        <f t="shared" si="1"/>
        <v>8662.85</v>
      </c>
      <c r="E62" s="352">
        <f t="shared" ref="E62:F62" si="66">I62+N62+S62+X62</f>
        <v>-2806.3399999999997</v>
      </c>
      <c r="F62" s="352">
        <f t="shared" si="66"/>
        <v>525933.58000000007</v>
      </c>
      <c r="G62" s="296">
        <f t="shared" si="4"/>
        <v>-5.351336817363773E-3</v>
      </c>
      <c r="H62" s="419">
        <v>3263.16</v>
      </c>
      <c r="I62" s="419">
        <v>-830.29</v>
      </c>
      <c r="J62" s="419">
        <f t="shared" si="9"/>
        <v>211039.96000000005</v>
      </c>
      <c r="K62" s="423">
        <f t="shared" si="5"/>
        <v>-3.9492734614426537E-3</v>
      </c>
      <c r="L62" s="420">
        <v>667.35</v>
      </c>
      <c r="M62" s="420"/>
      <c r="N62" s="420">
        <v>-288.94</v>
      </c>
      <c r="O62" s="420">
        <f t="shared" si="6"/>
        <v>77638.12</v>
      </c>
      <c r="P62" s="424">
        <f t="shared" si="7"/>
        <v>-3.7237710405339324E-3</v>
      </c>
      <c r="Q62" s="419">
        <v>3515.44</v>
      </c>
      <c r="R62" s="419">
        <v>-5</v>
      </c>
      <c r="S62" s="419">
        <v>-1319.84</v>
      </c>
      <c r="T62" s="419">
        <f t="shared" si="21"/>
        <v>185922.07999999996</v>
      </c>
      <c r="U62" s="423">
        <f t="shared" si="22"/>
        <v>-7.1154547003275679E-3</v>
      </c>
      <c r="V62" s="420">
        <v>1216.9000000000001</v>
      </c>
      <c r="W62" s="420">
        <v>-5</v>
      </c>
      <c r="X62" s="420">
        <v>-367.27</v>
      </c>
      <c r="Y62" s="420">
        <f t="shared" si="17"/>
        <v>51333.420000000006</v>
      </c>
      <c r="Z62" s="424">
        <f t="shared" si="18"/>
        <v>-7.1876680619148902E-3</v>
      </c>
    </row>
    <row r="63" spans="1:26" ht="11.25" customHeight="1" x14ac:dyDescent="0.3">
      <c r="A63" s="421">
        <f t="shared" si="0"/>
        <v>23</v>
      </c>
      <c r="B63" s="422">
        <v>44470</v>
      </c>
      <c r="C63" s="422">
        <v>44561</v>
      </c>
      <c r="D63" s="410">
        <f t="shared" si="1"/>
        <v>9311.3900000000012</v>
      </c>
      <c r="E63" s="352">
        <f t="shared" ref="E63:F63" si="67">I63+N63+S63+X63</f>
        <v>34528.080000000002</v>
      </c>
      <c r="F63" s="352">
        <f t="shared" si="67"/>
        <v>569814.69000000006</v>
      </c>
      <c r="G63" s="296">
        <f t="shared" si="4"/>
        <v>6.507496782704475E-2</v>
      </c>
      <c r="H63" s="419">
        <v>3879.38</v>
      </c>
      <c r="I63" s="419">
        <v>13905.92</v>
      </c>
      <c r="J63" s="419">
        <f t="shared" si="9"/>
        <v>228825.26000000007</v>
      </c>
      <c r="K63" s="423">
        <f t="shared" si="5"/>
        <v>6.5292247404857673E-2</v>
      </c>
      <c r="L63" s="420">
        <v>371.59</v>
      </c>
      <c r="M63" s="420"/>
      <c r="N63" s="420">
        <v>5097.01</v>
      </c>
      <c r="O63" s="420">
        <f t="shared" si="6"/>
        <v>83106.719999999987</v>
      </c>
      <c r="P63" s="424">
        <f t="shared" si="7"/>
        <v>6.5494135061182679E-2</v>
      </c>
      <c r="Q63" s="419">
        <v>3759.15</v>
      </c>
      <c r="R63" s="419">
        <v>43.2</v>
      </c>
      <c r="S63" s="419">
        <v>12162.04</v>
      </c>
      <c r="T63" s="419">
        <f t="shared" si="21"/>
        <v>201886.46999999997</v>
      </c>
      <c r="U63" s="423">
        <f t="shared" si="22"/>
        <v>6.4760025677090022E-2</v>
      </c>
      <c r="V63" s="420">
        <v>1301.27</v>
      </c>
      <c r="W63" s="420">
        <v>-1.56</v>
      </c>
      <c r="X63" s="420">
        <v>3363.11</v>
      </c>
      <c r="Y63" s="420">
        <f t="shared" si="17"/>
        <v>55996.240000000005</v>
      </c>
      <c r="Z63" s="424">
        <f t="shared" si="18"/>
        <v>6.4695030043346938E-2</v>
      </c>
    </row>
    <row r="64" spans="1:26" ht="11.25" customHeight="1" x14ac:dyDescent="0.3">
      <c r="A64" s="421">
        <f t="shared" si="0"/>
        <v>69</v>
      </c>
      <c r="B64" s="422">
        <v>44562</v>
      </c>
      <c r="C64" s="422">
        <v>44651</v>
      </c>
      <c r="D64" s="410">
        <f t="shared" si="1"/>
        <v>8989.7800000000007</v>
      </c>
      <c r="E64" s="352">
        <f t="shared" ref="E64:F64" si="68">I64+N64+S64+X64</f>
        <v>-33020.32</v>
      </c>
      <c r="F64" s="352">
        <f t="shared" si="68"/>
        <v>545774.14999999991</v>
      </c>
      <c r="G64" s="296">
        <f t="shared" si="4"/>
        <v>-5.7495680291455339E-2</v>
      </c>
      <c r="H64" s="419">
        <v>3295.8</v>
      </c>
      <c r="I64" s="419">
        <v>-13162.7</v>
      </c>
      <c r="J64" s="419">
        <f t="shared" si="9"/>
        <v>218958.36000000004</v>
      </c>
      <c r="K64" s="423">
        <f t="shared" si="5"/>
        <v>-5.7111639377010311E-2</v>
      </c>
      <c r="L64" s="420">
        <v>508.81</v>
      </c>
      <c r="M64" s="420"/>
      <c r="N64" s="420">
        <v>-4788.0200000000004</v>
      </c>
      <c r="O64" s="420">
        <f t="shared" si="6"/>
        <v>78827.50999999998</v>
      </c>
      <c r="P64" s="424">
        <f t="shared" si="7"/>
        <v>-5.7437084732241815E-2</v>
      </c>
      <c r="Q64" s="419">
        <v>3851.81</v>
      </c>
      <c r="R64" s="419">
        <v>-5</v>
      </c>
      <c r="S64" s="419">
        <v>-11799.38</v>
      </c>
      <c r="T64" s="419">
        <f t="shared" si="21"/>
        <v>193933.89999999997</v>
      </c>
      <c r="U64" s="423">
        <f t="shared" si="22"/>
        <v>-5.7893344307478882E-2</v>
      </c>
      <c r="V64" s="420">
        <v>1333.36</v>
      </c>
      <c r="W64" s="420">
        <v>-5</v>
      </c>
      <c r="X64" s="420">
        <v>-3270.22</v>
      </c>
      <c r="Y64" s="420">
        <f t="shared" si="17"/>
        <v>54054.380000000005</v>
      </c>
      <c r="Z64" s="424">
        <f t="shared" si="18"/>
        <v>-5.7713580592034429E-2</v>
      </c>
    </row>
    <row r="65" spans="1:26" ht="11.25" customHeight="1" x14ac:dyDescent="0.3">
      <c r="A65" s="421">
        <f t="shared" si="0"/>
        <v>73</v>
      </c>
      <c r="B65" s="427">
        <v>44652</v>
      </c>
      <c r="C65" s="427">
        <v>44742</v>
      </c>
      <c r="D65" s="428">
        <f t="shared" si="1"/>
        <v>9559.6299999999992</v>
      </c>
      <c r="E65" s="429">
        <f t="shared" ref="E65:F65" si="69">I65+N65+S65+X65</f>
        <v>-81085.710000000006</v>
      </c>
      <c r="F65" s="429">
        <f t="shared" si="69"/>
        <v>474238.07</v>
      </c>
      <c r="G65" s="434">
        <f t="shared" si="4"/>
        <v>-0.14728022165819846</v>
      </c>
      <c r="H65" s="430">
        <v>3845.1</v>
      </c>
      <c r="I65" s="430">
        <v>-32359.85</v>
      </c>
      <c r="J65" s="430">
        <f t="shared" si="9"/>
        <v>190443.61000000004</v>
      </c>
      <c r="K65" s="431">
        <f t="shared" si="5"/>
        <v>-0.14650360685312278</v>
      </c>
      <c r="L65" s="432">
        <v>572.42999999999995</v>
      </c>
      <c r="M65" s="432"/>
      <c r="N65" s="432">
        <v>-11601.04</v>
      </c>
      <c r="O65" s="432">
        <f t="shared" si="6"/>
        <v>67798.899999999965</v>
      </c>
      <c r="P65" s="433">
        <f t="shared" si="7"/>
        <v>-0.14663751453998664</v>
      </c>
      <c r="Q65" s="430">
        <v>3819.84</v>
      </c>
      <c r="R65" s="430">
        <v>-5</v>
      </c>
      <c r="S65" s="430">
        <v>-29017.27</v>
      </c>
      <c r="T65" s="430">
        <f t="shared" si="21"/>
        <v>168731.46999999997</v>
      </c>
      <c r="U65" s="431">
        <f t="shared" si="22"/>
        <v>-0.14816535951964174</v>
      </c>
      <c r="V65" s="432">
        <v>1322.26</v>
      </c>
      <c r="W65" s="432">
        <v>-5</v>
      </c>
      <c r="X65" s="432">
        <v>-8107.55</v>
      </c>
      <c r="Y65" s="432">
        <f t="shared" si="17"/>
        <v>47264.090000000004</v>
      </c>
      <c r="Z65" s="433">
        <f t="shared" si="18"/>
        <v>-0.14817644941991767</v>
      </c>
    </row>
    <row r="66" spans="1:26" ht="11.25" customHeight="1" x14ac:dyDescent="0.3">
      <c r="A66" s="421">
        <f t="shared" si="0"/>
        <v>68</v>
      </c>
      <c r="B66" s="422">
        <v>44743</v>
      </c>
      <c r="C66" s="422">
        <v>44834</v>
      </c>
      <c r="D66" s="410">
        <f t="shared" si="1"/>
        <v>9265.27</v>
      </c>
      <c r="E66" s="352">
        <f t="shared" ref="E66:F66" si="70">I66+N66+S66+X66</f>
        <v>-25104.760000000002</v>
      </c>
      <c r="F66" s="352">
        <f t="shared" si="70"/>
        <v>458388.58</v>
      </c>
      <c r="G66" s="296">
        <f t="shared" si="4"/>
        <v>-5.2424923341259727E-2</v>
      </c>
      <c r="H66" s="419">
        <v>3380.7</v>
      </c>
      <c r="I66" s="419">
        <v>-9909.2900000000009</v>
      </c>
      <c r="J66" s="419">
        <f t="shared" si="9"/>
        <v>183915.02000000005</v>
      </c>
      <c r="K66" s="423">
        <f t="shared" si="5"/>
        <v>-5.1574901178323695E-2</v>
      </c>
      <c r="L66" s="420">
        <v>477.07</v>
      </c>
      <c r="M66" s="420"/>
      <c r="N66" s="420">
        <v>-3445.67</v>
      </c>
      <c r="O66" s="420">
        <f t="shared" si="6"/>
        <v>64830.299999999974</v>
      </c>
      <c r="P66" s="424">
        <f t="shared" si="7"/>
        <v>-5.0643737524790608E-2</v>
      </c>
      <c r="Q66" s="419">
        <v>4017</v>
      </c>
      <c r="R66" s="419">
        <v>-5</v>
      </c>
      <c r="S66" s="419">
        <v>-9161.0300000000007</v>
      </c>
      <c r="T66" s="419">
        <f t="shared" si="21"/>
        <v>163582.43999999997</v>
      </c>
      <c r="U66" s="423">
        <f t="shared" si="22"/>
        <v>-5.3654864763066329E-2</v>
      </c>
      <c r="V66" s="420">
        <v>1390.5</v>
      </c>
      <c r="W66" s="420">
        <v>-5</v>
      </c>
      <c r="X66" s="420">
        <v>-2588.77</v>
      </c>
      <c r="Y66" s="420">
        <f t="shared" si="17"/>
        <v>46060.820000000007</v>
      </c>
      <c r="Z66" s="424">
        <f t="shared" si="18"/>
        <v>-5.3978432563917683E-2</v>
      </c>
    </row>
    <row r="67" spans="1:26" ht="11.25" customHeight="1" x14ac:dyDescent="0.3">
      <c r="A67" s="421">
        <f t="shared" si="0"/>
        <v>16</v>
      </c>
      <c r="B67" s="422">
        <v>44835</v>
      </c>
      <c r="C67" s="422">
        <v>44926</v>
      </c>
      <c r="D67" s="410">
        <f t="shared" si="1"/>
        <v>9930.630000000001</v>
      </c>
      <c r="E67" s="352">
        <f t="shared" ref="E67:F67" si="71">I67+N67+S67+X67</f>
        <v>33263.85</v>
      </c>
      <c r="F67" s="352">
        <f t="shared" si="71"/>
        <v>501614.6</v>
      </c>
      <c r="G67" s="296">
        <f t="shared" si="4"/>
        <v>7.1789296170694752E-2</v>
      </c>
      <c r="H67" s="419">
        <v>4014.32</v>
      </c>
      <c r="I67" s="419">
        <v>13678.97</v>
      </c>
      <c r="J67" s="419">
        <f t="shared" si="9"/>
        <v>201608.31000000006</v>
      </c>
      <c r="K67" s="423">
        <f t="shared" si="5"/>
        <v>7.3573631720540253E-2</v>
      </c>
      <c r="L67" s="420">
        <v>508.81</v>
      </c>
      <c r="M67" s="420"/>
      <c r="N67" s="420">
        <v>4811.8999999999996</v>
      </c>
      <c r="O67" s="420">
        <f t="shared" si="6"/>
        <v>70151.009999999966</v>
      </c>
      <c r="P67" s="424">
        <f t="shared" si="7"/>
        <v>7.3932884845986493E-2</v>
      </c>
      <c r="Q67" s="419">
        <v>4017</v>
      </c>
      <c r="R67" s="419">
        <v>34.32</v>
      </c>
      <c r="S67" s="419">
        <v>11526.26</v>
      </c>
      <c r="T67" s="419">
        <f t="shared" si="21"/>
        <v>179160.02</v>
      </c>
      <c r="U67" s="423">
        <f t="shared" si="22"/>
        <v>6.9606827523293252E-2</v>
      </c>
      <c r="V67" s="420">
        <v>1390.5</v>
      </c>
      <c r="W67" s="420">
        <v>-2.78</v>
      </c>
      <c r="X67" s="420">
        <v>3246.72</v>
      </c>
      <c r="Y67" s="420">
        <f t="shared" si="17"/>
        <v>50695.260000000009</v>
      </c>
      <c r="Z67" s="424">
        <f t="shared" si="18"/>
        <v>6.9439540149546342E-2</v>
      </c>
    </row>
    <row r="68" spans="1:26" ht="11.25" customHeight="1" x14ac:dyDescent="0.3">
      <c r="A68" s="421">
        <f t="shared" si="0"/>
        <v>22</v>
      </c>
      <c r="B68" s="427">
        <v>44927</v>
      </c>
      <c r="C68" s="427">
        <v>45016</v>
      </c>
      <c r="D68" s="428">
        <f t="shared" si="1"/>
        <v>12386.3</v>
      </c>
      <c r="E68" s="429">
        <f t="shared" ref="E68:F68" si="72">I68+N68+S68+X68</f>
        <v>33062.86</v>
      </c>
      <c r="F68" s="429">
        <f t="shared" si="72"/>
        <v>547053.76</v>
      </c>
      <c r="G68" s="434">
        <f t="shared" si="4"/>
        <v>6.5109010250434349E-2</v>
      </c>
      <c r="H68" s="430">
        <v>4901.84</v>
      </c>
      <c r="I68" s="430">
        <v>13482.75</v>
      </c>
      <c r="J68" s="430">
        <f t="shared" si="9"/>
        <v>219992.90000000005</v>
      </c>
      <c r="K68" s="431">
        <f t="shared" si="5"/>
        <v>6.6072728001570893E-2</v>
      </c>
      <c r="L68" s="432">
        <v>531.96</v>
      </c>
      <c r="M68" s="432"/>
      <c r="N68" s="432">
        <v>4673.3</v>
      </c>
      <c r="O68" s="432">
        <f t="shared" si="6"/>
        <v>75356.269999999975</v>
      </c>
      <c r="P68" s="433">
        <f t="shared" si="7"/>
        <v>6.6366085798327965E-2</v>
      </c>
      <c r="Q68" s="430">
        <v>5562</v>
      </c>
      <c r="R68" s="430">
        <v>-5</v>
      </c>
      <c r="S68" s="430">
        <v>11622.05</v>
      </c>
      <c r="T68" s="430">
        <f t="shared" si="21"/>
        <v>196339.06999999998</v>
      </c>
      <c r="U68" s="431">
        <f t="shared" si="22"/>
        <v>6.3878118304492304E-2</v>
      </c>
      <c r="V68" s="432">
        <v>1390.5</v>
      </c>
      <c r="W68" s="432">
        <v>-5</v>
      </c>
      <c r="X68" s="432">
        <v>3284.76</v>
      </c>
      <c r="Y68" s="432">
        <f t="shared" si="17"/>
        <v>55365.520000000011</v>
      </c>
      <c r="Z68" s="433">
        <f t="shared" si="18"/>
        <v>6.3917637711709802E-2</v>
      </c>
    </row>
    <row r="69" spans="1:26" ht="11.25" customHeight="1" x14ac:dyDescent="0.3">
      <c r="A69" s="421">
        <f t="shared" si="0"/>
        <v>25</v>
      </c>
      <c r="B69" s="422">
        <v>45017</v>
      </c>
      <c r="C69" s="422">
        <v>45107</v>
      </c>
      <c r="D69" s="410">
        <f t="shared" si="1"/>
        <v>14328.099999999999</v>
      </c>
      <c r="E69" s="352">
        <f t="shared" ref="E69:F69" si="73">I69+N69+S69+X69</f>
        <v>34397.699999999997</v>
      </c>
      <c r="F69" s="352">
        <f t="shared" si="73"/>
        <v>595769.56000000006</v>
      </c>
      <c r="G69" s="296">
        <f t="shared" si="4"/>
        <v>6.2065309665887483E-2</v>
      </c>
      <c r="H69" s="419">
        <v>6041</v>
      </c>
      <c r="I69" s="419">
        <v>13966.9</v>
      </c>
      <c r="J69" s="419">
        <f t="shared" si="9"/>
        <v>240000.80000000005</v>
      </c>
      <c r="K69" s="423">
        <f t="shared" si="5"/>
        <v>6.2628075263638852E-2</v>
      </c>
      <c r="L69" s="420">
        <v>721.98</v>
      </c>
      <c r="M69" s="420"/>
      <c r="N69" s="420">
        <v>4714.47</v>
      </c>
      <c r="O69" s="420">
        <f t="shared" si="6"/>
        <v>80792.719999999972</v>
      </c>
      <c r="P69" s="424">
        <f t="shared" si="7"/>
        <v>6.2264138982313963E-2</v>
      </c>
      <c r="Q69" s="419">
        <v>6052.07</v>
      </c>
      <c r="R69" s="419">
        <v>-5</v>
      </c>
      <c r="S69" s="419">
        <v>12265.99</v>
      </c>
      <c r="T69" s="419">
        <f t="shared" si="21"/>
        <v>214652.12999999998</v>
      </c>
      <c r="U69" s="423">
        <f t="shared" si="22"/>
        <v>6.1525260401011507E-2</v>
      </c>
      <c r="V69" s="420">
        <v>1513.05</v>
      </c>
      <c r="W69" s="420">
        <v>-5</v>
      </c>
      <c r="X69" s="420">
        <v>3450.34</v>
      </c>
      <c r="Y69" s="420">
        <f t="shared" si="17"/>
        <v>60323.910000000018</v>
      </c>
      <c r="Z69" s="424">
        <f t="shared" si="18"/>
        <v>6.1479227993206577E-2</v>
      </c>
    </row>
    <row r="70" spans="1:26" ht="11.25" customHeight="1" x14ac:dyDescent="0.3">
      <c r="A70" s="421">
        <f t="shared" si="0"/>
        <v>66</v>
      </c>
      <c r="B70" s="427">
        <v>45108</v>
      </c>
      <c r="C70" s="427">
        <v>45199</v>
      </c>
      <c r="D70" s="428">
        <f t="shared" si="1"/>
        <v>8695.1500000000015</v>
      </c>
      <c r="E70" s="429">
        <f t="shared" ref="E70:F70" si="74">I70+N70+S70+X70</f>
        <v>-20377.89</v>
      </c>
      <c r="F70" s="429">
        <f t="shared" si="74"/>
        <v>584076.81999999995</v>
      </c>
      <c r="G70" s="434">
        <f t="shared" si="4"/>
        <v>-3.3956520838219359E-2</v>
      </c>
      <c r="H70" s="430">
        <v>2705.4</v>
      </c>
      <c r="I70" s="430">
        <v>-8220.6</v>
      </c>
      <c r="J70" s="430">
        <f t="shared" si="9"/>
        <v>234485.60000000003</v>
      </c>
      <c r="K70" s="431">
        <f t="shared" si="5"/>
        <v>-3.4060413459924957E-2</v>
      </c>
      <c r="L70" s="432">
        <v>569.95000000000005</v>
      </c>
      <c r="M70" s="432"/>
      <c r="N70" s="432">
        <v>-2746.93</v>
      </c>
      <c r="O70" s="432">
        <f t="shared" si="6"/>
        <v>78615.739999999976</v>
      </c>
      <c r="P70" s="433">
        <f t="shared" si="7"/>
        <v>-3.388021822771356E-2</v>
      </c>
      <c r="Q70" s="430">
        <v>3879.36</v>
      </c>
      <c r="R70" s="430">
        <v>-5</v>
      </c>
      <c r="S70" s="430">
        <v>-7333.51</v>
      </c>
      <c r="T70" s="430">
        <f t="shared" si="21"/>
        <v>211192.97999999995</v>
      </c>
      <c r="U70" s="431">
        <f t="shared" si="22"/>
        <v>-3.3858667139814759E-2</v>
      </c>
      <c r="V70" s="432">
        <v>1540.44</v>
      </c>
      <c r="W70" s="432">
        <v>-5</v>
      </c>
      <c r="X70" s="432">
        <v>-2076.85</v>
      </c>
      <c r="Y70" s="432">
        <f t="shared" si="17"/>
        <v>59782.500000000022</v>
      </c>
      <c r="Z70" s="433">
        <f t="shared" si="18"/>
        <v>-3.3994264260739933E-2</v>
      </c>
    </row>
    <row r="71" spans="1:26" ht="11.25" customHeight="1" x14ac:dyDescent="0.3">
      <c r="A71" s="421">
        <f t="shared" si="0"/>
        <v>5</v>
      </c>
      <c r="B71" s="427">
        <v>45200</v>
      </c>
      <c r="C71" s="427">
        <v>45291</v>
      </c>
      <c r="D71" s="428">
        <f t="shared" si="1"/>
        <v>7745.54</v>
      </c>
      <c r="E71" s="429">
        <f t="shared" ref="E71:F71" si="75">I71+N71+S71+X71</f>
        <v>67381.100000000006</v>
      </c>
      <c r="F71" s="429">
        <f t="shared" si="75"/>
        <v>659246.27</v>
      </c>
      <c r="G71" s="434">
        <f t="shared" si="4"/>
        <v>0.11460353259196934</v>
      </c>
      <c r="H71" s="430">
        <v>2525.04</v>
      </c>
      <c r="I71" s="430">
        <v>26988.77</v>
      </c>
      <c r="J71" s="430">
        <f t="shared" si="9"/>
        <v>263999.41000000003</v>
      </c>
      <c r="K71" s="431">
        <f t="shared" si="5"/>
        <v>0.11448137953337655</v>
      </c>
      <c r="L71" s="432">
        <v>259.39999999999998</v>
      </c>
      <c r="M71" s="432"/>
      <c r="N71" s="432">
        <v>9008.08</v>
      </c>
      <c r="O71" s="432">
        <f t="shared" si="6"/>
        <v>87883.219999999972</v>
      </c>
      <c r="P71" s="433">
        <f t="shared" si="7"/>
        <v>0.11439494147216656</v>
      </c>
      <c r="Q71" s="430">
        <v>3421.44</v>
      </c>
      <c r="R71" s="430">
        <v>43.83</v>
      </c>
      <c r="S71" s="430">
        <v>24426.68</v>
      </c>
      <c r="T71" s="430">
        <f t="shared" si="21"/>
        <v>239084.92999999993</v>
      </c>
      <c r="U71" s="431">
        <f t="shared" si="22"/>
        <v>0.11473112022008075</v>
      </c>
      <c r="V71" s="432">
        <v>1539.66</v>
      </c>
      <c r="W71" s="432">
        <v>-1.02</v>
      </c>
      <c r="X71" s="432">
        <v>6957.57</v>
      </c>
      <c r="Y71" s="432">
        <f t="shared" si="17"/>
        <v>68278.710000000021</v>
      </c>
      <c r="Z71" s="433">
        <f t="shared" si="18"/>
        <v>0.11490177174024513</v>
      </c>
    </row>
    <row r="72" spans="1:26" ht="11.25" customHeight="1" x14ac:dyDescent="0.3">
      <c r="A72" s="421">
        <f t="shared" si="0"/>
        <v>15</v>
      </c>
      <c r="B72" s="427">
        <v>45292</v>
      </c>
      <c r="C72" s="427">
        <v>45382</v>
      </c>
      <c r="D72" s="428">
        <f t="shared" si="1"/>
        <v>7595.43</v>
      </c>
      <c r="E72" s="429">
        <f t="shared" ref="E72:F72" si="76">I72+N72+S72+X72</f>
        <v>49773.11</v>
      </c>
      <c r="F72" s="429">
        <f t="shared" si="76"/>
        <v>716604.80999999994</v>
      </c>
      <c r="G72" s="434">
        <f t="shared" si="4"/>
        <v>7.5067583940151422E-2</v>
      </c>
      <c r="H72" s="430">
        <v>2164.3200000000002</v>
      </c>
      <c r="I72" s="430">
        <v>20180.509999999998</v>
      </c>
      <c r="J72" s="430">
        <f t="shared" si="9"/>
        <v>286344.24000000005</v>
      </c>
      <c r="K72" s="431">
        <f t="shared" si="5"/>
        <v>7.6129434422770315E-2</v>
      </c>
      <c r="L72" s="432">
        <v>327.45999999999998</v>
      </c>
      <c r="M72" s="432"/>
      <c r="N72" s="432">
        <v>6689.22</v>
      </c>
      <c r="O72" s="432">
        <f t="shared" si="6"/>
        <v>94899.89999999998</v>
      </c>
      <c r="P72" s="433">
        <f t="shared" si="7"/>
        <v>7.597333013806841E-2</v>
      </c>
      <c r="Q72" s="430">
        <v>3421.44</v>
      </c>
      <c r="R72" s="430">
        <v>-5</v>
      </c>
      <c r="S72" s="430">
        <v>17786.68</v>
      </c>
      <c r="T72" s="430">
        <f t="shared" si="21"/>
        <v>260288.04999999993</v>
      </c>
      <c r="U72" s="431">
        <f t="shared" si="22"/>
        <v>7.3866284544592084E-2</v>
      </c>
      <c r="V72" s="432">
        <v>1682.21</v>
      </c>
      <c r="W72" s="432">
        <v>-5</v>
      </c>
      <c r="X72" s="432">
        <v>5116.7</v>
      </c>
      <c r="Y72" s="432">
        <f t="shared" si="17"/>
        <v>75072.620000000024</v>
      </c>
      <c r="Z72" s="433">
        <f t="shared" si="18"/>
        <v>7.402652915086648E-2</v>
      </c>
    </row>
    <row r="73" spans="1:26" ht="11.25" customHeight="1" x14ac:dyDescent="0.3">
      <c r="A73" s="421">
        <f t="shared" si="0"/>
        <v>46</v>
      </c>
      <c r="B73" s="422">
        <v>45383</v>
      </c>
      <c r="C73" s="422">
        <v>45473</v>
      </c>
      <c r="D73" s="410">
        <f t="shared" si="1"/>
        <v>8308.86</v>
      </c>
      <c r="E73" s="352">
        <f t="shared" ref="E73:F73" si="77">I73+N73+S73+X73</f>
        <v>12647.249999999998</v>
      </c>
      <c r="F73" s="352">
        <f t="shared" si="77"/>
        <v>737550.92</v>
      </c>
      <c r="G73" s="296">
        <f t="shared" si="4"/>
        <v>1.7547121560314644E-2</v>
      </c>
      <c r="H73" s="419">
        <v>2525.04</v>
      </c>
      <c r="I73" s="419">
        <v>4888.4399999999996</v>
      </c>
      <c r="J73" s="419">
        <f t="shared" si="9"/>
        <v>293757.72000000003</v>
      </c>
      <c r="K73" s="423">
        <f t="shared" si="5"/>
        <v>1.6996957929639758E-2</v>
      </c>
      <c r="L73" s="420">
        <v>600.34</v>
      </c>
      <c r="M73" s="420"/>
      <c r="N73" s="420">
        <v>1614.03</v>
      </c>
      <c r="O73" s="420">
        <f t="shared" si="6"/>
        <v>97114.269999999975</v>
      </c>
      <c r="P73" s="424">
        <f t="shared" si="7"/>
        <v>1.6954084172417103E-2</v>
      </c>
      <c r="Q73" s="419">
        <v>3455.64</v>
      </c>
      <c r="R73" s="419">
        <v>-5</v>
      </c>
      <c r="S73" s="419">
        <v>4756.29</v>
      </c>
      <c r="T73" s="419">
        <f t="shared" si="21"/>
        <v>268494.97999999992</v>
      </c>
      <c r="U73" s="423">
        <f t="shared" si="22"/>
        <v>1.8152679072454662E-2</v>
      </c>
      <c r="V73" s="420">
        <v>1727.84</v>
      </c>
      <c r="W73" s="420">
        <v>-5</v>
      </c>
      <c r="X73" s="420">
        <v>1388.49</v>
      </c>
      <c r="Y73" s="420">
        <f t="shared" si="17"/>
        <v>78183.950000000026</v>
      </c>
      <c r="Z73" s="424">
        <f t="shared" si="18"/>
        <v>1.8284873132223295E-2</v>
      </c>
    </row>
    <row r="74" spans="1:26" ht="11.25" customHeight="1" x14ac:dyDescent="0.3">
      <c r="A74" s="421">
        <f t="shared" si="0"/>
        <v>24</v>
      </c>
      <c r="B74" s="422">
        <v>45474</v>
      </c>
      <c r="C74" s="422">
        <v>45565</v>
      </c>
      <c r="D74" s="410">
        <f t="shared" si="1"/>
        <v>8470.7900000000009</v>
      </c>
      <c r="E74" s="352">
        <f t="shared" ref="E74:F74" si="78">I74+N74+S74+X74</f>
        <v>47123.93</v>
      </c>
      <c r="F74" s="352">
        <f t="shared" si="78"/>
        <v>793135.6399999999</v>
      </c>
      <c r="G74" s="296">
        <f t="shared" si="4"/>
        <v>6.3527634639633374E-2</v>
      </c>
      <c r="H74" s="419">
        <v>2651.04</v>
      </c>
      <c r="I74" s="419">
        <v>18444.8</v>
      </c>
      <c r="J74" s="419">
        <f t="shared" si="9"/>
        <v>314853.56</v>
      </c>
      <c r="K74" s="423">
        <f t="shared" si="5"/>
        <v>6.2507108163784547E-2</v>
      </c>
      <c r="L74" s="420">
        <v>518.47</v>
      </c>
      <c r="M74" s="420"/>
      <c r="N74" s="420">
        <v>6088.4</v>
      </c>
      <c r="O74" s="420">
        <f t="shared" si="6"/>
        <v>103721.13999999997</v>
      </c>
      <c r="P74" s="424">
        <f t="shared" si="7"/>
        <v>6.252624879837694E-2</v>
      </c>
      <c r="Q74" s="419">
        <v>3534.15</v>
      </c>
      <c r="R74" s="419">
        <v>-5</v>
      </c>
      <c r="S74" s="419">
        <v>17468.02</v>
      </c>
      <c r="T74" s="419">
        <f t="shared" si="21"/>
        <v>289492.14999999997</v>
      </c>
      <c r="U74" s="423">
        <f t="shared" si="22"/>
        <v>6.4633638636396831E-2</v>
      </c>
      <c r="V74" s="420">
        <v>1767.13</v>
      </c>
      <c r="W74" s="420">
        <v>-5</v>
      </c>
      <c r="X74" s="420">
        <v>5122.71</v>
      </c>
      <c r="Y74" s="420">
        <f t="shared" si="17"/>
        <v>85068.790000000037</v>
      </c>
      <c r="Z74" s="424">
        <f t="shared" si="18"/>
        <v>6.478906033659966E-2</v>
      </c>
    </row>
    <row r="75" spans="1:26" ht="11.25" customHeight="1" x14ac:dyDescent="0.3">
      <c r="A75" s="421">
        <f t="shared" si="0"/>
        <v>51</v>
      </c>
      <c r="B75" s="427">
        <v>45566</v>
      </c>
      <c r="C75" s="427">
        <v>45657</v>
      </c>
      <c r="D75" s="410">
        <f t="shared" si="1"/>
        <v>7875.74</v>
      </c>
      <c r="E75" s="352">
        <f t="shared" ref="E75:F75" si="79">I75+N75+S75+X75</f>
        <v>6634.9400000000005</v>
      </c>
      <c r="F75" s="352">
        <f t="shared" si="79"/>
        <v>807705.33</v>
      </c>
      <c r="G75" s="296">
        <f t="shared" si="4"/>
        <v>8.3241255878645382E-3</v>
      </c>
      <c r="H75" s="419">
        <v>2316.7199999999998</v>
      </c>
      <c r="I75" s="419">
        <v>2656.75</v>
      </c>
      <c r="J75" s="419">
        <f t="shared" si="9"/>
        <v>319827.02999999997</v>
      </c>
      <c r="K75" s="423">
        <f t="shared" si="5"/>
        <v>8.4071195795399119E-3</v>
      </c>
      <c r="L75" s="420">
        <v>272.89999999999998</v>
      </c>
      <c r="M75" s="420"/>
      <c r="N75" s="420">
        <v>881.97</v>
      </c>
      <c r="O75" s="420">
        <f t="shared" si="6"/>
        <v>104876.00999999997</v>
      </c>
      <c r="P75" s="424">
        <f t="shared" si="7"/>
        <v>8.4921092430509919E-3</v>
      </c>
      <c r="Q75" s="419">
        <v>3524.04</v>
      </c>
      <c r="R75" s="419">
        <v>56.15</v>
      </c>
      <c r="S75" s="419">
        <v>2399.9</v>
      </c>
      <c r="T75" s="419">
        <f t="shared" si="21"/>
        <v>295472.24</v>
      </c>
      <c r="U75" s="423">
        <f t="shared" si="22"/>
        <v>8.2398820246934162E-3</v>
      </c>
      <c r="V75" s="420">
        <v>1762.08</v>
      </c>
      <c r="W75" s="420">
        <v>2.86</v>
      </c>
      <c r="X75" s="420">
        <v>696.32</v>
      </c>
      <c r="Y75" s="420">
        <f t="shared" si="17"/>
        <v>87530.050000000047</v>
      </c>
      <c r="Z75" s="424">
        <f t="shared" si="18"/>
        <v>8.1014703577656846E-3</v>
      </c>
    </row>
    <row r="76" spans="1:26" ht="11.25" customHeight="1" x14ac:dyDescent="0.3">
      <c r="A76" s="421">
        <f t="shared" si="0"/>
        <v>65</v>
      </c>
      <c r="B76" s="422">
        <v>45658</v>
      </c>
      <c r="C76" s="422">
        <v>45747</v>
      </c>
      <c r="D76" s="410">
        <f t="shared" si="1"/>
        <v>8468.5</v>
      </c>
      <c r="E76" s="352">
        <f t="shared" ref="E76:F76" si="80">I76+N76+S76+X76</f>
        <v>-23233.47</v>
      </c>
      <c r="F76" s="352">
        <f t="shared" si="80"/>
        <v>792984.94</v>
      </c>
      <c r="G76" s="296">
        <f t="shared" si="4"/>
        <v>-2.8614776976385363E-2</v>
      </c>
      <c r="H76" s="419">
        <v>2754.64</v>
      </c>
      <c r="I76" s="419">
        <v>-9406.6200000000008</v>
      </c>
      <c r="J76" s="419">
        <f t="shared" si="9"/>
        <v>313175.05</v>
      </c>
      <c r="K76" s="423">
        <f t="shared" si="5"/>
        <v>-2.9285468892311085E-2</v>
      </c>
      <c r="L76" s="420">
        <v>427.74</v>
      </c>
      <c r="M76" s="420">
        <v>54.58</v>
      </c>
      <c r="N76" s="420">
        <v>-3072.99</v>
      </c>
      <c r="O76" s="420">
        <f t="shared" ref="O76:O81" si="81">O75+M76+L76+N76</f>
        <v>102285.33999999997</v>
      </c>
      <c r="P76" s="424">
        <f t="shared" si="7"/>
        <v>-2.9241540669758124E-2</v>
      </c>
      <c r="Q76" s="419">
        <v>3524.04</v>
      </c>
      <c r="R76" s="419">
        <v>-5</v>
      </c>
      <c r="S76" s="419">
        <v>-8273.32</v>
      </c>
      <c r="T76" s="419">
        <f t="shared" si="21"/>
        <v>290717.95999999996</v>
      </c>
      <c r="U76" s="423">
        <f t="shared" si="22"/>
        <v>-2.7834341842020497E-2</v>
      </c>
      <c r="V76" s="420">
        <v>1762.08</v>
      </c>
      <c r="W76" s="420">
        <v>-5</v>
      </c>
      <c r="X76" s="420">
        <v>-2480.54</v>
      </c>
      <c r="Y76" s="420">
        <f t="shared" si="17"/>
        <v>86806.590000000055</v>
      </c>
      <c r="Z76" s="424">
        <f t="shared" si="18"/>
        <v>-2.8056887433465631E-2</v>
      </c>
    </row>
    <row r="77" spans="1:26" ht="11.25" customHeight="1" x14ac:dyDescent="0.3">
      <c r="A77" s="421">
        <f t="shared" si="0"/>
        <v>10</v>
      </c>
      <c r="B77" s="422">
        <v>45748</v>
      </c>
      <c r="C77" s="422">
        <v>45838</v>
      </c>
      <c r="D77" s="410">
        <f t="shared" si="1"/>
        <v>8336.2599999999984</v>
      </c>
      <c r="E77" s="352">
        <f t="shared" ref="E77:F77" si="82">I77+N77+S77+X77</f>
        <v>78804.489999999991</v>
      </c>
      <c r="F77" s="352">
        <f t="shared" si="82"/>
        <v>880115.68999999983</v>
      </c>
      <c r="G77" s="296">
        <f t="shared" si="4"/>
        <v>9.885741266730616E-2</v>
      </c>
      <c r="H77" s="419">
        <v>2361.12</v>
      </c>
      <c r="I77" s="419">
        <v>31230.560000000001</v>
      </c>
      <c r="J77" s="419">
        <f t="shared" si="9"/>
        <v>346766.73</v>
      </c>
      <c r="K77" s="423">
        <f t="shared" si="5"/>
        <v>9.9347869121852173E-2</v>
      </c>
      <c r="L77" s="420">
        <v>627.36</v>
      </c>
      <c r="M77" s="420"/>
      <c r="N77" s="420">
        <v>10189.65</v>
      </c>
      <c r="O77" s="420">
        <f t="shared" si="81"/>
        <v>113102.34999999996</v>
      </c>
      <c r="P77" s="424">
        <f t="shared" si="7"/>
        <v>9.9315276110824482E-2</v>
      </c>
      <c r="Q77" s="419">
        <v>3565.16</v>
      </c>
      <c r="R77" s="419">
        <v>-5</v>
      </c>
      <c r="S77" s="419">
        <v>28737.85</v>
      </c>
      <c r="T77" s="419">
        <f t="shared" si="21"/>
        <v>323015.96999999991</v>
      </c>
      <c r="U77" s="423">
        <f t="shared" si="22"/>
        <v>9.8248878446515003E-2</v>
      </c>
      <c r="V77" s="420">
        <v>1782.62</v>
      </c>
      <c r="W77" s="420">
        <v>-5</v>
      </c>
      <c r="X77" s="420">
        <v>8646.43</v>
      </c>
      <c r="Y77" s="420">
        <f t="shared" si="17"/>
        <v>97230.640000000043</v>
      </c>
      <c r="Z77" s="424">
        <f t="shared" si="18"/>
        <v>9.8593352862497222E-2</v>
      </c>
    </row>
    <row r="78" spans="1:26" ht="11.25" customHeight="1" x14ac:dyDescent="0.3">
      <c r="A78" s="421">
        <f t="shared" si="0"/>
        <v>18</v>
      </c>
      <c r="B78" s="422">
        <v>45839</v>
      </c>
      <c r="C78" s="422">
        <v>45930</v>
      </c>
      <c r="D78" s="410">
        <f t="shared" si="1"/>
        <v>8512.1500000000015</v>
      </c>
      <c r="E78" s="352">
        <f t="shared" ref="E78:F78" si="83">I78+N78+S78+X78</f>
        <v>62574.47</v>
      </c>
      <c r="F78" s="352">
        <f t="shared" si="83"/>
        <v>951192.30999999994</v>
      </c>
      <c r="G78" s="296">
        <f t="shared" si="4"/>
        <v>7.0755843273671251E-2</v>
      </c>
      <c r="H78" s="419">
        <v>2754.64</v>
      </c>
      <c r="I78" s="419">
        <v>24277.07</v>
      </c>
      <c r="J78" s="419">
        <f t="shared" si="9"/>
        <v>373798.44</v>
      </c>
      <c r="K78" s="423">
        <f t="shared" si="5"/>
        <v>6.9732830418902755E-2</v>
      </c>
      <c r="L78" s="420">
        <v>228.13</v>
      </c>
      <c r="M78" s="420"/>
      <c r="N78" s="420">
        <v>7890.03</v>
      </c>
      <c r="O78" s="420">
        <f t="shared" si="81"/>
        <v>121220.50999999997</v>
      </c>
      <c r="P78" s="424">
        <f t="shared" si="7"/>
        <v>6.9689806023269699E-2</v>
      </c>
      <c r="Q78" s="419">
        <v>3686.25</v>
      </c>
      <c r="R78" s="419">
        <v>-5</v>
      </c>
      <c r="S78" s="419">
        <v>23348.720000000001</v>
      </c>
      <c r="T78" s="419">
        <f t="shared" si="21"/>
        <v>350045.93999999994</v>
      </c>
      <c r="U78" s="423">
        <f t="shared" si="22"/>
        <v>7.1873376363373806E-2</v>
      </c>
      <c r="V78" s="420">
        <v>1843.13</v>
      </c>
      <c r="W78" s="420">
        <v>-5</v>
      </c>
      <c r="X78" s="420">
        <v>7058.65</v>
      </c>
      <c r="Y78" s="420">
        <f t="shared" si="17"/>
        <v>106127.42000000004</v>
      </c>
      <c r="Z78" s="424">
        <f t="shared" si="18"/>
        <v>7.191534820842789E-2</v>
      </c>
    </row>
    <row r="79" spans="1:26" ht="11.25" customHeight="1" x14ac:dyDescent="0.3">
      <c r="A79" s="421">
        <f t="shared" si="0"/>
        <v>42</v>
      </c>
      <c r="B79" s="422">
        <v>45931</v>
      </c>
      <c r="C79" s="422">
        <v>46022</v>
      </c>
      <c r="D79" s="410">
        <f t="shared" si="1"/>
        <v>7950.88</v>
      </c>
      <c r="E79" s="352">
        <f t="shared" ref="E79:F79" si="84">I79+N79+S79+X79</f>
        <v>22107.989999999998</v>
      </c>
      <c r="F79" s="352">
        <f t="shared" si="84"/>
        <v>981285.71</v>
      </c>
      <c r="G79" s="296">
        <f t="shared" si="4"/>
        <v>2.3145662110137199E-2</v>
      </c>
      <c r="H79" s="419">
        <v>2362.08</v>
      </c>
      <c r="I79" s="419">
        <v>8987.66</v>
      </c>
      <c r="J79" s="419">
        <f t="shared" si="9"/>
        <v>385148.18</v>
      </c>
      <c r="K79" s="423">
        <f t="shared" si="5"/>
        <v>2.396840488444861E-2</v>
      </c>
      <c r="L79" s="420">
        <v>117.7</v>
      </c>
      <c r="M79" s="420"/>
      <c r="N79" s="420">
        <v>2907.64</v>
      </c>
      <c r="O79" s="420">
        <f t="shared" si="81"/>
        <v>124245.84999999996</v>
      </c>
      <c r="P79" s="424">
        <f t="shared" si="7"/>
        <v>2.3974730737365373E-2</v>
      </c>
      <c r="Q79" s="419">
        <v>3647.4</v>
      </c>
      <c r="R79" s="419">
        <v>33.979999999999997</v>
      </c>
      <c r="S79" s="419">
        <v>7831.87</v>
      </c>
      <c r="T79" s="419">
        <f t="shared" si="21"/>
        <v>361559.18999999994</v>
      </c>
      <c r="U79" s="423">
        <f t="shared" si="22"/>
        <v>2.2257873682992375E-2</v>
      </c>
      <c r="V79" s="420">
        <v>1823.7</v>
      </c>
      <c r="W79" s="420">
        <v>0.55000000000000004</v>
      </c>
      <c r="X79" s="420">
        <v>2380.8200000000002</v>
      </c>
      <c r="Y79" s="420">
        <f t="shared" si="17"/>
        <v>110332.49000000005</v>
      </c>
      <c r="Z79" s="424">
        <f t="shared" si="18"/>
        <v>2.2242491003535422E-2</v>
      </c>
    </row>
    <row r="80" spans="1:26" ht="11.25" customHeight="1" x14ac:dyDescent="0.3">
      <c r="A80" s="421">
        <f t="shared" si="0"/>
        <v>64</v>
      </c>
      <c r="B80" s="422">
        <v>46023</v>
      </c>
      <c r="C80" s="422">
        <v>46112</v>
      </c>
      <c r="D80" s="410">
        <f t="shared" si="1"/>
        <v>9490.0500000000011</v>
      </c>
      <c r="E80" s="352">
        <f t="shared" ref="E80:F80" si="85">I80+N80+S80+X80</f>
        <v>-26205.96</v>
      </c>
      <c r="F80" s="352">
        <f t="shared" si="85"/>
        <v>964559.79999999993</v>
      </c>
      <c r="G80" s="296">
        <f t="shared" si="4"/>
        <v>-2.6577224289058291E-2</v>
      </c>
      <c r="H80" s="419">
        <v>2898.86</v>
      </c>
      <c r="I80" s="419">
        <v>-10534.77</v>
      </c>
      <c r="J80" s="419">
        <f t="shared" si="9"/>
        <v>377512.26999999996</v>
      </c>
      <c r="K80" s="423">
        <f t="shared" si="5"/>
        <v>-2.7249961529767348E-2</v>
      </c>
      <c r="L80" s="420">
        <v>488.67</v>
      </c>
      <c r="M80" s="420"/>
      <c r="N80" s="420">
        <v>-3387.97</v>
      </c>
      <c r="O80" s="420">
        <f t="shared" si="81"/>
        <v>121346.54999999996</v>
      </c>
      <c r="P80" s="424">
        <f t="shared" si="7"/>
        <v>-2.7214755926340706E-2</v>
      </c>
      <c r="Q80" s="419">
        <v>4068.32</v>
      </c>
      <c r="R80" s="419">
        <v>-5</v>
      </c>
      <c r="S80" s="419">
        <v>-9700.08</v>
      </c>
      <c r="T80" s="419">
        <f t="shared" si="21"/>
        <v>355922.42999999993</v>
      </c>
      <c r="U80" s="423">
        <f t="shared" si="22"/>
        <v>-2.6678375718367793E-2</v>
      </c>
      <c r="V80" s="420">
        <v>2034.2</v>
      </c>
      <c r="W80" s="420">
        <v>-5</v>
      </c>
      <c r="X80" s="420">
        <v>-2583.14</v>
      </c>
      <c r="Y80" s="420">
        <f t="shared" si="17"/>
        <v>109778.55000000005</v>
      </c>
      <c r="Z80" s="424">
        <f t="shared" si="18"/>
        <v>-2.3198468894227619E-2</v>
      </c>
    </row>
    <row r="81" spans="1:26" ht="11.25" customHeight="1" x14ac:dyDescent="0.3">
      <c r="A81" s="421">
        <f t="shared" si="0"/>
        <v>9</v>
      </c>
      <c r="B81" s="422">
        <v>46113</v>
      </c>
      <c r="C81" s="422">
        <v>46144</v>
      </c>
      <c r="D81" s="410">
        <f t="shared" si="1"/>
        <v>3016.2799999999997</v>
      </c>
      <c r="E81" s="352">
        <f t="shared" ref="E81:F81" si="86">I81+N81+S81+X81</f>
        <v>95551.78</v>
      </c>
      <c r="F81" s="352">
        <f t="shared" si="86"/>
        <v>1063118.3599999999</v>
      </c>
      <c r="G81" s="296">
        <f t="shared" si="4"/>
        <v>9.8907929808746173E-2</v>
      </c>
      <c r="H81" s="419">
        <v>801.92</v>
      </c>
      <c r="I81" s="419">
        <v>38392.29</v>
      </c>
      <c r="J81" s="419">
        <f t="shared" si="9"/>
        <v>416706.47999999992</v>
      </c>
      <c r="K81" s="423">
        <f t="shared" si="5"/>
        <v>0.10159022482488904</v>
      </c>
      <c r="L81" s="420">
        <v>122.16</v>
      </c>
      <c r="M81" s="420">
        <v>0</v>
      </c>
      <c r="N81" s="420">
        <v>12336.72</v>
      </c>
      <c r="O81" s="420">
        <f t="shared" si="81"/>
        <v>133805.42999999996</v>
      </c>
      <c r="P81" s="424">
        <f t="shared" si="7"/>
        <v>0.10161404188517643</v>
      </c>
      <c r="Q81" s="419">
        <v>1394.79</v>
      </c>
      <c r="R81" s="419">
        <v>-4.75</v>
      </c>
      <c r="S81" s="419">
        <v>35157.93</v>
      </c>
      <c r="T81" s="419">
        <f t="shared" si="21"/>
        <v>392470.39999999991</v>
      </c>
      <c r="U81" s="423">
        <f t="shared" si="22"/>
        <v>9.8586583065032929E-2</v>
      </c>
      <c r="V81" s="420">
        <v>697.41</v>
      </c>
      <c r="W81" s="420">
        <v>-4.75</v>
      </c>
      <c r="X81" s="420">
        <v>9664.84</v>
      </c>
      <c r="Y81" s="420">
        <f t="shared" si="17"/>
        <v>120136.05000000005</v>
      </c>
      <c r="Z81" s="424">
        <f t="shared" si="18"/>
        <v>8.7760654708046573E-2</v>
      </c>
    </row>
    <row r="82" spans="1:26" ht="11.25" customHeight="1" x14ac:dyDescent="0.3">
      <c r="A82" s="435"/>
      <c r="B82" s="422">
        <f ca="1">TODAY()</f>
        <v>46155</v>
      </c>
      <c r="C82" s="436"/>
      <c r="D82" s="437">
        <f>-F81</f>
        <v>-1063118.3599999999</v>
      </c>
      <c r="E82" s="437"/>
      <c r="F82" s="437"/>
      <c r="G82" s="437"/>
      <c r="H82" s="437">
        <f>-J81</f>
        <v>-416706.47999999992</v>
      </c>
      <c r="I82" s="438"/>
      <c r="J82" s="437"/>
      <c r="K82" s="437"/>
      <c r="L82" s="437">
        <f>-O81</f>
        <v>-133805.42999999996</v>
      </c>
      <c r="M82" s="437"/>
      <c r="N82" s="438"/>
      <c r="O82" s="437"/>
      <c r="P82" s="437"/>
      <c r="Q82" s="437">
        <f>-T81</f>
        <v>-392470.39999999991</v>
      </c>
      <c r="R82" s="437"/>
      <c r="S82" s="437"/>
      <c r="T82" s="437"/>
      <c r="U82" s="437"/>
      <c r="V82" s="437">
        <f>-Y81</f>
        <v>-120136.05000000005</v>
      </c>
      <c r="W82" s="439"/>
      <c r="X82" s="439"/>
      <c r="Y82" s="439"/>
      <c r="Z82" s="439"/>
    </row>
    <row r="83" spans="1:26" ht="11.25" customHeight="1" x14ac:dyDescent="0.3">
      <c r="A83" s="415"/>
      <c r="B83" s="306"/>
      <c r="C83" s="417"/>
      <c r="D83" s="411"/>
      <c r="E83" s="411"/>
      <c r="F83" s="411"/>
      <c r="G83" s="411"/>
      <c r="H83" s="411"/>
      <c r="I83" s="411"/>
      <c r="J83" s="411"/>
      <c r="K83" s="411"/>
      <c r="L83" s="411"/>
      <c r="M83" s="411"/>
      <c r="N83" s="411"/>
      <c r="O83" s="411"/>
      <c r="P83" s="411"/>
      <c r="Q83" s="411"/>
      <c r="R83" s="411"/>
      <c r="S83" s="411"/>
      <c r="T83" s="411"/>
      <c r="U83" s="411"/>
      <c r="V83" s="199"/>
      <c r="W83" s="411"/>
      <c r="X83" s="414"/>
      <c r="Y83" s="199"/>
      <c r="Z83" s="199"/>
    </row>
    <row r="84" spans="1:26" ht="11.25" customHeight="1" x14ac:dyDescent="0.3">
      <c r="A84" s="415"/>
      <c r="B84" s="306"/>
      <c r="C84" s="417"/>
      <c r="D84" s="411"/>
      <c r="E84" s="411"/>
      <c r="F84" s="411"/>
      <c r="G84" s="411"/>
      <c r="H84" s="307"/>
      <c r="I84" s="307"/>
      <c r="J84" s="411"/>
      <c r="K84" s="411"/>
      <c r="L84" s="411"/>
      <c r="M84" s="411"/>
      <c r="N84" s="414"/>
      <c r="O84" s="411"/>
      <c r="P84" s="411"/>
      <c r="Q84" s="411"/>
      <c r="R84" s="411"/>
      <c r="S84" s="411"/>
      <c r="T84" s="411"/>
      <c r="U84" s="411"/>
      <c r="V84" s="199"/>
      <c r="W84" s="411"/>
      <c r="X84" s="414"/>
      <c r="Y84" s="199"/>
      <c r="Z84" s="199"/>
    </row>
    <row r="85" spans="1:26" ht="11.25" customHeight="1" x14ac:dyDescent="0.3">
      <c r="A85" s="304" t="s">
        <v>628</v>
      </c>
      <c r="B85" s="306"/>
      <c r="C85" s="417"/>
      <c r="D85" s="411"/>
      <c r="E85" s="411"/>
      <c r="F85" s="411"/>
      <c r="G85" s="411"/>
      <c r="H85" s="412"/>
      <c r="I85" s="307"/>
      <c r="J85" s="411"/>
      <c r="K85" s="411"/>
      <c r="L85" s="411"/>
      <c r="M85" s="411"/>
      <c r="N85" s="411"/>
      <c r="O85" s="411"/>
      <c r="P85" s="411"/>
      <c r="Q85" s="411"/>
      <c r="R85" s="411"/>
      <c r="S85" s="411"/>
      <c r="T85" s="411"/>
      <c r="U85" s="411"/>
      <c r="V85" s="199"/>
      <c r="W85" s="411"/>
      <c r="X85" s="411"/>
      <c r="Y85" s="199"/>
      <c r="Z85" s="199"/>
    </row>
    <row r="86" spans="1:26" ht="11.25" customHeight="1" x14ac:dyDescent="0.3">
      <c r="A86" s="304">
        <f>COUNTIF(E7:E82,"&gt;0")</f>
        <v>58</v>
      </c>
      <c r="B86" s="306"/>
      <c r="C86" s="417"/>
      <c r="D86" s="411"/>
      <c r="E86" s="411"/>
      <c r="F86" s="411"/>
      <c r="G86" s="411"/>
      <c r="H86" s="199"/>
      <c r="I86" s="307"/>
      <c r="J86" s="411"/>
      <c r="K86" s="411"/>
      <c r="L86" s="411"/>
      <c r="M86" s="411"/>
      <c r="N86" s="411"/>
      <c r="O86" s="411"/>
      <c r="P86" s="411"/>
      <c r="Q86" s="411"/>
      <c r="R86" s="411"/>
      <c r="S86" s="411"/>
      <c r="T86" s="411"/>
      <c r="U86" s="411"/>
      <c r="V86" s="199"/>
      <c r="W86" s="411"/>
      <c r="X86" s="411"/>
      <c r="Y86" s="199"/>
      <c r="Z86" s="199"/>
    </row>
    <row r="87" spans="1:26" ht="11.25" customHeight="1" x14ac:dyDescent="0.3">
      <c r="A87" s="304" t="s">
        <v>629</v>
      </c>
      <c r="B87" s="306"/>
      <c r="C87" s="417"/>
      <c r="D87" s="411"/>
      <c r="E87" s="411"/>
      <c r="F87" s="411"/>
      <c r="G87" s="411"/>
      <c r="H87" s="199"/>
      <c r="I87" s="307"/>
      <c r="J87" s="411"/>
      <c r="K87" s="411"/>
      <c r="L87" s="411"/>
      <c r="M87" s="411"/>
      <c r="N87" s="411"/>
      <c r="O87" s="411"/>
      <c r="P87" s="411"/>
      <c r="Q87" s="411"/>
      <c r="R87" s="411"/>
      <c r="S87" s="411"/>
      <c r="T87" s="411"/>
      <c r="U87" s="411"/>
      <c r="V87" s="411"/>
      <c r="W87" s="411"/>
      <c r="X87" s="411"/>
      <c r="Y87" s="199"/>
      <c r="Z87" s="199"/>
    </row>
    <row r="88" spans="1:26" ht="11.25" customHeight="1" x14ac:dyDescent="0.3">
      <c r="A88" s="307">
        <f>(SUMIFS(G7:G82,E7:E82,"&gt;0"))/A86</f>
        <v>5.6334502509922932E-2</v>
      </c>
      <c r="B88" s="306"/>
      <c r="C88" s="417"/>
      <c r="D88" s="411"/>
      <c r="E88" s="411"/>
      <c r="F88" s="411"/>
      <c r="G88" s="411"/>
      <c r="H88" s="307"/>
      <c r="I88" s="307"/>
      <c r="J88" s="411"/>
      <c r="K88" s="411"/>
      <c r="L88" s="411"/>
      <c r="M88" s="411"/>
      <c r="N88" s="307"/>
      <c r="O88" s="411"/>
      <c r="P88" s="411"/>
      <c r="Q88" s="411"/>
      <c r="R88" s="411"/>
      <c r="S88" s="411"/>
      <c r="T88" s="411"/>
      <c r="U88" s="411"/>
      <c r="V88" s="411"/>
      <c r="W88" s="411"/>
      <c r="X88" s="307"/>
      <c r="Y88" s="199"/>
      <c r="Z88" s="199"/>
    </row>
    <row r="89" spans="1:26" ht="11.25" customHeight="1" x14ac:dyDescent="0.3">
      <c r="A89" s="304" t="s">
        <v>630</v>
      </c>
      <c r="B89" s="306"/>
      <c r="C89" s="417"/>
      <c r="D89" s="411"/>
      <c r="E89" s="411"/>
      <c r="F89" s="411"/>
      <c r="G89" s="411"/>
      <c r="H89" s="307"/>
      <c r="I89" s="307"/>
      <c r="J89" s="307"/>
      <c r="K89" s="307"/>
      <c r="L89" s="307"/>
      <c r="M89" s="307"/>
      <c r="N89" s="307"/>
      <c r="O89" s="411"/>
      <c r="P89" s="411"/>
      <c r="Q89" s="411"/>
      <c r="R89" s="411"/>
      <c r="S89" s="411"/>
      <c r="T89" s="411"/>
      <c r="U89" s="411"/>
      <c r="V89" s="199"/>
      <c r="W89" s="199"/>
      <c r="X89" s="199"/>
      <c r="Y89" s="199"/>
      <c r="Z89" s="199"/>
    </row>
    <row r="90" spans="1:26" ht="11.25" customHeight="1" x14ac:dyDescent="0.3">
      <c r="A90" s="304">
        <f>COUNTIF(E7:E82,"&lt;0")</f>
        <v>17</v>
      </c>
    </row>
    <row r="91" spans="1:26" ht="11.25" customHeight="1" x14ac:dyDescent="0.3">
      <c r="A91" s="304" t="s">
        <v>631</v>
      </c>
    </row>
    <row r="92" spans="1:26" ht="11.25" customHeight="1" x14ac:dyDescent="0.3">
      <c r="A92" s="307">
        <f>(SUMIFS(G7:G82,E7:E82,"&lt;0"))/A90</f>
        <v>-6.2209935327223916E-2</v>
      </c>
    </row>
    <row r="93" spans="1:26" ht="15.75" customHeight="1" x14ac:dyDescent="0.3"/>
    <row r="94" spans="1:26" ht="15.75" customHeight="1" x14ac:dyDescent="0.3"/>
    <row r="95" spans="1:26" ht="15" customHeight="1" x14ac:dyDescent="0.3">
      <c r="A95" s="11" t="s">
        <v>632</v>
      </c>
    </row>
    <row r="96" spans="1:26" ht="15" customHeight="1" x14ac:dyDescent="0.3">
      <c r="A96" s="50">
        <f>AVERAGE(G8,G12,G16,G20,G24,G28,G32,G36,G40,G44,G48,G52,G56,G60,G64,G68,G72,G76,G80)</f>
        <v>1.9373354324880427E-2</v>
      </c>
    </row>
    <row r="97" spans="1:1" ht="15" customHeight="1" x14ac:dyDescent="0.3">
      <c r="A97" s="50" t="s">
        <v>633</v>
      </c>
    </row>
    <row r="98" spans="1:1" ht="15" customHeight="1" x14ac:dyDescent="0.3">
      <c r="A98" s="50">
        <f>AVERAGE(G9,G13,G17,G21,G25,G29,G33,G37,G41,G45,G49,G53,G57,G61,G65,G69,G73,G77)</f>
        <v>2.7264347192975175E-2</v>
      </c>
    </row>
    <row r="99" spans="1:1" ht="15" customHeight="1" x14ac:dyDescent="0.3">
      <c r="A99" s="50" t="s">
        <v>634</v>
      </c>
    </row>
    <row r="100" spans="1:1" ht="15" customHeight="1" x14ac:dyDescent="0.3">
      <c r="A100" s="50">
        <f>AVERAGE(G10,G14,G18,G22,G26,G30,G34,G38,G42,G46,G50,G54,G58,G62,G66,G70,G74,G78)</f>
        <v>2.3110095299876503E-2</v>
      </c>
    </row>
    <row r="101" spans="1:1" ht="15" customHeight="1" x14ac:dyDescent="0.3">
      <c r="A101" s="50" t="s">
        <v>635</v>
      </c>
    </row>
    <row r="102" spans="1:1" ht="15" customHeight="1" x14ac:dyDescent="0.3">
      <c r="A102" s="50">
        <f>AVERAGE(G7,G11,G15,G19,G23,G27,G31,G35,G39,G43,G47,G51,G55,G59,G63,G67,G71,G75,G79)</f>
        <v>4.4004769376837713E-2</v>
      </c>
    </row>
    <row r="103" spans="1:1" ht="15.75" customHeight="1" x14ac:dyDescent="0.3"/>
    <row r="104" spans="1:1" ht="15.75" customHeight="1" x14ac:dyDescent="0.3"/>
    <row r="105" spans="1:1" ht="15.75" customHeight="1" x14ac:dyDescent="0.3"/>
    <row r="106" spans="1:1" ht="15.75" customHeight="1" x14ac:dyDescent="0.3"/>
    <row r="107" spans="1:1" ht="15.75" customHeight="1" x14ac:dyDescent="0.3"/>
    <row r="108" spans="1:1" ht="15.75" customHeight="1" x14ac:dyDescent="0.3"/>
    <row r="109" spans="1:1" ht="15.75" customHeight="1" x14ac:dyDescent="0.3"/>
    <row r="110" spans="1:1" ht="15.75" customHeight="1" x14ac:dyDescent="0.3"/>
    <row r="111" spans="1:1" ht="15.75" customHeight="1" x14ac:dyDescent="0.3"/>
    <row r="112" spans="1:1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5:G5"/>
    <mergeCell ref="H5:K5"/>
    <mergeCell ref="L5:P5"/>
    <mergeCell ref="Q5:U5"/>
    <mergeCell ref="V5:Z5"/>
  </mergeCells>
  <conditionalFormatting sqref="A7:A81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7:E81">
    <cfRule type="cellIs" dxfId="3" priority="2" operator="lessThan">
      <formula>0</formula>
    </cfRule>
    <cfRule type="cellIs" dxfId="2" priority="3" operator="greaterThan">
      <formula>0</formula>
    </cfRule>
  </conditionalFormatting>
  <conditionalFormatting sqref="G7:G81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:K3 I4:K4 J82:K82 J84:K90 I91:K1000">
    <cfRule type="cellIs" dxfId="1" priority="5" operator="lessThan">
      <formula>0</formula>
    </cfRule>
  </conditionalFormatting>
  <conditionalFormatting sqref="X1:X3">
    <cfRule type="cellIs" dxfId="0" priority="6" operator="lessThan">
      <formula>0</formula>
    </cfRule>
  </conditionalFormatting>
  <pageMargins left="0.7" right="0.7" top="0.75" bottom="0.75" header="0" footer="0"/>
  <pageSetup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B1:R1000"/>
  <sheetViews>
    <sheetView workbookViewId="0"/>
  </sheetViews>
  <sheetFormatPr defaultColWidth="14.44140625" defaultRowHeight="15" customHeight="1" x14ac:dyDescent="0.3"/>
  <cols>
    <col min="1" max="1" width="4.44140625" customWidth="1"/>
    <col min="2" max="2" width="14.6640625" customWidth="1"/>
    <col min="3" max="3" width="15.5546875" customWidth="1"/>
    <col min="4" max="4" width="11" customWidth="1"/>
    <col min="5" max="5" width="11.33203125" customWidth="1"/>
    <col min="6" max="6" width="11" customWidth="1"/>
    <col min="7" max="7" width="11.33203125" customWidth="1"/>
    <col min="8" max="8" width="11" customWidth="1"/>
    <col min="9" max="9" width="12.109375" customWidth="1"/>
    <col min="10" max="10" width="15.5546875" customWidth="1"/>
    <col min="11" max="11" width="12.33203125" customWidth="1"/>
    <col min="12" max="12" width="9.109375" customWidth="1"/>
    <col min="13" max="13" width="14.6640625" customWidth="1"/>
    <col min="14" max="14" width="11" customWidth="1"/>
    <col min="15" max="15" width="12.33203125" customWidth="1"/>
    <col min="16" max="16" width="11.6640625" customWidth="1"/>
    <col min="17" max="18" width="9.5546875" customWidth="1"/>
  </cols>
  <sheetData>
    <row r="1" spans="2:18" ht="11.25" customHeight="1" x14ac:dyDescent="0.3">
      <c r="B1" s="440" t="s">
        <v>636</v>
      </c>
      <c r="C1" s="441">
        <f ca="1">TODAY()</f>
        <v>46155</v>
      </c>
      <c r="D1" s="559" t="s">
        <v>637</v>
      </c>
      <c r="E1" s="537"/>
      <c r="F1" s="559" t="s">
        <v>638</v>
      </c>
      <c r="G1" s="537"/>
      <c r="H1" s="559" t="s">
        <v>639</v>
      </c>
      <c r="I1" s="537"/>
      <c r="J1" s="559" t="s">
        <v>640</v>
      </c>
      <c r="K1" s="537"/>
      <c r="L1" s="442"/>
      <c r="M1" s="442"/>
      <c r="N1" s="443">
        <f>R1/Q1</f>
        <v>0.21977797398773583</v>
      </c>
      <c r="O1" s="560" t="s">
        <v>641</v>
      </c>
      <c r="P1" s="546"/>
      <c r="Q1" s="444">
        <f>'Retirement Calculator'!B3</f>
        <v>469836.83999999991</v>
      </c>
      <c r="R1" s="445">
        <f>SUM(R3:R9)</f>
        <v>103259.78879999998</v>
      </c>
    </row>
    <row r="2" spans="2:18" ht="11.25" customHeight="1" x14ac:dyDescent="0.3">
      <c r="B2" s="440" t="s">
        <v>642</v>
      </c>
      <c r="C2" s="441">
        <f>'Retirement Calculator'!D6</f>
        <v>51288</v>
      </c>
      <c r="D2" s="446" t="s">
        <v>563</v>
      </c>
      <c r="E2" s="447">
        <f>B13</f>
        <v>104249.60000000001</v>
      </c>
      <c r="F2" s="446" t="s">
        <v>563</v>
      </c>
      <c r="G2" s="447">
        <f>C13</f>
        <v>18000</v>
      </c>
      <c r="H2" s="446" t="s">
        <v>563</v>
      </c>
      <c r="I2" s="447">
        <f>D13</f>
        <v>162500</v>
      </c>
      <c r="J2" s="446" t="s">
        <v>563</v>
      </c>
      <c r="K2" s="447">
        <f>I2</f>
        <v>162500</v>
      </c>
      <c r="L2" s="442"/>
      <c r="M2" s="442"/>
      <c r="N2" s="448" t="s">
        <v>577</v>
      </c>
      <c r="O2" s="449" t="s">
        <v>643</v>
      </c>
      <c r="P2" s="449" t="s">
        <v>644</v>
      </c>
      <c r="Q2" s="450" t="s">
        <v>645</v>
      </c>
      <c r="R2" s="451" t="s">
        <v>646</v>
      </c>
    </row>
    <row r="3" spans="2:18" ht="11.25" customHeight="1" x14ac:dyDescent="0.3">
      <c r="B3" s="440" t="s">
        <v>647</v>
      </c>
      <c r="C3" s="449">
        <f ca="1">(C2-C1)/365.25</f>
        <v>14.053388090349076</v>
      </c>
      <c r="D3" s="440" t="s">
        <v>648</v>
      </c>
      <c r="E3" s="452">
        <f ca="1">'TSP-401K'!J4</f>
        <v>0.11310397982597351</v>
      </c>
      <c r="F3" s="440" t="s">
        <v>648</v>
      </c>
      <c r="G3" s="452">
        <f ca="1">'TSP-401K'!O4</f>
        <v>0.11018785834312439</v>
      </c>
      <c r="H3" s="440" t="s">
        <v>648</v>
      </c>
      <c r="I3" s="452">
        <f ca="1">'TSP-401K'!T4</f>
        <v>0.11048911213874815</v>
      </c>
      <c r="J3" s="440" t="s">
        <v>648</v>
      </c>
      <c r="K3" s="452">
        <f ca="1">'TSP-401K'!Y4</f>
        <v>0.1110995829105377</v>
      </c>
      <c r="L3" s="442"/>
      <c r="M3" s="442"/>
      <c r="N3" s="453">
        <v>0.1</v>
      </c>
      <c r="O3" s="447">
        <v>0</v>
      </c>
      <c r="P3" s="447">
        <v>24800</v>
      </c>
      <c r="Q3" s="447">
        <f>IF($Q$1&gt;P3,P3,$Q$1-Q3)</f>
        <v>24800</v>
      </c>
      <c r="R3" s="454">
        <f t="shared" ref="R3:R9" si="0">Q3*N3</f>
        <v>2480</v>
      </c>
    </row>
    <row r="4" spans="2:18" ht="11.25" customHeight="1" x14ac:dyDescent="0.3">
      <c r="B4" s="446" t="s">
        <v>649</v>
      </c>
      <c r="C4" s="441">
        <f>'Retirement Calculator'!D7</f>
        <v>51288</v>
      </c>
      <c r="D4" s="440"/>
      <c r="E4" s="452"/>
      <c r="F4" s="440"/>
      <c r="G4" s="452"/>
      <c r="H4" s="440"/>
      <c r="I4" s="452"/>
      <c r="J4" s="440"/>
      <c r="K4" s="452"/>
      <c r="L4" s="442"/>
      <c r="M4" s="442"/>
      <c r="N4" s="453">
        <v>0.12</v>
      </c>
      <c r="O4" s="447">
        <f t="shared" ref="O4:O9" si="1">P3+0.01</f>
        <v>24800.01</v>
      </c>
      <c r="P4" s="447">
        <v>100800</v>
      </c>
      <c r="Q4" s="447">
        <f>IF($Q$1&gt;P4,P4-Q3,$Q$1-Q3)</f>
        <v>76000</v>
      </c>
      <c r="R4" s="454">
        <f t="shared" si="0"/>
        <v>9120</v>
      </c>
    </row>
    <row r="5" spans="2:18" ht="11.25" customHeight="1" x14ac:dyDescent="0.3">
      <c r="B5" s="446" t="s">
        <v>650</v>
      </c>
      <c r="C5" s="449">
        <f ca="1">(C4-C1)/365.25</f>
        <v>14.053388090349076</v>
      </c>
      <c r="D5" s="440"/>
      <c r="E5" s="452"/>
      <c r="F5" s="440"/>
      <c r="G5" s="452"/>
      <c r="H5" s="440"/>
      <c r="I5" s="452"/>
      <c r="J5" s="440"/>
      <c r="K5" s="452"/>
      <c r="L5" s="455"/>
      <c r="M5" s="442"/>
      <c r="N5" s="453">
        <v>0.22</v>
      </c>
      <c r="O5" s="447">
        <f t="shared" si="1"/>
        <v>100800.01</v>
      </c>
      <c r="P5" s="447">
        <v>211400</v>
      </c>
      <c r="Q5" s="447">
        <f>IF($Q$1&gt;P5,P5-Q4-Q3,$Q$1-Q4-Q3)</f>
        <v>110600</v>
      </c>
      <c r="R5" s="454">
        <f t="shared" si="0"/>
        <v>24332</v>
      </c>
    </row>
    <row r="6" spans="2:18" ht="11.25" customHeight="1" x14ac:dyDescent="0.3">
      <c r="B6" s="440" t="s">
        <v>651</v>
      </c>
      <c r="C6" s="456">
        <f>E6+G6+I6+K6</f>
        <v>1063118.3599999999</v>
      </c>
      <c r="D6" s="440" t="s">
        <v>652</v>
      </c>
      <c r="E6" s="456">
        <f>'TSP-401K'!H82*-1</f>
        <v>416706.47999999992</v>
      </c>
      <c r="F6" s="440" t="s">
        <v>652</v>
      </c>
      <c r="G6" s="456">
        <f>'TSP-401K'!L82*-1</f>
        <v>133805.42999999996</v>
      </c>
      <c r="H6" s="440" t="s">
        <v>652</v>
      </c>
      <c r="I6" s="456">
        <f>'TSP-401K'!Q82*-1</f>
        <v>392470.39999999991</v>
      </c>
      <c r="J6" s="440" t="s">
        <v>652</v>
      </c>
      <c r="K6" s="456">
        <f>'TSP-401K'!V82*-1</f>
        <v>120136.05000000005</v>
      </c>
      <c r="L6" s="457"/>
      <c r="M6" s="442"/>
      <c r="N6" s="453">
        <v>0.24</v>
      </c>
      <c r="O6" s="447">
        <f t="shared" si="1"/>
        <v>211400.01</v>
      </c>
      <c r="P6" s="447">
        <v>403550</v>
      </c>
      <c r="Q6" s="447">
        <f>IF($Q$1&gt;P6,P6-Q5-Q4-Q3,$Q$1-Q5-Q4-Q3)</f>
        <v>192150</v>
      </c>
      <c r="R6" s="454">
        <f t="shared" si="0"/>
        <v>46116</v>
      </c>
    </row>
    <row r="7" spans="2:18" ht="11.25" customHeight="1" x14ac:dyDescent="0.3">
      <c r="B7" s="440"/>
      <c r="C7" s="450"/>
      <c r="D7" s="440"/>
      <c r="E7" s="450"/>
      <c r="F7" s="440"/>
      <c r="G7" s="450"/>
      <c r="H7" s="440"/>
      <c r="I7" s="450"/>
      <c r="J7" s="440"/>
      <c r="K7" s="450"/>
      <c r="L7" s="455"/>
      <c r="M7" s="442"/>
      <c r="N7" s="453">
        <v>0.32</v>
      </c>
      <c r="O7" s="447">
        <f t="shared" si="1"/>
        <v>403550.01</v>
      </c>
      <c r="P7" s="447">
        <v>512450</v>
      </c>
      <c r="Q7" s="447">
        <f>IF($Q$1&gt;P7,P7-Q6-Q5-Q4-Q3,$Q$1-Q6-Q5-Q4-Q3)</f>
        <v>66286.839999999909</v>
      </c>
      <c r="R7" s="454">
        <f t="shared" si="0"/>
        <v>21211.788799999973</v>
      </c>
    </row>
    <row r="8" spans="2:18" ht="11.25" customHeight="1" x14ac:dyDescent="0.3">
      <c r="B8" s="440" t="s">
        <v>653</v>
      </c>
      <c r="C8" s="456">
        <f ca="1">E8+G8+I8+K8</f>
        <v>6349243.8240028927</v>
      </c>
      <c r="D8" s="440" t="s">
        <v>654</v>
      </c>
      <c r="E8" s="456">
        <f ca="1">FV(E3/26,C3*26,-(E2*0.1)/26,-E6,1)</f>
        <v>2394950.4516205178</v>
      </c>
      <c r="F8" s="440" t="s">
        <v>654</v>
      </c>
      <c r="G8" s="456">
        <f ca="1">FV(G3/12,12*C3,-(G2*0.1)/12,-G6,1)</f>
        <v>685575.77247069881</v>
      </c>
      <c r="H8" s="440" t="s">
        <v>654</v>
      </c>
      <c r="I8" s="456">
        <f ca="1">FV(I3/24,C5*24,-(I2*0.1)/24,-I6,1)</f>
        <v>2395405.4459277731</v>
      </c>
      <c r="J8" s="440" t="s">
        <v>654</v>
      </c>
      <c r="K8" s="456">
        <f ca="1">FV(K3/24,C5*24,-(K2*0.055)/24,-K6,1)</f>
        <v>873312.15398390312</v>
      </c>
      <c r="L8" s="455"/>
      <c r="M8" s="442"/>
      <c r="N8" s="453">
        <v>0.35</v>
      </c>
      <c r="O8" s="447">
        <f t="shared" si="1"/>
        <v>512450.01</v>
      </c>
      <c r="P8" s="447">
        <v>768700</v>
      </c>
      <c r="Q8" s="447">
        <f>IF($Q$1&gt;P8,P8-Q7-Q6-Q5-Q4-Q3,$Q$1-Q7-Q6-Q5-Q4-Q3)</f>
        <v>0</v>
      </c>
      <c r="R8" s="454">
        <f t="shared" si="0"/>
        <v>0</v>
      </c>
    </row>
    <row r="9" spans="2:18" ht="11.25" customHeight="1" x14ac:dyDescent="0.3">
      <c r="B9" s="457"/>
      <c r="C9" s="456"/>
      <c r="D9" s="457"/>
      <c r="E9" s="455"/>
      <c r="F9" s="457"/>
      <c r="G9" s="458"/>
      <c r="H9" s="457"/>
      <c r="I9" s="458"/>
      <c r="J9" s="457"/>
      <c r="K9" s="458"/>
      <c r="L9" s="455"/>
      <c r="M9" s="442"/>
      <c r="N9" s="459">
        <v>0.37</v>
      </c>
      <c r="O9" s="460">
        <f t="shared" si="1"/>
        <v>768700.01</v>
      </c>
      <c r="P9" s="460">
        <v>10000000</v>
      </c>
      <c r="Q9" s="460">
        <f>IF($Q$1&gt;P9,P9-Q8-Q7,$Q$1-Q8-Q7-Q6-Q5-Q4-Q3)</f>
        <v>0</v>
      </c>
      <c r="R9" s="461">
        <f t="shared" si="0"/>
        <v>0</v>
      </c>
    </row>
    <row r="10" spans="2:18" ht="11.25" customHeight="1" x14ac:dyDescent="0.3">
      <c r="B10" s="457"/>
      <c r="C10" s="455"/>
      <c r="D10" s="457"/>
      <c r="E10" s="455"/>
      <c r="F10" s="457"/>
      <c r="G10" s="458"/>
      <c r="H10" s="457"/>
      <c r="I10" s="458"/>
      <c r="J10" s="457"/>
      <c r="K10" s="458"/>
      <c r="L10" s="455"/>
      <c r="M10" s="442"/>
      <c r="N10" s="462"/>
      <c r="O10" s="462"/>
      <c r="P10" s="462"/>
      <c r="Q10" s="463"/>
      <c r="R10" s="455"/>
    </row>
    <row r="11" spans="2:18" ht="11.25" customHeight="1" x14ac:dyDescent="0.3">
      <c r="B11" s="464"/>
      <c r="C11" s="455"/>
      <c r="D11" s="442"/>
      <c r="E11" s="455"/>
      <c r="F11" s="442"/>
      <c r="G11" s="455"/>
      <c r="H11" s="442"/>
      <c r="I11" s="455"/>
      <c r="J11" s="442"/>
      <c r="K11" s="455"/>
      <c r="L11" s="455"/>
      <c r="M11" s="442"/>
      <c r="N11" s="462"/>
      <c r="O11" s="462"/>
      <c r="P11" s="462"/>
      <c r="Q11" s="463"/>
      <c r="R11" s="455"/>
    </row>
    <row r="12" spans="2:18" ht="11.25" customHeight="1" x14ac:dyDescent="0.3">
      <c r="B12" s="457" t="s">
        <v>655</v>
      </c>
      <c r="C12" s="457" t="s">
        <v>579</v>
      </c>
      <c r="D12" s="457" t="s">
        <v>656</v>
      </c>
      <c r="E12" s="465" t="s">
        <v>657</v>
      </c>
      <c r="F12" s="455"/>
      <c r="G12" s="457"/>
      <c r="H12" s="442"/>
      <c r="I12" s="457" t="s">
        <v>566</v>
      </c>
      <c r="J12" s="457" t="s">
        <v>567</v>
      </c>
      <c r="K12" s="457" t="s">
        <v>568</v>
      </c>
      <c r="L12" s="457" t="s">
        <v>569</v>
      </c>
      <c r="M12" s="442"/>
      <c r="N12" s="462"/>
      <c r="O12" s="462"/>
      <c r="P12" s="462"/>
      <c r="Q12" s="463"/>
      <c r="R12" s="455"/>
    </row>
    <row r="13" spans="2:18" ht="11.25" customHeight="1" x14ac:dyDescent="0.3">
      <c r="B13" s="466">
        <f>'Retirement Calculator'!D2</f>
        <v>104249.60000000001</v>
      </c>
      <c r="C13" s="466">
        <f>'Retirement Calculator'!D3</f>
        <v>18000</v>
      </c>
      <c r="D13" s="466">
        <f>'Retirement Calculator'!D1</f>
        <v>162500</v>
      </c>
      <c r="E13" s="463">
        <f>B13+C13+D13</f>
        <v>284749.59999999998</v>
      </c>
      <c r="F13" s="455"/>
      <c r="G13" s="467">
        <v>31590</v>
      </c>
      <c r="H13" s="442" t="s">
        <v>658</v>
      </c>
      <c r="I13" s="468">
        <f>'Retirement Calculator'!F2</f>
        <v>2420</v>
      </c>
      <c r="J13" s="468">
        <f>'Retirement Calculator'!G2</f>
        <v>3519</v>
      </c>
      <c r="K13" s="468">
        <f>'Retirement Calculator'!H2</f>
        <v>4397</v>
      </c>
      <c r="L13" s="468">
        <f>'Retirement Calculator'!I2</f>
        <v>3120</v>
      </c>
      <c r="M13" s="442"/>
      <c r="N13" s="462"/>
      <c r="O13" s="462"/>
      <c r="P13" s="462"/>
      <c r="Q13" s="463"/>
      <c r="R13" s="455"/>
    </row>
    <row r="14" spans="2:18" ht="11.25" customHeight="1" x14ac:dyDescent="0.3">
      <c r="B14" s="466"/>
      <c r="C14" s="468"/>
      <c r="D14" s="468"/>
      <c r="E14" s="463"/>
      <c r="F14" s="455"/>
      <c r="G14" s="467">
        <v>29906</v>
      </c>
      <c r="H14" s="442" t="s">
        <v>659</v>
      </c>
      <c r="I14" s="468">
        <f>'Retirement Calculator'!F3</f>
        <v>2192</v>
      </c>
      <c r="J14" s="468">
        <f>'Retirement Calculator'!G3</f>
        <v>3197</v>
      </c>
      <c r="K14" s="468">
        <f>'Retirement Calculator'!H3</f>
        <v>4019</v>
      </c>
      <c r="L14" s="468">
        <f>'Retirement Calculator'!I3</f>
        <v>2765</v>
      </c>
      <c r="M14" s="442"/>
      <c r="N14" s="462"/>
      <c r="O14" s="462"/>
      <c r="P14" s="462"/>
      <c r="Q14" s="463"/>
      <c r="R14" s="455"/>
    </row>
    <row r="15" spans="2:18" ht="11.25" customHeight="1" x14ac:dyDescent="0.3">
      <c r="B15" s="466"/>
      <c r="C15" s="468"/>
      <c r="D15" s="468"/>
      <c r="E15" s="463"/>
      <c r="F15" s="455"/>
      <c r="G15" s="467"/>
      <c r="H15" s="442"/>
      <c r="I15" s="468"/>
      <c r="J15" s="468"/>
      <c r="K15" s="468"/>
      <c r="L15" s="468"/>
      <c r="M15" s="442"/>
      <c r="N15" s="462"/>
      <c r="O15" s="462"/>
      <c r="P15" s="462"/>
      <c r="Q15" s="463"/>
      <c r="R15" s="455"/>
    </row>
    <row r="16" spans="2:18" ht="11.25" customHeight="1" x14ac:dyDescent="0.3">
      <c r="B16" s="466" t="s">
        <v>660</v>
      </c>
      <c r="C16" s="466" t="s">
        <v>661</v>
      </c>
      <c r="D16" s="468"/>
      <c r="E16" s="463"/>
      <c r="F16" s="455"/>
      <c r="G16" s="442"/>
      <c r="H16" s="455"/>
      <c r="I16" s="442"/>
      <c r="J16" s="442"/>
      <c r="K16" s="455"/>
      <c r="L16" s="455"/>
      <c r="M16" s="442"/>
      <c r="N16" s="462"/>
      <c r="O16" s="462"/>
      <c r="P16" s="462"/>
      <c r="Q16" s="463"/>
      <c r="R16" s="455"/>
    </row>
    <row r="17" spans="2:11" ht="11.25" customHeight="1" x14ac:dyDescent="0.3">
      <c r="B17" s="462">
        <f>(C2-B18)/365.25</f>
        <v>33.040383299110196</v>
      </c>
      <c r="C17" s="469">
        <f>'Retirement Calculator'!B2</f>
        <v>0.65</v>
      </c>
      <c r="D17" s="468"/>
      <c r="E17" s="468"/>
      <c r="F17" s="455"/>
      <c r="G17" s="442"/>
      <c r="H17" s="455"/>
      <c r="I17" s="442"/>
      <c r="J17" s="442"/>
      <c r="K17" s="455"/>
    </row>
    <row r="18" spans="2:11" ht="11.25" customHeight="1" x14ac:dyDescent="0.3">
      <c r="B18" s="467">
        <v>39220</v>
      </c>
      <c r="C18" s="466">
        <f>E13*(1+C17)</f>
        <v>469836.83999999991</v>
      </c>
      <c r="D18" s="468"/>
      <c r="E18" s="468"/>
      <c r="F18" s="455"/>
      <c r="G18" s="442"/>
      <c r="H18" s="457" t="s">
        <v>662</v>
      </c>
      <c r="I18" s="442"/>
      <c r="J18" s="442"/>
      <c r="K18" s="442"/>
    </row>
    <row r="19" spans="2:11" ht="11.25" customHeight="1" x14ac:dyDescent="0.3">
      <c r="B19" s="455"/>
      <c r="C19" s="466"/>
      <c r="D19" s="468"/>
      <c r="E19" s="468"/>
      <c r="F19" s="442"/>
      <c r="G19" s="442"/>
      <c r="H19" s="470">
        <v>71</v>
      </c>
      <c r="I19" s="468">
        <f t="shared" ref="I19:I33" si="2">(I$14*12)*($H19-62)</f>
        <v>236736</v>
      </c>
      <c r="J19" s="468">
        <f t="shared" ref="J19:J33" si="3">(J$14*12)*($H19-67)</f>
        <v>153456</v>
      </c>
      <c r="K19" s="468">
        <f t="shared" ref="K19:K33" si="4">(K$14*12)*($H19-70)</f>
        <v>48228</v>
      </c>
    </row>
    <row r="20" spans="2:11" ht="11.25" customHeight="1" x14ac:dyDescent="0.3">
      <c r="B20" s="455"/>
      <c r="C20" s="466"/>
      <c r="D20" s="468"/>
      <c r="E20" s="468"/>
      <c r="F20" s="442"/>
      <c r="G20" s="442"/>
      <c r="H20" s="470">
        <v>72</v>
      </c>
      <c r="I20" s="468">
        <f t="shared" si="2"/>
        <v>263040</v>
      </c>
      <c r="J20" s="468">
        <f t="shared" si="3"/>
        <v>191820</v>
      </c>
      <c r="K20" s="468">
        <f t="shared" si="4"/>
        <v>96456</v>
      </c>
    </row>
    <row r="21" spans="2:11" ht="11.25" customHeight="1" x14ac:dyDescent="0.3">
      <c r="B21" s="455" t="s">
        <v>663</v>
      </c>
      <c r="C21" s="466" t="s">
        <v>664</v>
      </c>
      <c r="D21" s="466" t="s">
        <v>665</v>
      </c>
      <c r="E21" s="468" t="s">
        <v>666</v>
      </c>
      <c r="F21" s="442"/>
      <c r="G21" s="442"/>
      <c r="H21" s="470">
        <v>73</v>
      </c>
      <c r="I21" s="468">
        <f t="shared" si="2"/>
        <v>289344</v>
      </c>
      <c r="J21" s="468">
        <f t="shared" si="3"/>
        <v>230184</v>
      </c>
      <c r="K21" s="468">
        <f t="shared" si="4"/>
        <v>144684</v>
      </c>
    </row>
    <row r="22" spans="2:11" ht="11.25" customHeight="1" x14ac:dyDescent="0.3">
      <c r="B22" s="455">
        <f>B13*(B17*0.01)</f>
        <v>34444.46742778919</v>
      </c>
      <c r="C22" s="466">
        <f>C24*12</f>
        <v>42305.438109374998</v>
      </c>
      <c r="D22" s="466">
        <f>B22+C22</f>
        <v>76749.905537164188</v>
      </c>
      <c r="E22" s="471">
        <f>D22/(B13+C13)</f>
        <v>0.62781314243289288</v>
      </c>
      <c r="F22" s="442"/>
      <c r="G22" s="442"/>
      <c r="H22" s="470">
        <v>74</v>
      </c>
      <c r="I22" s="468">
        <f t="shared" si="2"/>
        <v>315648</v>
      </c>
      <c r="J22" s="468">
        <f t="shared" si="3"/>
        <v>268548</v>
      </c>
      <c r="K22" s="468">
        <f t="shared" si="4"/>
        <v>192912</v>
      </c>
    </row>
    <row r="23" spans="2:11" ht="11.25" customHeight="1" x14ac:dyDescent="0.3">
      <c r="B23" s="457" t="s">
        <v>667</v>
      </c>
      <c r="C23" s="457" t="s">
        <v>668</v>
      </c>
      <c r="D23" s="457" t="s">
        <v>669</v>
      </c>
      <c r="E23" s="442"/>
      <c r="F23" s="457"/>
      <c r="G23" s="457"/>
      <c r="H23" s="470">
        <v>75</v>
      </c>
      <c r="I23" s="468">
        <f t="shared" si="2"/>
        <v>341952</v>
      </c>
      <c r="J23" s="468">
        <f t="shared" si="3"/>
        <v>306912</v>
      </c>
      <c r="K23" s="468">
        <f t="shared" si="4"/>
        <v>241140</v>
      </c>
    </row>
    <row r="24" spans="2:11" ht="11.25" customHeight="1" x14ac:dyDescent="0.3">
      <c r="B24" s="466">
        <f>B22/12</f>
        <v>2870.372285649099</v>
      </c>
      <c r="C24" s="466">
        <f>AVERAGE('Guard Ret Calc'!I23:I24)</f>
        <v>3525.4531757812501</v>
      </c>
      <c r="D24" s="466">
        <f>B24+C24</f>
        <v>6395.8254614303496</v>
      </c>
      <c r="E24" s="442"/>
      <c r="F24" s="457"/>
      <c r="G24" s="466"/>
      <c r="H24" s="470">
        <v>76</v>
      </c>
      <c r="I24" s="468">
        <f t="shared" si="2"/>
        <v>368256</v>
      </c>
      <c r="J24" s="468">
        <f t="shared" si="3"/>
        <v>345276</v>
      </c>
      <c r="K24" s="468">
        <f t="shared" si="4"/>
        <v>289368</v>
      </c>
    </row>
    <row r="25" spans="2:11" ht="11.25" customHeight="1" x14ac:dyDescent="0.3">
      <c r="B25" s="470"/>
      <c r="C25" s="466"/>
      <c r="D25" s="466"/>
      <c r="E25" s="466"/>
      <c r="F25" s="457"/>
      <c r="G25" s="466"/>
      <c r="H25" s="470">
        <v>77</v>
      </c>
      <c r="I25" s="468">
        <f t="shared" si="2"/>
        <v>394560</v>
      </c>
      <c r="J25" s="468">
        <f t="shared" si="3"/>
        <v>383640</v>
      </c>
      <c r="K25" s="468">
        <f t="shared" si="4"/>
        <v>337596</v>
      </c>
    </row>
    <row r="26" spans="2:11" ht="11.25" customHeight="1" x14ac:dyDescent="0.3">
      <c r="B26" s="470"/>
      <c r="C26" s="466"/>
      <c r="D26" s="466"/>
      <c r="E26" s="466"/>
      <c r="F26" s="457"/>
      <c r="G26" s="466"/>
      <c r="H26" s="470">
        <v>78</v>
      </c>
      <c r="I26" s="468">
        <f t="shared" si="2"/>
        <v>420864</v>
      </c>
      <c r="J26" s="472">
        <f t="shared" si="3"/>
        <v>422004</v>
      </c>
      <c r="K26" s="468">
        <f t="shared" si="4"/>
        <v>385824</v>
      </c>
    </row>
    <row r="27" spans="2:11" ht="11.25" customHeight="1" x14ac:dyDescent="0.3">
      <c r="B27" s="470"/>
      <c r="C27" s="466"/>
      <c r="D27" s="466"/>
      <c r="E27" s="466"/>
      <c r="F27" s="466"/>
      <c r="G27" s="466"/>
      <c r="H27" s="470">
        <v>79</v>
      </c>
      <c r="I27" s="468">
        <f t="shared" si="2"/>
        <v>447168</v>
      </c>
      <c r="J27" s="468">
        <f t="shared" si="3"/>
        <v>460368</v>
      </c>
      <c r="K27" s="468">
        <f t="shared" si="4"/>
        <v>434052</v>
      </c>
    </row>
    <row r="28" spans="2:11" ht="11.25" customHeight="1" x14ac:dyDescent="0.3">
      <c r="B28" s="470" t="s">
        <v>662</v>
      </c>
      <c r="C28" s="466" t="s">
        <v>670</v>
      </c>
      <c r="D28" s="466" t="s">
        <v>671</v>
      </c>
      <c r="E28" s="466" t="s">
        <v>68</v>
      </c>
      <c r="F28" s="466"/>
      <c r="G28" s="466"/>
      <c r="H28" s="470">
        <v>80</v>
      </c>
      <c r="I28" s="468">
        <f t="shared" si="2"/>
        <v>473472</v>
      </c>
      <c r="J28" s="468">
        <f t="shared" si="3"/>
        <v>498732</v>
      </c>
      <c r="K28" s="472">
        <f t="shared" si="4"/>
        <v>482280</v>
      </c>
    </row>
    <row r="29" spans="2:11" ht="11.25" customHeight="1" x14ac:dyDescent="0.3">
      <c r="B29" s="462">
        <v>57</v>
      </c>
      <c r="C29" s="466">
        <v>2185</v>
      </c>
      <c r="D29" s="466">
        <v>1319</v>
      </c>
      <c r="E29" s="466">
        <f>SUM(C29:D29)</f>
        <v>3504</v>
      </c>
      <c r="F29" s="466"/>
      <c r="G29" s="466"/>
      <c r="H29" s="470">
        <v>81</v>
      </c>
      <c r="I29" s="468">
        <f t="shared" si="2"/>
        <v>499776</v>
      </c>
      <c r="J29" s="468">
        <f t="shared" si="3"/>
        <v>537096</v>
      </c>
      <c r="K29" s="468">
        <f t="shared" si="4"/>
        <v>530508</v>
      </c>
    </row>
    <row r="30" spans="2:11" ht="11.25" customHeight="1" x14ac:dyDescent="0.3">
      <c r="B30" s="462">
        <v>57.5</v>
      </c>
      <c r="C30" s="466"/>
      <c r="D30" s="466"/>
      <c r="E30" s="466"/>
      <c r="F30" s="466"/>
      <c r="G30" s="466"/>
      <c r="H30" s="470">
        <v>82</v>
      </c>
      <c r="I30" s="468">
        <f t="shared" si="2"/>
        <v>526080</v>
      </c>
      <c r="J30" s="468">
        <f t="shared" si="3"/>
        <v>575460</v>
      </c>
      <c r="K30" s="468">
        <f t="shared" si="4"/>
        <v>578736</v>
      </c>
    </row>
    <row r="31" spans="2:11" ht="11.25" customHeight="1" x14ac:dyDescent="0.3">
      <c r="B31" s="462">
        <v>58</v>
      </c>
      <c r="C31" s="466"/>
      <c r="D31" s="466"/>
      <c r="E31" s="466"/>
      <c r="F31" s="466"/>
      <c r="G31" s="466"/>
      <c r="H31" s="470">
        <v>83</v>
      </c>
      <c r="I31" s="468">
        <f t="shared" si="2"/>
        <v>552384</v>
      </c>
      <c r="J31" s="468">
        <f t="shared" si="3"/>
        <v>613824</v>
      </c>
      <c r="K31" s="468">
        <f t="shared" si="4"/>
        <v>626964</v>
      </c>
    </row>
    <row r="32" spans="2:11" ht="11.25" customHeight="1" x14ac:dyDescent="0.3">
      <c r="B32" s="462">
        <v>58.5</v>
      </c>
      <c r="C32" s="466">
        <v>2295</v>
      </c>
      <c r="D32" s="466">
        <v>1569</v>
      </c>
      <c r="E32" s="466">
        <f>SUM(C32:D32)</f>
        <v>3864</v>
      </c>
      <c r="F32" s="466"/>
      <c r="G32" s="466"/>
      <c r="H32" s="470">
        <v>84</v>
      </c>
      <c r="I32" s="468">
        <f t="shared" si="2"/>
        <v>578688</v>
      </c>
      <c r="J32" s="468">
        <f t="shared" si="3"/>
        <v>652188</v>
      </c>
      <c r="K32" s="468">
        <f t="shared" si="4"/>
        <v>675192</v>
      </c>
    </row>
    <row r="33" spans="2:11" ht="11.25" customHeight="1" x14ac:dyDescent="0.3">
      <c r="B33" s="462">
        <v>59</v>
      </c>
      <c r="C33" s="466"/>
      <c r="D33" s="466"/>
      <c r="E33" s="466"/>
      <c r="F33" s="466"/>
      <c r="G33" s="466"/>
      <c r="H33" s="470">
        <v>85</v>
      </c>
      <c r="I33" s="468">
        <f t="shared" si="2"/>
        <v>604992</v>
      </c>
      <c r="J33" s="468">
        <f t="shared" si="3"/>
        <v>690552</v>
      </c>
      <c r="K33" s="468">
        <f t="shared" si="4"/>
        <v>723420</v>
      </c>
    </row>
    <row r="34" spans="2:11" ht="11.25" customHeight="1" x14ac:dyDescent="0.3">
      <c r="B34" s="462">
        <v>59.5</v>
      </c>
      <c r="C34" s="466"/>
      <c r="D34" s="466"/>
      <c r="E34" s="466"/>
      <c r="F34" s="466"/>
      <c r="G34" s="466"/>
      <c r="H34" s="466"/>
      <c r="I34" s="466"/>
      <c r="J34" s="466"/>
      <c r="K34" s="466"/>
    </row>
    <row r="35" spans="2:11" ht="11.25" customHeight="1" x14ac:dyDescent="0.3">
      <c r="B35" s="462">
        <v>60</v>
      </c>
      <c r="C35" s="466">
        <v>2393.65</v>
      </c>
      <c r="D35" s="466">
        <v>1467</v>
      </c>
      <c r="E35" s="466">
        <f>SUM(C35:D35)</f>
        <v>3860.65</v>
      </c>
      <c r="F35" s="466"/>
      <c r="G35" s="466"/>
      <c r="H35" s="466"/>
      <c r="I35" s="466"/>
      <c r="J35" s="466"/>
      <c r="K35" s="466"/>
    </row>
    <row r="36" spans="2:11" ht="15.75" customHeight="1" x14ac:dyDescent="0.3"/>
    <row r="37" spans="2:11" ht="15.75" customHeight="1" x14ac:dyDescent="0.3"/>
    <row r="38" spans="2:11" ht="15.75" customHeight="1" x14ac:dyDescent="0.3"/>
    <row r="39" spans="2:11" ht="15.75" customHeight="1" x14ac:dyDescent="0.3"/>
    <row r="40" spans="2:11" ht="15.75" customHeight="1" x14ac:dyDescent="0.3"/>
    <row r="41" spans="2:11" ht="15.75" customHeight="1" x14ac:dyDescent="0.3"/>
    <row r="42" spans="2:11" ht="15.75" customHeight="1" x14ac:dyDescent="0.3"/>
    <row r="43" spans="2:11" ht="15.75" customHeight="1" x14ac:dyDescent="0.3"/>
    <row r="44" spans="2:11" ht="15.75" customHeight="1" x14ac:dyDescent="0.3"/>
    <row r="45" spans="2:11" ht="15.75" customHeight="1" x14ac:dyDescent="0.3"/>
    <row r="46" spans="2:11" ht="15.75" customHeight="1" x14ac:dyDescent="0.3"/>
    <row r="47" spans="2:11" ht="15.75" customHeight="1" x14ac:dyDescent="0.3"/>
    <row r="48" spans="2:11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5">
    <mergeCell ref="D1:E1"/>
    <mergeCell ref="F1:G1"/>
    <mergeCell ref="H1:I1"/>
    <mergeCell ref="J1:K1"/>
    <mergeCell ref="O1:P1"/>
  </mergeCells>
  <pageMargins left="0.7" right="0.7" top="0.75" bottom="0.75" header="0" footer="0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2.109375" customWidth="1"/>
    <col min="6" max="6" width="14.6640625" customWidth="1"/>
    <col min="7" max="7" width="3.5546875" customWidth="1"/>
    <col min="8" max="8" width="5.44140625" customWidth="1"/>
    <col min="9" max="9" width="20.5546875" customWidth="1"/>
    <col min="10" max="10" width="9.109375" customWidth="1"/>
    <col min="11" max="11" width="18.44140625" customWidth="1"/>
    <col min="12" max="12" width="20.5546875" customWidth="1"/>
    <col min="13" max="13" width="5.109375" customWidth="1"/>
    <col min="14" max="14" width="14.6640625" customWidth="1"/>
  </cols>
  <sheetData>
    <row r="1" spans="1:14" ht="11.25" customHeight="1" x14ac:dyDescent="0.3">
      <c r="A1" s="470" t="s">
        <v>672</v>
      </c>
      <c r="B1" s="455">
        <f ca="1">'Combined Retirement'!E8+'Combined Retirement'!G8</f>
        <v>3080526.2240912165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42"/>
    </row>
    <row r="2" spans="1:14" ht="11.25" customHeight="1" x14ac:dyDescent="0.3">
      <c r="A2" s="470" t="s">
        <v>673</v>
      </c>
      <c r="B2" s="471">
        <v>0.05</v>
      </c>
      <c r="C2" s="457" t="s">
        <v>674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42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42"/>
    </row>
    <row r="4" spans="1:14" ht="11.25" customHeight="1" x14ac:dyDescent="0.3">
      <c r="A4" s="470" t="s">
        <v>675</v>
      </c>
      <c r="B4" s="462">
        <f ca="1">(SUMIFS(H:H,I:I,"&gt;0",L:L,"&lt;0"))/12</f>
        <v>46.833333333333336</v>
      </c>
      <c r="C4" s="474">
        <f ca="1">(SUMIFS(H:H,I:I,"&gt;0",L:L,"&lt;0"))</f>
        <v>562</v>
      </c>
      <c r="D4" s="467">
        <f t="array" aca="1" ref="D4" ca="1">INDEX(N:N,MATCH(C4,H:H,0),0)</f>
        <v>68362</v>
      </c>
      <c r="E4" s="457"/>
      <c r="F4" s="457"/>
      <c r="G4" s="470"/>
      <c r="H4" s="470"/>
      <c r="I4" s="457"/>
      <c r="J4" s="442"/>
      <c r="K4" s="442"/>
      <c r="L4" s="442"/>
      <c r="M4" s="473"/>
      <c r="N4" s="442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42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42"/>
    </row>
    <row r="7" spans="1:14" ht="11.25" customHeight="1" x14ac:dyDescent="0.3">
      <c r="A7" s="470" t="s">
        <v>676</v>
      </c>
      <c r="B7" s="457" t="s">
        <v>677</v>
      </c>
      <c r="C7" s="457" t="s">
        <v>678</v>
      </c>
      <c r="D7" s="457" t="s">
        <v>679</v>
      </c>
      <c r="E7" s="457" t="s">
        <v>680</v>
      </c>
      <c r="F7" s="457"/>
      <c r="G7" s="470" t="s">
        <v>681</v>
      </c>
      <c r="H7" s="470" t="s">
        <v>224</v>
      </c>
      <c r="I7" s="457" t="s">
        <v>677</v>
      </c>
      <c r="J7" s="457" t="s">
        <v>678</v>
      </c>
      <c r="K7" s="457" t="s">
        <v>679</v>
      </c>
      <c r="L7" s="457" t="s">
        <v>680</v>
      </c>
      <c r="M7" s="471"/>
      <c r="N7" s="442" t="s">
        <v>607</v>
      </c>
    </row>
    <row r="8" spans="1:14" ht="11.25" customHeight="1" x14ac:dyDescent="0.3">
      <c r="A8" s="470">
        <v>1</v>
      </c>
      <c r="B8" s="458">
        <f ca="1">B1</f>
        <v>3080526.2240912165</v>
      </c>
      <c r="C8" s="458">
        <f t="shared" ref="C8:C136" si="0">SUMIF(G:G,A8,J:J)</f>
        <v>374258.93446283572</v>
      </c>
      <c r="D8" s="458">
        <f ca="1">SUMIF(G:G,1,K:K)</f>
        <v>147312.9050533213</v>
      </c>
      <c r="E8" s="458">
        <f t="shared" ref="E8:E136" ca="1" si="1">B8-C8+D8</f>
        <v>2853580.1946817022</v>
      </c>
      <c r="F8" s="442"/>
      <c r="G8" s="470">
        <v>1</v>
      </c>
      <c r="H8" s="470">
        <v>1</v>
      </c>
      <c r="I8" s="455">
        <f ca="1">B1</f>
        <v>3080526.2240912165</v>
      </c>
      <c r="J8" s="455">
        <f t="array" ref="J8">IFERROR(INDEX('Retirement Calculator'!J:J,MATCH('Isaac 401k'!N8,'Retirement Calculator'!A:A,0),0),0)</f>
        <v>31188.244538569645</v>
      </c>
      <c r="K8" s="455">
        <f t="shared" ref="K8:K262" ca="1" si="2">IPMT(M8/12,1,12,-I8+J8,,0)</f>
        <v>12705.574914802693</v>
      </c>
      <c r="L8" s="455">
        <f t="shared" ref="L8:L262" ca="1" si="3">I8-J8+K8</f>
        <v>3062043.5544674494</v>
      </c>
      <c r="M8" s="471">
        <f>B2</f>
        <v>0.05</v>
      </c>
      <c r="N8" s="475">
        <f>'Retirement Calculator'!D6</f>
        <v>51288</v>
      </c>
    </row>
    <row r="9" spans="1:14" ht="11.25" customHeight="1" x14ac:dyDescent="0.3">
      <c r="A9" s="470">
        <v>2</v>
      </c>
      <c r="B9" s="458">
        <f t="shared" ref="B9:B136" ca="1" si="4">E8</f>
        <v>2853580.1946817022</v>
      </c>
      <c r="C9" s="458">
        <f t="shared" si="0"/>
        <v>374258.93446283572</v>
      </c>
      <c r="D9" s="458">
        <f ca="1">SUMIF(G:G,2,K:K)</f>
        <v>135701.9154720068</v>
      </c>
      <c r="E9" s="458">
        <f t="shared" ca="1" si="1"/>
        <v>2615023.1756908735</v>
      </c>
      <c r="F9" s="442"/>
      <c r="G9" s="470">
        <v>1</v>
      </c>
      <c r="H9" s="470">
        <v>2</v>
      </c>
      <c r="I9" s="455">
        <f t="shared" ref="I9:I263" ca="1" si="5">L8</f>
        <v>3062043.5544674494</v>
      </c>
      <c r="J9" s="455">
        <f t="array" ref="J9">IFERROR(INDEX('Retirement Calculator'!J:J,MATCH('Isaac 401k'!N9,'Retirement Calculator'!A:A,0),0),0)</f>
        <v>31188.244538569645</v>
      </c>
      <c r="K9" s="455">
        <f t="shared" ca="1" si="2"/>
        <v>12628.563791370332</v>
      </c>
      <c r="L9" s="455">
        <f t="shared" ca="1" si="3"/>
        <v>3043483.8737202501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2615023.1756908735</v>
      </c>
      <c r="C10" s="458">
        <f t="shared" si="0"/>
        <v>374258.93446283572</v>
      </c>
      <c r="D10" s="458">
        <f ca="1">SUMIF(G:G,3,K:K)</f>
        <v>123496.88562742724</v>
      </c>
      <c r="E10" s="458">
        <f t="shared" ca="1" si="1"/>
        <v>2364261.1268554651</v>
      </c>
      <c r="F10" s="442"/>
      <c r="G10" s="470">
        <v>1</v>
      </c>
      <c r="H10" s="470">
        <v>3</v>
      </c>
      <c r="I10" s="455">
        <f t="shared" ca="1" si="5"/>
        <v>3043483.8737202501</v>
      </c>
      <c r="J10" s="455">
        <f t="array" ref="J10">IFERROR(INDEX('Retirement Calculator'!J:J,MATCH('Isaac 401k'!N10,'Retirement Calculator'!A:A,0),0),0)</f>
        <v>31188.244538569645</v>
      </c>
      <c r="K10" s="455">
        <f t="shared" ca="1" si="2"/>
        <v>12551.231788257001</v>
      </c>
      <c r="L10" s="455">
        <f t="shared" ca="1" si="3"/>
        <v>3024846.8609699374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2364261.1268554651</v>
      </c>
      <c r="C11" s="458">
        <f t="shared" si="0"/>
        <v>370520.93446283572</v>
      </c>
      <c r="D11" s="458">
        <f ca="1">SUMIF(G:G,4,K:K)</f>
        <v>110722.31593260165</v>
      </c>
      <c r="E11" s="458">
        <f t="shared" ca="1" si="1"/>
        <v>2104462.5083252308</v>
      </c>
      <c r="F11" s="442"/>
      <c r="G11" s="470">
        <v>1</v>
      </c>
      <c r="H11" s="470">
        <v>4</v>
      </c>
      <c r="I11" s="455">
        <f t="shared" ca="1" si="5"/>
        <v>3024846.8609699374</v>
      </c>
      <c r="J11" s="455">
        <f t="array" ref="J11">IFERROR(INDEX('Retirement Calculator'!J:J,MATCH('Isaac 401k'!N11,'Retirement Calculator'!A:A,0),0),0)</f>
        <v>31188.244538569645</v>
      </c>
      <c r="K11" s="455">
        <f t="shared" ca="1" si="2"/>
        <v>12473.577568464032</v>
      </c>
      <c r="L11" s="455">
        <f t="shared" ca="1" si="3"/>
        <v>3006132.1939998316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2104462.5083252308</v>
      </c>
      <c r="C12" s="458">
        <f t="shared" si="0"/>
        <v>366782.93446283572</v>
      </c>
      <c r="D12" s="458">
        <f ca="1">SUMIF(G:G,5,K:K)</f>
        <v>97581.233734893583</v>
      </c>
      <c r="E12" s="458">
        <f t="shared" ca="1" si="1"/>
        <v>1835260.8075972886</v>
      </c>
      <c r="F12" s="442"/>
      <c r="G12" s="470">
        <v>1</v>
      </c>
      <c r="H12" s="470">
        <v>5</v>
      </c>
      <c r="I12" s="455">
        <f t="shared" ca="1" si="5"/>
        <v>3006132.1939998316</v>
      </c>
      <c r="J12" s="455">
        <f t="array" ref="J12">IFERROR(INDEX('Retirement Calculator'!J:J,MATCH('Isaac 401k'!N12,'Retirement Calculator'!A:A,0),0),0)</f>
        <v>31188.244538569645</v>
      </c>
      <c r="K12" s="455">
        <f t="shared" ca="1" si="2"/>
        <v>12395.599789421924</v>
      </c>
      <c r="L12" s="455">
        <f t="shared" ca="1" si="3"/>
        <v>2987339.5492506837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1835260.8075972886</v>
      </c>
      <c r="C13" s="458">
        <f t="shared" si="0"/>
        <v>256653.30186591548</v>
      </c>
      <c r="D13" s="458">
        <f ca="1">SUMIF(G:G,6,K:K)</f>
        <v>85192.656050796097</v>
      </c>
      <c r="E13" s="458">
        <f t="shared" ca="1" si="1"/>
        <v>1663800.1617821692</v>
      </c>
      <c r="F13" s="442"/>
      <c r="G13" s="470">
        <v>1</v>
      </c>
      <c r="H13" s="470">
        <v>6</v>
      </c>
      <c r="I13" s="455">
        <f t="shared" ca="1" si="5"/>
        <v>2987339.5492506837</v>
      </c>
      <c r="J13" s="455">
        <f t="array" ref="J13">IFERROR(INDEX('Retirement Calculator'!J:J,MATCH('Isaac 401k'!N13,'Retirement Calculator'!A:A,0),0),0)</f>
        <v>31188.244538569645</v>
      </c>
      <c r="K13" s="455">
        <f t="shared" ca="1" si="2"/>
        <v>12317.297102967141</v>
      </c>
      <c r="L13" s="455">
        <f t="shared" ca="1" si="3"/>
        <v>2968468.6018150812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1663800.1617821692</v>
      </c>
      <c r="C14" s="458">
        <f t="shared" si="0"/>
        <v>102471.81623022706</v>
      </c>
      <c r="D14" s="458">
        <f ca="1">SUMIF(G:G,7,K:K)</f>
        <v>82305.050531927802</v>
      </c>
      <c r="E14" s="458">
        <f t="shared" ca="1" si="1"/>
        <v>1643633.39608387</v>
      </c>
      <c r="F14" s="442"/>
      <c r="G14" s="470">
        <v>1</v>
      </c>
      <c r="H14" s="470">
        <v>7</v>
      </c>
      <c r="I14" s="455">
        <f t="shared" ca="1" si="5"/>
        <v>2968468.6018150812</v>
      </c>
      <c r="J14" s="455">
        <f t="array" ref="J14">IFERROR(INDEX('Retirement Calculator'!J:J,MATCH('Isaac 401k'!N14,'Retirement Calculator'!A:A,0),0),0)</f>
        <v>31188.244538569645</v>
      </c>
      <c r="K14" s="455">
        <f t="shared" ca="1" si="2"/>
        <v>12238.668155318797</v>
      </c>
      <c r="L14" s="455">
        <f t="shared" ca="1" si="3"/>
        <v>2949519.02543183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1643633.39608387</v>
      </c>
      <c r="C15" s="458">
        <f t="shared" si="0"/>
        <v>102471.81623022706</v>
      </c>
      <c r="D15" s="458">
        <f ca="1">SUMIF(G:G,8,K:K)</f>
        <v>81273.280524666479</v>
      </c>
      <c r="E15" s="458">
        <f t="shared" ca="1" si="1"/>
        <v>1622434.8603783094</v>
      </c>
      <c r="F15" s="442"/>
      <c r="G15" s="470">
        <v>1</v>
      </c>
      <c r="H15" s="470">
        <v>8</v>
      </c>
      <c r="I15" s="455">
        <f t="shared" ca="1" si="5"/>
        <v>2949519.02543183</v>
      </c>
      <c r="J15" s="455">
        <f t="array" ref="J15">IFERROR(INDEX('Retirement Calculator'!J:J,MATCH('Isaac 401k'!N15,'Retirement Calculator'!A:A,0),0),0)</f>
        <v>31188.244538569645</v>
      </c>
      <c r="K15" s="455">
        <f t="shared" ca="1" si="2"/>
        <v>12159.71158705525</v>
      </c>
      <c r="L15" s="455">
        <f t="shared" ca="1" si="3"/>
        <v>2930490.4924803153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1622434.8603783094</v>
      </c>
      <c r="C16" s="458">
        <f t="shared" si="0"/>
        <v>95034.72063022705</v>
      </c>
      <c r="D16" s="458">
        <f ca="1">SUMIF(G:G,9,K:K)</f>
        <v>80377.257291995629</v>
      </c>
      <c r="E16" s="458">
        <f t="shared" ca="1" si="1"/>
        <v>1607777.397040078</v>
      </c>
      <c r="F16" s="442"/>
      <c r="G16" s="470">
        <v>1</v>
      </c>
      <c r="H16" s="470">
        <v>9</v>
      </c>
      <c r="I16" s="455">
        <f t="shared" ca="1" si="5"/>
        <v>2930490.4924803153</v>
      </c>
      <c r="J16" s="455">
        <f t="array" ref="J16">IFERROR(INDEX('Retirement Calculator'!J:J,MATCH('Isaac 401k'!N16,'Retirement Calculator'!A:A,0),0),0)</f>
        <v>31188.244538569645</v>
      </c>
      <c r="K16" s="455">
        <f t="shared" ca="1" si="2"/>
        <v>12080.426033090605</v>
      </c>
      <c r="L16" s="455">
        <f t="shared" ca="1" si="3"/>
        <v>2911382.6739748362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1607777.397040078</v>
      </c>
      <c r="C17" s="458">
        <f t="shared" si="0"/>
        <v>94358.621030227048</v>
      </c>
      <c r="D17" s="458">
        <f ca="1">SUMIF(G:G,10,K:K)</f>
        <v>79661.944188172871</v>
      </c>
      <c r="E17" s="458">
        <f t="shared" ca="1" si="1"/>
        <v>1593080.7201980238</v>
      </c>
      <c r="F17" s="442"/>
      <c r="G17" s="470">
        <v>1</v>
      </c>
      <c r="H17" s="470">
        <v>10</v>
      </c>
      <c r="I17" s="455">
        <f t="shared" ca="1" si="5"/>
        <v>2911382.6739748362</v>
      </c>
      <c r="J17" s="455">
        <f t="array" ref="J17">IFERROR(INDEX('Retirement Calculator'!J:J,MATCH('Isaac 401k'!N17,'Retirement Calculator'!A:A,0),0),0)</f>
        <v>31188.244538569645</v>
      </c>
      <c r="K17" s="455">
        <f t="shared" ca="1" si="2"/>
        <v>12000.81012265111</v>
      </c>
      <c r="L17" s="455">
        <f t="shared" ca="1" si="3"/>
        <v>2892195.2395589175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1593080.7201980238</v>
      </c>
      <c r="C18" s="458">
        <f t="shared" si="0"/>
        <v>94358.621030227048</v>
      </c>
      <c r="D18" s="458">
        <f ca="1">SUMIF(G:G,11,K:K)</f>
        <v>78910.034308378876</v>
      </c>
      <c r="E18" s="458">
        <f t="shared" ca="1" si="1"/>
        <v>1577632.1334761756</v>
      </c>
      <c r="F18" s="442"/>
      <c r="G18" s="470">
        <v>1</v>
      </c>
      <c r="H18" s="470">
        <v>11</v>
      </c>
      <c r="I18" s="455">
        <f t="shared" ca="1" si="5"/>
        <v>2892195.2395589175</v>
      </c>
      <c r="J18" s="455">
        <f t="array" ref="J18">IFERROR(INDEX('Retirement Calculator'!J:J,MATCH('Isaac 401k'!N18,'Retirement Calculator'!A:A,0),0),0)</f>
        <v>31188.244538569645</v>
      </c>
      <c r="K18" s="455">
        <f t="shared" ca="1" si="2"/>
        <v>11920.862479251449</v>
      </c>
      <c r="L18" s="455">
        <f t="shared" ca="1" si="3"/>
        <v>2872927.857499599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1577632.1334761756</v>
      </c>
      <c r="C19" s="458">
        <f t="shared" si="0"/>
        <v>94358.621030227048</v>
      </c>
      <c r="D19" s="458">
        <f ca="1">SUMIF(G:G,12,K:K)</f>
        <v>78119.65529209857</v>
      </c>
      <c r="E19" s="458">
        <f t="shared" ca="1" si="1"/>
        <v>1561393.1677380472</v>
      </c>
      <c r="F19" s="442"/>
      <c r="G19" s="470">
        <v>1</v>
      </c>
      <c r="H19" s="470">
        <v>12</v>
      </c>
      <c r="I19" s="455">
        <f t="shared" ca="1" si="5"/>
        <v>2872927.857499599</v>
      </c>
      <c r="J19" s="455">
        <f t="array" ref="J19">IFERROR(INDEX('Retirement Calculator'!J:J,MATCH('Isaac 401k'!N19,'Retirement Calculator'!A:A,0),0),0)</f>
        <v>31188.244538569645</v>
      </c>
      <c r="K19" s="455">
        <f t="shared" ca="1" si="2"/>
        <v>11840.581720670954</v>
      </c>
      <c r="L19" s="455">
        <f t="shared" ca="1" si="3"/>
        <v>2853580.1946817003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1561393.1677380472</v>
      </c>
      <c r="C20" s="458">
        <f t="shared" si="0"/>
        <v>94358.621030227048</v>
      </c>
      <c r="D20" s="458">
        <f ca="1">SUMIF(G:G,13,K:K)</f>
        <v>77288.838985299459</v>
      </c>
      <c r="E20" s="458">
        <f t="shared" ca="1" si="1"/>
        <v>1544323.3856931196</v>
      </c>
      <c r="F20" s="442"/>
      <c r="G20" s="470">
        <v>2</v>
      </c>
      <c r="H20" s="470">
        <v>13</v>
      </c>
      <c r="I20" s="455">
        <f t="shared" ca="1" si="5"/>
        <v>2853580.1946817003</v>
      </c>
      <c r="J20" s="455">
        <f t="array" ref="J20">IFERROR(INDEX('Retirement Calculator'!J:J,MATCH('Isaac 401k'!N20,'Retirement Calculator'!A:A,0),0),0)</f>
        <v>31188.244538569645</v>
      </c>
      <c r="K20" s="455">
        <f t="shared" ca="1" si="2"/>
        <v>11759.96645892971</v>
      </c>
      <c r="L20" s="455">
        <f t="shared" ca="1" si="3"/>
        <v>2834151.9166020602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1544323.3856931196</v>
      </c>
      <c r="C21" s="458">
        <f t="shared" si="0"/>
        <v>94358.621030227048</v>
      </c>
      <c r="D21" s="458">
        <f ca="1">SUMIF(G:G,14,K:K)</f>
        <v>76415.516539453412</v>
      </c>
      <c r="E21" s="458">
        <f t="shared" ca="1" si="1"/>
        <v>1526380.2812023461</v>
      </c>
      <c r="F21" s="442"/>
      <c r="G21" s="470">
        <v>2</v>
      </c>
      <c r="H21" s="470">
        <v>14</v>
      </c>
      <c r="I21" s="455">
        <f t="shared" ca="1" si="5"/>
        <v>2834151.9166020602</v>
      </c>
      <c r="J21" s="455">
        <f t="array" ref="J21">IFERROR(INDEX('Retirement Calculator'!J:J,MATCH('Isaac 401k'!N21,'Retirement Calculator'!A:A,0),0),0)</f>
        <v>31188.244538569645</v>
      </c>
      <c r="K21" s="455">
        <f t="shared" ca="1" si="2"/>
        <v>11679.015300264544</v>
      </c>
      <c r="L21" s="455">
        <f t="shared" ca="1" si="3"/>
        <v>2814642.687363755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1526380.2812023461</v>
      </c>
      <c r="C22" s="458">
        <f t="shared" si="0"/>
        <v>94358.621030227048</v>
      </c>
      <c r="D22" s="458">
        <f ca="1">SUMIF(G:G,15,K:K)</f>
        <v>75497.513259815154</v>
      </c>
      <c r="E22" s="458">
        <f t="shared" ca="1" si="1"/>
        <v>1507519.1734319341</v>
      </c>
      <c r="F22" s="442"/>
      <c r="G22" s="470">
        <v>2</v>
      </c>
      <c r="H22" s="470">
        <v>15</v>
      </c>
      <c r="I22" s="455">
        <f t="shared" ca="1" si="5"/>
        <v>2814642.687363755</v>
      </c>
      <c r="J22" s="455">
        <f t="array" ref="J22">IFERROR(INDEX('Retirement Calculator'!J:J,MATCH('Isaac 401k'!N22,'Retirement Calculator'!A:A,0),0),0)</f>
        <v>31188.244538569645</v>
      </c>
      <c r="K22" s="455">
        <f t="shared" ca="1" si="2"/>
        <v>11597.726845104939</v>
      </c>
      <c r="L22" s="455">
        <f t="shared" ca="1" si="3"/>
        <v>2795052.1696702898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1507519.1734319341</v>
      </c>
      <c r="C23" s="458">
        <f t="shared" si="0"/>
        <v>94358.621030227048</v>
      </c>
      <c r="D23" s="458">
        <f ca="1">SUMIF(G:G,16,K:K)</f>
        <v>74532.543190128985</v>
      </c>
      <c r="E23" s="458">
        <f t="shared" ca="1" si="1"/>
        <v>1487693.0955918361</v>
      </c>
      <c r="F23" s="442"/>
      <c r="G23" s="470">
        <v>2</v>
      </c>
      <c r="H23" s="470">
        <v>16</v>
      </c>
      <c r="I23" s="455">
        <f t="shared" ca="1" si="5"/>
        <v>2795052.1696702898</v>
      </c>
      <c r="J23" s="455">
        <f t="array" ref="J23">IFERROR(INDEX('Retirement Calculator'!J:J,MATCH('Isaac 401k'!N23,'Retirement Calculator'!A:A,0),0),0)</f>
        <v>31188.244538569645</v>
      </c>
      <c r="K23" s="455">
        <f t="shared" ca="1" si="2"/>
        <v>11516.099688048833</v>
      </c>
      <c r="L23" s="455">
        <f t="shared" ca="1" si="3"/>
        <v>2775380.024819769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1487693.0955918361</v>
      </c>
      <c r="C24" s="458">
        <f t="shared" si="0"/>
        <v>94358.621030227048</v>
      </c>
      <c r="D24" s="458">
        <f ca="1">SUMIF(G:G,17,K:K)</f>
        <v>73518.203420278587</v>
      </c>
      <c r="E24" s="458">
        <f t="shared" ca="1" si="1"/>
        <v>1466852.6779818877</v>
      </c>
      <c r="F24" s="442"/>
      <c r="G24" s="470">
        <v>2</v>
      </c>
      <c r="H24" s="470">
        <v>17</v>
      </c>
      <c r="I24" s="455">
        <f t="shared" ca="1" si="5"/>
        <v>2775380.024819769</v>
      </c>
      <c r="J24" s="455">
        <f t="array" ref="J24">IFERROR(INDEX('Retirement Calculator'!J:J,MATCH('Isaac 401k'!N24,'Retirement Calculator'!A:A,0),0),0)</f>
        <v>31188.244538569645</v>
      </c>
      <c r="K24" s="455">
        <f t="shared" ca="1" si="2"/>
        <v>11434.132417838329</v>
      </c>
      <c r="L24" s="455">
        <f t="shared" ca="1" si="3"/>
        <v>2755625.9126990377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1466852.6779818877</v>
      </c>
      <c r="C25" s="458">
        <f t="shared" si="0"/>
        <v>94358.621030227048</v>
      </c>
      <c r="D25" s="458">
        <f ca="1">SUMIF(G:G,18,K:K)</f>
        <v>72451.968102705752</v>
      </c>
      <c r="E25" s="458">
        <f t="shared" ca="1" si="1"/>
        <v>1444946.0250543663</v>
      </c>
      <c r="F25" s="442"/>
      <c r="G25" s="470">
        <v>2</v>
      </c>
      <c r="H25" s="470">
        <v>18</v>
      </c>
      <c r="I25" s="455">
        <f t="shared" ca="1" si="5"/>
        <v>2755625.9126990377</v>
      </c>
      <c r="J25" s="455">
        <f t="array" ref="J25">IFERROR(INDEX('Retirement Calculator'!J:J,MATCH('Isaac 401k'!N25,'Retirement Calculator'!A:A,0),0),0)</f>
        <v>31188.244538569645</v>
      </c>
      <c r="K25" s="455">
        <f t="shared" ca="1" si="2"/>
        <v>11351.823617335283</v>
      </c>
      <c r="L25" s="455">
        <f t="shared" ca="1" si="3"/>
        <v>2735789.4917778033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1444946.0250543663</v>
      </c>
      <c r="C26" s="458">
        <f t="shared" si="0"/>
        <v>94358.621030227048</v>
      </c>
      <c r="D26" s="458">
        <f ca="1">SUMIF(G:G,19,K:K)</f>
        <v>71331.182162697325</v>
      </c>
      <c r="E26" s="458">
        <f t="shared" ca="1" si="1"/>
        <v>1421918.5861868367</v>
      </c>
      <c r="F26" s="442"/>
      <c r="G26" s="470">
        <v>2</v>
      </c>
      <c r="H26" s="470">
        <v>19</v>
      </c>
      <c r="I26" s="455">
        <f t="shared" ca="1" si="5"/>
        <v>2735789.4917778033</v>
      </c>
      <c r="J26" s="455">
        <f t="array" ref="J26">IFERROR(INDEX('Retirement Calculator'!J:J,MATCH('Isaac 401k'!N26,'Retirement Calculator'!A:A,0),0),0)</f>
        <v>31188.244538569645</v>
      </c>
      <c r="K26" s="455">
        <f t="shared" ca="1" si="2"/>
        <v>11269.171863496806</v>
      </c>
      <c r="L26" s="455">
        <f t="shared" ca="1" si="3"/>
        <v>2715870.4191027302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1421918.5861868367</v>
      </c>
      <c r="C27" s="458">
        <f t="shared" si="0"/>
        <v>94358.621030227048</v>
      </c>
      <c r="D27" s="458">
        <f ca="1">SUMIF(G:G,20,K:K)</f>
        <v>70153.054686878895</v>
      </c>
      <c r="E27" s="458">
        <f t="shared" ca="1" si="1"/>
        <v>1397713.0198434885</v>
      </c>
      <c r="F27" s="442"/>
      <c r="G27" s="470">
        <v>2</v>
      </c>
      <c r="H27" s="470">
        <v>20</v>
      </c>
      <c r="I27" s="455">
        <f t="shared" ca="1" si="5"/>
        <v>2715870.4191027302</v>
      </c>
      <c r="J27" s="455">
        <f t="array" ref="J27">IFERROR(INDEX('Retirement Calculator'!J:J,MATCH('Isaac 401k'!N27,'Retirement Calculator'!A:A,0),0),0)</f>
        <v>31188.244538569645</v>
      </c>
      <c r="K27" s="455">
        <f t="shared" ca="1" si="2"/>
        <v>11186.175727350668</v>
      </c>
      <c r="L27" s="455">
        <f t="shared" ca="1" si="3"/>
        <v>2695868.350291511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1397713.0198434885</v>
      </c>
      <c r="C28" s="458">
        <f t="shared" si="0"/>
        <v>94358.621030227048</v>
      </c>
      <c r="D28" s="458">
        <f ca="1">SUMIF(G:G,21,K:K)</f>
        <v>68914.651973450993</v>
      </c>
      <c r="E28" s="458">
        <f t="shared" ca="1" si="1"/>
        <v>1372269.0507867124</v>
      </c>
      <c r="F28" s="442"/>
      <c r="G28" s="470">
        <v>2</v>
      </c>
      <c r="H28" s="470">
        <v>21</v>
      </c>
      <c r="I28" s="455">
        <f t="shared" ca="1" si="5"/>
        <v>2695868.350291511</v>
      </c>
      <c r="J28" s="455">
        <f t="array" ref="J28">IFERROR(INDEX('Retirement Calculator'!J:J,MATCH('Isaac 401k'!N28,'Retirement Calculator'!A:A,0),0),0)</f>
        <v>31188.244538569645</v>
      </c>
      <c r="K28" s="455">
        <f t="shared" ca="1" si="2"/>
        <v>11102.833773970588</v>
      </c>
      <c r="L28" s="455">
        <f t="shared" ca="1" si="3"/>
        <v>2675782.9395269118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1372269.0507867124</v>
      </c>
      <c r="C29" s="458">
        <f t="shared" si="0"/>
        <v>94358.621030227048</v>
      </c>
      <c r="D29" s="458">
        <f ca="1">SUMIF(G:G,22,K:K)</f>
        <v>67612.890226862233</v>
      </c>
      <c r="E29" s="458">
        <f t="shared" ca="1" si="1"/>
        <v>1345523.3199833476</v>
      </c>
      <c r="F29" s="442"/>
      <c r="G29" s="470">
        <v>2</v>
      </c>
      <c r="H29" s="470">
        <v>22</v>
      </c>
      <c r="I29" s="455">
        <f t="shared" ca="1" si="5"/>
        <v>2675782.9395269118</v>
      </c>
      <c r="J29" s="455">
        <f t="array" ref="J29">IFERROR(INDEX('Retirement Calculator'!J:J,MATCH('Isaac 401k'!N29,'Retirement Calculator'!A:A,0),0),0)</f>
        <v>31188.244538569645</v>
      </c>
      <c r="K29" s="455">
        <f t="shared" ca="1" si="2"/>
        <v>11019.144562451425</v>
      </c>
      <c r="L29" s="455">
        <f t="shared" ca="1" si="3"/>
        <v>2655613.8395507936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1345523.3199833476</v>
      </c>
      <c r="C30" s="458">
        <f t="shared" si="0"/>
        <v>94358.621030227048</v>
      </c>
      <c r="D30" s="458">
        <f ca="1">SUMIF(G:G,23,K:K)</f>
        <v>66244.527878728142</v>
      </c>
      <c r="E30" s="458">
        <f t="shared" ca="1" si="1"/>
        <v>1317409.2268318487</v>
      </c>
      <c r="F30" s="442"/>
      <c r="G30" s="470">
        <v>2</v>
      </c>
      <c r="H30" s="470">
        <v>23</v>
      </c>
      <c r="I30" s="455">
        <f t="shared" ca="1" si="5"/>
        <v>2655613.8395507936</v>
      </c>
      <c r="J30" s="455">
        <f t="array" ref="J30">IFERROR(INDEX('Retirement Calculator'!J:J,MATCH('Isaac 401k'!N30,'Retirement Calculator'!A:A,0),0),0)</f>
        <v>31188.244538569645</v>
      </c>
      <c r="K30" s="455">
        <f t="shared" ca="1" si="2"/>
        <v>10935.106645884265</v>
      </c>
      <c r="L30" s="455">
        <f t="shared" ca="1" si="3"/>
        <v>2635360.7016581083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1317409.2268318487</v>
      </c>
      <c r="C31" s="458">
        <f t="shared" si="0"/>
        <v>94358.621030227048</v>
      </c>
      <c r="D31" s="458">
        <f ca="1">SUMIF(G:G,24,K:K)</f>
        <v>64806.157515873609</v>
      </c>
      <c r="E31" s="458">
        <f t="shared" ca="1" si="1"/>
        <v>1287856.7633174954</v>
      </c>
      <c r="F31" s="442"/>
      <c r="G31" s="470">
        <v>2</v>
      </c>
      <c r="H31" s="470">
        <v>24</v>
      </c>
      <c r="I31" s="455">
        <f t="shared" ca="1" si="5"/>
        <v>2635360.7016581083</v>
      </c>
      <c r="J31" s="455">
        <f t="array" ref="J31">IFERROR(INDEX('Retirement Calculator'!J:J,MATCH('Isaac 401k'!N31,'Retirement Calculator'!A:A,0),0),0)</f>
        <v>31188.244538569645</v>
      </c>
      <c r="K31" s="455">
        <f t="shared" ca="1" si="2"/>
        <v>10850.71857133141</v>
      </c>
      <c r="L31" s="455">
        <f t="shared" ca="1" si="3"/>
        <v>2615023.1756908698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1287856.7633174954</v>
      </c>
      <c r="C32" s="458">
        <f t="shared" si="0"/>
        <v>94358.621030227048</v>
      </c>
      <c r="D32" s="458">
        <f ca="1">SUMIF(G:G,25,K:K)</f>
        <v>63294.197395398587</v>
      </c>
      <c r="E32" s="458">
        <f t="shared" ca="1" si="1"/>
        <v>1256792.3396826668</v>
      </c>
      <c r="F32" s="442"/>
      <c r="G32" s="470">
        <v>3</v>
      </c>
      <c r="H32" s="470">
        <v>25</v>
      </c>
      <c r="I32" s="455">
        <f t="shared" ca="1" si="5"/>
        <v>2615023.1756908698</v>
      </c>
      <c r="J32" s="455">
        <f t="array" ref="J32">IFERROR(INDEX('Retirement Calculator'!J:J,MATCH('Isaac 401k'!N32,'Retirement Calculator'!A:A,0),0),0)</f>
        <v>31188.244538569645</v>
      </c>
      <c r="K32" s="455">
        <f t="shared" ca="1" si="2"/>
        <v>10765.978879801251</v>
      </c>
      <c r="L32" s="455">
        <f t="shared" ca="1" si="3"/>
        <v>2594600.9100321014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1256792.3396826668</v>
      </c>
      <c r="C33" s="458">
        <f t="shared" si="0"/>
        <v>94358.621030227048</v>
      </c>
      <c r="D33" s="458">
        <f ca="1">SUMIF(G:G,26,K:K)</f>
        <v>61704.88252563859</v>
      </c>
      <c r="E33" s="458">
        <f t="shared" ca="1" si="1"/>
        <v>1224138.6011780784</v>
      </c>
      <c r="F33" s="442"/>
      <c r="G33" s="470">
        <v>3</v>
      </c>
      <c r="H33" s="470">
        <v>26</v>
      </c>
      <c r="I33" s="455">
        <f t="shared" ca="1" si="5"/>
        <v>2594600.9100321014</v>
      </c>
      <c r="J33" s="455">
        <f t="array" ref="J33">IFERROR(INDEX('Retirement Calculator'!J:J,MATCH('Isaac 401k'!N33,'Retirement Calculator'!A:A,0),0),0)</f>
        <v>31188.244538569645</v>
      </c>
      <c r="K33" s="455">
        <f t="shared" ca="1" si="2"/>
        <v>10680.886106223048</v>
      </c>
      <c r="L33" s="455">
        <f t="shared" ca="1" si="3"/>
        <v>2574093.5515997545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1224138.6011780784</v>
      </c>
      <c r="C34" s="458">
        <f t="shared" si="0"/>
        <v>94358.621030227048</v>
      </c>
      <c r="D34" s="458">
        <f ca="1">SUMIF(G:G,27,K:K)</f>
        <v>60034.255290810004</v>
      </c>
      <c r="E34" s="458">
        <f t="shared" ca="1" si="1"/>
        <v>1189814.2354386614</v>
      </c>
      <c r="F34" s="442"/>
      <c r="G34" s="470">
        <v>3</v>
      </c>
      <c r="H34" s="470">
        <v>27</v>
      </c>
      <c r="I34" s="455">
        <f t="shared" ca="1" si="5"/>
        <v>2574093.5515997545</v>
      </c>
      <c r="J34" s="455">
        <f t="array" ref="J34">IFERROR(INDEX('Retirement Calculator'!J:J,MATCH('Isaac 401k'!N34,'Retirement Calculator'!A:A,0),0),0)</f>
        <v>31188.244538569645</v>
      </c>
      <c r="K34" s="455">
        <f t="shared" ca="1" si="2"/>
        <v>10595.438779421602</v>
      </c>
      <c r="L34" s="455">
        <f t="shared" ca="1" si="3"/>
        <v>2553500.7458406063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1189814.2354386614</v>
      </c>
      <c r="C35" s="458">
        <f t="shared" si="0"/>
        <v>94358.621030227048</v>
      </c>
      <c r="D35" s="458">
        <f ca="1">SUMIF(G:G,28,K:K)</f>
        <v>58278.155595994678</v>
      </c>
      <c r="E35" s="458">
        <f t="shared" ca="1" si="1"/>
        <v>1153733.7700044292</v>
      </c>
      <c r="F35" s="442"/>
      <c r="G35" s="470">
        <v>3</v>
      </c>
      <c r="H35" s="470">
        <v>28</v>
      </c>
      <c r="I35" s="455">
        <f t="shared" ca="1" si="5"/>
        <v>2553500.7458406063</v>
      </c>
      <c r="J35" s="455">
        <f t="array" ref="J35">IFERROR(INDEX('Retirement Calculator'!J:J,MATCH('Isaac 401k'!N35,'Retirement Calculator'!A:A,0),0),0)</f>
        <v>31188.244538569645</v>
      </c>
      <c r="K35" s="455">
        <f t="shared" ca="1" si="2"/>
        <v>10509.635422091818</v>
      </c>
      <c r="L35" s="455">
        <f t="shared" ca="1" si="3"/>
        <v>2532822.1367241284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1153733.7700044292</v>
      </c>
      <c r="C36" s="458">
        <f t="shared" si="0"/>
        <v>94358.621030227048</v>
      </c>
      <c r="D36" s="458">
        <f ca="1">SUMIF(G:G,29,K:K)</f>
        <v>56432.210507923039</v>
      </c>
      <c r="E36" s="458">
        <f t="shared" ca="1" si="1"/>
        <v>1115807.3594821251</v>
      </c>
      <c r="F36" s="442"/>
      <c r="G36" s="470">
        <v>3</v>
      </c>
      <c r="H36" s="470">
        <v>29</v>
      </c>
      <c r="I36" s="455">
        <f t="shared" ca="1" si="5"/>
        <v>2532822.1367241284</v>
      </c>
      <c r="J36" s="455">
        <f t="array" ref="J36">IFERROR(INDEX('Retirement Calculator'!J:J,MATCH('Isaac 401k'!N36,'Retirement Calculator'!A:A,0),0),0)</f>
        <v>31188.244538569645</v>
      </c>
      <c r="K36" s="455">
        <f t="shared" ca="1" si="2"/>
        <v>10423.47455077316</v>
      </c>
      <c r="L36" s="455">
        <f t="shared" ca="1" si="3"/>
        <v>2512057.366736332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1115807.3594821251</v>
      </c>
      <c r="C37" s="458">
        <f t="shared" si="0"/>
        <v>94358.621030227048</v>
      </c>
      <c r="D37" s="458">
        <f ca="1">SUMIF(G:G,30,K:K)</f>
        <v>54491.823365760225</v>
      </c>
      <c r="E37" s="458">
        <f t="shared" ca="1" si="1"/>
        <v>1075940.5618176584</v>
      </c>
      <c r="F37" s="442"/>
      <c r="G37" s="470">
        <v>3</v>
      </c>
      <c r="H37" s="470">
        <v>30</v>
      </c>
      <c r="I37" s="455">
        <f t="shared" ca="1" si="5"/>
        <v>2512057.366736332</v>
      </c>
      <c r="J37" s="455">
        <f t="array" ref="J37">IFERROR(INDEX('Retirement Calculator'!J:J,MATCH('Isaac 401k'!N37,'Retirement Calculator'!A:A,0),0),0)</f>
        <v>31188.244538569645</v>
      </c>
      <c r="K37" s="455">
        <f t="shared" ca="1" si="2"/>
        <v>10336.954675824009</v>
      </c>
      <c r="L37" s="455">
        <f t="shared" ca="1" si="3"/>
        <v>2491206.076873586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1075940.5618176584</v>
      </c>
      <c r="C38" s="458">
        <f t="shared" si="0"/>
        <v>94358.621030227048</v>
      </c>
      <c r="D38" s="458">
        <f ca="1">SUMIF(G:G,31,K:K)</f>
        <v>52452.162334779037</v>
      </c>
      <c r="E38" s="458">
        <f t="shared" ca="1" si="1"/>
        <v>1034034.1031222104</v>
      </c>
      <c r="F38" s="442"/>
      <c r="G38" s="470">
        <v>3</v>
      </c>
      <c r="H38" s="470">
        <v>31</v>
      </c>
      <c r="I38" s="455">
        <f t="shared" ca="1" si="5"/>
        <v>2491206.076873586</v>
      </c>
      <c r="J38" s="455">
        <f t="array" ref="J38">IFERROR(INDEX('Retirement Calculator'!J:J,MATCH('Isaac 401k'!N38,'Retirement Calculator'!A:A,0),0),0)</f>
        <v>31188.244538569645</v>
      </c>
      <c r="K38" s="455">
        <f t="shared" ca="1" si="2"/>
        <v>10250.0743013959</v>
      </c>
      <c r="L38" s="455">
        <f t="shared" ca="1" si="3"/>
        <v>2470267.9066364123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1034034.1031222104</v>
      </c>
      <c r="C39" s="458">
        <f t="shared" si="0"/>
        <v>94358.621030227048</v>
      </c>
      <c r="D39" s="458">
        <f ca="1">SUMIF(G:G,32,K:K)</f>
        <v>50308.14837441744</v>
      </c>
      <c r="E39" s="458">
        <f t="shared" ca="1" si="1"/>
        <v>989983.63046640076</v>
      </c>
      <c r="F39" s="442"/>
      <c r="G39" s="470">
        <v>3</v>
      </c>
      <c r="H39" s="470">
        <v>32</v>
      </c>
      <c r="I39" s="455">
        <f t="shared" ca="1" si="5"/>
        <v>2470267.9066364123</v>
      </c>
      <c r="J39" s="455">
        <f t="array" ref="J39">IFERROR(INDEX('Retirement Calculator'!J:J,MATCH('Isaac 401k'!N39,'Retirement Calculator'!A:A,0),0),0)</f>
        <v>31188.244538569645</v>
      </c>
      <c r="K39" s="455">
        <f t="shared" ca="1" si="2"/>
        <v>10162.831925407676</v>
      </c>
      <c r="L39" s="455">
        <f t="shared" ca="1" si="3"/>
        <v>2449242.49402325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989983.63046640076</v>
      </c>
      <c r="C40" s="458">
        <f t="shared" si="0"/>
        <v>94358.621030227048</v>
      </c>
      <c r="D40" s="458">
        <f ca="1">SUMIF(G:G,33,K:K)</f>
        <v>48054.442590758816</v>
      </c>
      <c r="E40" s="458">
        <f t="shared" ca="1" si="1"/>
        <v>943679.4520269325</v>
      </c>
      <c r="F40" s="442"/>
      <c r="G40" s="470">
        <v>3</v>
      </c>
      <c r="H40" s="470">
        <v>33</v>
      </c>
      <c r="I40" s="455">
        <f t="shared" ca="1" si="5"/>
        <v>2449242.49402325</v>
      </c>
      <c r="J40" s="455">
        <f t="array" ref="J40">IFERROR(INDEX('Retirement Calculator'!J:J,MATCH('Isaac 401k'!N40,'Retirement Calculator'!A:A,0),0),0)</f>
        <v>31188.244538569645</v>
      </c>
      <c r="K40" s="455">
        <f t="shared" ca="1" si="2"/>
        <v>10075.226039519501</v>
      </c>
      <c r="L40" s="455">
        <f t="shared" ca="1" si="3"/>
        <v>2428129.4755241997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943679.4520269325</v>
      </c>
      <c r="C41" s="458">
        <f t="shared" si="0"/>
        <v>94358.621030227048</v>
      </c>
      <c r="D41" s="458">
        <f ca="1">SUMIF(G:G,34,K:K)</f>
        <v>45685.432941941188</v>
      </c>
      <c r="E41" s="458">
        <f t="shared" ca="1" si="1"/>
        <v>895006.26393864665</v>
      </c>
      <c r="F41" s="442"/>
      <c r="G41" s="470">
        <v>3</v>
      </c>
      <c r="H41" s="470">
        <v>34</v>
      </c>
      <c r="I41" s="455">
        <f t="shared" ca="1" si="5"/>
        <v>2428129.4755241997</v>
      </c>
      <c r="J41" s="455">
        <f t="array" ref="J41">IFERROR(INDEX('Retirement Calculator'!J:J,MATCH('Isaac 401k'!N41,'Retirement Calculator'!A:A,0),0),0)</f>
        <v>31188.244538569645</v>
      </c>
      <c r="K41" s="455">
        <f t="shared" ca="1" si="2"/>
        <v>9987.2551291067903</v>
      </c>
      <c r="L41" s="455">
        <f t="shared" ca="1" si="3"/>
        <v>2406928.4861147366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895006.26393864665</v>
      </c>
      <c r="C42" s="458">
        <f t="shared" si="0"/>
        <v>94358.621030227048</v>
      </c>
      <c r="D42" s="458">
        <f ca="1">SUMIF(G:G,35,K:K)</f>
        <v>43195.220263389907</v>
      </c>
      <c r="E42" s="458">
        <f t="shared" ca="1" si="1"/>
        <v>843842.86317180947</v>
      </c>
      <c r="F42" s="442"/>
      <c r="G42" s="470">
        <v>3</v>
      </c>
      <c r="H42" s="470">
        <v>35</v>
      </c>
      <c r="I42" s="455">
        <f t="shared" ca="1" si="5"/>
        <v>2406928.4861147366</v>
      </c>
      <c r="J42" s="455">
        <f t="array" ref="J42">IFERROR(INDEX('Retirement Calculator'!J:J,MATCH('Isaac 401k'!N42,'Retirement Calculator'!A:A,0),0),0)</f>
        <v>31188.244538569645</v>
      </c>
      <c r="K42" s="455">
        <f t="shared" ca="1" si="2"/>
        <v>9898.9176732340275</v>
      </c>
      <c r="L42" s="455">
        <f t="shared" ca="1" si="3"/>
        <v>2385639.1592494007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843842.86317180947</v>
      </c>
      <c r="C43" s="458">
        <f t="shared" si="0"/>
        <v>94358.621030227048</v>
      </c>
      <c r="D43" s="458">
        <f ca="1">SUMIF(G:G,36,K:K)</f>
        <v>40577.603578074784</v>
      </c>
      <c r="E43" s="458">
        <f t="shared" ca="1" si="1"/>
        <v>790061.84571965726</v>
      </c>
      <c r="F43" s="442"/>
      <c r="G43" s="470">
        <v>3</v>
      </c>
      <c r="H43" s="470">
        <v>36</v>
      </c>
      <c r="I43" s="455">
        <f t="shared" ca="1" si="5"/>
        <v>2385639.1592494007</v>
      </c>
      <c r="J43" s="455">
        <f t="array" ref="J43">IFERROR(INDEX('Retirement Calculator'!J:J,MATCH('Isaac 401k'!N43,'Retirement Calculator'!A:A,0),0),0)</f>
        <v>31188.244538569645</v>
      </c>
      <c r="K43" s="455">
        <f t="shared" ca="1" si="2"/>
        <v>9810.2121446284618</v>
      </c>
      <c r="L43" s="455">
        <f t="shared" ca="1" si="3"/>
        <v>2364261.1268554595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790061.84571965726</v>
      </c>
      <c r="C44" s="458">
        <f t="shared" si="0"/>
        <v>94358.621030227048</v>
      </c>
      <c r="D44" s="458">
        <f ca="1">SUMIF(G:G,37,K:K)</f>
        <v>37826.064655212052</v>
      </c>
      <c r="E44" s="458">
        <f t="shared" ca="1" si="1"/>
        <v>733529.28934464231</v>
      </c>
      <c r="F44" s="442"/>
      <c r="G44" s="470">
        <v>4</v>
      </c>
      <c r="H44" s="470">
        <v>37</v>
      </c>
      <c r="I44" s="455">
        <f t="shared" ca="1" si="5"/>
        <v>2364261.1268554595</v>
      </c>
      <c r="J44" s="455">
        <f t="array" ref="J44">IFERROR(INDEX('Retirement Calculator'!J:J,MATCH('Isaac 401k'!N44,'Retirement Calculator'!A:A,0),0),0)</f>
        <v>31188.244538569645</v>
      </c>
      <c r="K44" s="455">
        <f t="shared" ca="1" si="2"/>
        <v>9721.1370096537066</v>
      </c>
      <c r="L44" s="455">
        <f t="shared" ca="1" si="3"/>
        <v>2342794.0193265434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733529.28934464231</v>
      </c>
      <c r="C45" s="458">
        <f t="shared" si="0"/>
        <v>94358.621030227048</v>
      </c>
      <c r="D45" s="458">
        <f ca="1">SUMIF(G:G,38,K:K)</f>
        <v>34933.751778960199</v>
      </c>
      <c r="E45" s="458">
        <f t="shared" ca="1" si="1"/>
        <v>674104.42009337549</v>
      </c>
      <c r="F45" s="442"/>
      <c r="G45" s="470">
        <v>4</v>
      </c>
      <c r="H45" s="470">
        <v>38</v>
      </c>
      <c r="I45" s="455">
        <f t="shared" ca="1" si="5"/>
        <v>2342794.0193265434</v>
      </c>
      <c r="J45" s="455">
        <f t="array" ref="J45">IFERROR(INDEX('Retirement Calculator'!J:J,MATCH('Isaac 401k'!N45,'Retirement Calculator'!A:A,0),0),0)</f>
        <v>31188.244538569645</v>
      </c>
      <c r="K45" s="455">
        <f t="shared" ca="1" si="2"/>
        <v>9631.6907282832235</v>
      </c>
      <c r="L45" s="455">
        <f t="shared" ca="1" si="3"/>
        <v>2321237.4655162566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674104.42009337549</v>
      </c>
      <c r="C46" s="458">
        <f t="shared" si="0"/>
        <v>94358.621030227048</v>
      </c>
      <c r="D46" s="458">
        <f ca="1">SUMIF(G:G,39,K:K)</f>
        <v>31893.462686691531</v>
      </c>
      <c r="E46" s="458">
        <f t="shared" ca="1" si="1"/>
        <v>611639.26174983999</v>
      </c>
      <c r="F46" s="442"/>
      <c r="G46" s="470">
        <v>4</v>
      </c>
      <c r="H46" s="470">
        <v>39</v>
      </c>
      <c r="I46" s="455">
        <f t="shared" ca="1" si="5"/>
        <v>2321237.4655162566</v>
      </c>
      <c r="J46" s="455">
        <f t="array" ref="J46">IFERROR(INDEX('Retirement Calculator'!J:J,MATCH('Isaac 401k'!N46,'Retirement Calculator'!A:A,0),0),0)</f>
        <v>31188.244538569645</v>
      </c>
      <c r="K46" s="455">
        <f t="shared" ca="1" si="2"/>
        <v>9541.8717540736943</v>
      </c>
      <c r="L46" s="455">
        <f t="shared" ca="1" si="3"/>
        <v>2299591.0927317603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611639.26174983999</v>
      </c>
      <c r="C47" s="458">
        <f t="shared" si="0"/>
        <v>94358.621030227048</v>
      </c>
      <c r="D47" s="458">
        <f ca="1">SUMIF(G:G,40,K:K)</f>
        <v>28697.626634353255</v>
      </c>
      <c r="E47" s="458">
        <f t="shared" ca="1" si="1"/>
        <v>545978.26735396625</v>
      </c>
      <c r="F47" s="442"/>
      <c r="G47" s="470">
        <v>4</v>
      </c>
      <c r="H47" s="470">
        <v>40</v>
      </c>
      <c r="I47" s="455">
        <f t="shared" ca="1" si="5"/>
        <v>2299591.0927317603</v>
      </c>
      <c r="J47" s="455">
        <f t="array" ref="J47">IFERROR(INDEX('Retirement Calculator'!J:J,MATCH('Isaac 401k'!N47,'Retirement Calculator'!A:A,0),0),0)</f>
        <v>31188.244538569645</v>
      </c>
      <c r="K47" s="455">
        <f t="shared" ca="1" si="2"/>
        <v>9451.6785341382929</v>
      </c>
      <c r="L47" s="455">
        <f t="shared" ca="1" si="3"/>
        <v>2277854.526727329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545978.26735396625</v>
      </c>
      <c r="C48" s="458">
        <f t="shared" si="0"/>
        <v>94358.621030227048</v>
      </c>
      <c r="D48" s="458">
        <f ca="1">SUMIF(G:G,41,K:K)</f>
        <v>25338.285544258488</v>
      </c>
      <c r="E48" s="458">
        <f t="shared" ca="1" si="1"/>
        <v>476957.93186799769</v>
      </c>
      <c r="F48" s="442"/>
      <c r="G48" s="470">
        <v>4</v>
      </c>
      <c r="H48" s="470">
        <v>41</v>
      </c>
      <c r="I48" s="455">
        <f t="shared" ca="1" si="5"/>
        <v>2277854.526727329</v>
      </c>
      <c r="J48" s="455">
        <f t="array" ref="J48">IFERROR(INDEX('Retirement Calculator'!J:J,MATCH('Isaac 401k'!N48,'Retirement Calculator'!A:A,0),0),0)</f>
        <v>31188.244538569645</v>
      </c>
      <c r="K48" s="455">
        <f t="shared" ca="1" si="2"/>
        <v>9361.1095091198295</v>
      </c>
      <c r="L48" s="455">
        <f t="shared" ca="1" si="3"/>
        <v>2256027.3916978789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476957.93186799769</v>
      </c>
      <c r="C49" s="458">
        <f t="shared" si="0"/>
        <v>94358.621030227048</v>
      </c>
      <c r="D49" s="458">
        <f ca="1">SUMIF(G:G,42,K:K)</f>
        <v>21807.074188362392</v>
      </c>
      <c r="E49" s="458">
        <f t="shared" ca="1" si="1"/>
        <v>404406.38502613304</v>
      </c>
      <c r="F49" s="442"/>
      <c r="G49" s="470">
        <v>4</v>
      </c>
      <c r="H49" s="470">
        <v>42</v>
      </c>
      <c r="I49" s="455">
        <f t="shared" ca="1" si="5"/>
        <v>2256027.3916978789</v>
      </c>
      <c r="J49" s="455">
        <f t="array" ref="J49">IFERROR(INDEX('Retirement Calculator'!J:J,MATCH('Isaac 401k'!N49,'Retirement Calculator'!A:A,0),0),0)</f>
        <v>31188.244538569645</v>
      </c>
      <c r="K49" s="455">
        <f t="shared" ca="1" si="2"/>
        <v>9270.1631131637878</v>
      </c>
      <c r="L49" s="455">
        <f t="shared" ca="1" si="3"/>
        <v>2234109.3102724729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404406.38502613304</v>
      </c>
      <c r="C50" s="458">
        <f t="shared" si="0"/>
        <v>94358.621030227048</v>
      </c>
      <c r="D50" s="458">
        <f ca="1">SUMIF(G:G,43,K:K)</f>
        <v>18095.199357677113</v>
      </c>
      <c r="E50" s="458">
        <f t="shared" ca="1" si="1"/>
        <v>328142.96335358312</v>
      </c>
      <c r="F50" s="442"/>
      <c r="G50" s="470">
        <v>4</v>
      </c>
      <c r="H50" s="470">
        <v>43</v>
      </c>
      <c r="I50" s="455">
        <f t="shared" ca="1" si="5"/>
        <v>2234109.3102724729</v>
      </c>
      <c r="J50" s="455">
        <f t="array" ref="J50">IFERROR(INDEX('Retirement Calculator'!J:J,MATCH('Isaac 401k'!N50,'Retirement Calculator'!A:A,0),0),0)</f>
        <v>30565.244538569641</v>
      </c>
      <c r="K50" s="455">
        <f t="shared" ca="1" si="2"/>
        <v>9181.4336072245969</v>
      </c>
      <c r="L50" s="455">
        <f t="shared" ca="1" si="3"/>
        <v>2212725.4993411275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328142.96335358312</v>
      </c>
      <c r="C51" s="458">
        <f t="shared" si="0"/>
        <v>94358.621030227048</v>
      </c>
      <c r="D51" s="458">
        <f ca="1">SUMIF(G:G,44,K:K)</f>
        <v>14193.41796595455</v>
      </c>
      <c r="E51" s="458">
        <f t="shared" ca="1" si="1"/>
        <v>247977.76028931062</v>
      </c>
      <c r="F51" s="442"/>
      <c r="G51" s="470">
        <v>4</v>
      </c>
      <c r="H51" s="470">
        <v>44</v>
      </c>
      <c r="I51" s="455">
        <f t="shared" ca="1" si="5"/>
        <v>2212725.4993411275</v>
      </c>
      <c r="J51" s="455">
        <f t="array" ref="J51">IFERROR(INDEX('Retirement Calculator'!J:J,MATCH('Isaac 401k'!N51,'Retirement Calculator'!A:A,0),0),0)</f>
        <v>30565.244538569641</v>
      </c>
      <c r="K51" s="455">
        <f t="shared" ca="1" si="2"/>
        <v>9092.3343950106573</v>
      </c>
      <c r="L51" s="455">
        <f t="shared" ca="1" si="3"/>
        <v>2191252.5891975681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247977.76028931062</v>
      </c>
      <c r="C52" s="458">
        <f t="shared" si="0"/>
        <v>94358.621030227048</v>
      </c>
      <c r="D52" s="458">
        <f ca="1">SUMIF(G:G,45,K:K)</f>
        <v>10092.014033111838</v>
      </c>
      <c r="E52" s="458">
        <f t="shared" ca="1" si="1"/>
        <v>163711.15329219541</v>
      </c>
      <c r="F52" s="442"/>
      <c r="G52" s="470">
        <v>4</v>
      </c>
      <c r="H52" s="470">
        <v>45</v>
      </c>
      <c r="I52" s="455">
        <f t="shared" ca="1" si="5"/>
        <v>2191252.5891975681</v>
      </c>
      <c r="J52" s="455">
        <f t="array" ref="J52">IFERROR(INDEX('Retirement Calculator'!J:J,MATCH('Isaac 401k'!N52,'Retirement Calculator'!A:A,0),0),0)</f>
        <v>30565.244538569641</v>
      </c>
      <c r="K52" s="455">
        <f t="shared" ca="1" si="2"/>
        <v>9002.8639360791603</v>
      </c>
      <c r="L52" s="455">
        <f t="shared" ca="1" si="3"/>
        <v>2169690.2085950775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163711.15329219541</v>
      </c>
      <c r="C53" s="458">
        <f t="shared" si="0"/>
        <v>94358.621030227048</v>
      </c>
      <c r="D53" s="458">
        <f ca="1">SUMIF(G:G,46,K:K)</f>
        <v>5780.7744910852898</v>
      </c>
      <c r="E53" s="458">
        <f t="shared" ca="1" si="1"/>
        <v>75133.30675305365</v>
      </c>
      <c r="F53" s="442"/>
      <c r="G53" s="470">
        <v>4</v>
      </c>
      <c r="H53" s="470">
        <v>46</v>
      </c>
      <c r="I53" s="455">
        <f t="shared" ca="1" si="5"/>
        <v>2169690.2085950775</v>
      </c>
      <c r="J53" s="455">
        <f t="array" ref="J53">IFERROR(INDEX('Retirement Calculator'!J:J,MATCH('Isaac 401k'!N53,'Retirement Calculator'!A:A,0),0),0)</f>
        <v>30565.244538569641</v>
      </c>
      <c r="K53" s="455">
        <f t="shared" ca="1" si="2"/>
        <v>8913.0206835687823</v>
      </c>
      <c r="L53" s="455">
        <f t="shared" ca="1" si="3"/>
        <v>2148037.9847400766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75133.30675305365</v>
      </c>
      <c r="C54" s="458">
        <f t="shared" si="0"/>
        <v>94358.621030227048</v>
      </c>
      <c r="D54" s="458">
        <f ca="1">SUMIF(G:G,47,K:K)</f>
        <v>1248.9637518658853</v>
      </c>
      <c r="E54" s="458">
        <f t="shared" ca="1" si="1"/>
        <v>-17976.350525307513</v>
      </c>
      <c r="F54" s="442"/>
      <c r="G54" s="470">
        <v>4</v>
      </c>
      <c r="H54" s="470">
        <v>47</v>
      </c>
      <c r="I54" s="455">
        <f t="shared" ca="1" si="5"/>
        <v>2148037.9847400766</v>
      </c>
      <c r="J54" s="455">
        <f t="array" ref="J54">IFERROR(INDEX('Retirement Calculator'!J:J,MATCH('Isaac 401k'!N54,'Retirement Calculator'!A:A,0),0),0)</f>
        <v>30565.244538569641</v>
      </c>
      <c r="K54" s="455">
        <f t="shared" ca="1" si="2"/>
        <v>8822.8030841729451</v>
      </c>
      <c r="L54" s="455">
        <f t="shared" ca="1" si="3"/>
        <v>2126295.5432856795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-17976.350525307513</v>
      </c>
      <c r="C55" s="458">
        <f t="shared" si="0"/>
        <v>94358.621030227048</v>
      </c>
      <c r="D55" s="458">
        <f ca="1">SUMIF(G:G,48,K:K)</f>
        <v>-3514.7030256128037</v>
      </c>
      <c r="E55" s="458">
        <f t="shared" ca="1" si="1"/>
        <v>-115849.67458114737</v>
      </c>
      <c r="F55" s="442"/>
      <c r="G55" s="470">
        <v>4</v>
      </c>
      <c r="H55" s="470">
        <v>48</v>
      </c>
      <c r="I55" s="455">
        <f t="shared" ca="1" si="5"/>
        <v>2126295.5432856795</v>
      </c>
      <c r="J55" s="455">
        <f t="array" ref="J55">IFERROR(INDEX('Retirement Calculator'!J:J,MATCH('Isaac 401k'!N55,'Retirement Calculator'!A:A,0),0),0)</f>
        <v>30565.244538569641</v>
      </c>
      <c r="K55" s="455">
        <f t="shared" ca="1" si="2"/>
        <v>8732.2095781129574</v>
      </c>
      <c r="L55" s="455">
        <f t="shared" ca="1" si="3"/>
        <v>2104462.5083252229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-115849.67458114737</v>
      </c>
      <c r="C56" s="458">
        <f t="shared" si="0"/>
        <v>94358.621030227048</v>
      </c>
      <c r="D56" s="458">
        <f ca="1">SUMIF(G:G,49,K:K)</f>
        <v>-8522.0880363034612</v>
      </c>
      <c r="E56" s="458">
        <f t="shared" ca="1" si="1"/>
        <v>-218730.3836476779</v>
      </c>
      <c r="F56" s="442"/>
      <c r="G56" s="470">
        <f>G55+1</f>
        <v>5</v>
      </c>
      <c r="H56" s="470">
        <v>49</v>
      </c>
      <c r="I56" s="455">
        <f t="shared" ca="1" si="5"/>
        <v>2104462.5083252229</v>
      </c>
      <c r="J56" s="455">
        <f t="array" ref="J56">IFERROR(INDEX('Retirement Calculator'!J:J,MATCH('Isaac 401k'!N56,'Retirement Calculator'!A:A,0),0),0)</f>
        <v>30565.244538569641</v>
      </c>
      <c r="K56" s="455">
        <f t="shared" ca="1" si="2"/>
        <v>8641.238599111055</v>
      </c>
      <c r="L56" s="455">
        <f t="shared" ca="1" si="3"/>
        <v>2082538.5023857644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-218730.3836476779</v>
      </c>
      <c r="C57" s="458">
        <f t="shared" si="0"/>
        <v>94358.621030227048</v>
      </c>
      <c r="D57" s="458">
        <f ca="1">SUMIF(G:G,50,K:K)</f>
        <v>-13785.660367565599</v>
      </c>
      <c r="E57" s="458">
        <f t="shared" ca="1" si="1"/>
        <v>-326874.66504547052</v>
      </c>
      <c r="F57" s="442"/>
      <c r="G57" s="470">
        <f t="shared" ref="G57:G67" si="8">G56</f>
        <v>5</v>
      </c>
      <c r="H57" s="470">
        <v>50</v>
      </c>
      <c r="I57" s="455">
        <f t="shared" ca="1" si="5"/>
        <v>2082538.5023857644</v>
      </c>
      <c r="J57" s="455">
        <f t="array" ref="J57">IFERROR(INDEX('Retirement Calculator'!J:J,MATCH('Isaac 401k'!N57,'Retirement Calculator'!A:A,0),0),0)</f>
        <v>30565.244538569641</v>
      </c>
      <c r="K57" s="455">
        <f t="shared" ca="1" si="2"/>
        <v>8549.8885743633127</v>
      </c>
      <c r="L57" s="455">
        <f t="shared" ca="1" si="3"/>
        <v>2060523.146421558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-326874.66504547052</v>
      </c>
      <c r="C58" s="458">
        <f t="shared" si="0"/>
        <v>94358.621030227048</v>
      </c>
      <c r="D58" s="458">
        <f ca="1">SUMIF(G:G,51,K:K)</f>
        <v>-19318.527048932894</v>
      </c>
      <c r="E58" s="458">
        <f t="shared" ca="1" si="1"/>
        <v>-440551.81312463048</v>
      </c>
      <c r="F58" s="442"/>
      <c r="G58" s="470">
        <f t="shared" si="8"/>
        <v>5</v>
      </c>
      <c r="H58" s="470">
        <v>51</v>
      </c>
      <c r="I58" s="455">
        <f t="shared" ca="1" si="5"/>
        <v>2060523.146421558</v>
      </c>
      <c r="J58" s="455">
        <f t="array" ref="J58">IFERROR(INDEX('Retirement Calculator'!J:J,MATCH('Isaac 401k'!N58,'Retirement Calculator'!A:A,0),0),0)</f>
        <v>30565.244538569641</v>
      </c>
      <c r="K58" s="455">
        <f t="shared" ca="1" si="2"/>
        <v>8458.1579245124503</v>
      </c>
      <c r="L58" s="455">
        <f t="shared" ca="1" si="3"/>
        <v>2038416.0598075008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-440551.81312463048</v>
      </c>
      <c r="C59" s="458">
        <f t="shared" si="0"/>
        <v>94358.621030227048</v>
      </c>
      <c r="D59" s="458">
        <f ca="1">SUMIF(G:G,52,K:K)</f>
        <v>-25134.465690445548</v>
      </c>
      <c r="E59" s="458">
        <f t="shared" ca="1" si="1"/>
        <v>-560044.89984530304</v>
      </c>
      <c r="F59" s="442"/>
      <c r="G59" s="470">
        <f t="shared" si="8"/>
        <v>5</v>
      </c>
      <c r="H59" s="470">
        <v>52</v>
      </c>
      <c r="I59" s="455">
        <f t="shared" ca="1" si="5"/>
        <v>2038416.0598075008</v>
      </c>
      <c r="J59" s="455">
        <f t="array" ref="J59">IFERROR(INDEX('Retirement Calculator'!J:J,MATCH('Isaac 401k'!N59,'Retirement Calculator'!A:A,0),0),0)</f>
        <v>30565.244538569641</v>
      </c>
      <c r="K59" s="455">
        <f t="shared" ca="1" si="2"/>
        <v>8366.045063620546</v>
      </c>
      <c r="L59" s="455">
        <f t="shared" ca="1" si="3"/>
        <v>2016216.8603325516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-560044.89984530304</v>
      </c>
      <c r="C60" s="458">
        <f t="shared" si="0"/>
        <v>94358.621030227048</v>
      </c>
      <c r="D60" s="458">
        <f ca="1">SUMIF(G:G,53,K:K)</f>
        <v>-31247.9587908217</v>
      </c>
      <c r="E60" s="458">
        <f t="shared" ca="1" si="1"/>
        <v>-685651.47966635181</v>
      </c>
      <c r="F60" s="442"/>
      <c r="G60" s="470">
        <f t="shared" si="8"/>
        <v>5</v>
      </c>
      <c r="H60" s="470">
        <v>53</v>
      </c>
      <c r="I60" s="455">
        <f t="shared" ca="1" si="5"/>
        <v>2016216.8603325516</v>
      </c>
      <c r="J60" s="455">
        <f t="array" ref="J60">IFERROR(INDEX('Retirement Calculator'!J:J,MATCH('Isaac 401k'!N60,'Retirement Calculator'!A:A,0),0),0)</f>
        <v>30565.244538569641</v>
      </c>
      <c r="K60" s="455">
        <f t="shared" ca="1" si="2"/>
        <v>8273.5483991415913</v>
      </c>
      <c r="L60" s="455">
        <f t="shared" ca="1" si="3"/>
        <v>1993925.1641931236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-685651.47966635181</v>
      </c>
      <c r="C61" s="458">
        <f t="shared" si="0"/>
        <v>94358.621030227048</v>
      </c>
      <c r="D61" s="458">
        <f ca="1">SUMIF(G:G,54,K:K)</f>
        <v>-37674.229800899979</v>
      </c>
      <c r="E61" s="458">
        <f t="shared" ca="1" si="1"/>
        <v>-817684.33049747883</v>
      </c>
      <c r="F61" s="442"/>
      <c r="G61" s="470">
        <f t="shared" si="8"/>
        <v>5</v>
      </c>
      <c r="H61" s="470">
        <v>54</v>
      </c>
      <c r="I61" s="455">
        <f t="shared" ca="1" si="5"/>
        <v>1993925.1641931236</v>
      </c>
      <c r="J61" s="455">
        <f t="array" ref="J61">IFERROR(INDEX('Retirement Calculator'!J:J,MATCH('Isaac 401k'!N61,'Retirement Calculator'!A:A,0),0),0)</f>
        <v>30565.244538569641</v>
      </c>
      <c r="K61" s="455">
        <f t="shared" ca="1" si="2"/>
        <v>8180.6663318939736</v>
      </c>
      <c r="L61" s="455">
        <f t="shared" ca="1" si="3"/>
        <v>1971540.585986448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-817684.33049747883</v>
      </c>
      <c r="C62" s="458">
        <f t="shared" si="0"/>
        <v>94358.621030227048</v>
      </c>
      <c r="D62" s="458">
        <f ca="1">SUMIF(G:G,55,K:K)</f>
        <v>-44429.281032156228</v>
      </c>
      <c r="E62" s="458">
        <f t="shared" ca="1" si="1"/>
        <v>-956472.23255986208</v>
      </c>
      <c r="F62" s="442"/>
      <c r="G62" s="470">
        <f t="shared" si="8"/>
        <v>5</v>
      </c>
      <c r="H62" s="470">
        <v>55</v>
      </c>
      <c r="I62" s="455">
        <f t="shared" ca="1" si="5"/>
        <v>1971540.585986448</v>
      </c>
      <c r="J62" s="455">
        <f t="array" ref="J62">IFERROR(INDEX('Retirement Calculator'!J:J,MATCH('Isaac 401k'!N62,'Retirement Calculator'!A:A,0),0),0)</f>
        <v>30565.244538569641</v>
      </c>
      <c r="K62" s="455">
        <f t="shared" ca="1" si="2"/>
        <v>8087.3972560328266</v>
      </c>
      <c r="L62" s="455">
        <f t="shared" ca="1" si="3"/>
        <v>1949062.7387039112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-956472.23255986208</v>
      </c>
      <c r="C63" s="458">
        <f t="shared" si="0"/>
        <v>94358.621030227048</v>
      </c>
      <c r="D63" s="458">
        <f ca="1">SUMIF(G:G,56,K:K)</f>
        <v>-51529.933504691893</v>
      </c>
      <c r="E63" s="458">
        <f t="shared" ca="1" si="1"/>
        <v>-1102360.7870947809</v>
      </c>
      <c r="F63" s="442"/>
      <c r="G63" s="470">
        <f t="shared" si="8"/>
        <v>5</v>
      </c>
      <c r="H63" s="470">
        <v>56</v>
      </c>
      <c r="I63" s="455">
        <f t="shared" ca="1" si="5"/>
        <v>1949062.7387039112</v>
      </c>
      <c r="J63" s="455">
        <f t="array" ref="J63">IFERROR(INDEX('Retirement Calculator'!J:J,MATCH('Isaac 401k'!N63,'Retirement Calculator'!A:A,0),0),0)</f>
        <v>30565.244538569641</v>
      </c>
      <c r="K63" s="455">
        <f t="shared" ca="1" si="2"/>
        <v>7993.7395590222568</v>
      </c>
      <c r="L63" s="455">
        <f t="shared" ca="1" si="3"/>
        <v>1926491.2337243638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-1102360.7870947809</v>
      </c>
      <c r="C64" s="458">
        <f t="shared" si="0"/>
        <v>94358.621030227048</v>
      </c>
      <c r="D64" s="458">
        <f ca="1">SUMIF(G:G,57,K:K)</f>
        <v>-58993.868833921078</v>
      </c>
      <c r="E64" s="458">
        <f t="shared" ca="1" si="1"/>
        <v>-1255713.2769589291</v>
      </c>
      <c r="F64" s="442"/>
      <c r="G64" s="470">
        <f t="shared" si="8"/>
        <v>5</v>
      </c>
      <c r="H64" s="470">
        <v>57</v>
      </c>
      <c r="I64" s="455">
        <f t="shared" ca="1" si="5"/>
        <v>1926491.2337243638</v>
      </c>
      <c r="J64" s="455">
        <f t="array" ref="J64">IFERROR(INDEX('Retirement Calculator'!J:J,MATCH('Isaac 401k'!N64,'Retirement Calculator'!A:A,0),0),0)</f>
        <v>30565.244538569641</v>
      </c>
      <c r="K64" s="455">
        <f t="shared" ca="1" si="2"/>
        <v>7899.691621607476</v>
      </c>
      <c r="L64" s="455">
        <f t="shared" ca="1" si="3"/>
        <v>1903825.6808074017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-1255713.2769589291</v>
      </c>
      <c r="C65" s="458">
        <f t="shared" si="0"/>
        <v>94358.621030227048</v>
      </c>
      <c r="D65" s="458">
        <f ca="1">SUMIF(G:G,58,K:K)</f>
        <v>-66839.673260260155</v>
      </c>
      <c r="E65" s="458">
        <f t="shared" ca="1" si="1"/>
        <v>-1416911.5712494163</v>
      </c>
      <c r="F65" s="442"/>
      <c r="G65" s="470">
        <f t="shared" si="8"/>
        <v>5</v>
      </c>
      <c r="H65" s="470">
        <v>58</v>
      </c>
      <c r="I65" s="455">
        <f t="shared" ca="1" si="5"/>
        <v>1903825.6808074017</v>
      </c>
      <c r="J65" s="455">
        <f t="array" ref="J65">IFERROR(INDEX('Retirement Calculator'!J:J,MATCH('Isaac 401k'!N65,'Retirement Calculator'!A:A,0),0),0)</f>
        <v>30565.244538569641</v>
      </c>
      <c r="K65" s="455">
        <f t="shared" ca="1" si="2"/>
        <v>7805.2518177868005</v>
      </c>
      <c r="L65" s="455">
        <f t="shared" ca="1" si="3"/>
        <v>1881065.6880866189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-1416911.5712494163</v>
      </c>
      <c r="C66" s="458">
        <f t="shared" si="0"/>
        <v>94358.621030227048</v>
      </c>
      <c r="D66" s="458">
        <f ca="1">SUMIF(G:G,59,K:K)</f>
        <v>-75086.883931459641</v>
      </c>
      <c r="E66" s="458">
        <f t="shared" ca="1" si="1"/>
        <v>-1586357.076211103</v>
      </c>
      <c r="F66" s="442"/>
      <c r="G66" s="470">
        <f t="shared" si="8"/>
        <v>5</v>
      </c>
      <c r="H66" s="470">
        <v>59</v>
      </c>
      <c r="I66" s="455">
        <f t="shared" ca="1" si="5"/>
        <v>1881065.6880866189</v>
      </c>
      <c r="J66" s="455">
        <f t="array" ref="J66">IFERROR(INDEX('Retirement Calculator'!J:J,MATCH('Isaac 401k'!N66,'Retirement Calculator'!A:A,0),0),0)</f>
        <v>30565.244538569641</v>
      </c>
      <c r="K66" s="455">
        <f t="shared" ca="1" si="2"/>
        <v>7710.4185147835378</v>
      </c>
      <c r="L66" s="455">
        <f t="shared" ca="1" si="3"/>
        <v>1858210.8620628328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-1586357.076211103</v>
      </c>
      <c r="C67" s="458">
        <f t="shared" si="0"/>
        <v>94358.621030227048</v>
      </c>
      <c r="D67" s="458">
        <f t="shared" ref="D67:D136" ca="1" si="9">SUMIF(G:G,60,K:K)</f>
        <v>-83756.037552828187</v>
      </c>
      <c r="E67" s="458">
        <f t="shared" ca="1" si="1"/>
        <v>-1764471.7347941583</v>
      </c>
      <c r="F67" s="442"/>
      <c r="G67" s="470">
        <f t="shared" si="8"/>
        <v>5</v>
      </c>
      <c r="H67" s="470">
        <v>60</v>
      </c>
      <c r="I67" s="455">
        <f t="shared" ca="1" si="5"/>
        <v>1858210.8620628328</v>
      </c>
      <c r="J67" s="455">
        <f t="array" ref="J67">IFERROR(INDEX('Retirement Calculator'!J:J,MATCH('Isaac 401k'!N67,'Retirement Calculator'!A:A,0),0),0)</f>
        <v>30565.244538569641</v>
      </c>
      <c r="K67" s="455">
        <f t="shared" ca="1" si="2"/>
        <v>7615.1900730177631</v>
      </c>
      <c r="L67" s="455">
        <f t="shared" ca="1" si="3"/>
        <v>1835260.8075972809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-1764471.7347941583</v>
      </c>
      <c r="C68" s="458">
        <f t="shared" si="0"/>
        <v>94358.621030227048</v>
      </c>
      <c r="D68" s="458">
        <f t="shared" ca="1" si="9"/>
        <v>-83756.037552828187</v>
      </c>
      <c r="E68" s="458">
        <f t="shared" ca="1" si="1"/>
        <v>-1942586.3933772135</v>
      </c>
      <c r="F68" s="442"/>
      <c r="G68" s="470">
        <f>G67+1</f>
        <v>6</v>
      </c>
      <c r="H68" s="470">
        <v>61</v>
      </c>
      <c r="I68" s="455">
        <f t="shared" ca="1" si="5"/>
        <v>1835260.8075972809</v>
      </c>
      <c r="J68" s="455">
        <f t="array" ref="J68">IFERROR(INDEX('Retirement Calculator'!J:J,MATCH('Isaac 401k'!N68,'Retirement Calculator'!A:A,0),0),0)</f>
        <v>30565.244538569641</v>
      </c>
      <c r="K68" s="455">
        <f t="shared" ca="1" si="2"/>
        <v>7519.564846077963</v>
      </c>
      <c r="L68" s="455">
        <f t="shared" ca="1" si="3"/>
        <v>1812215.1279047893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-1942586.3933772135</v>
      </c>
      <c r="C69" s="458">
        <f t="shared" si="0"/>
        <v>94358.621030227048</v>
      </c>
      <c r="D69" s="458">
        <f t="shared" ca="1" si="9"/>
        <v>-83756.037552828187</v>
      </c>
      <c r="E69" s="458">
        <f t="shared" ca="1" si="1"/>
        <v>-2120701.0519602685</v>
      </c>
      <c r="F69" s="442"/>
      <c r="G69" s="470">
        <f t="shared" ref="G69:G79" si="10">G68</f>
        <v>6</v>
      </c>
      <c r="H69" s="470">
        <v>62</v>
      </c>
      <c r="I69" s="455">
        <f t="shared" ca="1" si="5"/>
        <v>1812215.1279047893</v>
      </c>
      <c r="J69" s="455">
        <f t="array" ref="J69">IFERROR(INDEX('Retirement Calculator'!J:J,MATCH('Isaac 401k'!N69,'Retirement Calculator'!A:A,0),0),0)</f>
        <v>30565.244538569641</v>
      </c>
      <c r="K69" s="455">
        <f t="shared" ca="1" si="2"/>
        <v>7423.5411806925831</v>
      </c>
      <c r="L69" s="455">
        <f t="shared" ca="1" si="3"/>
        <v>1789073.4245469123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-2120701.0519602685</v>
      </c>
      <c r="C70" s="458">
        <f t="shared" si="0"/>
        <v>94358.621030227048</v>
      </c>
      <c r="D70" s="458">
        <f t="shared" ca="1" si="9"/>
        <v>-83756.037552828187</v>
      </c>
      <c r="E70" s="458">
        <f t="shared" ca="1" si="1"/>
        <v>-2298815.7105433233</v>
      </c>
      <c r="F70" s="442"/>
      <c r="G70" s="470">
        <f t="shared" si="10"/>
        <v>6</v>
      </c>
      <c r="H70" s="470">
        <v>63</v>
      </c>
      <c r="I70" s="455">
        <f t="shared" ca="1" si="5"/>
        <v>1789073.4245469123</v>
      </c>
      <c r="J70" s="455">
        <f t="array" ref="J70">IFERROR(INDEX('Retirement Calculator'!J:J,MATCH('Isaac 401k'!N70,'Retirement Calculator'!A:A,0),0),0)</f>
        <v>30565.244538569641</v>
      </c>
      <c r="K70" s="455">
        <f t="shared" ca="1" si="2"/>
        <v>7327.1174167014287</v>
      </c>
      <c r="L70" s="455">
        <f t="shared" ca="1" si="3"/>
        <v>1765835.2974250442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-2298815.7105433233</v>
      </c>
      <c r="C71" s="458">
        <f t="shared" si="0"/>
        <v>94358.621030227048</v>
      </c>
      <c r="D71" s="458">
        <f t="shared" ca="1" si="9"/>
        <v>-83756.037552828187</v>
      </c>
      <c r="E71" s="458">
        <f t="shared" ca="1" si="1"/>
        <v>-2476930.3691263786</v>
      </c>
      <c r="F71" s="442"/>
      <c r="G71" s="470">
        <f t="shared" si="10"/>
        <v>6</v>
      </c>
      <c r="H71" s="470">
        <v>64</v>
      </c>
      <c r="I71" s="455">
        <f t="shared" ca="1" si="5"/>
        <v>1765835.2974250442</v>
      </c>
      <c r="J71" s="455">
        <f t="array" ref="J71">IFERROR(INDEX('Retirement Calculator'!J:J,MATCH('Isaac 401k'!N71,'Retirement Calculator'!A:A,0),0),0)</f>
        <v>30565.244538569641</v>
      </c>
      <c r="K71" s="455">
        <f t="shared" ca="1" si="2"/>
        <v>7230.2918870269787</v>
      </c>
      <c r="L71" s="455">
        <f t="shared" ca="1" si="3"/>
        <v>1742500.3447735016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58">
        <f t="shared" ca="1" si="4"/>
        <v>-2476930.3691263786</v>
      </c>
      <c r="C72" s="458">
        <f t="shared" si="0"/>
        <v>94358.621030227048</v>
      </c>
      <c r="D72" s="458">
        <f t="shared" ca="1" si="9"/>
        <v>-83756.037552828187</v>
      </c>
      <c r="E72" s="458">
        <f t="shared" ca="1" si="1"/>
        <v>-2655045.0277094338</v>
      </c>
      <c r="F72" s="442"/>
      <c r="G72" s="470">
        <f t="shared" si="10"/>
        <v>6</v>
      </c>
      <c r="H72" s="470">
        <v>65</v>
      </c>
      <c r="I72" s="455">
        <f t="shared" ca="1" si="5"/>
        <v>1742500.3447735016</v>
      </c>
      <c r="J72" s="455">
        <f t="array" ref="J72">IFERROR(INDEX('Retirement Calculator'!J:J,MATCH('Isaac 401k'!N72,'Retirement Calculator'!A:A,0),0),0)</f>
        <v>30565.244538569641</v>
      </c>
      <c r="K72" s="455">
        <f t="shared" ca="1" si="2"/>
        <v>7133.0629176455514</v>
      </c>
      <c r="L72" s="455">
        <f t="shared" ca="1" si="3"/>
        <v>1719068.1631525776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58">
        <f t="shared" ca="1" si="4"/>
        <v>-2655045.0277094338</v>
      </c>
      <c r="C73" s="458">
        <f t="shared" si="0"/>
        <v>94358.621030227048</v>
      </c>
      <c r="D73" s="458">
        <f t="shared" ca="1" si="9"/>
        <v>-83756.037552828187</v>
      </c>
      <c r="E73" s="458">
        <f t="shared" ca="1" si="1"/>
        <v>-2833159.6862924891</v>
      </c>
      <c r="F73" s="442"/>
      <c r="G73" s="470">
        <f t="shared" si="10"/>
        <v>6</v>
      </c>
      <c r="H73" s="470">
        <v>66</v>
      </c>
      <c r="I73" s="455">
        <f t="shared" ca="1" si="5"/>
        <v>1719068.1631525776</v>
      </c>
      <c r="J73" s="455">
        <f t="array" ref="J73">IFERROR(INDEX('Retirement Calculator'!J:J,MATCH('Isaac 401k'!N73,'Retirement Calculator'!A:A,0),0),0)</f>
        <v>30565.244538569641</v>
      </c>
      <c r="K73" s="455">
        <f t="shared" ca="1" si="2"/>
        <v>7035.4288275583667</v>
      </c>
      <c r="L73" s="455">
        <f t="shared" ca="1" si="3"/>
        <v>1695538.3474415664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58">
        <f t="shared" ca="1" si="4"/>
        <v>-2833159.6862924891</v>
      </c>
      <c r="C74" s="458">
        <f t="shared" si="0"/>
        <v>94358.621030227048</v>
      </c>
      <c r="D74" s="458">
        <f t="shared" ca="1" si="9"/>
        <v>-83756.037552828187</v>
      </c>
      <c r="E74" s="458">
        <f t="shared" ca="1" si="1"/>
        <v>-3011274.3448755443</v>
      </c>
      <c r="F74" s="442"/>
      <c r="G74" s="470">
        <f t="shared" si="10"/>
        <v>6</v>
      </c>
      <c r="H74" s="470">
        <v>67</v>
      </c>
      <c r="I74" s="455">
        <f t="shared" ca="1" si="5"/>
        <v>1695538.3474415664</v>
      </c>
      <c r="J74" s="455">
        <f t="array" ref="J74">IFERROR(INDEX('Retirement Calculator'!J:J,MATCH('Isaac 401k'!N74,'Retirement Calculator'!A:A,0),0),0)</f>
        <v>30565.244538569641</v>
      </c>
      <c r="K74" s="455">
        <f t="shared" ca="1" si="2"/>
        <v>6937.3879287624868</v>
      </c>
      <c r="L74" s="455">
        <f t="shared" ca="1" si="3"/>
        <v>1671910.4908317593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58">
        <f t="shared" ca="1" si="4"/>
        <v>-3011274.3448755443</v>
      </c>
      <c r="C75" s="458">
        <f t="shared" si="0"/>
        <v>94358.621030227048</v>
      </c>
      <c r="D75" s="458">
        <f t="shared" ca="1" si="9"/>
        <v>-83756.037552828187</v>
      </c>
      <c r="E75" s="458">
        <f t="shared" ca="1" si="1"/>
        <v>-3189389.0034585996</v>
      </c>
      <c r="F75" s="442"/>
      <c r="G75" s="470">
        <f t="shared" si="10"/>
        <v>6</v>
      </c>
      <c r="H75" s="470">
        <v>68</v>
      </c>
      <c r="I75" s="455">
        <f t="shared" ca="1" si="5"/>
        <v>1671910.4908317593</v>
      </c>
      <c r="J75" s="455">
        <f t="array" ref="J75">IFERROR(INDEX('Retirement Calculator'!J:J,MATCH('Isaac 401k'!N75,'Retirement Calculator'!A:A,0),0),0)</f>
        <v>8539.3180191855863</v>
      </c>
      <c r="K75" s="455">
        <f t="shared" ca="1" si="2"/>
        <v>6930.7132200523893</v>
      </c>
      <c r="L75" s="455">
        <f t="shared" ca="1" si="3"/>
        <v>1670301.886032626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58">
        <f t="shared" ca="1" si="4"/>
        <v>-3189389.0034585996</v>
      </c>
      <c r="C76" s="458">
        <f t="shared" si="0"/>
        <v>94358.621030227048</v>
      </c>
      <c r="D76" s="458">
        <f t="shared" ca="1" si="9"/>
        <v>-83756.037552828187</v>
      </c>
      <c r="E76" s="458">
        <f t="shared" ca="1" si="1"/>
        <v>-3367503.6620416548</v>
      </c>
      <c r="F76" s="442"/>
      <c r="G76" s="470">
        <f t="shared" si="10"/>
        <v>6</v>
      </c>
      <c r="H76" s="470">
        <v>69</v>
      </c>
      <c r="I76" s="455">
        <f t="shared" ca="1" si="5"/>
        <v>1670301.886032626</v>
      </c>
      <c r="J76" s="455">
        <f t="array" ref="J76">IFERROR(INDEX('Retirement Calculator'!J:J,MATCH('Isaac 401k'!N76,'Retirement Calculator'!A:A,0),0),0)</f>
        <v>8539.3180191855863</v>
      </c>
      <c r="K76" s="455">
        <f t="shared" ca="1" si="2"/>
        <v>6924.010700056001</v>
      </c>
      <c r="L76" s="455">
        <f t="shared" ca="1" si="3"/>
        <v>1668686.5787134964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58">
        <f t="shared" ca="1" si="4"/>
        <v>-3367503.6620416548</v>
      </c>
      <c r="C77" s="458">
        <f t="shared" si="0"/>
        <v>94358.621030227048</v>
      </c>
      <c r="D77" s="458">
        <f t="shared" ca="1" si="9"/>
        <v>-83756.037552828187</v>
      </c>
      <c r="E77" s="458">
        <f t="shared" ca="1" si="1"/>
        <v>-3545618.3206247101</v>
      </c>
      <c r="F77" s="442"/>
      <c r="G77" s="470">
        <f t="shared" si="10"/>
        <v>6</v>
      </c>
      <c r="H77" s="470">
        <v>70</v>
      </c>
      <c r="I77" s="455">
        <f t="shared" ca="1" si="5"/>
        <v>1668686.5787134964</v>
      </c>
      <c r="J77" s="455">
        <f t="array" ref="J77">IFERROR(INDEX('Retirement Calculator'!J:J,MATCH('Isaac 401k'!N77,'Retirement Calculator'!A:A,0),0),0)</f>
        <v>8539.3180191855863</v>
      </c>
      <c r="K77" s="455">
        <f t="shared" ca="1" si="2"/>
        <v>6917.2802528929615</v>
      </c>
      <c r="L77" s="455">
        <f t="shared" ca="1" si="3"/>
        <v>1667064.5409472038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58">
        <f t="shared" ca="1" si="4"/>
        <v>-3545618.3206247101</v>
      </c>
      <c r="C78" s="458">
        <f t="shared" si="0"/>
        <v>94358.621030227048</v>
      </c>
      <c r="D78" s="458">
        <f t="shared" ca="1" si="9"/>
        <v>-83756.037552828187</v>
      </c>
      <c r="E78" s="458">
        <f t="shared" ca="1" si="1"/>
        <v>-3723732.9792077653</v>
      </c>
      <c r="F78" s="442"/>
      <c r="G78" s="470">
        <f t="shared" si="10"/>
        <v>6</v>
      </c>
      <c r="H78" s="470">
        <v>71</v>
      </c>
      <c r="I78" s="455">
        <f t="shared" ca="1" si="5"/>
        <v>1667064.5409472038</v>
      </c>
      <c r="J78" s="455">
        <f t="array" ref="J78">IFERROR(INDEX('Retirement Calculator'!J:J,MATCH('Isaac 401k'!N78,'Retirement Calculator'!A:A,0),0),0)</f>
        <v>8539.3180191855863</v>
      </c>
      <c r="K78" s="455">
        <f t="shared" ca="1" si="2"/>
        <v>6910.5217622000755</v>
      </c>
      <c r="L78" s="455">
        <f t="shared" ca="1" si="3"/>
        <v>1665435.7446902182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58">
        <f t="shared" ca="1" si="4"/>
        <v>-3723732.9792077653</v>
      </c>
      <c r="C79" s="458">
        <f t="shared" si="0"/>
        <v>94358.621030227048</v>
      </c>
      <c r="D79" s="458">
        <f t="shared" ca="1" si="9"/>
        <v>-83756.037552828187</v>
      </c>
      <c r="E79" s="458">
        <f t="shared" ca="1" si="1"/>
        <v>-3901847.6377908206</v>
      </c>
      <c r="F79" s="442"/>
      <c r="G79" s="470">
        <f t="shared" si="10"/>
        <v>6</v>
      </c>
      <c r="H79" s="470">
        <v>72</v>
      </c>
      <c r="I79" s="455">
        <f t="shared" ca="1" si="5"/>
        <v>1665435.7446902182</v>
      </c>
      <c r="J79" s="455">
        <f t="array" ref="J79">IFERROR(INDEX('Retirement Calculator'!J:J,MATCH('Isaac 401k'!N79,'Retirement Calculator'!A:A,0),0),0)</f>
        <v>8539.3180191855863</v>
      </c>
      <c r="K79" s="455">
        <f t="shared" ca="1" si="2"/>
        <v>6903.7351111293019</v>
      </c>
      <c r="L79" s="455">
        <f t="shared" ca="1" si="3"/>
        <v>1663800.1617821618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58">
        <f t="shared" ca="1" si="4"/>
        <v>-3901847.6377908206</v>
      </c>
      <c r="C80" s="458">
        <f t="shared" si="0"/>
        <v>94358.621030227048</v>
      </c>
      <c r="D80" s="458">
        <f t="shared" ca="1" si="9"/>
        <v>-83756.037552828187</v>
      </c>
      <c r="E80" s="458">
        <f t="shared" ca="1" si="1"/>
        <v>-4079962.2963738758</v>
      </c>
      <c r="F80" s="442"/>
      <c r="G80" s="470">
        <f>G79+1</f>
        <v>7</v>
      </c>
      <c r="H80" s="470">
        <v>73</v>
      </c>
      <c r="I80" s="455">
        <f t="shared" ca="1" si="5"/>
        <v>1663800.1617821618</v>
      </c>
      <c r="J80" s="455">
        <f t="array" ref="J80">IFERROR(INDEX('Retirement Calculator'!J:J,MATCH('Isaac 401k'!N80,'Retirement Calculator'!A:A,0),0),0)</f>
        <v>8539.3180191855863</v>
      </c>
      <c r="K80" s="455">
        <f t="shared" ca="1" si="2"/>
        <v>6896.9201823457333</v>
      </c>
      <c r="L80" s="455">
        <f t="shared" ca="1" si="3"/>
        <v>1662157.7639453218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58">
        <f t="shared" ca="1" si="4"/>
        <v>-4079962.2963738758</v>
      </c>
      <c r="C81" s="458">
        <f t="shared" si="0"/>
        <v>94358.621030227048</v>
      </c>
      <c r="D81" s="458">
        <f t="shared" ca="1" si="9"/>
        <v>-83756.037552828187</v>
      </c>
      <c r="E81" s="458">
        <f t="shared" ca="1" si="1"/>
        <v>-4258076.9549569311</v>
      </c>
      <c r="F81" s="442"/>
      <c r="G81" s="470">
        <f t="shared" ref="G81:G91" si="11">G80</f>
        <v>7</v>
      </c>
      <c r="H81" s="470">
        <v>74</v>
      </c>
      <c r="I81" s="455">
        <f t="shared" ca="1" si="5"/>
        <v>1662157.7639453218</v>
      </c>
      <c r="J81" s="455">
        <f t="array" ref="J81">IFERROR(INDEX('Retirement Calculator'!J:J,MATCH('Isaac 401k'!N81,'Retirement Calculator'!A:A,0),0),0)</f>
        <v>8539.3180191855863</v>
      </c>
      <c r="K81" s="455">
        <f t="shared" ca="1" si="2"/>
        <v>6890.0768580255663</v>
      </c>
      <c r="L81" s="455">
        <f t="shared" ca="1" si="3"/>
        <v>1660508.5227841616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58">
        <f t="shared" ca="1" si="4"/>
        <v>-4258076.9549569311</v>
      </c>
      <c r="C82" s="458">
        <f t="shared" si="0"/>
        <v>94358.621030227048</v>
      </c>
      <c r="D82" s="458">
        <f t="shared" ca="1" si="9"/>
        <v>-83756.037552828187</v>
      </c>
      <c r="E82" s="458">
        <f t="shared" ca="1" si="1"/>
        <v>-4436191.6135399863</v>
      </c>
      <c r="F82" s="442"/>
      <c r="G82" s="470">
        <f t="shared" si="11"/>
        <v>7</v>
      </c>
      <c r="H82" s="470">
        <v>75</v>
      </c>
      <c r="I82" s="455">
        <f t="shared" ca="1" si="5"/>
        <v>1660508.5227841616</v>
      </c>
      <c r="J82" s="455">
        <f t="array" ref="J82">IFERROR(INDEX('Retirement Calculator'!J:J,MATCH('Isaac 401k'!N82,'Retirement Calculator'!A:A,0),0),0)</f>
        <v>8539.3180191855863</v>
      </c>
      <c r="K82" s="455">
        <f t="shared" ca="1" si="2"/>
        <v>6883.2050198540674</v>
      </c>
      <c r="L82" s="455">
        <f t="shared" ca="1" si="3"/>
        <v>1658852.4097848299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58">
        <f t="shared" ca="1" si="4"/>
        <v>-4436191.6135399863</v>
      </c>
      <c r="C83" s="458">
        <f t="shared" si="0"/>
        <v>94358.621030227048</v>
      </c>
      <c r="D83" s="458">
        <f t="shared" ca="1" si="9"/>
        <v>-83756.037552828187</v>
      </c>
      <c r="E83" s="458">
        <f t="shared" ca="1" si="1"/>
        <v>-4614306.2721230416</v>
      </c>
      <c r="F83" s="442"/>
      <c r="G83" s="470">
        <f t="shared" si="11"/>
        <v>7</v>
      </c>
      <c r="H83" s="470">
        <v>76</v>
      </c>
      <c r="I83" s="455">
        <f t="shared" ca="1" si="5"/>
        <v>1658852.4097848299</v>
      </c>
      <c r="J83" s="455">
        <f t="array" ref="J83">IFERROR(INDEX('Retirement Calculator'!J:J,MATCH('Isaac 401k'!N83,'Retirement Calculator'!A:A,0),0),0)</f>
        <v>8539.3180191855863</v>
      </c>
      <c r="K83" s="455">
        <f t="shared" ca="1" si="2"/>
        <v>6876.304549023519</v>
      </c>
      <c r="L83" s="455">
        <f t="shared" ca="1" si="3"/>
        <v>1657189.3963146678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58">
        <f t="shared" ca="1" si="4"/>
        <v>-4614306.2721230416</v>
      </c>
      <c r="C84" s="458">
        <f t="shared" si="0"/>
        <v>94358.621030227048</v>
      </c>
      <c r="D84" s="458">
        <f t="shared" ca="1" si="9"/>
        <v>-83756.037552828187</v>
      </c>
      <c r="E84" s="458">
        <f t="shared" ca="1" si="1"/>
        <v>-4792420.9307060968</v>
      </c>
      <c r="F84" s="442"/>
      <c r="G84" s="470">
        <f t="shared" si="11"/>
        <v>7</v>
      </c>
      <c r="H84" s="470">
        <v>77</v>
      </c>
      <c r="I84" s="455">
        <f t="shared" ca="1" si="5"/>
        <v>1657189.3963146678</v>
      </c>
      <c r="J84" s="455">
        <f t="array" ref="J84">IFERROR(INDEX('Retirement Calculator'!J:J,MATCH('Isaac 401k'!N84,'Retirement Calculator'!A:A,0),0),0)</f>
        <v>8539.3180191855863</v>
      </c>
      <c r="K84" s="455">
        <f t="shared" ca="1" si="2"/>
        <v>6869.3753262311766</v>
      </c>
      <c r="L84" s="455">
        <f t="shared" ca="1" si="3"/>
        <v>1655519.4536217132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58">
        <f t="shared" ca="1" si="4"/>
        <v>-4792420.9307060968</v>
      </c>
      <c r="C85" s="458">
        <f t="shared" si="0"/>
        <v>94358.621030227048</v>
      </c>
      <c r="D85" s="458">
        <f t="shared" ca="1" si="9"/>
        <v>-83756.037552828187</v>
      </c>
      <c r="E85" s="458">
        <f t="shared" ca="1" si="1"/>
        <v>-4970535.5892891521</v>
      </c>
      <c r="F85" s="442"/>
      <c r="G85" s="470">
        <f t="shared" si="11"/>
        <v>7</v>
      </c>
      <c r="H85" s="470">
        <v>78</v>
      </c>
      <c r="I85" s="455">
        <f t="shared" ca="1" si="5"/>
        <v>1655519.4536217132</v>
      </c>
      <c r="J85" s="455">
        <f t="array" ref="J85">IFERROR(INDEX('Retirement Calculator'!J:J,MATCH('Isaac 401k'!N85,'Retirement Calculator'!A:A,0),0),0)</f>
        <v>8539.3180191855863</v>
      </c>
      <c r="K85" s="455">
        <f t="shared" ca="1" si="2"/>
        <v>6862.4172316771992</v>
      </c>
      <c r="L85" s="455">
        <f t="shared" ca="1" si="3"/>
        <v>1653842.5528342046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58">
        <f t="shared" ca="1" si="4"/>
        <v>-4970535.5892891521</v>
      </c>
      <c r="C86" s="458">
        <f t="shared" si="0"/>
        <v>94358.621030227048</v>
      </c>
      <c r="D86" s="458">
        <f t="shared" ca="1" si="9"/>
        <v>-83756.037552828187</v>
      </c>
      <c r="E86" s="458">
        <f t="shared" ca="1" si="1"/>
        <v>-5148650.2478722073</v>
      </c>
      <c r="F86" s="442"/>
      <c r="G86" s="470">
        <f t="shared" si="11"/>
        <v>7</v>
      </c>
      <c r="H86" s="470">
        <v>79</v>
      </c>
      <c r="I86" s="455">
        <f t="shared" ca="1" si="5"/>
        <v>1653842.5528342046</v>
      </c>
      <c r="J86" s="455">
        <f t="array" ref="J86">IFERROR(INDEX('Retirement Calculator'!J:J,MATCH('Isaac 401k'!N86,'Retirement Calculator'!A:A,0),0),0)</f>
        <v>8539.3180191855863</v>
      </c>
      <c r="K86" s="455">
        <f t="shared" ca="1" si="2"/>
        <v>6855.430145062579</v>
      </c>
      <c r="L86" s="455">
        <f t="shared" ca="1" si="3"/>
        <v>1652158.6649600815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58">
        <f t="shared" ca="1" si="4"/>
        <v>-5148650.2478722073</v>
      </c>
      <c r="C87" s="458">
        <f t="shared" si="0"/>
        <v>94358.621030227048</v>
      </c>
      <c r="D87" s="458">
        <f t="shared" ca="1" si="9"/>
        <v>-83756.037552828187</v>
      </c>
      <c r="E87" s="458">
        <f t="shared" ca="1" si="1"/>
        <v>-5326764.9064552626</v>
      </c>
      <c r="F87" s="442"/>
      <c r="G87" s="470">
        <f t="shared" si="11"/>
        <v>7</v>
      </c>
      <c r="H87" s="470">
        <v>80</v>
      </c>
      <c r="I87" s="455">
        <f t="shared" ca="1" si="5"/>
        <v>1652158.6649600815</v>
      </c>
      <c r="J87" s="455">
        <f t="array" ref="J87">IFERROR(INDEX('Retirement Calculator'!J:J,MATCH('Isaac 401k'!N87,'Retirement Calculator'!A:A,0),0),0)</f>
        <v>8539.3180191855863</v>
      </c>
      <c r="K87" s="455">
        <f t="shared" ca="1" si="2"/>
        <v>6848.4139455870645</v>
      </c>
      <c r="L87" s="455">
        <f t="shared" ca="1" si="3"/>
        <v>1650467.7608864829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58">
        <f t="shared" ca="1" si="4"/>
        <v>-5326764.9064552626</v>
      </c>
      <c r="C88" s="458">
        <f t="shared" si="0"/>
        <v>94358.621030227048</v>
      </c>
      <c r="D88" s="458">
        <f t="shared" ca="1" si="9"/>
        <v>-83756.037552828187</v>
      </c>
      <c r="E88" s="458">
        <f t="shared" ca="1" si="1"/>
        <v>-5504879.5650383178</v>
      </c>
      <c r="F88" s="442"/>
      <c r="G88" s="470">
        <f t="shared" si="11"/>
        <v>7</v>
      </c>
      <c r="H88" s="470">
        <v>81</v>
      </c>
      <c r="I88" s="455">
        <f t="shared" ca="1" si="5"/>
        <v>1650467.7608864829</v>
      </c>
      <c r="J88" s="455">
        <f t="array" ref="J88">IFERROR(INDEX('Retirement Calculator'!J:J,MATCH('Isaac 401k'!N88,'Retirement Calculator'!A:A,0),0),0)</f>
        <v>8539.3180191855863</v>
      </c>
      <c r="K88" s="455">
        <f t="shared" ca="1" si="2"/>
        <v>6841.3685119470729</v>
      </c>
      <c r="L88" s="455">
        <f t="shared" ca="1" si="3"/>
        <v>1648769.8113792443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58">
        <f t="shared" ca="1" si="4"/>
        <v>-5504879.5650383178</v>
      </c>
      <c r="C89" s="458">
        <f t="shared" si="0"/>
        <v>94358.621030227048</v>
      </c>
      <c r="D89" s="458">
        <f t="shared" ca="1" si="9"/>
        <v>-83756.037552828187</v>
      </c>
      <c r="E89" s="458">
        <f t="shared" ca="1" si="1"/>
        <v>-5682994.2236213731</v>
      </c>
      <c r="F89" s="442"/>
      <c r="G89" s="470">
        <f t="shared" si="11"/>
        <v>7</v>
      </c>
      <c r="H89" s="470">
        <v>82</v>
      </c>
      <c r="I89" s="455">
        <f t="shared" ca="1" si="5"/>
        <v>1648769.8113792443</v>
      </c>
      <c r="J89" s="455">
        <f t="array" ref="J89">IFERROR(INDEX('Retirement Calculator'!J:J,MATCH('Isaac 401k'!N89,'Retirement Calculator'!A:A,0),0),0)</f>
        <v>8539.3180191855863</v>
      </c>
      <c r="K89" s="455">
        <f t="shared" ca="1" si="2"/>
        <v>6834.2937223335775</v>
      </c>
      <c r="L89" s="455">
        <f t="shared" ca="1" si="3"/>
        <v>1647064.7870823923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58">
        <f t="shared" ca="1" si="4"/>
        <v>-5682994.2236213731</v>
      </c>
      <c r="C90" s="458">
        <f t="shared" si="0"/>
        <v>94358.621030227048</v>
      </c>
      <c r="D90" s="458">
        <f t="shared" ca="1" si="9"/>
        <v>-83756.037552828187</v>
      </c>
      <c r="E90" s="458">
        <f t="shared" ca="1" si="1"/>
        <v>-5861108.8822044283</v>
      </c>
      <c r="F90" s="442"/>
      <c r="G90" s="470">
        <f t="shared" si="11"/>
        <v>7</v>
      </c>
      <c r="H90" s="470">
        <v>83</v>
      </c>
      <c r="I90" s="455">
        <f t="shared" ca="1" si="5"/>
        <v>1647064.7870823923</v>
      </c>
      <c r="J90" s="455">
        <f t="array" ref="J90">IFERROR(INDEX('Retirement Calculator'!J:J,MATCH('Isaac 401k'!N90,'Retirement Calculator'!A:A,0),0),0)</f>
        <v>8539.3180191855863</v>
      </c>
      <c r="K90" s="455">
        <f t="shared" ca="1" si="2"/>
        <v>6827.1894544300276</v>
      </c>
      <c r="L90" s="455">
        <f t="shared" ca="1" si="3"/>
        <v>1645352.6585176366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58">
        <f t="shared" ca="1" si="4"/>
        <v>-5861108.8822044283</v>
      </c>
      <c r="C91" s="458">
        <f t="shared" si="0"/>
        <v>94358.621030227048</v>
      </c>
      <c r="D91" s="458">
        <f t="shared" ca="1" si="9"/>
        <v>-83756.037552828187</v>
      </c>
      <c r="E91" s="458">
        <f t="shared" ca="1" si="1"/>
        <v>-6039223.5407874836</v>
      </c>
      <c r="F91" s="442"/>
      <c r="G91" s="470">
        <f t="shared" si="11"/>
        <v>7</v>
      </c>
      <c r="H91" s="470">
        <v>84</v>
      </c>
      <c r="I91" s="455">
        <f t="shared" ca="1" si="5"/>
        <v>1645352.6585176366</v>
      </c>
      <c r="J91" s="455">
        <f t="array" ref="J91">IFERROR(INDEX('Retirement Calculator'!J:J,MATCH('Isaac 401k'!N91,'Retirement Calculator'!A:A,0),0),0)</f>
        <v>8539.3180191855863</v>
      </c>
      <c r="K91" s="455">
        <f t="shared" ca="1" si="2"/>
        <v>6820.0555854102122</v>
      </c>
      <c r="L91" s="455">
        <f t="shared" ca="1" si="3"/>
        <v>1643633.3960838611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58">
        <f t="shared" ca="1" si="4"/>
        <v>-6039223.5407874836</v>
      </c>
      <c r="C92" s="458">
        <f t="shared" si="0"/>
        <v>94358.621030227048</v>
      </c>
      <c r="D92" s="458">
        <f t="shared" ca="1" si="9"/>
        <v>-83756.037552828187</v>
      </c>
      <c r="E92" s="458">
        <f t="shared" ca="1" si="1"/>
        <v>-6217338.1993705388</v>
      </c>
      <c r="F92" s="442"/>
      <c r="G92" s="470">
        <f>G91+1</f>
        <v>8</v>
      </c>
      <c r="H92" s="470">
        <v>85</v>
      </c>
      <c r="I92" s="455">
        <f t="shared" ca="1" si="5"/>
        <v>1643633.3960838611</v>
      </c>
      <c r="J92" s="455">
        <f t="array" ref="J92">IFERROR(INDEX('Retirement Calculator'!J:J,MATCH('Isaac 401k'!N92,'Retirement Calculator'!A:A,0),0),0)</f>
        <v>8539.3180191855863</v>
      </c>
      <c r="K92" s="455">
        <f t="shared" ca="1" si="2"/>
        <v>6812.891991936147</v>
      </c>
      <c r="L92" s="455">
        <f t="shared" ca="1" si="3"/>
        <v>1641906.9700566116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58">
        <f t="shared" ca="1" si="4"/>
        <v>-6217338.1993705388</v>
      </c>
      <c r="C93" s="458">
        <f t="shared" si="0"/>
        <v>94358.621030227048</v>
      </c>
      <c r="D93" s="458">
        <f t="shared" ca="1" si="9"/>
        <v>-83756.037552828187</v>
      </c>
      <c r="E93" s="458">
        <f t="shared" ca="1" si="1"/>
        <v>-6395452.8579535941</v>
      </c>
      <c r="F93" s="442"/>
      <c r="G93" s="470">
        <f t="shared" ref="G93:G103" si="12">G92</f>
        <v>8</v>
      </c>
      <c r="H93" s="470">
        <v>86</v>
      </c>
      <c r="I93" s="455">
        <f t="shared" ca="1" si="5"/>
        <v>1641906.9700566116</v>
      </c>
      <c r="J93" s="455">
        <f t="array" ref="J93">IFERROR(INDEX('Retirement Calculator'!J:J,MATCH('Isaac 401k'!N93,'Retirement Calculator'!A:A,0),0),0)</f>
        <v>8539.3180191855863</v>
      </c>
      <c r="K93" s="455">
        <f t="shared" ca="1" si="2"/>
        <v>6805.698550155942</v>
      </c>
      <c r="L93" s="455">
        <f t="shared" ca="1" si="3"/>
        <v>1640173.3505875818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58">
        <f t="shared" ca="1" si="4"/>
        <v>-6395452.8579535941</v>
      </c>
      <c r="C94" s="458">
        <f t="shared" si="0"/>
        <v>94358.621030227048</v>
      </c>
      <c r="D94" s="458">
        <f t="shared" ca="1" si="9"/>
        <v>-83756.037552828187</v>
      </c>
      <c r="E94" s="458">
        <f t="shared" ca="1" si="1"/>
        <v>-6573567.5165366493</v>
      </c>
      <c r="F94" s="442"/>
      <c r="G94" s="470">
        <f t="shared" si="12"/>
        <v>8</v>
      </c>
      <c r="H94" s="470">
        <v>87</v>
      </c>
      <c r="I94" s="455">
        <f t="shared" ca="1" si="5"/>
        <v>1640173.3505875818</v>
      </c>
      <c r="J94" s="455">
        <f t="array" ref="J94">IFERROR(INDEX('Retirement Calculator'!J:J,MATCH('Isaac 401k'!N94,'Retirement Calculator'!A:A,0),0),0)</f>
        <v>8539.3180191855863</v>
      </c>
      <c r="K94" s="455">
        <f t="shared" ca="1" si="2"/>
        <v>6798.4751357016503</v>
      </c>
      <c r="L94" s="455">
        <f t="shared" ca="1" si="3"/>
        <v>1638432.5077040978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58">
        <f t="shared" ca="1" si="4"/>
        <v>-6573567.5165366493</v>
      </c>
      <c r="C95" s="458">
        <f t="shared" si="0"/>
        <v>94358.621030227048</v>
      </c>
      <c r="D95" s="458">
        <f t="shared" ca="1" si="9"/>
        <v>-83756.037552828187</v>
      </c>
      <c r="E95" s="458">
        <f t="shared" ca="1" si="1"/>
        <v>-6751682.1751197046</v>
      </c>
      <c r="F95" s="442"/>
      <c r="G95" s="470">
        <f t="shared" si="12"/>
        <v>8</v>
      </c>
      <c r="H95" s="470">
        <v>88</v>
      </c>
      <c r="I95" s="455">
        <f t="shared" ca="1" si="5"/>
        <v>1638432.5077040978</v>
      </c>
      <c r="J95" s="455">
        <f t="array" ref="J95">IFERROR(INDEX('Retirement Calculator'!J:J,MATCH('Isaac 401k'!N95,'Retirement Calculator'!A:A,0),0),0)</f>
        <v>8539.3180191855863</v>
      </c>
      <c r="K95" s="455">
        <f t="shared" ca="1" si="2"/>
        <v>6791.2216236871336</v>
      </c>
      <c r="L95" s="455">
        <f t="shared" ca="1" si="3"/>
        <v>1636684.4113085992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58">
        <f t="shared" ca="1" si="4"/>
        <v>-6751682.1751197046</v>
      </c>
      <c r="C96" s="458">
        <f t="shared" si="0"/>
        <v>94358.621030227048</v>
      </c>
      <c r="D96" s="458">
        <f t="shared" ca="1" si="9"/>
        <v>-83756.037552828187</v>
      </c>
      <c r="E96" s="458">
        <f t="shared" ca="1" si="1"/>
        <v>-6929796.8337027598</v>
      </c>
      <c r="F96" s="442"/>
      <c r="G96" s="470">
        <f t="shared" si="12"/>
        <v>8</v>
      </c>
      <c r="H96" s="470">
        <v>89</v>
      </c>
      <c r="I96" s="455">
        <f t="shared" ca="1" si="5"/>
        <v>1636684.4113085992</v>
      </c>
      <c r="J96" s="455">
        <f t="array" ref="J96">IFERROR(INDEX('Retirement Calculator'!J:J,MATCH('Isaac 401k'!N96,'Retirement Calculator'!A:A,0),0),0)</f>
        <v>8539.3180191855863</v>
      </c>
      <c r="K96" s="455">
        <f t="shared" ca="1" si="2"/>
        <v>6783.9378887058892</v>
      </c>
      <c r="L96" s="455">
        <f t="shared" ca="1" si="3"/>
        <v>1634929.0311781194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58">
        <f t="shared" ca="1" si="4"/>
        <v>-6929796.8337027598</v>
      </c>
      <c r="C97" s="458">
        <f t="shared" si="0"/>
        <v>94358.621030227048</v>
      </c>
      <c r="D97" s="458">
        <f t="shared" ca="1" si="9"/>
        <v>-83756.037552828187</v>
      </c>
      <c r="E97" s="458">
        <f t="shared" ca="1" si="1"/>
        <v>-7107911.4922858151</v>
      </c>
      <c r="F97" s="442"/>
      <c r="G97" s="470">
        <f t="shared" si="12"/>
        <v>8</v>
      </c>
      <c r="H97" s="470">
        <v>90</v>
      </c>
      <c r="I97" s="455">
        <f t="shared" ca="1" si="5"/>
        <v>1634929.0311781194</v>
      </c>
      <c r="J97" s="455">
        <f t="array" ref="J97">IFERROR(INDEX('Retirement Calculator'!J:J,MATCH('Isaac 401k'!N97,'Retirement Calculator'!A:A,0),0),0)</f>
        <v>8539.3180191855863</v>
      </c>
      <c r="K97" s="455">
        <f t="shared" ca="1" si="2"/>
        <v>6776.6238048288906</v>
      </c>
      <c r="L97" s="455">
        <f t="shared" ca="1" si="3"/>
        <v>1633166.3369637625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58">
        <f t="shared" ca="1" si="4"/>
        <v>-7107911.4922858151</v>
      </c>
      <c r="C98" s="458">
        <f t="shared" si="0"/>
        <v>94358.621030227048</v>
      </c>
      <c r="D98" s="458">
        <f t="shared" ca="1" si="9"/>
        <v>-83756.037552828187</v>
      </c>
      <c r="E98" s="458">
        <f t="shared" ca="1" si="1"/>
        <v>-7286026.1508688703</v>
      </c>
      <c r="F98" s="442"/>
      <c r="G98" s="470">
        <f t="shared" si="12"/>
        <v>8</v>
      </c>
      <c r="H98" s="470">
        <v>91</v>
      </c>
      <c r="I98" s="455">
        <f t="shared" ca="1" si="5"/>
        <v>1633166.3369637625</v>
      </c>
      <c r="J98" s="455">
        <f t="array" ref="J98">IFERROR(INDEX('Retirement Calculator'!J:J,MATCH('Isaac 401k'!N98,'Retirement Calculator'!A:A,0),0),0)</f>
        <v>8539.3180191855863</v>
      </c>
      <c r="K98" s="455">
        <f t="shared" ca="1" si="2"/>
        <v>6769.2792456024035</v>
      </c>
      <c r="L98" s="455">
        <f t="shared" ca="1" si="3"/>
        <v>1631396.2981901793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58">
        <f t="shared" ca="1" si="4"/>
        <v>-7286026.1508688703</v>
      </c>
      <c r="C99" s="458">
        <f t="shared" si="0"/>
        <v>94358.621030227048</v>
      </c>
      <c r="D99" s="458">
        <f t="shared" ca="1" si="9"/>
        <v>-83756.037552828187</v>
      </c>
      <c r="E99" s="458">
        <f t="shared" ca="1" si="1"/>
        <v>-7464140.8094519256</v>
      </c>
      <c r="F99" s="442"/>
      <c r="G99" s="470">
        <f t="shared" si="12"/>
        <v>8</v>
      </c>
      <c r="H99" s="470">
        <v>92</v>
      </c>
      <c r="I99" s="455">
        <f t="shared" ca="1" si="5"/>
        <v>1631396.2981901793</v>
      </c>
      <c r="J99" s="455">
        <f t="array" ref="J99">IFERROR(INDEX('Retirement Calculator'!J:J,MATCH('Isaac 401k'!N99,'Retirement Calculator'!A:A,0),0),0)</f>
        <v>8539.3180191855863</v>
      </c>
      <c r="K99" s="455">
        <f t="shared" ca="1" si="2"/>
        <v>6761.9040840458065</v>
      </c>
      <c r="L99" s="455">
        <f t="shared" ca="1" si="3"/>
        <v>1629618.8842550395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58">
        <f t="shared" ca="1" si="4"/>
        <v>-7464140.8094519256</v>
      </c>
      <c r="C100" s="458">
        <f t="shared" si="0"/>
        <v>94358.621030227048</v>
      </c>
      <c r="D100" s="458">
        <f t="shared" ca="1" si="9"/>
        <v>-83756.037552828187</v>
      </c>
      <c r="E100" s="458">
        <f t="shared" ca="1" si="1"/>
        <v>-7642255.4680349808</v>
      </c>
      <c r="F100" s="442"/>
      <c r="G100" s="470">
        <f t="shared" si="12"/>
        <v>8</v>
      </c>
      <c r="H100" s="470">
        <v>93</v>
      </c>
      <c r="I100" s="455">
        <f t="shared" ca="1" si="5"/>
        <v>1629618.8842550395</v>
      </c>
      <c r="J100" s="455">
        <f t="array" ref="J100">IFERROR(INDEX('Retirement Calculator'!J:J,MATCH('Isaac 401k'!N100,'Retirement Calculator'!A:A,0),0),0)</f>
        <v>8539.3180191855863</v>
      </c>
      <c r="K100" s="455">
        <f t="shared" ca="1" si="2"/>
        <v>6754.4981926493911</v>
      </c>
      <c r="L100" s="455">
        <f t="shared" ca="1" si="3"/>
        <v>1627834.0644285032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58">
        <f t="shared" ca="1" si="4"/>
        <v>-7642255.4680349808</v>
      </c>
      <c r="C101" s="458">
        <f t="shared" si="0"/>
        <v>94358.621030227048</v>
      </c>
      <c r="D101" s="458">
        <f t="shared" ca="1" si="9"/>
        <v>-83756.037552828187</v>
      </c>
      <c r="E101" s="458">
        <f t="shared" ca="1" si="1"/>
        <v>-7820370.1266180361</v>
      </c>
      <c r="F101" s="442"/>
      <c r="G101" s="470">
        <f t="shared" si="12"/>
        <v>8</v>
      </c>
      <c r="H101" s="470">
        <v>94</v>
      </c>
      <c r="I101" s="455">
        <f t="shared" ca="1" si="5"/>
        <v>1627834.0644285032</v>
      </c>
      <c r="J101" s="455">
        <f t="array" ref="J101">IFERROR(INDEX('Retirement Calculator'!J:J,MATCH('Isaac 401k'!N101,'Retirement Calculator'!A:A,0),0),0)</f>
        <v>8539.3180191855863</v>
      </c>
      <c r="K101" s="455">
        <f t="shared" ca="1" si="2"/>
        <v>6747.0614433721557</v>
      </c>
      <c r="L101" s="455">
        <f t="shared" ca="1" si="3"/>
        <v>1626041.8078526896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58">
        <f t="shared" ca="1" si="4"/>
        <v>-7820370.1266180361</v>
      </c>
      <c r="C102" s="458">
        <f t="shared" si="0"/>
        <v>94358.621030227048</v>
      </c>
      <c r="D102" s="458">
        <f t="shared" ca="1" si="9"/>
        <v>-83756.037552828187</v>
      </c>
      <c r="E102" s="458">
        <f t="shared" ca="1" si="1"/>
        <v>-7998484.7852010913</v>
      </c>
      <c r="F102" s="442"/>
      <c r="G102" s="470">
        <f t="shared" si="12"/>
        <v>8</v>
      </c>
      <c r="H102" s="470">
        <v>95</v>
      </c>
      <c r="I102" s="455">
        <f t="shared" ca="1" si="5"/>
        <v>1626041.8078526896</v>
      </c>
      <c r="J102" s="455">
        <f t="array" ref="J102">IFERROR(INDEX('Retirement Calculator'!J:J,MATCH('Isaac 401k'!N102,'Retirement Calculator'!A:A,0),0),0)</f>
        <v>8539.3180191855863</v>
      </c>
      <c r="K102" s="455">
        <f t="shared" ca="1" si="2"/>
        <v>6739.5937076395994</v>
      </c>
      <c r="L102" s="455">
        <f t="shared" ca="1" si="3"/>
        <v>1624242.0835411435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58">
        <f t="shared" ca="1" si="4"/>
        <v>-7998484.7852010913</v>
      </c>
      <c r="C103" s="458">
        <f t="shared" si="0"/>
        <v>94358.621030227048</v>
      </c>
      <c r="D103" s="458">
        <f t="shared" ca="1" si="9"/>
        <v>-83756.037552828187</v>
      </c>
      <c r="E103" s="458">
        <f t="shared" ca="1" si="1"/>
        <v>-8176599.4437841466</v>
      </c>
      <c r="F103" s="442"/>
      <c r="G103" s="470">
        <f t="shared" si="12"/>
        <v>8</v>
      </c>
      <c r="H103" s="470">
        <v>96</v>
      </c>
      <c r="I103" s="455">
        <f t="shared" ca="1" si="5"/>
        <v>1624242.0835411435</v>
      </c>
      <c r="J103" s="455">
        <f t="array" ref="J103">IFERROR(INDEX('Retirement Calculator'!J:J,MATCH('Isaac 401k'!N103,'Retirement Calculator'!A:A,0),0),0)</f>
        <v>8539.3180191855863</v>
      </c>
      <c r="K103" s="455">
        <f t="shared" ca="1" si="2"/>
        <v>6732.0948563414904</v>
      </c>
      <c r="L103" s="455">
        <f t="shared" ca="1" si="3"/>
        <v>1622434.8603782994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58">
        <f t="shared" ca="1" si="4"/>
        <v>-8176599.4437841466</v>
      </c>
      <c r="C104" s="458">
        <f t="shared" si="0"/>
        <v>70768.965772670272</v>
      </c>
      <c r="D104" s="458">
        <f t="shared" ca="1" si="9"/>
        <v>-83756.037552828187</v>
      </c>
      <c r="E104" s="458">
        <f t="shared" ca="1" si="1"/>
        <v>-8331124.4471096452</v>
      </c>
      <c r="F104" s="442"/>
      <c r="G104" s="470">
        <f>G103+1</f>
        <v>9</v>
      </c>
      <c r="H104" s="470">
        <v>97</v>
      </c>
      <c r="I104" s="455">
        <f t="shared" ca="1" si="5"/>
        <v>1622434.8603782994</v>
      </c>
      <c r="J104" s="455">
        <f t="array" ref="J104">IFERROR(INDEX('Retirement Calculator'!J:J,MATCH('Isaac 401k'!N104,'Retirement Calculator'!A:A,0),0),0)</f>
        <v>8539.3180191855863</v>
      </c>
      <c r="K104" s="455">
        <f t="shared" ca="1" si="2"/>
        <v>6724.56475982964</v>
      </c>
      <c r="L104" s="455">
        <f t="shared" ca="1" si="3"/>
        <v>1620620.1071189432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58">
        <f t="shared" ca="1" si="4"/>
        <v>-8331124.4471096452</v>
      </c>
      <c r="C105" s="458">
        <f t="shared" si="0"/>
        <v>0</v>
      </c>
      <c r="D105" s="458">
        <f t="shared" ca="1" si="9"/>
        <v>-83756.037552828187</v>
      </c>
      <c r="E105" s="458">
        <f t="shared" ca="1" si="1"/>
        <v>-8414880.4846624732</v>
      </c>
      <c r="F105" s="442"/>
      <c r="G105" s="470">
        <f t="shared" ref="G105:G115" si="13">G104</f>
        <v>9</v>
      </c>
      <c r="H105" s="470">
        <v>98</v>
      </c>
      <c r="I105" s="455">
        <f t="shared" ca="1" si="5"/>
        <v>1620620.1071189432</v>
      </c>
      <c r="J105" s="455">
        <f t="array" ref="J105">IFERROR(INDEX('Retirement Calculator'!J:J,MATCH('Isaac 401k'!N105,'Retirement Calculator'!A:A,0),0),0)</f>
        <v>7863.2184191855868</v>
      </c>
      <c r="K105" s="455">
        <f t="shared" ca="1" si="2"/>
        <v>6719.8203695823231</v>
      </c>
      <c r="L105" s="455">
        <f t="shared" ca="1" si="3"/>
        <v>1619476.70906934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58">
        <f t="shared" ca="1" si="4"/>
        <v>-8414880.4846624732</v>
      </c>
      <c r="C106" s="458">
        <f t="shared" si="0"/>
        <v>0</v>
      </c>
      <c r="D106" s="458">
        <f t="shared" ca="1" si="9"/>
        <v>-83756.037552828187</v>
      </c>
      <c r="E106" s="458">
        <f t="shared" ca="1" si="1"/>
        <v>-8498636.5222153012</v>
      </c>
      <c r="F106" s="442"/>
      <c r="G106" s="470">
        <f t="shared" si="13"/>
        <v>9</v>
      </c>
      <c r="H106" s="470">
        <v>99</v>
      </c>
      <c r="I106" s="455">
        <f t="shared" ca="1" si="5"/>
        <v>1619476.70906934</v>
      </c>
      <c r="J106" s="455">
        <f t="array" ref="J106">IFERROR(INDEX('Retirement Calculator'!J:J,MATCH('Isaac 401k'!N106,'Retirement Calculator'!A:A,0),0),0)</f>
        <v>7863.2184191855868</v>
      </c>
      <c r="K106" s="455">
        <f t="shared" ca="1" si="2"/>
        <v>6715.0562110423098</v>
      </c>
      <c r="L106" s="455">
        <f t="shared" ca="1" si="3"/>
        <v>1618328.5468611966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58">
        <f t="shared" ca="1" si="4"/>
        <v>-8498636.5222153012</v>
      </c>
      <c r="C107" s="458">
        <f t="shared" si="0"/>
        <v>0</v>
      </c>
      <c r="D107" s="458">
        <f t="shared" ca="1" si="9"/>
        <v>-83756.037552828187</v>
      </c>
      <c r="E107" s="458">
        <f t="shared" ca="1" si="1"/>
        <v>-8582392.5597681291</v>
      </c>
      <c r="F107" s="442"/>
      <c r="G107" s="470">
        <f t="shared" si="13"/>
        <v>9</v>
      </c>
      <c r="H107" s="470">
        <v>100</v>
      </c>
      <c r="I107" s="455">
        <f t="shared" ca="1" si="5"/>
        <v>1618328.5468611966</v>
      </c>
      <c r="J107" s="455">
        <f t="array" ref="J107">IFERROR(INDEX('Retirement Calculator'!J:J,MATCH('Isaac 401k'!N107,'Retirement Calculator'!A:A,0),0),0)</f>
        <v>7863.2184191855868</v>
      </c>
      <c r="K107" s="455">
        <f t="shared" ca="1" si="2"/>
        <v>6710.2722018417126</v>
      </c>
      <c r="L107" s="455">
        <f t="shared" ca="1" si="3"/>
        <v>1617175.6006438527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58">
        <f t="shared" ca="1" si="4"/>
        <v>-8582392.5597681291</v>
      </c>
      <c r="C108" s="458">
        <f t="shared" si="0"/>
        <v>0</v>
      </c>
      <c r="D108" s="458">
        <f t="shared" ca="1" si="9"/>
        <v>-83756.037552828187</v>
      </c>
      <c r="E108" s="458">
        <f t="shared" ca="1" si="1"/>
        <v>-8666148.5973209571</v>
      </c>
      <c r="F108" s="442"/>
      <c r="G108" s="470">
        <f t="shared" si="13"/>
        <v>9</v>
      </c>
      <c r="H108" s="470">
        <v>101</v>
      </c>
      <c r="I108" s="455">
        <f t="shared" ca="1" si="5"/>
        <v>1617175.6006438527</v>
      </c>
      <c r="J108" s="455">
        <f t="array" ref="J108">IFERROR(INDEX('Retirement Calculator'!J:J,MATCH('Isaac 401k'!N108,'Retirement Calculator'!A:A,0),0),0)</f>
        <v>7863.2184191855868</v>
      </c>
      <c r="K108" s="455">
        <f t="shared" ca="1" si="2"/>
        <v>6705.4682592694462</v>
      </c>
      <c r="L108" s="455">
        <f t="shared" ca="1" si="3"/>
        <v>1616017.8504839365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58">
        <f t="shared" ca="1" si="4"/>
        <v>-8666148.5973209571</v>
      </c>
      <c r="C109" s="458">
        <f t="shared" si="0"/>
        <v>0</v>
      </c>
      <c r="D109" s="458">
        <f t="shared" ca="1" si="9"/>
        <v>-83756.037552828187</v>
      </c>
      <c r="E109" s="458">
        <f t="shared" ca="1" si="1"/>
        <v>-8749904.6348737851</v>
      </c>
      <c r="F109" s="442"/>
      <c r="G109" s="470">
        <f t="shared" si="13"/>
        <v>9</v>
      </c>
      <c r="H109" s="470">
        <v>102</v>
      </c>
      <c r="I109" s="455">
        <f t="shared" ca="1" si="5"/>
        <v>1616017.8504839365</v>
      </c>
      <c r="J109" s="455">
        <f t="array" ref="J109">IFERROR(INDEX('Retirement Calculator'!J:J,MATCH('Isaac 401k'!N109,'Retirement Calculator'!A:A,0),0),0)</f>
        <v>7863.2184191855868</v>
      </c>
      <c r="K109" s="455">
        <f t="shared" ca="1" si="2"/>
        <v>6700.6443002697952</v>
      </c>
      <c r="L109" s="455">
        <f t="shared" ca="1" si="3"/>
        <v>1614855.2763650208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58">
        <f t="shared" ca="1" si="4"/>
        <v>-8749904.6348737851</v>
      </c>
      <c r="C110" s="458">
        <f t="shared" si="0"/>
        <v>0</v>
      </c>
      <c r="D110" s="458">
        <f t="shared" ca="1" si="9"/>
        <v>-83756.037552828187</v>
      </c>
      <c r="E110" s="458">
        <f t="shared" ca="1" si="1"/>
        <v>-8833660.672426613</v>
      </c>
      <c r="F110" s="442"/>
      <c r="G110" s="470">
        <f t="shared" si="13"/>
        <v>9</v>
      </c>
      <c r="H110" s="470">
        <v>103</v>
      </c>
      <c r="I110" s="455">
        <f t="shared" ca="1" si="5"/>
        <v>1614855.2763650208</v>
      </c>
      <c r="J110" s="455">
        <f t="array" ref="J110">IFERROR(INDEX('Retirement Calculator'!J:J,MATCH('Isaac 401k'!N110,'Retirement Calculator'!A:A,0),0),0)</f>
        <v>7863.2184191855868</v>
      </c>
      <c r="K110" s="455">
        <f t="shared" ca="1" si="2"/>
        <v>6695.8002414409793</v>
      </c>
      <c r="L110" s="455">
        <f t="shared" ca="1" si="3"/>
        <v>1613687.8581872762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58">
        <f t="shared" ca="1" si="4"/>
        <v>-8833660.672426613</v>
      </c>
      <c r="C111" s="458">
        <f t="shared" si="0"/>
        <v>0</v>
      </c>
      <c r="D111" s="458">
        <f t="shared" ca="1" si="9"/>
        <v>-83756.037552828187</v>
      </c>
      <c r="E111" s="458">
        <f t="shared" ca="1" si="1"/>
        <v>-8917416.709979441</v>
      </c>
      <c r="F111" s="442"/>
      <c r="G111" s="470">
        <f t="shared" si="13"/>
        <v>9</v>
      </c>
      <c r="H111" s="470">
        <v>104</v>
      </c>
      <c r="I111" s="455">
        <f t="shared" ca="1" si="5"/>
        <v>1613687.8581872762</v>
      </c>
      <c r="J111" s="455">
        <f t="array" ref="J111">IFERROR(INDEX('Retirement Calculator'!J:J,MATCH('Isaac 401k'!N111,'Retirement Calculator'!A:A,0),0),0)</f>
        <v>7863.2184191855868</v>
      </c>
      <c r="K111" s="455">
        <f t="shared" ca="1" si="2"/>
        <v>6690.9359990337107</v>
      </c>
      <c r="L111" s="455">
        <f t="shared" ca="1" si="3"/>
        <v>1612515.5757671243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58">
        <f t="shared" ca="1" si="4"/>
        <v>-8917416.709979441</v>
      </c>
      <c r="C112" s="458">
        <f t="shared" si="0"/>
        <v>0</v>
      </c>
      <c r="D112" s="458">
        <f t="shared" ca="1" si="9"/>
        <v>-83756.037552828187</v>
      </c>
      <c r="E112" s="458">
        <f t="shared" ca="1" si="1"/>
        <v>-9001172.747532269</v>
      </c>
      <c r="F112" s="442"/>
      <c r="G112" s="470">
        <f t="shared" si="13"/>
        <v>9</v>
      </c>
      <c r="H112" s="470">
        <v>105</v>
      </c>
      <c r="I112" s="455">
        <f t="shared" ca="1" si="5"/>
        <v>1612515.5757671243</v>
      </c>
      <c r="J112" s="455">
        <f t="array" ref="J112">IFERROR(INDEX('Retirement Calculator'!J:J,MATCH('Isaac 401k'!N112,'Retirement Calculator'!A:A,0),0),0)</f>
        <v>7863.2184191855868</v>
      </c>
      <c r="K112" s="455">
        <f t="shared" ca="1" si="2"/>
        <v>6686.0514889497445</v>
      </c>
      <c r="L112" s="455">
        <f t="shared" ca="1" si="3"/>
        <v>1611338.4088368884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58">
        <f t="shared" ca="1" si="4"/>
        <v>-9001172.747532269</v>
      </c>
      <c r="C113" s="458">
        <f t="shared" si="0"/>
        <v>0</v>
      </c>
      <c r="D113" s="458">
        <f t="shared" ca="1" si="9"/>
        <v>-83756.037552828187</v>
      </c>
      <c r="E113" s="458">
        <f t="shared" ca="1" si="1"/>
        <v>-9084928.785085097</v>
      </c>
      <c r="F113" s="442"/>
      <c r="G113" s="470">
        <f t="shared" si="13"/>
        <v>9</v>
      </c>
      <c r="H113" s="470">
        <v>106</v>
      </c>
      <c r="I113" s="455">
        <f t="shared" ca="1" si="5"/>
        <v>1611338.4088368884</v>
      </c>
      <c r="J113" s="455">
        <f t="array" ref="J113">IFERROR(INDEX('Retirement Calculator'!J:J,MATCH('Isaac 401k'!N113,'Retirement Calculator'!A:A,0),0),0)</f>
        <v>7863.2184191855868</v>
      </c>
      <c r="K113" s="455">
        <f t="shared" ca="1" si="2"/>
        <v>6681.1466267404285</v>
      </c>
      <c r="L113" s="455">
        <f t="shared" ca="1" si="3"/>
        <v>1610156.3370444432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58">
        <f t="shared" ca="1" si="4"/>
        <v>-9084928.785085097</v>
      </c>
      <c r="C114" s="458">
        <f t="shared" si="0"/>
        <v>0</v>
      </c>
      <c r="D114" s="458">
        <f t="shared" ca="1" si="9"/>
        <v>-83756.037552828187</v>
      </c>
      <c r="E114" s="458">
        <f t="shared" ca="1" si="1"/>
        <v>-9168684.8226379249</v>
      </c>
      <c r="F114" s="442"/>
      <c r="G114" s="470">
        <f t="shared" si="13"/>
        <v>9</v>
      </c>
      <c r="H114" s="470">
        <v>107</v>
      </c>
      <c r="I114" s="455">
        <f t="shared" ca="1" si="5"/>
        <v>1610156.3370444432</v>
      </c>
      <c r="J114" s="455">
        <f t="array" ref="J114">IFERROR(INDEX('Retirement Calculator'!J:J,MATCH('Isaac 401k'!N114,'Retirement Calculator'!A:A,0),0),0)</f>
        <v>7863.2184191855868</v>
      </c>
      <c r="K114" s="455">
        <f t="shared" ca="1" si="2"/>
        <v>6676.2213276052398</v>
      </c>
      <c r="L114" s="455">
        <f t="shared" ca="1" si="3"/>
        <v>1608969.3399528628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58">
        <f t="shared" ca="1" si="4"/>
        <v>-9168684.8226379249</v>
      </c>
      <c r="C115" s="458">
        <f t="shared" si="0"/>
        <v>0</v>
      </c>
      <c r="D115" s="458">
        <f t="shared" ca="1" si="9"/>
        <v>-83756.037552828187</v>
      </c>
      <c r="E115" s="458">
        <f t="shared" ca="1" si="1"/>
        <v>-9252440.8601907529</v>
      </c>
      <c r="F115" s="442"/>
      <c r="G115" s="470">
        <f t="shared" si="13"/>
        <v>9</v>
      </c>
      <c r="H115" s="470">
        <v>108</v>
      </c>
      <c r="I115" s="455">
        <f t="shared" ca="1" si="5"/>
        <v>1608969.3399528628</v>
      </c>
      <c r="J115" s="455">
        <f t="array" ref="J115">IFERROR(INDEX('Retirement Calculator'!J:J,MATCH('Isaac 401k'!N115,'Retirement Calculator'!A:A,0),0),0)</f>
        <v>7863.2184191855868</v>
      </c>
      <c r="K115" s="455">
        <f t="shared" ca="1" si="2"/>
        <v>6671.2755063903214</v>
      </c>
      <c r="L115" s="455">
        <f t="shared" ca="1" si="3"/>
        <v>1607777.3970400675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58">
        <f t="shared" ca="1" si="4"/>
        <v>-9252440.8601907529</v>
      </c>
      <c r="C116" s="458">
        <f t="shared" si="0"/>
        <v>0</v>
      </c>
      <c r="D116" s="458">
        <f t="shared" ca="1" si="9"/>
        <v>-83756.037552828187</v>
      </c>
      <c r="E116" s="458">
        <f t="shared" ca="1" si="1"/>
        <v>-9336196.8977435809</v>
      </c>
      <c r="F116" s="442"/>
      <c r="G116" s="470">
        <f>G115+1</f>
        <v>10</v>
      </c>
      <c r="H116" s="470">
        <v>109</v>
      </c>
      <c r="I116" s="455">
        <f t="shared" ca="1" si="5"/>
        <v>1607777.3970400675</v>
      </c>
      <c r="J116" s="455">
        <f t="array" ref="J116">IFERROR(INDEX('Retirement Calculator'!J:J,MATCH('Isaac 401k'!N116,'Retirement Calculator'!A:A,0),0),0)</f>
        <v>7863.2184191855868</v>
      </c>
      <c r="K116" s="455">
        <f t="shared" ca="1" si="2"/>
        <v>6666.3090775870078</v>
      </c>
      <c r="L116" s="455">
        <f t="shared" ca="1" si="3"/>
        <v>1606580.4876984688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58">
        <f t="shared" ca="1" si="4"/>
        <v>-9336196.8977435809</v>
      </c>
      <c r="C117" s="458">
        <f t="shared" si="0"/>
        <v>0</v>
      </c>
      <c r="D117" s="458">
        <f t="shared" ca="1" si="9"/>
        <v>-83756.037552828187</v>
      </c>
      <c r="E117" s="458">
        <f t="shared" ca="1" si="1"/>
        <v>-9419952.9352964088</v>
      </c>
      <c r="F117" s="442"/>
      <c r="G117" s="470">
        <f t="shared" ref="G117:G127" si="14">G116</f>
        <v>10</v>
      </c>
      <c r="H117" s="470">
        <v>110</v>
      </c>
      <c r="I117" s="455">
        <f t="shared" ca="1" si="5"/>
        <v>1606580.4876984688</v>
      </c>
      <c r="J117" s="455">
        <f t="array" ref="J117">IFERROR(INDEX('Retirement Calculator'!J:J,MATCH('Isaac 401k'!N117,'Retirement Calculator'!A:A,0),0),0)</f>
        <v>7863.2184191855868</v>
      </c>
      <c r="K117" s="455">
        <f t="shared" ca="1" si="2"/>
        <v>6661.321955330347</v>
      </c>
      <c r="L117" s="455">
        <f t="shared" ca="1" si="3"/>
        <v>1605378.5912346137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58">
        <f t="shared" ca="1" si="4"/>
        <v>-9419952.9352964088</v>
      </c>
      <c r="C118" s="458">
        <f t="shared" si="0"/>
        <v>0</v>
      </c>
      <c r="D118" s="458">
        <f t="shared" ca="1" si="9"/>
        <v>-83756.037552828187</v>
      </c>
      <c r="E118" s="458">
        <f t="shared" ca="1" si="1"/>
        <v>-9503708.9728492368</v>
      </c>
      <c r="F118" s="442"/>
      <c r="G118" s="470">
        <f t="shared" si="14"/>
        <v>10</v>
      </c>
      <c r="H118" s="470">
        <v>111</v>
      </c>
      <c r="I118" s="455">
        <f t="shared" ca="1" si="5"/>
        <v>1605378.5912346137</v>
      </c>
      <c r="J118" s="455">
        <f t="array" ref="J118">IFERROR(INDEX('Retirement Calculator'!J:J,MATCH('Isaac 401k'!N118,'Retirement Calculator'!A:A,0),0),0)</f>
        <v>7863.2184191855868</v>
      </c>
      <c r="K118" s="455">
        <f t="shared" ca="1" si="2"/>
        <v>6656.3140533976166</v>
      </c>
      <c r="L118" s="455">
        <f t="shared" ca="1" si="3"/>
        <v>1604171.6868688257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58">
        <f t="shared" ca="1" si="4"/>
        <v>-9503708.9728492368</v>
      </c>
      <c r="C119" s="458">
        <f t="shared" si="0"/>
        <v>0</v>
      </c>
      <c r="D119" s="458">
        <f t="shared" ca="1" si="9"/>
        <v>-83756.037552828187</v>
      </c>
      <c r="E119" s="458">
        <f t="shared" ca="1" si="1"/>
        <v>-9587465.0104020648</v>
      </c>
      <c r="F119" s="442"/>
      <c r="G119" s="470">
        <f t="shared" si="14"/>
        <v>10</v>
      </c>
      <c r="H119" s="470">
        <v>112</v>
      </c>
      <c r="I119" s="455">
        <f t="shared" ca="1" si="5"/>
        <v>1604171.6868688257</v>
      </c>
      <c r="J119" s="455">
        <f t="array" ref="J119">IFERROR(INDEX('Retirement Calculator'!J:J,MATCH('Isaac 401k'!N119,'Retirement Calculator'!A:A,0),0),0)</f>
        <v>7863.2184191855868</v>
      </c>
      <c r="K119" s="455">
        <f t="shared" ca="1" si="2"/>
        <v>6651.2852852068336</v>
      </c>
      <c r="L119" s="455">
        <f t="shared" ca="1" si="3"/>
        <v>1602959.7537348468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58">
        <f t="shared" ca="1" si="4"/>
        <v>-9587465.0104020648</v>
      </c>
      <c r="C120" s="458">
        <f t="shared" si="0"/>
        <v>0</v>
      </c>
      <c r="D120" s="458">
        <f t="shared" ca="1" si="9"/>
        <v>-83756.037552828187</v>
      </c>
      <c r="E120" s="458">
        <f t="shared" ca="1" si="1"/>
        <v>-9671221.0479548927</v>
      </c>
      <c r="F120" s="442"/>
      <c r="G120" s="470">
        <f t="shared" si="14"/>
        <v>10</v>
      </c>
      <c r="H120" s="470">
        <v>113</v>
      </c>
      <c r="I120" s="455">
        <f t="shared" ca="1" si="5"/>
        <v>1602959.7537348468</v>
      </c>
      <c r="J120" s="455">
        <f t="array" ref="J120">IFERROR(INDEX('Retirement Calculator'!J:J,MATCH('Isaac 401k'!N120,'Retirement Calculator'!A:A,0),0),0)</f>
        <v>7863.2184191855868</v>
      </c>
      <c r="K120" s="455">
        <f t="shared" ca="1" si="2"/>
        <v>6646.2355638152549</v>
      </c>
      <c r="L120" s="455">
        <f t="shared" ca="1" si="3"/>
        <v>1601742.7708794766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58">
        <f t="shared" ca="1" si="4"/>
        <v>-9671221.0479548927</v>
      </c>
      <c r="C121" s="458">
        <f t="shared" si="0"/>
        <v>0</v>
      </c>
      <c r="D121" s="458">
        <f t="shared" ca="1" si="9"/>
        <v>-83756.037552828187</v>
      </c>
      <c r="E121" s="458">
        <f t="shared" ca="1" si="1"/>
        <v>-9754977.0855077207</v>
      </c>
      <c r="F121" s="442"/>
      <c r="G121" s="470">
        <f t="shared" si="14"/>
        <v>10</v>
      </c>
      <c r="H121" s="470">
        <v>114</v>
      </c>
      <c r="I121" s="455">
        <f t="shared" ca="1" si="5"/>
        <v>1601742.7708794766</v>
      </c>
      <c r="J121" s="455">
        <f t="array" ref="J121">IFERROR(INDEX('Retirement Calculator'!J:J,MATCH('Isaac 401k'!N121,'Retirement Calculator'!A:A,0),0),0)</f>
        <v>7863.2184191855868</v>
      </c>
      <c r="K121" s="455">
        <f t="shared" ca="1" si="2"/>
        <v>6641.1648019178792</v>
      </c>
      <c r="L121" s="455">
        <f t="shared" ca="1" si="3"/>
        <v>1600520.7172622089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58">
        <f t="shared" ca="1" si="4"/>
        <v>-9754977.0855077207</v>
      </c>
      <c r="C122" s="458">
        <f t="shared" si="0"/>
        <v>0</v>
      </c>
      <c r="D122" s="458">
        <f t="shared" ca="1" si="9"/>
        <v>-83756.037552828187</v>
      </c>
      <c r="E122" s="458">
        <f t="shared" ca="1" si="1"/>
        <v>-9838733.1230605487</v>
      </c>
      <c r="F122" s="442"/>
      <c r="G122" s="470">
        <f t="shared" si="14"/>
        <v>10</v>
      </c>
      <c r="H122" s="470">
        <v>115</v>
      </c>
      <c r="I122" s="455">
        <f t="shared" ca="1" si="5"/>
        <v>1600520.7172622089</v>
      </c>
      <c r="J122" s="455">
        <f t="array" ref="J122">IFERROR(INDEX('Retirement Calculator'!J:J,MATCH('Isaac 401k'!N122,'Retirement Calculator'!A:A,0),0),0)</f>
        <v>7863.2184191855868</v>
      </c>
      <c r="K122" s="455">
        <f t="shared" ca="1" si="2"/>
        <v>6636.0729118459303</v>
      </c>
      <c r="L122" s="455">
        <f t="shared" ca="1" si="3"/>
        <v>1599293.5717548693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58">
        <f t="shared" ca="1" si="4"/>
        <v>-9838733.1230605487</v>
      </c>
      <c r="C123" s="458">
        <f t="shared" si="0"/>
        <v>0</v>
      </c>
      <c r="D123" s="458">
        <f t="shared" ca="1" si="9"/>
        <v>-83756.037552828187</v>
      </c>
      <c r="E123" s="458">
        <f t="shared" ca="1" si="1"/>
        <v>-9922489.1606133766</v>
      </c>
      <c r="F123" s="442"/>
      <c r="G123" s="470">
        <f t="shared" si="14"/>
        <v>10</v>
      </c>
      <c r="H123" s="470">
        <v>116</v>
      </c>
      <c r="I123" s="455">
        <f t="shared" ca="1" si="5"/>
        <v>1599293.5717548693</v>
      </c>
      <c r="J123" s="455">
        <f t="array" ref="J123">IFERROR(INDEX('Retirement Calculator'!J:J,MATCH('Isaac 401k'!N123,'Retirement Calculator'!A:A,0),0),0)</f>
        <v>7863.2184191855868</v>
      </c>
      <c r="K123" s="455">
        <f t="shared" ca="1" si="2"/>
        <v>6630.9598055653487</v>
      </c>
      <c r="L123" s="455">
        <f t="shared" ca="1" si="3"/>
        <v>1598061.3131412491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58">
        <f t="shared" ca="1" si="4"/>
        <v>-9922489.1606133766</v>
      </c>
      <c r="C124" s="458">
        <f t="shared" si="0"/>
        <v>0</v>
      </c>
      <c r="D124" s="458">
        <f t="shared" ca="1" si="9"/>
        <v>-83756.037552828187</v>
      </c>
      <c r="E124" s="458">
        <f t="shared" ca="1" si="1"/>
        <v>-10006245.198166205</v>
      </c>
      <c r="F124" s="442"/>
      <c r="G124" s="470">
        <f t="shared" si="14"/>
        <v>10</v>
      </c>
      <c r="H124" s="470">
        <v>117</v>
      </c>
      <c r="I124" s="455">
        <f t="shared" ca="1" si="5"/>
        <v>1598061.3131412491</v>
      </c>
      <c r="J124" s="455">
        <f t="array" ref="J124">IFERROR(INDEX('Retirement Calculator'!J:J,MATCH('Isaac 401k'!N124,'Retirement Calculator'!A:A,0),0),0)</f>
        <v>7863.2184191855868</v>
      </c>
      <c r="K124" s="455">
        <f t="shared" ca="1" si="2"/>
        <v>6625.8253946752648</v>
      </c>
      <c r="L124" s="455">
        <f t="shared" ca="1" si="3"/>
        <v>1596823.9201167389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58">
        <f t="shared" ca="1" si="4"/>
        <v>-10006245.198166205</v>
      </c>
      <c r="C125" s="458">
        <f t="shared" si="0"/>
        <v>0</v>
      </c>
      <c r="D125" s="458">
        <f t="shared" ca="1" si="9"/>
        <v>-83756.037552828187</v>
      </c>
      <c r="E125" s="458">
        <f t="shared" ca="1" si="1"/>
        <v>-10090001.235719033</v>
      </c>
      <c r="F125" s="442"/>
      <c r="G125" s="470">
        <f t="shared" si="14"/>
        <v>10</v>
      </c>
      <c r="H125" s="470">
        <v>118</v>
      </c>
      <c r="I125" s="455">
        <f t="shared" ca="1" si="5"/>
        <v>1596823.9201167389</v>
      </c>
      <c r="J125" s="455">
        <f t="array" ref="J125">IFERROR(INDEX('Retirement Calculator'!J:J,MATCH('Isaac 401k'!N125,'Retirement Calculator'!A:A,0),0),0)</f>
        <v>7863.2184191855868</v>
      </c>
      <c r="K125" s="455">
        <f t="shared" ca="1" si="2"/>
        <v>6620.6695904064718</v>
      </c>
      <c r="L125" s="455">
        <f t="shared" ca="1" si="3"/>
        <v>1595581.3712879599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58">
        <f t="shared" ca="1" si="4"/>
        <v>-10090001.235719033</v>
      </c>
      <c r="C126" s="458">
        <f t="shared" si="0"/>
        <v>0</v>
      </c>
      <c r="D126" s="458">
        <f t="shared" ca="1" si="9"/>
        <v>-83756.037552828187</v>
      </c>
      <c r="E126" s="458">
        <f t="shared" ca="1" si="1"/>
        <v>-10173757.273271861</v>
      </c>
      <c r="F126" s="442"/>
      <c r="G126" s="470">
        <f t="shared" si="14"/>
        <v>10</v>
      </c>
      <c r="H126" s="470">
        <v>119</v>
      </c>
      <c r="I126" s="455">
        <f t="shared" ca="1" si="5"/>
        <v>1595581.3712879599</v>
      </c>
      <c r="J126" s="455">
        <f t="array" ref="J126">IFERROR(INDEX('Retirement Calculator'!J:J,MATCH('Isaac 401k'!N126,'Retirement Calculator'!A:A,0),0),0)</f>
        <v>7863.2184191855868</v>
      </c>
      <c r="K126" s="455">
        <f t="shared" ca="1" si="2"/>
        <v>6615.4923036198925</v>
      </c>
      <c r="L126" s="455">
        <f t="shared" ca="1" si="3"/>
        <v>1594333.6451723941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58">
        <f t="shared" ca="1" si="4"/>
        <v>-10173757.273271861</v>
      </c>
      <c r="C127" s="458">
        <f t="shared" si="0"/>
        <v>0</v>
      </c>
      <c r="D127" s="458">
        <f t="shared" ca="1" si="9"/>
        <v>-83756.037552828187</v>
      </c>
      <c r="E127" s="458">
        <f t="shared" ca="1" si="1"/>
        <v>-10257513.310824689</v>
      </c>
      <c r="F127" s="442"/>
      <c r="G127" s="470">
        <f t="shared" si="14"/>
        <v>10</v>
      </c>
      <c r="H127" s="470">
        <v>120</v>
      </c>
      <c r="I127" s="455">
        <f t="shared" ca="1" si="5"/>
        <v>1594333.6451723941</v>
      </c>
      <c r="J127" s="455">
        <f t="array" ref="J127">IFERROR(INDEX('Retirement Calculator'!J:J,MATCH('Isaac 401k'!N127,'Retirement Calculator'!A:A,0),0),0)</f>
        <v>7863.2184191855868</v>
      </c>
      <c r="K127" s="455">
        <f t="shared" ca="1" si="2"/>
        <v>6610.2934448050355</v>
      </c>
      <c r="L127" s="455">
        <f t="shared" ca="1" si="3"/>
        <v>1593080.7201980136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58">
        <f t="shared" ca="1" si="4"/>
        <v>-10257513.310824689</v>
      </c>
      <c r="C128" s="458">
        <f t="shared" si="0"/>
        <v>0</v>
      </c>
      <c r="D128" s="458">
        <f t="shared" ca="1" si="9"/>
        <v>-83756.037552828187</v>
      </c>
      <c r="E128" s="458">
        <f t="shared" ca="1" si="1"/>
        <v>-10341269.348377516</v>
      </c>
      <c r="F128" s="442"/>
      <c r="G128" s="470">
        <f>G127+1</f>
        <v>11</v>
      </c>
      <c r="H128" s="470">
        <v>121</v>
      </c>
      <c r="I128" s="455">
        <f t="shared" ca="1" si="5"/>
        <v>1593080.7201980136</v>
      </c>
      <c r="J128" s="455">
        <f t="array" ref="J128">IFERROR(INDEX('Retirement Calculator'!J:J,MATCH('Isaac 401k'!N128,'Retirement Calculator'!A:A,0),0),0)</f>
        <v>7863.2184191855868</v>
      </c>
      <c r="K128" s="455">
        <f t="shared" ca="1" si="2"/>
        <v>6605.0729240784494</v>
      </c>
      <c r="L128" s="455">
        <f t="shared" ca="1" si="3"/>
        <v>1591822.5747029064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58">
        <f t="shared" ca="1" si="4"/>
        <v>-10341269.348377516</v>
      </c>
      <c r="C129" s="458">
        <f t="shared" si="0"/>
        <v>0</v>
      </c>
      <c r="D129" s="458">
        <f t="shared" ca="1" si="9"/>
        <v>-83756.037552828187</v>
      </c>
      <c r="E129" s="458">
        <f t="shared" ca="1" si="1"/>
        <v>-10425025.385930344</v>
      </c>
      <c r="F129" s="442"/>
      <c r="G129" s="470">
        <f t="shared" ref="G129:G139" si="15">G128</f>
        <v>11</v>
      </c>
      <c r="H129" s="470">
        <v>122</v>
      </c>
      <c r="I129" s="455">
        <f t="shared" ca="1" si="5"/>
        <v>1591822.5747029064</v>
      </c>
      <c r="J129" s="455">
        <f t="array" ref="J129">IFERROR(INDEX('Retirement Calculator'!J:J,MATCH('Isaac 401k'!N129,'Retirement Calculator'!A:A,0),0),0)</f>
        <v>7863.2184191855868</v>
      </c>
      <c r="K129" s="455">
        <f t="shared" ca="1" si="2"/>
        <v>6599.8306511821702</v>
      </c>
      <c r="L129" s="455">
        <f t="shared" ca="1" si="3"/>
        <v>1590559.186934903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58">
        <f t="shared" ca="1" si="4"/>
        <v>-10425025.385930344</v>
      </c>
      <c r="C130" s="458">
        <f t="shared" si="0"/>
        <v>0</v>
      </c>
      <c r="D130" s="458">
        <f t="shared" ca="1" si="9"/>
        <v>-83756.037552828187</v>
      </c>
      <c r="E130" s="458">
        <f t="shared" ca="1" si="1"/>
        <v>-10508781.423483172</v>
      </c>
      <c r="F130" s="442"/>
      <c r="G130" s="470">
        <f t="shared" si="15"/>
        <v>11</v>
      </c>
      <c r="H130" s="470">
        <v>123</v>
      </c>
      <c r="I130" s="455">
        <f t="shared" ca="1" si="5"/>
        <v>1590559.186934903</v>
      </c>
      <c r="J130" s="455">
        <f t="array" ref="J130">IFERROR(INDEX('Retirement Calculator'!J:J,MATCH('Isaac 401k'!N130,'Retirement Calculator'!A:A,0),0),0)</f>
        <v>7863.2184191855868</v>
      </c>
      <c r="K130" s="455">
        <f t="shared" ca="1" si="2"/>
        <v>6594.5665354821558</v>
      </c>
      <c r="L130" s="455">
        <f t="shared" ca="1" si="3"/>
        <v>1589290.5350511996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58">
        <f t="shared" ca="1" si="4"/>
        <v>-10508781.423483172</v>
      </c>
      <c r="C131" s="458">
        <f t="shared" si="0"/>
        <v>0</v>
      </c>
      <c r="D131" s="458">
        <f t="shared" ca="1" si="9"/>
        <v>-83756.037552828187</v>
      </c>
      <c r="E131" s="458">
        <f t="shared" ca="1" si="1"/>
        <v>-10592537.461036</v>
      </c>
      <c r="F131" s="442"/>
      <c r="G131" s="470">
        <f t="shared" si="15"/>
        <v>11</v>
      </c>
      <c r="H131" s="470">
        <v>124</v>
      </c>
      <c r="I131" s="455">
        <f t="shared" ca="1" si="5"/>
        <v>1589290.5350511996</v>
      </c>
      <c r="J131" s="455">
        <f t="array" ref="J131">IFERROR(INDEX('Retirement Calculator'!J:J,MATCH('Isaac 401k'!N131,'Retirement Calculator'!A:A,0),0),0)</f>
        <v>7863.2184191855868</v>
      </c>
      <c r="K131" s="455">
        <f t="shared" ca="1" si="2"/>
        <v>6589.2804859667249</v>
      </c>
      <c r="L131" s="455">
        <f t="shared" ca="1" si="3"/>
        <v>1588016.5971179807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58">
        <f t="shared" ca="1" si="4"/>
        <v>-10592537.461036</v>
      </c>
      <c r="C132" s="458">
        <f t="shared" si="0"/>
        <v>0</v>
      </c>
      <c r="D132" s="458">
        <f t="shared" ca="1" si="9"/>
        <v>-83756.037552828187</v>
      </c>
      <c r="E132" s="458">
        <f t="shared" ca="1" si="1"/>
        <v>-10676293.498588828</v>
      </c>
      <c r="F132" s="442"/>
      <c r="G132" s="470">
        <f t="shared" si="15"/>
        <v>11</v>
      </c>
      <c r="H132" s="470">
        <v>125</v>
      </c>
      <c r="I132" s="455">
        <f t="shared" ca="1" si="5"/>
        <v>1588016.5971179807</v>
      </c>
      <c r="J132" s="455">
        <f t="array" ref="J132">IFERROR(INDEX('Retirement Calculator'!J:J,MATCH('Isaac 401k'!N132,'Retirement Calculator'!A:A,0),0),0)</f>
        <v>7863.2184191855868</v>
      </c>
      <c r="K132" s="455">
        <f t="shared" ca="1" si="2"/>
        <v>6583.9724112449794</v>
      </c>
      <c r="L132" s="455">
        <f t="shared" ca="1" si="3"/>
        <v>1586737.35111004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58">
        <f t="shared" ca="1" si="4"/>
        <v>-10676293.498588828</v>
      </c>
      <c r="C133" s="458">
        <f t="shared" si="0"/>
        <v>0</v>
      </c>
      <c r="D133" s="458">
        <f t="shared" ca="1" si="9"/>
        <v>-83756.037552828187</v>
      </c>
      <c r="E133" s="458">
        <f t="shared" ca="1" si="1"/>
        <v>-10760049.536141656</v>
      </c>
      <c r="F133" s="442"/>
      <c r="G133" s="470">
        <f t="shared" si="15"/>
        <v>11</v>
      </c>
      <c r="H133" s="470">
        <v>126</v>
      </c>
      <c r="I133" s="455">
        <f t="shared" ca="1" si="5"/>
        <v>1586737.35111004</v>
      </c>
      <c r="J133" s="455">
        <f t="array" ref="J133">IFERROR(INDEX('Retirement Calculator'!J:J,MATCH('Isaac 401k'!N133,'Retirement Calculator'!A:A,0),0),0)</f>
        <v>7863.2184191855868</v>
      </c>
      <c r="K133" s="455">
        <f t="shared" ca="1" si="2"/>
        <v>6578.642219545226</v>
      </c>
      <c r="L133" s="455">
        <f t="shared" ca="1" si="3"/>
        <v>1585452.7749103997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58">
        <f t="shared" ca="1" si="4"/>
        <v>-10760049.536141656</v>
      </c>
      <c r="C134" s="458">
        <f t="shared" si="0"/>
        <v>0</v>
      </c>
      <c r="D134" s="458">
        <f t="shared" ca="1" si="9"/>
        <v>-83756.037552828187</v>
      </c>
      <c r="E134" s="458">
        <f t="shared" ca="1" si="1"/>
        <v>-10843805.573694484</v>
      </c>
      <c r="F134" s="442"/>
      <c r="G134" s="470">
        <f t="shared" si="15"/>
        <v>11</v>
      </c>
      <c r="H134" s="470">
        <v>127</v>
      </c>
      <c r="I134" s="455">
        <f t="shared" ca="1" si="5"/>
        <v>1585452.7749103997</v>
      </c>
      <c r="J134" s="455">
        <f t="array" ref="J134">IFERROR(INDEX('Retirement Calculator'!J:J,MATCH('Isaac 401k'!N134,'Retirement Calculator'!A:A,0),0),0)</f>
        <v>7863.2184191855868</v>
      </c>
      <c r="K134" s="455">
        <f t="shared" ca="1" si="2"/>
        <v>6573.2898187133915</v>
      </c>
      <c r="L134" s="455">
        <f t="shared" ca="1" si="3"/>
        <v>1584162.8463099275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58">
        <f t="shared" ca="1" si="4"/>
        <v>-10843805.573694484</v>
      </c>
      <c r="C135" s="458">
        <f t="shared" si="0"/>
        <v>0</v>
      </c>
      <c r="D135" s="458">
        <f t="shared" ca="1" si="9"/>
        <v>-83756.037552828187</v>
      </c>
      <c r="E135" s="458">
        <f t="shared" ca="1" si="1"/>
        <v>-10927561.611247312</v>
      </c>
      <c r="F135" s="442"/>
      <c r="G135" s="470">
        <f t="shared" si="15"/>
        <v>11</v>
      </c>
      <c r="H135" s="470">
        <v>128</v>
      </c>
      <c r="I135" s="455">
        <f t="shared" ca="1" si="5"/>
        <v>1584162.8463099275</v>
      </c>
      <c r="J135" s="455">
        <f t="array" ref="J135">IFERROR(INDEX('Retirement Calculator'!J:J,MATCH('Isaac 401k'!N135,'Retirement Calculator'!A:A,0),0),0)</f>
        <v>7863.2184191855868</v>
      </c>
      <c r="K135" s="455">
        <f t="shared" ca="1" si="2"/>
        <v>6567.9151162114249</v>
      </c>
      <c r="L135" s="455">
        <f t="shared" ca="1" si="3"/>
        <v>1582867.5430069533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58">
        <f t="shared" ca="1" si="4"/>
        <v>-10927561.611247312</v>
      </c>
      <c r="C136" s="458">
        <f t="shared" si="0"/>
        <v>0</v>
      </c>
      <c r="D136" s="458">
        <f t="shared" ca="1" si="9"/>
        <v>-83756.037552828187</v>
      </c>
      <c r="E136" s="458">
        <f t="shared" ca="1" si="1"/>
        <v>-11011317.64880014</v>
      </c>
      <c r="F136" s="442"/>
      <c r="G136" s="470">
        <f t="shared" si="15"/>
        <v>11</v>
      </c>
      <c r="H136" s="470">
        <v>129</v>
      </c>
      <c r="I136" s="455">
        <f t="shared" ca="1" si="5"/>
        <v>1582867.5430069533</v>
      </c>
      <c r="J136" s="455">
        <f t="array" ref="J136">IFERROR(INDEX('Retirement Calculator'!J:J,MATCH('Isaac 401k'!N136,'Retirement Calculator'!A:A,0),0),0)</f>
        <v>7863.2184191855868</v>
      </c>
      <c r="K136" s="455">
        <f t="shared" ca="1" si="2"/>
        <v>6562.5180191156987</v>
      </c>
      <c r="L136" s="455">
        <f t="shared" ca="1" si="3"/>
        <v>1581566.8426068835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1581566.8426068835</v>
      </c>
      <c r="J137" s="455">
        <f t="array" ref="J137">IFERROR(INDEX('Retirement Calculator'!J:J,MATCH('Isaac 401k'!N137,'Retirement Calculator'!A:A,0),0),0)</f>
        <v>7863.2184191855868</v>
      </c>
      <c r="K137" s="455">
        <f t="shared" ca="1" si="2"/>
        <v>6557.0984341154081</v>
      </c>
      <c r="L137" s="455">
        <f t="shared" ca="1" si="3"/>
        <v>1580260.7226218132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1580260.7226218132</v>
      </c>
      <c r="J138" s="455">
        <f t="array" ref="J138">IFERROR(INDEX('Retirement Calculator'!J:J,MATCH('Isaac 401k'!N138,'Retirement Calculator'!A:A,0),0),0)</f>
        <v>7863.2184191855868</v>
      </c>
      <c r="K138" s="455">
        <f t="shared" ca="1" si="2"/>
        <v>6551.6562675109481</v>
      </c>
      <c r="L138" s="455">
        <f t="shared" ca="1" si="3"/>
        <v>1578949.1604701385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1578949.1604701385</v>
      </c>
      <c r="J139" s="455">
        <f t="array" ref="J139">IFERROR(INDEX('Retirement Calculator'!J:J,MATCH('Isaac 401k'!N139,'Retirement Calculator'!A:A,0),0),0)</f>
        <v>7863.2184191855868</v>
      </c>
      <c r="K139" s="455">
        <f t="shared" ca="1" si="2"/>
        <v>6546.1914252123042</v>
      </c>
      <c r="L139" s="455">
        <f t="shared" ca="1" si="3"/>
        <v>1577632.1334761651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1577632.1334761651</v>
      </c>
      <c r="J140" s="455">
        <f t="array" ref="J140">IFERROR(INDEX('Retirement Calculator'!J:J,MATCH('Isaac 401k'!N140,'Retirement Calculator'!A:A,0),0),0)</f>
        <v>7863.2184191855868</v>
      </c>
      <c r="K140" s="455">
        <f t="shared" ca="1" si="2"/>
        <v>6540.7038127374144</v>
      </c>
      <c r="L140" s="455">
        <f t="shared" ca="1" si="3"/>
        <v>1576309.618869717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1576309.618869717</v>
      </c>
      <c r="J141" s="455">
        <f t="array" ref="J141">IFERROR(INDEX('Retirement Calculator'!J:J,MATCH('Isaac 401k'!N141,'Retirement Calculator'!A:A,0),0),0)</f>
        <v>7863.2184191855868</v>
      </c>
      <c r="K141" s="455">
        <f t="shared" ca="1" si="2"/>
        <v>6535.193335210547</v>
      </c>
      <c r="L141" s="455">
        <f t="shared" ca="1" si="3"/>
        <v>1574981.5937857418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1574981.5937857418</v>
      </c>
      <c r="J142" s="455">
        <f t="array" ref="J142">IFERROR(INDEX('Retirement Calculator'!J:J,MATCH('Isaac 401k'!N142,'Retirement Calculator'!A:A,0),0),0)</f>
        <v>7863.2184191855868</v>
      </c>
      <c r="K142" s="455">
        <f t="shared" ca="1" si="2"/>
        <v>6529.6598973606506</v>
      </c>
      <c r="L142" s="455">
        <f t="shared" ca="1" si="3"/>
        <v>1573648.0352639169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1573648.0352639169</v>
      </c>
      <c r="J143" s="455">
        <f t="array" ref="J143">IFERROR(INDEX('Retirement Calculator'!J:J,MATCH('Isaac 401k'!N143,'Retirement Calculator'!A:A,0),0),0)</f>
        <v>7863.2184191855868</v>
      </c>
      <c r="K143" s="455">
        <f t="shared" ca="1" si="2"/>
        <v>6524.1034035197135</v>
      </c>
      <c r="L143" s="455">
        <f t="shared" ca="1" si="3"/>
        <v>1572308.9202482509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1572308.9202482509</v>
      </c>
      <c r="J144" s="455">
        <f t="array" ref="J144">IFERROR(INDEX('Retirement Calculator'!J:J,MATCH('Isaac 401k'!N144,'Retirement Calculator'!A:A,0),0),0)</f>
        <v>7863.2184191855868</v>
      </c>
      <c r="K144" s="455">
        <f t="shared" ca="1" si="2"/>
        <v>6518.5237576211057</v>
      </c>
      <c r="L144" s="455">
        <f t="shared" ca="1" si="3"/>
        <v>1570964.2255866865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1570964.2255866865</v>
      </c>
      <c r="J145" s="455">
        <f t="array" ref="J145">IFERROR(INDEX('Retirement Calculator'!J:J,MATCH('Isaac 401k'!N145,'Retirement Calculator'!A:A,0),0),0)</f>
        <v>7863.2184191855868</v>
      </c>
      <c r="K145" s="455">
        <f t="shared" ca="1" si="2"/>
        <v>6512.92086319792</v>
      </c>
      <c r="L145" s="455">
        <f t="shared" ca="1" si="3"/>
        <v>1569613.9280306988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1569613.9280306988</v>
      </c>
      <c r="J146" s="455">
        <f t="array" ref="J146">IFERROR(INDEX('Retirement Calculator'!J:J,MATCH('Isaac 401k'!N146,'Retirement Calculator'!A:A,0),0),0)</f>
        <v>7863.2184191855868</v>
      </c>
      <c r="K146" s="455">
        <f t="shared" ca="1" si="2"/>
        <v>6507.2946233813045</v>
      </c>
      <c r="L146" s="455">
        <f t="shared" ca="1" si="3"/>
        <v>1568258.0042348944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1568258.0042348944</v>
      </c>
      <c r="J147" s="455">
        <f t="array" ref="J147">IFERROR(INDEX('Retirement Calculator'!J:J,MATCH('Isaac 401k'!N147,'Retirement Calculator'!A:A,0),0),0)</f>
        <v>7863.2184191855868</v>
      </c>
      <c r="K147" s="455">
        <f t="shared" ca="1" si="2"/>
        <v>6501.6449408987864</v>
      </c>
      <c r="L147" s="455">
        <f t="shared" ca="1" si="3"/>
        <v>1566896.4307566076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1566896.4307566076</v>
      </c>
      <c r="J148" s="455">
        <f t="array" ref="J148">IFERROR(INDEX('Retirement Calculator'!J:J,MATCH('Isaac 401k'!N148,'Retirement Calculator'!A:A,0),0),0)</f>
        <v>7863.2184191855868</v>
      </c>
      <c r="K148" s="455">
        <f t="shared" ca="1" si="2"/>
        <v>6495.9717180725911</v>
      </c>
      <c r="L148" s="455">
        <f t="shared" ca="1" si="3"/>
        <v>1565529.1840554946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1565529.1840554946</v>
      </c>
      <c r="J149" s="455">
        <f t="array" ref="J149">IFERROR(INDEX('Retirement Calculator'!J:J,MATCH('Isaac 401k'!N149,'Retirement Calculator'!A:A,0),0),0)</f>
        <v>7863.2184191855868</v>
      </c>
      <c r="K149" s="455">
        <f t="shared" ca="1" si="2"/>
        <v>6490.2748568179541</v>
      </c>
      <c r="L149" s="455">
        <f t="shared" ca="1" si="3"/>
        <v>1564156.2404931269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1564156.2404931269</v>
      </c>
      <c r="J150" s="455">
        <f t="array" ref="J150">IFERROR(INDEX('Retirement Calculator'!J:J,MATCH('Isaac 401k'!N150,'Retirement Calculator'!A:A,0),0),0)</f>
        <v>7863.2184191855868</v>
      </c>
      <c r="K150" s="455">
        <f t="shared" ca="1" si="2"/>
        <v>6484.5542586414222</v>
      </c>
      <c r="L150" s="455">
        <f t="shared" ca="1" si="3"/>
        <v>1562777.5763325826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1562777.5763325826</v>
      </c>
      <c r="J151" s="455">
        <f t="array" ref="J151">IFERROR(INDEX('Retirement Calculator'!J:J,MATCH('Isaac 401k'!N151,'Retirement Calculator'!A:A,0),0),0)</f>
        <v>7863.2184191855868</v>
      </c>
      <c r="K151" s="455">
        <f t="shared" ca="1" si="2"/>
        <v>6478.8098246391546</v>
      </c>
      <c r="L151" s="455">
        <f t="shared" ca="1" si="3"/>
        <v>1561393.1677380363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1561393.1677380363</v>
      </c>
      <c r="J152" s="455">
        <f t="array" ref="J152">IFERROR(INDEX('Retirement Calculator'!J:J,MATCH('Isaac 401k'!N152,'Retirement Calculator'!A:A,0),0),0)</f>
        <v>7863.2184191855868</v>
      </c>
      <c r="K152" s="455">
        <f t="shared" ca="1" si="2"/>
        <v>6473.0414554952113</v>
      </c>
      <c r="L152" s="455">
        <f t="shared" ca="1" si="3"/>
        <v>1560002.9907743458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1560002.9907743458</v>
      </c>
      <c r="J153" s="455">
        <f t="array" ref="J153">IFERROR(INDEX('Retirement Calculator'!J:J,MATCH('Isaac 401k'!N153,'Retirement Calculator'!A:A,0),0),0)</f>
        <v>7863.2184191855868</v>
      </c>
      <c r="K153" s="455">
        <f t="shared" ca="1" si="2"/>
        <v>6467.2490514798337</v>
      </c>
      <c r="L153" s="455">
        <f t="shared" ca="1" si="3"/>
        <v>1558607.0214066401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1558607.0214066401</v>
      </c>
      <c r="J154" s="455">
        <f t="array" ref="J154">IFERROR(INDEX('Retirement Calculator'!J:J,MATCH('Isaac 401k'!N154,'Retirement Calculator'!A:A,0),0),0)</f>
        <v>7863.2184191855868</v>
      </c>
      <c r="K154" s="455">
        <f t="shared" ca="1" si="2"/>
        <v>6461.4325124477273</v>
      </c>
      <c r="L154" s="455">
        <f t="shared" ca="1" si="3"/>
        <v>1557205.2354999022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1557205.2354999022</v>
      </c>
      <c r="J155" s="455">
        <f t="array" ref="J155">IFERROR(INDEX('Retirement Calculator'!J:J,MATCH('Isaac 401k'!N155,'Retirement Calculator'!A:A,0),0),0)</f>
        <v>7863.2184191855868</v>
      </c>
      <c r="K155" s="455">
        <f t="shared" ca="1" si="2"/>
        <v>6455.5917378363192</v>
      </c>
      <c r="L155" s="455">
        <f t="shared" ca="1" si="3"/>
        <v>1555797.6088185529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1555797.6088185529</v>
      </c>
      <c r="J156" s="455">
        <f t="array" ref="J156">IFERROR(INDEX('Retirement Calculator'!J:J,MATCH('Isaac 401k'!N156,'Retirement Calculator'!A:A,0),0),0)</f>
        <v>7863.2184191855868</v>
      </c>
      <c r="K156" s="455">
        <f t="shared" ca="1" si="2"/>
        <v>6449.7266266640308</v>
      </c>
      <c r="L156" s="455">
        <f t="shared" ca="1" si="3"/>
        <v>1554384.1170260313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1554384.1170260313</v>
      </c>
      <c r="J157" s="455">
        <f t="array" ref="J157">IFERROR(INDEX('Retirement Calculator'!J:J,MATCH('Isaac 401k'!N157,'Retirement Calculator'!A:A,0),0),0)</f>
        <v>7863.2184191855868</v>
      </c>
      <c r="K157" s="455">
        <f t="shared" ca="1" si="2"/>
        <v>6443.8370775285239</v>
      </c>
      <c r="L157" s="455">
        <f t="shared" ca="1" si="3"/>
        <v>1552964.7356843741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1552964.7356843741</v>
      </c>
      <c r="J158" s="455">
        <f t="array" ref="J158">IFERROR(INDEX('Retirement Calculator'!J:J,MATCH('Isaac 401k'!N158,'Retirement Calculator'!A:A,0),0),0)</f>
        <v>7863.2184191855868</v>
      </c>
      <c r="K158" s="455">
        <f t="shared" ca="1" si="2"/>
        <v>6437.9229886049525</v>
      </c>
      <c r="L158" s="455">
        <f t="shared" ca="1" si="3"/>
        <v>1551539.4402537935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1551539.4402537935</v>
      </c>
      <c r="J159" s="455">
        <f t="array" ref="J159">IFERROR(INDEX('Retirement Calculator'!J:J,MATCH('Isaac 401k'!N159,'Retirement Calculator'!A:A,0),0),0)</f>
        <v>7863.2184191855868</v>
      </c>
      <c r="K159" s="455">
        <f t="shared" ca="1" si="2"/>
        <v>6431.9842576441997</v>
      </c>
      <c r="L159" s="455">
        <f t="shared" ca="1" si="3"/>
        <v>1550108.2060922522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1550108.2060922522</v>
      </c>
      <c r="J160" s="455">
        <f t="array" ref="J160">IFERROR(INDEX('Retirement Calculator'!J:J,MATCH('Isaac 401k'!N160,'Retirement Calculator'!A:A,0),0),0)</f>
        <v>7863.2184191855868</v>
      </c>
      <c r="K160" s="455">
        <f t="shared" ca="1" si="2"/>
        <v>6426.0207819711104</v>
      </c>
      <c r="L160" s="455">
        <f t="shared" ca="1" si="3"/>
        <v>1548671.0084550376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1548671.0084550376</v>
      </c>
      <c r="J161" s="455">
        <f t="array" ref="J161">IFERROR(INDEX('Retirement Calculator'!J:J,MATCH('Isaac 401k'!N161,'Retirement Calculator'!A:A,0),0),0)</f>
        <v>7863.2184191855868</v>
      </c>
      <c r="K161" s="455">
        <f t="shared" ca="1" si="2"/>
        <v>6420.0324584827167</v>
      </c>
      <c r="L161" s="455">
        <f t="shared" ca="1" si="3"/>
        <v>1547227.8224943348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1547227.8224943348</v>
      </c>
      <c r="J162" s="455">
        <f t="array" ref="J162">IFERROR(INDEX('Retirement Calculator'!J:J,MATCH('Isaac 401k'!N162,'Retirement Calculator'!A:A,0),0),0)</f>
        <v>7863.2184191855868</v>
      </c>
      <c r="K162" s="455">
        <f t="shared" ca="1" si="2"/>
        <v>6414.0191836464546</v>
      </c>
      <c r="L162" s="455">
        <f t="shared" ca="1" si="3"/>
        <v>1545778.6232587956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1545778.6232587956</v>
      </c>
      <c r="J163" s="455">
        <f t="array" ref="J163">IFERROR(INDEX('Retirement Calculator'!J:J,MATCH('Isaac 401k'!N163,'Retirement Calculator'!A:A,0),0),0)</f>
        <v>7863.2184191855868</v>
      </c>
      <c r="K163" s="455">
        <f t="shared" ca="1" si="2"/>
        <v>6407.9808534983749</v>
      </c>
      <c r="L163" s="455">
        <f t="shared" ca="1" si="3"/>
        <v>1544323.3856931084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1544323.3856931084</v>
      </c>
      <c r="J164" s="455">
        <f t="array" ref="J164">IFERROR(INDEX('Retirement Calculator'!J:J,MATCH('Isaac 401k'!N164,'Retirement Calculator'!A:A,0),0),0)</f>
        <v>7863.2184191855868</v>
      </c>
      <c r="K164" s="455">
        <f t="shared" ca="1" si="2"/>
        <v>6401.9173636413452</v>
      </c>
      <c r="L164" s="455">
        <f t="shared" ca="1" si="3"/>
        <v>1542862.0846375641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1542862.0846375641</v>
      </c>
      <c r="J165" s="455">
        <f t="array" ref="J165">IFERROR(INDEX('Retirement Calculator'!J:J,MATCH('Isaac 401k'!N165,'Retirement Calculator'!A:A,0),0),0)</f>
        <v>7863.2184191855868</v>
      </c>
      <c r="K165" s="455">
        <f t="shared" ca="1" si="2"/>
        <v>6395.8286092432436</v>
      </c>
      <c r="L165" s="455">
        <f t="shared" ca="1" si="3"/>
        <v>1541394.6948276218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1541394.6948276218</v>
      </c>
      <c r="J166" s="455">
        <f t="array" ref="J166">IFERROR(INDEX('Retirement Calculator'!J:J,MATCH('Isaac 401k'!N166,'Retirement Calculator'!A:A,0),0),0)</f>
        <v>7863.2184191855868</v>
      </c>
      <c r="K166" s="455">
        <f t="shared" ca="1" si="2"/>
        <v>6389.7144850351506</v>
      </c>
      <c r="L166" s="455">
        <f t="shared" ca="1" si="3"/>
        <v>1539921.1908934712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1539921.1908934712</v>
      </c>
      <c r="J167" s="455">
        <f t="array" ref="J167">IFERROR(INDEX('Retirement Calculator'!J:J,MATCH('Isaac 401k'!N167,'Retirement Calculator'!A:A,0),0),0)</f>
        <v>7863.2184191855868</v>
      </c>
      <c r="K167" s="455">
        <f t="shared" ca="1" si="2"/>
        <v>6383.5748853095238</v>
      </c>
      <c r="L167" s="455">
        <f t="shared" ca="1" si="3"/>
        <v>1538441.5473595951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1538441.5473595951</v>
      </c>
      <c r="J168" s="455">
        <f t="array" ref="J168">IFERROR(INDEX('Retirement Calculator'!J:J,MATCH('Isaac 401k'!N168,'Retirement Calculator'!A:A,0),0),0)</f>
        <v>7863.2184191855868</v>
      </c>
      <c r="K168" s="455">
        <f t="shared" ca="1" si="2"/>
        <v>6377.4097039183725</v>
      </c>
      <c r="L168" s="455">
        <f t="shared" ca="1" si="3"/>
        <v>1536955.7386443277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1536955.7386443277</v>
      </c>
      <c r="J169" s="455">
        <f t="array" ref="J169">IFERROR(INDEX('Retirement Calculator'!J:J,MATCH('Isaac 401k'!N169,'Retirement Calculator'!A:A,0),0),0)</f>
        <v>7863.2184191855868</v>
      </c>
      <c r="K169" s="455">
        <f t="shared" ca="1" si="2"/>
        <v>6371.2188342714253</v>
      </c>
      <c r="L169" s="455">
        <f t="shared" ca="1" si="3"/>
        <v>1535463.7390594136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1535463.7390594136</v>
      </c>
      <c r="J170" s="455">
        <f t="array" ref="J170">IFERROR(INDEX('Retirement Calculator'!J:J,MATCH('Isaac 401k'!N170,'Retirement Calculator'!A:A,0),0),0)</f>
        <v>7863.2184191855868</v>
      </c>
      <c r="K170" s="455">
        <f t="shared" ca="1" si="2"/>
        <v>6365.0021693342833</v>
      </c>
      <c r="L170" s="455">
        <f t="shared" ca="1" si="3"/>
        <v>1533965.5228095623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1533965.5228095623</v>
      </c>
      <c r="J171" s="455">
        <f t="array" ref="J171">IFERROR(INDEX('Retirement Calculator'!J:J,MATCH('Isaac 401k'!N171,'Retirement Calculator'!A:A,0),0),0)</f>
        <v>7863.2184191855868</v>
      </c>
      <c r="K171" s="455">
        <f t="shared" ca="1" si="2"/>
        <v>6358.7596016265697</v>
      </c>
      <c r="L171" s="455">
        <f t="shared" ca="1" si="3"/>
        <v>1532461.0639920032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1532461.0639920032</v>
      </c>
      <c r="J172" s="455">
        <f t="array" ref="J172">IFERROR(INDEX('Retirement Calculator'!J:J,MATCH('Isaac 401k'!N172,'Retirement Calculator'!A:A,0),0),0)</f>
        <v>7863.2184191855868</v>
      </c>
      <c r="K172" s="455">
        <f t="shared" ca="1" si="2"/>
        <v>6352.4910232200737</v>
      </c>
      <c r="L172" s="455">
        <f t="shared" ca="1" si="3"/>
        <v>1530950.3365960377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1530950.3365960377</v>
      </c>
      <c r="J173" s="455">
        <f t="array" ref="J173">IFERROR(INDEX('Retirement Calculator'!J:J,MATCH('Isaac 401k'!N173,'Retirement Calculator'!A:A,0),0),0)</f>
        <v>7863.2184191855868</v>
      </c>
      <c r="K173" s="455">
        <f t="shared" ca="1" si="2"/>
        <v>6346.1963257368834</v>
      </c>
      <c r="L173" s="455">
        <f t="shared" ca="1" si="3"/>
        <v>1529433.3145025889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1529433.3145025889</v>
      </c>
      <c r="J174" s="455">
        <f t="array" ref="J174">IFERROR(INDEX('Retirement Calculator'!J:J,MATCH('Isaac 401k'!N174,'Retirement Calculator'!A:A,0),0),0)</f>
        <v>7863.2184191855868</v>
      </c>
      <c r="K174" s="455">
        <f t="shared" ca="1" si="2"/>
        <v>6339.8754003475142</v>
      </c>
      <c r="L174" s="455">
        <f t="shared" ca="1" si="3"/>
        <v>1527909.9714837507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1527909.9714837507</v>
      </c>
      <c r="J175" s="455">
        <f t="array" ref="J175">IFERROR(INDEX('Retirement Calculator'!J:J,MATCH('Isaac 401k'!N175,'Retirement Calculator'!A:A,0),0),0)</f>
        <v>7863.2184191855868</v>
      </c>
      <c r="K175" s="455">
        <f t="shared" ca="1" si="2"/>
        <v>6333.5281377690217</v>
      </c>
      <c r="L175" s="455">
        <f t="shared" ca="1" si="3"/>
        <v>1526380.2812023342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1526380.2812023342</v>
      </c>
      <c r="J176" s="455">
        <f t="array" ref="J176">IFERROR(INDEX('Retirement Calculator'!J:J,MATCH('Isaac 401k'!N176,'Retirement Calculator'!A:A,0),0),0)</f>
        <v>7863.2184191855868</v>
      </c>
      <c r="K176" s="455">
        <f t="shared" ca="1" si="2"/>
        <v>6327.1544282631194</v>
      </c>
      <c r="L176" s="455">
        <f t="shared" ca="1" si="3"/>
        <v>1524844.2172114118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1524844.2172114118</v>
      </c>
      <c r="J177" s="455">
        <f t="array" ref="J177">IFERROR(INDEX('Retirement Calculator'!J:J,MATCH('Isaac 401k'!N177,'Retirement Calculator'!A:A,0),0),0)</f>
        <v>7863.2184191855868</v>
      </c>
      <c r="K177" s="455">
        <f t="shared" ca="1" si="2"/>
        <v>6320.754161634276</v>
      </c>
      <c r="L177" s="455">
        <f t="shared" ca="1" si="3"/>
        <v>1523301.7529538604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1523301.7529538604</v>
      </c>
      <c r="J178" s="455">
        <f t="array" ref="J178">IFERROR(INDEX('Retirement Calculator'!J:J,MATCH('Isaac 401k'!N178,'Retirement Calculator'!A:A,0),0),0)</f>
        <v>7863.2184191855868</v>
      </c>
      <c r="K178" s="455">
        <f t="shared" ca="1" si="2"/>
        <v>6314.3272272278118</v>
      </c>
      <c r="L178" s="455">
        <f t="shared" ca="1" si="3"/>
        <v>1521752.8617619027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1521752.8617619027</v>
      </c>
      <c r="J179" s="455">
        <f t="array" ref="J179">IFERROR(INDEX('Retirement Calculator'!J:J,MATCH('Isaac 401k'!N179,'Retirement Calculator'!A:A,0),0),0)</f>
        <v>7863.2184191855868</v>
      </c>
      <c r="K179" s="455">
        <f t="shared" ca="1" si="2"/>
        <v>6307.8735139279879</v>
      </c>
      <c r="L179" s="455">
        <f t="shared" ca="1" si="3"/>
        <v>1520197.516856645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1520197.516856645</v>
      </c>
      <c r="J180" s="455">
        <f t="array" ref="J180">IFERROR(INDEX('Retirement Calculator'!J:J,MATCH('Isaac 401k'!N180,'Retirement Calculator'!A:A,0),0),0)</f>
        <v>7863.2184191855868</v>
      </c>
      <c r="K180" s="455">
        <f t="shared" ca="1" si="2"/>
        <v>6301.3929101560807</v>
      </c>
      <c r="L180" s="455">
        <f t="shared" ca="1" si="3"/>
        <v>1518635.6913476156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1518635.6913476156</v>
      </c>
      <c r="J181" s="455">
        <f t="array" ref="J181">IFERROR(INDEX('Retirement Calculator'!J:J,MATCH('Isaac 401k'!N181,'Retirement Calculator'!A:A,0),0),0)</f>
        <v>7863.2184191855868</v>
      </c>
      <c r="K181" s="455">
        <f t="shared" ca="1" si="2"/>
        <v>6294.8853038684583</v>
      </c>
      <c r="L181" s="455">
        <f t="shared" ca="1" si="3"/>
        <v>1517067.3582322984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1517067.3582322984</v>
      </c>
      <c r="J182" s="455">
        <f t="array" ref="J182">IFERROR(INDEX('Retirement Calculator'!J:J,MATCH('Isaac 401k'!N182,'Retirement Calculator'!A:A,0),0),0)</f>
        <v>7863.2184191855868</v>
      </c>
      <c r="K182" s="455">
        <f t="shared" ca="1" si="2"/>
        <v>6288.3505825546363</v>
      </c>
      <c r="L182" s="455">
        <f t="shared" ca="1" si="3"/>
        <v>1515492.4903956675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1515492.4903956675</v>
      </c>
      <c r="J183" s="455">
        <f t="array" ref="J183">IFERROR(INDEX('Retirement Calculator'!J:J,MATCH('Isaac 401k'!N183,'Retirement Calculator'!A:A,0),0),0)</f>
        <v>7863.2184191855868</v>
      </c>
      <c r="K183" s="455">
        <f t="shared" ca="1" si="2"/>
        <v>6281.788633235341</v>
      </c>
      <c r="L183" s="455">
        <f t="shared" ca="1" si="3"/>
        <v>1513911.0606097172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1513911.0606097172</v>
      </c>
      <c r="J184" s="455">
        <f t="array" ref="J184">IFERROR(INDEX('Retirement Calculator'!J:J,MATCH('Isaac 401k'!N184,'Retirement Calculator'!A:A,0),0),0)</f>
        <v>7863.2184191855868</v>
      </c>
      <c r="K184" s="455">
        <f t="shared" ca="1" si="2"/>
        <v>6275.199342460548</v>
      </c>
      <c r="L184" s="455">
        <f t="shared" ca="1" si="3"/>
        <v>1512323.0415329922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1512323.0415329922</v>
      </c>
      <c r="J185" s="455">
        <f t="array" ref="J185">IFERROR(INDEX('Retirement Calculator'!J:J,MATCH('Isaac 401k'!N185,'Retirement Calculator'!A:A,0),0),0)</f>
        <v>7863.2184191855868</v>
      </c>
      <c r="K185" s="455">
        <f t="shared" ca="1" si="2"/>
        <v>6268.5825963075276</v>
      </c>
      <c r="L185" s="455">
        <f t="shared" ca="1" si="3"/>
        <v>1510728.4057101142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1510728.4057101142</v>
      </c>
      <c r="J186" s="455">
        <f t="array" ref="J186">IFERROR(INDEX('Retirement Calculator'!J:J,MATCH('Isaac 401k'!N186,'Retirement Calculator'!A:A,0),0),0)</f>
        <v>7863.2184191855868</v>
      </c>
      <c r="K186" s="455">
        <f t="shared" ca="1" si="2"/>
        <v>6261.9382803788685</v>
      </c>
      <c r="L186" s="455">
        <f t="shared" ca="1" si="3"/>
        <v>1509127.1255713075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1509127.1255713075</v>
      </c>
      <c r="J187" s="455">
        <f t="array" ref="J187">IFERROR(INDEX('Retirement Calculator'!J:J,MATCH('Isaac 401k'!N187,'Retirement Calculator'!A:A,0),0),0)</f>
        <v>7863.2184191855868</v>
      </c>
      <c r="K187" s="455">
        <f t="shared" ca="1" si="2"/>
        <v>6255.2662798005076</v>
      </c>
      <c r="L187" s="455">
        <f t="shared" ca="1" si="3"/>
        <v>1507519.1734319224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1507519.1734319224</v>
      </c>
      <c r="J188" s="455">
        <f t="array" ref="J188">IFERROR(INDEX('Retirement Calculator'!J:J,MATCH('Isaac 401k'!N188,'Retirement Calculator'!A:A,0),0),0)</f>
        <v>7863.2184191855868</v>
      </c>
      <c r="K188" s="455">
        <f t="shared" ca="1" si="2"/>
        <v>6248.5664792197367</v>
      </c>
      <c r="L188" s="455">
        <f t="shared" ca="1" si="3"/>
        <v>1505904.5214919567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1505904.5214919567</v>
      </c>
      <c r="J189" s="455">
        <f t="array" ref="J189">IFERROR(INDEX('Retirement Calculator'!J:J,MATCH('Isaac 401k'!N189,'Retirement Calculator'!A:A,0),0),0)</f>
        <v>7863.2184191855868</v>
      </c>
      <c r="K189" s="455">
        <f t="shared" ca="1" si="2"/>
        <v>6241.8387628032124</v>
      </c>
      <c r="L189" s="455">
        <f t="shared" ca="1" si="3"/>
        <v>1504283.1418355743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1504283.1418355743</v>
      </c>
      <c r="J190" s="455">
        <f t="array" ref="J190">IFERROR(INDEX('Retirement Calculator'!J:J,MATCH('Isaac 401k'!N190,'Retirement Calculator'!A:A,0),0),0)</f>
        <v>7863.2184191855868</v>
      </c>
      <c r="K190" s="455">
        <f t="shared" ca="1" si="2"/>
        <v>6235.0830142349532</v>
      </c>
      <c r="L190" s="455">
        <f t="shared" ca="1" si="3"/>
        <v>1502655.0064306236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1502655.0064306236</v>
      </c>
      <c r="J191" s="455">
        <f t="array" ref="J191">IFERROR(INDEX('Retirement Calculator'!J:J,MATCH('Isaac 401k'!N191,'Retirement Calculator'!A:A,0),0),0)</f>
        <v>7863.2184191855868</v>
      </c>
      <c r="K191" s="455">
        <f t="shared" ca="1" si="2"/>
        <v>6228.2991167143246</v>
      </c>
      <c r="L191" s="455">
        <f t="shared" ca="1" si="3"/>
        <v>1501020.0871281524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1501020.0871281524</v>
      </c>
      <c r="J192" s="455">
        <f t="array" ref="J192">IFERROR(INDEX('Retirement Calculator'!J:J,MATCH('Isaac 401k'!N192,'Retirement Calculator'!A:A,0),0),0)</f>
        <v>7863.2184191855868</v>
      </c>
      <c r="K192" s="455">
        <f t="shared" ca="1" si="2"/>
        <v>6221.4869529540283</v>
      </c>
      <c r="L192" s="455">
        <f t="shared" ca="1" si="3"/>
        <v>1499378.3556619207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1499378.3556619207</v>
      </c>
      <c r="J193" s="455">
        <f t="array" ref="J193">IFERROR(INDEX('Retirement Calculator'!J:J,MATCH('Isaac 401k'!N193,'Retirement Calculator'!A:A,0),0),0)</f>
        <v>7863.2184191855868</v>
      </c>
      <c r="K193" s="455">
        <f t="shared" ca="1" si="2"/>
        <v>6214.6464051780631</v>
      </c>
      <c r="L193" s="455">
        <f t="shared" ca="1" si="3"/>
        <v>1497729.7836479133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1497729.7836479133</v>
      </c>
      <c r="J194" s="455">
        <f t="array" ref="J194">IFERROR(INDEX('Retirement Calculator'!J:J,MATCH('Isaac 401k'!N194,'Retirement Calculator'!A:A,0),0),0)</f>
        <v>7863.2184191855868</v>
      </c>
      <c r="K194" s="455">
        <f t="shared" ca="1" si="2"/>
        <v>6207.7773551196988</v>
      </c>
      <c r="L194" s="455">
        <f t="shared" ca="1" si="3"/>
        <v>1496074.3425838472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1496074.3425838472</v>
      </c>
      <c r="J195" s="455">
        <f t="array" ref="J195">IFERROR(INDEX('Retirement Calculator'!J:J,MATCH('Isaac 401k'!N195,'Retirement Calculator'!A:A,0),0),0)</f>
        <v>7863.2184191855868</v>
      </c>
      <c r="K195" s="455">
        <f t="shared" ca="1" si="2"/>
        <v>6200.8796840194236</v>
      </c>
      <c r="L195" s="455">
        <f t="shared" ca="1" si="3"/>
        <v>1494412.003848681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1494412.003848681</v>
      </c>
      <c r="J196" s="455">
        <f t="array" ref="J196">IFERROR(INDEX('Retirement Calculator'!J:J,MATCH('Isaac 401k'!N196,'Retirement Calculator'!A:A,0),0),0)</f>
        <v>7863.2184191855868</v>
      </c>
      <c r="K196" s="455">
        <f t="shared" ca="1" si="2"/>
        <v>6193.9532726228972</v>
      </c>
      <c r="L196" s="455">
        <f t="shared" ca="1" si="3"/>
        <v>1492742.7387021184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1492742.7387021184</v>
      </c>
      <c r="J197" s="455">
        <f t="array" ref="J197">IFERROR(INDEX('Retirement Calculator'!J:J,MATCH('Isaac 401k'!N197,'Retirement Calculator'!A:A,0),0),0)</f>
        <v>7863.2184191855868</v>
      </c>
      <c r="K197" s="455">
        <f t="shared" ca="1" si="2"/>
        <v>6186.9980011788866</v>
      </c>
      <c r="L197" s="455">
        <f t="shared" ca="1" si="3"/>
        <v>1491066.5182841117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1491066.5182841117</v>
      </c>
      <c r="J198" s="455">
        <f t="array" ref="J198">IFERROR(INDEX('Retirement Calculator'!J:J,MATCH('Isaac 401k'!N198,'Retirement Calculator'!A:A,0),0),0)</f>
        <v>7863.2184191855868</v>
      </c>
      <c r="K198" s="455">
        <f t="shared" ca="1" si="2"/>
        <v>6180.013749437192</v>
      </c>
      <c r="L198" s="455">
        <f t="shared" ca="1" si="3"/>
        <v>1489383.3136143633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1489383.3136143633</v>
      </c>
      <c r="J199" s="455">
        <f t="array" ref="J199">IFERROR(INDEX('Retirement Calculator'!J:J,MATCH('Isaac 401k'!N199,'Retirement Calculator'!A:A,0),0),0)</f>
        <v>7863.2184191855868</v>
      </c>
      <c r="K199" s="455">
        <f t="shared" ca="1" si="2"/>
        <v>6173.0003966465738</v>
      </c>
      <c r="L199" s="455">
        <f t="shared" ca="1" si="3"/>
        <v>1487693.0955918243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1487693.0955918243</v>
      </c>
      <c r="J200" s="455">
        <f t="array" ref="J200">IFERROR(INDEX('Retirement Calculator'!J:J,MATCH('Isaac 401k'!N200,'Retirement Calculator'!A:A,0),0),0)</f>
        <v>7863.2184191855868</v>
      </c>
      <c r="K200" s="455">
        <f t="shared" ca="1" si="2"/>
        <v>6165.9578215526608</v>
      </c>
      <c r="L200" s="455">
        <f t="shared" ca="1" si="3"/>
        <v>1485995.8349941913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1485995.8349941913</v>
      </c>
      <c r="J201" s="455">
        <f t="array" ref="J201">IFERROR(INDEX('Retirement Calculator'!J:J,MATCH('Isaac 401k'!N201,'Retirement Calculator'!A:A,0),0),0)</f>
        <v>7863.2184191855868</v>
      </c>
      <c r="K201" s="455">
        <f t="shared" ca="1" si="2"/>
        <v>6158.8859023958566</v>
      </c>
      <c r="L201" s="455">
        <f t="shared" ca="1" si="3"/>
        <v>1484291.5024774016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1484291.5024774016</v>
      </c>
      <c r="J202" s="455">
        <f t="array" ref="J202">IFERROR(INDEX('Retirement Calculator'!J:J,MATCH('Isaac 401k'!N202,'Retirement Calculator'!A:A,0),0),0)</f>
        <v>7863.2184191855868</v>
      </c>
      <c r="K202" s="455">
        <f t="shared" ca="1" si="2"/>
        <v>6151.7845169092334</v>
      </c>
      <c r="L202" s="455">
        <f t="shared" ca="1" si="3"/>
        <v>1482580.0685751252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1482580.0685751252</v>
      </c>
      <c r="J203" s="455">
        <f t="array" ref="J203">IFERROR(INDEX('Retirement Calculator'!J:J,MATCH('Isaac 401k'!N203,'Retirement Calculator'!A:A,0),0),0)</f>
        <v>7863.2184191855868</v>
      </c>
      <c r="K203" s="455">
        <f t="shared" ca="1" si="2"/>
        <v>6144.653542316415</v>
      </c>
      <c r="L203" s="455">
        <f t="shared" ca="1" si="3"/>
        <v>1480861.5036982561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1480861.5036982561</v>
      </c>
      <c r="J204" s="455">
        <f t="array" ref="J204">IFERROR(INDEX('Retirement Calculator'!J:J,MATCH('Isaac 401k'!N204,'Retirement Calculator'!A:A,0),0),0)</f>
        <v>7863.2184191855868</v>
      </c>
      <c r="K204" s="455">
        <f t="shared" ca="1" si="2"/>
        <v>6137.4928553294603</v>
      </c>
      <c r="L204" s="455">
        <f t="shared" ca="1" si="3"/>
        <v>1479135.7781344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1479135.7781344</v>
      </c>
      <c r="J205" s="455">
        <f t="array" ref="J205">IFERROR(INDEX('Retirement Calculator'!J:J,MATCH('Isaac 401k'!N205,'Retirement Calculator'!A:A,0),0),0)</f>
        <v>7863.2184191855868</v>
      </c>
      <c r="K205" s="455">
        <f t="shared" ca="1" si="2"/>
        <v>6130.3023321467263</v>
      </c>
      <c r="L205" s="455">
        <f t="shared" ca="1" si="3"/>
        <v>1477402.8620473612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1477402.8620473612</v>
      </c>
      <c r="J206" s="455">
        <f t="array" ref="J206">IFERROR(INDEX('Retirement Calculator'!J:J,MATCH('Isaac 401k'!N206,'Retirement Calculator'!A:A,0),0),0)</f>
        <v>7863.2184191855868</v>
      </c>
      <c r="K206" s="455">
        <f t="shared" ca="1" si="2"/>
        <v>6123.0818484507317</v>
      </c>
      <c r="L206" s="455">
        <f t="shared" ca="1" si="3"/>
        <v>1475662.7254766263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1475662.7254766263</v>
      </c>
      <c r="J207" s="455">
        <f t="array" ref="J207">IFERROR(INDEX('Retirement Calculator'!J:J,MATCH('Isaac 401k'!N207,'Retirement Calculator'!A:A,0),0),0)</f>
        <v>7863.2184191855868</v>
      </c>
      <c r="K207" s="455">
        <f t="shared" ca="1" si="2"/>
        <v>6115.831279406003</v>
      </c>
      <c r="L207" s="455">
        <f t="shared" ca="1" si="3"/>
        <v>1473915.3383368468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1473915.3383368468</v>
      </c>
      <c r="J208" s="455">
        <f t="array" ref="J208">IFERROR(INDEX('Retirement Calculator'!J:J,MATCH('Isaac 401k'!N208,'Retirement Calculator'!A:A,0),0),0)</f>
        <v>7863.2184191855868</v>
      </c>
      <c r="K208" s="455">
        <f t="shared" ca="1" si="2"/>
        <v>6108.5504996569216</v>
      </c>
      <c r="L208" s="455">
        <f t="shared" ca="1" si="3"/>
        <v>1472160.6704173181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1472160.6704173181</v>
      </c>
      <c r="J209" s="455">
        <f t="array" ref="J209">IFERROR(INDEX('Retirement Calculator'!J:J,MATCH('Isaac 401k'!N209,'Retirement Calculator'!A:A,0),0),0)</f>
        <v>7863.2184191855868</v>
      </c>
      <c r="K209" s="455">
        <f t="shared" ca="1" si="2"/>
        <v>6101.2393833255519</v>
      </c>
      <c r="L209" s="455">
        <f t="shared" ca="1" si="3"/>
        <v>1470398.691381458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1470398.691381458</v>
      </c>
      <c r="J210" s="455">
        <f t="array" ref="J210">IFERROR(INDEX('Retirement Calculator'!J:J,MATCH('Isaac 401k'!N210,'Retirement Calculator'!A:A,0),0),0)</f>
        <v>7863.2184191855868</v>
      </c>
      <c r="K210" s="455">
        <f t="shared" ca="1" si="2"/>
        <v>6093.897804009468</v>
      </c>
      <c r="L210" s="455">
        <f t="shared" ca="1" si="3"/>
        <v>1468629.3707662818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1468629.3707662818</v>
      </c>
      <c r="J211" s="455">
        <f t="array" ref="J211">IFERROR(INDEX('Retirement Calculator'!J:J,MATCH('Isaac 401k'!N211,'Retirement Calculator'!A:A,0),0),0)</f>
        <v>7863.2184191855868</v>
      </c>
      <c r="K211" s="455">
        <f t="shared" ca="1" si="2"/>
        <v>6086.5256347795676</v>
      </c>
      <c r="L211" s="455">
        <f t="shared" ca="1" si="3"/>
        <v>1466852.6779818758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1466852.6779818758</v>
      </c>
      <c r="J212" s="455">
        <f t="array" ref="J212">IFERROR(INDEX('Retirement Calculator'!J:J,MATCH('Isaac 401k'!N212,'Retirement Calculator'!A:A,0),0),0)</f>
        <v>7863.2184191855868</v>
      </c>
      <c r="K212" s="455">
        <f t="shared" ca="1" si="2"/>
        <v>6079.122748177876</v>
      </c>
      <c r="L212" s="455">
        <f t="shared" ca="1" si="3"/>
        <v>1465068.5823108682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1465068.5823108682</v>
      </c>
      <c r="J213" s="455">
        <f t="array" ref="J213">IFERROR(INDEX('Retirement Calculator'!J:J,MATCH('Isaac 401k'!N213,'Retirement Calculator'!A:A,0),0),0)</f>
        <v>7863.2184191855868</v>
      </c>
      <c r="K213" s="455">
        <f t="shared" ca="1" si="2"/>
        <v>6071.6890162153441</v>
      </c>
      <c r="L213" s="455">
        <f t="shared" ca="1" si="3"/>
        <v>1463277.0529078979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1463277.0529078979</v>
      </c>
      <c r="J214" s="455">
        <f t="array" ref="J214">IFERROR(INDEX('Retirement Calculator'!J:J,MATCH('Isaac 401k'!N214,'Retirement Calculator'!A:A,0),0),0)</f>
        <v>7863.2184191855868</v>
      </c>
      <c r="K214" s="455">
        <f t="shared" ca="1" si="2"/>
        <v>6064.2243103696346</v>
      </c>
      <c r="L214" s="455">
        <f t="shared" ca="1" si="3"/>
        <v>1461478.0587990819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1461478.0587990819</v>
      </c>
      <c r="J215" s="455">
        <f t="array" ref="J215">IFERROR(INDEX('Retirement Calculator'!J:J,MATCH('Isaac 401k'!N215,'Retirement Calculator'!A:A,0),0),0)</f>
        <v>7863.2184191855868</v>
      </c>
      <c r="K215" s="455">
        <f t="shared" ca="1" si="2"/>
        <v>6056.7285015829011</v>
      </c>
      <c r="L215" s="455">
        <f t="shared" ca="1" si="3"/>
        <v>1459671.5688814793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1459671.5688814793</v>
      </c>
      <c r="J216" s="455">
        <f t="array" ref="J216">IFERROR(INDEX('Retirement Calculator'!J:J,MATCH('Isaac 401k'!N216,'Retirement Calculator'!A:A,0),0),0)</f>
        <v>7863.2184191855868</v>
      </c>
      <c r="K216" s="455">
        <f t="shared" ca="1" si="2"/>
        <v>6049.2014602595573</v>
      </c>
      <c r="L216" s="455">
        <f t="shared" ca="1" si="3"/>
        <v>1457857.5519225532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1457857.5519225532</v>
      </c>
      <c r="J217" s="455">
        <f t="array" ref="J217">IFERROR(INDEX('Retirement Calculator'!J:J,MATCH('Isaac 401k'!N217,'Retirement Calculator'!A:A,0),0),0)</f>
        <v>7863.2184191855868</v>
      </c>
      <c r="K217" s="455">
        <f t="shared" ca="1" si="2"/>
        <v>6041.6430562640317</v>
      </c>
      <c r="L217" s="455">
        <f t="shared" ca="1" si="3"/>
        <v>1456035.9765596318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1456035.9765596318</v>
      </c>
      <c r="J218" s="455">
        <f t="array" ref="J218">IFERROR(INDEX('Retirement Calculator'!J:J,MATCH('Isaac 401k'!N218,'Retirement Calculator'!A:A,0),0),0)</f>
        <v>7863.2184191855868</v>
      </c>
      <c r="K218" s="455">
        <f t="shared" ca="1" si="2"/>
        <v>6034.0531589185257</v>
      </c>
      <c r="L218" s="455">
        <f t="shared" ca="1" si="3"/>
        <v>1454206.8112993648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1454206.8112993648</v>
      </c>
      <c r="J219" s="455">
        <f t="array" ref="J219">IFERROR(INDEX('Retirement Calculator'!J:J,MATCH('Isaac 401k'!N219,'Retirement Calculator'!A:A,0),0),0)</f>
        <v>7863.2184191855868</v>
      </c>
      <c r="K219" s="455">
        <f t="shared" ca="1" si="2"/>
        <v>6026.4316370007464</v>
      </c>
      <c r="L219" s="455">
        <f t="shared" ca="1" si="3"/>
        <v>1452370.0245171799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1452370.0245171799</v>
      </c>
      <c r="J220" s="455">
        <f t="array" ref="J220">IFERROR(INDEX('Retirement Calculator'!J:J,MATCH('Isaac 401k'!N220,'Retirement Calculator'!A:A,0),0),0)</f>
        <v>7863.2184191855868</v>
      </c>
      <c r="K220" s="455">
        <f t="shared" ca="1" si="2"/>
        <v>6018.7783587416434</v>
      </c>
      <c r="L220" s="455">
        <f t="shared" ca="1" si="3"/>
        <v>1450525.584456736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1450525.584456736</v>
      </c>
      <c r="J221" s="455">
        <f t="array" ref="J221">IFERROR(INDEX('Retirement Calculator'!J:J,MATCH('Isaac 401k'!N221,'Retirement Calculator'!A:A,0),0),0)</f>
        <v>7863.2184191855868</v>
      </c>
      <c r="K221" s="455">
        <f t="shared" ca="1" si="2"/>
        <v>6011.0931918231263</v>
      </c>
      <c r="L221" s="455">
        <f t="shared" ca="1" si="3"/>
        <v>1448673.4592293736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1448673.4592293736</v>
      </c>
      <c r="J222" s="455">
        <f t="array" ref="J222">IFERROR(INDEX('Retirement Calculator'!J:J,MATCH('Isaac 401k'!N222,'Retirement Calculator'!A:A,0),0),0)</f>
        <v>7863.2184191855868</v>
      </c>
      <c r="K222" s="455">
        <f t="shared" ca="1" si="2"/>
        <v>6003.3760033757835</v>
      </c>
      <c r="L222" s="455">
        <f t="shared" ca="1" si="3"/>
        <v>1446813.6168135637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1446813.6168135637</v>
      </c>
      <c r="J223" s="455">
        <f t="array" ref="J223">IFERROR(INDEX('Retirement Calculator'!J:J,MATCH('Isaac 401k'!N223,'Retirement Calculator'!A:A,0),0),0)</f>
        <v>7863.2184191855868</v>
      </c>
      <c r="K223" s="455">
        <f t="shared" ca="1" si="2"/>
        <v>5995.6266599765759</v>
      </c>
      <c r="L223" s="455">
        <f t="shared" ca="1" si="3"/>
        <v>1444946.0250543547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1444946.0250543547</v>
      </c>
      <c r="J224" s="455">
        <f t="array" ref="J224">IFERROR(INDEX('Retirement Calculator'!J:J,MATCH('Isaac 401k'!N224,'Retirement Calculator'!A:A,0),0),0)</f>
        <v>7863.2184191855868</v>
      </c>
      <c r="K224" s="455">
        <f t="shared" ca="1" si="2"/>
        <v>5987.8450276465373</v>
      </c>
      <c r="L224" s="455">
        <f t="shared" ca="1" si="3"/>
        <v>1443070.6516628156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1443070.6516628156</v>
      </c>
      <c r="J225" s="455">
        <f t="array" ref="J225">IFERROR(INDEX('Retirement Calculator'!J:J,MATCH('Isaac 401k'!N225,'Retirement Calculator'!A:A,0),0),0)</f>
        <v>7863.2184191855868</v>
      </c>
      <c r="K225" s="455">
        <f t="shared" ca="1" si="2"/>
        <v>5980.0309718484586</v>
      </c>
      <c r="L225" s="455">
        <f t="shared" ca="1" si="3"/>
        <v>1441187.4642154784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1441187.4642154784</v>
      </c>
      <c r="J226" s="455">
        <f t="array" ref="J226">IFERROR(INDEX('Retirement Calculator'!J:J,MATCH('Isaac 401k'!N226,'Retirement Calculator'!A:A,0),0),0)</f>
        <v>7863.2184191855868</v>
      </c>
      <c r="K226" s="455">
        <f t="shared" ca="1" si="2"/>
        <v>5972.1843574845534</v>
      </c>
      <c r="L226" s="455">
        <f t="shared" ca="1" si="3"/>
        <v>1439296.4301537774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1439296.4301537774</v>
      </c>
      <c r="J227" s="455">
        <f t="array" ref="J227">IFERROR(INDEX('Retirement Calculator'!J:J,MATCH('Isaac 401k'!N227,'Retirement Calculator'!A:A,0),0),0)</f>
        <v>7863.2184191855868</v>
      </c>
      <c r="K227" s="455">
        <f t="shared" ca="1" si="2"/>
        <v>5964.3050488941326</v>
      </c>
      <c r="L227" s="455">
        <f t="shared" ca="1" si="3"/>
        <v>1437397.5167834859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1437397.5167834859</v>
      </c>
      <c r="J228" s="455">
        <f t="array" ref="J228">IFERROR(INDEX('Retirement Calculator'!J:J,MATCH('Isaac 401k'!N228,'Retirement Calculator'!A:A,0),0),0)</f>
        <v>7863.2184191855868</v>
      </c>
      <c r="K228" s="455">
        <f t="shared" ca="1" si="2"/>
        <v>5956.3929098512508</v>
      </c>
      <c r="L228" s="455">
        <f t="shared" ca="1" si="3"/>
        <v>1435490.6912741514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1435490.6912741514</v>
      </c>
      <c r="J229" s="455">
        <f t="array" ref="J229">IFERROR(INDEX('Retirement Calculator'!J:J,MATCH('Isaac 401k'!N229,'Retirement Calculator'!A:A,0),0),0)</f>
        <v>7863.2184191855868</v>
      </c>
      <c r="K229" s="455">
        <f t="shared" ca="1" si="2"/>
        <v>5948.4478035623579</v>
      </c>
      <c r="L229" s="455">
        <f t="shared" ca="1" si="3"/>
        <v>1433575.9206585281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1433575.9206585281</v>
      </c>
      <c r="J230" s="455">
        <f t="array" ref="J230">IFERROR(INDEX('Retirement Calculator'!J:J,MATCH('Isaac 401k'!N230,'Retirement Calculator'!A:A,0),0),0)</f>
        <v>7863.2184191855868</v>
      </c>
      <c r="K230" s="455">
        <f t="shared" ca="1" si="2"/>
        <v>5940.469592663927</v>
      </c>
      <c r="L230" s="455">
        <f t="shared" ca="1" si="3"/>
        <v>1431653.1718320064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1431653.1718320064</v>
      </c>
      <c r="J231" s="455">
        <f t="array" ref="J231">IFERROR(INDEX('Retirement Calculator'!J:J,MATCH('Isaac 401k'!N231,'Retirement Calculator'!A:A,0),0),0)</f>
        <v>7863.2184191855868</v>
      </c>
      <c r="K231" s="455">
        <f t="shared" ca="1" si="2"/>
        <v>5932.4581392200871</v>
      </c>
      <c r="L231" s="455">
        <f t="shared" ca="1" si="3"/>
        <v>1429722.4115520408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1429722.4115520408</v>
      </c>
      <c r="J232" s="455">
        <f t="array" ref="J232">IFERROR(INDEX('Retirement Calculator'!J:J,MATCH('Isaac 401k'!N232,'Retirement Calculator'!A:A,0),0),0)</f>
        <v>7863.2184191855868</v>
      </c>
      <c r="K232" s="455">
        <f t="shared" ca="1" si="2"/>
        <v>5924.4133047202304</v>
      </c>
      <c r="L232" s="455">
        <f t="shared" ca="1" si="3"/>
        <v>1427783.6064375755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1427783.6064375755</v>
      </c>
      <c r="J233" s="455">
        <f t="array" ref="J233">IFERROR(INDEX('Retirement Calculator'!J:J,MATCH('Isaac 401k'!N233,'Retirement Calculator'!A:A,0),0),0)</f>
        <v>7863.2184191855868</v>
      </c>
      <c r="K233" s="455">
        <f t="shared" ca="1" si="2"/>
        <v>5916.3349500766244</v>
      </c>
      <c r="L233" s="455">
        <f t="shared" ca="1" si="3"/>
        <v>1425836.7229684666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1425836.7229684666</v>
      </c>
      <c r="J234" s="455">
        <f t="array" ref="J234">IFERROR(INDEX('Retirement Calculator'!J:J,MATCH('Isaac 401k'!N234,'Retirement Calculator'!A:A,0),0),0)</f>
        <v>7863.2184191855868</v>
      </c>
      <c r="K234" s="455">
        <f t="shared" ca="1" si="2"/>
        <v>5908.2229356220041</v>
      </c>
      <c r="L234" s="455">
        <f t="shared" ca="1" si="3"/>
        <v>1423881.7274849031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1423881.7274849031</v>
      </c>
      <c r="J235" s="455">
        <f t="array" ref="J235">IFERROR(INDEX('Retirement Calculator'!J:J,MATCH('Isaac 401k'!N235,'Retirement Calculator'!A:A,0),0),0)</f>
        <v>7863.2184191855868</v>
      </c>
      <c r="K235" s="455">
        <f t="shared" ca="1" si="2"/>
        <v>5900.077121107156</v>
      </c>
      <c r="L235" s="455">
        <f t="shared" ca="1" si="3"/>
        <v>1421918.5861868246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1421918.5861868246</v>
      </c>
      <c r="J236" s="455">
        <f t="array" ref="J236">IFERROR(INDEX('Retirement Calculator'!J:J,MATCH('Isaac 401k'!N236,'Retirement Calculator'!A:A,0),0),0)</f>
        <v>7863.2184191855868</v>
      </c>
      <c r="K236" s="455">
        <f t="shared" ca="1" si="2"/>
        <v>5891.8973656984954</v>
      </c>
      <c r="L236" s="455">
        <f t="shared" ca="1" si="3"/>
        <v>1419947.2651333376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1419947.2651333376</v>
      </c>
      <c r="J237" s="455">
        <f t="array" ref="J237">IFERROR(INDEX('Retirement Calculator'!J:J,MATCH('Isaac 401k'!N237,'Retirement Calculator'!A:A,0),0),0)</f>
        <v>7863.2184191855868</v>
      </c>
      <c r="K237" s="455">
        <f t="shared" ca="1" si="2"/>
        <v>5883.6835279756333</v>
      </c>
      <c r="L237" s="455">
        <f t="shared" ca="1" si="3"/>
        <v>1417967.7302421276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1417967.7302421276</v>
      </c>
      <c r="J238" s="455">
        <f t="array" ref="J238">IFERROR(INDEX('Retirement Calculator'!J:J,MATCH('Isaac 401k'!N238,'Retirement Calculator'!A:A,0),0),0)</f>
        <v>7863.2184191855868</v>
      </c>
      <c r="K238" s="455">
        <f t="shared" ca="1" si="2"/>
        <v>5875.4354659289247</v>
      </c>
      <c r="L238" s="455">
        <f t="shared" ca="1" si="3"/>
        <v>1415979.9472888708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1415979.9472888708</v>
      </c>
      <c r="J239" s="455">
        <f t="array" ref="J239">IFERROR(INDEX('Retirement Calculator'!J:J,MATCH('Isaac 401k'!N239,'Retirement Calculator'!A:A,0),0),0)</f>
        <v>7863.2184191855868</v>
      </c>
      <c r="K239" s="455">
        <f t="shared" ca="1" si="2"/>
        <v>5867.1530369570219</v>
      </c>
      <c r="L239" s="455">
        <f t="shared" ca="1" si="3"/>
        <v>1413983.8819066421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1413983.8819066421</v>
      </c>
      <c r="J240" s="455">
        <f t="array" ref="J240">IFERROR(INDEX('Retirement Calculator'!J:J,MATCH('Isaac 401k'!N240,'Retirement Calculator'!A:A,0),0),0)</f>
        <v>7863.2184191855868</v>
      </c>
      <c r="K240" s="455">
        <f t="shared" ca="1" si="2"/>
        <v>5858.8360978644023</v>
      </c>
      <c r="L240" s="455">
        <f t="shared" ca="1" si="3"/>
        <v>1411979.4995853209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1411979.4995853209</v>
      </c>
      <c r="J241" s="455">
        <f t="array" ref="J241">IFERROR(INDEX('Retirement Calculator'!J:J,MATCH('Isaac 401k'!N241,'Retirement Calculator'!A:A,0),0),0)</f>
        <v>7863.2184191855868</v>
      </c>
      <c r="K241" s="455">
        <f t="shared" ca="1" si="2"/>
        <v>5850.4845048588968</v>
      </c>
      <c r="L241" s="455">
        <f t="shared" ca="1" si="3"/>
        <v>1409966.7656709943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1409966.7656709943</v>
      </c>
      <c r="J242" s="455">
        <f t="array" ref="J242">IFERROR(INDEX('Retirement Calculator'!J:J,MATCH('Isaac 401k'!N242,'Retirement Calculator'!A:A,0),0),0)</f>
        <v>7863.2184191855868</v>
      </c>
      <c r="K242" s="455">
        <f t="shared" ca="1" si="2"/>
        <v>5842.0981135492029</v>
      </c>
      <c r="L242" s="455">
        <f t="shared" ca="1" si="3"/>
        <v>1407945.6453653579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1407945.6453653579</v>
      </c>
      <c r="J243" s="455">
        <f t="array" ref="J243">IFERROR(INDEX('Retirement Calculator'!J:J,MATCH('Isaac 401k'!N243,'Retirement Calculator'!A:A,0),0),0)</f>
        <v>7863.2184191855868</v>
      </c>
      <c r="K243" s="455">
        <f t="shared" ca="1" si="2"/>
        <v>5833.6767789423848</v>
      </c>
      <c r="L243" s="455">
        <f t="shared" ca="1" si="3"/>
        <v>1405916.1037251146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1405916.1037251146</v>
      </c>
      <c r="J244" s="455">
        <f t="array" ref="J244">IFERROR(INDEX('Retirement Calculator'!J:J,MATCH('Isaac 401k'!N244,'Retirement Calculator'!A:A,0),0),0)</f>
        <v>7863.2184191855868</v>
      </c>
      <c r="K244" s="455">
        <f t="shared" ca="1" si="2"/>
        <v>5825.2203554413709</v>
      </c>
      <c r="L244" s="455">
        <f t="shared" ca="1" si="3"/>
        <v>1403878.1056613703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1403878.1056613703</v>
      </c>
      <c r="J245" s="455">
        <f t="array" ref="J245">IFERROR(INDEX('Retirement Calculator'!J:J,MATCH('Isaac 401k'!N245,'Retirement Calculator'!A:A,0),0),0)</f>
        <v>7863.2184191855868</v>
      </c>
      <c r="K245" s="455">
        <f t="shared" ca="1" si="2"/>
        <v>5816.728696842436</v>
      </c>
      <c r="L245" s="455">
        <f t="shared" ca="1" si="3"/>
        <v>1401831.6159390272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1401831.6159390272</v>
      </c>
      <c r="J246" s="455">
        <f t="array" ref="J246">IFERROR(INDEX('Retirement Calculator'!J:J,MATCH('Isaac 401k'!N246,'Retirement Calculator'!A:A,0),0),0)</f>
        <v>7863.2184191855868</v>
      </c>
      <c r="K246" s="455">
        <f t="shared" ca="1" si="2"/>
        <v>5808.2016563326733</v>
      </c>
      <c r="L246" s="455">
        <f t="shared" ca="1" si="3"/>
        <v>1399776.5991761743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1399776.5991761743</v>
      </c>
      <c r="J247" s="455">
        <f t="array" ref="J247">IFERROR(INDEX('Retirement Calculator'!J:J,MATCH('Isaac 401k'!N247,'Retirement Calculator'!A:A,0),0),0)</f>
        <v>7863.2184191855868</v>
      </c>
      <c r="K247" s="455">
        <f t="shared" ca="1" si="2"/>
        <v>5799.6390864874529</v>
      </c>
      <c r="L247" s="455">
        <f t="shared" ca="1" si="3"/>
        <v>1397713.0198434761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1397713.0198434761</v>
      </c>
      <c r="J248" s="455">
        <f t="array" ref="J248">IFERROR(INDEX('Retirement Calculator'!J:J,MATCH('Isaac 401k'!N248,'Retirement Calculator'!A:A,0),0),0)</f>
        <v>7863.2184191855868</v>
      </c>
      <c r="K248" s="455">
        <f t="shared" ca="1" si="2"/>
        <v>5791.0408392678773</v>
      </c>
      <c r="L248" s="455">
        <f t="shared" ca="1" si="3"/>
        <v>1395640.8422635584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1395640.8422635584</v>
      </c>
      <c r="J249" s="455">
        <f t="array" ref="J249">IFERROR(INDEX('Retirement Calculator'!J:J,MATCH('Isaac 401k'!N249,'Retirement Calculator'!A:A,0),0),0)</f>
        <v>7863.2184191855868</v>
      </c>
      <c r="K249" s="455">
        <f t="shared" ca="1" si="2"/>
        <v>5782.40676601822</v>
      </c>
      <c r="L249" s="455">
        <f t="shared" ca="1" si="3"/>
        <v>1393560.0306103909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1393560.0306103909</v>
      </c>
      <c r="J250" s="455">
        <f t="array" ref="J250">IFERROR(INDEX('Retirement Calculator'!J:J,MATCH('Isaac 401k'!N250,'Retirement Calculator'!A:A,0),0),0)</f>
        <v>7863.2184191855868</v>
      </c>
      <c r="K250" s="455">
        <f t="shared" ca="1" si="2"/>
        <v>5773.7367174633555</v>
      </c>
      <c r="L250" s="455">
        <f t="shared" ca="1" si="3"/>
        <v>1391470.5489086688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1391470.5489086688</v>
      </c>
      <c r="J251" s="455">
        <f t="array" ref="J251">IFERROR(INDEX('Retirement Calculator'!J:J,MATCH('Isaac 401k'!N251,'Retirement Calculator'!A:A,0),0),0)</f>
        <v>7863.2184191855868</v>
      </c>
      <c r="K251" s="455">
        <f t="shared" ca="1" si="2"/>
        <v>5765.0305437061797</v>
      </c>
      <c r="L251" s="455">
        <f t="shared" ca="1" si="3"/>
        <v>1389372.3610331893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1389372.3610331893</v>
      </c>
      <c r="J252" s="455">
        <f t="array" ref="J252">IFERROR(INDEX('Retirement Calculator'!J:J,MATCH('Isaac 401k'!N252,'Retirement Calculator'!A:A,0),0),0)</f>
        <v>7863.2184191855868</v>
      </c>
      <c r="K252" s="455">
        <f t="shared" ca="1" si="2"/>
        <v>5756.2880942250158</v>
      </c>
      <c r="L252" s="455">
        <f t="shared" ca="1" si="3"/>
        <v>1387265.4307082288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1387265.4307082288</v>
      </c>
      <c r="J253" s="455">
        <f t="array" ref="J253">IFERROR(INDEX('Retirement Calculator'!J:J,MATCH('Isaac 401k'!N253,'Retirement Calculator'!A:A,0),0),0)</f>
        <v>7863.2184191855868</v>
      </c>
      <c r="K253" s="455">
        <f t="shared" ca="1" si="2"/>
        <v>5747.5092178710138</v>
      </c>
      <c r="L253" s="455">
        <f t="shared" ca="1" si="3"/>
        <v>1385149.7215069144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1385149.7215069144</v>
      </c>
      <c r="J254" s="455">
        <f t="array" ref="J254">IFERROR(INDEX('Retirement Calculator'!J:J,MATCH('Isaac 401k'!N254,'Retirement Calculator'!A:A,0),0),0)</f>
        <v>7863.2184191855868</v>
      </c>
      <c r="K254" s="455">
        <f t="shared" ca="1" si="2"/>
        <v>5738.693762865536</v>
      </c>
      <c r="L254" s="455">
        <f t="shared" ca="1" si="3"/>
        <v>1383025.1968505944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1383025.1968505944</v>
      </c>
      <c r="J255" s="455">
        <f t="array" ref="J255">IFERROR(INDEX('Retirement Calculator'!J:J,MATCH('Isaac 401k'!N255,'Retirement Calculator'!A:A,0),0),0)</f>
        <v>7863.2184191855868</v>
      </c>
      <c r="K255" s="455">
        <f t="shared" ca="1" si="2"/>
        <v>5729.8415767975366</v>
      </c>
      <c r="L255" s="455">
        <f t="shared" ca="1" si="3"/>
        <v>1380891.8200082062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1380891.8200082062</v>
      </c>
      <c r="J256" s="455">
        <f t="array" ref="J256">IFERROR(INDEX('Retirement Calculator'!J:J,MATCH('Isaac 401k'!N256,'Retirement Calculator'!A:A,0),0),0)</f>
        <v>7863.2184191855868</v>
      </c>
      <c r="K256" s="455">
        <f t="shared" ca="1" si="2"/>
        <v>5720.9525066209189</v>
      </c>
      <c r="L256" s="455">
        <f t="shared" ca="1" si="3"/>
        <v>1378749.5540956415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1378749.5540956415</v>
      </c>
      <c r="J257" s="455">
        <f t="array" ref="J257">IFERROR(INDEX('Retirement Calculator'!J:J,MATCH('Isaac 401k'!N257,'Retirement Calculator'!A:A,0),0),0)</f>
        <v>7863.2184191855868</v>
      </c>
      <c r="K257" s="455">
        <f t="shared" ca="1" si="2"/>
        <v>5712.0263986518994</v>
      </c>
      <c r="L257" s="455">
        <f t="shared" ca="1" si="3"/>
        <v>1376598.3620751079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1376598.3620751079</v>
      </c>
      <c r="J258" s="455">
        <f t="array" ref="J258">IFERROR(INDEX('Retirement Calculator'!J:J,MATCH('Isaac 401k'!N258,'Retirement Calculator'!A:A,0),0),0)</f>
        <v>7863.2184191855868</v>
      </c>
      <c r="K258" s="455">
        <f t="shared" ca="1" si="2"/>
        <v>5703.0630985663429</v>
      </c>
      <c r="L258" s="455">
        <f t="shared" ca="1" si="3"/>
        <v>1374438.2067544886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1374438.2067544886</v>
      </c>
      <c r="J259" s="455">
        <f t="array" ref="J259">IFERROR(INDEX('Retirement Calculator'!J:J,MATCH('Isaac 401k'!N259,'Retirement Calculator'!A:A,0),0),0)</f>
        <v>7863.2184191855868</v>
      </c>
      <c r="K259" s="455">
        <f t="shared" ca="1" si="2"/>
        <v>5694.0624513970961</v>
      </c>
      <c r="L259" s="455">
        <f t="shared" ca="1" si="3"/>
        <v>1372269.0507867001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1372269.0507867001</v>
      </c>
      <c r="J260" s="455">
        <f t="array" ref="J260">IFERROR(INDEX('Retirement Calculator'!J:J,MATCH('Isaac 401k'!N260,'Retirement Calculator'!A:A,0),0),0)</f>
        <v>7863.2184191855868</v>
      </c>
      <c r="K260" s="455">
        <f t="shared" ca="1" si="2"/>
        <v>5685.0243015313099</v>
      </c>
      <c r="L260" s="455">
        <f t="shared" ca="1" si="3"/>
        <v>1370090.8566690458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1370090.8566690458</v>
      </c>
      <c r="J261" s="455">
        <f t="array" ref="J261">IFERROR(INDEX('Retirement Calculator'!J:J,MATCH('Isaac 401k'!N261,'Retirement Calculator'!A:A,0),0),0)</f>
        <v>7863.2184191855868</v>
      </c>
      <c r="K261" s="455">
        <f t="shared" ca="1" si="2"/>
        <v>5675.9484927077501</v>
      </c>
      <c r="L261" s="455">
        <f t="shared" ca="1" si="3"/>
        <v>1367903.5867425678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1367903.5867425678</v>
      </c>
      <c r="J262" s="455">
        <f t="array" ref="J262">IFERROR(INDEX('Retirement Calculator'!J:J,MATCH('Isaac 401k'!N262,'Retirement Calculator'!A:A,0),0),0)</f>
        <v>7863.2184191855868</v>
      </c>
      <c r="K262" s="455">
        <f t="shared" ca="1" si="2"/>
        <v>5666.8348680140925</v>
      </c>
      <c r="L262" s="455">
        <f t="shared" ca="1" si="3"/>
        <v>1365707.2031913963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1365707.2031913963</v>
      </c>
      <c r="J263" s="455">
        <f t="array" ref="J263">IFERROR(INDEX('Retirement Calculator'!J:J,MATCH('Isaac 401k'!N263,'Retirement Calculator'!A:A,0),0),0)</f>
        <v>7863.2184191855868</v>
      </c>
      <c r="K263" s="455">
        <f t="shared" ref="K263:K517" ca="1" si="27">IPMT(M263/12,1,12,-I263+J263,,0)</f>
        <v>5657.6832698842109</v>
      </c>
      <c r="L263" s="455">
        <f t="shared" ref="L263:L517" ca="1" si="28">I263-J263+K263</f>
        <v>1363501.6680420949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1363501.6680420949</v>
      </c>
      <c r="J264" s="455">
        <f t="array" ref="J264">IFERROR(INDEX('Retirement Calculator'!J:J,MATCH('Isaac 401k'!N264,'Retirement Calculator'!A:A,0),0),0)</f>
        <v>7863.2184191855868</v>
      </c>
      <c r="K264" s="455">
        <f t="shared" ca="1" si="27"/>
        <v>5648.4935400954555</v>
      </c>
      <c r="L264" s="455">
        <f t="shared" ca="1" si="28"/>
        <v>1361286.9431630047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1361286.9431630047</v>
      </c>
      <c r="J265" s="455">
        <f t="array" ref="J265">IFERROR(INDEX('Retirement Calculator'!J:J,MATCH('Isaac 401k'!N265,'Retirement Calculator'!A:A,0),0),0)</f>
        <v>7863.2184191855868</v>
      </c>
      <c r="K265" s="455">
        <f t="shared" ca="1" si="27"/>
        <v>5639.2655197659133</v>
      </c>
      <c r="L265" s="455">
        <f t="shared" ca="1" si="28"/>
        <v>1359062.990263585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1359062.990263585</v>
      </c>
      <c r="J266" s="455">
        <f t="array" ref="J266">IFERROR(INDEX('Retirement Calculator'!J:J,MATCH('Isaac 401k'!N266,'Retirement Calculator'!A:A,0),0),0)</f>
        <v>7863.2184191855868</v>
      </c>
      <c r="K266" s="455">
        <f t="shared" ca="1" si="27"/>
        <v>5629.9990493516643</v>
      </c>
      <c r="L266" s="455">
        <f t="shared" ca="1" si="28"/>
        <v>1356829.7708937509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1356829.7708937509</v>
      </c>
      <c r="J267" s="455">
        <f t="array" ref="J267">IFERROR(INDEX('Retirement Calculator'!J:J,MATCH('Isaac 401k'!N267,'Retirement Calculator'!A:A,0),0),0)</f>
        <v>7863.2184191855868</v>
      </c>
      <c r="K267" s="455">
        <f t="shared" ca="1" si="27"/>
        <v>5620.6939686440219</v>
      </c>
      <c r="L267" s="455">
        <f t="shared" ca="1" si="28"/>
        <v>1354587.2464432095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1354587.2464432095</v>
      </c>
      <c r="J268" s="455">
        <f t="array" ref="J268">IFERROR(INDEX('Retirement Calculator'!J:J,MATCH('Isaac 401k'!N268,'Retirement Calculator'!A:A,0),0),0)</f>
        <v>7863.2184191855868</v>
      </c>
      <c r="K268" s="455">
        <f t="shared" ca="1" si="27"/>
        <v>5611.3501167667664</v>
      </c>
      <c r="L268" s="455">
        <f t="shared" ca="1" si="28"/>
        <v>1352335.3781407906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1352335.3781407906</v>
      </c>
      <c r="J269" s="455">
        <f t="array" ref="J269">IFERROR(INDEX('Retirement Calculator'!J:J,MATCH('Isaac 401k'!N269,'Retirement Calculator'!A:A,0),0),0)</f>
        <v>7863.2184191855868</v>
      </c>
      <c r="K269" s="455">
        <f t="shared" ca="1" si="27"/>
        <v>5601.9673321733544</v>
      </c>
      <c r="L269" s="455">
        <f t="shared" ca="1" si="28"/>
        <v>1350074.1270537784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1350074.1270537784</v>
      </c>
      <c r="J270" s="455">
        <f t="array" ref="J270">IFERROR(INDEX('Retirement Calculator'!J:J,MATCH('Isaac 401k'!N270,'Retirement Calculator'!A:A,0),0),0)</f>
        <v>7863.2184191855868</v>
      </c>
      <c r="K270" s="455">
        <f t="shared" ca="1" si="27"/>
        <v>5592.5454526441363</v>
      </c>
      <c r="L270" s="455">
        <f t="shared" ca="1" si="28"/>
        <v>1347803.4540872369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1347803.4540872369</v>
      </c>
      <c r="J271" s="455">
        <f t="array" ref="J271">IFERROR(INDEX('Retirement Calculator'!J:J,MATCH('Isaac 401k'!N271,'Retirement Calculator'!A:A,0),0),0)</f>
        <v>7863.2184191855868</v>
      </c>
      <c r="K271" s="455">
        <f t="shared" ca="1" si="27"/>
        <v>5583.0843152835469</v>
      </c>
      <c r="L271" s="455">
        <f t="shared" ca="1" si="28"/>
        <v>1345523.3199833347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1345523.3199833347</v>
      </c>
      <c r="J272" s="455">
        <f t="array" ref="J272">IFERROR(INDEX('Retirement Calculator'!J:J,MATCH('Isaac 401k'!N272,'Retirement Calculator'!A:A,0),0),0)</f>
        <v>7863.2184191855868</v>
      </c>
      <c r="K272" s="455">
        <f t="shared" ca="1" si="27"/>
        <v>5573.5837565172878</v>
      </c>
      <c r="L272" s="455">
        <f t="shared" ca="1" si="28"/>
        <v>1343233.6853206665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1343233.6853206665</v>
      </c>
      <c r="J273" s="455">
        <f t="array" ref="J273">IFERROR(INDEX('Retirement Calculator'!J:J,MATCH('Isaac 401k'!N273,'Retirement Calculator'!A:A,0),0),0)</f>
        <v>7863.2184191855868</v>
      </c>
      <c r="K273" s="455">
        <f t="shared" ca="1" si="27"/>
        <v>5564.0436120895038</v>
      </c>
      <c r="L273" s="455">
        <f t="shared" ca="1" si="28"/>
        <v>1340934.5105135704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1340934.5105135704</v>
      </c>
      <c r="J274" s="455">
        <f t="array" ref="J274">IFERROR(INDEX('Retirement Calculator'!J:J,MATCH('Isaac 401k'!N274,'Retirement Calculator'!A:A,0),0),0)</f>
        <v>7863.2184191855868</v>
      </c>
      <c r="K274" s="455">
        <f t="shared" ca="1" si="27"/>
        <v>5554.4637170599362</v>
      </c>
      <c r="L274" s="455">
        <f t="shared" ca="1" si="28"/>
        <v>1338625.7558114447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1338625.7558114447</v>
      </c>
      <c r="J275" s="455">
        <f t="array" ref="J275">IFERROR(INDEX('Retirement Calculator'!J:J,MATCH('Isaac 401k'!N275,'Retirement Calculator'!A:A,0),0),0)</f>
        <v>7863.2184191855868</v>
      </c>
      <c r="K275" s="455">
        <f t="shared" ca="1" si="27"/>
        <v>5544.8439058010799</v>
      </c>
      <c r="L275" s="455">
        <f t="shared" ca="1" si="28"/>
        <v>1336307.3812980603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1336307.3812980603</v>
      </c>
      <c r="J276" s="455">
        <f t="array" ref="J276">IFERROR(INDEX('Retirement Calculator'!J:J,MATCH('Isaac 401k'!N276,'Retirement Calculator'!A:A,0),0),0)</f>
        <v>7863.2184191855868</v>
      </c>
      <c r="K276" s="455">
        <f t="shared" ca="1" si="27"/>
        <v>5535.1840119953113</v>
      </c>
      <c r="L276" s="455">
        <f t="shared" ca="1" si="28"/>
        <v>1333979.34689087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1333979.34689087</v>
      </c>
      <c r="J277" s="455">
        <f t="array" ref="J277">IFERROR(INDEX('Retirement Calculator'!J:J,MATCH('Isaac 401k'!N277,'Retirement Calculator'!A:A,0),0),0)</f>
        <v>7863.2184191855868</v>
      </c>
      <c r="K277" s="455">
        <f t="shared" ca="1" si="27"/>
        <v>5525.4838686320181</v>
      </c>
      <c r="L277" s="455">
        <f t="shared" ca="1" si="28"/>
        <v>1331641.6123403164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1331641.6123403164</v>
      </c>
      <c r="J278" s="455">
        <f t="array" ref="J278">IFERROR(INDEX('Retirement Calculator'!J:J,MATCH('Isaac 401k'!N278,'Retirement Calculator'!A:A,0),0),0)</f>
        <v>7863.2184191855868</v>
      </c>
      <c r="K278" s="455">
        <f t="shared" ca="1" si="27"/>
        <v>5515.7433080047113</v>
      </c>
      <c r="L278" s="455">
        <f t="shared" ca="1" si="28"/>
        <v>1329294.1372291355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1329294.1372291355</v>
      </c>
      <c r="J279" s="455">
        <f t="array" ref="J279">IFERROR(INDEX('Retirement Calculator'!J:J,MATCH('Isaac 401k'!N279,'Retirement Calculator'!A:A,0),0),0)</f>
        <v>7863.2184191855868</v>
      </c>
      <c r="K279" s="455">
        <f t="shared" ca="1" si="27"/>
        <v>5505.9621617081248</v>
      </c>
      <c r="L279" s="455">
        <f t="shared" ca="1" si="28"/>
        <v>1326936.880971658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1326936.880971658</v>
      </c>
      <c r="J280" s="455">
        <f t="array" ref="J280">IFERROR(INDEX('Retirement Calculator'!J:J,MATCH('Isaac 401k'!N280,'Retirement Calculator'!A:A,0),0),0)</f>
        <v>7863.2184191855868</v>
      </c>
      <c r="K280" s="455">
        <f t="shared" ca="1" si="27"/>
        <v>5496.1402606353022</v>
      </c>
      <c r="L280" s="455">
        <f t="shared" ca="1" si="28"/>
        <v>1324569.8028131078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1324569.8028131078</v>
      </c>
      <c r="J281" s="455">
        <f t="array" ref="J281">IFERROR(INDEX('Retirement Calculator'!J:J,MATCH('Isaac 401k'!N281,'Retirement Calculator'!A:A,0),0),0)</f>
        <v>7863.2184191855868</v>
      </c>
      <c r="K281" s="455">
        <f t="shared" ca="1" si="27"/>
        <v>5486.277434974676</v>
      </c>
      <c r="L281" s="455">
        <f t="shared" ca="1" si="28"/>
        <v>1322192.8618288969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1322192.8618288969</v>
      </c>
      <c r="J282" s="455">
        <f t="array" ref="J282">IFERROR(INDEX('Retirement Calculator'!J:J,MATCH('Isaac 401k'!N282,'Retirement Calculator'!A:A,0),0),0)</f>
        <v>7863.2184191855868</v>
      </c>
      <c r="K282" s="455">
        <f t="shared" ca="1" si="27"/>
        <v>5476.37351420713</v>
      </c>
      <c r="L282" s="455">
        <f t="shared" ca="1" si="28"/>
        <v>1319806.0169239184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1319806.0169239184</v>
      </c>
      <c r="J283" s="455">
        <f t="array" ref="J283">IFERROR(INDEX('Retirement Calculator'!J:J,MATCH('Isaac 401k'!N283,'Retirement Calculator'!A:A,0),0),0)</f>
        <v>7863.2184191855868</v>
      </c>
      <c r="K283" s="455">
        <f t="shared" ca="1" si="27"/>
        <v>5466.4283271030536</v>
      </c>
      <c r="L283" s="455">
        <f t="shared" ca="1" si="28"/>
        <v>1317409.2268318359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1317409.2268318359</v>
      </c>
      <c r="J284" s="455">
        <f t="array" ref="J284">IFERROR(INDEX('Retirement Calculator'!J:J,MATCH('Isaac 401k'!N284,'Retirement Calculator'!A:A,0),0),0)</f>
        <v>7863.2184191855868</v>
      </c>
      <c r="K284" s="455">
        <f t="shared" ca="1" si="27"/>
        <v>5456.4417017193764</v>
      </c>
      <c r="L284" s="455">
        <f t="shared" ca="1" si="28"/>
        <v>1315002.4501143696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1315002.4501143696</v>
      </c>
      <c r="J285" s="455">
        <f t="array" ref="J285">IFERROR(INDEX('Retirement Calculator'!J:J,MATCH('Isaac 401k'!N285,'Retirement Calculator'!A:A,0),0),0)</f>
        <v>7863.2184191855868</v>
      </c>
      <c r="K285" s="455">
        <f t="shared" ca="1" si="27"/>
        <v>5446.4134653966003</v>
      </c>
      <c r="L285" s="455">
        <f t="shared" ca="1" si="28"/>
        <v>1312585.6451605805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1312585.6451605805</v>
      </c>
      <c r="J286" s="455">
        <f t="array" ref="J286">IFERROR(INDEX('Retirement Calculator'!J:J,MATCH('Isaac 401k'!N286,'Retirement Calculator'!A:A,0),0),0)</f>
        <v>7863.2184191855868</v>
      </c>
      <c r="K286" s="455">
        <f t="shared" ca="1" si="27"/>
        <v>5436.343444755812</v>
      </c>
      <c r="L286" s="455">
        <f t="shared" ca="1" si="28"/>
        <v>1310158.7701861507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1310158.7701861507</v>
      </c>
      <c r="J287" s="455">
        <f t="array" ref="J287">IFERROR(INDEX('Retirement Calculator'!J:J,MATCH('Isaac 401k'!N287,'Retirement Calculator'!A:A,0),0),0)</f>
        <v>7863.2184191855868</v>
      </c>
      <c r="K287" s="455">
        <f t="shared" ca="1" si="27"/>
        <v>5426.2314656956878</v>
      </c>
      <c r="L287" s="455">
        <f t="shared" ca="1" si="28"/>
        <v>1307721.7832326607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1307721.7832326607</v>
      </c>
      <c r="J288" s="455">
        <f t="array" ref="J288">IFERROR(INDEX('Retirement Calculator'!J:J,MATCH('Isaac 401k'!N288,'Retirement Calculator'!A:A,0),0),0)</f>
        <v>7863.2184191855868</v>
      </c>
      <c r="K288" s="455">
        <f t="shared" ca="1" si="27"/>
        <v>5416.0773533894799</v>
      </c>
      <c r="L288" s="455">
        <f t="shared" ca="1" si="28"/>
        <v>1305274.6421668646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1305274.6421668646</v>
      </c>
      <c r="J289" s="455">
        <f t="array" ref="J289">IFERROR(INDEX('Retirement Calculator'!J:J,MATCH('Isaac 401k'!N289,'Retirement Calculator'!A:A,0),0),0)</f>
        <v>7863.2184191855868</v>
      </c>
      <c r="K289" s="455">
        <f t="shared" ca="1" si="27"/>
        <v>5405.8809322819961</v>
      </c>
      <c r="L289" s="455">
        <f t="shared" ca="1" si="28"/>
        <v>1302817.3046799609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1302817.3046799609</v>
      </c>
      <c r="J290" s="455">
        <f t="array" ref="J290">IFERROR(INDEX('Retirement Calculator'!J:J,MATCH('Isaac 401k'!N290,'Retirement Calculator'!A:A,0),0),0)</f>
        <v>7863.2184191855868</v>
      </c>
      <c r="K290" s="455">
        <f t="shared" ca="1" si="27"/>
        <v>5395.6420260865634</v>
      </c>
      <c r="L290" s="455">
        <f t="shared" ca="1" si="28"/>
        <v>1300349.7282868619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1300349.7282868619</v>
      </c>
      <c r="J291" s="455">
        <f t="array" ref="J291">IFERROR(INDEX('Retirement Calculator'!J:J,MATCH('Isaac 401k'!N291,'Retirement Calculator'!A:A,0),0),0)</f>
        <v>7863.2184191855868</v>
      </c>
      <c r="K291" s="455">
        <f t="shared" ca="1" si="27"/>
        <v>5385.3604577819842</v>
      </c>
      <c r="L291" s="455">
        <f t="shared" ca="1" si="28"/>
        <v>1297871.8703254582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1297871.8703254582</v>
      </c>
      <c r="J292" s="455">
        <f t="array" ref="J292">IFERROR(INDEX('Retirement Calculator'!J:J,MATCH('Isaac 401k'!N292,'Retirement Calculator'!A:A,0),0),0)</f>
        <v>7863.2184191855868</v>
      </c>
      <c r="K292" s="455">
        <f t="shared" ca="1" si="27"/>
        <v>5375.036049609469</v>
      </c>
      <c r="L292" s="455">
        <f t="shared" ca="1" si="28"/>
        <v>1295383.6879558822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1295383.6879558822</v>
      </c>
      <c r="J293" s="455">
        <f t="array" ref="J293">IFERROR(INDEX('Retirement Calculator'!J:J,MATCH('Isaac 401k'!N293,'Retirement Calculator'!A:A,0),0),0)</f>
        <v>7863.2184191855868</v>
      </c>
      <c r="K293" s="455">
        <f t="shared" ca="1" si="27"/>
        <v>5364.6686230695686</v>
      </c>
      <c r="L293" s="455">
        <f t="shared" ca="1" si="28"/>
        <v>1292885.1381597661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1292885.1381597661</v>
      </c>
      <c r="J294" s="455">
        <f t="array" ref="J294">IFERROR(INDEX('Retirement Calculator'!J:J,MATCH('Isaac 401k'!N294,'Retirement Calculator'!A:A,0),0),0)</f>
        <v>7863.2184191855868</v>
      </c>
      <c r="K294" s="455">
        <f t="shared" ca="1" si="27"/>
        <v>5354.2579989190854</v>
      </c>
      <c r="L294" s="455">
        <f t="shared" ca="1" si="28"/>
        <v>1290376.1777394996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1290376.1777394996</v>
      </c>
      <c r="J295" s="455">
        <f t="array" ref="J295">IFERROR(INDEX('Retirement Calculator'!J:J,MATCH('Isaac 401k'!N295,'Retirement Calculator'!A:A,0),0),0)</f>
        <v>7863.2184191855868</v>
      </c>
      <c r="K295" s="455">
        <f t="shared" ca="1" si="27"/>
        <v>5343.8039971679746</v>
      </c>
      <c r="L295" s="455">
        <f t="shared" ca="1" si="28"/>
        <v>1287856.7633174821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1287856.7633174821</v>
      </c>
      <c r="J296" s="455">
        <f t="array" ref="J296">IFERROR(INDEX('Retirement Calculator'!J:J,MATCH('Isaac 401k'!N296,'Retirement Calculator'!A:A,0),0),0)</f>
        <v>7863.2184191855868</v>
      </c>
      <c r="K296" s="455">
        <f t="shared" ca="1" si="27"/>
        <v>5333.3064370762349</v>
      </c>
      <c r="L296" s="455">
        <f t="shared" ca="1" si="28"/>
        <v>1285326.8513353728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1285326.8513353728</v>
      </c>
      <c r="J297" s="455">
        <f t="array" ref="J297">IFERROR(INDEX('Retirement Calculator'!J:J,MATCH('Isaac 401k'!N297,'Retirement Calculator'!A:A,0),0),0)</f>
        <v>7863.2184191855868</v>
      </c>
      <c r="K297" s="455">
        <f t="shared" ca="1" si="27"/>
        <v>5322.76513715078</v>
      </c>
      <c r="L297" s="455">
        <f t="shared" ca="1" si="28"/>
        <v>1282786.3980533381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1282786.3980533381</v>
      </c>
      <c r="J298" s="455">
        <f t="array" ref="J298">IFERROR(INDEX('Retirement Calculator'!J:J,MATCH('Isaac 401k'!N298,'Retirement Calculator'!A:A,0),0),0)</f>
        <v>7863.2184191855868</v>
      </c>
      <c r="K298" s="455">
        <f t="shared" ca="1" si="27"/>
        <v>5312.179915142302</v>
      </c>
      <c r="L298" s="455">
        <f t="shared" ca="1" si="28"/>
        <v>1280235.3595492947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1280235.3595492947</v>
      </c>
      <c r="J299" s="455">
        <f t="array" ref="J299">IFERROR(INDEX('Retirement Calculator'!J:J,MATCH('Isaac 401k'!N299,'Retirement Calculator'!A:A,0),0),0)</f>
        <v>7863.2184191855868</v>
      </c>
      <c r="K299" s="455">
        <f t="shared" ca="1" si="27"/>
        <v>5301.5505880421215</v>
      </c>
      <c r="L299" s="455">
        <f t="shared" ca="1" si="28"/>
        <v>1277673.6917181511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1277673.6917181511</v>
      </c>
      <c r="J300" s="455">
        <f t="array" ref="J300">IFERROR(INDEX('Retirement Calculator'!J:J,MATCH('Isaac 401k'!N300,'Retirement Calculator'!A:A,0),0),0)</f>
        <v>7863.2184191855868</v>
      </c>
      <c r="K300" s="455">
        <f t="shared" ca="1" si="27"/>
        <v>5290.8769720790224</v>
      </c>
      <c r="L300" s="455">
        <f t="shared" ca="1" si="28"/>
        <v>1275101.3502710445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1275101.3502710445</v>
      </c>
      <c r="J301" s="455">
        <f t="array" ref="J301">IFERROR(INDEX('Retirement Calculator'!J:J,MATCH('Isaac 401k'!N301,'Retirement Calculator'!A:A,0),0),0)</f>
        <v>7863.2184191855868</v>
      </c>
      <c r="K301" s="455">
        <f t="shared" ca="1" si="27"/>
        <v>5280.1588827160786</v>
      </c>
      <c r="L301" s="455">
        <f t="shared" ca="1" si="28"/>
        <v>1272518.2907345749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1272518.2907345749</v>
      </c>
      <c r="J302" s="455">
        <f t="array" ref="J302">IFERROR(INDEX('Retirement Calculator'!J:J,MATCH('Isaac 401k'!N302,'Retirement Calculator'!A:A,0),0),0)</f>
        <v>7863.2184191855868</v>
      </c>
      <c r="K302" s="455">
        <f t="shared" ca="1" si="27"/>
        <v>5269.3961346474553</v>
      </c>
      <c r="L302" s="455">
        <f t="shared" ca="1" si="28"/>
        <v>1269924.4684500368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1269924.4684500368</v>
      </c>
      <c r="J303" s="455">
        <f t="array" ref="J303">IFERROR(INDEX('Retirement Calculator'!J:J,MATCH('Isaac 401k'!N303,'Retirement Calculator'!A:A,0),0),0)</f>
        <v>7863.2184191855868</v>
      </c>
      <c r="K303" s="455">
        <f t="shared" ca="1" si="27"/>
        <v>5258.5885417952131</v>
      </c>
      <c r="L303" s="455">
        <f t="shared" ca="1" si="28"/>
        <v>1267319.8385726465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1267319.8385726465</v>
      </c>
      <c r="J304" s="455">
        <f t="array" ref="J304">IFERROR(INDEX('Retirement Calculator'!J:J,MATCH('Isaac 401k'!N304,'Retirement Calculator'!A:A,0),0),0)</f>
        <v>7863.2184191855868</v>
      </c>
      <c r="K304" s="455">
        <f t="shared" ca="1" si="27"/>
        <v>5247.7359173060868</v>
      </c>
      <c r="L304" s="455">
        <f t="shared" ca="1" si="28"/>
        <v>1264704.3560707669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1264704.3560707669</v>
      </c>
      <c r="J305" s="455">
        <f t="array" ref="J305">IFERROR(INDEX('Retirement Calculator'!J:J,MATCH('Isaac 401k'!N305,'Retirement Calculator'!A:A,0),0),0)</f>
        <v>7863.2184191855868</v>
      </c>
      <c r="K305" s="455">
        <f t="shared" ca="1" si="27"/>
        <v>5236.8380735482551</v>
      </c>
      <c r="L305" s="455">
        <f t="shared" ca="1" si="28"/>
        <v>1262077.9757251295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1262077.9757251295</v>
      </c>
      <c r="J306" s="455">
        <f t="array" ref="J306">IFERROR(INDEX('Retirement Calculator'!J:J,MATCH('Isaac 401k'!N306,'Retirement Calculator'!A:A,0),0),0)</f>
        <v>7863.2184191855868</v>
      </c>
      <c r="K306" s="455">
        <f t="shared" ca="1" si="27"/>
        <v>5225.8948221080991</v>
      </c>
      <c r="L306" s="455">
        <f t="shared" ca="1" si="28"/>
        <v>1259440.652128052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1259440.652128052</v>
      </c>
      <c r="J307" s="455">
        <f t="array" ref="J307">IFERROR(INDEX('Retirement Calculator'!J:J,MATCH('Isaac 401k'!N307,'Retirement Calculator'!A:A,0),0),0)</f>
        <v>7863.2184191855868</v>
      </c>
      <c r="K307" s="455">
        <f t="shared" ca="1" si="27"/>
        <v>5214.9059737869429</v>
      </c>
      <c r="L307" s="455">
        <f t="shared" ca="1" si="28"/>
        <v>1256792.3396826533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1256792.3396826533</v>
      </c>
      <c r="J308" s="455">
        <f t="array" ref="J308">IFERROR(INDEX('Retirement Calculator'!J:J,MATCH('Isaac 401k'!N308,'Retirement Calculator'!A:A,0),0),0)</f>
        <v>7863.2184191855868</v>
      </c>
      <c r="K308" s="455">
        <f t="shared" ca="1" si="27"/>
        <v>5203.8713385977817</v>
      </c>
      <c r="L308" s="455">
        <f t="shared" ca="1" si="28"/>
        <v>1254132.9926020654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1254132.9926020654</v>
      </c>
      <c r="J309" s="455">
        <f t="array" ref="J309">IFERROR(INDEX('Retirement Calculator'!J:J,MATCH('Isaac 401k'!N309,'Retirement Calculator'!A:A,0),0),0)</f>
        <v>7863.2184191855868</v>
      </c>
      <c r="K309" s="455">
        <f t="shared" ca="1" si="27"/>
        <v>5192.7907257619991</v>
      </c>
      <c r="L309" s="455">
        <f t="shared" ca="1" si="28"/>
        <v>1251462.5649086419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1251462.5649086419</v>
      </c>
      <c r="J310" s="455">
        <f t="array" ref="J310">IFERROR(INDEX('Retirement Calculator'!J:J,MATCH('Isaac 401k'!N310,'Retirement Calculator'!A:A,0),0),0)</f>
        <v>7863.2184191855868</v>
      </c>
      <c r="K310" s="455">
        <f t="shared" ca="1" si="27"/>
        <v>5181.6639437060676</v>
      </c>
      <c r="L310" s="455">
        <f t="shared" ca="1" si="28"/>
        <v>1248781.0104331623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1248781.0104331623</v>
      </c>
      <c r="J311" s="455">
        <f t="array" ref="J311">IFERROR(INDEX('Retirement Calculator'!J:J,MATCH('Isaac 401k'!N311,'Retirement Calculator'!A:A,0),0),0)</f>
        <v>7863.2184191855868</v>
      </c>
      <c r="K311" s="455">
        <f t="shared" ca="1" si="27"/>
        <v>5170.4908000582363</v>
      </c>
      <c r="L311" s="455">
        <f t="shared" ca="1" si="28"/>
        <v>1246088.282814035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1246088.282814035</v>
      </c>
      <c r="J312" s="455">
        <f t="array" ref="J312">IFERROR(INDEX('Retirement Calculator'!J:J,MATCH('Isaac 401k'!N312,'Retirement Calculator'!A:A,0),0),0)</f>
        <v>7863.2184191855868</v>
      </c>
      <c r="K312" s="455">
        <f t="shared" ca="1" si="27"/>
        <v>5159.2711016452058</v>
      </c>
      <c r="L312" s="455">
        <f t="shared" ca="1" si="28"/>
        <v>1243384.3354964945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1243384.3354964945</v>
      </c>
      <c r="J313" s="455">
        <f t="array" ref="J313">IFERROR(INDEX('Retirement Calculator'!J:J,MATCH('Isaac 401k'!N313,'Retirement Calculator'!A:A,0),0),0)</f>
        <v>7863.2184191855868</v>
      </c>
      <c r="K313" s="455">
        <f t="shared" ca="1" si="27"/>
        <v>5148.0046544887873</v>
      </c>
      <c r="L313" s="455">
        <f t="shared" ca="1" si="28"/>
        <v>1240669.1217317977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1240669.1217317977</v>
      </c>
      <c r="J314" s="455">
        <f t="array" ref="J314">IFERROR(INDEX('Retirement Calculator'!J:J,MATCH('Isaac 401k'!N314,'Retirement Calculator'!A:A,0),0),0)</f>
        <v>7863.2184191855868</v>
      </c>
      <c r="K314" s="455">
        <f t="shared" ca="1" si="27"/>
        <v>5136.6912638025506</v>
      </c>
      <c r="L314" s="455">
        <f t="shared" ca="1" si="28"/>
        <v>1237942.5945764147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1237942.5945764147</v>
      </c>
      <c r="J315" s="455">
        <f t="array" ref="J315">IFERROR(INDEX('Retirement Calculator'!J:J,MATCH('Isaac 401k'!N315,'Retirement Calculator'!A:A,0),0),0)</f>
        <v>7863.2184191855868</v>
      </c>
      <c r="K315" s="455">
        <f t="shared" ca="1" si="27"/>
        <v>5125.3307339884541</v>
      </c>
      <c r="L315" s="455">
        <f t="shared" ca="1" si="28"/>
        <v>1235204.7068912175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1235204.7068912175</v>
      </c>
      <c r="J316" s="455">
        <f t="array" ref="J316">IFERROR(INDEX('Retirement Calculator'!J:J,MATCH('Isaac 401k'!N316,'Retirement Calculator'!A:A,0),0),0)</f>
        <v>7863.2184191855868</v>
      </c>
      <c r="K316" s="455">
        <f t="shared" ca="1" si="27"/>
        <v>5113.9228686334664</v>
      </c>
      <c r="L316" s="455">
        <f t="shared" ca="1" si="28"/>
        <v>1232455.4113406653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1232455.4113406653</v>
      </c>
      <c r="J317" s="455">
        <f t="array" ref="J317">IFERROR(INDEX('Retirement Calculator'!J:J,MATCH('Isaac 401k'!N317,'Retirement Calculator'!A:A,0),0),0)</f>
        <v>7863.2184191855868</v>
      </c>
      <c r="K317" s="455">
        <f t="shared" ca="1" si="27"/>
        <v>5102.4674705061652</v>
      </c>
      <c r="L317" s="455">
        <f t="shared" ca="1" si="28"/>
        <v>1229694.6603919859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1229694.6603919859</v>
      </c>
      <c r="J318" s="455">
        <f t="array" ref="J318">IFERROR(INDEX('Retirement Calculator'!J:J,MATCH('Isaac 401k'!N318,'Retirement Calculator'!A:A,0),0),0)</f>
        <v>7863.2184191855868</v>
      </c>
      <c r="K318" s="455">
        <f t="shared" ca="1" si="27"/>
        <v>5090.9643415533346</v>
      </c>
      <c r="L318" s="455">
        <f t="shared" ca="1" si="28"/>
        <v>1226922.4063143537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1226922.4063143537</v>
      </c>
      <c r="J319" s="455">
        <f t="array" ref="J319">IFERROR(INDEX('Retirement Calculator'!J:J,MATCH('Isaac 401k'!N319,'Retirement Calculator'!A:A,0),0),0)</f>
        <v>7863.2184191855868</v>
      </c>
      <c r="K319" s="455">
        <f t="shared" ca="1" si="27"/>
        <v>5079.4132828965339</v>
      </c>
      <c r="L319" s="455">
        <f t="shared" ca="1" si="28"/>
        <v>1224138.6011780647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1224138.6011780647</v>
      </c>
      <c r="J320" s="455">
        <f t="array" ref="J320">IFERROR(INDEX('Retirement Calculator'!J:J,MATCH('Isaac 401k'!N320,'Retirement Calculator'!A:A,0),0),0)</f>
        <v>7863.2184191855868</v>
      </c>
      <c r="K320" s="455">
        <f t="shared" ca="1" si="27"/>
        <v>5067.8140948286627</v>
      </c>
      <c r="L320" s="455">
        <f t="shared" ca="1" si="28"/>
        <v>1221343.1968537078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1221343.1968537078</v>
      </c>
      <c r="J321" s="455">
        <f t="array" ref="J321">IFERROR(INDEX('Retirement Calculator'!J:J,MATCH('Isaac 401k'!N321,'Retirement Calculator'!A:A,0),0),0)</f>
        <v>7863.2184191855868</v>
      </c>
      <c r="K321" s="455">
        <f t="shared" ca="1" si="27"/>
        <v>5056.1665768105086</v>
      </c>
      <c r="L321" s="455">
        <f t="shared" ca="1" si="28"/>
        <v>1218536.1450113326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1218536.1450113326</v>
      </c>
      <c r="J322" s="455">
        <f t="array" ref="J322">IFERROR(INDEX('Retirement Calculator'!J:J,MATCH('Isaac 401k'!N322,'Retirement Calculator'!A:A,0),0),0)</f>
        <v>7863.2184191855868</v>
      </c>
      <c r="K322" s="455">
        <f t="shared" ca="1" si="27"/>
        <v>5044.4705274672788</v>
      </c>
      <c r="L322" s="455">
        <f t="shared" ca="1" si="28"/>
        <v>1215717.3971196143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1215717.3971196143</v>
      </c>
      <c r="J323" s="455">
        <f t="array" ref="J323">IFERROR(INDEX('Retirement Calculator'!J:J,MATCH('Isaac 401k'!N323,'Retirement Calculator'!A:A,0),0),0)</f>
        <v>7863.2184191855868</v>
      </c>
      <c r="K323" s="455">
        <f t="shared" ca="1" si="27"/>
        <v>5032.7257445851192</v>
      </c>
      <c r="L323" s="455">
        <f t="shared" ca="1" si="28"/>
        <v>1212886.9044450137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1212886.9044450137</v>
      </c>
      <c r="J324" s="455">
        <f t="array" ref="J324">IFERROR(INDEX('Retirement Calculator'!J:J,MATCH('Isaac 401k'!N324,'Retirement Calculator'!A:A,0),0),0)</f>
        <v>7863.2184191855868</v>
      </c>
      <c r="K324" s="455">
        <f t="shared" ca="1" si="27"/>
        <v>5020.9320251076169</v>
      </c>
      <c r="L324" s="455">
        <f t="shared" ca="1" si="28"/>
        <v>1210044.6180509357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1210044.6180509357</v>
      </c>
      <c r="J325" s="455">
        <f t="array" ref="J325">IFERROR(INDEX('Retirement Calculator'!J:J,MATCH('Isaac 401k'!N325,'Retirement Calculator'!A:A,0),0),0)</f>
        <v>7863.2184191855868</v>
      </c>
      <c r="K325" s="455">
        <f t="shared" ca="1" si="27"/>
        <v>5009.0891651322918</v>
      </c>
      <c r="L325" s="455">
        <f t="shared" ca="1" si="28"/>
        <v>1207190.4887968823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1207190.4887968823</v>
      </c>
      <c r="J326" s="455">
        <f t="array" ref="J326">IFERROR(INDEX('Retirement Calculator'!J:J,MATCH('Isaac 401k'!N326,'Retirement Calculator'!A:A,0),0),0)</f>
        <v>7863.2184191855868</v>
      </c>
      <c r="K326" s="455">
        <f t="shared" ca="1" si="27"/>
        <v>4997.1969599070699</v>
      </c>
      <c r="L326" s="455">
        <f t="shared" ca="1" si="28"/>
        <v>1204324.4673376037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1204324.4673376037</v>
      </c>
      <c r="J327" s="455">
        <f t="array" ref="J327">IFERROR(INDEX('Retirement Calculator'!J:J,MATCH('Isaac 401k'!N327,'Retirement Calculator'!A:A,0),0),0)</f>
        <v>7863.2184191855868</v>
      </c>
      <c r="K327" s="455">
        <f t="shared" ca="1" si="27"/>
        <v>4985.2552038267422</v>
      </c>
      <c r="L327" s="455">
        <f t="shared" ca="1" si="28"/>
        <v>1201446.5041222449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1201446.5041222449</v>
      </c>
      <c r="J328" s="455">
        <f t="array" ref="J328">IFERROR(INDEX('Retirement Calculator'!J:J,MATCH('Isaac 401k'!N328,'Retirement Calculator'!A:A,0),0),0)</f>
        <v>7863.2184191855868</v>
      </c>
      <c r="K328" s="455">
        <f t="shared" ca="1" si="27"/>
        <v>4973.2636904294141</v>
      </c>
      <c r="L328" s="455">
        <f t="shared" ca="1" si="28"/>
        <v>1198556.5493934888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1198556.5493934888</v>
      </c>
      <c r="J329" s="455">
        <f t="array" ref="J329">IFERROR(INDEX('Retirement Calculator'!J:J,MATCH('Isaac 401k'!N329,'Retirement Calculator'!A:A,0),0),0)</f>
        <v>7863.2184191855868</v>
      </c>
      <c r="K329" s="455">
        <f t="shared" ca="1" si="27"/>
        <v>4961.2222123929296</v>
      </c>
      <c r="L329" s="455">
        <f t="shared" ca="1" si="28"/>
        <v>1195654.553186696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1195654.553186696</v>
      </c>
      <c r="J330" s="455">
        <f t="array" ref="J330">IFERROR(INDEX('Retirement Calculator'!J:J,MATCH('Isaac 401k'!N330,'Retirement Calculator'!A:A,0),0),0)</f>
        <v>7863.2184191855868</v>
      </c>
      <c r="K330" s="455">
        <f t="shared" ca="1" si="27"/>
        <v>4949.1305615312931</v>
      </c>
      <c r="L330" s="455">
        <f t="shared" ca="1" si="28"/>
        <v>1192740.4653290417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1192740.4653290417</v>
      </c>
      <c r="J331" s="455">
        <f t="array" ref="J331">IFERROR(INDEX('Retirement Calculator'!J:J,MATCH('Isaac 401k'!N331,'Retirement Calculator'!A:A,0),0),0)</f>
        <v>7863.2184191855868</v>
      </c>
      <c r="K331" s="455">
        <f t="shared" ca="1" si="27"/>
        <v>4936.9885287910674</v>
      </c>
      <c r="L331" s="455">
        <f t="shared" ca="1" si="28"/>
        <v>1189814.2354386472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1189814.2354386472</v>
      </c>
      <c r="J332" s="455">
        <f t="array" ref="J332">IFERROR(INDEX('Retirement Calculator'!J:J,MATCH('Isaac 401k'!N332,'Retirement Calculator'!A:A,0),0),0)</f>
        <v>7863.2184191855868</v>
      </c>
      <c r="K332" s="455">
        <f t="shared" ca="1" si="27"/>
        <v>4924.7959042477569</v>
      </c>
      <c r="L332" s="455">
        <f t="shared" ca="1" si="28"/>
        <v>1186875.8129237094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1186875.8129237094</v>
      </c>
      <c r="J333" s="455">
        <f t="array" ref="J333">IFERROR(INDEX('Retirement Calculator'!J:J,MATCH('Isaac 401k'!N333,'Retirement Calculator'!A:A,0),0),0)</f>
        <v>7863.2184191855868</v>
      </c>
      <c r="K333" s="455">
        <f t="shared" ca="1" si="27"/>
        <v>4912.5524771021828</v>
      </c>
      <c r="L333" s="455">
        <f t="shared" ca="1" si="28"/>
        <v>1183925.1469816261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1183925.1469816261</v>
      </c>
      <c r="J334" s="455">
        <f t="array" ref="J334">IFERROR(INDEX('Retirement Calculator'!J:J,MATCH('Isaac 401k'!N334,'Retirement Calculator'!A:A,0),0),0)</f>
        <v>7863.2184191855868</v>
      </c>
      <c r="K334" s="455">
        <f t="shared" ca="1" si="27"/>
        <v>4900.2580356768349</v>
      </c>
      <c r="L334" s="455">
        <f t="shared" ca="1" si="28"/>
        <v>1180962.1865981172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1180962.1865981172</v>
      </c>
      <c r="J335" s="455">
        <f t="array" ref="J335">IFERROR(INDEX('Retirement Calculator'!J:J,MATCH('Isaac 401k'!N335,'Retirement Calculator'!A:A,0),0),0)</f>
        <v>7863.2184191855868</v>
      </c>
      <c r="K335" s="455">
        <f t="shared" ca="1" si="27"/>
        <v>4887.9123674122147</v>
      </c>
      <c r="L335" s="455">
        <f t="shared" ca="1" si="28"/>
        <v>1177986.8805463437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1177986.8805463437</v>
      </c>
      <c r="J336" s="455">
        <f t="array" ref="J336">IFERROR(INDEX('Retirement Calculator'!J:J,MATCH('Isaac 401k'!N336,'Retirement Calculator'!A:A,0),0),0)</f>
        <v>7863.2184191855868</v>
      </c>
      <c r="K336" s="455">
        <f t="shared" ca="1" si="27"/>
        <v>4875.515258863159</v>
      </c>
      <c r="L336" s="455">
        <f t="shared" ca="1" si="28"/>
        <v>1174999.1773860212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1174999.1773860212</v>
      </c>
      <c r="J337" s="455">
        <f t="array" ref="J337">IFERROR(INDEX('Retirement Calculator'!J:J,MATCH('Isaac 401k'!N337,'Retirement Calculator'!A:A,0),0),0)</f>
        <v>7863.2184191855868</v>
      </c>
      <c r="K337" s="455">
        <f t="shared" ca="1" si="27"/>
        <v>4863.0664956951487</v>
      </c>
      <c r="L337" s="455">
        <f t="shared" ca="1" si="28"/>
        <v>1171999.0254625308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1171999.0254625308</v>
      </c>
      <c r="J338" s="455">
        <f t="array" ref="J338">IFERROR(INDEX('Retirement Calculator'!J:J,MATCH('Isaac 401k'!N338,'Retirement Calculator'!A:A,0),0),0)</f>
        <v>7863.2184191855868</v>
      </c>
      <c r="K338" s="455">
        <f t="shared" ca="1" si="27"/>
        <v>4850.5658626806053</v>
      </c>
      <c r="L338" s="455">
        <f t="shared" ca="1" si="28"/>
        <v>1168986.3729060257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1168986.3729060257</v>
      </c>
      <c r="J339" s="455">
        <f t="array" ref="J339">IFERROR(INDEX('Retirement Calculator'!J:J,MATCH('Isaac 401k'!N339,'Retirement Calculator'!A:A,0),0),0)</f>
        <v>7863.2184191855868</v>
      </c>
      <c r="K339" s="455">
        <f t="shared" ca="1" si="27"/>
        <v>4838.0131436951669</v>
      </c>
      <c r="L339" s="455">
        <f t="shared" ca="1" si="28"/>
        <v>1165961.1676305353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1165961.1676305353</v>
      </c>
      <c r="J340" s="455">
        <f t="array" ref="J340">IFERROR(INDEX('Retirement Calculator'!J:J,MATCH('Isaac 401k'!N340,'Retirement Calculator'!A:A,0),0),0)</f>
        <v>7863.2184191855868</v>
      </c>
      <c r="K340" s="455">
        <f t="shared" ca="1" si="27"/>
        <v>4825.4081217139574</v>
      </c>
      <c r="L340" s="455">
        <f t="shared" ca="1" si="28"/>
        <v>1162923.3573330636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1162923.3573330636</v>
      </c>
      <c r="J341" s="455">
        <f t="array" ref="J341">IFERROR(INDEX('Retirement Calculator'!J:J,MATCH('Isaac 401k'!N341,'Retirement Calculator'!A:A,0),0),0)</f>
        <v>7863.2184191855868</v>
      </c>
      <c r="K341" s="455">
        <f t="shared" ca="1" si="27"/>
        <v>4812.7505788078251</v>
      </c>
      <c r="L341" s="455">
        <f t="shared" ca="1" si="28"/>
        <v>1159872.8894926859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1159872.8894926859</v>
      </c>
      <c r="J342" s="455">
        <f t="array" ref="J342">IFERROR(INDEX('Retirement Calculator'!J:J,MATCH('Isaac 401k'!N342,'Retirement Calculator'!A:A,0),0),0)</f>
        <v>7863.2184191855868</v>
      </c>
      <c r="K342" s="455">
        <f t="shared" ca="1" si="27"/>
        <v>4800.0402961395848</v>
      </c>
      <c r="L342" s="455">
        <f t="shared" ca="1" si="28"/>
        <v>1156809.71136964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1156809.71136964</v>
      </c>
      <c r="J343" s="455">
        <f t="array" ref="J343">IFERROR(INDEX('Retirement Calculator'!J:J,MATCH('Isaac 401k'!N343,'Retirement Calculator'!A:A,0),0),0)</f>
        <v>7863.2184191855868</v>
      </c>
      <c r="K343" s="455">
        <f t="shared" ca="1" si="27"/>
        <v>4787.2770539602261</v>
      </c>
      <c r="L343" s="455">
        <f t="shared" ca="1" si="28"/>
        <v>1153733.7700044145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1153733.7700044145</v>
      </c>
      <c r="J344" s="455">
        <f t="array" ref="J344">IFERROR(INDEX('Retirement Calculator'!J:J,MATCH('Isaac 401k'!N344,'Retirement Calculator'!A:A,0),0),0)</f>
        <v>7863.2184191855868</v>
      </c>
      <c r="K344" s="455">
        <f t="shared" ca="1" si="27"/>
        <v>4774.4606316051204</v>
      </c>
      <c r="L344" s="455">
        <f t="shared" ca="1" si="28"/>
        <v>1150645.0122168339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1150645.0122168339</v>
      </c>
      <c r="J345" s="455">
        <f t="array" ref="J345">IFERROR(INDEX('Retirement Calculator'!J:J,MATCH('Isaac 401k'!N345,'Retirement Calculator'!A:A,0),0),0)</f>
        <v>7863.2184191855868</v>
      </c>
      <c r="K345" s="455">
        <f t="shared" ca="1" si="27"/>
        <v>4761.5908074902009</v>
      </c>
      <c r="L345" s="455">
        <f t="shared" ca="1" si="28"/>
        <v>1147543.3846051386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1147543.3846051386</v>
      </c>
      <c r="J346" s="455">
        <f t="array" ref="J346">IFERROR(INDEX('Retirement Calculator'!J:J,MATCH('Isaac 401k'!N346,'Retirement Calculator'!A:A,0),0),0)</f>
        <v>7863.2184191855868</v>
      </c>
      <c r="K346" s="455">
        <f t="shared" ca="1" si="27"/>
        <v>4748.6673591081371</v>
      </c>
      <c r="L346" s="455">
        <f t="shared" ca="1" si="28"/>
        <v>1144428.8335450611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1144428.8335450611</v>
      </c>
      <c r="J347" s="455">
        <f t="array" ref="J347">IFERROR(INDEX('Retirement Calculator'!J:J,MATCH('Isaac 401k'!N347,'Retirement Calculator'!A:A,0),0),0)</f>
        <v>7863.2184191855868</v>
      </c>
      <c r="K347" s="455">
        <f t="shared" ca="1" si="27"/>
        <v>4735.6900630244809</v>
      </c>
      <c r="L347" s="455">
        <f t="shared" ca="1" si="28"/>
        <v>1141301.3051888999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1141301.3051888999</v>
      </c>
      <c r="J348" s="455">
        <f t="array" ref="J348">IFERROR(INDEX('Retirement Calculator'!J:J,MATCH('Isaac 401k'!N348,'Retirement Calculator'!A:A,0),0),0)</f>
        <v>7863.2184191855868</v>
      </c>
      <c r="K348" s="455">
        <f t="shared" ca="1" si="27"/>
        <v>4722.6586948738095</v>
      </c>
      <c r="L348" s="455">
        <f t="shared" ca="1" si="28"/>
        <v>1138160.745464588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1138160.745464588</v>
      </c>
      <c r="J349" s="455">
        <f t="array" ref="J349">IFERROR(INDEX('Retirement Calculator'!J:J,MATCH('Isaac 401k'!N349,'Retirement Calculator'!A:A,0),0),0)</f>
        <v>7863.2184191855868</v>
      </c>
      <c r="K349" s="455">
        <f t="shared" ca="1" si="27"/>
        <v>4709.5730293558436</v>
      </c>
      <c r="L349" s="455">
        <f t="shared" ca="1" si="28"/>
        <v>1135007.1000747583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1135007.1000747583</v>
      </c>
      <c r="J350" s="455">
        <f t="array" ref="J350">IFERROR(INDEX('Retirement Calculator'!J:J,MATCH('Isaac 401k'!N350,'Retirement Calculator'!A:A,0),0),0)</f>
        <v>7863.2184191855868</v>
      </c>
      <c r="K350" s="455">
        <f t="shared" ca="1" si="27"/>
        <v>4696.4328402315532</v>
      </c>
      <c r="L350" s="455">
        <f t="shared" ca="1" si="28"/>
        <v>1131840.3144958043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1131840.3144958043</v>
      </c>
      <c r="J351" s="455">
        <f t="array" ref="J351">IFERROR(INDEX('Retirement Calculator'!J:J,MATCH('Isaac 401k'!N351,'Retirement Calculator'!A:A,0),0),0)</f>
        <v>7863.2184191855868</v>
      </c>
      <c r="K351" s="455">
        <f t="shared" ca="1" si="27"/>
        <v>4683.2379003192445</v>
      </c>
      <c r="L351" s="455">
        <f t="shared" ca="1" si="28"/>
        <v>1128660.3339769379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1128660.3339769379</v>
      </c>
      <c r="J352" s="455">
        <f t="array" ref="J352">IFERROR(INDEX('Retirement Calculator'!J:J,MATCH('Isaac 401k'!N352,'Retirement Calculator'!A:A,0),0),0)</f>
        <v>7863.2184191855868</v>
      </c>
      <c r="K352" s="455">
        <f t="shared" ca="1" si="27"/>
        <v>4669.9879814906344</v>
      </c>
      <c r="L352" s="455">
        <f t="shared" ca="1" si="28"/>
        <v>1125467.1035392429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1125467.1035392429</v>
      </c>
      <c r="J353" s="455">
        <f t="array" ref="J353">IFERROR(INDEX('Retirement Calculator'!J:J,MATCH('Isaac 401k'!N353,'Retirement Calculator'!A:A,0),0),0)</f>
        <v>7863.2184191855868</v>
      </c>
      <c r="K353" s="455">
        <f t="shared" ca="1" si="27"/>
        <v>4656.6828546669049</v>
      </c>
      <c r="L353" s="455">
        <f t="shared" ca="1" si="28"/>
        <v>1122260.5679747241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1122260.5679747241</v>
      </c>
      <c r="J354" s="455">
        <f t="array" ref="J354">IFERROR(INDEX('Retirement Calculator'!J:J,MATCH('Isaac 401k'!N354,'Retirement Calculator'!A:A,0),0),0)</f>
        <v>7863.2184191855868</v>
      </c>
      <c r="K354" s="455">
        <f t="shared" ca="1" si="27"/>
        <v>4643.3222898147433</v>
      </c>
      <c r="L354" s="455">
        <f t="shared" ca="1" si="28"/>
        <v>1119040.6718453532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1119040.6718453532</v>
      </c>
      <c r="J355" s="455">
        <f t="array" ref="J355">IFERROR(INDEX('Retirement Calculator'!J:J,MATCH('Isaac 401k'!N355,'Retirement Calculator'!A:A,0),0),0)</f>
        <v>7863.2184191855868</v>
      </c>
      <c r="K355" s="455">
        <f t="shared" ca="1" si="27"/>
        <v>4629.9060559423651</v>
      </c>
      <c r="L355" s="455">
        <f t="shared" ca="1" si="28"/>
        <v>1115807.35948211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1115807.35948211</v>
      </c>
      <c r="J356" s="455">
        <f t="array" ref="J356">IFERROR(INDEX('Retirement Calculator'!J:J,MATCH('Isaac 401k'!N356,'Retirement Calculator'!A:A,0),0),0)</f>
        <v>7863.2184191855868</v>
      </c>
      <c r="K356" s="455">
        <f t="shared" ca="1" si="27"/>
        <v>4616.4339210955186</v>
      </c>
      <c r="L356" s="455">
        <f t="shared" ca="1" si="28"/>
        <v>1112560.5749840199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1112560.5749840199</v>
      </c>
      <c r="J357" s="455">
        <f t="array" ref="J357">IFERROR(INDEX('Retirement Calculator'!J:J,MATCH('Isaac 401k'!N357,'Retirement Calculator'!A:A,0),0),0)</f>
        <v>7863.2184191855868</v>
      </c>
      <c r="K357" s="455">
        <f t="shared" ca="1" si="27"/>
        <v>4602.9056523534764</v>
      </c>
      <c r="L357" s="455">
        <f t="shared" ca="1" si="28"/>
        <v>1109300.2622171878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1109300.2622171878</v>
      </c>
      <c r="J358" s="455">
        <f t="array" ref="J358">IFERROR(INDEX('Retirement Calculator'!J:J,MATCH('Isaac 401k'!N358,'Retirement Calculator'!A:A,0),0),0)</f>
        <v>7863.2184191855868</v>
      </c>
      <c r="K358" s="455">
        <f t="shared" ca="1" si="27"/>
        <v>4589.3210158250095</v>
      </c>
      <c r="L358" s="455">
        <f t="shared" ca="1" si="28"/>
        <v>1106026.3648138272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1106026.3648138272</v>
      </c>
      <c r="J359" s="455">
        <f t="array" ref="J359">IFERROR(INDEX('Retirement Calculator'!J:J,MATCH('Isaac 401k'!N359,'Retirement Calculator'!A:A,0),0),0)</f>
        <v>7863.2184191855868</v>
      </c>
      <c r="K359" s="455">
        <f t="shared" ca="1" si="27"/>
        <v>4575.6797766443397</v>
      </c>
      <c r="L359" s="455">
        <f t="shared" ca="1" si="28"/>
        <v>1102738.8261712859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1102738.8261712859</v>
      </c>
      <c r="J360" s="455">
        <f t="array" ref="J360">IFERROR(INDEX('Retirement Calculator'!J:J,MATCH('Isaac 401k'!N360,'Retirement Calculator'!A:A,0),0),0)</f>
        <v>7863.2184191855868</v>
      </c>
      <c r="K360" s="455">
        <f t="shared" ca="1" si="27"/>
        <v>4561.9816989670844</v>
      </c>
      <c r="L360" s="455">
        <f t="shared" ca="1" si="28"/>
        <v>1099437.5894510674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1099437.5894510674</v>
      </c>
      <c r="J361" s="455">
        <f t="array" ref="J361">IFERROR(INDEX('Retirement Calculator'!J:J,MATCH('Isaac 401k'!N361,'Retirement Calculator'!A:A,0),0),0)</f>
        <v>7863.2184191855868</v>
      </c>
      <c r="K361" s="455">
        <f t="shared" ca="1" si="27"/>
        <v>4548.2265459661739</v>
      </c>
      <c r="L361" s="455">
        <f t="shared" ca="1" si="28"/>
        <v>1096122.597577848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1096122.597577848</v>
      </c>
      <c r="J362" s="455">
        <f t="array" ref="J362">IFERROR(INDEX('Retirement Calculator'!J:J,MATCH('Isaac 401k'!N362,'Retirement Calculator'!A:A,0),0),0)</f>
        <v>7863.2184191855868</v>
      </c>
      <c r="K362" s="455">
        <f t="shared" ca="1" si="27"/>
        <v>4534.4140798277604</v>
      </c>
      <c r="L362" s="455">
        <f t="shared" ca="1" si="28"/>
        <v>1092793.7932384901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1092793.7932384901</v>
      </c>
      <c r="J363" s="455">
        <f t="array" ref="J363">IFERROR(INDEX('Retirement Calculator'!J:J,MATCH('Isaac 401k'!N363,'Retirement Calculator'!A:A,0),0),0)</f>
        <v>7863.2184191855868</v>
      </c>
      <c r="K363" s="455">
        <f t="shared" ca="1" si="27"/>
        <v>4520.5440617471022</v>
      </c>
      <c r="L363" s="455">
        <f t="shared" ca="1" si="28"/>
        <v>1089451.1188810517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1089451.1188810517</v>
      </c>
      <c r="J364" s="455">
        <f t="array" ref="J364">IFERROR(INDEX('Retirement Calculator'!J:J,MATCH('Isaac 401k'!N364,'Retirement Calculator'!A:A,0),0),0)</f>
        <v>7863.2184191855868</v>
      </c>
      <c r="K364" s="455">
        <f t="shared" ca="1" si="27"/>
        <v>4506.6162519244417</v>
      </c>
      <c r="L364" s="455">
        <f t="shared" ca="1" si="28"/>
        <v>1086094.5167137906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1086094.5167137906</v>
      </c>
      <c r="J365" s="455">
        <f t="array" ref="J365">IFERROR(INDEX('Retirement Calculator'!J:J,MATCH('Isaac 401k'!N365,'Retirement Calculator'!A:A,0),0),0)</f>
        <v>7863.2184191855868</v>
      </c>
      <c r="K365" s="455">
        <f t="shared" ca="1" si="27"/>
        <v>4492.6304095608539</v>
      </c>
      <c r="L365" s="455">
        <f t="shared" ca="1" si="28"/>
        <v>1082723.9287041659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1082723.9287041659</v>
      </c>
      <c r="J366" s="455">
        <f t="array" ref="J366">IFERROR(INDEX('Retirement Calculator'!J:J,MATCH('Isaac 401k'!N366,'Retirement Calculator'!A:A,0),0),0)</f>
        <v>7863.2184191855868</v>
      </c>
      <c r="K366" s="455">
        <f t="shared" ca="1" si="27"/>
        <v>4478.5862928540846</v>
      </c>
      <c r="L366" s="455">
        <f t="shared" ca="1" si="28"/>
        <v>1079339.2965778343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1079339.2965778343</v>
      </c>
      <c r="J367" s="455">
        <f t="array" ref="J367">IFERROR(INDEX('Retirement Calculator'!J:J,MATCH('Isaac 401k'!N367,'Retirement Calculator'!A:A,0),0),0)</f>
        <v>7863.2184191855868</v>
      </c>
      <c r="K367" s="455">
        <f t="shared" ca="1" si="27"/>
        <v>4464.4836589943698</v>
      </c>
      <c r="L367" s="455">
        <f t="shared" ca="1" si="28"/>
        <v>1075940.561817643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1075940.561817643</v>
      </c>
      <c r="J368" s="455">
        <f t="array" ref="J368">IFERROR(INDEX('Retirement Calculator'!J:J,MATCH('Isaac 401k'!N368,'Retirement Calculator'!A:A,0),0),0)</f>
        <v>7863.2184191855868</v>
      </c>
      <c r="K368" s="455">
        <f t="shared" ca="1" si="27"/>
        <v>4450.3222641602388</v>
      </c>
      <c r="L368" s="455">
        <f t="shared" ca="1" si="28"/>
        <v>1072527.6656626177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1072527.6656626177</v>
      </c>
      <c r="J369" s="455">
        <f t="array" ref="J369">IFERROR(INDEX('Retirement Calculator'!J:J,MATCH('Isaac 401k'!N369,'Retirement Calculator'!A:A,0),0),0)</f>
        <v>7863.2184191855868</v>
      </c>
      <c r="K369" s="455">
        <f t="shared" ca="1" si="27"/>
        <v>4436.1018635143</v>
      </c>
      <c r="L369" s="455">
        <f t="shared" ca="1" si="28"/>
        <v>1069100.5491069464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1069100.5491069464</v>
      </c>
      <c r="J370" s="455">
        <f t="array" ref="J370">IFERROR(INDEX('Retirement Calculator'!J:J,MATCH('Isaac 401k'!N370,'Retirement Calculator'!A:A,0),0),0)</f>
        <v>7863.2184191855868</v>
      </c>
      <c r="K370" s="455">
        <f t="shared" ca="1" si="27"/>
        <v>4421.8222111990035</v>
      </c>
      <c r="L370" s="455">
        <f t="shared" ca="1" si="28"/>
        <v>1065659.1528989598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1065659.1528989598</v>
      </c>
      <c r="J371" s="455">
        <f t="array" ref="J371">IFERROR(INDEX('Retirement Calculator'!J:J,MATCH('Isaac 401k'!N371,'Retirement Calculator'!A:A,0),0),0)</f>
        <v>7863.2184191855868</v>
      </c>
      <c r="K371" s="455">
        <f t="shared" ca="1" si="27"/>
        <v>4407.4830603323926</v>
      </c>
      <c r="L371" s="455">
        <f t="shared" ca="1" si="28"/>
        <v>1062203.4175401067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1062203.4175401067</v>
      </c>
      <c r="J372" s="455">
        <f t="array" ref="J372">IFERROR(INDEX('Retirement Calculator'!J:J,MATCH('Isaac 401k'!N372,'Retirement Calculator'!A:A,0),0),0)</f>
        <v>7863.2184191855868</v>
      </c>
      <c r="K372" s="455">
        <f t="shared" ca="1" si="27"/>
        <v>4393.0841630038376</v>
      </c>
      <c r="L372" s="455">
        <f t="shared" ca="1" si="28"/>
        <v>1058733.2832839249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1058733.2832839249</v>
      </c>
      <c r="J373" s="455">
        <f t="array" ref="J373">IFERROR(INDEX('Retirement Calculator'!J:J,MATCH('Isaac 401k'!N373,'Retirement Calculator'!A:A,0),0),0)</f>
        <v>7863.2184191855868</v>
      </c>
      <c r="K373" s="455">
        <f t="shared" ca="1" si="27"/>
        <v>4378.6252702697475</v>
      </c>
      <c r="L373" s="455">
        <f t="shared" ca="1" si="28"/>
        <v>1055248.6901350091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1055248.6901350091</v>
      </c>
      <c r="J374" s="455">
        <f t="array" ref="J374">IFERROR(INDEX('Retirement Calculator'!J:J,MATCH('Isaac 401k'!N374,'Retirement Calculator'!A:A,0),0),0)</f>
        <v>7863.2184191855868</v>
      </c>
      <c r="K374" s="455">
        <f t="shared" ca="1" si="27"/>
        <v>4364.1061321492643</v>
      </c>
      <c r="L374" s="455">
        <f t="shared" ca="1" si="28"/>
        <v>1051749.5778479727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1051749.5778479727</v>
      </c>
      <c r="J375" s="455">
        <f t="array" ref="J375">IFERROR(INDEX('Retirement Calculator'!J:J,MATCH('Isaac 401k'!N375,'Retirement Calculator'!A:A,0),0),0)</f>
        <v>7863.2184191855868</v>
      </c>
      <c r="K375" s="455">
        <f t="shared" ca="1" si="27"/>
        <v>4349.5264976199469</v>
      </c>
      <c r="L375" s="455">
        <f t="shared" ca="1" si="28"/>
        <v>1048235.8859264071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1048235.8859264071</v>
      </c>
      <c r="J376" s="455">
        <f t="array" ref="J376">IFERROR(INDEX('Retirement Calculator'!J:J,MATCH('Isaac 401k'!N376,'Retirement Calculator'!A:A,0),0),0)</f>
        <v>7863.2184191855868</v>
      </c>
      <c r="K376" s="455">
        <f t="shared" ca="1" si="27"/>
        <v>4334.8861146134223</v>
      </c>
      <c r="L376" s="455">
        <f t="shared" ca="1" si="28"/>
        <v>1044707.5536218348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1044707.5536218348</v>
      </c>
      <c r="J377" s="455">
        <f t="array" ref="J377">IFERROR(INDEX('Retirement Calculator'!J:J,MATCH('Isaac 401k'!N377,'Retirement Calculator'!A:A,0),0),0)</f>
        <v>7863.2184191855868</v>
      </c>
      <c r="K377" s="455">
        <f t="shared" ca="1" si="27"/>
        <v>4320.1847300110385</v>
      </c>
      <c r="L377" s="455">
        <f t="shared" ca="1" si="28"/>
        <v>1041164.5199326603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1041164.5199326603</v>
      </c>
      <c r="J378" s="455">
        <f t="array" ref="J378">IFERROR(INDEX('Retirement Calculator'!J:J,MATCH('Isaac 401k'!N378,'Retirement Calculator'!A:A,0),0),0)</f>
        <v>7863.2184191855868</v>
      </c>
      <c r="K378" s="455">
        <f t="shared" ca="1" si="27"/>
        <v>4305.4220896394772</v>
      </c>
      <c r="L378" s="455">
        <f t="shared" ca="1" si="28"/>
        <v>1037606.7236031141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1037606.7236031141</v>
      </c>
      <c r="J379" s="455">
        <f t="array" ref="J379">IFERROR(INDEX('Retirement Calculator'!J:J,MATCH('Isaac 401k'!N379,'Retirement Calculator'!A:A,0),0),0)</f>
        <v>7863.2184191855868</v>
      </c>
      <c r="K379" s="455">
        <f t="shared" ca="1" si="27"/>
        <v>4290.5979382663691</v>
      </c>
      <c r="L379" s="455">
        <f t="shared" ca="1" si="28"/>
        <v>1034034.1031221949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1034034.1031221949</v>
      </c>
      <c r="J380" s="455">
        <f t="array" ref="J380">IFERROR(INDEX('Retirement Calculator'!J:J,MATCH('Isaac 401k'!N380,'Retirement Calculator'!A:A,0),0),0)</f>
        <v>7863.2184191855868</v>
      </c>
      <c r="K380" s="455">
        <f t="shared" ca="1" si="27"/>
        <v>4275.7120195958723</v>
      </c>
      <c r="L380" s="455">
        <f t="shared" ca="1" si="28"/>
        <v>1030446.5967226052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1030446.5967226052</v>
      </c>
      <c r="J381" s="455">
        <f t="array" ref="J381">IFERROR(INDEX('Retirement Calculator'!J:J,MATCH('Isaac 401k'!N381,'Retirement Calculator'!A:A,0),0),0)</f>
        <v>7863.2184191855868</v>
      </c>
      <c r="K381" s="455">
        <f t="shared" ca="1" si="27"/>
        <v>4260.7640762642477</v>
      </c>
      <c r="L381" s="455">
        <f t="shared" ca="1" si="28"/>
        <v>1026844.1423796838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1026844.1423796838</v>
      </c>
      <c r="J382" s="455">
        <f t="array" ref="J382">IFERROR(INDEX('Retirement Calculator'!J:J,MATCH('Isaac 401k'!N382,'Retirement Calculator'!A:A,0),0),0)</f>
        <v>7863.2184191855868</v>
      </c>
      <c r="K382" s="455">
        <f t="shared" ca="1" si="27"/>
        <v>4245.7538498354088</v>
      </c>
      <c r="L382" s="455">
        <f t="shared" ca="1" si="28"/>
        <v>1023226.6778103336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1023226.6778103336</v>
      </c>
      <c r="J383" s="455">
        <f t="array" ref="J383">IFERROR(INDEX('Retirement Calculator'!J:J,MATCH('Isaac 401k'!N383,'Retirement Calculator'!A:A,0),0),0)</f>
        <v>7863.2184191855868</v>
      </c>
      <c r="K383" s="455">
        <f t="shared" ca="1" si="27"/>
        <v>4230.6810807964503</v>
      </c>
      <c r="L383" s="455">
        <f t="shared" ca="1" si="28"/>
        <v>1019594.1404719444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1019594.1404719444</v>
      </c>
      <c r="J384" s="455">
        <f t="array" ref="J384">IFERROR(INDEX('Retirement Calculator'!J:J,MATCH('Isaac 401k'!N384,'Retirement Calculator'!A:A,0),0),0)</f>
        <v>7863.2184191855868</v>
      </c>
      <c r="K384" s="455">
        <f t="shared" ca="1" si="27"/>
        <v>4215.5455085531612</v>
      </c>
      <c r="L384" s="455">
        <f t="shared" ca="1" si="28"/>
        <v>1015946.4675613119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1015946.4675613119</v>
      </c>
      <c r="J385" s="455">
        <f t="array" ref="J385">IFERROR(INDEX('Retirement Calculator'!J:J,MATCH('Isaac 401k'!N385,'Retirement Calculator'!A:A,0),0),0)</f>
        <v>7863.2184191855868</v>
      </c>
      <c r="K385" s="455">
        <f t="shared" ca="1" si="27"/>
        <v>4200.3468714255259</v>
      </c>
      <c r="L385" s="455">
        <f t="shared" ca="1" si="28"/>
        <v>1012283.5960135518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1012283.5960135518</v>
      </c>
      <c r="J386" s="455">
        <f t="array" ref="J386">IFERROR(INDEX('Retirement Calculator'!J:J,MATCH('Isaac 401k'!N386,'Retirement Calculator'!A:A,0),0),0)</f>
        <v>7863.2184191855868</v>
      </c>
      <c r="K386" s="455">
        <f t="shared" ca="1" si="27"/>
        <v>4185.0849066431929</v>
      </c>
      <c r="L386" s="455">
        <f t="shared" ca="1" si="28"/>
        <v>1008605.4625010093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1008605.4625010093</v>
      </c>
      <c r="J387" s="455">
        <f t="array" ref="J387">IFERROR(INDEX('Retirement Calculator'!J:J,MATCH('Isaac 401k'!N387,'Retirement Calculator'!A:A,0),0),0)</f>
        <v>7863.2184191855868</v>
      </c>
      <c r="K387" s="455">
        <f t="shared" ca="1" si="27"/>
        <v>4169.7593503409325</v>
      </c>
      <c r="L387" s="455">
        <f t="shared" ca="1" si="28"/>
        <v>1004912.0034321647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1004912.0034321647</v>
      </c>
      <c r="J388" s="455">
        <f t="array" ref="J388">IFERROR(INDEX('Retirement Calculator'!J:J,MATCH('Isaac 401k'!N388,'Retirement Calculator'!A:A,0),0),0)</f>
        <v>7863.2184191855868</v>
      </c>
      <c r="K388" s="455">
        <f t="shared" ca="1" si="27"/>
        <v>4154.3699375540791</v>
      </c>
      <c r="L388" s="455">
        <f t="shared" ca="1" si="28"/>
        <v>1001203.1549505332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1001203.1549505332</v>
      </c>
      <c r="J389" s="455">
        <f t="array" ref="J389">IFERROR(INDEX('Retirement Calculator'!J:J,MATCH('Isaac 401k'!N389,'Retirement Calculator'!A:A,0),0),0)</f>
        <v>7863.2184191855868</v>
      </c>
      <c r="K389" s="455">
        <f t="shared" ca="1" si="27"/>
        <v>4138.9164022139475</v>
      </c>
      <c r="L389" s="455">
        <f t="shared" ca="1" si="28"/>
        <v>997478.85293356155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997478.85293356155</v>
      </c>
      <c r="J390" s="455">
        <f t="array" ref="J390">IFERROR(INDEX('Retirement Calculator'!J:J,MATCH('Isaac 401k'!N390,'Retirement Calculator'!A:A,0),0),0)</f>
        <v>7863.2184191855868</v>
      </c>
      <c r="K390" s="455">
        <f t="shared" ca="1" si="27"/>
        <v>4123.3984771432333</v>
      </c>
      <c r="L390" s="455">
        <f t="shared" ca="1" si="28"/>
        <v>993739.0329915192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993739.0329915192</v>
      </c>
      <c r="J391" s="455">
        <f t="array" ref="J391">IFERROR(INDEX('Retirement Calculator'!J:J,MATCH('Isaac 401k'!N391,'Retirement Calculator'!A:A,0),0),0)</f>
        <v>7863.2184191855868</v>
      </c>
      <c r="K391" s="455">
        <f t="shared" ca="1" si="27"/>
        <v>4107.8158940513895</v>
      </c>
      <c r="L391" s="455">
        <f t="shared" ca="1" si="28"/>
        <v>989983.63046638493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989983.63046638493</v>
      </c>
      <c r="J392" s="455">
        <f t="array" ref="J392">IFERROR(INDEX('Retirement Calculator'!J:J,MATCH('Isaac 401k'!N392,'Retirement Calculator'!A:A,0),0),0)</f>
        <v>7863.2184191855868</v>
      </c>
      <c r="K392" s="455">
        <f t="shared" ca="1" si="27"/>
        <v>4092.1683835299973</v>
      </c>
      <c r="L392" s="455">
        <f t="shared" ca="1" si="28"/>
        <v>986212.58043072931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986212.58043072931</v>
      </c>
      <c r="J393" s="455">
        <f t="array" ref="J393">IFERROR(INDEX('Retirement Calculator'!J:J,MATCH('Isaac 401k'!N393,'Retirement Calculator'!A:A,0),0),0)</f>
        <v>7863.2184191855868</v>
      </c>
      <c r="K393" s="455">
        <f t="shared" ca="1" si="27"/>
        <v>4076.4556750480983</v>
      </c>
      <c r="L393" s="455">
        <f t="shared" ca="1" si="28"/>
        <v>982425.81768659176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982425.81768659176</v>
      </c>
      <c r="J394" s="455">
        <f t="array" ref="J394">IFERROR(INDEX('Retirement Calculator'!J:J,MATCH('Isaac 401k'!N394,'Retirement Calculator'!A:A,0),0),0)</f>
        <v>7863.2184191855868</v>
      </c>
      <c r="K394" s="455">
        <f t="shared" ca="1" si="27"/>
        <v>4060.6774969475255</v>
      </c>
      <c r="L394" s="455">
        <f t="shared" ca="1" si="28"/>
        <v>978623.27676435374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978623.27676435374</v>
      </c>
      <c r="J395" s="455">
        <f t="array" ref="J395">IFERROR(INDEX('Retirement Calculator'!J:J,MATCH('Isaac 401k'!N395,'Retirement Calculator'!A:A,0),0),0)</f>
        <v>7863.2184191855868</v>
      </c>
      <c r="K395" s="455">
        <f t="shared" ca="1" si="27"/>
        <v>4044.8335764382005</v>
      </c>
      <c r="L395" s="455">
        <f t="shared" ca="1" si="28"/>
        <v>974804.89192160638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974804.89192160638</v>
      </c>
      <c r="J396" s="455">
        <f t="array" ref="J396">IFERROR(INDEX('Retirement Calculator'!J:J,MATCH('Isaac 401k'!N396,'Retirement Calculator'!A:A,0),0),0)</f>
        <v>7863.2184191855868</v>
      </c>
      <c r="K396" s="455">
        <f t="shared" ca="1" si="27"/>
        <v>4028.9236395934199</v>
      </c>
      <c r="L396" s="455">
        <f t="shared" ca="1" si="28"/>
        <v>970970.59714201419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970970.59714201419</v>
      </c>
      <c r="J397" s="455">
        <f t="array" ref="J397">IFERROR(INDEX('Retirement Calculator'!J:J,MATCH('Isaac 401k'!N397,'Retirement Calculator'!A:A,0),0),0)</f>
        <v>7863.2184191855868</v>
      </c>
      <c r="K397" s="455">
        <f t="shared" ca="1" si="27"/>
        <v>4012.9474113451192</v>
      </c>
      <c r="L397" s="455">
        <f t="shared" ca="1" si="28"/>
        <v>967120.32613417367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967120.32613417367</v>
      </c>
      <c r="J398" s="455">
        <f t="array" ref="J398">IFERROR(INDEX('Retirement Calculator'!J:J,MATCH('Isaac 401k'!N398,'Retirement Calculator'!A:A,0),0),0)</f>
        <v>7863.2184191855868</v>
      </c>
      <c r="K398" s="455">
        <f t="shared" ca="1" si="27"/>
        <v>3996.9046154791163</v>
      </c>
      <c r="L398" s="455">
        <f t="shared" ca="1" si="28"/>
        <v>963254.01233046723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963254.01233046723</v>
      </c>
      <c r="J399" s="455">
        <f t="array" ref="J399">IFERROR(INDEX('Retirement Calculator'!J:J,MATCH('Isaac 401k'!N399,'Retirement Calculator'!A:A,0),0),0)</f>
        <v>7863.2184191855868</v>
      </c>
      <c r="K399" s="455">
        <f t="shared" ca="1" si="27"/>
        <v>3980.7949746303398</v>
      </c>
      <c r="L399" s="455">
        <f t="shared" ca="1" si="28"/>
        <v>959371.58888591197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959371.58888591197</v>
      </c>
      <c r="J400" s="455">
        <f t="array" ref="J400">IFERROR(INDEX('Retirement Calculator'!J:J,MATCH('Isaac 401k'!N400,'Retirement Calculator'!A:A,0),0),0)</f>
        <v>7863.2184191855868</v>
      </c>
      <c r="K400" s="455">
        <f t="shared" ca="1" si="27"/>
        <v>3964.6182102780263</v>
      </c>
      <c r="L400" s="455">
        <f t="shared" ca="1" si="28"/>
        <v>955472.98867700435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955472.98867700435</v>
      </c>
      <c r="J401" s="455">
        <f t="array" ref="J401">IFERROR(INDEX('Retirement Calculator'!J:J,MATCH('Isaac 401k'!N401,'Retirement Calculator'!A:A,0),0),0)</f>
        <v>7863.2184191855868</v>
      </c>
      <c r="K401" s="455">
        <f t="shared" ca="1" si="27"/>
        <v>3948.3740427409107</v>
      </c>
      <c r="L401" s="455">
        <f t="shared" ca="1" si="28"/>
        <v>951558.14430055965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951558.14430055965</v>
      </c>
      <c r="J402" s="455">
        <f t="array" ref="J402">IFERROR(INDEX('Retirement Calculator'!J:J,MATCH('Isaac 401k'!N402,'Retirement Calculator'!A:A,0),0),0)</f>
        <v>7863.2184191855868</v>
      </c>
      <c r="K402" s="455">
        <f t="shared" ca="1" si="27"/>
        <v>3932.0621911723915</v>
      </c>
      <c r="L402" s="455">
        <f t="shared" ca="1" si="28"/>
        <v>947626.98807254643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947626.98807254643</v>
      </c>
      <c r="J403" s="455">
        <f t="array" ref="J403">IFERROR(INDEX('Retirement Calculator'!J:J,MATCH('Isaac 401k'!N403,'Retirement Calculator'!A:A,0),0),0)</f>
        <v>7863.2184191855868</v>
      </c>
      <c r="K403" s="455">
        <f t="shared" ca="1" si="27"/>
        <v>3915.68237355567</v>
      </c>
      <c r="L403" s="455">
        <f t="shared" ca="1" si="28"/>
        <v>943679.45202691655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943679.45202691655</v>
      </c>
      <c r="J404" s="455">
        <f t="array" ref="J404">IFERROR(INDEX('Retirement Calculator'!J:J,MATCH('Isaac 401k'!N404,'Retirement Calculator'!A:A,0),0),0)</f>
        <v>7863.2184191855868</v>
      </c>
      <c r="K404" s="455">
        <f t="shared" ca="1" si="27"/>
        <v>3899.2343066988788</v>
      </c>
      <c r="L404" s="455">
        <f t="shared" ca="1" si="28"/>
        <v>939715.46791442984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939715.46791442984</v>
      </c>
      <c r="J405" s="455">
        <f t="array" ref="J405">IFERROR(INDEX('Retirement Calculator'!J:J,MATCH('Isaac 401k'!N405,'Retirement Calculator'!A:A,0),0),0)</f>
        <v>7863.2184191855868</v>
      </c>
      <c r="K405" s="455">
        <f t="shared" ca="1" si="27"/>
        <v>3882.7177062301848</v>
      </c>
      <c r="L405" s="455">
        <f t="shared" ca="1" si="28"/>
        <v>935734.96720147447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935734.96720147447</v>
      </c>
      <c r="J406" s="455">
        <f t="array" ref="J406">IFERROR(INDEX('Retirement Calculator'!J:J,MATCH('Isaac 401k'!N406,'Retirement Calculator'!A:A,0),0),0)</f>
        <v>7863.2184191855868</v>
      </c>
      <c r="K406" s="455">
        <f t="shared" ca="1" si="27"/>
        <v>3866.1322865928701</v>
      </c>
      <c r="L406" s="455">
        <f t="shared" ca="1" si="28"/>
        <v>931737.88106888172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931737.88106888172</v>
      </c>
      <c r="J407" s="455">
        <f t="array" ref="J407">IFERROR(INDEX('Retirement Calculator'!J:J,MATCH('Isaac 401k'!N407,'Retirement Calculator'!A:A,0),0),0)</f>
        <v>7863.2184191855868</v>
      </c>
      <c r="K407" s="455">
        <f t="shared" ca="1" si="27"/>
        <v>3849.4777610404003</v>
      </c>
      <c r="L407" s="455">
        <f t="shared" ca="1" si="28"/>
        <v>927724.14041073655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927724.14041073655</v>
      </c>
      <c r="J408" s="455">
        <f t="array" ref="J408">IFERROR(INDEX('Retirement Calculator'!J:J,MATCH('Isaac 401k'!N408,'Retirement Calculator'!A:A,0),0),0)</f>
        <v>7863.2184191855868</v>
      </c>
      <c r="K408" s="455">
        <f t="shared" ca="1" si="27"/>
        <v>3832.7538416314624</v>
      </c>
      <c r="L408" s="455">
        <f t="shared" ca="1" si="28"/>
        <v>923693.67583318241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923693.67583318241</v>
      </c>
      <c r="J409" s="455">
        <f t="array" ref="J409">IFERROR(INDEX('Retirement Calculator'!J:J,MATCH('Isaac 401k'!N409,'Retirement Calculator'!A:A,0),0),0)</f>
        <v>7863.2184191855868</v>
      </c>
      <c r="K409" s="455">
        <f t="shared" ca="1" si="27"/>
        <v>3815.9602392249867</v>
      </c>
      <c r="L409" s="455">
        <f t="shared" ca="1" si="28"/>
        <v>919646.41765322175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919646.41765322175</v>
      </c>
      <c r="J410" s="455">
        <f t="array" ref="J410">IFERROR(INDEX('Retirement Calculator'!J:J,MATCH('Isaac 401k'!N410,'Retirement Calculator'!A:A,0),0),0)</f>
        <v>7863.2184191855868</v>
      </c>
      <c r="K410" s="455">
        <f t="shared" ca="1" si="27"/>
        <v>3799.0966634751499</v>
      </c>
      <c r="L410" s="455">
        <f t="shared" ca="1" si="28"/>
        <v>915582.2958975113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915582.2958975113</v>
      </c>
      <c r="J411" s="455">
        <f t="array" ref="J411">IFERROR(INDEX('Retirement Calculator'!J:J,MATCH('Isaac 401k'!N411,'Retirement Calculator'!A:A,0),0),0)</f>
        <v>7863.2184191855868</v>
      </c>
      <c r="K411" s="455">
        <f t="shared" ca="1" si="27"/>
        <v>3782.1628228263567</v>
      </c>
      <c r="L411" s="455">
        <f t="shared" ca="1" si="28"/>
        <v>911501.24030115199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911501.24030115199</v>
      </c>
      <c r="J412" s="455">
        <f t="array" ref="J412">IFERROR(INDEX('Retirement Calculator'!J:J,MATCH('Isaac 401k'!N412,'Retirement Calculator'!A:A,0),0),0)</f>
        <v>7863.2184191855868</v>
      </c>
      <c r="K412" s="455">
        <f t="shared" ca="1" si="27"/>
        <v>3765.1584245081931</v>
      </c>
      <c r="L412" s="455">
        <f t="shared" ca="1" si="28"/>
        <v>907403.18030647456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907403.18030647456</v>
      </c>
      <c r="J413" s="455">
        <f t="array" ref="J413">IFERROR(INDEX('Retirement Calculator'!J:J,MATCH('Isaac 401k'!N413,'Retirement Calculator'!A:A,0),0),0)</f>
        <v>7863.2184191855868</v>
      </c>
      <c r="K413" s="455">
        <f t="shared" ca="1" si="27"/>
        <v>3748.0831745303713</v>
      </c>
      <c r="L413" s="455">
        <f t="shared" ca="1" si="28"/>
        <v>903288.04506181937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903288.04506181937</v>
      </c>
      <c r="J414" s="455">
        <f t="array" ref="J414">IFERROR(INDEX('Retirement Calculator'!J:J,MATCH('Isaac 401k'!N414,'Retirement Calculator'!A:A,0),0),0)</f>
        <v>7863.2184191855868</v>
      </c>
      <c r="K414" s="455">
        <f t="shared" ca="1" si="27"/>
        <v>3730.9367776776407</v>
      </c>
      <c r="L414" s="455">
        <f t="shared" ca="1" si="28"/>
        <v>899155.76342031138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899155.76342031138</v>
      </c>
      <c r="J415" s="455">
        <f t="array" ref="J415">IFERROR(INDEX('Retirement Calculator'!J:J,MATCH('Isaac 401k'!N415,'Retirement Calculator'!A:A,0),0),0)</f>
        <v>7863.2184191855868</v>
      </c>
      <c r="K415" s="455">
        <f t="shared" ca="1" si="27"/>
        <v>3713.7189375046905</v>
      </c>
      <c r="L415" s="455">
        <f t="shared" ca="1" si="28"/>
        <v>895006.26393863047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895006.26393863047</v>
      </c>
      <c r="J416" s="455">
        <f t="array" ref="J416">IFERROR(INDEX('Retirement Calculator'!J:J,MATCH('Isaac 401k'!N416,'Retirement Calculator'!A:A,0),0),0)</f>
        <v>7863.2184191855868</v>
      </c>
      <c r="K416" s="455">
        <f t="shared" ca="1" si="27"/>
        <v>3696.4293563310202</v>
      </c>
      <c r="L416" s="455">
        <f t="shared" ca="1" si="28"/>
        <v>890839.47487577586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890839.47487577586</v>
      </c>
      <c r="J417" s="455">
        <f t="array" ref="J417">IFERROR(INDEX('Retirement Calculator'!J:J,MATCH('Isaac 401k'!N417,'Retirement Calculator'!A:A,0),0),0)</f>
        <v>7863.2184191855868</v>
      </c>
      <c r="K417" s="455">
        <f t="shared" ca="1" si="27"/>
        <v>3679.0677352357925</v>
      </c>
      <c r="L417" s="455">
        <f t="shared" ca="1" si="28"/>
        <v>886655.32419182605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886655.32419182605</v>
      </c>
      <c r="J418" s="455">
        <f t="array" ref="J418">IFERROR(INDEX('Retirement Calculator'!J:J,MATCH('Isaac 401k'!N418,'Retirement Calculator'!A:A,0),0),0)</f>
        <v>7863.2184191855868</v>
      </c>
      <c r="K418" s="455">
        <f t="shared" ca="1" si="27"/>
        <v>3661.6337740526678</v>
      </c>
      <c r="L418" s="455">
        <f t="shared" ca="1" si="28"/>
        <v>882453.73954669316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882453.73954669316</v>
      </c>
      <c r="J419" s="455">
        <f t="array" ref="J419">IFERROR(INDEX('Retirement Calculator'!J:J,MATCH('Isaac 401k'!N419,'Retirement Calculator'!A:A,0),0),0)</f>
        <v>7863.2184191855868</v>
      </c>
      <c r="K419" s="455">
        <f t="shared" ca="1" si="27"/>
        <v>3644.1271713646147</v>
      </c>
      <c r="L419" s="455">
        <f t="shared" ca="1" si="28"/>
        <v>878234.64829887217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878234.64829887217</v>
      </c>
      <c r="J420" s="455">
        <f t="array" ref="J420">IFERROR(INDEX('Retirement Calculator'!J:J,MATCH('Isaac 401k'!N420,'Retirement Calculator'!A:A,0),0),0)</f>
        <v>7863.2184191855868</v>
      </c>
      <c r="K420" s="455">
        <f t="shared" ca="1" si="27"/>
        <v>3626.5476244986939</v>
      </c>
      <c r="L420" s="455">
        <f t="shared" ca="1" si="28"/>
        <v>873997.97750418528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873997.97750418528</v>
      </c>
      <c r="J421" s="455">
        <f t="array" ref="J421">IFERROR(INDEX('Retirement Calculator'!J:J,MATCH('Isaac 401k'!N421,'Retirement Calculator'!A:A,0),0),0)</f>
        <v>7863.2184191855868</v>
      </c>
      <c r="K421" s="455">
        <f t="shared" ca="1" si="27"/>
        <v>3608.8948295208324</v>
      </c>
      <c r="L421" s="455">
        <f t="shared" ca="1" si="28"/>
        <v>869743.65391452052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869743.65391452052</v>
      </c>
      <c r="J422" s="455">
        <f t="array" ref="J422">IFERROR(INDEX('Retirement Calculator'!J:J,MATCH('Isaac 401k'!N422,'Retirement Calculator'!A:A,0),0),0)</f>
        <v>7863.2184191855868</v>
      </c>
      <c r="K422" s="455">
        <f t="shared" ca="1" si="27"/>
        <v>3591.1684812305616</v>
      </c>
      <c r="L422" s="455">
        <f t="shared" ca="1" si="28"/>
        <v>865471.60397656553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865471.60397656553</v>
      </c>
      <c r="J423" s="455">
        <f t="array" ref="J423">IFERROR(INDEX('Retirement Calculator'!J:J,MATCH('Isaac 401k'!N423,'Retirement Calculator'!A:A,0),0),0)</f>
        <v>7863.2184191855868</v>
      </c>
      <c r="K423" s="455">
        <f t="shared" ca="1" si="27"/>
        <v>3573.3682731557496</v>
      </c>
      <c r="L423" s="455">
        <f t="shared" ca="1" si="28"/>
        <v>861181.75383053569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861181.75383053569</v>
      </c>
      <c r="J424" s="455">
        <f t="array" ref="J424">IFERROR(INDEX('Retirement Calculator'!J:J,MATCH('Isaac 401k'!N424,'Retirement Calculator'!A:A,0),0),0)</f>
        <v>7863.2184191855868</v>
      </c>
      <c r="K424" s="455">
        <f t="shared" ca="1" si="27"/>
        <v>3555.4938975472924</v>
      </c>
      <c r="L424" s="455">
        <f t="shared" ca="1" si="28"/>
        <v>856874.02930889733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856874.02930889733</v>
      </c>
      <c r="J425" s="455">
        <f t="array" ref="J425">IFERROR(INDEX('Retirement Calculator'!J:J,MATCH('Isaac 401k'!N425,'Retirement Calculator'!A:A,0),0),0)</f>
        <v>7863.2184191855868</v>
      </c>
      <c r="K425" s="455">
        <f t="shared" ca="1" si="27"/>
        <v>3537.545045373799</v>
      </c>
      <c r="L425" s="455">
        <f t="shared" ca="1" si="28"/>
        <v>852548.35593508556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852548.35593508556</v>
      </c>
      <c r="J426" s="455">
        <f t="array" ref="J426">IFERROR(INDEX('Retirement Calculator'!J:J,MATCH('Isaac 401k'!N426,'Retirement Calculator'!A:A,0),0),0)</f>
        <v>7863.2184191855868</v>
      </c>
      <c r="K426" s="455">
        <f t="shared" ca="1" si="27"/>
        <v>3519.5214063162498</v>
      </c>
      <c r="L426" s="455">
        <f t="shared" ca="1" si="28"/>
        <v>848204.65892221616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848204.65892221616</v>
      </c>
      <c r="J427" s="455">
        <f t="array" ref="J427">IFERROR(INDEX('Retirement Calculator'!J:J,MATCH('Isaac 401k'!N427,'Retirement Calculator'!A:A,0),0),0)</f>
        <v>7863.2184191855868</v>
      </c>
      <c r="K427" s="455">
        <f t="shared" ca="1" si="27"/>
        <v>3501.4226687626269</v>
      </c>
      <c r="L427" s="455">
        <f t="shared" ca="1" si="28"/>
        <v>843842.86317179317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843842.86317179317</v>
      </c>
      <c r="J428" s="455">
        <f t="array" ref="J428">IFERROR(INDEX('Retirement Calculator'!J:J,MATCH('Isaac 401k'!N428,'Retirement Calculator'!A:A,0),0),0)</f>
        <v>7863.2184191855868</v>
      </c>
      <c r="K428" s="455">
        <f t="shared" ca="1" si="27"/>
        <v>3483.248519802532</v>
      </c>
      <c r="L428" s="455">
        <f t="shared" ca="1" si="28"/>
        <v>839462.89327241015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839462.89327241015</v>
      </c>
      <c r="J429" s="455">
        <f t="array" ref="J429">IFERROR(INDEX('Retirement Calculator'!J:J,MATCH('Isaac 401k'!N429,'Retirement Calculator'!A:A,0),0),0)</f>
        <v>7863.2184191855868</v>
      </c>
      <c r="K429" s="455">
        <f t="shared" ca="1" si="27"/>
        <v>3464.998645221769</v>
      </c>
      <c r="L429" s="455">
        <f t="shared" ca="1" si="28"/>
        <v>835064.67349844635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835064.67349844635</v>
      </c>
      <c r="J430" s="455">
        <f t="array" ref="J430">IFERROR(INDEX('Retirement Calculator'!J:J,MATCH('Isaac 401k'!N430,'Retirement Calculator'!A:A,0),0),0)</f>
        <v>7863.2184191855868</v>
      </c>
      <c r="K430" s="455">
        <f t="shared" ca="1" si="27"/>
        <v>3446.6727294969196</v>
      </c>
      <c r="L430" s="455">
        <f t="shared" ca="1" si="28"/>
        <v>830648.12780875771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830648.12780875771</v>
      </c>
      <c r="J431" s="455">
        <f t="array" ref="J431">IFERROR(INDEX('Retirement Calculator'!J:J,MATCH('Isaac 401k'!N431,'Retirement Calculator'!A:A,0),0),0)</f>
        <v>7863.2184191855868</v>
      </c>
      <c r="K431" s="455">
        <f t="shared" ca="1" si="27"/>
        <v>3428.2704557898833</v>
      </c>
      <c r="L431" s="455">
        <f t="shared" ca="1" si="28"/>
        <v>826213.17984536197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826213.17984536197</v>
      </c>
      <c r="J432" s="455">
        <f t="array" ref="J432">IFERROR(INDEX('Retirement Calculator'!J:J,MATCH('Isaac 401k'!N432,'Retirement Calculator'!A:A,0),0),0)</f>
        <v>7863.2184191855868</v>
      </c>
      <c r="K432" s="455">
        <f t="shared" ca="1" si="27"/>
        <v>3409.7915059424013</v>
      </c>
      <c r="L432" s="455">
        <f t="shared" ca="1" si="28"/>
        <v>821759.75293211872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821759.75293211872</v>
      </c>
      <c r="J433" s="455">
        <f t="array" ref="J433">IFERROR(INDEX('Retirement Calculator'!J:J,MATCH('Isaac 401k'!N433,'Retirement Calculator'!A:A,0),0),0)</f>
        <v>7863.2184191855868</v>
      </c>
      <c r="K433" s="455">
        <f t="shared" ca="1" si="27"/>
        <v>3391.2355604705544</v>
      </c>
      <c r="L433" s="455">
        <f t="shared" ca="1" si="28"/>
        <v>817287.77007340372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817287.77007340372</v>
      </c>
      <c r="J434" s="455">
        <f t="array" ref="J434">IFERROR(INDEX('Retirement Calculator'!J:J,MATCH('Isaac 401k'!N434,'Retirement Calculator'!A:A,0),0),0)</f>
        <v>7863.2184191855868</v>
      </c>
      <c r="K434" s="455">
        <f t="shared" ca="1" si="27"/>
        <v>3372.6022985592422</v>
      </c>
      <c r="L434" s="455">
        <f t="shared" ca="1" si="28"/>
        <v>812797.15395277739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812797.15395277739</v>
      </c>
      <c r="J435" s="455">
        <f t="array" ref="J435">IFERROR(INDEX('Retirement Calculator'!J:J,MATCH('Isaac 401k'!N435,'Retirement Calculator'!A:A,0),0),0)</f>
        <v>7863.2184191855868</v>
      </c>
      <c r="K435" s="455">
        <f t="shared" ca="1" si="27"/>
        <v>3353.8913980566322</v>
      </c>
      <c r="L435" s="455">
        <f t="shared" ca="1" si="28"/>
        <v>808287.82693164842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808287.82693164842</v>
      </c>
      <c r="J436" s="455">
        <f t="array" ref="J436">IFERROR(INDEX('Retirement Calculator'!J:J,MATCH('Isaac 401k'!N436,'Retirement Calculator'!A:A,0),0),0)</f>
        <v>7863.2184191855868</v>
      </c>
      <c r="K436" s="455">
        <f t="shared" ca="1" si="27"/>
        <v>3335.1025354685949</v>
      </c>
      <c r="L436" s="455">
        <f t="shared" ca="1" si="28"/>
        <v>803759.71104793146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803759.71104793146</v>
      </c>
      <c r="J437" s="455">
        <f t="array" ref="J437">IFERROR(INDEX('Retirement Calculator'!J:J,MATCH('Isaac 401k'!N437,'Retirement Calculator'!A:A,0),0),0)</f>
        <v>7863.2184191855868</v>
      </c>
      <c r="K437" s="455">
        <f t="shared" ca="1" si="27"/>
        <v>3316.2353859531077</v>
      </c>
      <c r="L437" s="455">
        <f t="shared" ca="1" si="28"/>
        <v>799212.72801469895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799212.72801469895</v>
      </c>
      <c r="J438" s="455">
        <f t="array" ref="J438">IFERROR(INDEX('Retirement Calculator'!J:J,MATCH('Isaac 401k'!N438,'Retirement Calculator'!A:A,0),0),0)</f>
        <v>7863.2184191855868</v>
      </c>
      <c r="K438" s="455">
        <f t="shared" ca="1" si="27"/>
        <v>3297.2896233146389</v>
      </c>
      <c r="L438" s="455">
        <f t="shared" ca="1" si="28"/>
        <v>794646.79921882797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794646.79921882797</v>
      </c>
      <c r="J439" s="455">
        <f t="array" ref="J439">IFERROR(INDEX('Retirement Calculator'!J:J,MATCH('Isaac 401k'!N439,'Retirement Calculator'!A:A,0),0),0)</f>
        <v>7863.2184191855868</v>
      </c>
      <c r="K439" s="455">
        <f t="shared" ca="1" si="27"/>
        <v>3278.2649199985099</v>
      </c>
      <c r="L439" s="455">
        <f t="shared" ca="1" si="28"/>
        <v>790061.84571964084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790061.84571964084</v>
      </c>
      <c r="J440" s="455">
        <f t="array" ref="J440">IFERROR(INDEX('Retirement Calculator'!J:J,MATCH('Isaac 401k'!N440,'Retirement Calculator'!A:A,0),0),0)</f>
        <v>7863.2184191855868</v>
      </c>
      <c r="K440" s="455">
        <f t="shared" ca="1" si="27"/>
        <v>3259.16094708523</v>
      </c>
      <c r="L440" s="455">
        <f t="shared" ca="1" si="28"/>
        <v>785457.78824754048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785457.78824754048</v>
      </c>
      <c r="J441" s="455">
        <f t="array" ref="J441">IFERROR(INDEX('Retirement Calculator'!J:J,MATCH('Isaac 401k'!N441,'Retirement Calculator'!A:A,0),0),0)</f>
        <v>7863.2184191855868</v>
      </c>
      <c r="K441" s="455">
        <f t="shared" ca="1" si="27"/>
        <v>3239.977374284812</v>
      </c>
      <c r="L441" s="455">
        <f t="shared" ca="1" si="28"/>
        <v>780834.54720263963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780834.54720263963</v>
      </c>
      <c r="J442" s="455">
        <f t="array" ref="J442">IFERROR(INDEX('Retirement Calculator'!J:J,MATCH('Isaac 401k'!N442,'Retirement Calculator'!A:A,0),0),0)</f>
        <v>7863.2184191855868</v>
      </c>
      <c r="K442" s="455">
        <f t="shared" ca="1" si="27"/>
        <v>3220.7138699310585</v>
      </c>
      <c r="L442" s="455">
        <f t="shared" ca="1" si="28"/>
        <v>776192.04265338508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776192.04265338508</v>
      </c>
      <c r="J443" s="455">
        <f t="array" ref="J443">IFERROR(INDEX('Retirement Calculator'!J:J,MATCH('Isaac 401k'!N443,'Retirement Calculator'!A:A,0),0),0)</f>
        <v>7863.2184191855868</v>
      </c>
      <c r="K443" s="455">
        <f t="shared" ca="1" si="27"/>
        <v>3201.3701009758311</v>
      </c>
      <c r="L443" s="455">
        <f t="shared" ca="1" si="28"/>
        <v>771530.19433517533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771530.19433517533</v>
      </c>
      <c r="J444" s="455">
        <f t="array" ref="J444">IFERROR(INDEX('Retirement Calculator'!J:J,MATCH('Isaac 401k'!N444,'Retirement Calculator'!A:A,0),0),0)</f>
        <v>7863.2184191855868</v>
      </c>
      <c r="K444" s="455">
        <f t="shared" ca="1" si="27"/>
        <v>3181.9457329832903</v>
      </c>
      <c r="L444" s="455">
        <f t="shared" ca="1" si="28"/>
        <v>766848.92164897302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766848.92164897302</v>
      </c>
      <c r="J445" s="455">
        <f t="array" ref="J445">IFERROR(INDEX('Retirement Calculator'!J:J,MATCH('Isaac 401k'!N445,'Retirement Calculator'!A:A,0),0),0)</f>
        <v>7863.2184191855868</v>
      </c>
      <c r="K445" s="455">
        <f t="shared" ca="1" si="27"/>
        <v>3162.4404301241143</v>
      </c>
      <c r="L445" s="455">
        <f t="shared" ca="1" si="28"/>
        <v>762148.14365991147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762148.14365991147</v>
      </c>
      <c r="J446" s="455">
        <f t="array" ref="J446">IFERROR(INDEX('Retirement Calculator'!J:J,MATCH('Isaac 401k'!N446,'Retirement Calculator'!A:A,0),0),0)</f>
        <v>7863.2184191855868</v>
      </c>
      <c r="K446" s="455">
        <f t="shared" ca="1" si="27"/>
        <v>3142.8538551696911</v>
      </c>
      <c r="L446" s="455">
        <f t="shared" ca="1" si="28"/>
        <v>757427.77909589559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757427.77909589559</v>
      </c>
      <c r="J447" s="455">
        <f t="array" ref="J447">IFERROR(INDEX('Retirement Calculator'!J:J,MATCH('Isaac 401k'!N447,'Retirement Calculator'!A:A,0),0),0)</f>
        <v>7863.2184191855868</v>
      </c>
      <c r="K447" s="455">
        <f t="shared" ca="1" si="27"/>
        <v>3123.1856694862918</v>
      </c>
      <c r="L447" s="455">
        <f t="shared" ca="1" si="28"/>
        <v>752687.74634619628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752687.74634619628</v>
      </c>
      <c r="J448" s="455">
        <f t="array" ref="J448">IFERROR(INDEX('Retirement Calculator'!J:J,MATCH('Isaac 401k'!N448,'Retirement Calculator'!A:A,0),0),0)</f>
        <v>7863.2184191855868</v>
      </c>
      <c r="K448" s="455">
        <f t="shared" ca="1" si="27"/>
        <v>3103.435533029211</v>
      </c>
      <c r="L448" s="455">
        <f t="shared" ca="1" si="28"/>
        <v>747927.96346003993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747927.96346003993</v>
      </c>
      <c r="J449" s="455">
        <f t="array" ref="J449">IFERROR(INDEX('Retirement Calculator'!J:J,MATCH('Isaac 401k'!N449,'Retirement Calculator'!A:A,0),0),0)</f>
        <v>7863.2184191855868</v>
      </c>
      <c r="K449" s="455">
        <f t="shared" ca="1" si="27"/>
        <v>3083.603104336893</v>
      </c>
      <c r="L449" s="455">
        <f t="shared" ca="1" si="28"/>
        <v>743148.34814519121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743148.34814519121</v>
      </c>
      <c r="J450" s="455">
        <f t="array" ref="J450">IFERROR(INDEX('Retirement Calculator'!J:J,MATCH('Isaac 401k'!N450,'Retirement Calculator'!A:A,0),0),0)</f>
        <v>7863.2184191855868</v>
      </c>
      <c r="K450" s="455">
        <f t="shared" ca="1" si="27"/>
        <v>3063.6880405250231</v>
      </c>
      <c r="L450" s="455">
        <f t="shared" ca="1" si="28"/>
        <v>738348.81776653067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738348.81776653067</v>
      </c>
      <c r="J451" s="455">
        <f t="array" ref="J451">IFERROR(INDEX('Retirement Calculator'!J:J,MATCH('Isaac 401k'!N451,'Retirement Calculator'!A:A,0),0),0)</f>
        <v>7863.2184191855868</v>
      </c>
      <c r="K451" s="455">
        <f t="shared" ca="1" si="27"/>
        <v>3043.6899972806045</v>
      </c>
      <c r="L451" s="455">
        <f t="shared" ca="1" si="28"/>
        <v>733529.28934462566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733529.28934462566</v>
      </c>
      <c r="J452" s="455">
        <f t="array" ref="J452">IFERROR(INDEX('Retirement Calculator'!J:J,MATCH('Isaac 401k'!N452,'Retirement Calculator'!A:A,0),0),0)</f>
        <v>7863.2184191855868</v>
      </c>
      <c r="K452" s="455">
        <f t="shared" ca="1" si="27"/>
        <v>3023.608628856</v>
      </c>
      <c r="L452" s="455">
        <f t="shared" ca="1" si="28"/>
        <v>728689.67955429608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728689.67955429608</v>
      </c>
      <c r="J453" s="455">
        <f t="array" ref="J453">IFERROR(INDEX('Retirement Calculator'!J:J,MATCH('Isaac 401k'!N453,'Retirement Calculator'!A:A,0),0),0)</f>
        <v>7863.2184191855868</v>
      </c>
      <c r="K453" s="455">
        <f t="shared" ca="1" si="27"/>
        <v>3003.4435880629603</v>
      </c>
      <c r="L453" s="455">
        <f t="shared" ca="1" si="28"/>
        <v>723829.90472317347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723829.90472317347</v>
      </c>
      <c r="J454" s="455">
        <f t="array" ref="J454">IFERROR(INDEX('Retirement Calculator'!J:J,MATCH('Isaac 401k'!N454,'Retirement Calculator'!A:A,0),0),0)</f>
        <v>7863.2184191855868</v>
      </c>
      <c r="K454" s="455">
        <f t="shared" ca="1" si="27"/>
        <v>2983.1945262666159</v>
      </c>
      <c r="L454" s="455">
        <f t="shared" ca="1" si="28"/>
        <v>718949.88083025452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718949.88083025452</v>
      </c>
      <c r="J455" s="455">
        <f t="array" ref="J455">IFERROR(INDEX('Retirement Calculator'!J:J,MATCH('Isaac 401k'!N455,'Retirement Calculator'!A:A,0),0),0)</f>
        <v>7863.2184191855868</v>
      </c>
      <c r="K455" s="455">
        <f t="shared" ca="1" si="27"/>
        <v>2962.8610933794539</v>
      </c>
      <c r="L455" s="455">
        <f t="shared" ca="1" si="28"/>
        <v>714049.52350444836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714049.52350444836</v>
      </c>
      <c r="J456" s="455">
        <f t="array" ref="J456">IFERROR(INDEX('Retirement Calculator'!J:J,MATCH('Isaac 401k'!N456,'Retirement Calculator'!A:A,0),0),0)</f>
        <v>7863.2184191855868</v>
      </c>
      <c r="K456" s="455">
        <f t="shared" ca="1" si="27"/>
        <v>2942.4429378552613</v>
      </c>
      <c r="L456" s="455">
        <f t="shared" ca="1" si="28"/>
        <v>709128.74802311801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709128.74802311801</v>
      </c>
      <c r="J457" s="455">
        <f t="array" ref="J457">IFERROR(INDEX('Retirement Calculator'!J:J,MATCH('Isaac 401k'!N457,'Retirement Calculator'!A:A,0),0),0)</f>
        <v>7863.2184191855868</v>
      </c>
      <c r="K457" s="455">
        <f t="shared" ca="1" si="27"/>
        <v>2921.9397066830516</v>
      </c>
      <c r="L457" s="455">
        <f t="shared" ca="1" si="28"/>
        <v>704187.46931061544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704187.46931061544</v>
      </c>
      <c r="J458" s="455">
        <f t="array" ref="J458">IFERROR(INDEX('Retirement Calculator'!J:J,MATCH('Isaac 401k'!N458,'Retirement Calculator'!A:A,0),0),0)</f>
        <v>7863.2184191855868</v>
      </c>
      <c r="K458" s="455">
        <f t="shared" ca="1" si="27"/>
        <v>2901.3510453809577</v>
      </c>
      <c r="L458" s="455">
        <f t="shared" ca="1" si="28"/>
        <v>699225.60193681077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699225.60193681077</v>
      </c>
      <c r="J459" s="455">
        <f t="array" ref="J459">IFERROR(INDEX('Retirement Calculator'!J:J,MATCH('Isaac 401k'!N459,'Retirement Calculator'!A:A,0),0),0)</f>
        <v>7863.2184191855868</v>
      </c>
      <c r="K459" s="455">
        <f t="shared" ca="1" si="27"/>
        <v>2880.6765979901047</v>
      </c>
      <c r="L459" s="455">
        <f t="shared" ca="1" si="28"/>
        <v>694243.06011561526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694243.06011561526</v>
      </c>
      <c r="J460" s="455">
        <f t="array" ref="J460">IFERROR(INDEX('Retirement Calculator'!J:J,MATCH('Isaac 401k'!N460,'Retirement Calculator'!A:A,0),0),0)</f>
        <v>7863.2184191855868</v>
      </c>
      <c r="K460" s="455">
        <f t="shared" ca="1" si="27"/>
        <v>2859.916007068457</v>
      </c>
      <c r="L460" s="455">
        <f t="shared" ca="1" si="28"/>
        <v>689239.75770349812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689239.75770349812</v>
      </c>
      <c r="J461" s="455">
        <f t="array" ref="J461">IFERROR(INDEX('Retirement Calculator'!J:J,MATCH('Isaac 401k'!N461,'Retirement Calculator'!A:A,0),0),0)</f>
        <v>7863.2184191855868</v>
      </c>
      <c r="K461" s="455">
        <f t="shared" ca="1" si="27"/>
        <v>2839.0689136846354</v>
      </c>
      <c r="L461" s="455">
        <f t="shared" ca="1" si="28"/>
        <v>684215.60819799721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684215.60819799721</v>
      </c>
      <c r="J462" s="455">
        <f t="array" ref="J462">IFERROR(INDEX('Retirement Calculator'!J:J,MATCH('Isaac 401k'!N462,'Retirement Calculator'!A:A,0),0),0)</f>
        <v>7863.2184191855868</v>
      </c>
      <c r="K462" s="455">
        <f t="shared" ca="1" si="27"/>
        <v>2818.1349574117148</v>
      </c>
      <c r="L462" s="455">
        <f t="shared" ca="1" si="28"/>
        <v>679170.52473622328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679170.52473622328</v>
      </c>
      <c r="J463" s="455">
        <f t="array" ref="J463">IFERROR(INDEX('Retirement Calculator'!J:J,MATCH('Isaac 401k'!N463,'Retirement Calculator'!A:A,0),0),0)</f>
        <v>7863.2184191855868</v>
      </c>
      <c r="K463" s="455">
        <f t="shared" ca="1" si="27"/>
        <v>2797.1137763209904</v>
      </c>
      <c r="L463" s="455">
        <f t="shared" ca="1" si="28"/>
        <v>674104.42009335861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674104.42009335861</v>
      </c>
      <c r="J464" s="455">
        <f t="array" ref="J464">IFERROR(INDEX('Retirement Calculator'!J:J,MATCH('Isaac 401k'!N464,'Retirement Calculator'!A:A,0),0),0)</f>
        <v>7863.2184191855868</v>
      </c>
      <c r="K464" s="455">
        <f t="shared" ca="1" si="27"/>
        <v>2776.0050069757208</v>
      </c>
      <c r="L464" s="455">
        <f t="shared" ca="1" si="28"/>
        <v>669017.20668114873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669017.20668114873</v>
      </c>
      <c r="J465" s="455">
        <f t="array" ref="J465">IFERROR(INDEX('Retirement Calculator'!J:J,MATCH('Isaac 401k'!N465,'Retirement Calculator'!A:A,0),0),0)</f>
        <v>7863.2184191855868</v>
      </c>
      <c r="K465" s="455">
        <f t="shared" ca="1" si="27"/>
        <v>2754.8082844248465</v>
      </c>
      <c r="L465" s="455">
        <f t="shared" ca="1" si="28"/>
        <v>663908.79654638795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663908.79654638795</v>
      </c>
      <c r="J466" s="455">
        <f t="array" ref="J466">IFERROR(INDEX('Retirement Calculator'!J:J,MATCH('Isaac 401k'!N466,'Retirement Calculator'!A:A,0),0),0)</f>
        <v>7863.2184191855868</v>
      </c>
      <c r="K466" s="455">
        <f t="shared" ca="1" si="27"/>
        <v>2733.5232421966766</v>
      </c>
      <c r="L466" s="455">
        <f t="shared" ca="1" si="28"/>
        <v>658779.101369399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658779.101369399</v>
      </c>
      <c r="J467" s="455">
        <f t="array" ref="J467">IFERROR(INDEX('Retirement Calculator'!J:J,MATCH('Isaac 401k'!N467,'Retirement Calculator'!A:A,0),0),0)</f>
        <v>7863.2184191855868</v>
      </c>
      <c r="K467" s="455">
        <f t="shared" ca="1" si="27"/>
        <v>2712.1495122925558</v>
      </c>
      <c r="L467" s="455">
        <f t="shared" ca="1" si="28"/>
        <v>653628.03246250597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653628.03246250597</v>
      </c>
      <c r="J468" s="455">
        <f t="array" ref="J468">IFERROR(INDEX('Retirement Calculator'!J:J,MATCH('Isaac 401k'!N468,'Retirement Calculator'!A:A,0),0),0)</f>
        <v>7863.2184191855868</v>
      </c>
      <c r="K468" s="455">
        <f t="shared" ca="1" si="27"/>
        <v>2690.6867251805015</v>
      </c>
      <c r="L468" s="455">
        <f t="shared" ca="1" si="28"/>
        <v>648455.50076850085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648455.50076850085</v>
      </c>
      <c r="J469" s="455">
        <f t="array" ref="J469">IFERROR(INDEX('Retirement Calculator'!J:J,MATCH('Isaac 401k'!N469,'Retirement Calculator'!A:A,0),0),0)</f>
        <v>7863.2184191855868</v>
      </c>
      <c r="K469" s="455">
        <f t="shared" ca="1" si="27"/>
        <v>2669.1345097888134</v>
      </c>
      <c r="L469" s="455">
        <f t="shared" ca="1" si="28"/>
        <v>643261.41685910407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643261.41685910407</v>
      </c>
      <c r="J470" s="455">
        <f t="array" ref="J470">IFERROR(INDEX('Retirement Calculator'!J:J,MATCH('Isaac 401k'!N470,'Retirement Calculator'!A:A,0),0),0)</f>
        <v>7863.2184191855868</v>
      </c>
      <c r="K470" s="455">
        <f t="shared" ca="1" si="27"/>
        <v>2647.4924934996602</v>
      </c>
      <c r="L470" s="455">
        <f t="shared" ca="1" si="28"/>
        <v>638045.69093341811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638045.69093341811</v>
      </c>
      <c r="J471" s="455">
        <f t="array" ref="J471">IFERROR(INDEX('Retirement Calculator'!J:J,MATCH('Isaac 401k'!N471,'Retirement Calculator'!A:A,0),0),0)</f>
        <v>7863.2184191855868</v>
      </c>
      <c r="K471" s="455">
        <f t="shared" ca="1" si="27"/>
        <v>2625.7603021426353</v>
      </c>
      <c r="L471" s="455">
        <f t="shared" ca="1" si="28"/>
        <v>632808.23281637509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632808.23281637509</v>
      </c>
      <c r="J472" s="455">
        <f t="array" ref="J472">IFERROR(INDEX('Retirement Calculator'!J:J,MATCH('Isaac 401k'!N472,'Retirement Calculator'!A:A,0),0),0)</f>
        <v>7863.2184191855868</v>
      </c>
      <c r="K472" s="455">
        <f t="shared" ca="1" si="27"/>
        <v>2603.9375599882896</v>
      </c>
      <c r="L472" s="455">
        <f t="shared" ca="1" si="28"/>
        <v>627548.95195717772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627548.95195717772</v>
      </c>
      <c r="J473" s="455">
        <f t="array" ref="J473">IFERROR(INDEX('Retirement Calculator'!J:J,MATCH('Isaac 401k'!N473,'Retirement Calculator'!A:A,0),0),0)</f>
        <v>7863.2184191855868</v>
      </c>
      <c r="K473" s="455">
        <f t="shared" ca="1" si="27"/>
        <v>2582.0238897416339</v>
      </c>
      <c r="L473" s="455">
        <f t="shared" ca="1" si="28"/>
        <v>622267.75742773374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622267.75742773374</v>
      </c>
      <c r="J474" s="455">
        <f t="array" ref="J474">IFERROR(INDEX('Retirement Calculator'!J:J,MATCH('Isaac 401k'!N474,'Retirement Calculator'!A:A,0),0),0)</f>
        <v>7863.2184191855868</v>
      </c>
      <c r="K474" s="455">
        <f t="shared" ca="1" si="27"/>
        <v>2560.0189125356173</v>
      </c>
      <c r="L474" s="455">
        <f t="shared" ca="1" si="28"/>
        <v>616964.55792108376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616964.55792108376</v>
      </c>
      <c r="J475" s="455">
        <f t="array" ref="J475">IFERROR(INDEX('Retirement Calculator'!J:J,MATCH('Isaac 401k'!N475,'Retirement Calculator'!A:A,0),0),0)</f>
        <v>7863.2184191855868</v>
      </c>
      <c r="K475" s="455">
        <f t="shared" ca="1" si="27"/>
        <v>2537.9222479245755</v>
      </c>
      <c r="L475" s="455">
        <f t="shared" ca="1" si="28"/>
        <v>611639.26174982276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611639.26174982276</v>
      </c>
      <c r="J476" s="455">
        <f t="array" ref="J476">IFERROR(INDEX('Retirement Calculator'!J:J,MATCH('Isaac 401k'!N476,'Retirement Calculator'!A:A,0),0),0)</f>
        <v>7863.2184191855868</v>
      </c>
      <c r="K476" s="455">
        <f t="shared" ca="1" si="27"/>
        <v>2515.7335138776548</v>
      </c>
      <c r="L476" s="455">
        <f t="shared" ca="1" si="28"/>
        <v>606291.77684451477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606291.77684451477</v>
      </c>
      <c r="J477" s="455">
        <f t="array" ref="J477">IFERROR(INDEX('Retirement Calculator'!J:J,MATCH('Isaac 401k'!N477,'Retirement Calculator'!A:A,0),0),0)</f>
        <v>7863.2184191855868</v>
      </c>
      <c r="K477" s="455">
        <f t="shared" ca="1" si="27"/>
        <v>2493.4523267722047</v>
      </c>
      <c r="L477" s="455">
        <f t="shared" ca="1" si="28"/>
        <v>600922.01075210131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600922.01075210131</v>
      </c>
      <c r="J478" s="455">
        <f t="array" ref="J478">IFERROR(INDEX('Retirement Calculator'!J:J,MATCH('Isaac 401k'!N478,'Retirement Calculator'!A:A,0),0),0)</f>
        <v>7863.2184191855868</v>
      </c>
      <c r="K478" s="455">
        <f t="shared" ca="1" si="27"/>
        <v>2471.0783013871487</v>
      </c>
      <c r="L478" s="455">
        <f t="shared" ca="1" si="28"/>
        <v>595529.87063430285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595529.87063430285</v>
      </c>
      <c r="J479" s="455">
        <f t="array" ref="J479">IFERROR(INDEX('Retirement Calculator'!J:J,MATCH('Isaac 401k'!N479,'Retirement Calculator'!A:A,0),0),0)</f>
        <v>7863.2184191855868</v>
      </c>
      <c r="K479" s="455">
        <f t="shared" ca="1" si="27"/>
        <v>2448.611050896322</v>
      </c>
      <c r="L479" s="455">
        <f t="shared" ca="1" si="28"/>
        <v>590115.26326601359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590115.26326601359</v>
      </c>
      <c r="J480" s="455">
        <f t="array" ref="J480">IFERROR(INDEX('Retirement Calculator'!J:J,MATCH('Isaac 401k'!N480,'Retirement Calculator'!A:A,0),0),0)</f>
        <v>7863.2184191855868</v>
      </c>
      <c r="K480" s="455">
        <f t="shared" ca="1" si="27"/>
        <v>2426.050186861783</v>
      </c>
      <c r="L480" s="455">
        <f t="shared" ca="1" si="28"/>
        <v>584678.09503368975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584678.09503368975</v>
      </c>
      <c r="J481" s="455">
        <f t="array" ref="J481">IFERROR(INDEX('Retirement Calculator'!J:J,MATCH('Isaac 401k'!N481,'Retirement Calculator'!A:A,0),0),0)</f>
        <v>7863.2184191855868</v>
      </c>
      <c r="K481" s="455">
        <f t="shared" ca="1" si="27"/>
        <v>2403.3953192271006</v>
      </c>
      <c r="L481" s="455">
        <f t="shared" ca="1" si="28"/>
        <v>579218.27193373127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579218.27193373127</v>
      </c>
      <c r="J482" s="455">
        <f t="array" ref="J482">IFERROR(INDEX('Retirement Calculator'!J:J,MATCH('Isaac 401k'!N482,'Retirement Calculator'!A:A,0),0),0)</f>
        <v>7863.2184191855868</v>
      </c>
      <c r="K482" s="455">
        <f t="shared" ca="1" si="27"/>
        <v>2380.646056310607</v>
      </c>
      <c r="L482" s="455">
        <f t="shared" ca="1" si="28"/>
        <v>573735.69957085629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573735.69957085629</v>
      </c>
      <c r="J483" s="455">
        <f t="array" ref="J483">IFERROR(INDEX('Retirement Calculator'!J:J,MATCH('Isaac 401k'!N483,'Retirement Calculator'!A:A,0),0),0)</f>
        <v>7863.2184191855868</v>
      </c>
      <c r="K483" s="455">
        <f t="shared" ca="1" si="27"/>
        <v>2357.8020047986279</v>
      </c>
      <c r="L483" s="455">
        <f t="shared" ca="1" si="28"/>
        <v>568230.28315646935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568230.28315646935</v>
      </c>
      <c r="J484" s="455">
        <f t="array" ref="J484">IFERROR(INDEX('Retirement Calculator'!J:J,MATCH('Isaac 401k'!N484,'Retirement Calculator'!A:A,0),0),0)</f>
        <v>7863.2184191855868</v>
      </c>
      <c r="K484" s="455">
        <f t="shared" ca="1" si="27"/>
        <v>2334.8627697386823</v>
      </c>
      <c r="L484" s="455">
        <f t="shared" ca="1" si="28"/>
        <v>562701.9275070224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562701.9275070224</v>
      </c>
      <c r="J485" s="455">
        <f t="array" ref="J485">IFERROR(INDEX('Retirement Calculator'!J:J,MATCH('Isaac 401k'!N485,'Retirement Calculator'!A:A,0),0),0)</f>
        <v>7863.2184191855868</v>
      </c>
      <c r="K485" s="455">
        <f t="shared" ca="1" si="27"/>
        <v>2311.8279545326532</v>
      </c>
      <c r="L485" s="455">
        <f t="shared" ca="1" si="28"/>
        <v>557150.53704236948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557150.53704236948</v>
      </c>
      <c r="J486" s="455">
        <f t="array" ref="J486">IFERROR(INDEX('Retirement Calculator'!J:J,MATCH('Isaac 401k'!N486,'Retirement Calculator'!A:A,0),0),0)</f>
        <v>7863.2184191855868</v>
      </c>
      <c r="K486" s="455">
        <f t="shared" ca="1" si="27"/>
        <v>2288.6971609299326</v>
      </c>
      <c r="L486" s="455">
        <f t="shared" ca="1" si="28"/>
        <v>551576.01578411378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551576.01578411378</v>
      </c>
      <c r="J487" s="455">
        <f t="array" ref="J487">IFERROR(INDEX('Retirement Calculator'!J:J,MATCH('Isaac 401k'!N487,'Retirement Calculator'!A:A,0),0),0)</f>
        <v>7863.2184191855868</v>
      </c>
      <c r="K487" s="455">
        <f t="shared" ca="1" si="27"/>
        <v>2265.4699890205338</v>
      </c>
      <c r="L487" s="455">
        <f t="shared" ca="1" si="28"/>
        <v>545978.26735394867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545978.26735394867</v>
      </c>
      <c r="J488" s="455">
        <f t="array" ref="J488">IFERROR(INDEX('Retirement Calculator'!J:J,MATCH('Isaac 401k'!N488,'Retirement Calculator'!A:A,0),0),0)</f>
        <v>7863.2184191855868</v>
      </c>
      <c r="K488" s="455">
        <f t="shared" ca="1" si="27"/>
        <v>2242.1460372281795</v>
      </c>
      <c r="L488" s="455">
        <f t="shared" ca="1" si="28"/>
        <v>540357.19497199124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540357.19497199124</v>
      </c>
      <c r="J489" s="455">
        <f t="array" ref="J489">IFERROR(INDEX('Retirement Calculator'!J:J,MATCH('Isaac 401k'!N489,'Retirement Calculator'!A:A,0),0),0)</f>
        <v>7863.2184191855868</v>
      </c>
      <c r="K489" s="455">
        <f t="shared" ca="1" si="27"/>
        <v>2218.7249023033569</v>
      </c>
      <c r="L489" s="455">
        <f t="shared" ca="1" si="28"/>
        <v>534712.70145510894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534712.70145510894</v>
      </c>
      <c r="J490" s="455">
        <f t="array" ref="J490">IFERROR(INDEX('Retirement Calculator'!J:J,MATCH('Isaac 401k'!N490,'Retirement Calculator'!A:A,0),0),0)</f>
        <v>7863.2184191855868</v>
      </c>
      <c r="K490" s="455">
        <f t="shared" ca="1" si="27"/>
        <v>2195.2061793163471</v>
      </c>
      <c r="L490" s="455">
        <f t="shared" ca="1" si="28"/>
        <v>529044.68921523972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529044.68921523972</v>
      </c>
      <c r="J491" s="455">
        <f t="array" ref="J491">IFERROR(INDEX('Retirement Calculator'!J:J,MATCH('Isaac 401k'!N491,'Retirement Calculator'!A:A,0),0),0)</f>
        <v>7863.2184191855868</v>
      </c>
      <c r="K491" s="455">
        <f t="shared" ca="1" si="27"/>
        <v>2171.5894616502255</v>
      </c>
      <c r="L491" s="455">
        <f t="shared" ca="1" si="28"/>
        <v>523353.06025770435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523353.06025770435</v>
      </c>
      <c r="J492" s="455">
        <f t="array" ref="J492">IFERROR(INDEX('Retirement Calculator'!J:J,MATCH('Isaac 401k'!N492,'Retirement Calculator'!A:A,0),0),0)</f>
        <v>7863.2184191855868</v>
      </c>
      <c r="K492" s="455">
        <f t="shared" ca="1" si="27"/>
        <v>2147.8743409938279</v>
      </c>
      <c r="L492" s="455">
        <f t="shared" ca="1" si="28"/>
        <v>517637.71617951256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517637.71617951256</v>
      </c>
      <c r="J493" s="455">
        <f t="array" ref="J493">IFERROR(INDEX('Retirement Calculator'!J:J,MATCH('Isaac 401k'!N493,'Retirement Calculator'!A:A,0),0),0)</f>
        <v>7863.2184191855868</v>
      </c>
      <c r="K493" s="455">
        <f t="shared" ca="1" si="27"/>
        <v>2124.0604073346958</v>
      </c>
      <c r="L493" s="455">
        <f t="shared" ca="1" si="28"/>
        <v>511898.55816766166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511898.55816766166</v>
      </c>
      <c r="J494" s="455">
        <f t="array" ref="J494">IFERROR(INDEX('Retirement Calculator'!J:J,MATCH('Isaac 401k'!N494,'Retirement Calculator'!A:A,0),0),0)</f>
        <v>7863.2184191855868</v>
      </c>
      <c r="K494" s="455">
        <f t="shared" ca="1" si="27"/>
        <v>2100.1472489519833</v>
      </c>
      <c r="L494" s="455">
        <f t="shared" ca="1" si="28"/>
        <v>506135.48699742806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506135.48699742806</v>
      </c>
      <c r="J495" s="455">
        <f t="array" ref="J495">IFERROR(INDEX('Retirement Calculator'!J:J,MATCH('Isaac 401k'!N495,'Retirement Calculator'!A:A,0),0),0)</f>
        <v>7863.2184191855868</v>
      </c>
      <c r="K495" s="455">
        <f t="shared" ca="1" si="27"/>
        <v>2076.1344524093433</v>
      </c>
      <c r="L495" s="455">
        <f t="shared" ca="1" si="28"/>
        <v>500348.4030306518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500348.4030306518</v>
      </c>
      <c r="J496" s="455">
        <f t="array" ref="J496">IFERROR(INDEX('Retirement Calculator'!J:J,MATCH('Isaac 401k'!N496,'Retirement Calculator'!A:A,0),0),0)</f>
        <v>7863.2184191855868</v>
      </c>
      <c r="K496" s="455">
        <f t="shared" ca="1" si="27"/>
        <v>2052.0216025477757</v>
      </c>
      <c r="L496" s="455">
        <f t="shared" ca="1" si="28"/>
        <v>494537.20621401398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494537.20621401398</v>
      </c>
      <c r="J497" s="455">
        <f t="array" ref="J497">IFERROR(INDEX('Retirement Calculator'!J:J,MATCH('Isaac 401k'!N497,'Retirement Calculator'!A:A,0),0),0)</f>
        <v>7863.2184191855868</v>
      </c>
      <c r="K497" s="455">
        <f t="shared" ca="1" si="27"/>
        <v>2027.8082824784512</v>
      </c>
      <c r="L497" s="455">
        <f t="shared" ca="1" si="28"/>
        <v>488701.79607730685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488701.79607730685</v>
      </c>
      <c r="J498" s="455">
        <f t="array" ref="J498">IFERROR(INDEX('Retirement Calculator'!J:J,MATCH('Isaac 401k'!N498,'Retirement Calculator'!A:A,0),0),0)</f>
        <v>7863.2184191855868</v>
      </c>
      <c r="K498" s="455">
        <f t="shared" ca="1" si="27"/>
        <v>2003.4940735755051</v>
      </c>
      <c r="L498" s="455">
        <f t="shared" ca="1" si="28"/>
        <v>482842.07173169672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482842.07173169672</v>
      </c>
      <c r="J499" s="455">
        <f t="array" ref="J499">IFERROR(INDEX('Retirement Calculator'!J:J,MATCH('Isaac 401k'!N499,'Retirement Calculator'!A:A,0),0),0)</f>
        <v>7863.2184191855868</v>
      </c>
      <c r="K499" s="455">
        <f t="shared" ca="1" si="27"/>
        <v>1979.0785554687964</v>
      </c>
      <c r="L499" s="455">
        <f t="shared" ca="1" si="28"/>
        <v>476957.93186797993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476957.93186797993</v>
      </c>
      <c r="J500" s="455">
        <f t="array" ref="J500">IFERROR(INDEX('Retirement Calculator'!J:J,MATCH('Isaac 401k'!N500,'Retirement Calculator'!A:A,0),0),0)</f>
        <v>7863.2184191855868</v>
      </c>
      <c r="K500" s="455">
        <f t="shared" ca="1" si="27"/>
        <v>1954.5613060366429</v>
      </c>
      <c r="L500" s="455">
        <f t="shared" ca="1" si="28"/>
        <v>471049.27475483099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471049.27475483099</v>
      </c>
      <c r="J501" s="455">
        <f t="array" ref="J501">IFERROR(INDEX('Retirement Calculator'!J:J,MATCH('Isaac 401k'!N501,'Retirement Calculator'!A:A,0),0),0)</f>
        <v>7863.2184191855868</v>
      </c>
      <c r="K501" s="455">
        <f t="shared" ca="1" si="27"/>
        <v>1929.9419013985223</v>
      </c>
      <c r="L501" s="455">
        <f t="shared" ca="1" si="28"/>
        <v>465115.99823704391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465115.99823704391</v>
      </c>
      <c r="J502" s="455">
        <f t="array" ref="J502">IFERROR(INDEX('Retirement Calculator'!J:J,MATCH('Isaac 401k'!N502,'Retirement Calculator'!A:A,0),0),0)</f>
        <v>7863.2184191855868</v>
      </c>
      <c r="K502" s="455">
        <f t="shared" ca="1" si="27"/>
        <v>1905.2199159077429</v>
      </c>
      <c r="L502" s="455">
        <f t="shared" ca="1" si="28"/>
        <v>459157.99973376608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459157.99973376608</v>
      </c>
      <c r="J503" s="455">
        <f t="array" ref="J503">IFERROR(INDEX('Retirement Calculator'!J:J,MATCH('Isaac 401k'!N503,'Retirement Calculator'!A:A,0),0),0)</f>
        <v>7863.2184191855868</v>
      </c>
      <c r="K503" s="455">
        <f t="shared" ca="1" si="27"/>
        <v>1880.3949221440851</v>
      </c>
      <c r="L503" s="455">
        <f t="shared" ca="1" si="28"/>
        <v>453175.17623672454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453175.17623672454</v>
      </c>
      <c r="J504" s="455">
        <f t="array" ref="J504">IFERROR(INDEX('Retirement Calculator'!J:J,MATCH('Isaac 401k'!N504,'Retirement Calculator'!A:A,0),0),0)</f>
        <v>7863.2184191855868</v>
      </c>
      <c r="K504" s="455">
        <f t="shared" ca="1" si="27"/>
        <v>1855.4664909064122</v>
      </c>
      <c r="L504" s="455">
        <f t="shared" ca="1" si="28"/>
        <v>447167.42430844536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447167.42430844536</v>
      </c>
      <c r="J505" s="455">
        <f t="array" ref="J505">IFERROR(INDEX('Retirement Calculator'!J:J,MATCH('Isaac 401k'!N505,'Retirement Calculator'!A:A,0),0),0)</f>
        <v>7863.2184191855868</v>
      </c>
      <c r="K505" s="455">
        <f t="shared" ca="1" si="27"/>
        <v>1830.4341912052489</v>
      </c>
      <c r="L505" s="455">
        <f t="shared" ca="1" si="28"/>
        <v>441134.640080465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441134.640080465</v>
      </c>
      <c r="J506" s="455">
        <f t="array" ref="J506">IFERROR(INDEX('Retirement Calculator'!J:J,MATCH('Isaac 401k'!N506,'Retirement Calculator'!A:A,0),0),0)</f>
        <v>7863.2184191855868</v>
      </c>
      <c r="K506" s="455">
        <f t="shared" ca="1" si="27"/>
        <v>1805.2975902553308</v>
      </c>
      <c r="L506" s="455">
        <f t="shared" ca="1" si="28"/>
        <v>435076.71925153473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435076.71925153473</v>
      </c>
      <c r="J507" s="455">
        <f t="array" ref="J507">IFERROR(INDEX('Retirement Calculator'!J:J,MATCH('Isaac 401k'!N507,'Retirement Calculator'!A:A,0),0),0)</f>
        <v>7863.2184191855868</v>
      </c>
      <c r="K507" s="455">
        <f t="shared" ca="1" si="27"/>
        <v>1780.0562534681212</v>
      </c>
      <c r="L507" s="455">
        <f t="shared" ca="1" si="28"/>
        <v>428993.55708581721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428993.55708581721</v>
      </c>
      <c r="J508" s="455">
        <f t="array" ref="J508">IFERROR(INDEX('Retirement Calculator'!J:J,MATCH('Isaac 401k'!N508,'Retirement Calculator'!A:A,0),0),0)</f>
        <v>7863.2184191855868</v>
      </c>
      <c r="K508" s="455">
        <f t="shared" ca="1" si="27"/>
        <v>1754.7097444442984</v>
      </c>
      <c r="L508" s="455">
        <f t="shared" ca="1" si="28"/>
        <v>422885.0484110759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422885.0484110759</v>
      </c>
      <c r="J509" s="455">
        <f t="array" ref="J509">IFERROR(INDEX('Retirement Calculator'!J:J,MATCH('Isaac 401k'!N509,'Retirement Calculator'!A:A,0),0),0)</f>
        <v>7863.2184191855868</v>
      </c>
      <c r="K509" s="455">
        <f t="shared" ca="1" si="27"/>
        <v>1729.2576249662095</v>
      </c>
      <c r="L509" s="455">
        <f t="shared" ca="1" si="28"/>
        <v>416751.0876168565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416751.0876168565</v>
      </c>
      <c r="J510" s="455">
        <f t="array" ref="J510">IFERROR(INDEX('Retirement Calculator'!J:J,MATCH('Isaac 401k'!N510,'Retirement Calculator'!A:A,0),0),0)</f>
        <v>7863.2184191855868</v>
      </c>
      <c r="K510" s="455">
        <f t="shared" ca="1" si="27"/>
        <v>1703.6994549902954</v>
      </c>
      <c r="L510" s="455">
        <f t="shared" ca="1" si="28"/>
        <v>410591.56865266117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410591.56865266117</v>
      </c>
      <c r="J511" s="455">
        <f t="array" ref="J511">IFERROR(INDEX('Retirement Calculator'!J:J,MATCH('Isaac 401k'!N511,'Retirement Calculator'!A:A,0),0),0)</f>
        <v>7863.2184191855868</v>
      </c>
      <c r="K511" s="455">
        <f t="shared" ca="1" si="27"/>
        <v>1678.0347926394816</v>
      </c>
      <c r="L511" s="455">
        <f t="shared" ca="1" si="28"/>
        <v>404406.38502611505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404406.38502611505</v>
      </c>
      <c r="J512" s="455">
        <f t="array" ref="J512">IFERROR(INDEX('Retirement Calculator'!J:J,MATCH('Isaac 401k'!N512,'Retirement Calculator'!A:A,0),0),0)</f>
        <v>7863.2184191855868</v>
      </c>
      <c r="K512" s="455">
        <f t="shared" ca="1" si="27"/>
        <v>1652.2631941955394</v>
      </c>
      <c r="L512" s="455">
        <f t="shared" ca="1" si="28"/>
        <v>398195.42980112496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398195.42980112496</v>
      </c>
      <c r="J513" s="455">
        <f t="array" ref="J513">IFERROR(INDEX('Retirement Calculator'!J:J,MATCH('Isaac 401k'!N513,'Retirement Calculator'!A:A,0),0),0)</f>
        <v>7863.2184191855868</v>
      </c>
      <c r="K513" s="455">
        <f t="shared" ca="1" si="27"/>
        <v>1626.3842140914139</v>
      </c>
      <c r="L513" s="455">
        <f t="shared" ca="1" si="28"/>
        <v>391958.59559603076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391958.59559603076</v>
      </c>
      <c r="J514" s="455">
        <f t="array" ref="J514">IFERROR(INDEX('Retirement Calculator'!J:J,MATCH('Isaac 401k'!N514,'Retirement Calculator'!A:A,0),0),0)</f>
        <v>7863.2184191855868</v>
      </c>
      <c r="K514" s="455">
        <f t="shared" ca="1" si="27"/>
        <v>1600.3974049035214</v>
      </c>
      <c r="L514" s="455">
        <f t="shared" ca="1" si="28"/>
        <v>385695.7745817487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385695.7745817487</v>
      </c>
      <c r="J515" s="455">
        <f t="array" ref="J515">IFERROR(INDEX('Retirement Calculator'!J:J,MATCH('Isaac 401k'!N515,'Retirement Calculator'!A:A,0),0),0)</f>
        <v>7863.2184191855868</v>
      </c>
      <c r="K515" s="455">
        <f t="shared" ca="1" si="27"/>
        <v>1574.3023173440129</v>
      </c>
      <c r="L515" s="455">
        <f t="shared" ca="1" si="28"/>
        <v>379406.8584799071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379406.8584799071</v>
      </c>
      <c r="J516" s="455">
        <f t="array" ref="J516">IFERROR(INDEX('Retirement Calculator'!J:J,MATCH('Isaac 401k'!N516,'Retirement Calculator'!A:A,0),0),0)</f>
        <v>7863.2184191855868</v>
      </c>
      <c r="K516" s="455">
        <f t="shared" ca="1" si="27"/>
        <v>1548.0985002530063</v>
      </c>
      <c r="L516" s="455">
        <f t="shared" ca="1" si="28"/>
        <v>373091.73856097448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373091.73856097448</v>
      </c>
      <c r="J517" s="455">
        <f t="array" ref="J517">IFERROR(INDEX('Retirement Calculator'!J:J,MATCH('Isaac 401k'!N517,'Retirement Calculator'!A:A,0),0),0)</f>
        <v>7863.2184191855868</v>
      </c>
      <c r="K517" s="455">
        <f t="shared" ca="1" si="27"/>
        <v>1521.785500590787</v>
      </c>
      <c r="L517" s="455">
        <f t="shared" ca="1" si="28"/>
        <v>366750.30564237968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366750.30564237968</v>
      </c>
      <c r="J518" s="455">
        <f t="array" ref="J518">IFERROR(INDEX('Retirement Calculator'!J:J,MATCH('Isaac 401k'!N518,'Retirement Calculator'!A:A,0),0),0)</f>
        <v>7863.2184191855868</v>
      </c>
      <c r="K518" s="455">
        <f t="shared" ref="K518:K772" ca="1" si="53">IPMT(M518/12,1,12,-I518+J518,,0)</f>
        <v>1495.3628634299753</v>
      </c>
      <c r="L518" s="455">
        <f t="shared" ref="L518:L772" ca="1" si="54">I518-J518+K518</f>
        <v>360382.45008662407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360382.45008662407</v>
      </c>
      <c r="J519" s="455">
        <f t="array" ref="J519">IFERROR(INDEX('Retirement Calculator'!J:J,MATCH('Isaac 401k'!N519,'Retirement Calculator'!A:A,0),0),0)</f>
        <v>7863.2184191855868</v>
      </c>
      <c r="K519" s="455">
        <f t="shared" ca="1" si="53"/>
        <v>1468.8301319476602</v>
      </c>
      <c r="L519" s="455">
        <f t="shared" ca="1" si="54"/>
        <v>353988.06179938611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353988.06179938611</v>
      </c>
      <c r="J520" s="455">
        <f t="array" ref="J520">IFERROR(INDEX('Retirement Calculator'!J:J,MATCH('Isaac 401k'!N520,'Retirement Calculator'!A:A,0),0),0)</f>
        <v>7863.2184191855868</v>
      </c>
      <c r="K520" s="455">
        <f t="shared" ca="1" si="53"/>
        <v>1442.1868474175021</v>
      </c>
      <c r="L520" s="455">
        <f t="shared" ca="1" si="54"/>
        <v>347567.030227618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347567.030227618</v>
      </c>
      <c r="J521" s="455">
        <f t="array" ref="J521">IFERROR(INDEX('Retirement Calculator'!J:J,MATCH('Isaac 401k'!N521,'Retirement Calculator'!A:A,0),0),0)</f>
        <v>7863.2184191855868</v>
      </c>
      <c r="K521" s="455">
        <f t="shared" ca="1" si="53"/>
        <v>1415.4325492018015</v>
      </c>
      <c r="L521" s="455">
        <f t="shared" ca="1" si="54"/>
        <v>341119.24435763422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341119.24435763422</v>
      </c>
      <c r="J522" s="455">
        <f t="array" ref="J522">IFERROR(INDEX('Retirement Calculator'!J:J,MATCH('Isaac 401k'!N522,'Retirement Calculator'!A:A,0),0),0)</f>
        <v>7863.2184191855868</v>
      </c>
      <c r="K522" s="455">
        <f t="shared" ca="1" si="53"/>
        <v>1388.5667747435359</v>
      </c>
      <c r="L522" s="455">
        <f t="shared" ca="1" si="54"/>
        <v>334644.59271319216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334644.59271319216</v>
      </c>
      <c r="J523" s="455">
        <f t="array" ref="J523">IFERROR(INDEX('Retirement Calculator'!J:J,MATCH('Isaac 401k'!N523,'Retirement Calculator'!A:A,0),0),0)</f>
        <v>7863.2184191855868</v>
      </c>
      <c r="K523" s="455">
        <f t="shared" ca="1" si="53"/>
        <v>1361.5890595583605</v>
      </c>
      <c r="L523" s="455">
        <f t="shared" ca="1" si="54"/>
        <v>328142.9633535649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328142.9633535649</v>
      </c>
      <c r="J524" s="455">
        <f t="array" ref="J524">IFERROR(INDEX('Retirement Calculator'!J:J,MATCH('Isaac 401k'!N524,'Retirement Calculator'!A:A,0),0),0)</f>
        <v>7863.2184191855868</v>
      </c>
      <c r="K524" s="455">
        <f t="shared" ca="1" si="53"/>
        <v>1334.4989372265804</v>
      </c>
      <c r="L524" s="455">
        <f t="shared" ca="1" si="54"/>
        <v>321614.2438716059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321614.2438716059</v>
      </c>
      <c r="J525" s="455">
        <f t="array" ref="J525">IFERROR(INDEX('Retirement Calculator'!J:J,MATCH('Isaac 401k'!N525,'Retirement Calculator'!A:A,0),0),0)</f>
        <v>7863.2184191855868</v>
      </c>
      <c r="K525" s="455">
        <f t="shared" ca="1" si="53"/>
        <v>1307.2959393850845</v>
      </c>
      <c r="L525" s="455">
        <f t="shared" ca="1" si="54"/>
        <v>315058.32139180537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315058.32139180537</v>
      </c>
      <c r="J526" s="455">
        <f t="array" ref="J526">IFERROR(INDEX('Retirement Calculator'!J:J,MATCH('Isaac 401k'!N526,'Retirement Calculator'!A:A,0),0),0)</f>
        <v>7863.2184191855868</v>
      </c>
      <c r="K526" s="455">
        <f t="shared" ca="1" si="53"/>
        <v>1279.9795957192489</v>
      </c>
      <c r="L526" s="455">
        <f t="shared" ca="1" si="54"/>
        <v>308475.08256833901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308475.08256833901</v>
      </c>
      <c r="J527" s="455">
        <f t="array" ref="J527">IFERROR(INDEX('Retirement Calculator'!J:J,MATCH('Isaac 401k'!N527,'Retirement Calculator'!A:A,0),0),0)</f>
        <v>7863.2184191855868</v>
      </c>
      <c r="K527" s="455">
        <f t="shared" ca="1" si="53"/>
        <v>1252.5494339548059</v>
      </c>
      <c r="L527" s="455">
        <f t="shared" ca="1" si="54"/>
        <v>301864.41358310822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301864.41358310822</v>
      </c>
      <c r="J528" s="455">
        <f t="array" ref="J528">IFERROR(INDEX('Retirement Calculator'!J:J,MATCH('Isaac 401k'!N528,'Retirement Calculator'!A:A,0),0),0)</f>
        <v>7863.2184191855868</v>
      </c>
      <c r="K528" s="455">
        <f t="shared" ca="1" si="53"/>
        <v>1225.0049798496775</v>
      </c>
      <c r="L528" s="455">
        <f t="shared" ca="1" si="54"/>
        <v>295226.20014377229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295226.20014377229</v>
      </c>
      <c r="J529" s="455">
        <f t="array" ref="J529">IFERROR(INDEX('Retirement Calculator'!J:J,MATCH('Isaac 401k'!N529,'Retirement Calculator'!A:A,0),0),0)</f>
        <v>7863.2184191855868</v>
      </c>
      <c r="K529" s="455">
        <f t="shared" ca="1" si="53"/>
        <v>1197.3457571857778</v>
      </c>
      <c r="L529" s="455">
        <f t="shared" ca="1" si="54"/>
        <v>288560.32748177246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288560.32748177246</v>
      </c>
      <c r="J530" s="455">
        <f t="array" ref="J530">IFERROR(INDEX('Retirement Calculator'!J:J,MATCH('Isaac 401k'!N530,'Retirement Calculator'!A:A,0),0),0)</f>
        <v>7863.2184191855868</v>
      </c>
      <c r="K530" s="455">
        <f t="shared" ca="1" si="53"/>
        <v>1169.5712877607784</v>
      </c>
      <c r="L530" s="455">
        <f t="shared" ca="1" si="54"/>
        <v>281866.68035034765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281866.68035034765</v>
      </c>
      <c r="J531" s="455">
        <f t="array" ref="J531">IFERROR(INDEX('Retirement Calculator'!J:J,MATCH('Isaac 401k'!N531,'Retirement Calculator'!A:A,0),0),0)</f>
        <v>7863.2184191855868</v>
      </c>
      <c r="K531" s="455">
        <f t="shared" ca="1" si="53"/>
        <v>1141.6810913798417</v>
      </c>
      <c r="L531" s="455">
        <f t="shared" ca="1" si="54"/>
        <v>275145.14302254189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275145.14302254189</v>
      </c>
      <c r="J532" s="455">
        <f t="array" ref="J532">IFERROR(INDEX('Retirement Calculator'!J:J,MATCH('Isaac 401k'!N532,'Retirement Calculator'!A:A,0),0),0)</f>
        <v>7863.2184191855868</v>
      </c>
      <c r="K532" s="455">
        <f t="shared" ca="1" si="53"/>
        <v>1113.6746858473177</v>
      </c>
      <c r="L532" s="455">
        <f t="shared" ca="1" si="54"/>
        <v>268395.59928920359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268395.59928920359</v>
      </c>
      <c r="J533" s="455">
        <f t="array" ref="J533">IFERROR(INDEX('Retirement Calculator'!J:J,MATCH('Isaac 401k'!N533,'Retirement Calculator'!A:A,0),0),0)</f>
        <v>7863.2184191855868</v>
      </c>
      <c r="K533" s="455">
        <f t="shared" ca="1" si="53"/>
        <v>1085.5515869584083</v>
      </c>
      <c r="L533" s="455">
        <f t="shared" ca="1" si="54"/>
        <v>261617.93245697641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261617.93245697641</v>
      </c>
      <c r="J534" s="455">
        <f t="array" ref="J534">IFERROR(INDEX('Retirement Calculator'!J:J,MATCH('Isaac 401k'!N534,'Retirement Calculator'!A:A,0),0),0)</f>
        <v>7863.2184191855868</v>
      </c>
      <c r="K534" s="455">
        <f t="shared" ca="1" si="53"/>
        <v>1057.3113084907952</v>
      </c>
      <c r="L534" s="455">
        <f t="shared" ca="1" si="54"/>
        <v>254812.02534628162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254812.02534628162</v>
      </c>
      <c r="J535" s="455">
        <f t="array" ref="J535">IFERROR(INDEX('Retirement Calculator'!J:J,MATCH('Isaac 401k'!N535,'Retirement Calculator'!A:A,0),0),0)</f>
        <v>7863.2184191855868</v>
      </c>
      <c r="K535" s="455">
        <f t="shared" ca="1" si="53"/>
        <v>1028.9533621962335</v>
      </c>
      <c r="L535" s="455">
        <f t="shared" ca="1" si="54"/>
        <v>247977.76028929229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247977.76028929229</v>
      </c>
      <c r="J536" s="455">
        <f t="array" ref="J536">IFERROR(INDEX('Retirement Calculator'!J:J,MATCH('Isaac 401k'!N536,'Retirement Calculator'!A:A,0),0),0)</f>
        <v>7863.2184191855868</v>
      </c>
      <c r="K536" s="455">
        <f t="shared" ca="1" si="53"/>
        <v>1000.4772577921111</v>
      </c>
      <c r="L536" s="455">
        <f t="shared" ca="1" si="54"/>
        <v>241115.01912789882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241115.01912789882</v>
      </c>
      <c r="J537" s="455">
        <f t="array" ref="J537">IFERROR(INDEX('Retirement Calculator'!J:J,MATCH('Isaac 401k'!N537,'Retirement Calculator'!A:A,0),0),0)</f>
        <v>7863.2184191855868</v>
      </c>
      <c r="K537" s="455">
        <f t="shared" ca="1" si="53"/>
        <v>971.88250295297178</v>
      </c>
      <c r="L537" s="455">
        <f t="shared" ca="1" si="54"/>
        <v>234223.68321166621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234223.68321166621</v>
      </c>
      <c r="J538" s="455">
        <f t="array" ref="J538">IFERROR(INDEX('Retirement Calculator'!J:J,MATCH('Isaac 401k'!N538,'Retirement Calculator'!A:A,0),0),0)</f>
        <v>7863.2184191855868</v>
      </c>
      <c r="K538" s="455">
        <f t="shared" ca="1" si="53"/>
        <v>943.16860330200268</v>
      </c>
      <c r="L538" s="455">
        <f t="shared" ca="1" si="54"/>
        <v>227303.63339578264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227303.63339578264</v>
      </c>
      <c r="J539" s="455">
        <f t="array" ref="J539">IFERROR(INDEX('Retirement Calculator'!J:J,MATCH('Isaac 401k'!N539,'Retirement Calculator'!A:A,0),0),0)</f>
        <v>7863.2184191855868</v>
      </c>
      <c r="K539" s="455">
        <f t="shared" ca="1" si="53"/>
        <v>914.33506240248789</v>
      </c>
      <c r="L539" s="455">
        <f t="shared" ca="1" si="54"/>
        <v>220354.75003899954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220354.75003899954</v>
      </c>
      <c r="J540" s="455">
        <f t="array" ref="J540">IFERROR(INDEX('Retirement Calculator'!J:J,MATCH('Isaac 401k'!N540,'Retirement Calculator'!A:A,0),0),0)</f>
        <v>7863.2184191855868</v>
      </c>
      <c r="K540" s="455">
        <f t="shared" ca="1" si="53"/>
        <v>885.38138174922483</v>
      </c>
      <c r="L540" s="455">
        <f t="shared" ca="1" si="54"/>
        <v>213376.9130015632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213376.9130015632</v>
      </c>
      <c r="J541" s="455">
        <f t="array" ref="J541">IFERROR(INDEX('Retirement Calculator'!J:J,MATCH('Isaac 401k'!N541,'Retirement Calculator'!A:A,0),0),0)</f>
        <v>7863.2184191855868</v>
      </c>
      <c r="K541" s="455">
        <f t="shared" ca="1" si="53"/>
        <v>856.30706075990656</v>
      </c>
      <c r="L541" s="455">
        <f t="shared" ca="1" si="54"/>
        <v>206370.00164313751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206370.00164313751</v>
      </c>
      <c r="J542" s="455">
        <f t="array" ref="J542">IFERROR(INDEX('Retirement Calculator'!J:J,MATCH('Isaac 401k'!N542,'Retirement Calculator'!A:A,0),0),0)</f>
        <v>7863.2184191855868</v>
      </c>
      <c r="K542" s="455">
        <f t="shared" ca="1" si="53"/>
        <v>827.11159676646639</v>
      </c>
      <c r="L542" s="455">
        <f t="shared" ca="1" si="54"/>
        <v>199333.89482071839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199333.89482071839</v>
      </c>
      <c r="J543" s="455">
        <f t="array" ref="J543">IFERROR(INDEX('Retirement Calculator'!J:J,MATCH('Isaac 401k'!N543,'Retirement Calculator'!A:A,0),0),0)</f>
        <v>7863.2184191855868</v>
      </c>
      <c r="K543" s="455">
        <f t="shared" ca="1" si="53"/>
        <v>797.79448500638671</v>
      </c>
      <c r="L543" s="455">
        <f t="shared" ca="1" si="54"/>
        <v>192268.4708865392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192268.4708865392</v>
      </c>
      <c r="J544" s="455">
        <f t="array" ref="J544">IFERROR(INDEX('Retirement Calculator'!J:J,MATCH('Isaac 401k'!N544,'Retirement Calculator'!A:A,0),0),0)</f>
        <v>7863.2184191855868</v>
      </c>
      <c r="K544" s="455">
        <f t="shared" ca="1" si="53"/>
        <v>768.35521861397342</v>
      </c>
      <c r="L544" s="455">
        <f t="shared" ca="1" si="54"/>
        <v>185173.60768596761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185173.60768596761</v>
      </c>
      <c r="J545" s="455">
        <f t="array" ref="J545">IFERROR(INDEX('Retirement Calculator'!J:J,MATCH('Isaac 401k'!N545,'Retirement Calculator'!A:A,0),0),0)</f>
        <v>7863.2184191855868</v>
      </c>
      <c r="K545" s="455">
        <f t="shared" ca="1" si="53"/>
        <v>738.79328861159183</v>
      </c>
      <c r="L545" s="455">
        <f t="shared" ca="1" si="54"/>
        <v>178049.18255539364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178049.18255539364</v>
      </c>
      <c r="J546" s="455">
        <f t="array" ref="J546">IFERROR(INDEX('Retirement Calculator'!J:J,MATCH('Isaac 401k'!N546,'Retirement Calculator'!A:A,0),0),0)</f>
        <v>7863.2184191855868</v>
      </c>
      <c r="K546" s="455">
        <f t="shared" ca="1" si="53"/>
        <v>709.10818390086695</v>
      </c>
      <c r="L546" s="455">
        <f t="shared" ca="1" si="54"/>
        <v>170895.07232010891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170895.07232010891</v>
      </c>
      <c r="J547" s="455">
        <f t="array" ref="J547">IFERROR(INDEX('Retirement Calculator'!J:J,MATCH('Isaac 401k'!N547,'Retirement Calculator'!A:A,0),0),0)</f>
        <v>7863.2184191855868</v>
      </c>
      <c r="K547" s="455">
        <f t="shared" ca="1" si="53"/>
        <v>679.29939125384726</v>
      </c>
      <c r="L547" s="455">
        <f t="shared" ca="1" si="54"/>
        <v>163711.15329217719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163711.15329217719</v>
      </c>
      <c r="J548" s="455">
        <f t="array" ref="J548">IFERROR(INDEX('Retirement Calculator'!J:J,MATCH('Isaac 401k'!N548,'Retirement Calculator'!A:A,0),0),0)</f>
        <v>7863.2184191855868</v>
      </c>
      <c r="K548" s="455">
        <f t="shared" ca="1" si="53"/>
        <v>649.36639530413174</v>
      </c>
      <c r="L548" s="455">
        <f t="shared" ca="1" si="54"/>
        <v>156497.30126829573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156497.30126829573</v>
      </c>
      <c r="J549" s="455">
        <f t="array" ref="J549">IFERROR(INDEX('Retirement Calculator'!J:J,MATCH('Isaac 401k'!N549,'Retirement Calculator'!A:A,0),0),0)</f>
        <v>7863.2184191855868</v>
      </c>
      <c r="K549" s="455">
        <f t="shared" ca="1" si="53"/>
        <v>619.30867853795894</v>
      </c>
      <c r="L549" s="455">
        <f t="shared" ca="1" si="54"/>
        <v>149253.39152764811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149253.39152764811</v>
      </c>
      <c r="J550" s="455">
        <f t="array" ref="J550">IFERROR(INDEX('Retirement Calculator'!J:J,MATCH('Isaac 401k'!N550,'Retirement Calculator'!A:A,0),0),0)</f>
        <v>7863.2184191855868</v>
      </c>
      <c r="K550" s="455">
        <f t="shared" ca="1" si="53"/>
        <v>589.12572128526051</v>
      </c>
      <c r="L550" s="455">
        <f t="shared" ca="1" si="54"/>
        <v>141979.2988297478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141979.2988297478</v>
      </c>
      <c r="J551" s="455">
        <f t="array" ref="J551">IFERROR(INDEX('Retirement Calculator'!J:J,MATCH('Isaac 401k'!N551,'Retirement Calculator'!A:A,0),0),0)</f>
        <v>7863.2184191855868</v>
      </c>
      <c r="K551" s="455">
        <f t="shared" ca="1" si="53"/>
        <v>558.81700171067587</v>
      </c>
      <c r="L551" s="455">
        <f t="shared" ca="1" si="54"/>
        <v>134674.8974122729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134674.8974122729</v>
      </c>
      <c r="J552" s="455">
        <f t="array" ref="J552">IFERROR(INDEX('Retirement Calculator'!J:J,MATCH('Isaac 401k'!N552,'Retirement Calculator'!A:A,0),0),0)</f>
        <v>7863.2184191855868</v>
      </c>
      <c r="K552" s="455">
        <f t="shared" ca="1" si="53"/>
        <v>528.38199580453045</v>
      </c>
      <c r="L552" s="455">
        <f t="shared" ca="1" si="54"/>
        <v>127340.06098889184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127340.06098889184</v>
      </c>
      <c r="J553" s="455">
        <f t="array" ref="J553">IFERROR(INDEX('Retirement Calculator'!J:J,MATCH('Isaac 401k'!N553,'Retirement Calculator'!A:A,0),0),0)</f>
        <v>7863.2184191855868</v>
      </c>
      <c r="K553" s="455">
        <f t="shared" ca="1" si="53"/>
        <v>497.820177373776</v>
      </c>
      <c r="L553" s="455">
        <f t="shared" ca="1" si="54"/>
        <v>119974.66274708003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119974.66274708003</v>
      </c>
      <c r="J554" s="455">
        <f t="array" ref="J554">IFERROR(INDEX('Retirement Calculator'!J:J,MATCH('Isaac 401k'!N554,'Retirement Calculator'!A:A,0),0),0)</f>
        <v>7863.2184191855868</v>
      </c>
      <c r="K554" s="455">
        <f t="shared" ca="1" si="53"/>
        <v>467.13101803289356</v>
      </c>
      <c r="L554" s="455">
        <f t="shared" ca="1" si="54"/>
        <v>112578.57534592733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112578.57534592733</v>
      </c>
      <c r="J555" s="455">
        <f t="array" ref="J555">IFERROR(INDEX('Retirement Calculator'!J:J,MATCH('Isaac 401k'!N555,'Retirement Calculator'!A:A,0),0),0)</f>
        <v>7863.2184191855868</v>
      </c>
      <c r="K555" s="455">
        <f t="shared" ca="1" si="53"/>
        <v>436.3139871947572</v>
      </c>
      <c r="L555" s="455">
        <f t="shared" ca="1" si="54"/>
        <v>105151.6709139365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105151.6709139365</v>
      </c>
      <c r="J556" s="455">
        <f t="array" ref="J556">IFERROR(INDEX('Retirement Calculator'!J:J,MATCH('Isaac 401k'!N556,'Retirement Calculator'!A:A,0),0),0)</f>
        <v>7863.2184191855868</v>
      </c>
      <c r="K556" s="455">
        <f t="shared" ca="1" si="53"/>
        <v>405.36855206146208</v>
      </c>
      <c r="L556" s="455">
        <f t="shared" ca="1" si="54"/>
        <v>97693.821046812373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97693.821046812373</v>
      </c>
      <c r="J557" s="455">
        <f t="array" ref="J557">IFERROR(INDEX('Retirement Calculator'!J:J,MATCH('Isaac 401k'!N557,'Retirement Calculator'!A:A,0),0),0)</f>
        <v>7863.2184191855868</v>
      </c>
      <c r="K557" s="455">
        <f t="shared" ca="1" si="53"/>
        <v>374.29417761511161</v>
      </c>
      <c r="L557" s="455">
        <f t="shared" ca="1" si="54"/>
        <v>90204.896805241893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90204.896805241893</v>
      </c>
      <c r="J558" s="455">
        <f t="array" ref="J558">IFERROR(INDEX('Retirement Calculator'!J:J,MATCH('Isaac 401k'!N558,'Retirement Calculator'!A:A,0),0),0)</f>
        <v>7863.2184191855868</v>
      </c>
      <c r="K558" s="455">
        <f t="shared" ca="1" si="53"/>
        <v>343.09032660856792</v>
      </c>
      <c r="L558" s="455">
        <f t="shared" ca="1" si="54"/>
        <v>82684.768712664867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82684.768712664867</v>
      </c>
      <c r="J559" s="455">
        <f t="array" ref="J559">IFERROR(INDEX('Retirement Calculator'!J:J,MATCH('Isaac 401k'!N559,'Retirement Calculator'!A:A,0),0),0)</f>
        <v>7863.2184191855868</v>
      </c>
      <c r="K559" s="455">
        <f t="shared" ca="1" si="53"/>
        <v>311.75645955616363</v>
      </c>
      <c r="L559" s="455">
        <f t="shared" ca="1" si="54"/>
        <v>75133.306753035446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75133.306753035446</v>
      </c>
      <c r="J560" s="455">
        <f t="array" ref="J560">IFERROR(INDEX('Retirement Calculator'!J:J,MATCH('Isaac 401k'!N560,'Retirement Calculator'!A:A,0),0),0)</f>
        <v>7863.2184191855868</v>
      </c>
      <c r="K560" s="455">
        <f t="shared" ca="1" si="53"/>
        <v>280.29203472437439</v>
      </c>
      <c r="L560" s="455">
        <f t="shared" ca="1" si="54"/>
        <v>67550.380368574231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67550.380368574231</v>
      </c>
      <c r="J561" s="455">
        <f t="array" ref="J561">IFERROR(INDEX('Retirement Calculator'!J:J,MATCH('Isaac 401k'!N561,'Retirement Calculator'!A:A,0),0),0)</f>
        <v>7863.2184191855868</v>
      </c>
      <c r="K561" s="455">
        <f t="shared" ca="1" si="53"/>
        <v>248.69650812245268</v>
      </c>
      <c r="L561" s="455">
        <f t="shared" ca="1" si="54"/>
        <v>59935.858457511102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59935.858457511102</v>
      </c>
      <c r="J562" s="455">
        <f t="array" ref="J562">IFERROR(INDEX('Retirement Calculator'!J:J,MATCH('Isaac 401k'!N562,'Retirement Calculator'!A:A,0),0),0)</f>
        <v>7863.2184191855868</v>
      </c>
      <c r="K562" s="455">
        <f t="shared" ca="1" si="53"/>
        <v>216.96933349302299</v>
      </c>
      <c r="L562" s="455">
        <f t="shared" ca="1" si="54"/>
        <v>52289.609371818537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52289.609371818537</v>
      </c>
      <c r="J563" s="455">
        <f t="array" ref="J563">IFERROR(INDEX('Retirement Calculator'!J:J,MATCH('Isaac 401k'!N563,'Retirement Calculator'!A:A,0),0),0)</f>
        <v>7863.2184191855868</v>
      </c>
      <c r="K563" s="455">
        <f t="shared" ca="1" si="53"/>
        <v>185.10996230263729</v>
      </c>
      <c r="L563" s="455">
        <f t="shared" ca="1" si="54"/>
        <v>44611.50091493559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44611.50091493559</v>
      </c>
      <c r="J564" s="455">
        <f t="array" ref="J564">IFERROR(INDEX('Retirement Calculator'!J:J,MATCH('Isaac 401k'!N564,'Retirement Calculator'!A:A,0),0),0)</f>
        <v>7863.2184191855868</v>
      </c>
      <c r="K564" s="455">
        <f t="shared" ca="1" si="53"/>
        <v>153.11784373229167</v>
      </c>
      <c r="L564" s="455">
        <f t="shared" ca="1" si="54"/>
        <v>36901.400339482294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36901.400339482294</v>
      </c>
      <c r="J565" s="455">
        <f t="array" ref="J565">IFERROR(INDEX('Retirement Calculator'!J:J,MATCH('Isaac 401k'!N565,'Retirement Calculator'!A:A,0),0),0)</f>
        <v>7863.2184191855868</v>
      </c>
      <c r="K565" s="455">
        <f t="shared" ca="1" si="53"/>
        <v>120.99242466790294</v>
      </c>
      <c r="L565" s="455">
        <f t="shared" ca="1" si="54"/>
        <v>29159.174344964613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29159.174344964613</v>
      </c>
      <c r="J566" s="455">
        <f t="array" ref="J566">IFERROR(INDEX('Retirement Calculator'!J:J,MATCH('Isaac 401k'!N566,'Retirement Calculator'!A:A,0),0),0)</f>
        <v>7863.2184191855868</v>
      </c>
      <c r="K566" s="455">
        <f t="shared" ca="1" si="53"/>
        <v>88.733149690745933</v>
      </c>
      <c r="L566" s="455">
        <f t="shared" ca="1" si="54"/>
        <v>21384.689075469771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21384.689075469771</v>
      </c>
      <c r="J567" s="455">
        <f t="array" ref="J567">IFERROR(INDEX('Retirement Calculator'!J:J,MATCH('Isaac 401k'!N567,'Retirement Calculator'!A:A,0),0),0)</f>
        <v>7863.2184191855868</v>
      </c>
      <c r="K567" s="455">
        <f t="shared" ca="1" si="53"/>
        <v>56.339461067850763</v>
      </c>
      <c r="L567" s="455">
        <f t="shared" ca="1" si="54"/>
        <v>13577.810117352035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13577.810117352035</v>
      </c>
      <c r="J568" s="455">
        <f t="array" ref="J568">IFERROR(INDEX('Retirement Calculator'!J:J,MATCH('Isaac 401k'!N568,'Retirement Calculator'!A:A,0),0),0)</f>
        <v>7863.2184191855868</v>
      </c>
      <c r="K568" s="455">
        <f t="shared" ca="1" si="53"/>
        <v>23.810798742360202</v>
      </c>
      <c r="L568" s="455">
        <f t="shared" ca="1" si="54"/>
        <v>5738.4024969088086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5738.4024969088086</v>
      </c>
      <c r="J569" s="455">
        <f t="array" ref="J569">IFERROR(INDEX('Retirement Calculator'!J:J,MATCH('Isaac 401k'!N569,'Retirement Calculator'!A:A,0),0),0)</f>
        <v>7863.2184191855868</v>
      </c>
      <c r="K569" s="455">
        <f t="shared" ca="1" si="53"/>
        <v>-8.8533996761532414</v>
      </c>
      <c r="L569" s="455">
        <f t="shared" ca="1" si="54"/>
        <v>-2133.6693219529316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-2133.6693219529316</v>
      </c>
      <c r="J570" s="455">
        <f t="array" ref="J570">IFERROR(INDEX('Retirement Calculator'!J:J,MATCH('Isaac 401k'!N570,'Retirement Calculator'!A:A,0),0),0)</f>
        <v>7863.2184191855868</v>
      </c>
      <c r="K570" s="455">
        <f t="shared" ca="1" si="53"/>
        <v>-41.653698921410495</v>
      </c>
      <c r="L570" s="455">
        <f t="shared" ca="1" si="54"/>
        <v>-10038.541440059929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-10038.541440059929</v>
      </c>
      <c r="J571" s="455">
        <f t="array" ref="J571">IFERROR(INDEX('Retirement Calculator'!J:J,MATCH('Isaac 401k'!N571,'Retirement Calculator'!A:A,0),0),0)</f>
        <v>7863.2184191855868</v>
      </c>
      <c r="K571" s="455">
        <f t="shared" ca="1" si="53"/>
        <v>-74.590666080189663</v>
      </c>
      <c r="L571" s="455">
        <f t="shared" ca="1" si="54"/>
        <v>-17976.350525325706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-17976.350525325706</v>
      </c>
      <c r="J572" s="455">
        <f t="array" ref="J572">IFERROR(INDEX('Retirement Calculator'!J:J,MATCH('Isaac 401k'!N572,'Retirement Calculator'!A:A,0),0),0)</f>
        <v>7863.2184191855868</v>
      </c>
      <c r="K572" s="455">
        <f t="shared" ca="1" si="53"/>
        <v>-107.66487060213041</v>
      </c>
      <c r="L572" s="455">
        <f t="shared" ca="1" si="54"/>
        <v>-25947.233815113424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-25947.233815113424</v>
      </c>
      <c r="J573" s="455">
        <f t="array" ref="J573">IFERROR(INDEX('Retirement Calculator'!J:J,MATCH('Isaac 401k'!N573,'Retirement Calculator'!A:A,0),0),0)</f>
        <v>7863.2184191855868</v>
      </c>
      <c r="K573" s="455">
        <f t="shared" ca="1" si="53"/>
        <v>-140.8768843095792</v>
      </c>
      <c r="L573" s="455">
        <f t="shared" ca="1" si="54"/>
        <v>-33951.329118608592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-33951.329118608592</v>
      </c>
      <c r="J574" s="455">
        <f t="array" ref="J574">IFERROR(INDEX('Retirement Calculator'!J:J,MATCH('Isaac 401k'!N574,'Retirement Calculator'!A:A,0),0),0)</f>
        <v>7863.2184191855868</v>
      </c>
      <c r="K574" s="455">
        <f t="shared" ca="1" si="53"/>
        <v>-174.22728140747574</v>
      </c>
      <c r="L574" s="455">
        <f t="shared" ca="1" si="54"/>
        <v>-41988.774819201652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-41988.774819201652</v>
      </c>
      <c r="J575" s="455">
        <f t="array" ref="J575">IFERROR(INDEX('Retirement Calculator'!J:J,MATCH('Isaac 401k'!N575,'Retirement Calculator'!A:A,0),0),0)</f>
        <v>7863.2184191855868</v>
      </c>
      <c r="K575" s="455">
        <f t="shared" ca="1" si="53"/>
        <v>-207.71663849328016</v>
      </c>
      <c r="L575" s="455">
        <f t="shared" ca="1" si="54"/>
        <v>-50059.709876880515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-50059.709876880515</v>
      </c>
      <c r="J576" s="455">
        <f t="array" ref="J576">IFERROR(INDEX('Retirement Calculator'!J:J,MATCH('Isaac 401k'!N576,'Retirement Calculator'!A:A,0),0),0)</f>
        <v>7863.2184191855868</v>
      </c>
      <c r="K576" s="455">
        <f t="shared" ca="1" si="53"/>
        <v>-241.34553456694209</v>
      </c>
      <c r="L576" s="455">
        <f t="shared" ca="1" si="54"/>
        <v>-58164.273830633043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-58164.273830633043</v>
      </c>
      <c r="J577" s="455">
        <f t="array" ref="J577">IFERROR(INDEX('Retirement Calculator'!J:J,MATCH('Isaac 401k'!N577,'Retirement Calculator'!A:A,0),0),0)</f>
        <v>7863.2184191855868</v>
      </c>
      <c r="K577" s="455">
        <f t="shared" ca="1" si="53"/>
        <v>-275.11455104091095</v>
      </c>
      <c r="L577" s="455">
        <f t="shared" ca="1" si="54"/>
        <v>-66302.606800859547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-66302.606800859547</v>
      </c>
      <c r="J578" s="455">
        <f t="array" ref="J578">IFERROR(INDEX('Retirement Calculator'!J:J,MATCH('Isaac 401k'!N578,'Retirement Calculator'!A:A,0),0),0)</f>
        <v>7863.2184191855868</v>
      </c>
      <c r="K578" s="455">
        <f t="shared" ca="1" si="53"/>
        <v>-309.02427175018806</v>
      </c>
      <c r="L578" s="455">
        <f t="shared" ca="1" si="54"/>
        <v>-74474.849491795321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-74474.849491795321</v>
      </c>
      <c r="J579" s="455">
        <f t="array" ref="J579">IFERROR(INDEX('Retirement Calculator'!J:J,MATCH('Isaac 401k'!N579,'Retirement Calculator'!A:A,0),0),0)</f>
        <v>7863.2184191855868</v>
      </c>
      <c r="K579" s="455">
        <f t="shared" ca="1" si="53"/>
        <v>-343.07528296242049</v>
      </c>
      <c r="L579" s="455">
        <f t="shared" ca="1" si="54"/>
        <v>-82681.143193943339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-82681.143193943339</v>
      </c>
      <c r="J580" s="455">
        <f t="array" ref="J580">IFERROR(INDEX('Retirement Calculator'!J:J,MATCH('Isaac 401k'!N580,'Retirement Calculator'!A:A,0),0),0)</f>
        <v>7863.2184191855868</v>
      </c>
      <c r="K580" s="455">
        <f t="shared" ca="1" si="53"/>
        <v>-377.26817338803721</v>
      </c>
      <c r="L580" s="455">
        <f t="shared" ca="1" si="54"/>
        <v>-90921.629786516962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-90921.629786516962</v>
      </c>
      <c r="J581" s="455">
        <f t="array" ref="J581">IFERROR(INDEX('Retirement Calculator'!J:J,MATCH('Isaac 401k'!N581,'Retirement Calculator'!A:A,0),0),0)</f>
        <v>7863.2184191855868</v>
      </c>
      <c r="K581" s="455">
        <f t="shared" ca="1" si="53"/>
        <v>-411.6035341904273</v>
      </c>
      <c r="L581" s="455">
        <f t="shared" ca="1" si="54"/>
        <v>-99196.451739892975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-99196.451739892975</v>
      </c>
      <c r="J582" s="455">
        <f t="array" ref="J582">IFERROR(INDEX('Retirement Calculator'!J:J,MATCH('Isaac 401k'!N582,'Retirement Calculator'!A:A,0),0),0)</f>
        <v>7863.2184191855868</v>
      </c>
      <c r="K582" s="455">
        <f t="shared" ca="1" si="53"/>
        <v>-446.08195899616072</v>
      </c>
      <c r="L582" s="455">
        <f t="shared" ca="1" si="54"/>
        <v>-107505.75211807473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-107505.75211807473</v>
      </c>
      <c r="J583" s="455">
        <f t="array" ref="J583">IFERROR(INDEX('Retirement Calculator'!J:J,MATCH('Isaac 401k'!N583,'Retirement Calculator'!A:A,0),0),0)</f>
        <v>7863.2184191855868</v>
      </c>
      <c r="K583" s="455">
        <f t="shared" ca="1" si="53"/>
        <v>-480.70404390525141</v>
      </c>
      <c r="L583" s="455">
        <f t="shared" ca="1" si="54"/>
        <v>-115849.67458116557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-115849.67458116557</v>
      </c>
      <c r="J584" s="455">
        <f t="array" ref="J584">IFERROR(INDEX('Retirement Calculator'!J:J,MATCH('Isaac 401k'!N584,'Retirement Calculator'!A:A,0),0),0)</f>
        <v>7863.2184191855868</v>
      </c>
      <c r="K584" s="455">
        <f t="shared" ca="1" si="53"/>
        <v>-515.47038750146316</v>
      </c>
      <c r="L584" s="455">
        <f t="shared" ca="1" si="54"/>
        <v>-124228.36338785263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-124228.36338785263</v>
      </c>
      <c r="J585" s="455">
        <f t="array" ref="J585">IFERROR(INDEX('Retirement Calculator'!J:J,MATCH('Isaac 401k'!N585,'Retirement Calculator'!A:A,0),0),0)</f>
        <v>7863.2184191855868</v>
      </c>
      <c r="K585" s="455">
        <f t="shared" ca="1" si="53"/>
        <v>-550.38159086265921</v>
      </c>
      <c r="L585" s="455">
        <f t="shared" ca="1" si="54"/>
        <v>-132641.96339790089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-132641.96339790089</v>
      </c>
      <c r="J586" s="455">
        <f t="array" ref="J586">IFERROR(INDEX('Retirement Calculator'!J:J,MATCH('Isaac 401k'!N586,'Retirement Calculator'!A:A,0),0),0)</f>
        <v>7863.2184191855868</v>
      </c>
      <c r="K586" s="455">
        <f t="shared" ca="1" si="53"/>
        <v>-585.43825757119362</v>
      </c>
      <c r="L586" s="455">
        <f t="shared" ca="1" si="54"/>
        <v>-141090.62007465767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-141090.62007465767</v>
      </c>
      <c r="J587" s="455">
        <f t="array" ref="J587">IFERROR(INDEX('Retirement Calculator'!J:J,MATCH('Isaac 401k'!N587,'Retirement Calculator'!A:A,0),0),0)</f>
        <v>7863.2184191855868</v>
      </c>
      <c r="K587" s="455">
        <f t="shared" ca="1" si="53"/>
        <v>-620.6409937243468</v>
      </c>
      <c r="L587" s="455">
        <f t="shared" ca="1" si="54"/>
        <v>-149574.47948756759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-149574.47948756759</v>
      </c>
      <c r="J588" s="455">
        <f t="array" ref="J588">IFERROR(INDEX('Retirement Calculator'!J:J,MATCH('Isaac 401k'!N588,'Retirement Calculator'!A:A,0),0),0)</f>
        <v>7863.2184191855868</v>
      </c>
      <c r="K588" s="455">
        <f t="shared" ca="1" si="53"/>
        <v>-655.99040794480482</v>
      </c>
      <c r="L588" s="455">
        <f t="shared" ca="1" si="54"/>
        <v>-158093.68831469797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-158093.68831469797</v>
      </c>
      <c r="J589" s="455">
        <f t="array" ref="J589">IFERROR(INDEX('Retirement Calculator'!J:J,MATCH('Isaac 401k'!N589,'Retirement Calculator'!A:A,0),0),0)</f>
        <v>7863.2184191855868</v>
      </c>
      <c r="K589" s="455">
        <f t="shared" ca="1" si="53"/>
        <v>-691.48711139118143</v>
      </c>
      <c r="L589" s="455">
        <f t="shared" ca="1" si="54"/>
        <v>-166648.39384527472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-166648.39384527472</v>
      </c>
      <c r="J590" s="455">
        <f t="array" ref="J590">IFERROR(INDEX('Retirement Calculator'!J:J,MATCH('Isaac 401k'!N590,'Retirement Calculator'!A:A,0),0),0)</f>
        <v>7863.2184191855868</v>
      </c>
      <c r="K590" s="455">
        <f t="shared" ca="1" si="53"/>
        <v>-727.13171776858462</v>
      </c>
      <c r="L590" s="455">
        <f t="shared" ca="1" si="54"/>
        <v>-175238.74398222889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-175238.74398222889</v>
      </c>
      <c r="J591" s="455">
        <f t="array" ref="J591">IFERROR(INDEX('Retirement Calculator'!J:J,MATCH('Isaac 401k'!N591,'Retirement Calculator'!A:A,0),0),0)</f>
        <v>7863.2184191855868</v>
      </c>
      <c r="K591" s="455">
        <f t="shared" ca="1" si="53"/>
        <v>-762.92484333922698</v>
      </c>
      <c r="L591" s="455">
        <f t="shared" ca="1" si="54"/>
        <v>-183864.88724475369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-183864.88724475369</v>
      </c>
      <c r="J592" s="455">
        <f t="array" ref="J592">IFERROR(INDEX('Retirement Calculator'!J:J,MATCH('Isaac 401k'!N592,'Retirement Calculator'!A:A,0),0),0)</f>
        <v>7863.2184191855868</v>
      </c>
      <c r="K592" s="455">
        <f t="shared" ca="1" si="53"/>
        <v>-798.86710693308021</v>
      </c>
      <c r="L592" s="455">
        <f t="shared" ca="1" si="54"/>
        <v>-192526.97277087235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-192526.97277087235</v>
      </c>
      <c r="J593" s="455">
        <f t="array" ref="J593">IFERROR(INDEX('Retirement Calculator'!J:J,MATCH('Isaac 401k'!N593,'Retirement Calculator'!A:A,0),0),0)</f>
        <v>7863.2184191855868</v>
      </c>
      <c r="K593" s="455">
        <f t="shared" ca="1" si="53"/>
        <v>-834.95912995857464</v>
      </c>
      <c r="L593" s="455">
        <f t="shared" ca="1" si="54"/>
        <v>-201225.15032001652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-201225.15032001652</v>
      </c>
      <c r="J594" s="455">
        <f t="array" ref="J594">IFERROR(INDEX('Retirement Calculator'!J:J,MATCH('Isaac 401k'!N594,'Retirement Calculator'!A:A,0),0),0)</f>
        <v>7863.2184191855868</v>
      </c>
      <c r="K594" s="455">
        <f t="shared" ca="1" si="53"/>
        <v>-871.20153641334207</v>
      </c>
      <c r="L594" s="455">
        <f t="shared" ca="1" si="54"/>
        <v>-209959.57027561544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-209959.57027561544</v>
      </c>
      <c r="J595" s="455">
        <f t="array" ref="J595">IFERROR(INDEX('Retirement Calculator'!J:J,MATCH('Isaac 401k'!N595,'Retirement Calculator'!A:A,0),0),0)</f>
        <v>7863.2184191855868</v>
      </c>
      <c r="K595" s="455">
        <f t="shared" ca="1" si="53"/>
        <v>-907.5949528950041</v>
      </c>
      <c r="L595" s="455">
        <f t="shared" ca="1" si="54"/>
        <v>-218730.38364769603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-218730.38364769603</v>
      </c>
      <c r="J596" s="455">
        <f t="array" ref="J596">IFERROR(INDEX('Retirement Calculator'!J:J,MATCH('Isaac 401k'!N596,'Retirement Calculator'!A:A,0),0),0)</f>
        <v>7863.2184191855868</v>
      </c>
      <c r="K596" s="455">
        <f t="shared" ca="1" si="53"/>
        <v>-944.14000861200668</v>
      </c>
      <c r="L596" s="455">
        <f t="shared" ca="1" si="54"/>
        <v>-227537.74207549362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-227537.74207549362</v>
      </c>
      <c r="J597" s="455">
        <f t="array" ref="J597">IFERROR(INDEX('Retirement Calculator'!J:J,MATCH('Isaac 401k'!N597,'Retirement Calculator'!A:A,0),0),0)</f>
        <v>7863.2184191855868</v>
      </c>
      <c r="K597" s="455">
        <f t="shared" ca="1" si="53"/>
        <v>-980.83733539449668</v>
      </c>
      <c r="L597" s="455">
        <f t="shared" ca="1" si="54"/>
        <v>-236381.79783007369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-236381.79783007369</v>
      </c>
      <c r="J598" s="455">
        <f t="array" ref="J598">IFERROR(INDEX('Retirement Calculator'!J:J,MATCH('Isaac 401k'!N598,'Retirement Calculator'!A:A,0),0),0)</f>
        <v>7863.2184191855868</v>
      </c>
      <c r="K598" s="455">
        <f t="shared" ca="1" si="53"/>
        <v>-1017.687567705247</v>
      </c>
      <c r="L598" s="455">
        <f t="shared" ca="1" si="54"/>
        <v>-245262.70381696452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-245262.70381696452</v>
      </c>
      <c r="J599" s="455">
        <f t="array" ref="J599">IFERROR(INDEX('Retirement Calculator'!J:J,MATCH('Isaac 401k'!N599,'Retirement Calculator'!A:A,0),0),0)</f>
        <v>7863.2184191855868</v>
      </c>
      <c r="K599" s="455">
        <f t="shared" ca="1" si="53"/>
        <v>-1054.6913426506253</v>
      </c>
      <c r="L599" s="455">
        <f t="shared" ca="1" si="54"/>
        <v>-254180.61357880072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-254180.61357880072</v>
      </c>
      <c r="J600" s="455">
        <f t="array" ref="J600">IFERROR(INDEX('Retirement Calculator'!J:J,MATCH('Isaac 401k'!N600,'Retirement Calculator'!A:A,0),0),0)</f>
        <v>7863.2184191855868</v>
      </c>
      <c r="K600" s="455">
        <f t="shared" ca="1" si="53"/>
        <v>-1091.8492999916098</v>
      </c>
      <c r="L600" s="455">
        <f t="shared" ca="1" si="54"/>
        <v>-263135.68129797792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-263135.68129797792</v>
      </c>
      <c r="J601" s="455">
        <f t="array" ref="J601">IFERROR(INDEX('Retirement Calculator'!J:J,MATCH('Isaac 401k'!N601,'Retirement Calculator'!A:A,0),0),0)</f>
        <v>7863.2184191855868</v>
      </c>
      <c r="K601" s="455">
        <f t="shared" ca="1" si="53"/>
        <v>-1129.1620821548481</v>
      </c>
      <c r="L601" s="455">
        <f t="shared" ca="1" si="54"/>
        <v>-272128.06179931836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-272128.06179931836</v>
      </c>
      <c r="J602" s="455">
        <f t="array" ref="J602">IFERROR(INDEX('Retirement Calculator'!J:J,MATCH('Isaac 401k'!N602,'Retirement Calculator'!A:A,0),0),0)</f>
        <v>7863.2184191855868</v>
      </c>
      <c r="K602" s="455">
        <f t="shared" ca="1" si="53"/>
        <v>-1166.6303342437666</v>
      </c>
      <c r="L602" s="455">
        <f t="shared" ca="1" si="54"/>
        <v>-281157.91055274772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-281157.91055274772</v>
      </c>
      <c r="J603" s="455">
        <f t="array" ref="J603">IFERROR(INDEX('Retirement Calculator'!J:J,MATCH('Isaac 401k'!N603,'Retirement Calculator'!A:A,0),0),0)</f>
        <v>7863.2184191855868</v>
      </c>
      <c r="K603" s="455">
        <f t="shared" ca="1" si="53"/>
        <v>-1204.2547040497222</v>
      </c>
      <c r="L603" s="455">
        <f t="shared" ca="1" si="54"/>
        <v>-290225.38367598306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-290225.38367598306</v>
      </c>
      <c r="J604" s="455">
        <f t="array" ref="J604">IFERROR(INDEX('Retirement Calculator'!J:J,MATCH('Isaac 401k'!N604,'Retirement Calculator'!A:A,0),0),0)</f>
        <v>7863.2184191855868</v>
      </c>
      <c r="K604" s="455">
        <f t="shared" ca="1" si="53"/>
        <v>-1242.0358420632028</v>
      </c>
      <c r="L604" s="455">
        <f t="shared" ca="1" si="54"/>
        <v>-299330.63793723186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-299330.63793723186</v>
      </c>
      <c r="J605" s="455">
        <f t="array" ref="J605">IFERROR(INDEX('Retirement Calculator'!J:J,MATCH('Isaac 401k'!N605,'Retirement Calculator'!A:A,0),0),0)</f>
        <v>7863.2184191855868</v>
      </c>
      <c r="K605" s="455">
        <f t="shared" ca="1" si="53"/>
        <v>-1279.9744014850728</v>
      </c>
      <c r="L605" s="455">
        <f t="shared" ca="1" si="54"/>
        <v>-308473.83075790253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-308473.83075790253</v>
      </c>
      <c r="J606" s="455">
        <f t="array" ref="J606">IFERROR(INDEX('Retirement Calculator'!J:J,MATCH('Isaac 401k'!N606,'Retirement Calculator'!A:A,0),0),0)</f>
        <v>7863.2184191855868</v>
      </c>
      <c r="K606" s="455">
        <f t="shared" ca="1" si="53"/>
        <v>-1318.0710382378672</v>
      </c>
      <c r="L606" s="455">
        <f t="shared" ca="1" si="54"/>
        <v>-317655.12021532602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-317655.12021532602</v>
      </c>
      <c r="J607" s="455">
        <f t="array" ref="J607">IFERROR(INDEX('Retirement Calculator'!J:J,MATCH('Isaac 401k'!N607,'Retirement Calculator'!A:A,0),0),0)</f>
        <v>7863.2184191855868</v>
      </c>
      <c r="K607" s="455">
        <f t="shared" ca="1" si="53"/>
        <v>-1356.3264109771317</v>
      </c>
      <c r="L607" s="455">
        <f t="shared" ca="1" si="54"/>
        <v>-326874.66504548874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-326874.66504548874</v>
      </c>
      <c r="J608" s="455">
        <f t="array" ref="J608">IFERROR(INDEX('Retirement Calculator'!J:J,MATCH('Isaac 401k'!N608,'Retirement Calculator'!A:A,0),0),0)</f>
        <v>7863.2184191855868</v>
      </c>
      <c r="K608" s="455">
        <f t="shared" ca="1" si="53"/>
        <v>-1394.7411811028098</v>
      </c>
      <c r="L608" s="455">
        <f t="shared" ca="1" si="54"/>
        <v>-336132.62464577716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-336132.62464577716</v>
      </c>
      <c r="J609" s="455">
        <f t="array" ref="J609">IFERROR(INDEX('Retirement Calculator'!J:J,MATCH('Isaac 401k'!N609,'Retirement Calculator'!A:A,0),0),0)</f>
        <v>7863.2184191855868</v>
      </c>
      <c r="K609" s="455">
        <f t="shared" ca="1" si="53"/>
        <v>-1433.3160127706783</v>
      </c>
      <c r="L609" s="455">
        <f t="shared" ca="1" si="54"/>
        <v>-345429.15907773346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-345429.15907773346</v>
      </c>
      <c r="J610" s="455">
        <f t="array" ref="J610">IFERROR(INDEX('Retirement Calculator'!J:J,MATCH('Isaac 401k'!N610,'Retirement Calculator'!A:A,0),0),0)</f>
        <v>7863.2184191855868</v>
      </c>
      <c r="K610" s="455">
        <f t="shared" ca="1" si="53"/>
        <v>-1472.0515729038295</v>
      </c>
      <c r="L610" s="455">
        <f t="shared" ca="1" si="54"/>
        <v>-354764.42906982289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-354764.42906982289</v>
      </c>
      <c r="J611" s="455">
        <f t="array" ref="J611">IFERROR(INDEX('Retirement Calculator'!J:J,MATCH('Isaac 401k'!N611,'Retirement Calculator'!A:A,0),0),0)</f>
        <v>7863.2184191855868</v>
      </c>
      <c r="K611" s="455">
        <f t="shared" ca="1" si="53"/>
        <v>-1510.948531204202</v>
      </c>
      <c r="L611" s="455">
        <f t="shared" ca="1" si="54"/>
        <v>-364138.59602021269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-364138.59602021269</v>
      </c>
      <c r="J612" s="455">
        <f t="array" ref="J612">IFERROR(INDEX('Retirement Calculator'!J:J,MATCH('Isaac 401k'!N612,'Retirement Calculator'!A:A,0),0),0)</f>
        <v>7863.2184191855868</v>
      </c>
      <c r="K612" s="455">
        <f t="shared" ca="1" si="53"/>
        <v>-1550.0075601641595</v>
      </c>
      <c r="L612" s="455">
        <f t="shared" ca="1" si="54"/>
        <v>-373551.82199956244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-373551.82199956244</v>
      </c>
      <c r="J613" s="455">
        <f t="array" ref="J613">IFERROR(INDEX('Retirement Calculator'!J:J,MATCH('Isaac 401k'!N613,'Retirement Calculator'!A:A,0),0),0)</f>
        <v>7863.2184191855868</v>
      </c>
      <c r="K613" s="455">
        <f t="shared" ca="1" si="53"/>
        <v>-1589.2293350781169</v>
      </c>
      <c r="L613" s="455">
        <f t="shared" ca="1" si="54"/>
        <v>-383004.26975382614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-383004.26975382614</v>
      </c>
      <c r="J614" s="455">
        <f t="array" ref="J614">IFERROR(INDEX('Retirement Calculator'!J:J,MATCH('Isaac 401k'!N614,'Retirement Calculator'!A:A,0),0),0)</f>
        <v>7863.2184191855868</v>
      </c>
      <c r="K614" s="455">
        <f t="shared" ca="1" si="53"/>
        <v>-1628.6145340542157</v>
      </c>
      <c r="L614" s="455">
        <f t="shared" ca="1" si="54"/>
        <v>-392496.10270706599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-392496.10270706599</v>
      </c>
      <c r="J615" s="455">
        <f t="array" ref="J615">IFERROR(INDEX('Retirement Calculator'!J:J,MATCH('Isaac 401k'!N615,'Retirement Calculator'!A:A,0),0),0)</f>
        <v>7863.2184191855868</v>
      </c>
      <c r="K615" s="455">
        <f t="shared" ca="1" si="53"/>
        <v>-1668.1638380260483</v>
      </c>
      <c r="L615" s="455">
        <f t="shared" ca="1" si="54"/>
        <v>-402027.48496427765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-402027.48496427765</v>
      </c>
      <c r="J616" s="455">
        <f t="array" ref="J616">IFERROR(INDEX('Retirement Calculator'!J:J,MATCH('Isaac 401k'!N616,'Retirement Calculator'!A:A,0),0),0)</f>
        <v>7863.2184191855868</v>
      </c>
      <c r="K616" s="455">
        <f t="shared" ca="1" si="53"/>
        <v>-1707.8779307644302</v>
      </c>
      <c r="L616" s="455">
        <f t="shared" ca="1" si="54"/>
        <v>-411598.58131422772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-411598.58131422772</v>
      </c>
      <c r="J617" s="455">
        <f t="array" ref="J617">IFERROR(INDEX('Retirement Calculator'!J:J,MATCH('Isaac 401k'!N617,'Retirement Calculator'!A:A,0),0),0)</f>
        <v>7863.2184191855868</v>
      </c>
      <c r="K617" s="455">
        <f t="shared" ca="1" si="53"/>
        <v>-1747.7574988892222</v>
      </c>
      <c r="L617" s="455">
        <f t="shared" ca="1" si="54"/>
        <v>-421209.55723230256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-421209.55723230256</v>
      </c>
      <c r="J618" s="455">
        <f t="array" ref="J618">IFERROR(INDEX('Retirement Calculator'!J:J,MATCH('Isaac 401k'!N618,'Retirement Calculator'!A:A,0),0),0)</f>
        <v>7863.2184191855868</v>
      </c>
      <c r="K618" s="455">
        <f t="shared" ca="1" si="53"/>
        <v>-1787.8032318812006</v>
      </c>
      <c r="L618" s="455">
        <f t="shared" ca="1" si="54"/>
        <v>-430860.57888336934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-430860.57888336934</v>
      </c>
      <c r="J619" s="455">
        <f t="array" ref="J619">IFERROR(INDEX('Retirement Calculator'!J:J,MATCH('Isaac 401k'!N619,'Retirement Calculator'!A:A,0),0),0)</f>
        <v>7863.2184191855868</v>
      </c>
      <c r="K619" s="455">
        <f t="shared" ca="1" si="53"/>
        <v>-1828.0158220939786</v>
      </c>
      <c r="L619" s="455">
        <f t="shared" ca="1" si="54"/>
        <v>-440551.81312464894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-440551.81312464894</v>
      </c>
      <c r="J620" s="455">
        <f t="array" ref="J620">IFERROR(INDEX('Retirement Calculator'!J:J,MATCH('Isaac 401k'!N620,'Retirement Calculator'!A:A,0),0),0)</f>
        <v>7863.2184191855868</v>
      </c>
      <c r="K620" s="455">
        <f t="shared" ca="1" si="53"/>
        <v>-1868.3959647659769</v>
      </c>
      <c r="L620" s="455">
        <f t="shared" ca="1" si="54"/>
        <v>-450283.42750860052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-450283.42750860052</v>
      </c>
      <c r="J621" s="455">
        <f t="array" ref="J621">IFERROR(INDEX('Retirement Calculator'!J:J,MATCH('Isaac 401k'!N621,'Retirement Calculator'!A:A,0),0),0)</f>
        <v>7863.2184191855868</v>
      </c>
      <c r="K621" s="455">
        <f t="shared" ca="1" si="53"/>
        <v>-1908.9443580324423</v>
      </c>
      <c r="L621" s="455">
        <f t="shared" ca="1" si="54"/>
        <v>-460055.59028581856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-460055.59028581856</v>
      </c>
      <c r="J622" s="455">
        <f t="array" ref="J622">IFERROR(INDEX('Retirement Calculator'!J:J,MATCH('Isaac 401k'!N622,'Retirement Calculator'!A:A,0),0),0)</f>
        <v>7863.2184191855868</v>
      </c>
      <c r="K622" s="455">
        <f t="shared" ca="1" si="53"/>
        <v>-1949.6617029375172</v>
      </c>
      <c r="L622" s="455">
        <f t="shared" ca="1" si="54"/>
        <v>-469868.47040794167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-469868.47040794167</v>
      </c>
      <c r="J623" s="455">
        <f t="array" ref="J623">IFERROR(INDEX('Retirement Calculator'!J:J,MATCH('Isaac 401k'!N623,'Retirement Calculator'!A:A,0),0),0)</f>
        <v>7863.2184191855868</v>
      </c>
      <c r="K623" s="455">
        <f t="shared" ca="1" si="53"/>
        <v>-1990.5487034463636</v>
      </c>
      <c r="L623" s="455">
        <f t="shared" ca="1" si="54"/>
        <v>-479722.23753057362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-479722.23753057362</v>
      </c>
      <c r="J624" s="455">
        <f t="array" ref="J624">IFERROR(INDEX('Retirement Calculator'!J:J,MATCH('Isaac 401k'!N624,'Retirement Calculator'!A:A,0),0),0)</f>
        <v>7863.2184191855868</v>
      </c>
      <c r="K624" s="455">
        <f t="shared" ca="1" si="53"/>
        <v>-2031.6060664573301</v>
      </c>
      <c r="L624" s="455">
        <f t="shared" ca="1" si="54"/>
        <v>-489617.06201621657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-489617.06201621657</v>
      </c>
      <c r="J625" s="455">
        <f t="array" ref="J625">IFERROR(INDEX('Retirement Calculator'!J:J,MATCH('Isaac 401k'!N625,'Retirement Calculator'!A:A,0),0),0)</f>
        <v>7863.2184191855868</v>
      </c>
      <c r="K625" s="455">
        <f t="shared" ca="1" si="53"/>
        <v>-2072.8345018141754</v>
      </c>
      <c r="L625" s="455">
        <f t="shared" ca="1" si="54"/>
        <v>-499553.11493721633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-499553.11493721633</v>
      </c>
      <c r="J626" s="455">
        <f t="array" ref="J626">IFERROR(INDEX('Retirement Calculator'!J:J,MATCH('Isaac 401k'!N626,'Retirement Calculator'!A:A,0),0),0)</f>
        <v>7863.2184191855868</v>
      </c>
      <c r="K626" s="455">
        <f t="shared" ca="1" si="53"/>
        <v>-2114.2347223183415</v>
      </c>
      <c r="L626" s="455">
        <f t="shared" ca="1" si="54"/>
        <v>-509530.5680787203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-509530.5680787203</v>
      </c>
      <c r="J627" s="455">
        <f t="array" ref="J627">IFERROR(INDEX('Retirement Calculator'!J:J,MATCH('Isaac 401k'!N627,'Retirement Calculator'!A:A,0),0),0)</f>
        <v>7863.2184191855868</v>
      </c>
      <c r="K627" s="455">
        <f t="shared" ca="1" si="53"/>
        <v>-2155.8074437412747</v>
      </c>
      <c r="L627" s="455">
        <f t="shared" ca="1" si="54"/>
        <v>-519549.59394164721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-519549.59394164721</v>
      </c>
      <c r="J628" s="455">
        <f t="array" ref="J628">IFERROR(INDEX('Retirement Calculator'!J:J,MATCH('Isaac 401k'!N628,'Retirement Calculator'!A:A,0),0),0)</f>
        <v>7863.2184191855868</v>
      </c>
      <c r="K628" s="455">
        <f t="shared" ca="1" si="53"/>
        <v>-2197.5533848368032</v>
      </c>
      <c r="L628" s="455">
        <f t="shared" ca="1" si="54"/>
        <v>-529610.36574566958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-529610.36574566958</v>
      </c>
      <c r="J629" s="455">
        <f t="array" ref="J629">IFERROR(INDEX('Retirement Calculator'!J:J,MATCH('Isaac 401k'!N629,'Retirement Calculator'!A:A,0),0),0)</f>
        <v>7863.2184191855868</v>
      </c>
      <c r="K629" s="455">
        <f t="shared" ca="1" si="53"/>
        <v>-2239.4732673535632</v>
      </c>
      <c r="L629" s="455">
        <f t="shared" ca="1" si="54"/>
        <v>-539713.05743220879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-539713.05743220879</v>
      </c>
      <c r="J630" s="455">
        <f t="array" ref="J630">IFERROR(INDEX('Retirement Calculator'!J:J,MATCH('Isaac 401k'!N630,'Retirement Calculator'!A:A,0),0),0)</f>
        <v>7863.2184191855868</v>
      </c>
      <c r="K630" s="455">
        <f t="shared" ca="1" si="53"/>
        <v>-2281.5678160474768</v>
      </c>
      <c r="L630" s="455">
        <f t="shared" ca="1" si="54"/>
        <v>-549857.84366744186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-549857.84366744186</v>
      </c>
      <c r="J631" s="455">
        <f t="array" ref="J631">IFERROR(INDEX('Retirement Calculator'!J:J,MATCH('Isaac 401k'!N631,'Retirement Calculator'!A:A,0),0),0)</f>
        <v>7863.2184191855868</v>
      </c>
      <c r="K631" s="455">
        <f t="shared" ca="1" si="53"/>
        <v>-2323.8377586942811</v>
      </c>
      <c r="L631" s="455">
        <f t="shared" ca="1" si="54"/>
        <v>-560044.89984532178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-560044.89984532178</v>
      </c>
      <c r="J632" s="455">
        <f t="array" ref="J632">IFERROR(INDEX('Retirement Calculator'!J:J,MATCH('Isaac 401k'!N632,'Retirement Calculator'!A:A,0),0),0)</f>
        <v>7863.2184191855868</v>
      </c>
      <c r="K632" s="455">
        <f t="shared" ca="1" si="53"/>
        <v>-2366.2838261021143</v>
      </c>
      <c r="L632" s="455">
        <f t="shared" ca="1" si="54"/>
        <v>-570274.40209060954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-570274.40209060954</v>
      </c>
      <c r="J633" s="455">
        <f t="array" ref="J633">IFERROR(INDEX('Retirement Calculator'!J:J,MATCH('Isaac 401k'!N633,'Retirement Calculator'!A:A,0),0),0)</f>
        <v>7863.2184191855868</v>
      </c>
      <c r="K633" s="455">
        <f t="shared" ca="1" si="53"/>
        <v>-2408.9067521241464</v>
      </c>
      <c r="L633" s="455">
        <f t="shared" ca="1" si="54"/>
        <v>-580546.52726191934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-580546.52726191934</v>
      </c>
      <c r="J634" s="455">
        <f t="array" ref="J634">IFERROR(INDEX('Retirement Calculator'!J:J,MATCH('Isaac 401k'!N634,'Retirement Calculator'!A:A,0),0),0)</f>
        <v>7863.2184191855868</v>
      </c>
      <c r="K634" s="455">
        <f t="shared" ca="1" si="53"/>
        <v>-2451.7072736712707</v>
      </c>
      <c r="L634" s="455">
        <f t="shared" ca="1" si="54"/>
        <v>-590861.45295477624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-590861.45295477624</v>
      </c>
      <c r="J635" s="455">
        <f t="array" ref="J635">IFERROR(INDEX('Retirement Calculator'!J:J,MATCH('Isaac 401k'!N635,'Retirement Calculator'!A:A,0),0),0)</f>
        <v>7863.2184191855868</v>
      </c>
      <c r="K635" s="455">
        <f t="shared" ca="1" si="53"/>
        <v>-2494.686130724841</v>
      </c>
      <c r="L635" s="455">
        <f t="shared" ca="1" si="54"/>
        <v>-601219.35750468669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-601219.35750468669</v>
      </c>
      <c r="J636" s="455">
        <f t="array" ref="J636">IFERROR(INDEX('Retirement Calculator'!J:J,MATCH('Isaac 401k'!N636,'Retirement Calculator'!A:A,0),0),0)</f>
        <v>7863.2184191855868</v>
      </c>
      <c r="K636" s="455">
        <f t="shared" ca="1" si="53"/>
        <v>-2537.844066349468</v>
      </c>
      <c r="L636" s="455">
        <f t="shared" ca="1" si="54"/>
        <v>-611620.41999022174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-611620.41999022174</v>
      </c>
      <c r="J637" s="455">
        <f t="array" ref="J637">IFERROR(INDEX('Retirement Calculator'!J:J,MATCH('Isaac 401k'!N637,'Retirement Calculator'!A:A,0),0),0)</f>
        <v>7863.2184191855868</v>
      </c>
      <c r="K637" s="455">
        <f t="shared" ca="1" si="53"/>
        <v>-2581.1818267058638</v>
      </c>
      <c r="L637" s="455">
        <f t="shared" ca="1" si="54"/>
        <v>-622064.82023611316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-622064.82023611316</v>
      </c>
      <c r="J638" s="455">
        <f t="array" ref="J638">IFERROR(INDEX('Retirement Calculator'!J:J,MATCH('Isaac 401k'!N638,'Retirement Calculator'!A:A,0),0),0)</f>
        <v>7863.2184191855868</v>
      </c>
      <c r="K638" s="455">
        <f t="shared" ca="1" si="53"/>
        <v>-2624.7001610637449</v>
      </c>
      <c r="L638" s="455">
        <f t="shared" ca="1" si="54"/>
        <v>-632552.73881636246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-632552.73881636246</v>
      </c>
      <c r="J639" s="455">
        <f t="array" ref="J639">IFERROR(INDEX('Retirement Calculator'!J:J,MATCH('Isaac 401k'!N639,'Retirement Calculator'!A:A,0),0),0)</f>
        <v>7863.2184191855868</v>
      </c>
      <c r="K639" s="455">
        <f t="shared" ca="1" si="53"/>
        <v>-2668.3998218147835</v>
      </c>
      <c r="L639" s="455">
        <f t="shared" ca="1" si="54"/>
        <v>-643084.35705736279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-643084.35705736279</v>
      </c>
      <c r="J640" s="455">
        <f t="array" ref="J640">IFERROR(INDEX('Retirement Calculator'!J:J,MATCH('Isaac 401k'!N640,'Retirement Calculator'!A:A,0),0),0)</f>
        <v>7863.2184191855868</v>
      </c>
      <c r="K640" s="455">
        <f t="shared" ca="1" si="53"/>
        <v>-2712.2815644856182</v>
      </c>
      <c r="L640" s="455">
        <f t="shared" ca="1" si="54"/>
        <v>-653659.85704103403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-653659.85704103403</v>
      </c>
      <c r="J641" s="455">
        <f t="array" ref="J641">IFERROR(INDEX('Retirement Calculator'!J:J,MATCH('Isaac 401k'!N641,'Retirement Calculator'!A:A,0),0),0)</f>
        <v>7863.2184191855868</v>
      </c>
      <c r="K641" s="455">
        <f t="shared" ca="1" si="53"/>
        <v>-2756.346147750915</v>
      </c>
      <c r="L641" s="455">
        <f t="shared" ca="1" si="54"/>
        <v>-664279.42160797061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-664279.42160797061</v>
      </c>
      <c r="J642" s="455">
        <f t="array" ref="J642">IFERROR(INDEX('Retirement Calculator'!J:J,MATCH('Isaac 401k'!N642,'Retirement Calculator'!A:A,0),0),0)</f>
        <v>7863.2184191855868</v>
      </c>
      <c r="K642" s="455">
        <f t="shared" ca="1" si="53"/>
        <v>-2800.5943334464841</v>
      </c>
      <c r="L642" s="455">
        <f t="shared" ca="1" si="54"/>
        <v>-674943.23436060268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-674943.23436060268</v>
      </c>
      <c r="J643" s="455">
        <f t="array" ref="J643">IFERROR(INDEX('Retirement Calculator'!J:J,MATCH('Isaac 401k'!N643,'Retirement Calculator'!A:A,0),0),0)</f>
        <v>7863.2184191855868</v>
      </c>
      <c r="K643" s="455">
        <f t="shared" ca="1" si="53"/>
        <v>-2845.026886582451</v>
      </c>
      <c r="L643" s="455">
        <f t="shared" ca="1" si="54"/>
        <v>-685651.47966637078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-685651.47966637078</v>
      </c>
      <c r="J644" s="455">
        <f t="array" ref="J644">IFERROR(INDEX('Retirement Calculator'!J:J,MATCH('Isaac 401k'!N644,'Retirement Calculator'!A:A,0),0),0)</f>
        <v>7863.2184191855868</v>
      </c>
      <c r="K644" s="455">
        <f t="shared" ca="1" si="53"/>
        <v>-2889.6445753564849</v>
      </c>
      <c r="L644" s="455">
        <f t="shared" ca="1" si="54"/>
        <v>-696404.34266091289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-696404.34266091289</v>
      </c>
      <c r="J645" s="455">
        <f t="array" ref="J645">IFERROR(INDEX('Retirement Calculator'!J:J,MATCH('Isaac 401k'!N645,'Retirement Calculator'!A:A,0),0),0)</f>
        <v>7863.2184191855868</v>
      </c>
      <c r="K645" s="455">
        <f t="shared" ca="1" si="53"/>
        <v>-2934.4481711670769</v>
      </c>
      <c r="L645" s="455">
        <f t="shared" ca="1" si="54"/>
        <v>-707202.00925126555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-707202.00925126555</v>
      </c>
      <c r="J646" s="455">
        <f t="array" ref="J646">IFERROR(INDEX('Retirement Calculator'!J:J,MATCH('Isaac 401k'!N646,'Retirement Calculator'!A:A,0),0),0)</f>
        <v>7863.2184191855868</v>
      </c>
      <c r="K646" s="455">
        <f t="shared" ca="1" si="53"/>
        <v>-2979.43844862688</v>
      </c>
      <c r="L646" s="455">
        <f t="shared" ca="1" si="54"/>
        <v>-718044.66611907806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-718044.66611907806</v>
      </c>
      <c r="J647" s="455">
        <f t="array" ref="J647">IFERROR(INDEX('Retirement Calculator'!J:J,MATCH('Isaac 401k'!N647,'Retirement Calculator'!A:A,0),0),0)</f>
        <v>7863.2184191855868</v>
      </c>
      <c r="K647" s="455">
        <f t="shared" ca="1" si="53"/>
        <v>-3024.6161855760984</v>
      </c>
      <c r="L647" s="455">
        <f t="shared" ca="1" si="54"/>
        <v>-728932.50072383974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-728932.50072383974</v>
      </c>
      <c r="J648" s="455">
        <f t="array" ref="J648">IFERROR(INDEX('Retirement Calculator'!J:J,MATCH('Isaac 401k'!N648,'Retirement Calculator'!A:A,0),0),0)</f>
        <v>7863.2184191855868</v>
      </c>
      <c r="K648" s="455">
        <f t="shared" ca="1" si="53"/>
        <v>-3069.9821630959391</v>
      </c>
      <c r="L648" s="455">
        <f t="shared" ca="1" si="54"/>
        <v>-739865.70130612131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-739865.70130612131</v>
      </c>
      <c r="J649" s="455">
        <f t="array" ref="J649">IFERROR(INDEX('Retirement Calculator'!J:J,MATCH('Isaac 401k'!N649,'Retirement Calculator'!A:A,0),0),0)</f>
        <v>7863.2184191855868</v>
      </c>
      <c r="K649" s="455">
        <f t="shared" ca="1" si="53"/>
        <v>-3115.537165522112</v>
      </c>
      <c r="L649" s="455">
        <f t="shared" ca="1" si="54"/>
        <v>-750844.45689082902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-750844.45689082902</v>
      </c>
      <c r="J650" s="455">
        <f t="array" ref="J650">IFERROR(INDEX('Retirement Calculator'!J:J,MATCH('Isaac 401k'!N650,'Retirement Calculator'!A:A,0),0),0)</f>
        <v>7863.2184191855868</v>
      </c>
      <c r="K650" s="455">
        <f t="shared" ca="1" si="53"/>
        <v>-3161.2819804583942</v>
      </c>
      <c r="L650" s="455">
        <f t="shared" ca="1" si="54"/>
        <v>-761868.95729047304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-761868.95729047304</v>
      </c>
      <c r="J651" s="455">
        <f t="array" ref="J651">IFERROR(INDEX('Retirement Calculator'!J:J,MATCH('Isaac 401k'!N651,'Retirement Calculator'!A:A,0),0),0)</f>
        <v>7863.2184191855868</v>
      </c>
      <c r="K651" s="455">
        <f t="shared" ca="1" si="53"/>
        <v>-3207.2173987902443</v>
      </c>
      <c r="L651" s="455">
        <f t="shared" ca="1" si="54"/>
        <v>-772939.39310844894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-772939.39310844894</v>
      </c>
      <c r="J652" s="455">
        <f t="array" ref="J652">IFERROR(INDEX('Retirement Calculator'!J:J,MATCH('Isaac 401k'!N652,'Retirement Calculator'!A:A,0),0),0)</f>
        <v>7863.2184191855868</v>
      </c>
      <c r="K652" s="455">
        <f t="shared" ca="1" si="53"/>
        <v>-3253.3442146984771</v>
      </c>
      <c r="L652" s="455">
        <f t="shared" ca="1" si="54"/>
        <v>-784055.95574233308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-784055.95574233308</v>
      </c>
      <c r="J653" s="455">
        <f t="array" ref="J653">IFERROR(INDEX('Retirement Calculator'!J:J,MATCH('Isaac 401k'!N653,'Retirement Calculator'!A:A,0),0),0)</f>
        <v>7863.2184191855868</v>
      </c>
      <c r="K653" s="455">
        <f t="shared" ca="1" si="53"/>
        <v>-3299.6632256729945</v>
      </c>
      <c r="L653" s="455">
        <f t="shared" ca="1" si="54"/>
        <v>-795218.83738719171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-795218.83738719171</v>
      </c>
      <c r="J654" s="455">
        <f t="array" ref="J654">IFERROR(INDEX('Retirement Calculator'!J:J,MATCH('Isaac 401k'!N654,'Retirement Calculator'!A:A,0),0),0)</f>
        <v>7863.2184191855868</v>
      </c>
      <c r="K654" s="455">
        <f t="shared" ca="1" si="53"/>
        <v>-3346.175232526572</v>
      </c>
      <c r="L654" s="455">
        <f t="shared" ca="1" si="54"/>
        <v>-806428.23103890393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-806428.23103890393</v>
      </c>
      <c r="J655" s="455">
        <f t="array" ref="J655">IFERROR(INDEX('Retirement Calculator'!J:J,MATCH('Isaac 401k'!N655,'Retirement Calculator'!A:A,0),0),0)</f>
        <v>7863.2184191855868</v>
      </c>
      <c r="K655" s="455">
        <f t="shared" ca="1" si="53"/>
        <v>-3392.8810394087063</v>
      </c>
      <c r="L655" s="455">
        <f t="shared" ca="1" si="54"/>
        <v>-817684.33049749827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-817684.33049749827</v>
      </c>
      <c r="J656" s="455">
        <f t="array" ref="J656">IFERROR(INDEX('Retirement Calculator'!J:J,MATCH('Isaac 401k'!N656,'Retirement Calculator'!A:A,0),0),0)</f>
        <v>7863.2184191855868</v>
      </c>
      <c r="K656" s="455">
        <f t="shared" ca="1" si="53"/>
        <v>-3439.7814538195157</v>
      </c>
      <c r="L656" s="455">
        <f t="shared" ca="1" si="54"/>
        <v>-828987.33037050336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-828987.33037050336</v>
      </c>
      <c r="J657" s="455">
        <f t="array" ref="J657">IFERROR(INDEX('Retirement Calculator'!J:J,MATCH('Isaac 401k'!N657,'Retirement Calculator'!A:A,0),0),0)</f>
        <v>7863.2184191855868</v>
      </c>
      <c r="K657" s="455">
        <f t="shared" ca="1" si="53"/>
        <v>-3486.8772866237041</v>
      </c>
      <c r="L657" s="455">
        <f t="shared" ca="1" si="54"/>
        <v>-840337.42607631267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-840337.42607631267</v>
      </c>
      <c r="J658" s="455">
        <f t="array" ref="J658">IFERROR(INDEX('Retirement Calculator'!J:J,MATCH('Isaac 401k'!N658,'Retirement Calculator'!A:A,0),0),0)</f>
        <v>7863.2184191855868</v>
      </c>
      <c r="K658" s="455">
        <f t="shared" ca="1" si="53"/>
        <v>-3534.1693520645763</v>
      </c>
      <c r="L658" s="455">
        <f t="shared" ca="1" si="54"/>
        <v>-851734.81384756288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-851734.81384756288</v>
      </c>
      <c r="J659" s="455">
        <f t="array" ref="J659">IFERROR(INDEX('Retirement Calculator'!J:J,MATCH('Isaac 401k'!N659,'Retirement Calculator'!A:A,0),0),0)</f>
        <v>7863.2184191855868</v>
      </c>
      <c r="K659" s="455">
        <f t="shared" ca="1" si="53"/>
        <v>-3581.6584677781188</v>
      </c>
      <c r="L659" s="455">
        <f t="shared" ca="1" si="54"/>
        <v>-863179.69073452661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-863179.69073452661</v>
      </c>
      <c r="J660" s="455">
        <f t="array" ref="J660">IFERROR(INDEX('Retirement Calculator'!J:J,MATCH('Isaac 401k'!N660,'Retirement Calculator'!A:A,0),0),0)</f>
        <v>7863.2184191855868</v>
      </c>
      <c r="K660" s="455">
        <f t="shared" ca="1" si="53"/>
        <v>-3629.345454807134</v>
      </c>
      <c r="L660" s="455">
        <f t="shared" ca="1" si="54"/>
        <v>-874672.25460851938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-874672.25460851938</v>
      </c>
      <c r="J661" s="455">
        <f t="array" ref="J661">IFERROR(INDEX('Retirement Calculator'!J:J,MATCH('Isaac 401k'!N661,'Retirement Calculator'!A:A,0),0),0)</f>
        <v>7863.2184191855868</v>
      </c>
      <c r="K661" s="455">
        <f t="shared" ca="1" si="53"/>
        <v>-3677.2311376154375</v>
      </c>
      <c r="L661" s="455">
        <f t="shared" ca="1" si="54"/>
        <v>-886212.70416532038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-886212.70416532038</v>
      </c>
      <c r="J662" s="455">
        <f t="array" ref="J662">IFERROR(INDEX('Retirement Calculator'!J:J,MATCH('Isaac 401k'!N662,'Retirement Calculator'!A:A,0),0),0)</f>
        <v>7863.2184191855868</v>
      </c>
      <c r="K662" s="455">
        <f t="shared" ca="1" si="53"/>
        <v>-3725.3163441021084</v>
      </c>
      <c r="L662" s="455">
        <f t="shared" ca="1" si="54"/>
        <v>-897801.23892860813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-897801.23892860813</v>
      </c>
      <c r="J663" s="455">
        <f t="array" ref="J663">IFERROR(INDEX('Retirement Calculator'!J:J,MATCH('Isaac 401k'!N663,'Retirement Calculator'!A:A,0),0),0)</f>
        <v>7863.2184191855868</v>
      </c>
      <c r="K663" s="455">
        <f t="shared" ca="1" si="53"/>
        <v>-3773.601905615807</v>
      </c>
      <c r="L663" s="455">
        <f t="shared" ca="1" si="54"/>
        <v>-909438.0592534095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-909438.0592534095</v>
      </c>
      <c r="J664" s="455">
        <f t="array" ref="J664">IFERROR(INDEX('Retirement Calculator'!J:J,MATCH('Isaac 401k'!N664,'Retirement Calculator'!A:A,0),0),0)</f>
        <v>7863.2184191855868</v>
      </c>
      <c r="K664" s="455">
        <f t="shared" ca="1" si="53"/>
        <v>-3822.0886569691461</v>
      </c>
      <c r="L664" s="455">
        <f t="shared" ca="1" si="54"/>
        <v>-921123.36632956425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-921123.36632956425</v>
      </c>
      <c r="J665" s="455">
        <f t="array" ref="J665">IFERROR(INDEX('Retirement Calculator'!J:J,MATCH('Isaac 401k'!N665,'Retirement Calculator'!A:A,0),0),0)</f>
        <v>7863.2184191855868</v>
      </c>
      <c r="K665" s="455">
        <f t="shared" ca="1" si="53"/>
        <v>-3870.7774364531238</v>
      </c>
      <c r="L665" s="455">
        <f t="shared" ca="1" si="54"/>
        <v>-932857.362185203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-932857.362185203</v>
      </c>
      <c r="J666" s="455">
        <f t="array" ref="J666">IFERROR(INDEX('Retirement Calculator'!J:J,MATCH('Isaac 401k'!N666,'Retirement Calculator'!A:A,0),0),0)</f>
        <v>7863.2184191855868</v>
      </c>
      <c r="K666" s="455">
        <f t="shared" ca="1" si="53"/>
        <v>-3919.669085851619</v>
      </c>
      <c r="L666" s="455">
        <f t="shared" ca="1" si="54"/>
        <v>-944640.24969024025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-944640.24969024025</v>
      </c>
      <c r="J667" s="455">
        <f t="array" ref="J667">IFERROR(INDEX('Retirement Calculator'!J:J,MATCH('Isaac 401k'!N667,'Retirement Calculator'!A:A,0),0),0)</f>
        <v>7863.2184191855868</v>
      </c>
      <c r="K667" s="455">
        <f t="shared" ca="1" si="53"/>
        <v>-3968.7644504559412</v>
      </c>
      <c r="L667" s="455">
        <f t="shared" ca="1" si="54"/>
        <v>-956472.23255988176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-956472.23255988176</v>
      </c>
      <c r="J668" s="455">
        <f t="array" ref="J668">IFERROR(INDEX('Retirement Calculator'!J:J,MATCH('Isaac 401k'!N668,'Retirement Calculator'!A:A,0),0),0)</f>
        <v>7863.2184191855868</v>
      </c>
      <c r="K668" s="455">
        <f t="shared" ca="1" si="53"/>
        <v>-4018.0643790794475</v>
      </c>
      <c r="L668" s="455">
        <f t="shared" ca="1" si="54"/>
        <v>-968353.51535814686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-968353.51535814686</v>
      </c>
      <c r="J669" s="455">
        <f t="array" ref="J669">IFERROR(INDEX('Retirement Calculator'!J:J,MATCH('Isaac 401k'!N669,'Retirement Calculator'!A:A,0),0),0)</f>
        <v>7863.2184191855868</v>
      </c>
      <c r="K669" s="455">
        <f t="shared" ca="1" si="53"/>
        <v>-4067.5697240722179</v>
      </c>
      <c r="L669" s="455">
        <f t="shared" ca="1" si="54"/>
        <v>-980284.30350140471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-980284.30350140471</v>
      </c>
      <c r="J670" s="455">
        <f t="array" ref="J670">IFERROR(INDEX('Retirement Calculator'!J:J,MATCH('Isaac 401k'!N670,'Retirement Calculator'!A:A,0),0),0)</f>
        <v>7863.2184191855868</v>
      </c>
      <c r="K670" s="455">
        <f t="shared" ca="1" si="53"/>
        <v>-4117.2813413357926</v>
      </c>
      <c r="L670" s="455">
        <f t="shared" ca="1" si="54"/>
        <v>-992264.80326192605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-992264.80326192605</v>
      </c>
      <c r="J671" s="455">
        <f t="array" ref="J671">IFERROR(INDEX('Retirement Calculator'!J:J,MATCH('Isaac 401k'!N671,'Retirement Calculator'!A:A,0),0),0)</f>
        <v>7863.2184191855868</v>
      </c>
      <c r="K671" s="455">
        <f t="shared" ca="1" si="53"/>
        <v>-4167.2000903379658</v>
      </c>
      <c r="L671" s="455">
        <f t="shared" ca="1" si="54"/>
        <v>-1004295.2217714497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-1004295.2217714497</v>
      </c>
      <c r="J672" s="455">
        <f t="array" ref="J672">IFERROR(INDEX('Retirement Calculator'!J:J,MATCH('Isaac 401k'!N672,'Retirement Calculator'!A:A,0),0),0)</f>
        <v>7863.2184191855868</v>
      </c>
      <c r="K672" s="455">
        <f t="shared" ca="1" si="53"/>
        <v>-4217.3268341276462</v>
      </c>
      <c r="L672" s="455">
        <f t="shared" ca="1" si="54"/>
        <v>-1016375.7670247629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-1016375.7670247629</v>
      </c>
      <c r="J673" s="455">
        <f t="array" ref="J673">IFERROR(INDEX('Retirement Calculator'!J:J,MATCH('Isaac 401k'!N673,'Retirement Calculator'!A:A,0),0),0)</f>
        <v>7863.2184191855868</v>
      </c>
      <c r="K673" s="455">
        <f t="shared" ca="1" si="53"/>
        <v>-4267.6624393497859</v>
      </c>
      <c r="L673" s="455">
        <f t="shared" ca="1" si="54"/>
        <v>-1028506.6478832983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-1028506.6478832983</v>
      </c>
      <c r="J674" s="455">
        <f t="array" ref="J674">IFERROR(INDEX('Retirement Calculator'!J:J,MATCH('Isaac 401k'!N674,'Retirement Calculator'!A:A,0),0),0)</f>
        <v>7863.2184191855868</v>
      </c>
      <c r="K674" s="455">
        <f t="shared" ca="1" si="53"/>
        <v>-4318.2077762603494</v>
      </c>
      <c r="L674" s="455">
        <f t="shared" ca="1" si="54"/>
        <v>-1040688.0740787443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-1040688.0740787443</v>
      </c>
      <c r="J675" s="455">
        <f t="array" ref="J675">IFERROR(INDEX('Retirement Calculator'!J:J,MATCH('Isaac 401k'!N675,'Retirement Calculator'!A:A,0),0),0)</f>
        <v>7863.2184191855868</v>
      </c>
      <c r="K675" s="455">
        <f t="shared" ca="1" si="53"/>
        <v>-4368.9637187413746</v>
      </c>
      <c r="L675" s="455">
        <f t="shared" ca="1" si="54"/>
        <v>-1052920.2562166713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-1052920.2562166713</v>
      </c>
      <c r="J676" s="455">
        <f t="array" ref="J676">IFERROR(INDEX('Retirement Calculator'!J:J,MATCH('Isaac 401k'!N676,'Retirement Calculator'!A:A,0),0),0)</f>
        <v>7863.2184191855868</v>
      </c>
      <c r="K676" s="455">
        <f t="shared" ca="1" si="53"/>
        <v>-4419.9311443160705</v>
      </c>
      <c r="L676" s="455">
        <f t="shared" ca="1" si="54"/>
        <v>-1065203.4057801729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-1065203.4057801729</v>
      </c>
      <c r="J677" s="455">
        <f t="array" ref="J677">IFERROR(INDEX('Retirement Calculator'!J:J,MATCH('Isaac 401k'!N677,'Retirement Calculator'!A:A,0),0),0)</f>
        <v>7863.2184191855868</v>
      </c>
      <c r="K677" s="455">
        <f t="shared" ca="1" si="53"/>
        <v>-4471.110934163994</v>
      </c>
      <c r="L677" s="455">
        <f t="shared" ca="1" si="54"/>
        <v>-1077537.7351335224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-1077537.7351335224</v>
      </c>
      <c r="J678" s="455">
        <f t="array" ref="J678">IFERROR(INDEX('Retirement Calculator'!J:J,MATCH('Isaac 401k'!N678,'Retirement Calculator'!A:A,0),0),0)</f>
        <v>7863.2184191855868</v>
      </c>
      <c r="K678" s="455">
        <f t="shared" ca="1" si="53"/>
        <v>-4522.5039731362831</v>
      </c>
      <c r="L678" s="455">
        <f t="shared" ca="1" si="54"/>
        <v>-1089923.4575258442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-1089923.4575258442</v>
      </c>
      <c r="J679" s="455">
        <f t="array" ref="J679">IFERROR(INDEX('Retirement Calculator'!J:J,MATCH('Isaac 401k'!N679,'Retirement Calculator'!A:A,0),0),0)</f>
        <v>7863.2184191855868</v>
      </c>
      <c r="K679" s="455">
        <f t="shared" ca="1" si="53"/>
        <v>-4574.1111497709571</v>
      </c>
      <c r="L679" s="455">
        <f t="shared" ca="1" si="54"/>
        <v>-1102360.7870948007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-1102360.7870948007</v>
      </c>
      <c r="J680" s="455">
        <f t="array" ref="J680">IFERROR(INDEX('Retirement Calculator'!J:J,MATCH('Isaac 401k'!N680,'Retirement Calculator'!A:A,0),0),0)</f>
        <v>7863.2184191855868</v>
      </c>
      <c r="K680" s="455">
        <f t="shared" ca="1" si="53"/>
        <v>-4625.9333563082764</v>
      </c>
      <c r="L680" s="455">
        <f t="shared" ca="1" si="54"/>
        <v>-1114849.9388702947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-1114849.9388702947</v>
      </c>
      <c r="J681" s="455">
        <f t="array" ref="J681">IFERROR(INDEX('Retirement Calculator'!J:J,MATCH('Isaac 401k'!N681,'Retirement Calculator'!A:A,0),0),0)</f>
        <v>7863.2184191855868</v>
      </c>
      <c r="K681" s="455">
        <f t="shared" ca="1" si="53"/>
        <v>-4677.9714887061682</v>
      </c>
      <c r="L681" s="455">
        <f t="shared" ca="1" si="54"/>
        <v>-1127391.1287781864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-1127391.1287781864</v>
      </c>
      <c r="J682" s="455">
        <f t="array" ref="J682">IFERROR(INDEX('Retirement Calculator'!J:J,MATCH('Isaac 401k'!N682,'Retirement Calculator'!A:A,0),0),0)</f>
        <v>7863.2184191855868</v>
      </c>
      <c r="K682" s="455">
        <f t="shared" ca="1" si="53"/>
        <v>-4730.2264466557162</v>
      </c>
      <c r="L682" s="455">
        <f t="shared" ca="1" si="54"/>
        <v>-1139984.5736440278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-1139984.5736440278</v>
      </c>
      <c r="J683" s="455">
        <f t="array" ref="J683">IFERROR(INDEX('Retirement Calculator'!J:J,MATCH('Isaac 401k'!N683,'Retirement Calculator'!A:A,0),0),0)</f>
        <v>7863.2184191855868</v>
      </c>
      <c r="K683" s="455">
        <f t="shared" ca="1" si="53"/>
        <v>-4782.6991335967223</v>
      </c>
      <c r="L683" s="455">
        <f t="shared" ca="1" si="54"/>
        <v>-1152630.49119681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-1152630.49119681</v>
      </c>
      <c r="J684" s="455">
        <f t="array" ref="J684">IFERROR(INDEX('Retirement Calculator'!J:J,MATCH('Isaac 401k'!N684,'Retirement Calculator'!A:A,0),0),0)</f>
        <v>7863.2184191855868</v>
      </c>
      <c r="K684" s="455">
        <f t="shared" ca="1" si="53"/>
        <v>-4835.3904567333147</v>
      </c>
      <c r="L684" s="455">
        <f t="shared" ca="1" si="54"/>
        <v>-1165329.1000727289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-1165329.1000727289</v>
      </c>
      <c r="J685" s="455">
        <f t="array" ref="J685">IFERROR(INDEX('Retirement Calculator'!J:J,MATCH('Isaac 401k'!N685,'Retirement Calculator'!A:A,0),0),0)</f>
        <v>7863.2184191855868</v>
      </c>
      <c r="K685" s="455">
        <f t="shared" ca="1" si="53"/>
        <v>-4888.301327049644</v>
      </c>
      <c r="L685" s="455">
        <f t="shared" ca="1" si="54"/>
        <v>-1178080.6198189643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-1178080.6198189643</v>
      </c>
      <c r="J686" s="455">
        <f t="array" ref="J686">IFERROR(INDEX('Retirement Calculator'!J:J,MATCH('Isaac 401k'!N686,'Retirement Calculator'!A:A,0),0),0)</f>
        <v>7863.2184191855868</v>
      </c>
      <c r="K686" s="455">
        <f t="shared" ca="1" si="53"/>
        <v>-4941.4326593256246</v>
      </c>
      <c r="L686" s="455">
        <f t="shared" ca="1" si="54"/>
        <v>-1190885.2708974755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-1190885.2708974755</v>
      </c>
      <c r="J687" s="455">
        <f t="array" ref="J687">IFERROR(INDEX('Retirement Calculator'!J:J,MATCH('Isaac 401k'!N687,'Retirement Calculator'!A:A,0),0),0)</f>
        <v>7863.2184191855868</v>
      </c>
      <c r="K687" s="455">
        <f t="shared" ca="1" si="53"/>
        <v>-4994.7853721527545</v>
      </c>
      <c r="L687" s="455">
        <f t="shared" ca="1" si="54"/>
        <v>-1203743.2746888138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-1203743.2746888138</v>
      </c>
      <c r="J688" s="455">
        <f t="array" ref="J688">IFERROR(INDEX('Retirement Calculator'!J:J,MATCH('Isaac 401k'!N688,'Retirement Calculator'!A:A,0),0),0)</f>
        <v>7863.2184191855868</v>
      </c>
      <c r="K688" s="455">
        <f t="shared" ca="1" si="53"/>
        <v>-5048.3603879499979</v>
      </c>
      <c r="L688" s="455">
        <f t="shared" ca="1" si="54"/>
        <v>-1216654.8534959494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-1216654.8534959494</v>
      </c>
      <c r="J689" s="455">
        <f t="array" ref="J689">IFERROR(INDEX('Retirement Calculator'!J:J,MATCH('Isaac 401k'!N689,'Retirement Calculator'!A:A,0),0),0)</f>
        <v>7863.2184191855868</v>
      </c>
      <c r="K689" s="455">
        <f t="shared" ca="1" si="53"/>
        <v>-5102.1586329797292</v>
      </c>
      <c r="L689" s="455">
        <f t="shared" ca="1" si="54"/>
        <v>-1229620.2305481147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-1229620.2305481147</v>
      </c>
      <c r="J690" s="455">
        <f t="array" ref="J690">IFERROR(INDEX('Retirement Calculator'!J:J,MATCH('Isaac 401k'!N690,'Retirement Calculator'!A:A,0),0),0)</f>
        <v>7863.2184191855868</v>
      </c>
      <c r="K690" s="455">
        <f t="shared" ca="1" si="53"/>
        <v>-5156.1810373637518</v>
      </c>
      <c r="L690" s="455">
        <f t="shared" ca="1" si="54"/>
        <v>-1242639.6300046642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-1242639.6300046642</v>
      </c>
      <c r="J691" s="455">
        <f t="array" ref="J691">IFERROR(INDEX('Retirement Calculator'!J:J,MATCH('Isaac 401k'!N691,'Retirement Calculator'!A:A,0),0),0)</f>
        <v>7863.2184191855868</v>
      </c>
      <c r="K691" s="455">
        <f t="shared" ca="1" si="53"/>
        <v>-5210.4285350993741</v>
      </c>
      <c r="L691" s="455">
        <f t="shared" ca="1" si="54"/>
        <v>-1255713.2769589492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-1255713.2769589492</v>
      </c>
      <c r="J692" s="455">
        <f t="array" ref="J692">IFERROR(INDEX('Retirement Calculator'!J:J,MATCH('Isaac 401k'!N692,'Retirement Calculator'!A:A,0),0),0)</f>
        <v>7863.2184191855868</v>
      </c>
      <c r="K692" s="455">
        <f t="shared" ca="1" si="53"/>
        <v>-5264.9020640755616</v>
      </c>
      <c r="L692" s="455">
        <f t="shared" ca="1" si="54"/>
        <v>-1268841.3974422102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-1268841.3974422102</v>
      </c>
      <c r="J693" s="455">
        <f t="array" ref="J693">IFERROR(INDEX('Retirement Calculator'!J:J,MATCH('Isaac 401k'!N693,'Retirement Calculator'!A:A,0),0),0)</f>
        <v>7863.2184191855868</v>
      </c>
      <c r="K693" s="455">
        <f t="shared" ca="1" si="53"/>
        <v>-5319.6025660891491</v>
      </c>
      <c r="L693" s="455">
        <f t="shared" ca="1" si="54"/>
        <v>-1282024.2184274851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-1282024.2184274851</v>
      </c>
      <c r="J694" s="455">
        <f t="array" ref="J694">IFERROR(INDEX('Retirement Calculator'!J:J,MATCH('Isaac 401k'!N694,'Retirement Calculator'!A:A,0),0),0)</f>
        <v>7863.2184191855868</v>
      </c>
      <c r="K694" s="455">
        <f t="shared" ca="1" si="53"/>
        <v>-5374.5309868611275</v>
      </c>
      <c r="L694" s="455">
        <f t="shared" ca="1" si="54"/>
        <v>-1295261.9678335318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-1295261.9678335318</v>
      </c>
      <c r="J695" s="455">
        <f t="array" ref="J695">IFERROR(INDEX('Retirement Calculator'!J:J,MATCH('Isaac 401k'!N695,'Retirement Calculator'!A:A,0),0),0)</f>
        <v>7863.2184191855868</v>
      </c>
      <c r="K695" s="455">
        <f t="shared" ca="1" si="53"/>
        <v>-5429.6882760529888</v>
      </c>
      <c r="L695" s="455">
        <f t="shared" ca="1" si="54"/>
        <v>-1308554.8745287703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-1308554.8745287703</v>
      </c>
      <c r="J696" s="455">
        <f t="array" ref="J696">IFERROR(INDEX('Retirement Calculator'!J:J,MATCH('Isaac 401k'!N696,'Retirement Calculator'!A:A,0),0),0)</f>
        <v>7863.2184191855868</v>
      </c>
      <c r="K696" s="455">
        <f t="shared" ca="1" si="53"/>
        <v>-5485.0753872831501</v>
      </c>
      <c r="L696" s="455">
        <f t="shared" ca="1" si="54"/>
        <v>-1321903.1683352392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-1321903.1683352392</v>
      </c>
      <c r="J697" s="455">
        <f t="array" ref="J697">IFERROR(INDEX('Retirement Calculator'!J:J,MATCH('Isaac 401k'!N697,'Retirement Calculator'!A:A,0),0),0)</f>
        <v>7863.2184191855868</v>
      </c>
      <c r="K697" s="455">
        <f t="shared" ca="1" si="53"/>
        <v>-5540.6932781434361</v>
      </c>
      <c r="L697" s="455">
        <f t="shared" ca="1" si="54"/>
        <v>-1335307.0800325682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-1335307.0800325682</v>
      </c>
      <c r="J698" s="455">
        <f t="array" ref="J698">IFERROR(INDEX('Retirement Calculator'!J:J,MATCH('Isaac 401k'!N698,'Retirement Calculator'!A:A,0),0),0)</f>
        <v>7863.2184191855868</v>
      </c>
      <c r="K698" s="455">
        <f t="shared" ca="1" si="53"/>
        <v>-5596.5429102156404</v>
      </c>
      <c r="L698" s="455">
        <f t="shared" ca="1" si="54"/>
        <v>-1348766.8413619695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-1348766.8413619695</v>
      </c>
      <c r="J699" s="455">
        <f t="array" ref="J699">IFERROR(INDEX('Retirement Calculator'!J:J,MATCH('Isaac 401k'!N699,'Retirement Calculator'!A:A,0),0),0)</f>
        <v>7863.2184191855868</v>
      </c>
      <c r="K699" s="455">
        <f t="shared" ca="1" si="53"/>
        <v>-5652.6252490881461</v>
      </c>
      <c r="L699" s="455">
        <f t="shared" ca="1" si="54"/>
        <v>-1362282.6850302431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-1362282.6850302431</v>
      </c>
      <c r="J700" s="455">
        <f t="array" ref="J700">IFERROR(INDEX('Retirement Calculator'!J:J,MATCH('Isaac 401k'!N700,'Retirement Calculator'!A:A,0),0),0)</f>
        <v>7863.2184191855868</v>
      </c>
      <c r="K700" s="455">
        <f t="shared" ca="1" si="53"/>
        <v>-5708.94126437262</v>
      </c>
      <c r="L700" s="455">
        <f t="shared" ca="1" si="54"/>
        <v>-1375854.8447138013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-1375854.8447138013</v>
      </c>
      <c r="J701" s="455">
        <f t="array" ref="J701">IFERROR(INDEX('Retirement Calculator'!J:J,MATCH('Isaac 401k'!N701,'Retirement Calculator'!A:A,0),0),0)</f>
        <v>7863.2184191855868</v>
      </c>
      <c r="K701" s="455">
        <f t="shared" ca="1" si="53"/>
        <v>-5765.4919297207789</v>
      </c>
      <c r="L701" s="455">
        <f t="shared" ca="1" si="54"/>
        <v>-1389483.5550627077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-1389483.5550627077</v>
      </c>
      <c r="J702" s="455">
        <f t="array" ref="J702">IFERROR(INDEX('Retirement Calculator'!J:J,MATCH('Isaac 401k'!N702,'Retirement Calculator'!A:A,0),0),0)</f>
        <v>7863.2184191855868</v>
      </c>
      <c r="K702" s="455">
        <f t="shared" ca="1" si="53"/>
        <v>-5822.2782228412225</v>
      </c>
      <c r="L702" s="455">
        <f t="shared" ca="1" si="54"/>
        <v>-1403169.0517047346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-1403169.0517047346</v>
      </c>
      <c r="J703" s="455">
        <f t="array" ref="J703">IFERROR(INDEX('Retirement Calculator'!J:J,MATCH('Isaac 401k'!N703,'Retirement Calculator'!A:A,0),0),0)</f>
        <v>7863.2184191855868</v>
      </c>
      <c r="K703" s="455">
        <f t="shared" ca="1" si="53"/>
        <v>-5879.3011255163337</v>
      </c>
      <c r="L703" s="455">
        <f t="shared" ca="1" si="54"/>
        <v>-1416911.5712494366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-1416911.5712494366</v>
      </c>
      <c r="J704" s="455">
        <f t="array" ref="J704">IFERROR(INDEX('Retirement Calculator'!J:J,MATCH('Isaac 401k'!N704,'Retirement Calculator'!A:A,0),0),0)</f>
        <v>7863.2184191855868</v>
      </c>
      <c r="K704" s="455">
        <f t="shared" ca="1" si="53"/>
        <v>-5936.5616236192591</v>
      </c>
      <c r="L704" s="455">
        <f t="shared" ca="1" si="54"/>
        <v>-1430711.3512922414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-1430711.3512922414</v>
      </c>
      <c r="J705" s="455">
        <f t="array" ref="J705">IFERROR(INDEX('Retirement Calculator'!J:J,MATCH('Isaac 401k'!N705,'Retirement Calculator'!A:A,0),0),0)</f>
        <v>7863.2184191855868</v>
      </c>
      <c r="K705" s="455">
        <f t="shared" ca="1" si="53"/>
        <v>-5994.060707130946</v>
      </c>
      <c r="L705" s="455">
        <f t="shared" ca="1" si="54"/>
        <v>-1444568.6304185579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-1444568.6304185579</v>
      </c>
      <c r="J706" s="455">
        <f t="array" ref="J706">IFERROR(INDEX('Retirement Calculator'!J:J,MATCH('Isaac 401k'!N706,'Retirement Calculator'!A:A,0),0),0)</f>
        <v>7863.2184191855868</v>
      </c>
      <c r="K706" s="455">
        <f t="shared" ca="1" si="53"/>
        <v>-6051.799370157265</v>
      </c>
      <c r="L706" s="455">
        <f t="shared" ca="1" si="54"/>
        <v>-1458483.6482079008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-1458483.6482079008</v>
      </c>
      <c r="J707" s="455">
        <f t="array" ref="J707">IFERROR(INDEX('Retirement Calculator'!J:J,MATCH('Isaac 401k'!N707,'Retirement Calculator'!A:A,0),0),0)</f>
        <v>7863.2184191855868</v>
      </c>
      <c r="K707" s="455">
        <f t="shared" ca="1" si="53"/>
        <v>-6109.7786109461931</v>
      </c>
      <c r="L707" s="455">
        <f t="shared" ca="1" si="54"/>
        <v>-1472456.6452380326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-1472456.6452380326</v>
      </c>
      <c r="J708" s="455">
        <f t="array" ref="J708">IFERROR(INDEX('Retirement Calculator'!J:J,MATCH('Isaac 401k'!N708,'Retirement Calculator'!A:A,0),0),0)</f>
        <v>7863.2184191855868</v>
      </c>
      <c r="K708" s="455">
        <f t="shared" ca="1" si="53"/>
        <v>-6167.9994319050757</v>
      </c>
      <c r="L708" s="455">
        <f t="shared" ca="1" si="54"/>
        <v>-1486487.8630891233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-1486487.8630891233</v>
      </c>
      <c r="J709" s="455">
        <f t="array" ref="J709">IFERROR(INDEX('Retirement Calculator'!J:J,MATCH('Isaac 401k'!N709,'Retirement Calculator'!A:A,0),0),0)</f>
        <v>7863.2184191855868</v>
      </c>
      <c r="K709" s="455">
        <f t="shared" ca="1" si="53"/>
        <v>-6226.4628396179533</v>
      </c>
      <c r="L709" s="455">
        <f t="shared" ca="1" si="54"/>
        <v>-1500577.5443479267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-1500577.5443479267</v>
      </c>
      <c r="J710" s="455">
        <f t="array" ref="J710">IFERROR(INDEX('Retirement Calculator'!J:J,MATCH('Isaac 401k'!N710,'Retirement Calculator'!A:A,0),0),0)</f>
        <v>7863.2184191855868</v>
      </c>
      <c r="K710" s="455">
        <f t="shared" ca="1" si="53"/>
        <v>-6285.1698448629677</v>
      </c>
      <c r="L710" s="455">
        <f t="shared" ca="1" si="54"/>
        <v>-1514725.9326119754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-1514725.9326119754</v>
      </c>
      <c r="J711" s="455">
        <f t="array" ref="J711">IFERROR(INDEX('Retirement Calculator'!J:J,MATCH('Isaac 401k'!N711,'Retirement Calculator'!A:A,0),0),0)</f>
        <v>7863.2184191855868</v>
      </c>
      <c r="K711" s="455">
        <f t="shared" ca="1" si="53"/>
        <v>-6344.121462629837</v>
      </c>
      <c r="L711" s="455">
        <f t="shared" ca="1" si="54"/>
        <v>-1528933.2724937908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-1528933.2724937908</v>
      </c>
      <c r="J712" s="455">
        <f t="array" ref="J712">IFERROR(INDEX('Retirement Calculator'!J:J,MATCH('Isaac 401k'!N712,'Retirement Calculator'!A:A,0),0),0)</f>
        <v>7863.2184191855868</v>
      </c>
      <c r="K712" s="455">
        <f t="shared" ca="1" si="53"/>
        <v>-6403.3187121374021</v>
      </c>
      <c r="L712" s="455">
        <f t="shared" ca="1" si="54"/>
        <v>-1543199.8096251138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-1543199.8096251138</v>
      </c>
      <c r="J713" s="455">
        <f t="array" ref="J713">IFERROR(INDEX('Retirement Calculator'!J:J,MATCH('Isaac 401k'!N713,'Retirement Calculator'!A:A,0),0),0)</f>
        <v>7863.2184191855868</v>
      </c>
      <c r="K713" s="455">
        <f t="shared" ca="1" si="53"/>
        <v>-6462.7626168512479</v>
      </c>
      <c r="L713" s="455">
        <f t="shared" ca="1" si="54"/>
        <v>-1557525.7906611506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-1557525.7906611506</v>
      </c>
      <c r="J714" s="455">
        <f t="array" ref="J714">IFERROR(INDEX('Retirement Calculator'!J:J,MATCH('Isaac 401k'!N714,'Retirement Calculator'!A:A,0),0),0)</f>
        <v>7863.2184191855868</v>
      </c>
      <c r="K714" s="455">
        <f t="shared" ca="1" si="53"/>
        <v>-6522.4542045014005</v>
      </c>
      <c r="L714" s="455">
        <f t="shared" ca="1" si="54"/>
        <v>-1571911.4632848375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-1571911.4632848375</v>
      </c>
      <c r="J715" s="455">
        <f t="array" ref="J715">IFERROR(INDEX('Retirement Calculator'!J:J,MATCH('Isaac 401k'!N715,'Retirement Calculator'!A:A,0),0),0)</f>
        <v>7863.2184191855868</v>
      </c>
      <c r="K715" s="455">
        <f t="shared" ca="1" si="53"/>
        <v>-6582.3945071000962</v>
      </c>
      <c r="L715" s="455">
        <f t="shared" ca="1" si="54"/>
        <v>-1586357.0762111233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-1586357.0762111233</v>
      </c>
      <c r="J716" s="455">
        <f t="array" ref="J716">IFERROR(INDEX('Retirement Calculator'!J:J,MATCH('Isaac 401k'!N716,'Retirement Calculator'!A:A,0),0),0)</f>
        <v>7863.2184191855868</v>
      </c>
      <c r="K716" s="455">
        <f t="shared" ca="1" si="53"/>
        <v>-6642.5845609596199</v>
      </c>
      <c r="L716" s="455">
        <f t="shared" ca="1" si="54"/>
        <v>-1600862.8791912685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-1600862.8791912685</v>
      </c>
      <c r="J717" s="455">
        <f t="array" ref="J717">IFERROR(INDEX('Retirement Calculator'!J:J,MATCH('Isaac 401k'!N717,'Retirement Calculator'!A:A,0),0),0)</f>
        <v>7863.2184191855868</v>
      </c>
      <c r="K717" s="455">
        <f t="shared" ca="1" si="53"/>
        <v>-6703.0254067102251</v>
      </c>
      <c r="L717" s="455">
        <f t="shared" ca="1" si="54"/>
        <v>-1615429.1230171644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-1615429.1230171644</v>
      </c>
      <c r="J718" s="455">
        <f t="array" ref="J718">IFERROR(INDEX('Retirement Calculator'!J:J,MATCH('Isaac 401k'!N718,'Retirement Calculator'!A:A,0),0),0)</f>
        <v>7863.2184191855868</v>
      </c>
      <c r="K718" s="455">
        <f t="shared" ca="1" si="53"/>
        <v>-6763.7180893181248</v>
      </c>
      <c r="L718" s="455">
        <f t="shared" ca="1" si="54"/>
        <v>-1630056.0595256682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-1630056.0595256682</v>
      </c>
      <c r="J719" s="455">
        <f t="array" ref="J719">IFERROR(INDEX('Retirement Calculator'!J:J,MATCH('Isaac 401k'!N719,'Retirement Calculator'!A:A,0),0),0)</f>
        <v>7863.2184191855868</v>
      </c>
      <c r="K719" s="455">
        <f t="shared" ca="1" si="53"/>
        <v>-6824.6636581035582</v>
      </c>
      <c r="L719" s="455">
        <f t="shared" ca="1" si="54"/>
        <v>-1644743.9416029574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-1644743.9416029574</v>
      </c>
      <c r="J720" s="455">
        <f t="array" ref="J720">IFERROR(INDEX('Retirement Calculator'!J:J,MATCH('Isaac 401k'!N720,'Retirement Calculator'!A:A,0),0),0)</f>
        <v>7863.2184191855868</v>
      </c>
      <c r="K720" s="455">
        <f t="shared" ca="1" si="53"/>
        <v>-6885.8631667589289</v>
      </c>
      <c r="L720" s="455">
        <f t="shared" ca="1" si="54"/>
        <v>-1659493.0231889021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-1659493.0231889021</v>
      </c>
      <c r="J721" s="455">
        <f t="array" ref="J721">IFERROR(INDEX('Retirement Calculator'!J:J,MATCH('Isaac 401k'!N721,'Retirement Calculator'!A:A,0),0),0)</f>
        <v>7863.2184191855868</v>
      </c>
      <c r="K721" s="455">
        <f t="shared" ca="1" si="53"/>
        <v>-6947.3176733670307</v>
      </c>
      <c r="L721" s="455">
        <f t="shared" ca="1" si="54"/>
        <v>-1674303.5592814547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-1674303.5592814547</v>
      </c>
      <c r="J722" s="455">
        <f t="array" ref="J722">IFERROR(INDEX('Retirement Calculator'!J:J,MATCH('Isaac 401k'!N722,'Retirement Calculator'!A:A,0),0),0)</f>
        <v>7863.2184191855868</v>
      </c>
      <c r="K722" s="455">
        <f t="shared" ca="1" si="53"/>
        <v>-7009.028240419334</v>
      </c>
      <c r="L722" s="455">
        <f t="shared" ca="1" si="54"/>
        <v>-1689175.8059410595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-1689175.8059410595</v>
      </c>
      <c r="J723" s="455">
        <f t="array" ref="J723">IFERROR(INDEX('Retirement Calculator'!J:J,MATCH('Isaac 401k'!N723,'Retirement Calculator'!A:A,0),0),0)</f>
        <v>7863.2184191855868</v>
      </c>
      <c r="K723" s="455">
        <f t="shared" ca="1" si="53"/>
        <v>-7070.9959348343536</v>
      </c>
      <c r="L723" s="455">
        <f t="shared" ca="1" si="54"/>
        <v>-1704110.0202950793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-1704110.0202950793</v>
      </c>
      <c r="J724" s="455">
        <f t="array" ref="J724">IFERROR(INDEX('Retirement Calculator'!J:J,MATCH('Isaac 401k'!N724,'Retirement Calculator'!A:A,0),0),0)</f>
        <v>7863.2184191855868</v>
      </c>
      <c r="K724" s="455">
        <f t="shared" ca="1" si="53"/>
        <v>-7133.2218279761037</v>
      </c>
      <c r="L724" s="455">
        <f t="shared" ca="1" si="54"/>
        <v>-1719106.4605422411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-1719106.4605422411</v>
      </c>
      <c r="J725" s="455">
        <f t="array" ref="J725">IFERROR(INDEX('Retirement Calculator'!J:J,MATCH('Isaac 401k'!N725,'Retirement Calculator'!A:A,0),0),0)</f>
        <v>7863.2184191855868</v>
      </c>
      <c r="K725" s="455">
        <f t="shared" ca="1" si="53"/>
        <v>-7195.70699567261</v>
      </c>
      <c r="L725" s="455">
        <f t="shared" ca="1" si="54"/>
        <v>-1734165.3859570993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-1734165.3859570993</v>
      </c>
      <c r="J726" s="455">
        <f t="array" ref="J726">IFERROR(INDEX('Retirement Calculator'!J:J,MATCH('Isaac 401k'!N726,'Retirement Calculator'!A:A,0),0),0)</f>
        <v>7863.2184191855868</v>
      </c>
      <c r="K726" s="455">
        <f t="shared" ca="1" si="53"/>
        <v>-7258.4525182345205</v>
      </c>
      <c r="L726" s="455">
        <f t="shared" ca="1" si="54"/>
        <v>-1749287.0568945194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-1749287.0568945194</v>
      </c>
      <c r="J727" s="455">
        <f t="array" ref="J727">IFERROR(INDEX('Retirement Calculator'!J:J,MATCH('Isaac 401k'!N727,'Retirement Calculator'!A:A,0),0),0)</f>
        <v>7863.2184191855868</v>
      </c>
      <c r="K727" s="455">
        <f t="shared" ca="1" si="53"/>
        <v>-7321.4594804737699</v>
      </c>
      <c r="L727" s="455">
        <f t="shared" ca="1" si="54"/>
        <v>-1764471.7347941787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-1764471.7347941787</v>
      </c>
      <c r="J728" s="455">
        <f t="array" ref="J728">IFERROR(INDEX('Retirement Calculator'!J:J,MATCH('Isaac 401k'!N728,'Retirement Calculator'!A:A,0),0),0)</f>
        <v>7863.2184191855868</v>
      </c>
      <c r="K728" s="455">
        <f t="shared" ca="1" si="53"/>
        <v>-7384.7289717223512</v>
      </c>
      <c r="L728" s="455">
        <f t="shared" ca="1" si="54"/>
        <v>-1779719.6821850867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-1779719.6821850867</v>
      </c>
      <c r="J729" s="455">
        <f t="array" ref="J729">IFERROR(INDEX('Retirement Calculator'!J:J,MATCH('Isaac 401k'!N729,'Retirement Calculator'!A:A,0),0),0)</f>
        <v>7863.2184191855868</v>
      </c>
      <c r="K729" s="455">
        <f t="shared" ca="1" si="53"/>
        <v>-7448.2620858511336</v>
      </c>
      <c r="L729" s="455">
        <f t="shared" ca="1" si="54"/>
        <v>-1795031.1626901233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-1795031.1626901233</v>
      </c>
      <c r="J730" s="455">
        <f t="array" ref="J730">IFERROR(INDEX('Retirement Calculator'!J:J,MATCH('Isaac 401k'!N730,'Retirement Calculator'!A:A,0),0),0)</f>
        <v>7863.2184191855868</v>
      </c>
      <c r="K730" s="455">
        <f t="shared" ca="1" si="53"/>
        <v>-7512.0599212887882</v>
      </c>
      <c r="L730" s="455">
        <f t="shared" ca="1" si="54"/>
        <v>-1810406.4410305978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-1810406.4410305978</v>
      </c>
      <c r="J731" s="455">
        <f t="array" ref="J731">IFERROR(INDEX('Retirement Calculator'!J:J,MATCH('Isaac 401k'!N731,'Retirement Calculator'!A:A,0),0),0)</f>
        <v>7863.2184191855868</v>
      </c>
      <c r="K731" s="455">
        <f t="shared" ca="1" si="53"/>
        <v>-7576.1235810407634</v>
      </c>
      <c r="L731" s="455">
        <f t="shared" ca="1" si="54"/>
        <v>-1825845.783030824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-1825845.783030824</v>
      </c>
      <c r="J732" s="455">
        <f t="array" ref="J732">IFERROR(INDEX('Retirement Calculator'!J:J,MATCH('Isaac 401k'!N732,'Retirement Calculator'!A:A,0),0),0)</f>
        <v>7863.2184191855868</v>
      </c>
      <c r="K732" s="455">
        <f t="shared" ca="1" si="53"/>
        <v>-7640.4541727083733</v>
      </c>
      <c r="L732" s="455">
        <f t="shared" ca="1" si="54"/>
        <v>-1841349.455622718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-1841349.455622718</v>
      </c>
      <c r="J733" s="455">
        <f t="array" ref="J733">IFERROR(INDEX('Retirement Calculator'!J:J,MATCH('Isaac 401k'!N733,'Retirement Calculator'!A:A,0),0),0)</f>
        <v>7863.2184191855868</v>
      </c>
      <c r="K733" s="455">
        <f t="shared" ca="1" si="53"/>
        <v>-7705.0528085079304</v>
      </c>
      <c r="L733" s="455">
        <f t="shared" ca="1" si="54"/>
        <v>-1856917.7268504116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-1856917.7268504116</v>
      </c>
      <c r="J734" s="455">
        <f t="array" ref="J734">IFERROR(INDEX('Retirement Calculator'!J:J,MATCH('Isaac 401k'!N734,'Retirement Calculator'!A:A,0),0),0)</f>
        <v>7863.2184191855868</v>
      </c>
      <c r="K734" s="455">
        <f t="shared" ca="1" si="53"/>
        <v>-7769.9206052899881</v>
      </c>
      <c r="L734" s="455">
        <f t="shared" ca="1" si="54"/>
        <v>-1872550.8658748872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-1872550.8658748872</v>
      </c>
      <c r="J735" s="455">
        <f t="array" ref="J735">IFERROR(INDEX('Retirement Calculator'!J:J,MATCH('Isaac 401k'!N735,'Retirement Calculator'!A:A,0),0),0)</f>
        <v>7863.2184191855868</v>
      </c>
      <c r="K735" s="455">
        <f t="shared" ca="1" si="53"/>
        <v>-7835.0586845586358</v>
      </c>
      <c r="L735" s="455">
        <f t="shared" ca="1" si="54"/>
        <v>-1888249.1429786314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-1888249.1429786314</v>
      </c>
      <c r="J736" s="455">
        <f t="array" ref="J736">IFERROR(INDEX('Retirement Calculator'!J:J,MATCH('Isaac 401k'!N736,'Retirement Calculator'!A:A,0),0),0)</f>
        <v>7863.2184191855868</v>
      </c>
      <c r="K736" s="455">
        <f t="shared" ca="1" si="53"/>
        <v>-7900.4681724909042</v>
      </c>
      <c r="L736" s="455">
        <f t="shared" ca="1" si="54"/>
        <v>-1904012.8295703079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-1904012.8295703079</v>
      </c>
      <c r="J737" s="455">
        <f t="array" ref="J737">IFERROR(INDEX('Retirement Calculator'!J:J,MATCH('Isaac 401k'!N737,'Retirement Calculator'!A:A,0),0),0)</f>
        <v>7863.2184191855868</v>
      </c>
      <c r="K737" s="455">
        <f t="shared" ca="1" si="53"/>
        <v>-7966.1501999562224</v>
      </c>
      <c r="L737" s="455">
        <f t="shared" ca="1" si="54"/>
        <v>-1919842.1981894497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-1919842.1981894497</v>
      </c>
      <c r="J738" s="455">
        <f t="array" ref="J738">IFERROR(INDEX('Retirement Calculator'!J:J,MATCH('Isaac 401k'!N738,'Retirement Calculator'!A:A,0),0),0)</f>
        <v>7863.2184191855868</v>
      </c>
      <c r="K738" s="455">
        <f t="shared" ca="1" si="53"/>
        <v>-8032.1059025359791</v>
      </c>
      <c r="L738" s="455">
        <f t="shared" ca="1" si="54"/>
        <v>-1935737.5225111714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-1935737.5225111714</v>
      </c>
      <c r="J739" s="455">
        <f t="array" ref="J739">IFERROR(INDEX('Retirement Calculator'!J:J,MATCH('Isaac 401k'!N739,'Retirement Calculator'!A:A,0),0),0)</f>
        <v>7863.2184191855868</v>
      </c>
      <c r="K739" s="455">
        <f t="shared" ca="1" si="53"/>
        <v>-8098.3364205431544</v>
      </c>
      <c r="L739" s="455">
        <f t="shared" ca="1" si="54"/>
        <v>-1951699.0773509003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-1951699.0773509003</v>
      </c>
      <c r="J740" s="455">
        <f t="array" ref="J740">IFERROR(INDEX('Retirement Calculator'!J:J,MATCH('Isaac 401k'!N740,'Retirement Calculator'!A:A,0),0),0)</f>
        <v>7863.2184191855868</v>
      </c>
      <c r="K740" s="455">
        <f t="shared" ca="1" si="53"/>
        <v>-8164.8428990420252</v>
      </c>
      <c r="L740" s="455">
        <f t="shared" ca="1" si="54"/>
        <v>-1967727.1386691278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-1967727.1386691278</v>
      </c>
      <c r="J741" s="455">
        <f t="array" ref="J741">IFERROR(INDEX('Retirement Calculator'!J:J,MATCH('Isaac 401k'!N741,'Retirement Calculator'!A:A,0),0),0)</f>
        <v>7863.2184191855868</v>
      </c>
      <c r="K741" s="455">
        <f t="shared" ca="1" si="53"/>
        <v>-8231.6264878679722</v>
      </c>
      <c r="L741" s="455">
        <f t="shared" ca="1" si="54"/>
        <v>-1983821.9835761813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-1983821.9835761813</v>
      </c>
      <c r="J742" s="455">
        <f t="array" ref="J742">IFERROR(INDEX('Retirement Calculator'!J:J,MATCH('Isaac 401k'!N742,'Retirement Calculator'!A:A,0),0),0)</f>
        <v>7863.2184191855868</v>
      </c>
      <c r="K742" s="455">
        <f t="shared" ca="1" si="53"/>
        <v>-8298.6883416473629</v>
      </c>
      <c r="L742" s="455">
        <f t="shared" ca="1" si="54"/>
        <v>-1999983.8903370143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-1999983.8903370143</v>
      </c>
      <c r="J743" s="455">
        <f t="array" ref="J743">IFERROR(INDEX('Retirement Calculator'!J:J,MATCH('Isaac 401k'!N743,'Retirement Calculator'!A:A,0),0),0)</f>
        <v>7863.2184191855868</v>
      </c>
      <c r="K743" s="455">
        <f t="shared" ca="1" si="53"/>
        <v>-8366.0296198175001</v>
      </c>
      <c r="L743" s="455">
        <f t="shared" ca="1" si="54"/>
        <v>-2016213.1383760173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-2016213.1383760173</v>
      </c>
      <c r="J744" s="455">
        <f t="array" ref="J744">IFERROR(INDEX('Retirement Calculator'!J:J,MATCH('Isaac 401k'!N744,'Retirement Calculator'!A:A,0),0),0)</f>
        <v>7863.2184191855868</v>
      </c>
      <c r="K744" s="455">
        <f t="shared" ca="1" si="53"/>
        <v>-8433.6514866466787</v>
      </c>
      <c r="L744" s="455">
        <f t="shared" ca="1" si="54"/>
        <v>-2032510.0082818496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-2032510.0082818496</v>
      </c>
      <c r="J745" s="455">
        <f t="array" ref="J745">IFERROR(INDEX('Retirement Calculator'!J:J,MATCH('Isaac 401k'!N745,'Retirement Calculator'!A:A,0),0),0)</f>
        <v>7863.2184191855868</v>
      </c>
      <c r="K745" s="455">
        <f t="shared" ca="1" si="53"/>
        <v>-8501.5551112543126</v>
      </c>
      <c r="L745" s="455">
        <f t="shared" ca="1" si="54"/>
        <v>-2048874.7818122895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-2048874.7818122895</v>
      </c>
      <c r="J746" s="455">
        <f t="array" ref="J746">IFERROR(INDEX('Retirement Calculator'!J:J,MATCH('Isaac 401k'!N746,'Retirement Calculator'!A:A,0),0),0)</f>
        <v>7863.2184191855868</v>
      </c>
      <c r="K746" s="455">
        <f t="shared" ca="1" si="53"/>
        <v>-8569.7416676311459</v>
      </c>
      <c r="L746" s="455">
        <f t="shared" ca="1" si="54"/>
        <v>-2065307.7418991062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-2065307.7418991062</v>
      </c>
      <c r="J747" s="455">
        <f t="array" ref="J747">IFERROR(INDEX('Retirement Calculator'!J:J,MATCH('Isaac 401k'!N747,'Retirement Calculator'!A:A,0),0),0)</f>
        <v>7863.2184191855868</v>
      </c>
      <c r="K747" s="455">
        <f t="shared" ca="1" si="53"/>
        <v>-8638.2123346595508</v>
      </c>
      <c r="L747" s="455">
        <f t="shared" ca="1" si="54"/>
        <v>-2081809.1726529514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-2081809.1726529514</v>
      </c>
      <c r="J748" s="455">
        <f t="array" ref="J748">IFERROR(INDEX('Retirement Calculator'!J:J,MATCH('Isaac 401k'!N748,'Retirement Calculator'!A:A,0),0),0)</f>
        <v>7863.2184191855868</v>
      </c>
      <c r="K748" s="455">
        <f t="shared" ca="1" si="53"/>
        <v>-8706.968296133904</v>
      </c>
      <c r="L748" s="455">
        <f t="shared" ca="1" si="54"/>
        <v>-2098379.3593682707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-2098379.3593682707</v>
      </c>
      <c r="J749" s="455">
        <f t="array" ref="J749">IFERROR(INDEX('Retirement Calculator'!J:J,MATCH('Isaac 401k'!N749,'Retirement Calculator'!A:A,0),0),0)</f>
        <v>7863.2184191855868</v>
      </c>
      <c r="K749" s="455">
        <f t="shared" ca="1" si="53"/>
        <v>-8776.0107407810665</v>
      </c>
      <c r="L749" s="455">
        <f t="shared" ca="1" si="54"/>
        <v>-2115018.5885282373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-2115018.5885282373</v>
      </c>
      <c r="J750" s="455">
        <f t="array" ref="J750">IFERROR(INDEX('Retirement Calculator'!J:J,MATCH('Isaac 401k'!N750,'Retirement Calculator'!A:A,0),0),0)</f>
        <v>7863.2184191855868</v>
      </c>
      <c r="K750" s="455">
        <f t="shared" ca="1" si="53"/>
        <v>-8845.3408622809275</v>
      </c>
      <c r="L750" s="455">
        <f t="shared" ca="1" si="54"/>
        <v>-2131727.1478097038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-2131727.1478097038</v>
      </c>
      <c r="J751" s="455">
        <f t="array" ref="J751">IFERROR(INDEX('Retirement Calculator'!J:J,MATCH('Isaac 401k'!N751,'Retirement Calculator'!A:A,0),0),0)</f>
        <v>7863.2184191855868</v>
      </c>
      <c r="K751" s="455">
        <f t="shared" ca="1" si="53"/>
        <v>-8914.9598592870389</v>
      </c>
      <c r="L751" s="455">
        <f t="shared" ca="1" si="54"/>
        <v>-2148505.3260881761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-2148505.3260881761</v>
      </c>
      <c r="J752" s="455">
        <f t="array" ref="J752">IFERROR(INDEX('Retirement Calculator'!J:J,MATCH('Isaac 401k'!N752,'Retirement Calculator'!A:A,0),0),0)</f>
        <v>7863.2184191855868</v>
      </c>
      <c r="K752" s="455">
        <f t="shared" ca="1" si="53"/>
        <v>-8984.868935447339</v>
      </c>
      <c r="L752" s="455">
        <f t="shared" ca="1" si="54"/>
        <v>-2165353.4134428087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-2165353.4134428087</v>
      </c>
      <c r="J753" s="455">
        <f t="array" ref="J753">IFERROR(INDEX('Retirement Calculator'!J:J,MATCH('Isaac 401k'!N753,'Retirement Calculator'!A:A,0),0),0)</f>
        <v>7863.2184191855868</v>
      </c>
      <c r="K753" s="455">
        <f t="shared" ca="1" si="53"/>
        <v>-9055.0692994249748</v>
      </c>
      <c r="L753" s="455">
        <f t="shared" ca="1" si="54"/>
        <v>-2182271.701161419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-2182271.701161419</v>
      </c>
      <c r="J754" s="455">
        <f t="array" ref="J754">IFERROR(INDEX('Retirement Calculator'!J:J,MATCH('Isaac 401k'!N754,'Retirement Calculator'!A:A,0),0),0)</f>
        <v>7863.2184191855868</v>
      </c>
      <c r="K754" s="455">
        <f t="shared" ca="1" si="53"/>
        <v>-9125.5621649191853</v>
      </c>
      <c r="L754" s="455">
        <f t="shared" ca="1" si="54"/>
        <v>-2199260.4817455234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-2199260.4817455234</v>
      </c>
      <c r="J755" s="455">
        <f t="array" ref="J755">IFERROR(INDEX('Retirement Calculator'!J:J,MATCH('Isaac 401k'!N755,'Retirement Calculator'!A:A,0),0),0)</f>
        <v>7863.2184191855868</v>
      </c>
      <c r="K755" s="455">
        <f t="shared" ca="1" si="53"/>
        <v>-9196.3487506862857</v>
      </c>
      <c r="L755" s="455">
        <f t="shared" ca="1" si="54"/>
        <v>-2216320.048915395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-2216320.048915395</v>
      </c>
      <c r="J756" s="455">
        <f t="array" ref="J756">IFERROR(INDEX('Retirement Calculator'!J:J,MATCH('Isaac 401k'!N756,'Retirement Calculator'!A:A,0),0),0)</f>
        <v>7863.2184191855868</v>
      </c>
      <c r="K756" s="455">
        <f t="shared" ca="1" si="53"/>
        <v>-9267.4302805607513</v>
      </c>
      <c r="L756" s="455">
        <f t="shared" ca="1" si="54"/>
        <v>-2233450.697615141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-2233450.697615141</v>
      </c>
      <c r="J757" s="455">
        <f t="array" ref="J757">IFERROR(INDEX('Retirement Calculator'!J:J,MATCH('Isaac 401k'!N757,'Retirement Calculator'!A:A,0),0),0)</f>
        <v>7863.2184191855868</v>
      </c>
      <c r="K757" s="455">
        <f t="shared" ca="1" si="53"/>
        <v>-9338.8079834763594</v>
      </c>
      <c r="L757" s="455">
        <f t="shared" ca="1" si="54"/>
        <v>-2250652.7240178026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-2250652.7240178026</v>
      </c>
      <c r="J758" s="455">
        <f t="array" ref="J758">IFERROR(INDEX('Retirement Calculator'!J:J,MATCH('Isaac 401k'!N758,'Retirement Calculator'!A:A,0),0),0)</f>
        <v>7863.2184191855868</v>
      </c>
      <c r="K758" s="455">
        <f t="shared" ca="1" si="53"/>
        <v>-9410.4830934874499</v>
      </c>
      <c r="L758" s="455">
        <f t="shared" ca="1" si="54"/>
        <v>-2267926.4255304756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-2267926.4255304756</v>
      </c>
      <c r="J759" s="455">
        <f t="array" ref="J759">IFERROR(INDEX('Retirement Calculator'!J:J,MATCH('Isaac 401k'!N759,'Retirement Calculator'!A:A,0),0),0)</f>
        <v>7863.2184191855868</v>
      </c>
      <c r="K759" s="455">
        <f t="shared" ca="1" si="53"/>
        <v>-9482.4568497902546</v>
      </c>
      <c r="L759" s="455">
        <f t="shared" ca="1" si="54"/>
        <v>-2285272.1007994511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-2285272.1007994511</v>
      </c>
      <c r="J760" s="455">
        <f t="array" ref="J760">IFERROR(INDEX('Retirement Calculator'!J:J,MATCH('Isaac 401k'!N760,'Retirement Calculator'!A:A,0),0),0)</f>
        <v>7863.2184191855868</v>
      </c>
      <c r="K760" s="455">
        <f t="shared" ca="1" si="53"/>
        <v>-9554.7304967443179</v>
      </c>
      <c r="L760" s="455">
        <f t="shared" ca="1" si="54"/>
        <v>-2302690.0497153807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-2302690.0497153807</v>
      </c>
      <c r="J761" s="455">
        <f t="array" ref="J761">IFERROR(INDEX('Retirement Calculator'!J:J,MATCH('Isaac 401k'!N761,'Retirement Calculator'!A:A,0),0),0)</f>
        <v>7863.2184191855868</v>
      </c>
      <c r="K761" s="455">
        <f t="shared" ca="1" si="53"/>
        <v>-9627.3052838940257</v>
      </c>
      <c r="L761" s="455">
        <f t="shared" ca="1" si="54"/>
        <v>-2320180.5734184599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-2320180.5734184599</v>
      </c>
      <c r="J762" s="455">
        <f t="array" ref="J762">IFERROR(INDEX('Retirement Calculator'!J:J,MATCH('Isaac 401k'!N762,'Retirement Calculator'!A:A,0),0),0)</f>
        <v>7863.2184191855868</v>
      </c>
      <c r="K762" s="455">
        <f t="shared" ca="1" si="53"/>
        <v>-9700.1824659901886</v>
      </c>
      <c r="L762" s="455">
        <f t="shared" ca="1" si="54"/>
        <v>-2337743.9743036353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-2337743.9743036353</v>
      </c>
      <c r="J763" s="455">
        <f t="array" ref="J763">IFERROR(INDEX('Retirement Calculator'!J:J,MATCH('Isaac 401k'!N763,'Retirement Calculator'!A:A,0),0),0)</f>
        <v>7863.2184191855868</v>
      </c>
      <c r="K763" s="455">
        <f t="shared" ca="1" si="53"/>
        <v>-9773.3633030117526</v>
      </c>
      <c r="L763" s="455">
        <f t="shared" ca="1" si="54"/>
        <v>-2355380.5560258324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-2355380.5560258324</v>
      </c>
      <c r="J764" s="455">
        <f t="array" ref="J764">IFERROR(INDEX('Retirement Calculator'!J:J,MATCH('Isaac 401k'!N764,'Retirement Calculator'!A:A,0),0),0)</f>
        <v>7863.2184191855868</v>
      </c>
      <c r="K764" s="455">
        <f t="shared" ca="1" si="53"/>
        <v>-9846.8490601875747</v>
      </c>
      <c r="L764" s="455">
        <f t="shared" ca="1" si="54"/>
        <v>-2373090.6235052054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-2373090.6235052054</v>
      </c>
      <c r="J765" s="455">
        <f t="array" ref="J765">IFERROR(INDEX('Retirement Calculator'!J:J,MATCH('Isaac 401k'!N765,'Retirement Calculator'!A:A,0),0),0)</f>
        <v>7863.2184191855868</v>
      </c>
      <c r="K765" s="455">
        <f t="shared" ca="1" si="53"/>
        <v>-9920.6410080182941</v>
      </c>
      <c r="L765" s="455">
        <f t="shared" ca="1" si="54"/>
        <v>-2390874.4829324093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-2390874.4829324093</v>
      </c>
      <c r="J766" s="455">
        <f t="array" ref="J766">IFERROR(INDEX('Retirement Calculator'!J:J,MATCH('Isaac 401k'!N766,'Retirement Calculator'!A:A,0),0),0)</f>
        <v>7863.2184191855868</v>
      </c>
      <c r="K766" s="455">
        <f t="shared" ca="1" si="53"/>
        <v>-9994.7404222983114</v>
      </c>
      <c r="L766" s="455">
        <f t="shared" ca="1" si="54"/>
        <v>-2408732.4417738928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-2408732.4417738928</v>
      </c>
      <c r="J767" s="455">
        <f t="array" ref="J767">IFERROR(INDEX('Retirement Calculator'!J:J,MATCH('Isaac 401k'!N767,'Retirement Calculator'!A:A,0),0),0)</f>
        <v>7863.2184191855868</v>
      </c>
      <c r="K767" s="455">
        <f t="shared" ca="1" si="53"/>
        <v>-10069.148584137825</v>
      </c>
      <c r="L767" s="455">
        <f t="shared" ca="1" si="54"/>
        <v>-2426664.8087772159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-2426664.8087772159</v>
      </c>
      <c r="J768" s="455">
        <f t="array" ref="J768">IFERROR(INDEX('Retirement Calculator'!J:J,MATCH('Isaac 401k'!N768,'Retirement Calculator'!A:A,0),0),0)</f>
        <v>7863.2184191855868</v>
      </c>
      <c r="K768" s="455">
        <f t="shared" ca="1" si="53"/>
        <v>-10143.866779985005</v>
      </c>
      <c r="L768" s="455">
        <f t="shared" ca="1" si="54"/>
        <v>-2444671.8939763862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-2444671.8939763862</v>
      </c>
      <c r="J769" s="455">
        <f t="array" ref="J769">IFERROR(INDEX('Retirement Calculator'!J:J,MATCH('Isaac 401k'!N769,'Retirement Calculator'!A:A,0),0),0)</f>
        <v>7863.2184191855868</v>
      </c>
      <c r="K769" s="455">
        <f t="shared" ca="1" si="53"/>
        <v>-10218.896301648214</v>
      </c>
      <c r="L769" s="455">
        <f t="shared" ca="1" si="54"/>
        <v>-2462754.0086972197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-2462754.0086972197</v>
      </c>
      <c r="J770" s="455">
        <f t="array" ref="J770">IFERROR(INDEX('Retirement Calculator'!J:J,MATCH('Isaac 401k'!N770,'Retirement Calculator'!A:A,0),0),0)</f>
        <v>7863.2184191855868</v>
      </c>
      <c r="K770" s="455">
        <f t="shared" ca="1" si="53"/>
        <v>-10294.238446318353</v>
      </c>
      <c r="L770" s="455">
        <f t="shared" ca="1" si="54"/>
        <v>-2480911.4655627236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-2480911.4655627236</v>
      </c>
      <c r="J771" s="455">
        <f t="array" ref="J771">IFERROR(INDEX('Retirement Calculator'!J:J,MATCH('Isaac 401k'!N771,'Retirement Calculator'!A:A,0),0),0)</f>
        <v>7863.2184191855868</v>
      </c>
      <c r="K771" s="455">
        <f t="shared" ca="1" si="53"/>
        <v>-10369.894516591286</v>
      </c>
      <c r="L771" s="455">
        <f t="shared" ca="1" si="54"/>
        <v>-2499144.5784985004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-2499144.5784985004</v>
      </c>
      <c r="J772" s="455">
        <f t="array" ref="J772">IFERROR(INDEX('Retirement Calculator'!J:J,MATCH('Isaac 401k'!N772,'Retirement Calculator'!A:A,0),0),0)</f>
        <v>7863.2184191855868</v>
      </c>
      <c r="K772" s="455">
        <f t="shared" ca="1" si="53"/>
        <v>-10445.865820490357</v>
      </c>
      <c r="L772" s="455">
        <f t="shared" ca="1" si="54"/>
        <v>-2517453.6627381761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-2517453.6627381761</v>
      </c>
      <c r="J773" s="455">
        <f t="array" ref="J773">IFERROR(INDEX('Retirement Calculator'!J:J,MATCH('Isaac 401k'!N773,'Retirement Calculator'!A:A,0),0),0)</f>
        <v>7863.2184191855868</v>
      </c>
      <c r="K773" s="455">
        <f t="shared" ref="K773:K1027" ca="1" si="79">IPMT(M773/12,1,12,-I773+J773,,0)</f>
        <v>-10522.153671489006</v>
      </c>
      <c r="L773" s="455">
        <f t="shared" ref="L773:L1027" ca="1" si="80">I773-J773+K773</f>
        <v>-2535839.0348288505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-2535839.0348288505</v>
      </c>
      <c r="J774" s="455">
        <f t="array" ref="J774">IFERROR(INDEX('Retirement Calculator'!J:J,MATCH('Isaac 401k'!N774,'Retirement Calculator'!A:A,0),0),0)</f>
        <v>7863.2184191855868</v>
      </c>
      <c r="K774" s="455">
        <f t="shared" ca="1" si="79"/>
        <v>-10598.759388533483</v>
      </c>
      <c r="L774" s="455">
        <f t="shared" ca="1" si="80"/>
        <v>-2554301.0126365693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-2554301.0126365693</v>
      </c>
      <c r="J775" s="455">
        <f t="array" ref="J775">IFERROR(INDEX('Retirement Calculator'!J:J,MATCH('Isaac 401k'!N775,'Retirement Calculator'!A:A,0),0),0)</f>
        <v>7863.2184191855868</v>
      </c>
      <c r="K775" s="455">
        <f t="shared" ca="1" si="79"/>
        <v>-10675.684296065645</v>
      </c>
      <c r="L775" s="455">
        <f t="shared" ca="1" si="80"/>
        <v>-2572839.9153518202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-2572839.9153518202</v>
      </c>
      <c r="J776" s="455">
        <f t="array" ref="J776">IFERROR(INDEX('Retirement Calculator'!J:J,MATCH('Isaac 401k'!N776,'Retirement Calculator'!A:A,0),0),0)</f>
        <v>7863.2184191855868</v>
      </c>
      <c r="K776" s="455">
        <f t="shared" ca="1" si="79"/>
        <v>-10752.929724045856</v>
      </c>
      <c r="L776" s="455">
        <f t="shared" ca="1" si="80"/>
        <v>-2591456.0634950516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-2591456.0634950516</v>
      </c>
      <c r="J777" s="455">
        <f t="array" ref="J777">IFERROR(INDEX('Retirement Calculator'!J:J,MATCH('Isaac 401k'!N777,'Retirement Calculator'!A:A,0),0),0)</f>
        <v>7863.2184191855868</v>
      </c>
      <c r="K777" s="455">
        <f t="shared" ca="1" si="79"/>
        <v>-10830.497007975988</v>
      </c>
      <c r="L777" s="455">
        <f t="shared" ca="1" si="80"/>
        <v>-2610149.7789222128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-2610149.7789222128</v>
      </c>
      <c r="J778" s="455">
        <f t="array" ref="J778">IFERROR(INDEX('Retirement Calculator'!J:J,MATCH('Isaac 401k'!N778,'Retirement Calculator'!A:A,0),0),0)</f>
        <v>7863.2184191855868</v>
      </c>
      <c r="K778" s="455">
        <f t="shared" ca="1" si="79"/>
        <v>-10908.387488922492</v>
      </c>
      <c r="L778" s="455">
        <f t="shared" ca="1" si="80"/>
        <v>-2628921.3848303207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-2628921.3848303207</v>
      </c>
      <c r="J779" s="455">
        <f t="array" ref="J779">IFERROR(INDEX('Retirement Calculator'!J:J,MATCH('Isaac 401k'!N779,'Retirement Calculator'!A:A,0),0),0)</f>
        <v>7863.2184191855868</v>
      </c>
      <c r="K779" s="455">
        <f t="shared" ca="1" si="79"/>
        <v>-10986.602513539608</v>
      </c>
      <c r="L779" s="455">
        <f t="shared" ca="1" si="80"/>
        <v>-2647771.2057630457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-2647771.2057630457</v>
      </c>
      <c r="J780" s="455">
        <f t="array" ref="J780">IFERROR(INDEX('Retirement Calculator'!J:J,MATCH('Isaac 401k'!N780,'Retirement Calculator'!A:A,0),0),0)</f>
        <v>7863.2184191855868</v>
      </c>
      <c r="K780" s="455">
        <f t="shared" ca="1" si="79"/>
        <v>-11065.14343409263</v>
      </c>
      <c r="L780" s="455">
        <f t="shared" ca="1" si="80"/>
        <v>-2666699.5676163235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-2666699.5676163235</v>
      </c>
      <c r="J781" s="455">
        <f t="array" ref="J781">IFERROR(INDEX('Retirement Calculator'!J:J,MATCH('Isaac 401k'!N781,'Retirement Calculator'!A:A,0),0),0)</f>
        <v>7863.2184191855868</v>
      </c>
      <c r="K781" s="455">
        <f t="shared" ca="1" si="79"/>
        <v>-11144.011608481287</v>
      </c>
      <c r="L781" s="455">
        <f t="shared" ca="1" si="80"/>
        <v>-2685706.7976439903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-2685706.7976439903</v>
      </c>
      <c r="J782" s="455">
        <f t="array" ref="J782">IFERROR(INDEX('Retirement Calculator'!J:J,MATCH('Isaac 401k'!N782,'Retirement Calculator'!A:A,0),0),0)</f>
        <v>7863.2184191855868</v>
      </c>
      <c r="K782" s="455">
        <f t="shared" ca="1" si="79"/>
        <v>-11223.208400263231</v>
      </c>
      <c r="L782" s="455">
        <f t="shared" ca="1" si="80"/>
        <v>-2704793.2244634391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-2704793.2244634391</v>
      </c>
      <c r="J783" s="455">
        <f t="array" ref="J783">IFERROR(INDEX('Retirement Calculator'!J:J,MATCH('Isaac 401k'!N783,'Retirement Calculator'!A:A,0),0),0)</f>
        <v>7863.2184191855868</v>
      </c>
      <c r="K783" s="455">
        <f t="shared" ca="1" si="79"/>
        <v>-11302.735178677602</v>
      </c>
      <c r="L783" s="455">
        <f t="shared" ca="1" si="80"/>
        <v>-2723959.1780613023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-2723959.1780613023</v>
      </c>
      <c r="J784" s="455">
        <f t="array" ref="J784">IFERROR(INDEX('Retirement Calculator'!J:J,MATCH('Isaac 401k'!N784,'Retirement Calculator'!A:A,0),0),0)</f>
        <v>7863.2184191855868</v>
      </c>
      <c r="K784" s="455">
        <f t="shared" ca="1" si="79"/>
        <v>-11382.593318668698</v>
      </c>
      <c r="L784" s="455">
        <f t="shared" ca="1" si="80"/>
        <v>-2743204.9897991563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-2743204.9897991563</v>
      </c>
      <c r="J785" s="455">
        <f t="array" ref="J785">IFERROR(INDEX('Retirement Calculator'!J:J,MATCH('Isaac 401k'!N785,'Retirement Calculator'!A:A,0),0),0)</f>
        <v>7863.2184191855868</v>
      </c>
      <c r="K785" s="455">
        <f t="shared" ca="1" si="79"/>
        <v>-11462.784200909757</v>
      </c>
      <c r="L785" s="455">
        <f t="shared" ca="1" si="80"/>
        <v>-2762530.9924192512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-2762530.9924192512</v>
      </c>
      <c r="J786" s="455">
        <f t="array" ref="J786">IFERROR(INDEX('Retirement Calculator'!J:J,MATCH('Isaac 401k'!N786,'Retirement Calculator'!A:A,0),0),0)</f>
        <v>7863.2184191855868</v>
      </c>
      <c r="K786" s="455">
        <f t="shared" ca="1" si="79"/>
        <v>-11543.30921182682</v>
      </c>
      <c r="L786" s="455">
        <f t="shared" ca="1" si="80"/>
        <v>-2781937.5200502635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-2781937.5200502635</v>
      </c>
      <c r="J787" s="455">
        <f t="array" ref="J787">IFERROR(INDEX('Retirement Calculator'!J:J,MATCH('Isaac 401k'!N787,'Retirement Calculator'!A:A,0),0),0)</f>
        <v>7863.2184191855868</v>
      </c>
      <c r="K787" s="455">
        <f t="shared" ca="1" si="79"/>
        <v>-11624.169743622704</v>
      </c>
      <c r="L787" s="455">
        <f t="shared" ca="1" si="80"/>
        <v>-2801424.9082130715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-2801424.9082130715</v>
      </c>
      <c r="J788" s="455">
        <f t="array" ref="J788">IFERROR(INDEX('Retirement Calculator'!J:J,MATCH('Isaac 401k'!N788,'Retirement Calculator'!A:A,0),0),0)</f>
        <v>7863.2184191855868</v>
      </c>
      <c r="K788" s="455">
        <f t="shared" ca="1" si="79"/>
        <v>-11705.36719430107</v>
      </c>
      <c r="L788" s="455">
        <f t="shared" ca="1" si="80"/>
        <v>-2820993.4938265579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-2820993.4938265579</v>
      </c>
      <c r="J789" s="455">
        <f t="array" ref="J789">IFERROR(INDEX('Retirement Calculator'!J:J,MATCH('Isaac 401k'!N789,'Retirement Calculator'!A:A,0),0),0)</f>
        <v>7863.2184191855868</v>
      </c>
      <c r="K789" s="455">
        <f t="shared" ca="1" si="79"/>
        <v>-11786.902967690598</v>
      </c>
      <c r="L789" s="455">
        <f t="shared" ca="1" si="80"/>
        <v>-2840643.6152134337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-2840643.6152134337</v>
      </c>
      <c r="J790" s="455">
        <f t="array" ref="J790">IFERROR(INDEX('Retirement Calculator'!J:J,MATCH('Isaac 401k'!N790,'Retirement Calculator'!A:A,0),0),0)</f>
        <v>7863.2184191855868</v>
      </c>
      <c r="K790" s="455">
        <f t="shared" ca="1" si="79"/>
        <v>-11868.778473469247</v>
      </c>
      <c r="L790" s="455">
        <f t="shared" ca="1" si="80"/>
        <v>-2860375.6121060885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-2860375.6121060885</v>
      </c>
      <c r="J791" s="455">
        <f t="array" ref="J791">IFERROR(INDEX('Retirement Calculator'!J:J,MATCH('Isaac 401k'!N791,'Retirement Calculator'!A:A,0),0),0)</f>
        <v>7863.2184191855868</v>
      </c>
      <c r="K791" s="455">
        <f t="shared" ca="1" si="79"/>
        <v>-11950.995127188642</v>
      </c>
      <c r="L791" s="455">
        <f t="shared" ca="1" si="80"/>
        <v>-2880189.8256524624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-2880189.8256524624</v>
      </c>
      <c r="J792" s="455">
        <f t="array" ref="J792">IFERROR(INDEX('Retirement Calculator'!J:J,MATCH('Isaac 401k'!N792,'Retirement Calculator'!A:A,0),0),0)</f>
        <v>7863.2184191855868</v>
      </c>
      <c r="K792" s="455">
        <f t="shared" ca="1" si="79"/>
        <v>-12033.554350298533</v>
      </c>
      <c r="L792" s="455">
        <f t="shared" ca="1" si="80"/>
        <v>-2900086.5984219462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-2900086.5984219462</v>
      </c>
      <c r="J793" s="455">
        <f t="array" ref="J793">IFERROR(INDEX('Retirement Calculator'!J:J,MATCH('Isaac 401k'!N793,'Retirement Calculator'!A:A,0),0),0)</f>
        <v>7863.2184191855868</v>
      </c>
      <c r="K793" s="455">
        <f t="shared" ca="1" si="79"/>
        <v>-12116.457570171382</v>
      </c>
      <c r="L793" s="455">
        <f t="shared" ca="1" si="80"/>
        <v>-2920066.274411303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-2920066.274411303</v>
      </c>
      <c r="J794" s="455">
        <f t="array" ref="J794">IFERROR(INDEX('Retirement Calculator'!J:J,MATCH('Isaac 401k'!N794,'Retirement Calculator'!A:A,0),0),0)</f>
        <v>7863.2184191855868</v>
      </c>
      <c r="K794" s="455">
        <f t="shared" ca="1" si="79"/>
        <v>-12199.706220127035</v>
      </c>
      <c r="L794" s="455">
        <f t="shared" ca="1" si="80"/>
        <v>-2940129.1990506155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-2940129.1990506155</v>
      </c>
      <c r="J795" s="455">
        <f t="array" ref="J795">IFERROR(INDEX('Retirement Calculator'!J:J,MATCH('Isaac 401k'!N795,'Retirement Calculator'!A:A,0),0),0)</f>
        <v>7863.2184191855868</v>
      </c>
      <c r="K795" s="455">
        <f t="shared" ca="1" si="79"/>
        <v>-12283.301739457504</v>
      </c>
      <c r="L795" s="455">
        <f t="shared" ca="1" si="80"/>
        <v>-2960275.7192092584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-2960275.7192092584</v>
      </c>
      <c r="J796" s="455">
        <f t="array" ref="J796">IFERROR(INDEX('Retirement Calculator'!J:J,MATCH('Isaac 401k'!N796,'Retirement Calculator'!A:A,0),0),0)</f>
        <v>7863.2184191855868</v>
      </c>
      <c r="K796" s="455">
        <f t="shared" ca="1" si="79"/>
        <v>-12367.24557345185</v>
      </c>
      <c r="L796" s="455">
        <f t="shared" ca="1" si="80"/>
        <v>-2980506.1832018956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-2980506.1832018956</v>
      </c>
      <c r="J797" s="455">
        <f t="array" ref="J797">IFERROR(INDEX('Retirement Calculator'!J:J,MATCH('Isaac 401k'!N797,'Retirement Calculator'!A:A,0),0),0)</f>
        <v>7863.2184191855868</v>
      </c>
      <c r="K797" s="455">
        <f t="shared" ca="1" si="79"/>
        <v>-12451.53917342117</v>
      </c>
      <c r="L797" s="455">
        <f t="shared" ca="1" si="80"/>
        <v>-3000820.9407945019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-3000820.9407945019</v>
      </c>
      <c r="J798" s="455">
        <f t="array" ref="J798">IFERROR(INDEX('Retirement Calculator'!J:J,MATCH('Isaac 401k'!N798,'Retirement Calculator'!A:A,0),0),0)</f>
        <v>7863.2184191855868</v>
      </c>
      <c r="K798" s="455">
        <f t="shared" ca="1" si="79"/>
        <v>-12536.183996723697</v>
      </c>
      <c r="L798" s="455">
        <f t="shared" ca="1" si="80"/>
        <v>-3021220.3432104108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-3021220.3432104108</v>
      </c>
      <c r="J799" s="455">
        <f t="array" ref="J799">IFERROR(INDEX('Retirement Calculator'!J:J,MATCH('Isaac 401k'!N799,'Retirement Calculator'!A:A,0),0),0)</f>
        <v>7863.2184191855868</v>
      </c>
      <c r="K799" s="455">
        <f t="shared" ca="1" si="79"/>
        <v>-12621.181506789984</v>
      </c>
      <c r="L799" s="455">
        <f t="shared" ca="1" si="80"/>
        <v>-3041704.7431363859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-3041704.7431363859</v>
      </c>
      <c r="J800" s="455">
        <f t="array" ref="J800">IFERROR(INDEX('Retirement Calculator'!J:J,MATCH('Isaac 401k'!N800,'Retirement Calculator'!A:A,0),0),0)</f>
        <v>7863.2184191855868</v>
      </c>
      <c r="K800" s="455">
        <f t="shared" ca="1" si="79"/>
        <v>-12706.533173148213</v>
      </c>
      <c r="L800" s="455">
        <f t="shared" ca="1" si="80"/>
        <v>-3062274.4947287193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-3062274.4947287193</v>
      </c>
      <c r="J801" s="455">
        <f t="array" ref="J801">IFERROR(INDEX('Retirement Calculator'!J:J,MATCH('Isaac 401k'!N801,'Retirement Calculator'!A:A,0),0),0)</f>
        <v>7863.2184191855868</v>
      </c>
      <c r="K801" s="455">
        <f t="shared" ca="1" si="79"/>
        <v>-12792.240471449602</v>
      </c>
      <c r="L801" s="455">
        <f t="shared" ca="1" si="80"/>
        <v>-3082929.9536193544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-3082929.9536193544</v>
      </c>
      <c r="J802" s="455">
        <f t="array" ref="J802">IFERROR(INDEX('Retirement Calculator'!J:J,MATCH('Isaac 401k'!N802,'Retirement Calculator'!A:A,0),0),0)</f>
        <v>7863.2184191855868</v>
      </c>
      <c r="K802" s="455">
        <f t="shared" ca="1" si="79"/>
        <v>-12878.304883493916</v>
      </c>
      <c r="L802" s="455">
        <f t="shared" ca="1" si="80"/>
        <v>-3103671.4769220338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-3103671.4769220338</v>
      </c>
      <c r="J803" s="455">
        <f t="array" ref="J803">IFERROR(INDEX('Retirement Calculator'!J:J,MATCH('Isaac 401k'!N803,'Retirement Calculator'!A:A,0),0),0)</f>
        <v>7863.2184191855868</v>
      </c>
      <c r="K803" s="455">
        <f t="shared" ca="1" si="79"/>
        <v>-12964.727897255079</v>
      </c>
      <c r="L803" s="455">
        <f t="shared" ca="1" si="80"/>
        <v>-3124499.4232384744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-3124499.4232384744</v>
      </c>
      <c r="J804" s="455">
        <f t="array" ref="J804">IFERROR(INDEX('Retirement Calculator'!J:J,MATCH('Isaac 401k'!N804,'Retirement Calculator'!A:A,0),0),0)</f>
        <v>7863.2184191855868</v>
      </c>
      <c r="K804" s="455">
        <f t="shared" ca="1" si="79"/>
        <v>-13051.511006906916</v>
      </c>
      <c r="L804" s="455">
        <f t="shared" ca="1" si="80"/>
        <v>-3145414.1526645669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-3145414.1526645669</v>
      </c>
      <c r="J805" s="455">
        <f t="array" ref="J805">IFERROR(INDEX('Retirement Calculator'!J:J,MATCH('Isaac 401k'!N805,'Retirement Calculator'!A:A,0),0),0)</f>
        <v>7863.2184191855868</v>
      </c>
      <c r="K805" s="455">
        <f t="shared" ca="1" si="79"/>
        <v>-13138.655712848968</v>
      </c>
      <c r="L805" s="455">
        <f t="shared" ca="1" si="80"/>
        <v>-3166416.0267966012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-3166416.0267966012</v>
      </c>
      <c r="J806" s="455">
        <f t="array" ref="J806">IFERROR(INDEX('Retirement Calculator'!J:J,MATCH('Isaac 401k'!N806,'Retirement Calculator'!A:A,0),0),0)</f>
        <v>7863.2184191855868</v>
      </c>
      <c r="K806" s="455">
        <f t="shared" ca="1" si="79"/>
        <v>-13226.163521732444</v>
      </c>
      <c r="L806" s="455">
        <f t="shared" ca="1" si="80"/>
        <v>-3187505.4087375193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-3187505.4087375193</v>
      </c>
      <c r="J807" s="455">
        <f t="array" ref="J807">IFERROR(INDEX('Retirement Calculator'!J:J,MATCH('Isaac 401k'!N807,'Retirement Calculator'!A:A,0),0),0)</f>
        <v>7863.2184191855868</v>
      </c>
      <c r="K807" s="455">
        <f t="shared" ca="1" si="79"/>
        <v>-13314.035946486269</v>
      </c>
      <c r="L807" s="455">
        <f t="shared" ca="1" si="80"/>
        <v>-3208682.6631031907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-3208682.6631031907</v>
      </c>
      <c r="J808" s="455">
        <f t="array" ref="J808">IFERROR(INDEX('Retirement Calculator'!J:J,MATCH('Isaac 401k'!N808,'Retirement Calculator'!A:A,0),0),0)</f>
        <v>7863.2184191855868</v>
      </c>
      <c r="K808" s="455">
        <f t="shared" ca="1" si="79"/>
        <v>-13402.274506343234</v>
      </c>
      <c r="L808" s="455">
        <f t="shared" ca="1" si="80"/>
        <v>-3229948.1560287192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-3229948.1560287192</v>
      </c>
      <c r="J809" s="455">
        <f t="array" ref="J809">IFERROR(INDEX('Retirement Calculator'!J:J,MATCH('Isaac 401k'!N809,'Retirement Calculator'!A:A,0),0),0)</f>
        <v>7863.2184191855868</v>
      </c>
      <c r="K809" s="455">
        <f t="shared" ca="1" si="79"/>
        <v>-13490.880726866269</v>
      </c>
      <c r="L809" s="455">
        <f t="shared" ca="1" si="80"/>
        <v>-3251302.255174771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-3251302.255174771</v>
      </c>
      <c r="J810" s="455">
        <f t="array" ref="J810">IFERROR(INDEX('Retirement Calculator'!J:J,MATCH('Isaac 401k'!N810,'Retirement Calculator'!A:A,0),0),0)</f>
        <v>7863.2184191855868</v>
      </c>
      <c r="K810" s="455">
        <f t="shared" ca="1" si="79"/>
        <v>-13579.856139974818</v>
      </c>
      <c r="L810" s="455">
        <f t="shared" ca="1" si="80"/>
        <v>-3272745.329733931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-3272745.329733931</v>
      </c>
      <c r="J811" s="455">
        <f t="array" ref="J811">IFERROR(INDEX('Retirement Calculator'!J:J,MATCH('Isaac 401k'!N811,'Retirement Calculator'!A:A,0),0),0)</f>
        <v>7863.2184191855868</v>
      </c>
      <c r="K811" s="455">
        <f t="shared" ca="1" si="79"/>
        <v>-13669.202283971317</v>
      </c>
      <c r="L811" s="455">
        <f t="shared" ca="1" si="80"/>
        <v>-3294277.7504370878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-3294277.7504370878</v>
      </c>
      <c r="J812" s="455">
        <f t="array" ref="J812">IFERROR(INDEX('Retirement Calculator'!J:J,MATCH('Isaac 401k'!N812,'Retirement Calculator'!A:A,0),0),0)</f>
        <v>7863.2184191855868</v>
      </c>
      <c r="K812" s="455">
        <f t="shared" ca="1" si="79"/>
        <v>-13758.920703567805</v>
      </c>
      <c r="L812" s="455">
        <f t="shared" ca="1" si="80"/>
        <v>-3315899.8895598412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-3315899.8895598412</v>
      </c>
      <c r="J813" s="455">
        <f t="array" ref="J813">IFERROR(INDEX('Retirement Calculator'!J:J,MATCH('Isaac 401k'!N813,'Retirement Calculator'!A:A,0),0),0)</f>
        <v>7863.2184191855868</v>
      </c>
      <c r="K813" s="455">
        <f t="shared" ca="1" si="79"/>
        <v>-13849.012949912611</v>
      </c>
      <c r="L813" s="455">
        <f t="shared" ca="1" si="80"/>
        <v>-3337612.1209289394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-3337612.1209289394</v>
      </c>
      <c r="J814" s="455">
        <f t="array" ref="J814">IFERROR(INDEX('Retirement Calculator'!J:J,MATCH('Isaac 401k'!N814,'Retirement Calculator'!A:A,0),0),0)</f>
        <v>7863.2184191855868</v>
      </c>
      <c r="K814" s="455">
        <f t="shared" ca="1" si="79"/>
        <v>-13939.480580617188</v>
      </c>
      <c r="L814" s="455">
        <f t="shared" ca="1" si="80"/>
        <v>-3359414.819928742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-3359414.819928742</v>
      </c>
      <c r="J815" s="455">
        <f t="array" ref="J815">IFERROR(INDEX('Retirement Calculator'!J:J,MATCH('Isaac 401k'!N815,'Retirement Calculator'!A:A,0),0),0)</f>
        <v>7863.2184191855868</v>
      </c>
      <c r="K815" s="455">
        <f t="shared" ca="1" si="79"/>
        <v>-14030.325159783033</v>
      </c>
      <c r="L815" s="455">
        <f t="shared" ca="1" si="80"/>
        <v>-3381308.3635077104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-3381308.3635077104</v>
      </c>
      <c r="J816" s="455">
        <f t="array" ref="J816">IFERROR(INDEX('Retirement Calculator'!J:J,MATCH('Isaac 401k'!N816,'Retirement Calculator'!A:A,0),0),0)</f>
        <v>7863.2184191855868</v>
      </c>
      <c r="K816" s="455">
        <f t="shared" ca="1" si="79"/>
        <v>-14121.548258028732</v>
      </c>
      <c r="L816" s="455">
        <f t="shared" ca="1" si="80"/>
        <v>-3403293.1301849247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-3403293.1301849247</v>
      </c>
      <c r="J817" s="455">
        <f t="array" ref="J817">IFERROR(INDEX('Retirement Calculator'!J:J,MATCH('Isaac 401k'!N817,'Retirement Calculator'!A:A,0),0),0)</f>
        <v>7863.2184191855868</v>
      </c>
      <c r="K817" s="455">
        <f t="shared" ca="1" si="79"/>
        <v>-14213.151452517124</v>
      </c>
      <c r="L817" s="455">
        <f t="shared" ca="1" si="80"/>
        <v>-3425369.5000566272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-3425369.5000566272</v>
      </c>
      <c r="J818" s="455">
        <f t="array" ref="J818">IFERROR(INDEX('Retirement Calculator'!J:J,MATCH('Isaac 401k'!N818,'Retirement Calculator'!A:A,0),0),0)</f>
        <v>7863.2184191855868</v>
      </c>
      <c r="K818" s="455">
        <f t="shared" ca="1" si="79"/>
        <v>-14305.136326982552</v>
      </c>
      <c r="L818" s="455">
        <f t="shared" ca="1" si="80"/>
        <v>-3447537.8548027952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-3447537.8548027952</v>
      </c>
      <c r="J819" s="455">
        <f t="array" ref="J819">IFERROR(INDEX('Retirement Calculator'!J:J,MATCH('Isaac 401k'!N819,'Retirement Calculator'!A:A,0),0),0)</f>
        <v>7863.2184191855868</v>
      </c>
      <c r="K819" s="455">
        <f t="shared" ca="1" si="79"/>
        <v>-14397.504471758251</v>
      </c>
      <c r="L819" s="455">
        <f t="shared" ca="1" si="80"/>
        <v>-3469798.577693739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-3469798.577693739</v>
      </c>
      <c r="J820" s="455">
        <f t="array" ref="J820">IFERROR(INDEX('Retirement Calculator'!J:J,MATCH('Isaac 401k'!N820,'Retirement Calculator'!A:A,0),0),0)</f>
        <v>7863.2184191855868</v>
      </c>
      <c r="K820" s="455">
        <f t="shared" ca="1" si="79"/>
        <v>-14490.257483803851</v>
      </c>
      <c r="L820" s="455">
        <f t="shared" ca="1" si="80"/>
        <v>-3492152.053596728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-3492152.053596728</v>
      </c>
      <c r="J821" s="455">
        <f t="array" ref="J821">IFERROR(INDEX('Retirement Calculator'!J:J,MATCH('Isaac 401k'!N821,'Retirement Calculator'!A:A,0),0),0)</f>
        <v>7863.2184191855868</v>
      </c>
      <c r="K821" s="455">
        <f t="shared" ca="1" si="79"/>
        <v>-14583.396966732973</v>
      </c>
      <c r="L821" s="455">
        <f t="shared" ca="1" si="80"/>
        <v>-3514598.6689826464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-3514598.6689826464</v>
      </c>
      <c r="J822" s="455">
        <f t="array" ref="J822">IFERROR(INDEX('Retirement Calculator'!J:J,MATCH('Isaac 401k'!N822,'Retirement Calculator'!A:A,0),0),0)</f>
        <v>7863.2184191855868</v>
      </c>
      <c r="K822" s="455">
        <f t="shared" ca="1" si="79"/>
        <v>-14676.924530840965</v>
      </c>
      <c r="L822" s="455">
        <f t="shared" ca="1" si="80"/>
        <v>-3537138.8119326727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-3537138.8119326727</v>
      </c>
      <c r="J823" s="455">
        <f t="array" ref="J823">IFERROR(INDEX('Retirement Calculator'!J:J,MATCH('Isaac 401k'!N823,'Retirement Calculator'!A:A,0),0),0)</f>
        <v>7863.2184191855868</v>
      </c>
      <c r="K823" s="455">
        <f t="shared" ca="1" si="79"/>
        <v>-14770.841793132742</v>
      </c>
      <c r="L823" s="455">
        <f t="shared" ca="1" si="80"/>
        <v>-3559772.8721449911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-3559772.8721449911</v>
      </c>
      <c r="J824" s="455">
        <f t="array" ref="J824">IFERROR(INDEX('Retirement Calculator'!J:J,MATCH('Isaac 401k'!N824,'Retirement Calculator'!A:A,0),0),0)</f>
        <v>7863.2184191855868</v>
      </c>
      <c r="K824" s="455">
        <f t="shared" ca="1" si="79"/>
        <v>-14865.150377350737</v>
      </c>
      <c r="L824" s="455">
        <f t="shared" ca="1" si="80"/>
        <v>-3582501.2409415273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-3582501.2409415273</v>
      </c>
      <c r="J825" s="455">
        <f t="array" ref="J825">IFERROR(INDEX('Retirement Calculator'!J:J,MATCH('Isaac 401k'!N825,'Retirement Calculator'!A:A,0),0),0)</f>
        <v>7863.2184191855868</v>
      </c>
      <c r="K825" s="455">
        <f t="shared" ca="1" si="79"/>
        <v>-14959.851914002969</v>
      </c>
      <c r="L825" s="455">
        <f t="shared" ca="1" si="80"/>
        <v>-3605324.3112747157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-3605324.3112747157</v>
      </c>
      <c r="J826" s="455">
        <f t="array" ref="J826">IFERROR(INDEX('Retirement Calculator'!J:J,MATCH('Isaac 401k'!N826,'Retirement Calculator'!A:A,0),0),0)</f>
        <v>7863.2184191855868</v>
      </c>
      <c r="K826" s="455">
        <f t="shared" ca="1" si="79"/>
        <v>-15054.948040391255</v>
      </c>
      <c r="L826" s="455">
        <f t="shared" ca="1" si="80"/>
        <v>-3628242.4777342924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-3628242.4777342924</v>
      </c>
      <c r="J827" s="455">
        <f t="array" ref="J827">IFERROR(INDEX('Retirement Calculator'!J:J,MATCH('Isaac 401k'!N827,'Retirement Calculator'!A:A,0),0),0)</f>
        <v>7863.2184191855868</v>
      </c>
      <c r="K827" s="455">
        <f t="shared" ca="1" si="79"/>
        <v>-15150.440400639491</v>
      </c>
      <c r="L827" s="455">
        <f t="shared" ca="1" si="80"/>
        <v>-3651256.1365541173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-3651256.1365541173</v>
      </c>
      <c r="J828" s="455">
        <f t="array" ref="J828">IFERROR(INDEX('Retirement Calculator'!J:J,MATCH('Isaac 401k'!N828,'Retirement Calculator'!A:A,0),0),0)</f>
        <v>7863.2184191855868</v>
      </c>
      <c r="K828" s="455">
        <f t="shared" ca="1" si="79"/>
        <v>-15246.330645722095</v>
      </c>
      <c r="L828" s="455">
        <f t="shared" ca="1" si="80"/>
        <v>-3674365.6856190246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-3674365.6856190246</v>
      </c>
      <c r="J829" s="455">
        <f t="array" ref="J829">IFERROR(INDEX('Retirement Calculator'!J:J,MATCH('Isaac 401k'!N829,'Retirement Calculator'!A:A,0),0),0)</f>
        <v>7863.2184191855868</v>
      </c>
      <c r="K829" s="455">
        <f t="shared" ca="1" si="79"/>
        <v>-15342.620433492542</v>
      </c>
      <c r="L829" s="455">
        <f t="shared" ca="1" si="80"/>
        <v>-3697571.5244717025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-3697571.5244717025</v>
      </c>
      <c r="J830" s="455">
        <f t="array" ref="J830">IFERROR(INDEX('Retirement Calculator'!J:J,MATCH('Isaac 401k'!N830,'Retirement Calculator'!A:A,0),0),0)</f>
        <v>7863.2184191855868</v>
      </c>
      <c r="K830" s="455">
        <f t="shared" ca="1" si="79"/>
        <v>-15439.311428712035</v>
      </c>
      <c r="L830" s="455">
        <f t="shared" ca="1" si="80"/>
        <v>-3720874.0543196001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-3720874.0543196001</v>
      </c>
      <c r="J831" s="455">
        <f t="array" ref="J831">IFERROR(INDEX('Retirement Calculator'!J:J,MATCH('Isaac 401k'!N831,'Retirement Calculator'!A:A,0),0),0)</f>
        <v>7863.2184191855868</v>
      </c>
      <c r="K831" s="455">
        <f t="shared" ca="1" si="79"/>
        <v>-15536.405303078271</v>
      </c>
      <c r="L831" s="455">
        <f t="shared" ca="1" si="80"/>
        <v>-3744273.6780418637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-3744273.6780418637</v>
      </c>
      <c r="J832" s="455">
        <f t="array" ref="J832">IFERROR(INDEX('Retirement Calculator'!J:J,MATCH('Isaac 401k'!N832,'Retirement Calculator'!A:A,0),0),0)</f>
        <v>7863.2184191855868</v>
      </c>
      <c r="K832" s="455">
        <f t="shared" ca="1" si="79"/>
        <v>-15633.903735254369</v>
      </c>
      <c r="L832" s="455">
        <f t="shared" ca="1" si="80"/>
        <v>-3767770.8001963035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-3767770.8001963035</v>
      </c>
      <c r="J833" s="455">
        <f t="array" ref="J833">IFERROR(INDEX('Retirement Calculator'!J:J,MATCH('Isaac 401k'!N833,'Retirement Calculator'!A:A,0),0),0)</f>
        <v>7863.2184191855868</v>
      </c>
      <c r="K833" s="455">
        <f t="shared" ca="1" si="79"/>
        <v>-15731.808410897871</v>
      </c>
      <c r="L833" s="455">
        <f t="shared" ca="1" si="80"/>
        <v>-3791365.8270263867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-3791365.8270263867</v>
      </c>
      <c r="J834" s="455">
        <f t="array" ref="J834">IFERROR(INDEX('Retirement Calculator'!J:J,MATCH('Isaac 401k'!N834,'Retirement Calculator'!A:A,0),0),0)</f>
        <v>7863.2184191855868</v>
      </c>
      <c r="K834" s="455">
        <f t="shared" ca="1" si="79"/>
        <v>-15830.121022689882</v>
      </c>
      <c r="L834" s="455">
        <f t="shared" ca="1" si="80"/>
        <v>-3815059.1664682622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-3815059.1664682622</v>
      </c>
      <c r="J835" s="455">
        <f t="array" ref="J835">IFERROR(INDEX('Retirement Calculator'!J:J,MATCH('Isaac 401k'!N835,'Retirement Calculator'!A:A,0),0),0)</f>
        <v>7863.2184191855868</v>
      </c>
      <c r="K835" s="455">
        <f t="shared" ca="1" si="79"/>
        <v>-15928.843270364367</v>
      </c>
      <c r="L835" s="455">
        <f t="shared" ca="1" si="80"/>
        <v>-3838851.2281578118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-3838851.2281578118</v>
      </c>
      <c r="J836" s="455">
        <f t="array" ref="J836">IFERROR(INDEX('Retirement Calculator'!J:J,MATCH('Isaac 401k'!N836,'Retirement Calculator'!A:A,0),0),0)</f>
        <v>7863.2184191855868</v>
      </c>
      <c r="K836" s="455">
        <f t="shared" ca="1" si="79"/>
        <v>-16027.976860737488</v>
      </c>
      <c r="L836" s="455">
        <f t="shared" ca="1" si="80"/>
        <v>-3862742.4234377346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-3862742.4234377346</v>
      </c>
      <c r="J837" s="455">
        <f t="array" ref="J837">IFERROR(INDEX('Retirement Calculator'!J:J,MATCH('Isaac 401k'!N837,'Retirement Calculator'!A:A,0),0),0)</f>
        <v>7863.2184191855868</v>
      </c>
      <c r="K837" s="455">
        <f t="shared" ca="1" si="79"/>
        <v>-16127.523507737169</v>
      </c>
      <c r="L837" s="455">
        <f t="shared" ca="1" si="80"/>
        <v>-3886733.1653646571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-3886733.1653646571</v>
      </c>
      <c r="J838" s="455">
        <f t="array" ref="J838">IFERROR(INDEX('Retirement Calculator'!J:J,MATCH('Isaac 401k'!N838,'Retirement Calculator'!A:A,0),0),0)</f>
        <v>7863.2184191855868</v>
      </c>
      <c r="K838" s="455">
        <f t="shared" ca="1" si="79"/>
        <v>-16227.484932432677</v>
      </c>
      <c r="L838" s="455">
        <f t="shared" ca="1" si="80"/>
        <v>-3910823.8687162753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-3910823.8687162753</v>
      </c>
      <c r="J839" s="455">
        <f t="array" ref="J839">IFERROR(INDEX('Retirement Calculator'!J:J,MATCH('Isaac 401k'!N839,'Retirement Calculator'!A:A,0),0),0)</f>
        <v>7863.2184191855868</v>
      </c>
      <c r="K839" s="455">
        <f t="shared" ca="1" si="79"/>
        <v>-16327.86286306442</v>
      </c>
      <c r="L839" s="455">
        <f t="shared" ca="1" si="80"/>
        <v>-3935014.949998525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-3935014.949998525</v>
      </c>
      <c r="J840" s="455">
        <f t="array" ref="J840">IFERROR(INDEX('Retirement Calculator'!J:J,MATCH('Isaac 401k'!N840,'Retirement Calculator'!A:A,0),0),0)</f>
        <v>7863.2184191855868</v>
      </c>
      <c r="K840" s="455">
        <f t="shared" ca="1" si="79"/>
        <v>-16428.659035073793</v>
      </c>
      <c r="L840" s="455">
        <f t="shared" ca="1" si="80"/>
        <v>-3959306.8274527839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-3959306.8274527839</v>
      </c>
      <c r="J841" s="455">
        <f t="array" ref="J841">IFERROR(INDEX('Retirement Calculator'!J:J,MATCH('Isaac 401k'!N841,'Retirement Calculator'!A:A,0),0),0)</f>
        <v>7863.2184191855868</v>
      </c>
      <c r="K841" s="455">
        <f t="shared" ca="1" si="79"/>
        <v>-16529.875191133204</v>
      </c>
      <c r="L841" s="455">
        <f t="shared" ca="1" si="80"/>
        <v>-3983699.9210631023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-3983699.9210631023</v>
      </c>
      <c r="J842" s="455">
        <f t="array" ref="J842">IFERROR(INDEX('Retirement Calculator'!J:J,MATCH('Isaac 401k'!N842,'Retirement Calculator'!A:A,0),0),0)</f>
        <v>7863.2184191855868</v>
      </c>
      <c r="K842" s="455">
        <f t="shared" ca="1" si="79"/>
        <v>-16631.513081176199</v>
      </c>
      <c r="L842" s="455">
        <f t="shared" ca="1" si="80"/>
        <v>-4008194.6525634639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-4008194.6525634639</v>
      </c>
      <c r="J843" s="455">
        <f t="array" ref="J843">IFERROR(INDEX('Retirement Calculator'!J:J,MATCH('Isaac 401k'!N843,'Retirement Calculator'!A:A,0),0),0)</f>
        <v>7863.2184191855868</v>
      </c>
      <c r="K843" s="455">
        <f t="shared" ca="1" si="79"/>
        <v>-16733.574462427707</v>
      </c>
      <c r="L843" s="455">
        <f t="shared" ca="1" si="80"/>
        <v>-4032791.445445077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-4032791.445445077</v>
      </c>
      <c r="J844" s="455">
        <f t="array" ref="J844">IFERROR(INDEX('Retirement Calculator'!J:J,MATCH('Isaac 401k'!N844,'Retirement Calculator'!A:A,0),0),0)</f>
        <v>7863.2184191855868</v>
      </c>
      <c r="K844" s="455">
        <f t="shared" ca="1" si="79"/>
        <v>-16836.061099434428</v>
      </c>
      <c r="L844" s="455">
        <f t="shared" ca="1" si="80"/>
        <v>-4057490.7249636967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-4057490.7249636967</v>
      </c>
      <c r="J845" s="455">
        <f t="array" ref="J845">IFERROR(INDEX('Retirement Calculator'!J:J,MATCH('Isaac 401k'!N845,'Retirement Calculator'!A:A,0),0),0)</f>
        <v>7863.2184191855868</v>
      </c>
      <c r="K845" s="455">
        <f t="shared" ca="1" si="79"/>
        <v>-16938.974764095343</v>
      </c>
      <c r="L845" s="455">
        <f t="shared" ca="1" si="80"/>
        <v>-4082292.9181469772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-4082292.9181469772</v>
      </c>
      <c r="J846" s="455">
        <f t="array" ref="J846">IFERROR(INDEX('Retirement Calculator'!J:J,MATCH('Isaac 401k'!N846,'Retirement Calculator'!A:A,0),0),0)</f>
        <v>7863.2184191855868</v>
      </c>
      <c r="K846" s="455">
        <f t="shared" ca="1" si="79"/>
        <v>-17042.317235692342</v>
      </c>
      <c r="L846" s="455">
        <f t="shared" ca="1" si="80"/>
        <v>-4107198.453801855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-4107198.453801855</v>
      </c>
      <c r="J847" s="455">
        <f t="array" ref="J847">IFERROR(INDEX('Retirement Calculator'!J:J,MATCH('Isaac 401k'!N847,'Retirement Calculator'!A:A,0),0),0)</f>
        <v>7863.2184191855868</v>
      </c>
      <c r="K847" s="455">
        <f t="shared" ca="1" si="79"/>
        <v>-17146.090300920998</v>
      </c>
      <c r="L847" s="455">
        <f t="shared" ca="1" si="80"/>
        <v>-4132207.7625219612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-4132207.7625219612</v>
      </c>
      <c r="J848" s="455">
        <f t="array" ref="J848">IFERROR(INDEX('Retirement Calculator'!J:J,MATCH('Isaac 401k'!N848,'Retirement Calculator'!A:A,0),0),0)</f>
        <v>7863.2184191855868</v>
      </c>
      <c r="K848" s="455">
        <f t="shared" ca="1" si="79"/>
        <v>-17250.295753921444</v>
      </c>
      <c r="L848" s="455">
        <f t="shared" ca="1" si="80"/>
        <v>-4157321.276695068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-4157321.276695068</v>
      </c>
      <c r="J849" s="455">
        <f t="array" ref="J849">IFERROR(INDEX('Retirement Calculator'!J:J,MATCH('Isaac 401k'!N849,'Retirement Calculator'!A:A,0),0),0)</f>
        <v>7863.2184191855868</v>
      </c>
      <c r="K849" s="455">
        <f t="shared" ca="1" si="79"/>
        <v>-17354.935396309389</v>
      </c>
      <c r="L849" s="455">
        <f t="shared" ca="1" si="80"/>
        <v>-4182539.4305105628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-4182539.4305105628</v>
      </c>
      <c r="J850" s="455">
        <f t="array" ref="J850">IFERROR(INDEX('Retirement Calculator'!J:J,MATCH('Isaac 401k'!N850,'Retirement Calculator'!A:A,0),0),0)</f>
        <v>7863.2184191855868</v>
      </c>
      <c r="K850" s="455">
        <f t="shared" ca="1" si="79"/>
        <v>-17460.011037207285</v>
      </c>
      <c r="L850" s="455">
        <f t="shared" ca="1" si="80"/>
        <v>-4207862.6599669559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-4207862.6599669559</v>
      </c>
      <c r="J851" s="455">
        <f t="array" ref="J851">IFERROR(INDEX('Retirement Calculator'!J:J,MATCH('Isaac 401k'!N851,'Retirement Calculator'!A:A,0),0),0)</f>
        <v>7863.2184191855868</v>
      </c>
      <c r="K851" s="455">
        <f t="shared" ca="1" si="79"/>
        <v>-17565.524493275589</v>
      </c>
      <c r="L851" s="455">
        <f t="shared" ca="1" si="80"/>
        <v>-4233291.4028794169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-4233291.4028794169</v>
      </c>
      <c r="J852" s="455">
        <f t="array" ref="J852">IFERROR(INDEX('Retirement Calculator'!J:J,MATCH('Isaac 401k'!N852,'Retirement Calculator'!A:A,0),0),0)</f>
        <v>7863.2184191855868</v>
      </c>
      <c r="K852" s="455">
        <f t="shared" ca="1" si="79"/>
        <v>-17671.477588744179</v>
      </c>
      <c r="L852" s="455">
        <f t="shared" ca="1" si="80"/>
        <v>-4258826.0988873467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-4258826.0988873467</v>
      </c>
      <c r="J853" s="455">
        <f t="array" ref="J853">IFERROR(INDEX('Retirement Calculator'!J:J,MATCH('Isaac 401k'!N853,'Retirement Calculator'!A:A,0),0),0)</f>
        <v>7863.2184191855868</v>
      </c>
      <c r="K853" s="455">
        <f t="shared" ca="1" si="79"/>
        <v>-17777.872155443885</v>
      </c>
      <c r="L853" s="455">
        <f t="shared" ca="1" si="80"/>
        <v>-4284467.1894619763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-4284467.1894619763</v>
      </c>
      <c r="J854" s="455">
        <f t="array" ref="J854">IFERROR(INDEX('Retirement Calculator'!J:J,MATCH('Isaac 401k'!N854,'Retirement Calculator'!A:A,0),0),0)</f>
        <v>7863.2184191855868</v>
      </c>
      <c r="K854" s="455">
        <f t="shared" ca="1" si="79"/>
        <v>-17884.710032838175</v>
      </c>
      <c r="L854" s="455">
        <f t="shared" ca="1" si="80"/>
        <v>-4310215.1179140005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-4310215.1179140005</v>
      </c>
      <c r="J855" s="455">
        <f t="array" ref="J855">IFERROR(INDEX('Retirement Calculator'!J:J,MATCH('Isaac 401k'!N855,'Retirement Calculator'!A:A,0),0),0)</f>
        <v>7863.2184191855868</v>
      </c>
      <c r="K855" s="455">
        <f t="shared" ca="1" si="79"/>
        <v>-17991.993068054944</v>
      </c>
      <c r="L855" s="455">
        <f t="shared" ca="1" si="80"/>
        <v>-4336070.3294012416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-4336070.3294012416</v>
      </c>
      <c r="J856" s="455">
        <f t="array" ref="J856">IFERROR(INDEX('Retirement Calculator'!J:J,MATCH('Isaac 401k'!N856,'Retirement Calculator'!A:A,0),0),0)</f>
        <v>7863.2184191855868</v>
      </c>
      <c r="K856" s="455">
        <f t="shared" ca="1" si="79"/>
        <v>-18099.723115918448</v>
      </c>
      <c r="L856" s="455">
        <f t="shared" ca="1" si="80"/>
        <v>-4362033.2709363457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-4362033.2709363457</v>
      </c>
      <c r="J857" s="455">
        <f t="array" ref="J857">IFERROR(INDEX('Retirement Calculator'!J:J,MATCH('Isaac 401k'!N857,'Retirement Calculator'!A:A,0),0),0)</f>
        <v>7863.2184191855868</v>
      </c>
      <c r="K857" s="455">
        <f t="shared" ca="1" si="79"/>
        <v>-18207.902038981381</v>
      </c>
      <c r="L857" s="455">
        <f t="shared" ca="1" si="80"/>
        <v>-4388104.3913945127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-4388104.3913945127</v>
      </c>
      <c r="J858" s="455">
        <f t="array" ref="J858">IFERROR(INDEX('Retirement Calculator'!J:J,MATCH('Isaac 401k'!N858,'Retirement Calculator'!A:A,0),0),0)</f>
        <v>7863.2184191855868</v>
      </c>
      <c r="K858" s="455">
        <f t="shared" ca="1" si="79"/>
        <v>-18316.531707557078</v>
      </c>
      <c r="L858" s="455">
        <f t="shared" ca="1" si="80"/>
        <v>-4414284.1415212555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-4414284.1415212555</v>
      </c>
      <c r="J859" s="455">
        <f t="array" ref="J859">IFERROR(INDEX('Retirement Calculator'!J:J,MATCH('Isaac 401k'!N859,'Retirement Calculator'!A:A,0),0),0)</f>
        <v>7863.2184191855868</v>
      </c>
      <c r="K859" s="455">
        <f t="shared" ca="1" si="79"/>
        <v>-18425.61399975184</v>
      </c>
      <c r="L859" s="455">
        <f t="shared" ca="1" si="80"/>
        <v>-4440572.9739401927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-4440572.9739401927</v>
      </c>
      <c r="J860" s="455">
        <f t="array" ref="J860">IFERROR(INDEX('Retirement Calculator'!J:J,MATCH('Isaac 401k'!N860,'Retirement Calculator'!A:A,0),0),0)</f>
        <v>7863.2184191855868</v>
      </c>
      <c r="K860" s="455">
        <f t="shared" ca="1" si="79"/>
        <v>-18535.15080149741</v>
      </c>
      <c r="L860" s="455">
        <f t="shared" ca="1" si="80"/>
        <v>-4466971.3431608761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-4466971.3431608761</v>
      </c>
      <c r="J861" s="455">
        <f t="array" ref="J861">IFERROR(INDEX('Retirement Calculator'!J:J,MATCH('Isaac 401k'!N861,'Retirement Calculator'!A:A,0),0),0)</f>
        <v>7863.2184191855868</v>
      </c>
      <c r="K861" s="455">
        <f t="shared" ca="1" si="79"/>
        <v>-18645.144006583592</v>
      </c>
      <c r="L861" s="455">
        <f t="shared" ca="1" si="80"/>
        <v>-4493479.7055866458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-4493479.7055866458</v>
      </c>
      <c r="J862" s="455">
        <f t="array" ref="J862">IFERROR(INDEX('Retirement Calculator'!J:J,MATCH('Isaac 401k'!N862,'Retirement Calculator'!A:A,0),0),0)</f>
        <v>7863.2184191855868</v>
      </c>
      <c r="K862" s="455">
        <f t="shared" ca="1" si="79"/>
        <v>-18755.595516690966</v>
      </c>
      <c r="L862" s="455">
        <f t="shared" ca="1" si="80"/>
        <v>-4520098.5195225226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-4520098.5195225226</v>
      </c>
      <c r="J863" s="455">
        <f t="array" ref="J863">IFERROR(INDEX('Retirement Calculator'!J:J,MATCH('Isaac 401k'!N863,'Retirement Calculator'!A:A,0),0),0)</f>
        <v>7863.2184191855868</v>
      </c>
      <c r="K863" s="455">
        <f t="shared" ca="1" si="79"/>
        <v>-18866.507241423784</v>
      </c>
      <c r="L863" s="455">
        <f t="shared" ca="1" si="80"/>
        <v>-4546828.2451831326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-4546828.2451831326</v>
      </c>
      <c r="J864" s="455">
        <f t="array" ref="J864">IFERROR(INDEX('Retirement Calculator'!J:J,MATCH('Isaac 401k'!N864,'Retirement Calculator'!A:A,0),0),0)</f>
        <v>7863.2184191855868</v>
      </c>
      <c r="K864" s="455">
        <f t="shared" ca="1" si="79"/>
        <v>-18977.881098342994</v>
      </c>
      <c r="L864" s="455">
        <f t="shared" ca="1" si="80"/>
        <v>-4573669.3447006615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-4573669.3447006615</v>
      </c>
      <c r="J865" s="455">
        <f t="array" ref="J865">IFERROR(INDEX('Retirement Calculator'!J:J,MATCH('Isaac 401k'!N865,'Retirement Calculator'!A:A,0),0),0)</f>
        <v>7863.2184191855868</v>
      </c>
      <c r="K865" s="455">
        <f t="shared" ca="1" si="79"/>
        <v>-19089.719012999365</v>
      </c>
      <c r="L865" s="455">
        <f t="shared" ca="1" si="80"/>
        <v>-4600622.2821328463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-4600622.2821328463</v>
      </c>
      <c r="J866" s="455">
        <f t="array" ref="J866">IFERROR(INDEX('Retirement Calculator'!J:J,MATCH('Isaac 401k'!N866,'Retirement Calculator'!A:A,0),0),0)</f>
        <v>7863.2184191855868</v>
      </c>
      <c r="K866" s="455">
        <f t="shared" ca="1" si="79"/>
        <v>-19202.022918966799</v>
      </c>
      <c r="L866" s="455">
        <f t="shared" ca="1" si="80"/>
        <v>-4627687.5234709987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-4627687.5234709987</v>
      </c>
      <c r="J867" s="455">
        <f t="array" ref="J867">IFERROR(INDEX('Retirement Calculator'!J:J,MATCH('Isaac 401k'!N867,'Retirement Calculator'!A:A,0),0),0)</f>
        <v>7863.2184191855868</v>
      </c>
      <c r="K867" s="455">
        <f t="shared" ca="1" si="79"/>
        <v>-19314.79475787577</v>
      </c>
      <c r="L867" s="455">
        <f t="shared" ca="1" si="80"/>
        <v>-4654865.5366480602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-4654865.5366480602</v>
      </c>
      <c r="J868" s="455">
        <f t="array" ref="J868">IFERROR(INDEX('Retirement Calculator'!J:J,MATCH('Isaac 401k'!N868,'Retirement Calculator'!A:A,0),0),0)</f>
        <v>7863.2184191855868</v>
      </c>
      <c r="K868" s="455">
        <f t="shared" ca="1" si="79"/>
        <v>-19428.036479446859</v>
      </c>
      <c r="L868" s="455">
        <f t="shared" ca="1" si="80"/>
        <v>-4682156.7915466931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-4682156.7915466931</v>
      </c>
      <c r="J869" s="455">
        <f t="array" ref="J869">IFERROR(INDEX('Retirement Calculator'!J:J,MATCH('Isaac 401k'!N869,'Retirement Calculator'!A:A,0),0),0)</f>
        <v>7863.2184191855868</v>
      </c>
      <c r="K869" s="455">
        <f t="shared" ca="1" si="79"/>
        <v>-19541.750041524494</v>
      </c>
      <c r="L869" s="455">
        <f t="shared" ca="1" si="80"/>
        <v>-4709561.7600074038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-4709561.7600074038</v>
      </c>
      <c r="J870" s="455">
        <f t="array" ref="J870">IFERROR(INDEX('Retirement Calculator'!J:J,MATCH('Isaac 401k'!N870,'Retirement Calculator'!A:A,0),0),0)</f>
        <v>7863.2184191855868</v>
      </c>
      <c r="K870" s="455">
        <f t="shared" ca="1" si="79"/>
        <v>-19655.93741011079</v>
      </c>
      <c r="L870" s="455">
        <f t="shared" ca="1" si="80"/>
        <v>-4737080.9158367002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-4737080.9158367002</v>
      </c>
      <c r="J871" s="455">
        <f t="array" ref="J871">IFERROR(INDEX('Retirement Calculator'!J:J,MATCH('Isaac 401k'!N871,'Retirement Calculator'!A:A,0),0),0)</f>
        <v>7863.2184191855868</v>
      </c>
      <c r="K871" s="455">
        <f t="shared" ca="1" si="79"/>
        <v>-19770.600559399525</v>
      </c>
      <c r="L871" s="455">
        <f t="shared" ca="1" si="80"/>
        <v>-4764714.7348152855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-4764714.7348152855</v>
      </c>
      <c r="J872" s="455">
        <f t="array" ref="J872">IFERROR(INDEX('Retirement Calculator'!J:J,MATCH('Isaac 401k'!N872,'Retirement Calculator'!A:A,0),0),0)</f>
        <v>7863.2184191855868</v>
      </c>
      <c r="K872" s="455">
        <f t="shared" ca="1" si="79"/>
        <v>-19885.741471810295</v>
      </c>
      <c r="L872" s="455">
        <f t="shared" ca="1" si="80"/>
        <v>-4792463.6947062816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-4792463.6947062816</v>
      </c>
      <c r="J873" s="455">
        <f t="array" ref="J873">IFERROR(INDEX('Retirement Calculator'!J:J,MATCH('Isaac 401k'!N873,'Retirement Calculator'!A:A,0),0),0)</f>
        <v>7863.2184191855868</v>
      </c>
      <c r="K873" s="455">
        <f t="shared" ca="1" si="79"/>
        <v>-20001.362138022781</v>
      </c>
      <c r="L873" s="455">
        <f t="shared" ca="1" si="80"/>
        <v>-4820328.2752634902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-4820328.2752634902</v>
      </c>
      <c r="J874" s="455">
        <f t="array" ref="J874">IFERROR(INDEX('Retirement Calculator'!J:J,MATCH('Isaac 401k'!N874,'Retirement Calculator'!A:A,0),0),0)</f>
        <v>7863.2184191855868</v>
      </c>
      <c r="K874" s="455">
        <f t="shared" ca="1" si="79"/>
        <v>-20117.46455701115</v>
      </c>
      <c r="L874" s="455">
        <f t="shared" ca="1" si="80"/>
        <v>-4848308.9582396876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-4848308.9582396876</v>
      </c>
      <c r="J875" s="455">
        <f t="array" ref="J875">IFERROR(INDEX('Retirement Calculator'!J:J,MATCH('Isaac 401k'!N875,'Retirement Calculator'!A:A,0),0),0)</f>
        <v>7863.2184191855868</v>
      </c>
      <c r="K875" s="455">
        <f t="shared" ca="1" si="79"/>
        <v>-20234.05073607864</v>
      </c>
      <c r="L875" s="455">
        <f t="shared" ca="1" si="80"/>
        <v>-4876406.2273949524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-4876406.2273949524</v>
      </c>
      <c r="J876" s="455">
        <f t="array" ref="J876">IFERROR(INDEX('Retirement Calculator'!J:J,MATCH('Isaac 401k'!N876,'Retirement Calculator'!A:A,0),0),0)</f>
        <v>7863.2184191855868</v>
      </c>
      <c r="K876" s="455">
        <f t="shared" ca="1" si="79"/>
        <v>-20351.122690892244</v>
      </c>
      <c r="L876" s="455">
        <f t="shared" ca="1" si="80"/>
        <v>-4904620.5685050301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-4904620.5685050301</v>
      </c>
      <c r="J877" s="455">
        <f t="array" ref="J877">IFERROR(INDEX('Retirement Calculator'!J:J,MATCH('Isaac 401k'!N877,'Retirement Calculator'!A:A,0),0),0)</f>
        <v>7863.2184191855868</v>
      </c>
      <c r="K877" s="455">
        <f t="shared" ca="1" si="79"/>
        <v>-20468.682445517567</v>
      </c>
      <c r="L877" s="455">
        <f t="shared" ca="1" si="80"/>
        <v>-4932952.4693697337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-4932952.4693697337</v>
      </c>
      <c r="J878" s="455">
        <f t="array" ref="J878">IFERROR(INDEX('Retirement Calculator'!J:J,MATCH('Isaac 401k'!N878,'Retirement Calculator'!A:A,0),0),0)</f>
        <v>7863.2184191855868</v>
      </c>
      <c r="K878" s="455">
        <f t="shared" ca="1" si="79"/>
        <v>-20586.73203245383</v>
      </c>
      <c r="L878" s="455">
        <f t="shared" ca="1" si="80"/>
        <v>-4961402.4198213732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-4961402.4198213732</v>
      </c>
      <c r="J879" s="455">
        <f t="array" ref="J879">IFERROR(INDEX('Retirement Calculator'!J:J,MATCH('Isaac 401k'!N879,'Retirement Calculator'!A:A,0),0),0)</f>
        <v>7863.2184191855868</v>
      </c>
      <c r="K879" s="455">
        <f t="shared" ca="1" si="79"/>
        <v>-20705.273492668995</v>
      </c>
      <c r="L879" s="455">
        <f t="shared" ca="1" si="80"/>
        <v>-4989970.9117332278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-4989970.9117332278</v>
      </c>
      <c r="J880" s="455">
        <f t="array" ref="J880">IFERROR(INDEX('Retirement Calculator'!J:J,MATCH('Isaac 401k'!N880,'Retirement Calculator'!A:A,0),0),0)</f>
        <v>7863.2184191855868</v>
      </c>
      <c r="K880" s="455">
        <f t="shared" ca="1" si="79"/>
        <v>-20824.308875635055</v>
      </c>
      <c r="L880" s="455">
        <f t="shared" ca="1" si="80"/>
        <v>-5018658.4390280489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-5018658.4390280489</v>
      </c>
      <c r="J881" s="455">
        <f t="array" ref="J881">IFERROR(INDEX('Retirement Calculator'!J:J,MATCH('Isaac 401k'!N881,'Retirement Calculator'!A:A,0),0),0)</f>
        <v>7863.2184191855868</v>
      </c>
      <c r="K881" s="455">
        <f t="shared" ca="1" si="79"/>
        <v>-20943.840239363479</v>
      </c>
      <c r="L881" s="455">
        <f t="shared" ca="1" si="80"/>
        <v>-5047465.4976865984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-5047465.4976865984</v>
      </c>
      <c r="J882" s="455">
        <f t="array" ref="J882">IFERROR(INDEX('Retirement Calculator'!J:J,MATCH('Isaac 401k'!N882,'Retirement Calculator'!A:A,0),0),0)</f>
        <v>7863.2184191855868</v>
      </c>
      <c r="K882" s="455">
        <f t="shared" ca="1" si="79"/>
        <v>-21063.869650440767</v>
      </c>
      <c r="L882" s="455">
        <f t="shared" ca="1" si="80"/>
        <v>-5076392.5857562255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-5076392.5857562255</v>
      </c>
      <c r="J883" s="455">
        <f t="array" ref="J883">IFERROR(INDEX('Retirement Calculator'!J:J,MATCH('Isaac 401k'!N883,'Retirement Calculator'!A:A,0),0),0)</f>
        <v>7863.2184191855868</v>
      </c>
      <c r="K883" s="455">
        <f t="shared" ca="1" si="79"/>
        <v>-21184.399184064212</v>
      </c>
      <c r="L883" s="455">
        <f t="shared" ca="1" si="80"/>
        <v>-5105440.2033594754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-5105440.2033594754</v>
      </c>
      <c r="J884" s="455">
        <f t="array" ref="J884">IFERROR(INDEX('Retirement Calculator'!J:J,MATCH('Isaac 401k'!N884,'Retirement Calculator'!A:A,0),0),0)</f>
        <v>7863.2184191855868</v>
      </c>
      <c r="K884" s="455">
        <f t="shared" ca="1" si="79"/>
        <v>-21305.430924077755</v>
      </c>
      <c r="L884" s="455">
        <f t="shared" ca="1" si="80"/>
        <v>-5134608.8527027387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-5134608.8527027387</v>
      </c>
      <c r="J885" s="455">
        <f t="array" ref="J885">IFERROR(INDEX('Retirement Calculator'!J:J,MATCH('Isaac 401k'!N885,'Retirement Calculator'!A:A,0),0),0)</f>
        <v>7863.2184191855868</v>
      </c>
      <c r="K885" s="455">
        <f t="shared" ca="1" si="79"/>
        <v>-21426.966963008017</v>
      </c>
      <c r="L885" s="455">
        <f t="shared" ca="1" si="80"/>
        <v>-5163899.0380849326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-5163899.0380849326</v>
      </c>
      <c r="J886" s="455">
        <f t="array" ref="J886">IFERROR(INDEX('Retirement Calculator'!J:J,MATCH('Isaac 401k'!N886,'Retirement Calculator'!A:A,0),0),0)</f>
        <v>7863.2184191855868</v>
      </c>
      <c r="K886" s="455">
        <f t="shared" ca="1" si="79"/>
        <v>-21549.009402100492</v>
      </c>
      <c r="L886" s="455">
        <f t="shared" ca="1" si="80"/>
        <v>-5193311.2659062194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-5193311.2659062194</v>
      </c>
      <c r="J887" s="455">
        <f t="array" ref="J887">IFERROR(INDEX('Retirement Calculator'!J:J,MATCH('Isaac 401k'!N887,'Retirement Calculator'!A:A,0),0),0)</f>
        <v>7863.2184191855868</v>
      </c>
      <c r="K887" s="455">
        <f t="shared" ca="1" si="79"/>
        <v>-21671.560351355856</v>
      </c>
      <c r="L887" s="455">
        <f t="shared" ca="1" si="80"/>
        <v>-5222846.0446767611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-5222846.0446767611</v>
      </c>
      <c r="J888" s="455">
        <f t="array" ref="J888">IFERROR(INDEX('Retirement Calculator'!J:J,MATCH('Isaac 401k'!N888,'Retirement Calculator'!A:A,0),0),0)</f>
        <v>7863.2184191855868</v>
      </c>
      <c r="K888" s="455">
        <f t="shared" ca="1" si="79"/>
        <v>-21794.621929566445</v>
      </c>
      <c r="L888" s="455">
        <f t="shared" ca="1" si="80"/>
        <v>-5252503.8850255134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-5252503.8850255134</v>
      </c>
      <c r="J889" s="455">
        <f t="array" ref="J889">IFERROR(INDEX('Retirement Calculator'!J:J,MATCH('Isaac 401k'!N889,'Retirement Calculator'!A:A,0),0),0)</f>
        <v>7863.2184191855868</v>
      </c>
      <c r="K889" s="455">
        <f t="shared" ca="1" si="79"/>
        <v>-21918.196264352911</v>
      </c>
      <c r="L889" s="455">
        <f t="shared" ca="1" si="80"/>
        <v>-5282285.2997090518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-5282285.2997090518</v>
      </c>
      <c r="J890" s="455">
        <f t="array" ref="J890">IFERROR(INDEX('Retirement Calculator'!J:J,MATCH('Isaac 401k'!N890,'Retirement Calculator'!A:A,0),0),0)</f>
        <v>7863.2184191855868</v>
      </c>
      <c r="K890" s="455">
        <f t="shared" ca="1" si="79"/>
        <v>-22042.28549220099</v>
      </c>
      <c r="L890" s="455">
        <f t="shared" ca="1" si="80"/>
        <v>-5312190.803620439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-5312190.803620439</v>
      </c>
      <c r="J891" s="455">
        <f t="array" ref="J891">IFERROR(INDEX('Retirement Calculator'!J:J,MATCH('Isaac 401k'!N891,'Retirement Calculator'!A:A,0),0),0)</f>
        <v>7863.2184191855868</v>
      </c>
      <c r="K891" s="455">
        <f t="shared" ca="1" si="79"/>
        <v>-22166.891758498437</v>
      </c>
      <c r="L891" s="455">
        <f t="shared" ca="1" si="80"/>
        <v>-5342220.9137981236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-5342220.9137981236</v>
      </c>
      <c r="J892" s="455">
        <f t="array" ref="J892">IFERROR(INDEX('Retirement Calculator'!J:J,MATCH('Isaac 401k'!N892,'Retirement Calculator'!A:A,0),0),0)</f>
        <v>7863.2184191855868</v>
      </c>
      <c r="K892" s="455">
        <f t="shared" ca="1" si="79"/>
        <v>-22292.017217572124</v>
      </c>
      <c r="L892" s="455">
        <f t="shared" ca="1" si="80"/>
        <v>-5372376.1494348813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-5372376.1494348813</v>
      </c>
      <c r="J893" s="455">
        <f t="array" ref="J893">IFERROR(INDEX('Retirement Calculator'!J:J,MATCH('Isaac 401k'!N893,'Retirement Calculator'!A:A,0),0),0)</f>
        <v>7863.2184191855868</v>
      </c>
      <c r="K893" s="455">
        <f t="shared" ca="1" si="79"/>
        <v>-22417.664032725279</v>
      </c>
      <c r="L893" s="455">
        <f t="shared" ca="1" si="80"/>
        <v>-5402657.0318867927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-5402657.0318867927</v>
      </c>
      <c r="J894" s="455">
        <f t="array" ref="J894">IFERROR(INDEX('Retirement Calculator'!J:J,MATCH('Isaac 401k'!N894,'Retirement Calculator'!A:A,0),0),0)</f>
        <v>7863.2184191855868</v>
      </c>
      <c r="K894" s="455">
        <f t="shared" ca="1" si="79"/>
        <v>-22543.83437627491</v>
      </c>
      <c r="L894" s="455">
        <f t="shared" ca="1" si="80"/>
        <v>-5433064.0846822532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-5433064.0846822532</v>
      </c>
      <c r="J895" s="455">
        <f t="array" ref="J895">IFERROR(INDEX('Retirement Calculator'!J:J,MATCH('Isaac 401k'!N895,'Retirement Calculator'!A:A,0),0),0)</f>
        <v>7863.2184191855868</v>
      </c>
      <c r="K895" s="455">
        <f t="shared" ca="1" si="79"/>
        <v>-22670.530429589329</v>
      </c>
      <c r="L895" s="455">
        <f t="shared" ca="1" si="80"/>
        <v>-5463597.8335310286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-5463597.8335310286</v>
      </c>
      <c r="J896" s="455">
        <f t="array" ref="J896">IFERROR(INDEX('Retirement Calculator'!J:J,MATCH('Isaac 401k'!N896,'Retirement Calculator'!A:A,0),0),0)</f>
        <v>7863.2184191855868</v>
      </c>
      <c r="K896" s="455">
        <f t="shared" ca="1" si="79"/>
        <v>-22797.754383125892</v>
      </c>
      <c r="L896" s="455">
        <f t="shared" ca="1" si="80"/>
        <v>-5494258.8063333407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-5494258.8063333407</v>
      </c>
      <c r="J897" s="455">
        <f t="array" ref="J897">IFERROR(INDEX('Retirement Calculator'!J:J,MATCH('Isaac 401k'!N897,'Retirement Calculator'!A:A,0),0),0)</f>
        <v>7863.2184191855868</v>
      </c>
      <c r="K897" s="455">
        <f t="shared" ca="1" si="79"/>
        <v>-22925.508436468859</v>
      </c>
      <c r="L897" s="455">
        <f t="shared" ca="1" si="80"/>
        <v>-5525047.533188995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-5525047.533188995</v>
      </c>
      <c r="J898" s="455">
        <f t="array" ref="J898">IFERROR(INDEX('Retirement Calculator'!J:J,MATCH('Isaac 401k'!N898,'Retirement Calculator'!A:A,0),0),0)</f>
        <v>7863.2184191855868</v>
      </c>
      <c r="K898" s="455">
        <f t="shared" ca="1" si="79"/>
        <v>-23053.79479836742</v>
      </c>
      <c r="L898" s="455">
        <f t="shared" ca="1" si="80"/>
        <v>-5555964.5464065485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-5555964.5464065485</v>
      </c>
      <c r="J899" s="455">
        <f t="array" ref="J899">IFERROR(INDEX('Retirement Calculator'!J:J,MATCH('Isaac 401k'!N899,'Retirement Calculator'!A:A,0),0),0)</f>
        <v>7863.2184191855868</v>
      </c>
      <c r="K899" s="455">
        <f t="shared" ca="1" si="79"/>
        <v>-23182.615686773894</v>
      </c>
      <c r="L899" s="455">
        <f t="shared" ca="1" si="80"/>
        <v>-5587010.3805125086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-5587010.3805125086</v>
      </c>
      <c r="J900" s="455">
        <f t="array" ref="J900">IFERROR(INDEX('Retirement Calculator'!J:J,MATCH('Isaac 401k'!N900,'Retirement Calculator'!A:A,0),0),0)</f>
        <v>7863.2184191855868</v>
      </c>
      <c r="K900" s="455">
        <f t="shared" ca="1" si="79"/>
        <v>-23311.973328882061</v>
      </c>
      <c r="L900" s="455">
        <f t="shared" ca="1" si="80"/>
        <v>-5618185.5722605763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-5618185.5722605763</v>
      </c>
      <c r="J901" s="455">
        <f t="array" ref="J901">IFERROR(INDEX('Retirement Calculator'!J:J,MATCH('Isaac 401k'!N901,'Retirement Calculator'!A:A,0),0),0)</f>
        <v>7863.2184191855868</v>
      </c>
      <c r="K901" s="455">
        <f t="shared" ca="1" si="79"/>
        <v>-23441.869961165674</v>
      </c>
      <c r="L901" s="455">
        <f t="shared" ca="1" si="80"/>
        <v>-5649490.660640928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-5649490.660640928</v>
      </c>
      <c r="J902" s="455">
        <f t="array" ref="J902">IFERROR(INDEX('Retirement Calculator'!J:J,MATCH('Isaac 401k'!N902,'Retirement Calculator'!A:A,0),0),0)</f>
        <v>7863.2184191855868</v>
      </c>
      <c r="K902" s="455">
        <f t="shared" ca="1" si="79"/>
        <v>-23572.307829417139</v>
      </c>
      <c r="L902" s="455">
        <f t="shared" ca="1" si="80"/>
        <v>-5680926.1868895311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-5680926.1868895311</v>
      </c>
      <c r="J903" s="455">
        <f t="array" ref="J903">IFERROR(INDEX('Retirement Calculator'!J:J,MATCH('Isaac 401k'!N903,'Retirement Calculator'!A:A,0),0),0)</f>
        <v>7863.2184191855868</v>
      </c>
      <c r="K903" s="455">
        <f t="shared" ca="1" si="79"/>
        <v>-23703.289188786319</v>
      </c>
      <c r="L903" s="455">
        <f t="shared" ca="1" si="80"/>
        <v>-5712492.6944975033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-5712492.6944975033</v>
      </c>
      <c r="J904" s="455">
        <f t="array" ref="J904">IFERROR(INDEX('Retirement Calculator'!J:J,MATCH('Isaac 401k'!N904,'Retirement Calculator'!A:A,0),0),0)</f>
        <v>7863.2184191855868</v>
      </c>
      <c r="K904" s="455">
        <f t="shared" ca="1" si="79"/>
        <v>-23834.816303819538</v>
      </c>
      <c r="L904" s="455">
        <f t="shared" ca="1" si="80"/>
        <v>-5744190.7292205086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-5744190.7292205086</v>
      </c>
      <c r="J905" s="455">
        <f t="array" ref="J905">IFERROR(INDEX('Retirement Calculator'!J:J,MATCH('Isaac 401k'!N905,'Retirement Calculator'!A:A,0),0),0)</f>
        <v>7863.2184191855868</v>
      </c>
      <c r="K905" s="455">
        <f t="shared" ca="1" si="79"/>
        <v>-23966.891448498725</v>
      </c>
      <c r="L905" s="455">
        <f t="shared" ca="1" si="80"/>
        <v>-5776020.8390881931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-5776020.8390881931</v>
      </c>
      <c r="J906" s="455">
        <f t="array" ref="J906">IFERROR(INDEX('Retirement Calculator'!J:J,MATCH('Isaac 401k'!N906,'Retirement Calculator'!A:A,0),0),0)</f>
        <v>7863.2184191855868</v>
      </c>
      <c r="K906" s="455">
        <f t="shared" ca="1" si="79"/>
        <v>-24099.516906280747</v>
      </c>
      <c r="L906" s="455">
        <f t="shared" ca="1" si="80"/>
        <v>-5807983.57441366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-5807983.57441366</v>
      </c>
      <c r="J907" s="455">
        <f t="array" ref="J907">IFERROR(INDEX('Retirement Calculator'!J:J,MATCH('Isaac 401k'!N907,'Retirement Calculator'!A:A,0),0),0)</f>
        <v>7863.2184191855868</v>
      </c>
      <c r="K907" s="455">
        <f t="shared" ca="1" si="79"/>
        <v>-24232.694970136858</v>
      </c>
      <c r="L907" s="455">
        <f t="shared" ca="1" si="80"/>
        <v>-5840079.4878029823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-5840079.4878029823</v>
      </c>
      <c r="J908" s="455">
        <f t="array" ref="J908">IFERROR(INDEX('Retirement Calculator'!J:J,MATCH('Isaac 401k'!N908,'Retirement Calculator'!A:A,0),0),0)</f>
        <v>7863.2184191855868</v>
      </c>
      <c r="K908" s="455">
        <f t="shared" ca="1" si="79"/>
        <v>-24366.427942592367</v>
      </c>
      <c r="L908" s="455">
        <f t="shared" ca="1" si="80"/>
        <v>-5872309.1341647608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-5872309.1341647608</v>
      </c>
      <c r="J909" s="455">
        <f t="array" ref="J909">IFERROR(INDEX('Retirement Calculator'!J:J,MATCH('Isaac 401k'!N909,'Retirement Calculator'!A:A,0),0),0)</f>
        <v>7863.2184191855868</v>
      </c>
      <c r="K909" s="455">
        <f t="shared" ca="1" si="79"/>
        <v>-24500.718135766445</v>
      </c>
      <c r="L909" s="455">
        <f t="shared" ca="1" si="80"/>
        <v>-5904673.0707197133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-5904673.0707197133</v>
      </c>
      <c r="J910" s="455">
        <f t="array" ref="J910">IFERROR(INDEX('Retirement Calculator'!J:J,MATCH('Isaac 401k'!N910,'Retirement Calculator'!A:A,0),0),0)</f>
        <v>7863.2184191855868</v>
      </c>
      <c r="K910" s="455">
        <f t="shared" ca="1" si="79"/>
        <v>-24635.56787141208</v>
      </c>
      <c r="L910" s="455">
        <f t="shared" ca="1" si="80"/>
        <v>-5937171.8570103114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-5937171.8570103114</v>
      </c>
      <c r="J911" s="455">
        <f t="array" ref="J911">IFERROR(INDEX('Retirement Calculator'!J:J,MATCH('Isaac 401k'!N911,'Retirement Calculator'!A:A,0),0),0)</f>
        <v>7863.2184191855868</v>
      </c>
      <c r="K911" s="455">
        <f t="shared" ca="1" si="79"/>
        <v>-24770.979480956237</v>
      </c>
      <c r="L911" s="455">
        <f t="shared" ca="1" si="80"/>
        <v>-5969806.054910454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-5969806.054910454</v>
      </c>
      <c r="J912" s="455">
        <f t="array" ref="J912">IFERROR(INDEX('Retirement Calculator'!J:J,MATCH('Isaac 401k'!N912,'Retirement Calculator'!A:A,0),0),0)</f>
        <v>7863.2184191855868</v>
      </c>
      <c r="K912" s="455">
        <f t="shared" ca="1" si="79"/>
        <v>-24906.955305540167</v>
      </c>
      <c r="L912" s="455">
        <f t="shared" ca="1" si="80"/>
        <v>-6002576.2286351798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-6002576.2286351798</v>
      </c>
      <c r="J913" s="455">
        <f t="array" ref="J913">IFERROR(INDEX('Retirement Calculator'!J:J,MATCH('Isaac 401k'!N913,'Retirement Calculator'!A:A,0),0),0)</f>
        <v>7863.2184191855868</v>
      </c>
      <c r="K913" s="455">
        <f t="shared" ca="1" si="79"/>
        <v>-25043.497696059858</v>
      </c>
      <c r="L913" s="455">
        <f t="shared" ca="1" si="80"/>
        <v>-6035482.9447504254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-6035482.9447504254</v>
      </c>
      <c r="J914" s="455">
        <f t="array" ref="J914">IFERROR(INDEX('Retirement Calculator'!J:J,MATCH('Isaac 401k'!N914,'Retirement Calculator'!A:A,0),0),0)</f>
        <v>7863.2184191855868</v>
      </c>
      <c r="K914" s="455">
        <f t="shared" ca="1" si="79"/>
        <v>-25180.609013206715</v>
      </c>
      <c r="L914" s="455">
        <f t="shared" ca="1" si="80"/>
        <v>-6068526.7721828176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-6068526.7721828176</v>
      </c>
      <c r="J915" s="455">
        <f t="array" ref="J915">IFERROR(INDEX('Retirement Calculator'!J:J,MATCH('Isaac 401k'!N915,'Retirement Calculator'!A:A,0),0),0)</f>
        <v>7863.2184191855868</v>
      </c>
      <c r="K915" s="455">
        <f t="shared" ca="1" si="79"/>
        <v>-25318.291627508348</v>
      </c>
      <c r="L915" s="455">
        <f t="shared" ca="1" si="80"/>
        <v>-6101708.282229512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-6101708.282229512</v>
      </c>
      <c r="J916" s="455">
        <f t="array" ref="J916">IFERROR(INDEX('Retirement Calculator'!J:J,MATCH('Isaac 401k'!N916,'Retirement Calculator'!A:A,0),0),0)</f>
        <v>7863.2184191855868</v>
      </c>
      <c r="K916" s="455">
        <f t="shared" ca="1" si="79"/>
        <v>-25456.547919369576</v>
      </c>
      <c r="L916" s="455">
        <f t="shared" ca="1" si="80"/>
        <v>-6135028.0485680671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-6135028.0485680671</v>
      </c>
      <c r="J917" s="455">
        <f t="array" ref="J917">IFERROR(INDEX('Retirement Calculator'!J:J,MATCH('Isaac 401k'!N917,'Retirement Calculator'!A:A,0),0),0)</f>
        <v>7863.2184191855868</v>
      </c>
      <c r="K917" s="455">
        <f t="shared" ca="1" si="79"/>
        <v>-25595.380279113553</v>
      </c>
      <c r="L917" s="455">
        <f t="shared" ca="1" si="80"/>
        <v>-6168486.6472663665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-6168486.6472663665</v>
      </c>
      <c r="J918" s="455">
        <f t="array" ref="J918">IFERROR(INDEX('Retirement Calculator'!J:J,MATCH('Isaac 401k'!N918,'Retirement Calculator'!A:A,0),0),0)</f>
        <v>7863.2184191855868</v>
      </c>
      <c r="K918" s="455">
        <f t="shared" ca="1" si="79"/>
        <v>-25734.791107023135</v>
      </c>
      <c r="L918" s="455">
        <f t="shared" ca="1" si="80"/>
        <v>-6202084.6567925755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-6202084.6567925755</v>
      </c>
      <c r="J919" s="455">
        <f t="array" ref="J919">IFERROR(INDEX('Retirement Calculator'!J:J,MATCH('Isaac 401k'!N919,'Retirement Calculator'!A:A,0),0),0)</f>
        <v>7863.2184191855868</v>
      </c>
      <c r="K919" s="455">
        <f t="shared" ca="1" si="79"/>
        <v>-25874.782813382339</v>
      </c>
      <c r="L919" s="455">
        <f t="shared" ca="1" si="80"/>
        <v>-6235822.6580251437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-6235822.6580251437</v>
      </c>
      <c r="J920" s="455">
        <f t="array" ref="J920">IFERROR(INDEX('Retirement Calculator'!J:J,MATCH('Isaac 401k'!N920,'Retirement Calculator'!A:A,0),0),0)</f>
        <v>7863.2184191855868</v>
      </c>
      <c r="K920" s="455">
        <f t="shared" ca="1" si="79"/>
        <v>-26015.357818518038</v>
      </c>
      <c r="L920" s="455">
        <f t="shared" ca="1" si="80"/>
        <v>-6269701.2342628473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-6269701.2342628473</v>
      </c>
      <c r="J921" s="455">
        <f t="array" ref="J921">IFERROR(INDEX('Retirement Calculator'!J:J,MATCH('Isaac 401k'!N921,'Retirement Calculator'!A:A,0),0),0)</f>
        <v>7863.2184191855868</v>
      </c>
      <c r="K921" s="455">
        <f t="shared" ca="1" si="79"/>
        <v>-26156.518552841804</v>
      </c>
      <c r="L921" s="455">
        <f t="shared" ca="1" si="80"/>
        <v>-6303720.9712348748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-6303720.9712348748</v>
      </c>
      <c r="J922" s="455">
        <f t="array" ref="J922">IFERROR(INDEX('Retirement Calculator'!J:J,MATCH('Isaac 401k'!N922,'Retirement Calculator'!A:A,0),0),0)</f>
        <v>7863.2184191855868</v>
      </c>
      <c r="K922" s="455">
        <f t="shared" ca="1" si="79"/>
        <v>-26298.267456891917</v>
      </c>
      <c r="L922" s="455">
        <f t="shared" ca="1" si="80"/>
        <v>-6337882.4571109526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-6337882.4571109526</v>
      </c>
      <c r="J923" s="455">
        <f t="array" ref="J923">IFERROR(INDEX('Retirement Calculator'!J:J,MATCH('Isaac 401k'!N923,'Retirement Calculator'!A:A,0),0),0)</f>
        <v>7863.2184191855868</v>
      </c>
      <c r="K923" s="455">
        <f t="shared" ca="1" si="79"/>
        <v>-26440.606981375575</v>
      </c>
      <c r="L923" s="455">
        <f t="shared" ca="1" si="80"/>
        <v>-6372186.2825115137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-6372186.2825115137</v>
      </c>
      <c r="J924" s="455">
        <f t="array" ref="J924">IFERROR(INDEX('Retirement Calculator'!J:J,MATCH('Isaac 401k'!N924,'Retirement Calculator'!A:A,0),0),0)</f>
        <v>7863.2184191855868</v>
      </c>
      <c r="K924" s="455">
        <f t="shared" ca="1" si="79"/>
        <v>-26583.539587211246</v>
      </c>
      <c r="L924" s="455">
        <f t="shared" ca="1" si="80"/>
        <v>-6406633.0405179104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-6406633.0405179104</v>
      </c>
      <c r="J925" s="455">
        <f t="array" ref="J925">IFERROR(INDEX('Retirement Calculator'!J:J,MATCH('Isaac 401k'!N925,'Retirement Calculator'!A:A,0),0),0)</f>
        <v>7863.2184191855868</v>
      </c>
      <c r="K925" s="455">
        <f t="shared" ca="1" si="79"/>
        <v>-26727.067745571232</v>
      </c>
      <c r="L925" s="455">
        <f t="shared" ca="1" si="80"/>
        <v>-6441223.3266826672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-6441223.3266826672</v>
      </c>
      <c r="J926" s="455">
        <f t="array" ref="J926">IFERROR(INDEX('Retirement Calculator'!J:J,MATCH('Isaac 401k'!N926,'Retirement Calculator'!A:A,0),0),0)</f>
        <v>7863.2184191855868</v>
      </c>
      <c r="K926" s="455">
        <f t="shared" ca="1" si="79"/>
        <v>-26871.193937924389</v>
      </c>
      <c r="L926" s="455">
        <f t="shared" ca="1" si="80"/>
        <v>-6475957.7390397778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-6475957.7390397778</v>
      </c>
      <c r="J927" s="455">
        <f t="array" ref="J927">IFERROR(INDEX('Retirement Calculator'!J:J,MATCH('Isaac 401k'!N927,'Retirement Calculator'!A:A,0),0),0)</f>
        <v>7863.2184191855868</v>
      </c>
      <c r="K927" s="455">
        <f t="shared" ca="1" si="79"/>
        <v>-27015.920656079015</v>
      </c>
      <c r="L927" s="455">
        <f t="shared" ca="1" si="80"/>
        <v>-6510836.878115043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-6510836.878115043</v>
      </c>
      <c r="J928" s="455">
        <f t="array" ref="J928">IFERROR(INDEX('Retirement Calculator'!J:J,MATCH('Isaac 401k'!N928,'Retirement Calculator'!A:A,0),0),0)</f>
        <v>7863.2184191855868</v>
      </c>
      <c r="K928" s="455">
        <f t="shared" ca="1" si="79"/>
        <v>-27161.250402225953</v>
      </c>
      <c r="L928" s="455">
        <f t="shared" ca="1" si="80"/>
        <v>-6545861.346936455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-6545861.346936455</v>
      </c>
      <c r="J929" s="455">
        <f t="array" ref="J929">IFERROR(INDEX('Retirement Calculator'!J:J,MATCH('Isaac 401k'!N929,'Retirement Calculator'!A:A,0),0),0)</f>
        <v>7863.2184191855868</v>
      </c>
      <c r="K929" s="455">
        <f t="shared" ca="1" si="79"/>
        <v>-27307.185688981837</v>
      </c>
      <c r="L929" s="455">
        <f t="shared" ca="1" si="80"/>
        <v>-6581031.7510446226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-6581031.7510446226</v>
      </c>
      <c r="J930" s="455">
        <f t="array" ref="J930">IFERROR(INDEX('Retirement Calculator'!J:J,MATCH('Isaac 401k'!N930,'Retirement Calculator'!A:A,0),0),0)</f>
        <v>7863.2184191855868</v>
      </c>
      <c r="K930" s="455">
        <f t="shared" ca="1" si="79"/>
        <v>-27453.729039432532</v>
      </c>
      <c r="L930" s="455">
        <f t="shared" ca="1" si="80"/>
        <v>-6616348.6985032409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-6616348.6985032409</v>
      </c>
      <c r="J931" s="455">
        <f t="array" ref="J931">IFERROR(INDEX('Retirement Calculator'!J:J,MATCH('Isaac 401k'!N931,'Retirement Calculator'!A:A,0),0),0)</f>
        <v>7863.2184191855868</v>
      </c>
      <c r="K931" s="455">
        <f t="shared" ca="1" si="79"/>
        <v>-27600.882987176778</v>
      </c>
      <c r="L931" s="455">
        <f t="shared" ca="1" si="80"/>
        <v>-6651812.7999096038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-6651812.7999096038</v>
      </c>
      <c r="J932" s="455">
        <f t="array" ref="J932">IFERROR(INDEX('Retirement Calculator'!J:J,MATCH('Isaac 401k'!N932,'Retirement Calculator'!A:A,0),0),0)</f>
        <v>7863.2184191855868</v>
      </c>
      <c r="K932" s="455">
        <f t="shared" ca="1" si="79"/>
        <v>-27748.650076369959</v>
      </c>
      <c r="L932" s="455">
        <f t="shared" ca="1" si="80"/>
        <v>-6687424.6684051594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-6687424.6684051594</v>
      </c>
      <c r="J933" s="455">
        <f t="array" ref="J933">IFERROR(INDEX('Retirement Calculator'!J:J,MATCH('Isaac 401k'!N933,'Retirement Calculator'!A:A,0),0),0)</f>
        <v>7863.2184191855868</v>
      </c>
      <c r="K933" s="455">
        <f t="shared" ca="1" si="79"/>
        <v>-27897.032861768101</v>
      </c>
      <c r="L933" s="455">
        <f t="shared" ca="1" si="80"/>
        <v>-6723184.9196861135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-6723184.9196861135</v>
      </c>
      <c r="J934" s="455">
        <f t="array" ref="J934">IFERROR(INDEX('Retirement Calculator'!J:J,MATCH('Isaac 401k'!N934,'Retirement Calculator'!A:A,0),0),0)</f>
        <v>7863.2184191855868</v>
      </c>
      <c r="K934" s="455">
        <f t="shared" ca="1" si="79"/>
        <v>-28046.033908772075</v>
      </c>
      <c r="L934" s="455">
        <f t="shared" ca="1" si="80"/>
        <v>-6759094.1720140716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-6759094.1720140716</v>
      </c>
      <c r="J935" s="455">
        <f t="array" ref="J935">IFERROR(INDEX('Retirement Calculator'!J:J,MATCH('Isaac 401k'!N935,'Retirement Calculator'!A:A,0),0),0)</f>
        <v>7863.2184191855868</v>
      </c>
      <c r="K935" s="455">
        <f t="shared" ca="1" si="79"/>
        <v>-28195.655793471906</v>
      </c>
      <c r="L935" s="455">
        <f t="shared" ca="1" si="80"/>
        <v>-6795153.0462267296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-6795153.0462267296</v>
      </c>
      <c r="J936" s="455">
        <f t="array" ref="J936">IFERROR(INDEX('Retirement Calculator'!J:J,MATCH('Isaac 401k'!N936,'Retirement Calculator'!A:A,0),0),0)</f>
        <v>7863.2184191855868</v>
      </c>
      <c r="K936" s="455">
        <f t="shared" ca="1" si="79"/>
        <v>-28345.901102691314</v>
      </c>
      <c r="L936" s="455">
        <f t="shared" ca="1" si="80"/>
        <v>-6831362.1657486064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-6831362.1657486064</v>
      </c>
      <c r="J937" s="455">
        <f t="array" ref="J937">IFERROR(INDEX('Retirement Calculator'!J:J,MATCH('Isaac 401k'!N937,'Retirement Calculator'!A:A,0),0),0)</f>
        <v>7863.2184191855868</v>
      </c>
      <c r="K937" s="455">
        <f t="shared" ca="1" si="79"/>
        <v>-28496.772434032468</v>
      </c>
      <c r="L937" s="455">
        <f t="shared" ca="1" si="80"/>
        <v>-6867722.1566018248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-6867722.1566018248</v>
      </c>
      <c r="J938" s="455">
        <f t="array" ref="J938">IFERROR(INDEX('Retirement Calculator'!J:J,MATCH('Isaac 401k'!N938,'Retirement Calculator'!A:A,0),0),0)</f>
        <v>7863.2184191855868</v>
      </c>
      <c r="K938" s="455">
        <f t="shared" ca="1" si="79"/>
        <v>-28648.272395920878</v>
      </c>
      <c r="L938" s="455">
        <f t="shared" ca="1" si="80"/>
        <v>-6904233.6474169316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-6904233.6474169316</v>
      </c>
      <c r="J939" s="455">
        <f t="array" ref="J939">IFERROR(INDEX('Retirement Calculator'!J:J,MATCH('Isaac 401k'!N939,'Retirement Calculator'!A:A,0),0),0)</f>
        <v>7863.2184191855868</v>
      </c>
      <c r="K939" s="455">
        <f t="shared" ca="1" si="79"/>
        <v>-28800.403607650489</v>
      </c>
      <c r="L939" s="455">
        <f t="shared" ca="1" si="80"/>
        <v>-6940897.2694437681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-6940897.2694437681</v>
      </c>
      <c r="J940" s="455">
        <f t="array" ref="J940">IFERROR(INDEX('Retirement Calculator'!J:J,MATCH('Isaac 401k'!N940,'Retirement Calculator'!A:A,0),0),0)</f>
        <v>7863.2184191855868</v>
      </c>
      <c r="K940" s="455">
        <f t="shared" ca="1" si="79"/>
        <v>-28953.168699428974</v>
      </c>
      <c r="L940" s="455">
        <f t="shared" ca="1" si="80"/>
        <v>-6977713.6565623833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-6977713.6565623833</v>
      </c>
      <c r="J941" s="455">
        <f t="array" ref="J941">IFERROR(INDEX('Retirement Calculator'!J:J,MATCH('Isaac 401k'!N941,'Retirement Calculator'!A:A,0),0),0)</f>
        <v>7863.2184191855868</v>
      </c>
      <c r="K941" s="455">
        <f t="shared" ca="1" si="79"/>
        <v>-29106.57031242321</v>
      </c>
      <c r="L941" s="455">
        <f t="shared" ca="1" si="80"/>
        <v>-7014683.4452939928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-7014683.4452939928</v>
      </c>
      <c r="J942" s="455">
        <f t="array" ref="J942">IFERROR(INDEX('Retirement Calculator'!J:J,MATCH('Isaac 401k'!N942,'Retirement Calculator'!A:A,0),0),0)</f>
        <v>7863.2184191855868</v>
      </c>
      <c r="K942" s="455">
        <f t="shared" ca="1" si="79"/>
        <v>-29260.611098804915</v>
      </c>
      <c r="L942" s="455">
        <f t="shared" ca="1" si="80"/>
        <v>-7051807.2748119831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-7051807.2748119831</v>
      </c>
      <c r="J943" s="455">
        <f t="array" ref="J943">IFERROR(INDEX('Retirement Calculator'!J:J,MATCH('Isaac 401k'!N943,'Retirement Calculator'!A:A,0),0),0)</f>
        <v>7863.2184191855868</v>
      </c>
      <c r="K943" s="455">
        <f t="shared" ca="1" si="79"/>
        <v>-29415.293721796537</v>
      </c>
      <c r="L943" s="455">
        <f t="shared" ca="1" si="80"/>
        <v>-7089085.7869529659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-7089085.7869529659</v>
      </c>
      <c r="J944" s="455">
        <f t="array" ref="J944">IFERROR(INDEX('Retirement Calculator'!J:J,MATCH('Isaac 401k'!N944,'Retirement Calculator'!A:A,0),0),0)</f>
        <v>7863.2184191855868</v>
      </c>
      <c r="K944" s="455">
        <f t="shared" ca="1" si="79"/>
        <v>-29570.620855717294</v>
      </c>
      <c r="L944" s="455">
        <f t="shared" ca="1" si="80"/>
        <v>-7126519.6262278687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-7126519.6262278687</v>
      </c>
      <c r="J945" s="455">
        <f t="array" ref="J945">IFERROR(INDEX('Retirement Calculator'!J:J,MATCH('Isaac 401k'!N945,'Retirement Calculator'!A:A,0),0),0)</f>
        <v>7863.2184191855868</v>
      </c>
      <c r="K945" s="455">
        <f t="shared" ca="1" si="79"/>
        <v>-29726.595186029394</v>
      </c>
      <c r="L945" s="455">
        <f t="shared" ca="1" si="80"/>
        <v>-7164109.4398330841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-7164109.4398330841</v>
      </c>
      <c r="J946" s="455">
        <f t="array" ref="J946">IFERROR(INDEX('Retirement Calculator'!J:J,MATCH('Isaac 401k'!N946,'Retirement Calculator'!A:A,0),0),0)</f>
        <v>7863.2184191855868</v>
      </c>
      <c r="K946" s="455">
        <f t="shared" ca="1" si="79"/>
        <v>-29883.219409384463</v>
      </c>
      <c r="L946" s="455">
        <f t="shared" ca="1" si="80"/>
        <v>-7201855.8776616547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-7201855.8776616547</v>
      </c>
      <c r="J947" s="455">
        <f t="array" ref="J947">IFERROR(INDEX('Retirement Calculator'!J:J,MATCH('Isaac 401k'!N947,'Retirement Calculator'!A:A,0),0),0)</f>
        <v>7863.2184191855868</v>
      </c>
      <c r="K947" s="455">
        <f t="shared" ca="1" si="79"/>
        <v>-30040.496233670165</v>
      </c>
      <c r="L947" s="455">
        <f t="shared" ca="1" si="80"/>
        <v>-7239759.5923145106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-7239759.5923145106</v>
      </c>
      <c r="J948" s="455">
        <f t="array" ref="J948">IFERROR(INDEX('Retirement Calculator'!J:J,MATCH('Isaac 401k'!N948,'Retirement Calculator'!A:A,0),0),0)</f>
        <v>7863.2184191855868</v>
      </c>
      <c r="K948" s="455">
        <f t="shared" ca="1" si="79"/>
        <v>-30198.428378057073</v>
      </c>
      <c r="L948" s="455">
        <f t="shared" ca="1" si="80"/>
        <v>-7277821.2391117532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-7277821.2391117532</v>
      </c>
      <c r="J949" s="455">
        <f t="array" ref="J949">IFERROR(INDEX('Retirement Calculator'!J:J,MATCH('Isaac 401k'!N949,'Retirement Calculator'!A:A,0),0),0)</f>
        <v>7863.2184191855868</v>
      </c>
      <c r="K949" s="455">
        <f t="shared" ca="1" si="79"/>
        <v>-30357.018573045578</v>
      </c>
      <c r="L949" s="455">
        <f t="shared" ca="1" si="80"/>
        <v>-7316041.4761039848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-7316041.4761039848</v>
      </c>
      <c r="J950" s="455">
        <f t="array" ref="J950">IFERROR(INDEX('Retirement Calculator'!J:J,MATCH('Isaac 401k'!N950,'Retirement Calculator'!A:A,0),0),0)</f>
        <v>7863.2184191855868</v>
      </c>
      <c r="K950" s="455">
        <f t="shared" ca="1" si="79"/>
        <v>-30516.26956051321</v>
      </c>
      <c r="L950" s="455">
        <f t="shared" ca="1" si="80"/>
        <v>-7354420.9640836837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-7354420.9640836837</v>
      </c>
      <c r="J951" s="455">
        <f t="array" ref="J951">IFERROR(INDEX('Retirement Calculator'!J:J,MATCH('Isaac 401k'!N951,'Retirement Calculator'!A:A,0),0),0)</f>
        <v>7863.2184191855868</v>
      </c>
      <c r="K951" s="455">
        <f t="shared" ca="1" si="79"/>
        <v>-30676.184093761956</v>
      </c>
      <c r="L951" s="455">
        <f t="shared" ca="1" si="80"/>
        <v>-7392960.3665966317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-7392960.3665966317</v>
      </c>
      <c r="J952" s="455">
        <f t="array" ref="J952">IFERROR(INDEX('Retirement Calculator'!J:J,MATCH('Isaac 401k'!N952,'Retirement Calculator'!A:A,0),0),0)</f>
        <v>7863.2184191855868</v>
      </c>
      <c r="K952" s="455">
        <f t="shared" ca="1" si="79"/>
        <v>-30836.764937565909</v>
      </c>
      <c r="L952" s="455">
        <f t="shared" ca="1" si="80"/>
        <v>-7431660.3499533832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-7431660.3499533832</v>
      </c>
      <c r="J953" s="455">
        <f t="array" ref="J953">IFERROR(INDEX('Retirement Calculator'!J:J,MATCH('Isaac 401k'!N953,'Retirement Calculator'!A:A,0),0),0)</f>
        <v>7863.2184191855868</v>
      </c>
      <c r="K953" s="455">
        <f t="shared" ca="1" si="79"/>
        <v>-30998.014868219037</v>
      </c>
      <c r="L953" s="455">
        <f t="shared" ca="1" si="80"/>
        <v>-7470521.5832407884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-7470521.5832407884</v>
      </c>
      <c r="J954" s="455">
        <f t="array" ref="J954">IFERROR(INDEX('Retirement Calculator'!J:J,MATCH('Isaac 401k'!N954,'Retirement Calculator'!A:A,0),0),0)</f>
        <v>7863.2184191855868</v>
      </c>
      <c r="K954" s="455">
        <f t="shared" ca="1" si="79"/>
        <v>-31159.936673583226</v>
      </c>
      <c r="L954" s="455">
        <f t="shared" ca="1" si="80"/>
        <v>-7509544.7383335577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-7509544.7383335577</v>
      </c>
      <c r="J955" s="455">
        <f t="array" ref="J955">IFERROR(INDEX('Retirement Calculator'!J:J,MATCH('Isaac 401k'!N955,'Retirement Calculator'!A:A,0),0),0)</f>
        <v>7863.2184191855868</v>
      </c>
      <c r="K955" s="455">
        <f t="shared" ca="1" si="79"/>
        <v>-31322.533153136435</v>
      </c>
      <c r="L955" s="455">
        <f t="shared" ca="1" si="80"/>
        <v>-7548730.4899058798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-7548730.4899058798</v>
      </c>
      <c r="J956" s="455">
        <f t="array" ref="J956">IFERROR(INDEX('Retirement Calculator'!J:J,MATCH('Isaac 401k'!N956,'Retirement Calculator'!A:A,0),0),0)</f>
        <v>7863.2184191855868</v>
      </c>
      <c r="K956" s="455">
        <f t="shared" ca="1" si="79"/>
        <v>-31485.807118021101</v>
      </c>
      <c r="L956" s="455">
        <f t="shared" ca="1" si="80"/>
        <v>-7588079.5154430866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-7588079.5154430866</v>
      </c>
      <c r="J957" s="455">
        <f t="array" ref="J957">IFERROR(INDEX('Retirement Calculator'!J:J,MATCH('Isaac 401k'!N957,'Retirement Calculator'!A:A,0),0),0)</f>
        <v>7863.2184191855868</v>
      </c>
      <c r="K957" s="455">
        <f t="shared" ca="1" si="79"/>
        <v>-31649.761391092798</v>
      </c>
      <c r="L957" s="455">
        <f t="shared" ca="1" si="80"/>
        <v>-7627592.4952533655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-7627592.4952533655</v>
      </c>
      <c r="J958" s="455">
        <f t="array" ref="J958">IFERROR(INDEX('Retirement Calculator'!J:J,MATCH('Isaac 401k'!N958,'Retirement Calculator'!A:A,0),0),0)</f>
        <v>7863.2184191855868</v>
      </c>
      <c r="K958" s="455">
        <f t="shared" ca="1" si="79"/>
        <v>-31814.398806968966</v>
      </c>
      <c r="L958" s="455">
        <f t="shared" ca="1" si="80"/>
        <v>-7667270.11247952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-7667270.11247952</v>
      </c>
      <c r="J959" s="455">
        <f t="array" ref="J959">IFERROR(INDEX('Retirement Calculator'!J:J,MATCH('Isaac 401k'!N959,'Retirement Calculator'!A:A,0),0),0)</f>
        <v>7863.2184191855868</v>
      </c>
      <c r="K959" s="455">
        <f t="shared" ca="1" si="79"/>
        <v>-31979.722212077941</v>
      </c>
      <c r="L959" s="455">
        <f t="shared" ca="1" si="80"/>
        <v>-7707113.0531107839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-7707113.0531107839</v>
      </c>
      <c r="J960" s="455">
        <f t="array" ref="J960">IFERROR(INDEX('Retirement Calculator'!J:J,MATCH('Isaac 401k'!N960,'Retirement Calculator'!A:A,0),0),0)</f>
        <v>7863.2184191855868</v>
      </c>
      <c r="K960" s="455">
        <f t="shared" ca="1" si="79"/>
        <v>-32145.734464708206</v>
      </c>
      <c r="L960" s="455">
        <f t="shared" ca="1" si="80"/>
        <v>-7747122.0059946775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-7747122.0059946775</v>
      </c>
      <c r="J961" s="455">
        <f t="array" ref="J961">IFERROR(INDEX('Retirement Calculator'!J:J,MATCH('Isaac 401k'!N961,'Retirement Calculator'!A:A,0),0),0)</f>
        <v>7863.2184191855868</v>
      </c>
      <c r="K961" s="455">
        <f t="shared" ca="1" si="79"/>
        <v>-32312.438435057764</v>
      </c>
      <c r="L961" s="455">
        <f t="shared" ca="1" si="80"/>
        <v>-7787297.6628489215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-7787297.6628489215</v>
      </c>
      <c r="J962" s="455">
        <f t="array" ref="J962">IFERROR(INDEX('Retirement Calculator'!J:J,MATCH('Isaac 401k'!N962,'Retirement Calculator'!A:A,0),0),0)</f>
        <v>7863.2184191855868</v>
      </c>
      <c r="K962" s="455">
        <f t="shared" ca="1" si="79"/>
        <v>-32479.837005283774</v>
      </c>
      <c r="L962" s="455">
        <f t="shared" ca="1" si="80"/>
        <v>-7827640.718273391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-7827640.718273391</v>
      </c>
      <c r="J963" s="455">
        <f t="array" ref="J963">IFERROR(INDEX('Retirement Calculator'!J:J,MATCH('Isaac 401k'!N963,'Retirement Calculator'!A:A,0),0),0)</f>
        <v>7863.2184191855868</v>
      </c>
      <c r="K963" s="455">
        <f t="shared" ca="1" si="79"/>
        <v>-32647.933069552404</v>
      </c>
      <c r="L963" s="455">
        <f t="shared" ca="1" si="80"/>
        <v>-7868151.8697621292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-7868151.8697621292</v>
      </c>
      <c r="J964" s="455">
        <f t="array" ref="J964">IFERROR(INDEX('Retirement Calculator'!J:J,MATCH('Isaac 401k'!N964,'Retirement Calculator'!A:A,0),0),0)</f>
        <v>7863.2184191855868</v>
      </c>
      <c r="K964" s="455">
        <f t="shared" ca="1" si="79"/>
        <v>-32816.729534088809</v>
      </c>
      <c r="L964" s="455">
        <f t="shared" ca="1" si="80"/>
        <v>-7908831.8177154036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-7908831.8177154036</v>
      </c>
      <c r="J965" s="455">
        <f t="array" ref="J965">IFERROR(INDEX('Retirement Calculator'!J:J,MATCH('Isaac 401k'!N965,'Retirement Calculator'!A:A,0),0),0)</f>
        <v>7863.2184191855868</v>
      </c>
      <c r="K965" s="455">
        <f t="shared" ca="1" si="79"/>
        <v>-32986.229317227459</v>
      </c>
      <c r="L965" s="455">
        <f t="shared" ca="1" si="80"/>
        <v>-7949681.2654518168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-7949681.2654518168</v>
      </c>
      <c r="J966" s="455">
        <f t="array" ref="J966">IFERROR(INDEX('Retirement Calculator'!J:J,MATCH('Isaac 401k'!N966,'Retirement Calculator'!A:A,0),0),0)</f>
        <v>7863.2184191855868</v>
      </c>
      <c r="K966" s="455">
        <f t="shared" ca="1" si="79"/>
        <v>-33156.43534946251</v>
      </c>
      <c r="L966" s="455">
        <f t="shared" ca="1" si="80"/>
        <v>-7990700.9192204652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-7990700.9192204652</v>
      </c>
      <c r="J967" s="455">
        <f t="array" ref="J967">IFERROR(INDEX('Retirement Calculator'!J:J,MATCH('Isaac 401k'!N967,'Retirement Calculator'!A:A,0),0),0)</f>
        <v>7863.2184191855868</v>
      </c>
      <c r="K967" s="455">
        <f t="shared" ca="1" si="79"/>
        <v>-33327.350573498545</v>
      </c>
      <c r="L967" s="455">
        <f t="shared" ca="1" si="80"/>
        <v>-8031891.4882131498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-8031891.4882131498</v>
      </c>
      <c r="J968" s="455">
        <f t="array" ref="J968">IFERROR(INDEX('Retirement Calculator'!J:J,MATCH('Isaac 401k'!N968,'Retirement Calculator'!A:A,0),0),0)</f>
        <v>7863.2184191855868</v>
      </c>
      <c r="K968" s="455">
        <f t="shared" ca="1" si="79"/>
        <v>-33498.977944301398</v>
      </c>
      <c r="L968" s="455">
        <f t="shared" ca="1" si="80"/>
        <v>-8073253.6845766371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-8073253.6845766371</v>
      </c>
      <c r="J969" s="455">
        <f t="array" ref="J969">IFERROR(INDEX('Retirement Calculator'!J:J,MATCH('Isaac 401k'!N969,'Retirement Calculator'!A:A,0),0),0)</f>
        <v>7863.2184191855868</v>
      </c>
      <c r="K969" s="455">
        <f t="shared" ca="1" si="79"/>
        <v>-33671.320429149258</v>
      </c>
      <c r="L969" s="455">
        <f t="shared" ca="1" si="80"/>
        <v>-8114788.223424972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-8114788.223424972</v>
      </c>
      <c r="J970" s="455">
        <f t="array" ref="J970">IFERROR(INDEX('Retirement Calculator'!J:J,MATCH('Isaac 401k'!N970,'Retirement Calculator'!A:A,0),0),0)</f>
        <v>7863.2184191855868</v>
      </c>
      <c r="K970" s="455">
        <f t="shared" ca="1" si="79"/>
        <v>-33844.381007683987</v>
      </c>
      <c r="L970" s="455">
        <f t="shared" ca="1" si="80"/>
        <v>-8156495.8228518423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-8156495.8228518423</v>
      </c>
      <c r="J971" s="455">
        <f t="array" ref="J971">IFERROR(INDEX('Retirement Calculator'!J:J,MATCH('Isaac 401k'!N971,'Retirement Calculator'!A:A,0),0),0)</f>
        <v>7863.2184191855868</v>
      </c>
      <c r="K971" s="455">
        <f t="shared" ca="1" si="79"/>
        <v>-34018.162671962622</v>
      </c>
      <c r="L971" s="455">
        <f t="shared" ca="1" si="80"/>
        <v>-8198377.2039429909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-8198377.2039429909</v>
      </c>
      <c r="J972" s="455">
        <f t="array" ref="J972">IFERROR(INDEX('Retirement Calculator'!J:J,MATCH('Isaac 401k'!N972,'Retirement Calculator'!A:A,0),0),0)</f>
        <v>7863.2184191855868</v>
      </c>
      <c r="K972" s="455">
        <f t="shared" ca="1" si="79"/>
        <v>-34192.668426509073</v>
      </c>
      <c r="L972" s="455">
        <f t="shared" ca="1" si="80"/>
        <v>-8240433.0907886857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-8240433.0907886857</v>
      </c>
      <c r="J973" s="455">
        <f t="array" ref="J973">IFERROR(INDEX('Retirement Calculator'!J:J,MATCH('Isaac 401k'!N973,'Retirement Calculator'!A:A,0),0),0)</f>
        <v>7863.2184191855868</v>
      </c>
      <c r="K973" s="455">
        <f t="shared" ca="1" si="79"/>
        <v>-34367.901288366127</v>
      </c>
      <c r="L973" s="455">
        <f t="shared" ca="1" si="80"/>
        <v>-8282664.2104962375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-8282664.2104962375</v>
      </c>
      <c r="J974" s="455">
        <f t="array" ref="J974">IFERROR(INDEX('Retirement Calculator'!J:J,MATCH('Isaac 401k'!N974,'Retirement Calculator'!A:A,0),0),0)</f>
        <v>7863.2184191855868</v>
      </c>
      <c r="K974" s="455">
        <f t="shared" ca="1" si="79"/>
        <v>-34543.864287147597</v>
      </c>
      <c r="L974" s="455">
        <f t="shared" ca="1" si="80"/>
        <v>-8325071.2932025706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-8325071.2932025706</v>
      </c>
      <c r="J975" s="455">
        <f t="array" ref="J975">IFERROR(INDEX('Retirement Calculator'!J:J,MATCH('Isaac 401k'!N975,'Retirement Calculator'!A:A,0),0),0)</f>
        <v>7863.2184191855868</v>
      </c>
      <c r="K975" s="455">
        <f t="shared" ca="1" si="79"/>
        <v>-34720.560465090653</v>
      </c>
      <c r="L975" s="455">
        <f t="shared" ca="1" si="80"/>
        <v>-8367655.0720868474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-8367655.0720868474</v>
      </c>
      <c r="J976" s="455">
        <f t="array" ref="J976">IFERROR(INDEX('Retirement Calculator'!J:J,MATCH('Isaac 401k'!N976,'Retirement Calculator'!A:A,0),0),0)</f>
        <v>7863.2184191855868</v>
      </c>
      <c r="K976" s="455">
        <f t="shared" ca="1" si="79"/>
        <v>-34897.992877108474</v>
      </c>
      <c r="L976" s="455">
        <f t="shared" ca="1" si="80"/>
        <v>-8410416.2833831422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-8410416.2833831422</v>
      </c>
      <c r="J977" s="455">
        <f t="array" ref="J977">IFERROR(INDEX('Retirement Calculator'!J:J,MATCH('Isaac 401k'!N977,'Retirement Calculator'!A:A,0),0),0)</f>
        <v>7863.2184191855868</v>
      </c>
      <c r="K977" s="455">
        <f t="shared" ca="1" si="79"/>
        <v>-35076.164590843029</v>
      </c>
      <c r="L977" s="455">
        <f t="shared" ca="1" si="80"/>
        <v>-8453355.6663931701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-8453355.6663931701</v>
      </c>
      <c r="J978" s="455">
        <f t="array" ref="J978">IFERROR(INDEX('Retirement Calculator'!J:J,MATCH('Isaac 401k'!N978,'Retirement Calculator'!A:A,0),0),0)</f>
        <v>7863.2184191855868</v>
      </c>
      <c r="K978" s="455">
        <f t="shared" ca="1" si="79"/>
        <v>-35255.078686718145</v>
      </c>
      <c r="L978" s="455">
        <f t="shared" ca="1" si="80"/>
        <v>-8496473.9634990729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-8496473.9634990729</v>
      </c>
      <c r="J979" s="455">
        <f t="array" ref="J979">IFERROR(INDEX('Retirement Calculator'!J:J,MATCH('Isaac 401k'!N979,'Retirement Calculator'!A:A,0),0),0)</f>
        <v>7863.2184191855868</v>
      </c>
      <c r="K979" s="455">
        <f t="shared" ca="1" si="79"/>
        <v>-35434.738257992743</v>
      </c>
      <c r="L979" s="455">
        <f t="shared" ca="1" si="80"/>
        <v>-8539771.9201762509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-8539771.9201762509</v>
      </c>
      <c r="J980" s="455">
        <f t="array" ref="J980">IFERROR(INDEX('Retirement Calculator'!J:J,MATCH('Isaac 401k'!N980,'Retirement Calculator'!A:A,0),0),0)</f>
        <v>7863.2184191855868</v>
      </c>
      <c r="K980" s="455">
        <f t="shared" ca="1" si="79"/>
        <v>-35615.146410814312</v>
      </c>
      <c r="L980" s="455">
        <f t="shared" ca="1" si="80"/>
        <v>-8583250.2850062493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-8583250.2850062493</v>
      </c>
      <c r="J981" s="455">
        <f t="array" ref="J981">IFERROR(INDEX('Retirement Calculator'!J:J,MATCH('Isaac 401k'!N981,'Retirement Calculator'!A:A,0),0),0)</f>
        <v>7863.2184191855868</v>
      </c>
      <c r="K981" s="455">
        <f t="shared" ca="1" si="79"/>
        <v>-35796.306264272644</v>
      </c>
      <c r="L981" s="455">
        <f t="shared" ca="1" si="80"/>
        <v>-8626909.8096897062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-8626909.8096897062</v>
      </c>
      <c r="J982" s="455">
        <f t="array" ref="J982">IFERROR(INDEX('Retirement Calculator'!J:J,MATCH('Isaac 401k'!N982,'Retirement Calculator'!A:A,0),0),0)</f>
        <v>7863.2184191855868</v>
      </c>
      <c r="K982" s="455">
        <f t="shared" ca="1" si="79"/>
        <v>-35978.22095045371</v>
      </c>
      <c r="L982" s="455">
        <f t="shared" ca="1" si="80"/>
        <v>-8670751.2490593456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-8670751.2490593456</v>
      </c>
      <c r="J983" s="455">
        <f t="array" ref="J983">IFERROR(INDEX('Retirement Calculator'!J:J,MATCH('Isaac 401k'!N983,'Retirement Calculator'!A:A,0),0),0)</f>
        <v>7863.2184191855868</v>
      </c>
      <c r="K983" s="455">
        <f t="shared" ca="1" si="79"/>
        <v>-36160.893614493878</v>
      </c>
      <c r="L983" s="455">
        <f t="shared" ca="1" si="80"/>
        <v>-8714775.3610930238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-8714775.3610930238</v>
      </c>
      <c r="J984" s="455">
        <f t="array" ref="J984">IFERROR(INDEX('Retirement Calculator'!J:J,MATCH('Isaac 401k'!N984,'Retirement Calculator'!A:A,0),0),0)</f>
        <v>7863.2184191855868</v>
      </c>
      <c r="K984" s="455">
        <f t="shared" ca="1" si="79"/>
        <v>-36344.327414634201</v>
      </c>
      <c r="L984" s="455">
        <f t="shared" ca="1" si="80"/>
        <v>-8758982.9069268424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-8758982.9069268424</v>
      </c>
      <c r="J985" s="455">
        <f t="array" ref="J985">IFERROR(INDEX('Retirement Calculator'!J:J,MATCH('Isaac 401k'!N985,'Retirement Calculator'!A:A,0),0),0)</f>
        <v>7863.2184191855868</v>
      </c>
      <c r="K985" s="455">
        <f t="shared" ca="1" si="79"/>
        <v>-36528.525522275115</v>
      </c>
      <c r="L985" s="455">
        <f t="shared" ca="1" si="80"/>
        <v>-8803374.6508683022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-8803374.6508683022</v>
      </c>
      <c r="J986" s="455">
        <f t="array" ref="J986">IFERROR(INDEX('Retirement Calculator'!J:J,MATCH('Isaac 401k'!N986,'Retirement Calculator'!A:A,0),0),0)</f>
        <v>7863.2184191855868</v>
      </c>
      <c r="K986" s="455">
        <f t="shared" ca="1" si="79"/>
        <v>-36713.491122031199</v>
      </c>
      <c r="L986" s="455">
        <f t="shared" ca="1" si="80"/>
        <v>-8847951.3604095187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-8847951.3604095187</v>
      </c>
      <c r="J987" s="455">
        <f t="array" ref="J987">IFERROR(INDEX('Retirement Calculator'!J:J,MATCH('Isaac 401k'!N987,'Retirement Calculator'!A:A,0),0),0)</f>
        <v>7863.2184191855868</v>
      </c>
      <c r="K987" s="455">
        <f t="shared" ca="1" si="79"/>
        <v>-36899.227411786262</v>
      </c>
      <c r="L987" s="455">
        <f t="shared" ca="1" si="80"/>
        <v>-8892713.8062404897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-8892713.8062404897</v>
      </c>
      <c r="J988" s="455">
        <f t="array" ref="J988">IFERROR(INDEX('Retirement Calculator'!J:J,MATCH('Isaac 401k'!N988,'Retirement Calculator'!A:A,0),0),0)</f>
        <v>7863.2184191855868</v>
      </c>
      <c r="K988" s="455">
        <f t="shared" ca="1" si="79"/>
        <v>-37085.737602748646</v>
      </c>
      <c r="L988" s="455">
        <f t="shared" ca="1" si="80"/>
        <v>-8937662.7622624226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-8937662.7622624226</v>
      </c>
      <c r="J989" s="455">
        <f t="array" ref="J989">IFERROR(INDEX('Retirement Calculator'!J:J,MATCH('Isaac 401k'!N989,'Retirement Calculator'!A:A,0),0),0)</f>
        <v>7863.2184191855868</v>
      </c>
      <c r="K989" s="455">
        <f t="shared" ca="1" si="79"/>
        <v>-37273.024919506701</v>
      </c>
      <c r="L989" s="455">
        <f t="shared" ca="1" si="80"/>
        <v>-8982799.0056011137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-8982799.0056011137</v>
      </c>
      <c r="J990" s="455">
        <f t="array" ref="J990">IFERROR(INDEX('Retirement Calculator'!J:J,MATCH('Isaac 401k'!N990,'Retirement Calculator'!A:A,0),0),0)</f>
        <v>7863.2184191855868</v>
      </c>
      <c r="K990" s="455">
        <f t="shared" ca="1" si="79"/>
        <v>-37461.092600084579</v>
      </c>
      <c r="L990" s="455">
        <f t="shared" ca="1" si="80"/>
        <v>-9028123.3166203834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-9028123.3166203834</v>
      </c>
      <c r="J991" s="455">
        <f t="array" ref="J991">IFERROR(INDEX('Retirement Calculator'!J:J,MATCH('Isaac 401k'!N991,'Retirement Calculator'!A:A,0),0),0)</f>
        <v>7863.2184191855868</v>
      </c>
      <c r="K991" s="455">
        <f t="shared" ca="1" si="79"/>
        <v>-37649.9438959982</v>
      </c>
      <c r="L991" s="455">
        <f t="shared" ca="1" si="80"/>
        <v>-9073636.4789355658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-9073636.4789355658</v>
      </c>
      <c r="J992" s="455">
        <f t="array" ref="J992">IFERROR(INDEX('Retirement Calculator'!J:J,MATCH('Isaac 401k'!N992,'Retirement Calculator'!A:A,0),0),0)</f>
        <v>7863.2184191855868</v>
      </c>
      <c r="K992" s="455">
        <f t="shared" ca="1" si="79"/>
        <v>-37839.582072311459</v>
      </c>
      <c r="L992" s="455">
        <f t="shared" ca="1" si="80"/>
        <v>-9119339.2794270627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-9119339.2794270627</v>
      </c>
      <c r="J993" s="455">
        <f t="array" ref="J993">IFERROR(INDEX('Retirement Calculator'!J:J,MATCH('Isaac 401k'!N993,'Retirement Calculator'!A:A,0),0),0)</f>
        <v>7863.2184191855868</v>
      </c>
      <c r="K993" s="455">
        <f t="shared" ca="1" si="79"/>
        <v>-38030.010407692695</v>
      </c>
      <c r="L993" s="455">
        <f t="shared" ca="1" si="80"/>
        <v>-9165232.5082539394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-9165232.5082539394</v>
      </c>
      <c r="J994" s="455">
        <f t="array" ref="J994">IFERROR(INDEX('Retirement Calculator'!J:J,MATCH('Isaac 401k'!N994,'Retirement Calculator'!A:A,0),0),0)</f>
        <v>7863.2184191855868</v>
      </c>
      <c r="K994" s="455">
        <f t="shared" ca="1" si="79"/>
        <v>-38221.232194471348</v>
      </c>
      <c r="L994" s="455">
        <f t="shared" ca="1" si="80"/>
        <v>-9211316.9588675965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-9211316.9588675965</v>
      </c>
      <c r="J995" s="455">
        <f t="array" ref="J995">IFERROR(INDEX('Retirement Calculator'!J:J,MATCH('Isaac 401k'!N995,'Retirement Calculator'!A:A,0),0),0)</f>
        <v>7863.2184191855868</v>
      </c>
      <c r="K995" s="455">
        <f t="shared" ca="1" si="79"/>
        <v>-38413.250738694922</v>
      </c>
      <c r="L995" s="455">
        <f t="shared" ca="1" si="80"/>
        <v>-9257593.4280254766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-9257593.4280254766</v>
      </c>
      <c r="J996" s="455">
        <f t="array" ref="J996">IFERROR(INDEX('Retirement Calculator'!J:J,MATCH('Isaac 401k'!N996,'Retirement Calculator'!A:A,0),0),0)</f>
        <v>7863.2184191855868</v>
      </c>
      <c r="K996" s="455">
        <f t="shared" ca="1" si="79"/>
        <v>-38606.069360186091</v>
      </c>
      <c r="L996" s="455">
        <f t="shared" ca="1" si="80"/>
        <v>-9304062.715804847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-9304062.715804847</v>
      </c>
      <c r="J997" s="455">
        <f t="array" ref="J997">IFERROR(INDEX('Retirement Calculator'!J:J,MATCH('Isaac 401k'!N997,'Retirement Calculator'!A:A,0),0),0)</f>
        <v>7863.2184191855868</v>
      </c>
      <c r="K997" s="455">
        <f t="shared" ca="1" si="79"/>
        <v>-38799.691392600129</v>
      </c>
      <c r="L997" s="455">
        <f t="shared" ca="1" si="80"/>
        <v>-9350725.6256166324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-9350725.6256166324</v>
      </c>
      <c r="J998" s="455">
        <f t="array" ref="J998">IFERROR(INDEX('Retirement Calculator'!J:J,MATCH('Isaac 401k'!N998,'Retirement Calculator'!A:A,0),0),0)</f>
        <v>7863.2184191855868</v>
      </c>
      <c r="K998" s="455">
        <f t="shared" ca="1" si="79"/>
        <v>-38994.12018348257</v>
      </c>
      <c r="L998" s="455">
        <f t="shared" ca="1" si="80"/>
        <v>-9397582.9642193001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-9397582.9642193001</v>
      </c>
      <c r="J999" s="455">
        <f t="array" ref="J999">IFERROR(INDEX('Retirement Calculator'!J:J,MATCH('Isaac 401k'!N999,'Retirement Calculator'!A:A,0),0),0)</f>
        <v>7863.2184191855868</v>
      </c>
      <c r="K999" s="455">
        <f t="shared" ca="1" si="79"/>
        <v>-39189.359094327017</v>
      </c>
      <c r="L999" s="455">
        <f t="shared" ca="1" si="80"/>
        <v>-9444635.5417328123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-9444635.5417328123</v>
      </c>
      <c r="J1000" s="455">
        <f t="array" ref="J1000">IFERROR(INDEX('Retirement Calculator'!J:J,MATCH('Isaac 401k'!N1000,'Retirement Calculator'!A:A,0),0),0)</f>
        <v>7863.2184191855868</v>
      </c>
      <c r="K1000" s="455">
        <f t="shared" ca="1" si="79"/>
        <v>-39385.411500633323</v>
      </c>
      <c r="L1000" s="455">
        <f t="shared" ca="1" si="80"/>
        <v>-9491884.17165263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-9491884.17165263</v>
      </c>
      <c r="J1001" s="455">
        <f t="array" ref="J1001">IFERROR(INDEX('Retirement Calculator'!J:J,MATCH('Isaac 401k'!N1001,'Retirement Calculator'!A:A,0),0),0)</f>
        <v>7863.2184191855868</v>
      </c>
      <c r="K1001" s="455">
        <f t="shared" ca="1" si="79"/>
        <v>-39582.280791965895</v>
      </c>
      <c r="L1001" s="455">
        <f t="shared" ca="1" si="80"/>
        <v>-9539329.6708637811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-9539329.6708637811</v>
      </c>
      <c r="J1002" s="455">
        <f t="array" ref="J1002">IFERROR(INDEX('Retirement Calculator'!J:J,MATCH('Isaac 401k'!N1002,'Retirement Calculator'!A:A,0),0),0)</f>
        <v>7863.2184191855868</v>
      </c>
      <c r="K1002" s="455">
        <f t="shared" ca="1" si="79"/>
        <v>-39779.970372012358</v>
      </c>
      <c r="L1002" s="455">
        <f t="shared" ca="1" si="80"/>
        <v>-9586972.8596549779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-9586972.8596549779</v>
      </c>
      <c r="J1003" s="455">
        <f t="array" ref="J1003">IFERROR(INDEX('Retirement Calculator'!J:J,MATCH('Isaac 401k'!N1003,'Retirement Calculator'!A:A,0),0),0)</f>
        <v>7863.2184191855868</v>
      </c>
      <c r="K1003" s="455">
        <f t="shared" ca="1" si="79"/>
        <v>-39978.483658642348</v>
      </c>
      <c r="L1003" s="455">
        <f t="shared" ca="1" si="80"/>
        <v>-9634814.5617328044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>
        <f>G1003+1</f>
        <v>84</v>
      </c>
      <c r="H1004" s="470">
        <v>997</v>
      </c>
      <c r="I1004" s="455">
        <f t="shared" ca="1" si="81"/>
        <v>-9634814.5617328044</v>
      </c>
      <c r="J1004" s="455">
        <f t="array" ref="J1004">IFERROR(INDEX('Retirement Calculator'!J:J,MATCH('Isaac 401k'!N1004,'Retirement Calculator'!A:A,0),0),0)</f>
        <v>7863.2184191855868</v>
      </c>
      <c r="K1004" s="455">
        <f t="shared" ca="1" si="79"/>
        <v>-40177.824083966625</v>
      </c>
      <c r="L1004" s="455">
        <f t="shared" ca="1" si="80"/>
        <v>-9682855.6042359564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>
        <f t="shared" ref="G1005:G1015" si="103">G1004</f>
        <v>84</v>
      </c>
      <c r="H1005" s="470">
        <v>998</v>
      </c>
      <c r="I1005" s="455">
        <f t="shared" ca="1" si="81"/>
        <v>-9682855.6042359564</v>
      </c>
      <c r="J1005" s="455">
        <f t="array" ref="J1005">IFERROR(INDEX('Retirement Calculator'!J:J,MATCH('Isaac 401k'!N1005,'Retirement Calculator'!A:A,0),0),0)</f>
        <v>7863.2184191855868</v>
      </c>
      <c r="K1005" s="455">
        <f t="shared" ca="1" si="79"/>
        <v>-40377.995094396421</v>
      </c>
      <c r="L1005" s="455">
        <f t="shared" ca="1" si="80"/>
        <v>-9731096.8177495375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>
        <f t="shared" si="103"/>
        <v>84</v>
      </c>
      <c r="H1006" s="470">
        <v>999</v>
      </c>
      <c r="I1006" s="455">
        <f t="shared" ca="1" si="81"/>
        <v>-9731096.8177495375</v>
      </c>
      <c r="J1006" s="455">
        <f t="array" ref="J1006">IFERROR(INDEX('Retirement Calculator'!J:J,MATCH('Isaac 401k'!N1006,'Retirement Calculator'!A:A,0),0),0)</f>
        <v>7863.2184191855868</v>
      </c>
      <c r="K1006" s="455">
        <f t="shared" ca="1" si="79"/>
        <v>-40579.00015070301</v>
      </c>
      <c r="L1006" s="455">
        <f t="shared" ca="1" si="80"/>
        <v>-9779539.0363194253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>
        <f t="shared" si="103"/>
        <v>84</v>
      </c>
      <c r="H1007" s="470">
        <v>1000</v>
      </c>
      <c r="I1007" s="455">
        <f t="shared" ca="1" si="81"/>
        <v>-9779539.0363194253</v>
      </c>
      <c r="J1007" s="455">
        <f t="array" ref="J1007">IFERROR(INDEX('Retirement Calculator'!J:J,MATCH('Isaac 401k'!N1007,'Retirement Calculator'!A:A,0),0),0)</f>
        <v>7863.2184191855868</v>
      </c>
      <c r="K1007" s="455">
        <f t="shared" ca="1" si="79"/>
        <v>-40780.842728077543</v>
      </c>
      <c r="L1007" s="455">
        <f t="shared" ca="1" si="80"/>
        <v>-9828183.0974666886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>
        <f t="shared" si="103"/>
        <v>84</v>
      </c>
      <c r="H1008" s="470">
        <v>1001</v>
      </c>
      <c r="I1008" s="455">
        <f t="shared" ca="1" si="81"/>
        <v>-9828183.0974666886</v>
      </c>
      <c r="J1008" s="455">
        <f t="array" ref="J1008">IFERROR(INDEX('Retirement Calculator'!J:J,MATCH('Isaac 401k'!N1008,'Retirement Calculator'!A:A,0),0),0)</f>
        <v>7863.2184191855868</v>
      </c>
      <c r="K1008" s="455">
        <f t="shared" ca="1" si="79"/>
        <v>-40983.526316191143</v>
      </c>
      <c r="L1008" s="455">
        <f t="shared" ca="1" si="80"/>
        <v>-9877029.8422020655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>
        <f t="shared" si="103"/>
        <v>84</v>
      </c>
      <c r="H1009" s="470">
        <v>1002</v>
      </c>
      <c r="I1009" s="455">
        <f t="shared" ca="1" si="81"/>
        <v>-9877029.8422020655</v>
      </c>
      <c r="J1009" s="455">
        <f t="array" ref="J1009">IFERROR(INDEX('Retirement Calculator'!J:J,MATCH('Isaac 401k'!N1009,'Retirement Calculator'!A:A,0),0),0)</f>
        <v>7863.2184191855868</v>
      </c>
      <c r="K1009" s="455">
        <f t="shared" ca="1" si="79"/>
        <v>-41187.054419255212</v>
      </c>
      <c r="L1009" s="455">
        <f t="shared" ca="1" si="80"/>
        <v>-9926080.1150405053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>
        <f t="shared" si="103"/>
        <v>84</v>
      </c>
      <c r="H1010" s="470">
        <v>1003</v>
      </c>
      <c r="I1010" s="455">
        <f t="shared" ca="1" si="81"/>
        <v>-9926080.1150405053</v>
      </c>
      <c r="J1010" s="455">
        <f t="array" ref="J1010">IFERROR(INDEX('Retirement Calculator'!J:J,MATCH('Isaac 401k'!N1010,'Retirement Calculator'!A:A,0),0),0)</f>
        <v>7863.2184191855868</v>
      </c>
      <c r="K1010" s="455">
        <f t="shared" ca="1" si="79"/>
        <v>-41391.430556082043</v>
      </c>
      <c r="L1010" s="455">
        <f t="shared" ca="1" si="80"/>
        <v>-9975334.7640157714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>
        <f t="shared" si="103"/>
        <v>84</v>
      </c>
      <c r="H1011" s="470">
        <v>1004</v>
      </c>
      <c r="I1011" s="455">
        <f t="shared" ca="1" si="81"/>
        <v>-9975334.7640157714</v>
      </c>
      <c r="J1011" s="455">
        <f t="array" ref="J1011">IFERROR(INDEX('Retirement Calculator'!J:J,MATCH('Isaac 401k'!N1011,'Retirement Calculator'!A:A,0),0),0)</f>
        <v>7863.2184191855868</v>
      </c>
      <c r="K1011" s="455">
        <f t="shared" ca="1" si="79"/>
        <v>-41596.658260145654</v>
      </c>
      <c r="L1011" s="455">
        <f t="shared" ca="1" si="80"/>
        <v>-10024794.640695103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>
        <f t="shared" si="103"/>
        <v>84</v>
      </c>
      <c r="H1012" s="470">
        <v>1005</v>
      </c>
      <c r="I1012" s="455">
        <f t="shared" ca="1" si="81"/>
        <v>-10024794.640695103</v>
      </c>
      <c r="J1012" s="455">
        <f t="array" ref="J1012">IFERROR(INDEX('Retirement Calculator'!J:J,MATCH('Isaac 401k'!N1012,'Retirement Calculator'!A:A,0),0),0)</f>
        <v>7863.2184191855868</v>
      </c>
      <c r="K1012" s="455">
        <f t="shared" ca="1" si="79"/>
        <v>-41802.741079642867</v>
      </c>
      <c r="L1012" s="455">
        <f t="shared" ca="1" si="80"/>
        <v>-10074460.600193931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>
        <f t="shared" si="103"/>
        <v>84</v>
      </c>
      <c r="H1013" s="470">
        <v>1006</v>
      </c>
      <c r="I1013" s="455">
        <f t="shared" ca="1" si="81"/>
        <v>-10074460.600193931</v>
      </c>
      <c r="J1013" s="455">
        <f t="array" ref="J1013">IFERROR(INDEX('Retirement Calculator'!J:J,MATCH('Isaac 401k'!N1013,'Retirement Calculator'!A:A,0),0),0)</f>
        <v>7863.2184191855868</v>
      </c>
      <c r="K1013" s="455">
        <f t="shared" ca="1" si="79"/>
        <v>-42009.682577554646</v>
      </c>
      <c r="L1013" s="455">
        <f t="shared" ca="1" si="80"/>
        <v>-10124333.50119067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>
        <f t="shared" si="103"/>
        <v>84</v>
      </c>
      <c r="H1014" s="470">
        <v>1007</v>
      </c>
      <c r="I1014" s="455">
        <f t="shared" ca="1" si="81"/>
        <v>-10124333.50119067</v>
      </c>
      <c r="J1014" s="455">
        <f t="array" ref="J1014">IFERROR(INDEX('Retirement Calculator'!J:J,MATCH('Isaac 401k'!N1014,'Retirement Calculator'!A:A,0),0),0)</f>
        <v>7863.2184191855868</v>
      </c>
      <c r="K1014" s="455">
        <f t="shared" ca="1" si="79"/>
        <v>-42217.486331707725</v>
      </c>
      <c r="L1014" s="455">
        <f t="shared" ca="1" si="80"/>
        <v>-10174414.205941562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>
        <f t="shared" si="103"/>
        <v>84</v>
      </c>
      <c r="H1015" s="470">
        <v>1008</v>
      </c>
      <c r="I1015" s="455">
        <f t="shared" ca="1" si="81"/>
        <v>-10174414.205941562</v>
      </c>
      <c r="J1015" s="455">
        <f t="array" ref="J1015">IFERROR(INDEX('Retirement Calculator'!J:J,MATCH('Isaac 401k'!N1015,'Retirement Calculator'!A:A,0),0),0)</f>
        <v>7863.2184191855868</v>
      </c>
      <c r="K1015" s="455">
        <f t="shared" ca="1" si="79"/>
        <v>-42426.155934836446</v>
      </c>
      <c r="L1015" s="455">
        <f t="shared" ca="1" si="80"/>
        <v>-10224703.580295583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>
        <f>G1015+1</f>
        <v>85</v>
      </c>
      <c r="H1016" s="470">
        <v>1009</v>
      </c>
      <c r="I1016" s="455">
        <f t="shared" ca="1" si="81"/>
        <v>-10224703.580295583</v>
      </c>
      <c r="J1016" s="455">
        <f t="array" ref="J1016">IFERROR(INDEX('Retirement Calculator'!J:J,MATCH('Isaac 401k'!N1016,'Retirement Calculator'!A:A,0),0),0)</f>
        <v>7863.2184191855868</v>
      </c>
      <c r="K1016" s="455">
        <f t="shared" ca="1" si="79"/>
        <v>-42635.694994644866</v>
      </c>
      <c r="L1016" s="455">
        <f t="shared" ca="1" si="80"/>
        <v>-10275202.493709413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>
        <f t="shared" ref="G1017:G1027" si="104">G1016</f>
        <v>85</v>
      </c>
      <c r="H1017" s="470">
        <v>1010</v>
      </c>
      <c r="I1017" s="455">
        <f t="shared" ca="1" si="81"/>
        <v>-10275202.493709413</v>
      </c>
      <c r="J1017" s="455">
        <f t="array" ref="J1017">IFERROR(INDEX('Retirement Calculator'!J:J,MATCH('Isaac 401k'!N1017,'Retirement Calculator'!A:A,0),0),0)</f>
        <v>7863.2184191855868</v>
      </c>
      <c r="K1017" s="455">
        <f t="shared" ca="1" si="79"/>
        <v>-42846.107133869162</v>
      </c>
      <c r="L1017" s="455">
        <f t="shared" ca="1" si="80"/>
        <v>-10325911.819262467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>
        <f t="shared" si="104"/>
        <v>85</v>
      </c>
      <c r="H1018" s="470">
        <v>1011</v>
      </c>
      <c r="I1018" s="455">
        <f t="shared" ca="1" si="81"/>
        <v>-10325911.819262467</v>
      </c>
      <c r="J1018" s="455">
        <f t="array" ref="J1018">IFERROR(INDEX('Retirement Calculator'!J:J,MATCH('Isaac 401k'!N1018,'Retirement Calculator'!A:A,0),0),0)</f>
        <v>7863.2184191855868</v>
      </c>
      <c r="K1018" s="455">
        <f t="shared" ca="1" si="79"/>
        <v>-43057.395990340214</v>
      </c>
      <c r="L1018" s="455">
        <f t="shared" ca="1" si="80"/>
        <v>-10376832.433671992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>
        <f t="shared" si="104"/>
        <v>85</v>
      </c>
      <c r="H1019" s="470">
        <v>1012</v>
      </c>
      <c r="I1019" s="455">
        <f t="shared" ca="1" si="81"/>
        <v>-10376832.433671992</v>
      </c>
      <c r="J1019" s="455">
        <f t="array" ref="J1019">IFERROR(INDEX('Retirement Calculator'!J:J,MATCH('Isaac 401k'!N1019,'Retirement Calculator'!A:A,0),0),0)</f>
        <v>7863.2184191855868</v>
      </c>
      <c r="K1019" s="455">
        <f t="shared" ca="1" si="79"/>
        <v>-43269.565217046569</v>
      </c>
      <c r="L1019" s="455">
        <f t="shared" ca="1" si="80"/>
        <v>-10427965.217308223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>
        <f t="shared" si="104"/>
        <v>85</v>
      </c>
      <c r="H1020" s="470">
        <v>1013</v>
      </c>
      <c r="I1020" s="455">
        <f t="shared" ca="1" si="81"/>
        <v>-10427965.217308223</v>
      </c>
      <c r="J1020" s="455">
        <f t="array" ref="J1020">IFERROR(INDEX('Retirement Calculator'!J:J,MATCH('Isaac 401k'!N1020,'Retirement Calculator'!A:A,0),0),0)</f>
        <v>7863.2184191855868</v>
      </c>
      <c r="K1020" s="455">
        <f t="shared" ca="1" si="79"/>
        <v>-43482.618482197533</v>
      </c>
      <c r="L1020" s="455">
        <f t="shared" ca="1" si="80"/>
        <v>-10479311.054209605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>
        <f t="shared" si="104"/>
        <v>85</v>
      </c>
      <c r="H1021" s="470">
        <v>1014</v>
      </c>
      <c r="I1021" s="455">
        <f t="shared" ca="1" si="81"/>
        <v>-10479311.054209605</v>
      </c>
      <c r="J1021" s="455">
        <f t="array" ref="J1021">IFERROR(INDEX('Retirement Calculator'!J:J,MATCH('Isaac 401k'!N1021,'Retirement Calculator'!A:A,0),0),0)</f>
        <v>7863.2184191855868</v>
      </c>
      <c r="K1021" s="455">
        <f t="shared" ca="1" si="79"/>
        <v>-43696.559469286622</v>
      </c>
      <c r="L1021" s="455">
        <f t="shared" ca="1" si="80"/>
        <v>-10530870.832098076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>
        <f t="shared" si="104"/>
        <v>85</v>
      </c>
      <c r="H1022" s="470">
        <v>1015</v>
      </c>
      <c r="I1022" s="455">
        <f t="shared" ca="1" si="81"/>
        <v>-10530870.832098076</v>
      </c>
      <c r="J1022" s="455">
        <f t="array" ref="J1022">IFERROR(INDEX('Retirement Calculator'!J:J,MATCH('Isaac 401k'!N1022,'Retirement Calculator'!A:A,0),0),0)</f>
        <v>7863.2184191855868</v>
      </c>
      <c r="K1022" s="455">
        <f t="shared" ca="1" si="79"/>
        <v>-43911.391877155256</v>
      </c>
      <c r="L1022" s="455">
        <f t="shared" ca="1" si="80"/>
        <v>-10582645.442394417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>
        <f t="shared" si="104"/>
        <v>85</v>
      </c>
      <c r="H1023" s="470">
        <v>1016</v>
      </c>
      <c r="I1023" s="455">
        <f t="shared" ca="1" si="81"/>
        <v>-10582645.442394417</v>
      </c>
      <c r="J1023" s="455">
        <f t="array" ref="J1023">IFERROR(INDEX('Retirement Calculator'!J:J,MATCH('Isaac 401k'!N1023,'Retirement Calculator'!A:A,0),0),0)</f>
        <v>7863.2184191855868</v>
      </c>
      <c r="K1023" s="455">
        <f t="shared" ca="1" si="79"/>
        <v>-44127.119420056675</v>
      </c>
      <c r="L1023" s="455">
        <f t="shared" ca="1" si="80"/>
        <v>-10634635.780233659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>
        <f t="shared" si="104"/>
        <v>85</v>
      </c>
      <c r="H1024" s="470">
        <v>1017</v>
      </c>
      <c r="I1024" s="455">
        <f t="shared" ca="1" si="81"/>
        <v>-10634635.780233659</v>
      </c>
      <c r="J1024" s="455">
        <f t="array" ref="J1024">IFERROR(INDEX('Retirement Calculator'!J:J,MATCH('Isaac 401k'!N1024,'Retirement Calculator'!A:A,0),0),0)</f>
        <v>7863.2184191855868</v>
      </c>
      <c r="K1024" s="455">
        <f t="shared" ca="1" si="79"/>
        <v>-44343.74582772018</v>
      </c>
      <c r="L1024" s="455">
        <f t="shared" ca="1" si="80"/>
        <v>-10686842.744480563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>
        <f t="shared" si="104"/>
        <v>85</v>
      </c>
      <c r="H1025" s="470">
        <v>1018</v>
      </c>
      <c r="I1025" s="455">
        <f t="shared" ca="1" si="81"/>
        <v>-10686842.744480563</v>
      </c>
      <c r="J1025" s="455">
        <f t="array" ref="J1025">IFERROR(INDEX('Retirement Calculator'!J:J,MATCH('Isaac 401k'!N1025,'Retirement Calculator'!A:A,0),0),0)</f>
        <v>7863.2184191855868</v>
      </c>
      <c r="K1025" s="455">
        <f t="shared" ca="1" si="79"/>
        <v>-44561.274845415617</v>
      </c>
      <c r="L1025" s="455">
        <f t="shared" ca="1" si="80"/>
        <v>-10739267.237745164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>
        <f t="shared" si="104"/>
        <v>85</v>
      </c>
      <c r="H1026" s="470">
        <v>1019</v>
      </c>
      <c r="I1026" s="455">
        <f t="shared" ca="1" si="81"/>
        <v>-10739267.237745164</v>
      </c>
      <c r="J1026" s="455">
        <f t="array" ref="J1026">IFERROR(INDEX('Retirement Calculator'!J:J,MATCH('Isaac 401k'!N1026,'Retirement Calculator'!A:A,0),0),0)</f>
        <v>7863.2184191855868</v>
      </c>
      <c r="K1026" s="455">
        <f t="shared" ca="1" si="79"/>
        <v>-44779.710234018123</v>
      </c>
      <c r="L1026" s="455">
        <f t="shared" ca="1" si="80"/>
        <v>-10791910.166398367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>
        <f t="shared" si="104"/>
        <v>85</v>
      </c>
      <c r="H1027" s="470">
        <v>1020</v>
      </c>
      <c r="I1027" s="455">
        <f t="shared" ca="1" si="81"/>
        <v>-10791910.166398367</v>
      </c>
      <c r="J1027" s="455">
        <f t="array" ref="J1027">IFERROR(INDEX('Retirement Calculator'!J:J,MATCH('Isaac 401k'!N1027,'Retirement Calculator'!A:A,0),0),0)</f>
        <v>7863.2184191855868</v>
      </c>
      <c r="K1027" s="455">
        <f t="shared" ca="1" si="79"/>
        <v>-44999.05577007313</v>
      </c>
      <c r="L1027" s="455">
        <f t="shared" ca="1" si="80"/>
        <v>-10844772.440587625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>
        <f>G1027+1</f>
        <v>86</v>
      </c>
      <c r="H1028" s="470">
        <v>1021</v>
      </c>
      <c r="I1028" s="455">
        <f t="shared" ca="1" si="81"/>
        <v>-10844772.440587625</v>
      </c>
      <c r="J1028" s="455">
        <f t="array" ref="J1028">IFERROR(INDEX('Retirement Calculator'!J:J,MATCH('Isaac 401k'!N1028,'Retirement Calculator'!A:A,0),0),0)</f>
        <v>7863.2184191855868</v>
      </c>
      <c r="K1028" s="455">
        <f t="shared" ref="K1028:K1282" ca="1" si="105">IPMT(M1028/12,1,12,-I1028+J1028,,0)</f>
        <v>-45219.315245861704</v>
      </c>
      <c r="L1028" s="455">
        <f t="shared" ref="L1028:L1282" ca="1" si="106">I1028-J1028+K1028</f>
        <v>-10897854.974252671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>
        <f t="shared" ref="G1029:G1039" si="107">G1028</f>
        <v>86</v>
      </c>
      <c r="H1029" s="470">
        <v>1022</v>
      </c>
      <c r="I1029" s="455">
        <f t="shared" ref="I1029:I1283" ca="1" si="108">L1028</f>
        <v>-10897854.974252671</v>
      </c>
      <c r="J1029" s="455">
        <f t="array" ref="J1029">IFERROR(INDEX('Retirement Calculator'!J:J,MATCH('Isaac 401k'!N1029,'Retirement Calculator'!A:A,0),0),0)</f>
        <v>7863.2184191855868</v>
      </c>
      <c r="K1029" s="455">
        <f t="shared" ca="1" si="105"/>
        <v>-45440.492469466066</v>
      </c>
      <c r="L1029" s="455">
        <f t="shared" ca="1" si="106"/>
        <v>-10951158.685141321</v>
      </c>
      <c r="M1029" s="471">
        <f t="shared" ref="M1029:M1283" si="109">M1028</f>
        <v>0.05</v>
      </c>
      <c r="N1029" s="475">
        <f t="shared" ref="N1029:N1283" si="110">EDATE(N1028,1)</f>
        <v>82363</v>
      </c>
    </row>
    <row r="1030" spans="7:14" ht="11.25" customHeight="1" x14ac:dyDescent="0.3">
      <c r="G1030" s="470">
        <f t="shared" si="107"/>
        <v>86</v>
      </c>
      <c r="H1030" s="470">
        <v>1023</v>
      </c>
      <c r="I1030" s="455">
        <f t="shared" ca="1" si="108"/>
        <v>-10951158.685141321</v>
      </c>
      <c r="J1030" s="455">
        <f t="array" ref="J1030">IFERROR(INDEX('Retirement Calculator'!J:J,MATCH('Isaac 401k'!N1030,'Retirement Calculator'!A:A,0),0),0)</f>
        <v>7863.2184191855868</v>
      </c>
      <c r="K1030" s="455">
        <f t="shared" ca="1" si="105"/>
        <v>-45662.591264835442</v>
      </c>
      <c r="L1030" s="455">
        <f t="shared" ca="1" si="106"/>
        <v>-11004684.494825341</v>
      </c>
      <c r="M1030" s="471">
        <f t="shared" si="109"/>
        <v>0.05</v>
      </c>
      <c r="N1030" s="475">
        <f t="shared" si="110"/>
        <v>82394</v>
      </c>
    </row>
    <row r="1031" spans="7:14" ht="11.25" customHeight="1" x14ac:dyDescent="0.3">
      <c r="G1031" s="470">
        <f t="shared" si="107"/>
        <v>86</v>
      </c>
      <c r="H1031" s="470">
        <v>1024</v>
      </c>
      <c r="I1031" s="455">
        <f t="shared" ca="1" si="108"/>
        <v>-11004684.494825341</v>
      </c>
      <c r="J1031" s="455">
        <f t="array" ref="J1031">IFERROR(INDEX('Retirement Calculator'!J:J,MATCH('Isaac 401k'!N1031,'Retirement Calculator'!A:A,0),0),0)</f>
        <v>7863.2184191855868</v>
      </c>
      <c r="K1031" s="455">
        <f t="shared" ca="1" si="105"/>
        <v>-45885.615471852187</v>
      </c>
      <c r="L1031" s="455">
        <f t="shared" ca="1" si="106"/>
        <v>-11058433.328716379</v>
      </c>
      <c r="M1031" s="471">
        <f t="shared" si="109"/>
        <v>0.05</v>
      </c>
      <c r="N1031" s="475">
        <f t="shared" si="110"/>
        <v>82425</v>
      </c>
    </row>
    <row r="1032" spans="7:14" ht="11.25" customHeight="1" x14ac:dyDescent="0.3">
      <c r="G1032" s="470">
        <f t="shared" si="107"/>
        <v>86</v>
      </c>
      <c r="H1032" s="470">
        <v>1025</v>
      </c>
      <c r="I1032" s="455">
        <f t="shared" ca="1" si="108"/>
        <v>-11058433.328716379</v>
      </c>
      <c r="J1032" s="455">
        <f t="array" ref="J1032">IFERROR(INDEX('Retirement Calculator'!J:J,MATCH('Isaac 401k'!N1032,'Retirement Calculator'!A:A,0),0),0)</f>
        <v>7863.2184191855868</v>
      </c>
      <c r="K1032" s="455">
        <f t="shared" ca="1" si="105"/>
        <v>-46109.568946398183</v>
      </c>
      <c r="L1032" s="455">
        <f t="shared" ca="1" si="106"/>
        <v>-11112406.116081962</v>
      </c>
      <c r="M1032" s="471">
        <f t="shared" si="109"/>
        <v>0.05</v>
      </c>
      <c r="N1032" s="475">
        <f t="shared" si="110"/>
        <v>82455</v>
      </c>
    </row>
    <row r="1033" spans="7:14" ht="11.25" customHeight="1" x14ac:dyDescent="0.3">
      <c r="G1033" s="470">
        <f t="shared" si="107"/>
        <v>86</v>
      </c>
      <c r="H1033" s="470">
        <v>1026</v>
      </c>
      <c r="I1033" s="455">
        <f t="shared" ca="1" si="108"/>
        <v>-11112406.116081962</v>
      </c>
      <c r="J1033" s="455">
        <f t="array" ref="J1033">IFERROR(INDEX('Retirement Calculator'!J:J,MATCH('Isaac 401k'!N1033,'Retirement Calculator'!A:A,0),0),0)</f>
        <v>7863.2184191855868</v>
      </c>
      <c r="K1033" s="455">
        <f t="shared" ca="1" si="105"/>
        <v>-46334.455560421447</v>
      </c>
      <c r="L1033" s="455">
        <f t="shared" ca="1" si="106"/>
        <v>-11166603.790061569</v>
      </c>
      <c r="M1033" s="471">
        <f t="shared" si="109"/>
        <v>0.05</v>
      </c>
      <c r="N1033" s="475">
        <f t="shared" si="110"/>
        <v>82486</v>
      </c>
    </row>
    <row r="1034" spans="7:14" ht="11.25" customHeight="1" x14ac:dyDescent="0.3">
      <c r="G1034" s="470">
        <f t="shared" si="107"/>
        <v>86</v>
      </c>
      <c r="H1034" s="470">
        <v>1027</v>
      </c>
      <c r="I1034" s="455">
        <f t="shared" ca="1" si="108"/>
        <v>-11166603.790061569</v>
      </c>
      <c r="J1034" s="455">
        <f t="array" ref="J1034">IFERROR(INDEX('Retirement Calculator'!J:J,MATCH('Isaac 401k'!N1034,'Retirement Calculator'!A:A,0),0),0)</f>
        <v>7863.2184191855868</v>
      </c>
      <c r="K1034" s="455">
        <f t="shared" ca="1" si="105"/>
        <v>-46560.279202003141</v>
      </c>
      <c r="L1034" s="455">
        <f t="shared" ca="1" si="106"/>
        <v>-11221027.287682757</v>
      </c>
      <c r="M1034" s="471">
        <f t="shared" si="109"/>
        <v>0.05</v>
      </c>
      <c r="N1034" s="475">
        <f t="shared" si="110"/>
        <v>82516</v>
      </c>
    </row>
    <row r="1035" spans="7:14" ht="11.25" customHeight="1" x14ac:dyDescent="0.3">
      <c r="G1035" s="470">
        <f t="shared" si="107"/>
        <v>86</v>
      </c>
      <c r="H1035" s="470">
        <v>1028</v>
      </c>
      <c r="I1035" s="455">
        <f t="shared" ca="1" si="108"/>
        <v>-11221027.287682757</v>
      </c>
      <c r="J1035" s="455">
        <f t="array" ref="J1035">IFERROR(INDEX('Retirement Calculator'!J:J,MATCH('Isaac 401k'!N1035,'Retirement Calculator'!A:A,0),0),0)</f>
        <v>7863.2184191855868</v>
      </c>
      <c r="K1035" s="455">
        <f t="shared" ca="1" si="105"/>
        <v>-46787.043775424754</v>
      </c>
      <c r="L1035" s="455">
        <f t="shared" ca="1" si="106"/>
        <v>-11275677.549877366</v>
      </c>
      <c r="M1035" s="471">
        <f t="shared" si="109"/>
        <v>0.05</v>
      </c>
      <c r="N1035" s="475">
        <f t="shared" si="110"/>
        <v>82547</v>
      </c>
    </row>
    <row r="1036" spans="7:14" ht="11.25" customHeight="1" x14ac:dyDescent="0.3">
      <c r="G1036" s="470">
        <f t="shared" si="107"/>
        <v>86</v>
      </c>
      <c r="H1036" s="470">
        <v>1029</v>
      </c>
      <c r="I1036" s="455">
        <f t="shared" ca="1" si="108"/>
        <v>-11275677.549877366</v>
      </c>
      <c r="J1036" s="455">
        <f t="array" ref="J1036">IFERROR(INDEX('Retirement Calculator'!J:J,MATCH('Isaac 401k'!N1036,'Retirement Calculator'!A:A,0),0),0)</f>
        <v>7863.2184191855868</v>
      </c>
      <c r="K1036" s="455">
        <f t="shared" ca="1" si="105"/>
        <v>-47014.753201235631</v>
      </c>
      <c r="L1036" s="455">
        <f t="shared" ca="1" si="106"/>
        <v>-11330555.521497786</v>
      </c>
      <c r="M1036" s="471">
        <f t="shared" si="109"/>
        <v>0.05</v>
      </c>
      <c r="N1036" s="475">
        <f t="shared" si="110"/>
        <v>82578</v>
      </c>
    </row>
    <row r="1037" spans="7:14" ht="11.25" customHeight="1" x14ac:dyDescent="0.3">
      <c r="G1037" s="470">
        <f t="shared" si="107"/>
        <v>86</v>
      </c>
      <c r="H1037" s="470">
        <v>1030</v>
      </c>
      <c r="I1037" s="455">
        <f t="shared" ca="1" si="108"/>
        <v>-11330555.521497786</v>
      </c>
      <c r="J1037" s="455">
        <f t="array" ref="J1037">IFERROR(INDEX('Retirement Calculator'!J:J,MATCH('Isaac 401k'!N1037,'Retirement Calculator'!A:A,0),0),0)</f>
        <v>7863.2184191855868</v>
      </c>
      <c r="K1037" s="455">
        <f t="shared" ca="1" si="105"/>
        <v>-47243.411416320712</v>
      </c>
      <c r="L1037" s="455">
        <f t="shared" ca="1" si="106"/>
        <v>-11385662.151333291</v>
      </c>
      <c r="M1037" s="471">
        <f t="shared" si="109"/>
        <v>0.05</v>
      </c>
      <c r="N1037" s="475">
        <f t="shared" si="110"/>
        <v>82606</v>
      </c>
    </row>
    <row r="1038" spans="7:14" ht="11.25" customHeight="1" x14ac:dyDescent="0.3">
      <c r="G1038" s="470">
        <f t="shared" si="107"/>
        <v>86</v>
      </c>
      <c r="H1038" s="470">
        <v>1031</v>
      </c>
      <c r="I1038" s="455">
        <f t="shared" ca="1" si="108"/>
        <v>-11385662.151333291</v>
      </c>
      <c r="J1038" s="455">
        <f t="array" ref="J1038">IFERROR(INDEX('Retirement Calculator'!J:J,MATCH('Isaac 401k'!N1038,'Retirement Calculator'!A:A,0),0),0)</f>
        <v>7863.2184191855868</v>
      </c>
      <c r="K1038" s="455">
        <f t="shared" ca="1" si="105"/>
        <v>-47473.022373968648</v>
      </c>
      <c r="L1038" s="455">
        <f t="shared" ca="1" si="106"/>
        <v>-11440998.392126445</v>
      </c>
      <c r="M1038" s="471">
        <f t="shared" si="109"/>
        <v>0.05</v>
      </c>
      <c r="N1038" s="475">
        <f t="shared" si="110"/>
        <v>82637</v>
      </c>
    </row>
    <row r="1039" spans="7:14" ht="11.25" customHeight="1" x14ac:dyDescent="0.3">
      <c r="G1039" s="470">
        <f t="shared" si="107"/>
        <v>86</v>
      </c>
      <c r="H1039" s="470">
        <v>1032</v>
      </c>
      <c r="I1039" s="455">
        <f t="shared" ca="1" si="108"/>
        <v>-11440998.392126445</v>
      </c>
      <c r="J1039" s="455">
        <f t="array" ref="J1039">IFERROR(INDEX('Retirement Calculator'!J:J,MATCH('Isaac 401k'!N1039,'Retirement Calculator'!A:A,0),0),0)</f>
        <v>7863.2184191855868</v>
      </c>
      <c r="K1039" s="455">
        <f t="shared" ca="1" si="105"/>
        <v>-47703.590043940123</v>
      </c>
      <c r="L1039" s="455">
        <f t="shared" ca="1" si="106"/>
        <v>-11496565.200589569</v>
      </c>
      <c r="M1039" s="471">
        <f t="shared" si="109"/>
        <v>0.05</v>
      </c>
      <c r="N1039" s="475">
        <f t="shared" si="110"/>
        <v>82667</v>
      </c>
    </row>
    <row r="1040" spans="7:14" ht="11.25" customHeight="1" x14ac:dyDescent="0.3">
      <c r="G1040" s="470">
        <f>G1039+1</f>
        <v>87</v>
      </c>
      <c r="H1040" s="470">
        <v>1033</v>
      </c>
      <c r="I1040" s="455">
        <f t="shared" ca="1" si="108"/>
        <v>-11496565.200589569</v>
      </c>
      <c r="J1040" s="455">
        <f t="array" ref="J1040">IFERROR(INDEX('Retirement Calculator'!J:J,MATCH('Isaac 401k'!N1040,'Retirement Calculator'!A:A,0),0),0)</f>
        <v>7863.2184191855868</v>
      </c>
      <c r="K1040" s="455">
        <f t="shared" ca="1" si="105"/>
        <v>-47935.118412536474</v>
      </c>
      <c r="L1040" s="455">
        <f t="shared" ca="1" si="106"/>
        <v>-11552363.53742129</v>
      </c>
      <c r="M1040" s="471">
        <f t="shared" si="109"/>
        <v>0.05</v>
      </c>
      <c r="N1040" s="475">
        <f t="shared" si="110"/>
        <v>82698</v>
      </c>
    </row>
    <row r="1041" spans="7:14" ht="11.25" customHeight="1" x14ac:dyDescent="0.3">
      <c r="G1041" s="470">
        <f t="shared" ref="G1041:G1051" si="111">G1040</f>
        <v>87</v>
      </c>
      <c r="H1041" s="470">
        <v>1034</v>
      </c>
      <c r="I1041" s="455">
        <f t="shared" ca="1" si="108"/>
        <v>-11552363.53742129</v>
      </c>
      <c r="J1041" s="455">
        <f t="array" ref="J1041">IFERROR(INDEX('Retirement Calculator'!J:J,MATCH('Isaac 401k'!N1041,'Retirement Calculator'!A:A,0),0),0)</f>
        <v>7863.2184191855868</v>
      </c>
      <c r="K1041" s="455">
        <f t="shared" ca="1" si="105"/>
        <v>-48167.611482668646</v>
      </c>
      <c r="L1041" s="455">
        <f t="shared" ca="1" si="106"/>
        <v>-11608394.367323143</v>
      </c>
      <c r="M1041" s="471">
        <f t="shared" si="109"/>
        <v>0.05</v>
      </c>
      <c r="N1041" s="475">
        <f t="shared" si="110"/>
        <v>82728</v>
      </c>
    </row>
    <row r="1042" spans="7:14" ht="11.25" customHeight="1" x14ac:dyDescent="0.3">
      <c r="G1042" s="470">
        <f t="shared" si="111"/>
        <v>87</v>
      </c>
      <c r="H1042" s="470">
        <v>1035</v>
      </c>
      <c r="I1042" s="455">
        <f t="shared" ca="1" si="108"/>
        <v>-11608394.367323143</v>
      </c>
      <c r="J1042" s="455">
        <f t="array" ref="J1042">IFERROR(INDEX('Retirement Calculator'!J:J,MATCH('Isaac 401k'!N1042,'Retirement Calculator'!A:A,0),0),0)</f>
        <v>7863.2184191855868</v>
      </c>
      <c r="K1042" s="455">
        <f t="shared" ca="1" si="105"/>
        <v>-48401.073273926369</v>
      </c>
      <c r="L1042" s="455">
        <f t="shared" ca="1" si="106"/>
        <v>-11664658.659016255</v>
      </c>
      <c r="M1042" s="471">
        <f t="shared" si="109"/>
        <v>0.05</v>
      </c>
      <c r="N1042" s="475">
        <f t="shared" si="110"/>
        <v>82759</v>
      </c>
    </row>
    <row r="1043" spans="7:14" ht="11.25" customHeight="1" x14ac:dyDescent="0.3">
      <c r="G1043" s="470">
        <f t="shared" si="111"/>
        <v>87</v>
      </c>
      <c r="H1043" s="470">
        <v>1036</v>
      </c>
      <c r="I1043" s="455">
        <f t="shared" ca="1" si="108"/>
        <v>-11664658.659016255</v>
      </c>
      <c r="J1043" s="455">
        <f t="array" ref="J1043">IFERROR(INDEX('Retirement Calculator'!J:J,MATCH('Isaac 401k'!N1043,'Retirement Calculator'!A:A,0),0),0)</f>
        <v>7863.2184191855868</v>
      </c>
      <c r="K1043" s="455">
        <f t="shared" ca="1" si="105"/>
        <v>-48635.507822647669</v>
      </c>
      <c r="L1043" s="455">
        <f t="shared" ca="1" si="106"/>
        <v>-11721157.385258088</v>
      </c>
      <c r="M1043" s="471">
        <f t="shared" si="109"/>
        <v>0.05</v>
      </c>
      <c r="N1043" s="475">
        <f t="shared" si="110"/>
        <v>82790</v>
      </c>
    </row>
    <row r="1044" spans="7:14" ht="11.25" customHeight="1" x14ac:dyDescent="0.3">
      <c r="G1044" s="470">
        <f t="shared" si="111"/>
        <v>87</v>
      </c>
      <c r="H1044" s="470">
        <v>1037</v>
      </c>
      <c r="I1044" s="455">
        <f t="shared" ca="1" si="108"/>
        <v>-11721157.385258088</v>
      </c>
      <c r="J1044" s="455">
        <f t="array" ref="J1044">IFERROR(INDEX('Retirement Calculator'!J:J,MATCH('Isaac 401k'!N1044,'Retirement Calculator'!A:A,0),0),0)</f>
        <v>7863.2184191855868</v>
      </c>
      <c r="K1044" s="455">
        <f t="shared" ca="1" si="105"/>
        <v>-48870.919181988633</v>
      </c>
      <c r="L1044" s="455">
        <f t="shared" ca="1" si="106"/>
        <v>-11777891.522859262</v>
      </c>
      <c r="M1044" s="471">
        <f t="shared" si="109"/>
        <v>0.05</v>
      </c>
      <c r="N1044" s="475">
        <f t="shared" si="110"/>
        <v>82820</v>
      </c>
    </row>
    <row r="1045" spans="7:14" ht="11.25" customHeight="1" x14ac:dyDescent="0.3">
      <c r="G1045" s="470">
        <f t="shared" si="111"/>
        <v>87</v>
      </c>
      <c r="H1045" s="470">
        <v>1038</v>
      </c>
      <c r="I1045" s="455">
        <f t="shared" ca="1" si="108"/>
        <v>-11777891.522859262</v>
      </c>
      <c r="J1045" s="455">
        <f t="array" ref="J1045">IFERROR(INDEX('Retirement Calculator'!J:J,MATCH('Isaac 401k'!N1045,'Retirement Calculator'!A:A,0),0),0)</f>
        <v>7863.2184191855868</v>
      </c>
      <c r="K1045" s="455">
        <f t="shared" ca="1" si="105"/>
        <v>-49107.311421993531</v>
      </c>
      <c r="L1045" s="455">
        <f t="shared" ca="1" si="106"/>
        <v>-11834862.052700441</v>
      </c>
      <c r="M1045" s="471">
        <f t="shared" si="109"/>
        <v>0.05</v>
      </c>
      <c r="N1045" s="475">
        <f t="shared" si="110"/>
        <v>82851</v>
      </c>
    </row>
    <row r="1046" spans="7:14" ht="11.25" customHeight="1" x14ac:dyDescent="0.3">
      <c r="G1046" s="470">
        <f t="shared" si="111"/>
        <v>87</v>
      </c>
      <c r="H1046" s="470">
        <v>1039</v>
      </c>
      <c r="I1046" s="455">
        <f t="shared" ca="1" si="108"/>
        <v>-11834862.052700441</v>
      </c>
      <c r="J1046" s="455">
        <f t="array" ref="J1046">IFERROR(INDEX('Retirement Calculator'!J:J,MATCH('Isaac 401k'!N1046,'Retirement Calculator'!A:A,0),0),0)</f>
        <v>7863.2184191855868</v>
      </c>
      <c r="K1046" s="455">
        <f t="shared" ca="1" si="105"/>
        <v>-49344.688629665106</v>
      </c>
      <c r="L1046" s="455">
        <f t="shared" ca="1" si="106"/>
        <v>-11892069.959749291</v>
      </c>
      <c r="M1046" s="471">
        <f t="shared" si="109"/>
        <v>0.05</v>
      </c>
      <c r="N1046" s="475">
        <f t="shared" si="110"/>
        <v>82881</v>
      </c>
    </row>
    <row r="1047" spans="7:14" ht="11.25" customHeight="1" x14ac:dyDescent="0.3">
      <c r="G1047" s="470">
        <f t="shared" si="111"/>
        <v>87</v>
      </c>
      <c r="H1047" s="470">
        <v>1040</v>
      </c>
      <c r="I1047" s="455">
        <f t="shared" ca="1" si="108"/>
        <v>-11892069.959749291</v>
      </c>
      <c r="J1047" s="455">
        <f t="array" ref="J1047">IFERROR(INDEX('Retirement Calculator'!J:J,MATCH('Isaac 401k'!N1047,'Retirement Calculator'!A:A,0),0),0)</f>
        <v>7863.2184191855868</v>
      </c>
      <c r="K1047" s="455">
        <f t="shared" ca="1" si="105"/>
        <v>-49583.054909035316</v>
      </c>
      <c r="L1047" s="455">
        <f t="shared" ca="1" si="106"/>
        <v>-11949516.233077511</v>
      </c>
      <c r="M1047" s="471">
        <f t="shared" si="109"/>
        <v>0.05</v>
      </c>
      <c r="N1047" s="475">
        <f t="shared" si="110"/>
        <v>82912</v>
      </c>
    </row>
    <row r="1048" spans="7:14" ht="11.25" customHeight="1" x14ac:dyDescent="0.3">
      <c r="G1048" s="470">
        <f t="shared" si="111"/>
        <v>87</v>
      </c>
      <c r="H1048" s="470">
        <v>1041</v>
      </c>
      <c r="I1048" s="455">
        <f t="shared" ca="1" si="108"/>
        <v>-11949516.233077511</v>
      </c>
      <c r="J1048" s="455">
        <f t="array" ref="J1048">IFERROR(INDEX('Retirement Calculator'!J:J,MATCH('Isaac 401k'!N1048,'Retirement Calculator'!A:A,0),0),0)</f>
        <v>7863.2184191855868</v>
      </c>
      <c r="K1048" s="455">
        <f t="shared" ca="1" si="105"/>
        <v>-49822.414381236231</v>
      </c>
      <c r="L1048" s="455">
        <f t="shared" ca="1" si="106"/>
        <v>-12007201.865877932</v>
      </c>
      <c r="M1048" s="471">
        <f t="shared" si="109"/>
        <v>0.05</v>
      </c>
      <c r="N1048" s="475">
        <f t="shared" si="110"/>
        <v>82943</v>
      </c>
    </row>
    <row r="1049" spans="7:14" ht="11.25" customHeight="1" x14ac:dyDescent="0.3">
      <c r="G1049" s="470">
        <f t="shared" si="111"/>
        <v>87</v>
      </c>
      <c r="H1049" s="470">
        <v>1042</v>
      </c>
      <c r="I1049" s="455">
        <f t="shared" ca="1" si="108"/>
        <v>-12007201.865877932</v>
      </c>
      <c r="J1049" s="455">
        <f t="array" ref="J1049">IFERROR(INDEX('Retirement Calculator'!J:J,MATCH('Isaac 401k'!N1049,'Retirement Calculator'!A:A,0),0),0)</f>
        <v>7863.2184191855868</v>
      </c>
      <c r="K1049" s="455">
        <f t="shared" ca="1" si="105"/>
        <v>-50062.77118457132</v>
      </c>
      <c r="L1049" s="455">
        <f t="shared" ca="1" si="106"/>
        <v>-12065127.855481688</v>
      </c>
      <c r="M1049" s="471">
        <f t="shared" si="109"/>
        <v>0.05</v>
      </c>
      <c r="N1049" s="475">
        <f t="shared" si="110"/>
        <v>82971</v>
      </c>
    </row>
    <row r="1050" spans="7:14" ht="11.25" customHeight="1" x14ac:dyDescent="0.3">
      <c r="G1050" s="470">
        <f t="shared" si="111"/>
        <v>87</v>
      </c>
      <c r="H1050" s="470">
        <v>1043</v>
      </c>
      <c r="I1050" s="455">
        <f t="shared" ca="1" si="108"/>
        <v>-12065127.855481688</v>
      </c>
      <c r="J1050" s="455">
        <f t="array" ref="J1050">IFERROR(INDEX('Retirement Calculator'!J:J,MATCH('Isaac 401k'!N1050,'Retirement Calculator'!A:A,0),0),0)</f>
        <v>7863.2184191855868</v>
      </c>
      <c r="K1050" s="455">
        <f t="shared" ca="1" si="105"/>
        <v>-50304.129474586967</v>
      </c>
      <c r="L1050" s="455">
        <f t="shared" ca="1" si="106"/>
        <v>-12123295.203375461</v>
      </c>
      <c r="M1050" s="471">
        <f t="shared" si="109"/>
        <v>0.05</v>
      </c>
      <c r="N1050" s="475">
        <f t="shared" si="110"/>
        <v>83002</v>
      </c>
    </row>
    <row r="1051" spans="7:14" ht="11.25" customHeight="1" x14ac:dyDescent="0.3">
      <c r="G1051" s="470">
        <f t="shared" si="111"/>
        <v>87</v>
      </c>
      <c r="H1051" s="470">
        <v>1044</v>
      </c>
      <c r="I1051" s="455">
        <f t="shared" ca="1" si="108"/>
        <v>-12123295.203375461</v>
      </c>
      <c r="J1051" s="455">
        <f t="array" ref="J1051">IFERROR(INDEX('Retirement Calculator'!J:J,MATCH('Isaac 401k'!N1051,'Retirement Calculator'!A:A,0),0),0)</f>
        <v>7863.2184191855868</v>
      </c>
      <c r="K1051" s="455">
        <f t="shared" ca="1" si="105"/>
        <v>-50546.493424144355</v>
      </c>
      <c r="L1051" s="455">
        <f t="shared" ca="1" si="106"/>
        <v>-12181704.915218789</v>
      </c>
      <c r="M1051" s="471">
        <f t="shared" si="109"/>
        <v>0.05</v>
      </c>
      <c r="N1051" s="475">
        <f t="shared" si="110"/>
        <v>83032</v>
      </c>
    </row>
    <row r="1052" spans="7:14" ht="11.25" customHeight="1" x14ac:dyDescent="0.3">
      <c r="G1052" s="470">
        <f>G1051+1</f>
        <v>88</v>
      </c>
      <c r="H1052" s="470">
        <v>1045</v>
      </c>
      <c r="I1052" s="455">
        <f t="shared" ca="1" si="108"/>
        <v>-12181704.915218789</v>
      </c>
      <c r="J1052" s="455">
        <f t="array" ref="J1052">IFERROR(INDEX('Retirement Calculator'!J:J,MATCH('Isaac 401k'!N1052,'Retirement Calculator'!A:A,0),0),0)</f>
        <v>7863.2184191855868</v>
      </c>
      <c r="K1052" s="455">
        <f t="shared" ca="1" si="105"/>
        <v>-50789.867223491558</v>
      </c>
      <c r="L1052" s="455">
        <f t="shared" ca="1" si="106"/>
        <v>-12240358.000861466</v>
      </c>
      <c r="M1052" s="471">
        <f t="shared" si="109"/>
        <v>0.05</v>
      </c>
      <c r="N1052" s="475">
        <f t="shared" si="110"/>
        <v>83063</v>
      </c>
    </row>
    <row r="1053" spans="7:14" ht="11.25" customHeight="1" x14ac:dyDescent="0.3">
      <c r="G1053" s="470">
        <f t="shared" ref="G1053:G1063" si="112">G1052</f>
        <v>88</v>
      </c>
      <c r="H1053" s="470">
        <v>1046</v>
      </c>
      <c r="I1053" s="455">
        <f t="shared" ca="1" si="108"/>
        <v>-12240358.000861466</v>
      </c>
      <c r="J1053" s="455">
        <f t="array" ref="J1053">IFERROR(INDEX('Retirement Calculator'!J:J,MATCH('Isaac 401k'!N1053,'Retirement Calculator'!A:A,0),0),0)</f>
        <v>7863.2184191855868</v>
      </c>
      <c r="K1053" s="455">
        <f t="shared" ca="1" si="105"/>
        <v>-51034.255080336043</v>
      </c>
      <c r="L1053" s="455">
        <f t="shared" ca="1" si="106"/>
        <v>-12299255.474360988</v>
      </c>
      <c r="M1053" s="471">
        <f t="shared" si="109"/>
        <v>0.05</v>
      </c>
      <c r="N1053" s="475">
        <f t="shared" si="110"/>
        <v>83093</v>
      </c>
    </row>
    <row r="1054" spans="7:14" ht="11.25" customHeight="1" x14ac:dyDescent="0.3">
      <c r="G1054" s="470">
        <f t="shared" si="112"/>
        <v>88</v>
      </c>
      <c r="H1054" s="470">
        <v>1047</v>
      </c>
      <c r="I1054" s="455">
        <f t="shared" ca="1" si="108"/>
        <v>-12299255.474360988</v>
      </c>
      <c r="J1054" s="455">
        <f t="array" ref="J1054">IFERROR(INDEX('Retirement Calculator'!J:J,MATCH('Isaac 401k'!N1054,'Retirement Calculator'!A:A,0),0),0)</f>
        <v>7863.2184191855868</v>
      </c>
      <c r="K1054" s="455">
        <f t="shared" ca="1" si="105"/>
        <v>-51279.661219917383</v>
      </c>
      <c r="L1054" s="455">
        <f t="shared" ca="1" si="106"/>
        <v>-12358398.35400009</v>
      </c>
      <c r="M1054" s="471">
        <f t="shared" si="109"/>
        <v>0.05</v>
      </c>
      <c r="N1054" s="475">
        <f t="shared" si="110"/>
        <v>83124</v>
      </c>
    </row>
    <row r="1055" spans="7:14" ht="11.25" customHeight="1" x14ac:dyDescent="0.3">
      <c r="G1055" s="470">
        <f t="shared" si="112"/>
        <v>88</v>
      </c>
      <c r="H1055" s="470">
        <v>1048</v>
      </c>
      <c r="I1055" s="455">
        <f t="shared" ca="1" si="108"/>
        <v>-12358398.35400009</v>
      </c>
      <c r="J1055" s="455">
        <f t="array" ref="J1055">IFERROR(INDEX('Retirement Calculator'!J:J,MATCH('Isaac 401k'!N1055,'Retirement Calculator'!A:A,0),0),0)</f>
        <v>7863.2184191855868</v>
      </c>
      <c r="K1055" s="455">
        <f t="shared" ca="1" si="105"/>
        <v>-51526.089885080313</v>
      </c>
      <c r="L1055" s="455">
        <f t="shared" ca="1" si="106"/>
        <v>-12417787.662304355</v>
      </c>
      <c r="M1055" s="471">
        <f t="shared" si="109"/>
        <v>0.05</v>
      </c>
      <c r="N1055" s="475">
        <f t="shared" si="110"/>
        <v>83155</v>
      </c>
    </row>
    <row r="1056" spans="7:14" ht="11.25" customHeight="1" x14ac:dyDescent="0.3">
      <c r="G1056" s="470">
        <f t="shared" si="112"/>
        <v>88</v>
      </c>
      <c r="H1056" s="470">
        <v>1049</v>
      </c>
      <c r="I1056" s="455">
        <f t="shared" ca="1" si="108"/>
        <v>-12417787.662304355</v>
      </c>
      <c r="J1056" s="455">
        <f t="array" ref="J1056">IFERROR(INDEX('Retirement Calculator'!J:J,MATCH('Isaac 401k'!N1056,'Retirement Calculator'!A:A,0),0),0)</f>
        <v>7863.2184191855868</v>
      </c>
      <c r="K1056" s="455">
        <f t="shared" ca="1" si="105"/>
        <v>-51773.545336348085</v>
      </c>
      <c r="L1056" s="455">
        <f t="shared" ca="1" si="106"/>
        <v>-12477424.426059889</v>
      </c>
      <c r="M1056" s="471">
        <f t="shared" si="109"/>
        <v>0.05</v>
      </c>
      <c r="N1056" s="475">
        <f t="shared" si="110"/>
        <v>83185</v>
      </c>
    </row>
    <row r="1057" spans="7:14" ht="11.25" customHeight="1" x14ac:dyDescent="0.3">
      <c r="G1057" s="470">
        <f t="shared" si="112"/>
        <v>88</v>
      </c>
      <c r="H1057" s="470">
        <v>1050</v>
      </c>
      <c r="I1057" s="455">
        <f t="shared" ca="1" si="108"/>
        <v>-12477424.426059889</v>
      </c>
      <c r="J1057" s="455">
        <f t="array" ref="J1057">IFERROR(INDEX('Retirement Calculator'!J:J,MATCH('Isaac 401k'!N1057,'Retirement Calculator'!A:A,0),0),0)</f>
        <v>7863.2184191855868</v>
      </c>
      <c r="K1057" s="455">
        <f t="shared" ca="1" si="105"/>
        <v>-52022.031851996137</v>
      </c>
      <c r="L1057" s="455">
        <f t="shared" ca="1" si="106"/>
        <v>-12537309.676331069</v>
      </c>
      <c r="M1057" s="471">
        <f t="shared" si="109"/>
        <v>0.05</v>
      </c>
      <c r="N1057" s="475">
        <f t="shared" si="110"/>
        <v>83216</v>
      </c>
    </row>
    <row r="1058" spans="7:14" ht="11.25" customHeight="1" x14ac:dyDescent="0.3">
      <c r="G1058" s="470">
        <f t="shared" si="112"/>
        <v>88</v>
      </c>
      <c r="H1058" s="470">
        <v>1051</v>
      </c>
      <c r="I1058" s="455">
        <f t="shared" ca="1" si="108"/>
        <v>-12537309.676331069</v>
      </c>
      <c r="J1058" s="455">
        <f t="array" ref="J1058">IFERROR(INDEX('Retirement Calculator'!J:J,MATCH('Isaac 401k'!N1058,'Retirement Calculator'!A:A,0),0),0)</f>
        <v>7863.2184191855868</v>
      </c>
      <c r="K1058" s="455">
        <f t="shared" ca="1" si="105"/>
        <v>-52271.553728126062</v>
      </c>
      <c r="L1058" s="455">
        <f t="shared" ca="1" si="106"/>
        <v>-12597444.44847838</v>
      </c>
      <c r="M1058" s="471">
        <f t="shared" si="109"/>
        <v>0.05</v>
      </c>
      <c r="N1058" s="475">
        <f t="shared" si="110"/>
        <v>83246</v>
      </c>
    </row>
    <row r="1059" spans="7:14" ht="11.25" customHeight="1" x14ac:dyDescent="0.3">
      <c r="G1059" s="470">
        <f t="shared" si="112"/>
        <v>88</v>
      </c>
      <c r="H1059" s="470">
        <v>1052</v>
      </c>
      <c r="I1059" s="455">
        <f t="shared" ca="1" si="108"/>
        <v>-12597444.44847838</v>
      </c>
      <c r="J1059" s="455">
        <f t="array" ref="J1059">IFERROR(INDEX('Retirement Calculator'!J:J,MATCH('Isaac 401k'!N1059,'Retirement Calculator'!A:A,0),0),0)</f>
        <v>7863.2184191855868</v>
      </c>
      <c r="K1059" s="455">
        <f t="shared" ca="1" si="105"/>
        <v>-52522.115278739853</v>
      </c>
      <c r="L1059" s="455">
        <f t="shared" ca="1" si="106"/>
        <v>-12657829.782176305</v>
      </c>
      <c r="M1059" s="471">
        <f t="shared" si="109"/>
        <v>0.05</v>
      </c>
      <c r="N1059" s="475">
        <f t="shared" si="110"/>
        <v>83277</v>
      </c>
    </row>
    <row r="1060" spans="7:14" ht="11.25" customHeight="1" x14ac:dyDescent="0.3">
      <c r="G1060" s="470">
        <f t="shared" si="112"/>
        <v>88</v>
      </c>
      <c r="H1060" s="470">
        <v>1053</v>
      </c>
      <c r="I1060" s="455">
        <f t="shared" ca="1" si="108"/>
        <v>-12657829.782176305</v>
      </c>
      <c r="J1060" s="455">
        <f t="array" ref="J1060">IFERROR(INDEX('Retirement Calculator'!J:J,MATCH('Isaac 401k'!N1060,'Retirement Calculator'!A:A,0),0),0)</f>
        <v>7863.2184191855868</v>
      </c>
      <c r="K1060" s="455">
        <f t="shared" ca="1" si="105"/>
        <v>-52773.720835814536</v>
      </c>
      <c r="L1060" s="455">
        <f t="shared" ca="1" si="106"/>
        <v>-12718466.721431304</v>
      </c>
      <c r="M1060" s="471">
        <f t="shared" si="109"/>
        <v>0.05</v>
      </c>
      <c r="N1060" s="475">
        <f t="shared" si="110"/>
        <v>83308</v>
      </c>
    </row>
    <row r="1061" spans="7:14" ht="11.25" customHeight="1" x14ac:dyDescent="0.3">
      <c r="G1061" s="470">
        <f t="shared" si="112"/>
        <v>88</v>
      </c>
      <c r="H1061" s="470">
        <v>1054</v>
      </c>
      <c r="I1061" s="455">
        <f t="shared" ca="1" si="108"/>
        <v>-12718466.721431304</v>
      </c>
      <c r="J1061" s="455">
        <f t="array" ref="J1061">IFERROR(INDEX('Retirement Calculator'!J:J,MATCH('Isaac 401k'!N1061,'Retirement Calculator'!A:A,0),0),0)</f>
        <v>7863.2184191855868</v>
      </c>
      <c r="K1061" s="455">
        <f t="shared" ca="1" si="105"/>
        <v>-53026.374749377035</v>
      </c>
      <c r="L1061" s="455">
        <f t="shared" ca="1" si="106"/>
        <v>-12779356.314599866</v>
      </c>
      <c r="M1061" s="471">
        <f t="shared" si="109"/>
        <v>0.05</v>
      </c>
      <c r="N1061" s="475">
        <f t="shared" si="110"/>
        <v>83337</v>
      </c>
    </row>
    <row r="1062" spans="7:14" ht="11.25" customHeight="1" x14ac:dyDescent="0.3">
      <c r="G1062" s="470">
        <f t="shared" si="112"/>
        <v>88</v>
      </c>
      <c r="H1062" s="470">
        <v>1055</v>
      </c>
      <c r="I1062" s="455">
        <f t="shared" ca="1" si="108"/>
        <v>-12779356.314599866</v>
      </c>
      <c r="J1062" s="455">
        <f t="array" ref="J1062">IFERROR(INDEX('Retirement Calculator'!J:J,MATCH('Isaac 401k'!N1062,'Retirement Calculator'!A:A,0),0),0)</f>
        <v>7863.2184191855868</v>
      </c>
      <c r="K1062" s="455">
        <f t="shared" ca="1" si="105"/>
        <v>-53280.081387579376</v>
      </c>
      <c r="L1062" s="455">
        <f t="shared" ca="1" si="106"/>
        <v>-12840499.61440663</v>
      </c>
      <c r="M1062" s="471">
        <f t="shared" si="109"/>
        <v>0.05</v>
      </c>
      <c r="N1062" s="475">
        <f t="shared" si="110"/>
        <v>83368</v>
      </c>
    </row>
    <row r="1063" spans="7:14" ht="11.25" customHeight="1" x14ac:dyDescent="0.3">
      <c r="G1063" s="470">
        <f t="shared" si="112"/>
        <v>88</v>
      </c>
      <c r="H1063" s="470">
        <v>1056</v>
      </c>
      <c r="I1063" s="455">
        <f t="shared" ca="1" si="108"/>
        <v>-12840499.61440663</v>
      </c>
      <c r="J1063" s="455">
        <f t="array" ref="J1063">IFERROR(INDEX('Retirement Calculator'!J:J,MATCH('Isaac 401k'!N1063,'Retirement Calculator'!A:A,0),0),0)</f>
        <v>7863.2184191855868</v>
      </c>
      <c r="K1063" s="455">
        <f t="shared" ca="1" si="105"/>
        <v>-53534.845136774231</v>
      </c>
      <c r="L1063" s="455">
        <f t="shared" ca="1" si="106"/>
        <v>-12901897.67796259</v>
      </c>
      <c r="M1063" s="471">
        <f t="shared" si="109"/>
        <v>0.05</v>
      </c>
      <c r="N1063" s="475">
        <f t="shared" si="110"/>
        <v>83398</v>
      </c>
    </row>
    <row r="1064" spans="7:14" ht="11.25" customHeight="1" x14ac:dyDescent="0.3">
      <c r="G1064" s="470">
        <f>G1063+1</f>
        <v>89</v>
      </c>
      <c r="H1064" s="470">
        <v>1057</v>
      </c>
      <c r="I1064" s="455">
        <f t="shared" ca="1" si="108"/>
        <v>-12901897.67796259</v>
      </c>
      <c r="J1064" s="455">
        <f t="array" ref="J1064">IFERROR(INDEX('Retirement Calculator'!J:J,MATCH('Isaac 401k'!N1064,'Retirement Calculator'!A:A,0),0),0)</f>
        <v>7863.2184191855868</v>
      </c>
      <c r="K1064" s="455">
        <f t="shared" ca="1" si="105"/>
        <v>-53790.670401590731</v>
      </c>
      <c r="L1064" s="455">
        <f t="shared" ca="1" si="106"/>
        <v>-12963551.566783365</v>
      </c>
      <c r="M1064" s="471">
        <f t="shared" si="109"/>
        <v>0.05</v>
      </c>
      <c r="N1064" s="475">
        <f t="shared" si="110"/>
        <v>83429</v>
      </c>
    </row>
    <row r="1065" spans="7:14" ht="11.25" customHeight="1" x14ac:dyDescent="0.3">
      <c r="G1065" s="470">
        <f t="shared" ref="G1065:G1075" si="113">G1064</f>
        <v>89</v>
      </c>
      <c r="H1065" s="470">
        <v>1058</v>
      </c>
      <c r="I1065" s="455">
        <f t="shared" ca="1" si="108"/>
        <v>-12963551.566783365</v>
      </c>
      <c r="J1065" s="455">
        <f t="array" ref="J1065">IFERROR(INDEX('Retirement Calculator'!J:J,MATCH('Isaac 401k'!N1065,'Retirement Calculator'!A:A,0),0),0)</f>
        <v>7863.2184191855868</v>
      </c>
      <c r="K1065" s="455">
        <f t="shared" ca="1" si="105"/>
        <v>-54047.561605010625</v>
      </c>
      <c r="L1065" s="455">
        <f t="shared" ca="1" si="106"/>
        <v>-13025462.34680756</v>
      </c>
      <c r="M1065" s="471">
        <f t="shared" si="109"/>
        <v>0.05</v>
      </c>
      <c r="N1065" s="475">
        <f t="shared" si="110"/>
        <v>83459</v>
      </c>
    </row>
    <row r="1066" spans="7:14" ht="11.25" customHeight="1" x14ac:dyDescent="0.3">
      <c r="G1066" s="470">
        <f t="shared" si="113"/>
        <v>89</v>
      </c>
      <c r="H1066" s="470">
        <v>1059</v>
      </c>
      <c r="I1066" s="455">
        <f t="shared" ca="1" si="108"/>
        <v>-13025462.34680756</v>
      </c>
      <c r="J1066" s="455">
        <f t="array" ref="J1066">IFERROR(INDEX('Retirement Calculator'!J:J,MATCH('Isaac 401k'!N1066,'Retirement Calculator'!A:A,0),0),0)</f>
        <v>7863.2184191855868</v>
      </c>
      <c r="K1066" s="455">
        <f t="shared" ca="1" si="105"/>
        <v>-54305.523188444771</v>
      </c>
      <c r="L1066" s="455">
        <f t="shared" ca="1" si="106"/>
        <v>-13087631.088415189</v>
      </c>
      <c r="M1066" s="471">
        <f t="shared" si="109"/>
        <v>0.05</v>
      </c>
      <c r="N1066" s="475">
        <f t="shared" si="110"/>
        <v>83490</v>
      </c>
    </row>
    <row r="1067" spans="7:14" ht="11.25" customHeight="1" x14ac:dyDescent="0.3">
      <c r="G1067" s="470">
        <f t="shared" si="113"/>
        <v>89</v>
      </c>
      <c r="H1067" s="470">
        <v>1060</v>
      </c>
      <c r="I1067" s="455">
        <f t="shared" ca="1" si="108"/>
        <v>-13087631.088415189</v>
      </c>
      <c r="J1067" s="455">
        <f t="array" ref="J1067">IFERROR(INDEX('Retirement Calculator'!J:J,MATCH('Isaac 401k'!N1067,'Retirement Calculator'!A:A,0),0),0)</f>
        <v>7863.2184191855868</v>
      </c>
      <c r="K1067" s="455">
        <f t="shared" ca="1" si="105"/>
        <v>-54564.559611809898</v>
      </c>
      <c r="L1067" s="455">
        <f t="shared" ca="1" si="106"/>
        <v>-13150058.866446184</v>
      </c>
      <c r="M1067" s="471">
        <f t="shared" si="109"/>
        <v>0.05</v>
      </c>
      <c r="N1067" s="475">
        <f t="shared" si="110"/>
        <v>83521</v>
      </c>
    </row>
    <row r="1068" spans="7:14" ht="11.25" customHeight="1" x14ac:dyDescent="0.3">
      <c r="G1068" s="470">
        <f t="shared" si="113"/>
        <v>89</v>
      </c>
      <c r="H1068" s="470">
        <v>1061</v>
      </c>
      <c r="I1068" s="455">
        <f t="shared" ca="1" si="108"/>
        <v>-13150058.866446184</v>
      </c>
      <c r="J1068" s="455">
        <f t="array" ref="J1068">IFERROR(INDEX('Retirement Calculator'!J:J,MATCH('Isaac 401k'!N1068,'Retirement Calculator'!A:A,0),0),0)</f>
        <v>7863.2184191855868</v>
      </c>
      <c r="K1068" s="455">
        <f t="shared" ca="1" si="105"/>
        <v>-54824.6753536057</v>
      </c>
      <c r="L1068" s="455">
        <f t="shared" ca="1" si="106"/>
        <v>-13212746.760218974</v>
      </c>
      <c r="M1068" s="471">
        <f t="shared" si="109"/>
        <v>0.05</v>
      </c>
      <c r="N1068" s="475">
        <f t="shared" si="110"/>
        <v>83551</v>
      </c>
    </row>
    <row r="1069" spans="7:14" ht="11.25" customHeight="1" x14ac:dyDescent="0.3">
      <c r="G1069" s="470">
        <f t="shared" si="113"/>
        <v>89</v>
      </c>
      <c r="H1069" s="470">
        <v>1062</v>
      </c>
      <c r="I1069" s="455">
        <f t="shared" ca="1" si="108"/>
        <v>-13212746.760218974</v>
      </c>
      <c r="J1069" s="455">
        <f t="array" ref="J1069">IFERROR(INDEX('Retirement Calculator'!J:J,MATCH('Isaac 401k'!N1069,'Retirement Calculator'!A:A,0),0),0)</f>
        <v>7863.2184191855868</v>
      </c>
      <c r="K1069" s="455">
        <f t="shared" ca="1" si="105"/>
        <v>-55085.87491099233</v>
      </c>
      <c r="L1069" s="455">
        <f t="shared" ca="1" si="106"/>
        <v>-13275695.853549151</v>
      </c>
      <c r="M1069" s="471">
        <f t="shared" si="109"/>
        <v>0.05</v>
      </c>
      <c r="N1069" s="475">
        <f t="shared" si="110"/>
        <v>83582</v>
      </c>
    </row>
    <row r="1070" spans="7:14" ht="11.25" customHeight="1" x14ac:dyDescent="0.3">
      <c r="G1070" s="470">
        <f t="shared" si="113"/>
        <v>89</v>
      </c>
      <c r="H1070" s="470">
        <v>1063</v>
      </c>
      <c r="I1070" s="455">
        <f t="shared" ca="1" si="108"/>
        <v>-13275695.853549151</v>
      </c>
      <c r="J1070" s="455">
        <f t="array" ref="J1070">IFERROR(INDEX('Retirement Calculator'!J:J,MATCH('Isaac 401k'!N1070,'Retirement Calculator'!A:A,0),0),0)</f>
        <v>7863.2184191855868</v>
      </c>
      <c r="K1070" s="455">
        <f t="shared" ca="1" si="105"/>
        <v>-55348.162799868063</v>
      </c>
      <c r="L1070" s="455">
        <f t="shared" ca="1" si="106"/>
        <v>-13338907.234768204</v>
      </c>
      <c r="M1070" s="471">
        <f t="shared" si="109"/>
        <v>0.05</v>
      </c>
      <c r="N1070" s="475">
        <f t="shared" si="110"/>
        <v>83612</v>
      </c>
    </row>
    <row r="1071" spans="7:14" ht="11.25" customHeight="1" x14ac:dyDescent="0.3">
      <c r="G1071" s="470">
        <f t="shared" si="113"/>
        <v>89</v>
      </c>
      <c r="H1071" s="470">
        <v>1064</v>
      </c>
      <c r="I1071" s="455">
        <f t="shared" ca="1" si="108"/>
        <v>-13338907.234768204</v>
      </c>
      <c r="J1071" s="455">
        <f t="array" ref="J1071">IFERROR(INDEX('Retirement Calculator'!J:J,MATCH('Isaac 401k'!N1071,'Retirement Calculator'!A:A,0),0),0)</f>
        <v>7863.2184191855868</v>
      </c>
      <c r="K1071" s="455">
        <f t="shared" ca="1" si="105"/>
        <v>-55611.543554947464</v>
      </c>
      <c r="L1071" s="455">
        <f t="shared" ca="1" si="106"/>
        <v>-13402381.996742336</v>
      </c>
      <c r="M1071" s="471">
        <f t="shared" si="109"/>
        <v>0.05</v>
      </c>
      <c r="N1071" s="475">
        <f t="shared" si="110"/>
        <v>83643</v>
      </c>
    </row>
    <row r="1072" spans="7:14" ht="11.25" customHeight="1" x14ac:dyDescent="0.3">
      <c r="G1072" s="470">
        <f t="shared" si="113"/>
        <v>89</v>
      </c>
      <c r="H1072" s="470">
        <v>1065</v>
      </c>
      <c r="I1072" s="455">
        <f t="shared" ca="1" si="108"/>
        <v>-13402381.996742336</v>
      </c>
      <c r="J1072" s="455">
        <f t="array" ref="J1072">IFERROR(INDEX('Retirement Calculator'!J:J,MATCH('Isaac 401k'!N1072,'Retirement Calculator'!A:A,0),0),0)</f>
        <v>7863.2184191855868</v>
      </c>
      <c r="K1072" s="455">
        <f t="shared" ca="1" si="105"/>
        <v>-55876.021729839667</v>
      </c>
      <c r="L1072" s="455">
        <f t="shared" ca="1" si="106"/>
        <v>-13466121.236891361</v>
      </c>
      <c r="M1072" s="471">
        <f t="shared" si="109"/>
        <v>0.05</v>
      </c>
      <c r="N1072" s="475">
        <f t="shared" si="110"/>
        <v>83674</v>
      </c>
    </row>
    <row r="1073" spans="7:14" ht="11.25" customHeight="1" x14ac:dyDescent="0.3">
      <c r="G1073" s="470">
        <f t="shared" si="113"/>
        <v>89</v>
      </c>
      <c r="H1073" s="470">
        <v>1066</v>
      </c>
      <c r="I1073" s="455">
        <f t="shared" ca="1" si="108"/>
        <v>-13466121.236891361</v>
      </c>
      <c r="J1073" s="455">
        <f t="array" ref="J1073">IFERROR(INDEX('Retirement Calculator'!J:J,MATCH('Isaac 401k'!N1073,'Retirement Calculator'!A:A,0),0),0)</f>
        <v>7863.2184191855868</v>
      </c>
      <c r="K1073" s="455">
        <f t="shared" ca="1" si="105"/>
        <v>-56141.601897127272</v>
      </c>
      <c r="L1073" s="455">
        <f t="shared" ca="1" si="106"/>
        <v>-13530126.057207674</v>
      </c>
      <c r="M1073" s="471">
        <f t="shared" si="109"/>
        <v>0.05</v>
      </c>
      <c r="N1073" s="475">
        <f t="shared" si="110"/>
        <v>83702</v>
      </c>
    </row>
    <row r="1074" spans="7:14" ht="11.25" customHeight="1" x14ac:dyDescent="0.3">
      <c r="G1074" s="470">
        <f t="shared" si="113"/>
        <v>89</v>
      </c>
      <c r="H1074" s="470">
        <v>1067</v>
      </c>
      <c r="I1074" s="455">
        <f t="shared" ca="1" si="108"/>
        <v>-13530126.057207674</v>
      </c>
      <c r="J1074" s="455">
        <f t="array" ref="J1074">IFERROR(INDEX('Retirement Calculator'!J:J,MATCH('Isaac 401k'!N1074,'Retirement Calculator'!A:A,0),0),0)</f>
        <v>7863.2184191855868</v>
      </c>
      <c r="K1074" s="455">
        <f t="shared" ca="1" si="105"/>
        <v>-56408.288648445254</v>
      </c>
      <c r="L1074" s="455">
        <f t="shared" ca="1" si="106"/>
        <v>-13594397.564275304</v>
      </c>
      <c r="M1074" s="471">
        <f t="shared" si="109"/>
        <v>0.05</v>
      </c>
      <c r="N1074" s="475">
        <f t="shared" si="110"/>
        <v>83733</v>
      </c>
    </row>
    <row r="1075" spans="7:14" ht="11.25" customHeight="1" x14ac:dyDescent="0.3">
      <c r="G1075" s="470">
        <f t="shared" si="113"/>
        <v>89</v>
      </c>
      <c r="H1075" s="470">
        <v>1068</v>
      </c>
      <c r="I1075" s="455">
        <f t="shared" ca="1" si="108"/>
        <v>-13594397.564275304</v>
      </c>
      <c r="J1075" s="455">
        <f t="array" ref="J1075">IFERROR(INDEX('Retirement Calculator'!J:J,MATCH('Isaac 401k'!N1075,'Retirement Calculator'!A:A,0),0),0)</f>
        <v>7863.2184191855868</v>
      </c>
      <c r="K1075" s="455">
        <f t="shared" ca="1" si="105"/>
        <v>-56676.086594560358</v>
      </c>
      <c r="L1075" s="455">
        <f t="shared" ca="1" si="106"/>
        <v>-13658936.86928905</v>
      </c>
      <c r="M1075" s="471">
        <f t="shared" si="109"/>
        <v>0.05</v>
      </c>
      <c r="N1075" s="475">
        <f t="shared" si="110"/>
        <v>83763</v>
      </c>
    </row>
    <row r="1076" spans="7:14" ht="11.25" customHeight="1" x14ac:dyDescent="0.3">
      <c r="G1076" s="470">
        <f>G1075+1</f>
        <v>90</v>
      </c>
      <c r="H1076" s="470">
        <v>1069</v>
      </c>
      <c r="I1076" s="455">
        <f t="shared" ca="1" si="108"/>
        <v>-13658936.86928905</v>
      </c>
      <c r="J1076" s="455">
        <f t="array" ref="J1076">IFERROR(INDEX('Retirement Calculator'!J:J,MATCH('Isaac 401k'!N1076,'Retirement Calculator'!A:A,0),0),0)</f>
        <v>7863.2184191855868</v>
      </c>
      <c r="K1076" s="455">
        <f t="shared" ca="1" si="105"/>
        <v>-56945.000365450978</v>
      </c>
      <c r="L1076" s="455">
        <f t="shared" ca="1" si="106"/>
        <v>-13723745.088073686</v>
      </c>
      <c r="M1076" s="471">
        <f t="shared" si="109"/>
        <v>0.05</v>
      </c>
      <c r="N1076" s="475">
        <f t="shared" si="110"/>
        <v>83794</v>
      </c>
    </row>
    <row r="1077" spans="7:14" ht="11.25" customHeight="1" x14ac:dyDescent="0.3">
      <c r="G1077" s="470">
        <f t="shared" ref="G1077:G1087" si="114">G1076</f>
        <v>90</v>
      </c>
      <c r="H1077" s="470">
        <v>1070</v>
      </c>
      <c r="I1077" s="455">
        <f t="shared" ca="1" si="108"/>
        <v>-13723745.088073686</v>
      </c>
      <c r="J1077" s="455">
        <f t="array" ref="J1077">IFERROR(INDEX('Retirement Calculator'!J:J,MATCH('Isaac 401k'!N1077,'Retirement Calculator'!A:A,0),0),0)</f>
        <v>7863.2184191855868</v>
      </c>
      <c r="K1077" s="455">
        <f t="shared" ca="1" si="105"/>
        <v>-57215.03461038696</v>
      </c>
      <c r="L1077" s="455">
        <f t="shared" ca="1" si="106"/>
        <v>-13788823.341103258</v>
      </c>
      <c r="M1077" s="471">
        <f t="shared" si="109"/>
        <v>0.05</v>
      </c>
      <c r="N1077" s="475">
        <f t="shared" si="110"/>
        <v>83824</v>
      </c>
    </row>
    <row r="1078" spans="7:14" ht="11.25" customHeight="1" x14ac:dyDescent="0.3">
      <c r="G1078" s="470">
        <f t="shared" si="114"/>
        <v>90</v>
      </c>
      <c r="H1078" s="470">
        <v>1071</v>
      </c>
      <c r="I1078" s="455">
        <f t="shared" ca="1" si="108"/>
        <v>-13788823.341103258</v>
      </c>
      <c r="J1078" s="455">
        <f t="array" ref="J1078">IFERROR(INDEX('Retirement Calculator'!J:J,MATCH('Isaac 401k'!N1078,'Retirement Calculator'!A:A,0),0),0)</f>
        <v>7863.2184191855868</v>
      </c>
      <c r="K1078" s="455">
        <f t="shared" ca="1" si="105"/>
        <v>-57486.193998010174</v>
      </c>
      <c r="L1078" s="455">
        <f t="shared" ca="1" si="106"/>
        <v>-13854172.753520453</v>
      </c>
      <c r="M1078" s="471">
        <f t="shared" si="109"/>
        <v>0.05</v>
      </c>
      <c r="N1078" s="475">
        <f t="shared" si="110"/>
        <v>83855</v>
      </c>
    </row>
    <row r="1079" spans="7:14" ht="11.25" customHeight="1" x14ac:dyDescent="0.3">
      <c r="G1079" s="470">
        <f t="shared" si="114"/>
        <v>90</v>
      </c>
      <c r="H1079" s="470">
        <v>1072</v>
      </c>
      <c r="I1079" s="455">
        <f t="shared" ca="1" si="108"/>
        <v>-13854172.753520453</v>
      </c>
      <c r="J1079" s="455">
        <f t="array" ref="J1079">IFERROR(INDEX('Retirement Calculator'!J:J,MATCH('Isaac 401k'!N1079,'Retirement Calculator'!A:A,0),0),0)</f>
        <v>7863.2184191855868</v>
      </c>
      <c r="K1079" s="455">
        <f t="shared" ca="1" si="105"/>
        <v>-57758.483216415159</v>
      </c>
      <c r="L1079" s="455">
        <f t="shared" ca="1" si="106"/>
        <v>-13919794.455156054</v>
      </c>
      <c r="M1079" s="471">
        <f t="shared" si="109"/>
        <v>0.05</v>
      </c>
      <c r="N1079" s="475">
        <f t="shared" si="110"/>
        <v>83886</v>
      </c>
    </row>
    <row r="1080" spans="7:14" ht="11.25" customHeight="1" x14ac:dyDescent="0.3">
      <c r="G1080" s="470">
        <f t="shared" si="114"/>
        <v>90</v>
      </c>
      <c r="H1080" s="470">
        <v>1073</v>
      </c>
      <c r="I1080" s="455">
        <f t="shared" ca="1" si="108"/>
        <v>-13919794.455156054</v>
      </c>
      <c r="J1080" s="455">
        <f t="array" ref="J1080">IFERROR(INDEX('Retirement Calculator'!J:J,MATCH('Isaac 401k'!N1080,'Retirement Calculator'!A:A,0),0),0)</f>
        <v>7863.2184191855868</v>
      </c>
      <c r="K1080" s="455">
        <f t="shared" ca="1" si="105"/>
        <v>-58031.906973230158</v>
      </c>
      <c r="L1080" s="455">
        <f t="shared" ca="1" si="106"/>
        <v>-13985689.580548469</v>
      </c>
      <c r="M1080" s="471">
        <f t="shared" si="109"/>
        <v>0.05</v>
      </c>
      <c r="N1080" s="475">
        <f t="shared" si="110"/>
        <v>83916</v>
      </c>
    </row>
    <row r="1081" spans="7:14" ht="11.25" customHeight="1" x14ac:dyDescent="0.3">
      <c r="G1081" s="470">
        <f t="shared" si="114"/>
        <v>90</v>
      </c>
      <c r="H1081" s="470">
        <v>1074</v>
      </c>
      <c r="I1081" s="455">
        <f t="shared" ca="1" si="108"/>
        <v>-13985689.580548469</v>
      </c>
      <c r="J1081" s="455">
        <f t="array" ref="J1081">IFERROR(INDEX('Retirement Calculator'!J:J,MATCH('Isaac 401k'!N1081,'Retirement Calculator'!A:A,0),0),0)</f>
        <v>7863.2184191855868</v>
      </c>
      <c r="K1081" s="455">
        <f t="shared" ca="1" si="105"/>
        <v>-58306.46999569855</v>
      </c>
      <c r="L1081" s="455">
        <f t="shared" ca="1" si="106"/>
        <v>-14051859.268963352</v>
      </c>
      <c r="M1081" s="471">
        <f t="shared" si="109"/>
        <v>0.05</v>
      </c>
      <c r="N1081" s="475">
        <f t="shared" si="110"/>
        <v>83947</v>
      </c>
    </row>
    <row r="1082" spans="7:14" ht="11.25" customHeight="1" x14ac:dyDescent="0.3">
      <c r="G1082" s="470">
        <f t="shared" si="114"/>
        <v>90</v>
      </c>
      <c r="H1082" s="470">
        <v>1075</v>
      </c>
      <c r="I1082" s="455">
        <f t="shared" ca="1" si="108"/>
        <v>-14051859.268963352</v>
      </c>
      <c r="J1082" s="455">
        <f t="array" ref="J1082">IFERROR(INDEX('Retirement Calculator'!J:J,MATCH('Isaac 401k'!N1082,'Retirement Calculator'!A:A,0),0),0)</f>
        <v>7863.2184191855868</v>
      </c>
      <c r="K1082" s="455">
        <f t="shared" ca="1" si="105"/>
        <v>-58582.177030760562</v>
      </c>
      <c r="L1082" s="455">
        <f t="shared" ca="1" si="106"/>
        <v>-14118304.664413298</v>
      </c>
      <c r="M1082" s="471">
        <f t="shared" si="109"/>
        <v>0.05</v>
      </c>
      <c r="N1082" s="475">
        <f t="shared" si="110"/>
        <v>83977</v>
      </c>
    </row>
    <row r="1083" spans="7:14" ht="11.25" customHeight="1" x14ac:dyDescent="0.3">
      <c r="G1083" s="470">
        <f t="shared" si="114"/>
        <v>90</v>
      </c>
      <c r="H1083" s="470">
        <v>1076</v>
      </c>
      <c r="I1083" s="455">
        <f t="shared" ca="1" si="108"/>
        <v>-14118304.664413298</v>
      </c>
      <c r="J1083" s="455">
        <f t="array" ref="J1083">IFERROR(INDEX('Retirement Calculator'!J:J,MATCH('Isaac 401k'!N1083,'Retirement Calculator'!A:A,0),0),0)</f>
        <v>7863.2184191855868</v>
      </c>
      <c r="K1083" s="455">
        <f t="shared" ca="1" si="105"/>
        <v>-58859.032845135342</v>
      </c>
      <c r="L1083" s="455">
        <f t="shared" ca="1" si="106"/>
        <v>-14185026.915677618</v>
      </c>
      <c r="M1083" s="471">
        <f t="shared" si="109"/>
        <v>0.05</v>
      </c>
      <c r="N1083" s="475">
        <f t="shared" si="110"/>
        <v>84008</v>
      </c>
    </row>
    <row r="1084" spans="7:14" ht="11.25" customHeight="1" x14ac:dyDescent="0.3">
      <c r="G1084" s="470">
        <f t="shared" si="114"/>
        <v>90</v>
      </c>
      <c r="H1084" s="470">
        <v>1077</v>
      </c>
      <c r="I1084" s="455">
        <f t="shared" ca="1" si="108"/>
        <v>-14185026.915677618</v>
      </c>
      <c r="J1084" s="455">
        <f t="array" ref="J1084">IFERROR(INDEX('Retirement Calculator'!J:J,MATCH('Isaac 401k'!N1084,'Retirement Calculator'!A:A,0),0),0)</f>
        <v>7863.2184191855868</v>
      </c>
      <c r="K1084" s="455">
        <f t="shared" ca="1" si="105"/>
        <v>-59137.042225403355</v>
      </c>
      <c r="L1084" s="455">
        <f t="shared" ca="1" si="106"/>
        <v>-14252027.176322207</v>
      </c>
      <c r="M1084" s="471">
        <f t="shared" si="109"/>
        <v>0.05</v>
      </c>
      <c r="N1084" s="475">
        <f t="shared" si="110"/>
        <v>84039</v>
      </c>
    </row>
    <row r="1085" spans="7:14" ht="11.25" customHeight="1" x14ac:dyDescent="0.3">
      <c r="G1085" s="470">
        <f t="shared" si="114"/>
        <v>90</v>
      </c>
      <c r="H1085" s="470">
        <v>1078</v>
      </c>
      <c r="I1085" s="455">
        <f t="shared" ca="1" si="108"/>
        <v>-14252027.176322207</v>
      </c>
      <c r="J1085" s="455">
        <f t="array" ref="J1085">IFERROR(INDEX('Retirement Calculator'!J:J,MATCH('Isaac 401k'!N1085,'Retirement Calculator'!A:A,0),0),0)</f>
        <v>7863.2184191855868</v>
      </c>
      <c r="K1085" s="455">
        <f t="shared" ca="1" si="105"/>
        <v>-59416.209978089129</v>
      </c>
      <c r="L1085" s="455">
        <f t="shared" ca="1" si="106"/>
        <v>-14319306.60471948</v>
      </c>
      <c r="M1085" s="471">
        <f t="shared" si="109"/>
        <v>0.05</v>
      </c>
      <c r="N1085" s="475">
        <f t="shared" si="110"/>
        <v>84067</v>
      </c>
    </row>
    <row r="1086" spans="7:14" ht="11.25" customHeight="1" x14ac:dyDescent="0.3">
      <c r="G1086" s="470">
        <f t="shared" si="114"/>
        <v>90</v>
      </c>
      <c r="H1086" s="470">
        <v>1079</v>
      </c>
      <c r="I1086" s="455">
        <f t="shared" ca="1" si="108"/>
        <v>-14319306.60471948</v>
      </c>
      <c r="J1086" s="455">
        <f t="array" ref="J1086">IFERROR(INDEX('Retirement Calculator'!J:J,MATCH('Isaac 401k'!N1086,'Retirement Calculator'!A:A,0),0),0)</f>
        <v>7863.2184191855868</v>
      </c>
      <c r="K1086" s="455">
        <f t="shared" ca="1" si="105"/>
        <v>-59696.540929744435</v>
      </c>
      <c r="L1086" s="455">
        <f t="shared" ca="1" si="106"/>
        <v>-14386866.364068409</v>
      </c>
      <c r="M1086" s="471">
        <f t="shared" si="109"/>
        <v>0.05</v>
      </c>
      <c r="N1086" s="475">
        <f t="shared" si="110"/>
        <v>84098</v>
      </c>
    </row>
    <row r="1087" spans="7:14" ht="11.25" customHeight="1" x14ac:dyDescent="0.3">
      <c r="G1087" s="470">
        <f t="shared" si="114"/>
        <v>90</v>
      </c>
      <c r="H1087" s="470">
        <v>1080</v>
      </c>
      <c r="I1087" s="455">
        <f t="shared" ca="1" si="108"/>
        <v>-14386866.364068409</v>
      </c>
      <c r="J1087" s="455">
        <f t="array" ref="J1087">IFERROR(INDEX('Retirement Calculator'!J:J,MATCH('Isaac 401k'!N1087,'Retirement Calculator'!A:A,0),0),0)</f>
        <v>7863.2184191855868</v>
      </c>
      <c r="K1087" s="455">
        <f t="shared" ca="1" si="105"/>
        <v>-59978.039927031648</v>
      </c>
      <c r="L1087" s="455">
        <f t="shared" ca="1" si="106"/>
        <v>-14454707.622414626</v>
      </c>
      <c r="M1087" s="471">
        <f t="shared" si="109"/>
        <v>0.05</v>
      </c>
      <c r="N1087" s="475">
        <f t="shared" si="110"/>
        <v>84128</v>
      </c>
    </row>
    <row r="1088" spans="7:14" ht="11.25" customHeight="1" x14ac:dyDescent="0.3">
      <c r="G1088" s="470">
        <f>G1087+1</f>
        <v>91</v>
      </c>
      <c r="H1088" s="470">
        <v>1081</v>
      </c>
      <c r="I1088" s="455">
        <f t="shared" ca="1" si="108"/>
        <v>-14454707.622414626</v>
      </c>
      <c r="J1088" s="455">
        <f t="array" ref="J1088">IFERROR(INDEX('Retirement Calculator'!J:J,MATCH('Isaac 401k'!N1088,'Retirement Calculator'!A:A,0),0),0)</f>
        <v>7863.2184191855868</v>
      </c>
      <c r="K1088" s="455">
        <f t="shared" ca="1" si="105"/>
        <v>-60260.711836807553</v>
      </c>
      <c r="L1088" s="455">
        <f t="shared" ca="1" si="106"/>
        <v>-14522831.552670619</v>
      </c>
      <c r="M1088" s="471">
        <f t="shared" si="109"/>
        <v>0.05</v>
      </c>
      <c r="N1088" s="475">
        <f t="shared" si="110"/>
        <v>84159</v>
      </c>
    </row>
    <row r="1089" spans="7:14" ht="11.25" customHeight="1" x14ac:dyDescent="0.3">
      <c r="G1089" s="470">
        <f t="shared" ref="G1089:G1099" si="115">G1088</f>
        <v>91</v>
      </c>
      <c r="H1089" s="470">
        <v>1082</v>
      </c>
      <c r="I1089" s="455">
        <f t="shared" ca="1" si="108"/>
        <v>-14522831.552670619</v>
      </c>
      <c r="J1089" s="455">
        <f t="array" ref="J1089">IFERROR(INDEX('Retirement Calculator'!J:J,MATCH('Isaac 401k'!N1089,'Retirement Calculator'!A:A,0),0),0)</f>
        <v>7863.2184191855868</v>
      </c>
      <c r="K1089" s="455">
        <f t="shared" ca="1" si="105"/>
        <v>-60544.561546207515</v>
      </c>
      <c r="L1089" s="455">
        <f t="shared" ca="1" si="106"/>
        <v>-14591239.332636012</v>
      </c>
      <c r="M1089" s="471">
        <f t="shared" si="109"/>
        <v>0.05</v>
      </c>
      <c r="N1089" s="475">
        <f t="shared" si="110"/>
        <v>84189</v>
      </c>
    </row>
    <row r="1090" spans="7:14" ht="11.25" customHeight="1" x14ac:dyDescent="0.3">
      <c r="G1090" s="470">
        <f t="shared" si="115"/>
        <v>91</v>
      </c>
      <c r="H1090" s="470">
        <v>1083</v>
      </c>
      <c r="I1090" s="455">
        <f t="shared" ca="1" si="108"/>
        <v>-14591239.332636012</v>
      </c>
      <c r="J1090" s="455">
        <f t="array" ref="J1090">IFERROR(INDEX('Retirement Calculator'!J:J,MATCH('Isaac 401k'!N1090,'Retirement Calculator'!A:A,0),0),0)</f>
        <v>7863.2184191855868</v>
      </c>
      <c r="K1090" s="455">
        <f t="shared" ca="1" si="105"/>
        <v>-60829.593962729974</v>
      </c>
      <c r="L1090" s="455">
        <f t="shared" ca="1" si="106"/>
        <v>-14659932.145017928</v>
      </c>
      <c r="M1090" s="471">
        <f t="shared" si="109"/>
        <v>0.05</v>
      </c>
      <c r="N1090" s="475">
        <f t="shared" si="110"/>
        <v>84220</v>
      </c>
    </row>
    <row r="1091" spans="7:14" ht="11.25" customHeight="1" x14ac:dyDescent="0.3">
      <c r="G1091" s="470">
        <f t="shared" si="115"/>
        <v>91</v>
      </c>
      <c r="H1091" s="470">
        <v>1084</v>
      </c>
      <c r="I1091" s="455">
        <f t="shared" ca="1" si="108"/>
        <v>-14659932.145017928</v>
      </c>
      <c r="J1091" s="455">
        <f t="array" ref="J1091">IFERROR(INDEX('Retirement Calculator'!J:J,MATCH('Isaac 401k'!N1091,'Retirement Calculator'!A:A,0),0),0)</f>
        <v>7863.2184191855868</v>
      </c>
      <c r="K1091" s="455">
        <f t="shared" ca="1" si="105"/>
        <v>-61115.814014321302</v>
      </c>
      <c r="L1091" s="455">
        <f t="shared" ca="1" si="106"/>
        <v>-14728911.177451434</v>
      </c>
      <c r="M1091" s="471">
        <f t="shared" si="109"/>
        <v>0.05</v>
      </c>
      <c r="N1091" s="475">
        <f t="shared" si="110"/>
        <v>84251</v>
      </c>
    </row>
    <row r="1092" spans="7:14" ht="11.25" customHeight="1" x14ac:dyDescent="0.3">
      <c r="G1092" s="470">
        <f t="shared" si="115"/>
        <v>91</v>
      </c>
      <c r="H1092" s="470">
        <v>1085</v>
      </c>
      <c r="I1092" s="455">
        <f t="shared" ca="1" si="108"/>
        <v>-14728911.177451434</v>
      </c>
      <c r="J1092" s="455">
        <f t="array" ref="J1092">IFERROR(INDEX('Retirement Calculator'!J:J,MATCH('Isaac 401k'!N1092,'Retirement Calculator'!A:A,0),0),0)</f>
        <v>7863.2184191855868</v>
      </c>
      <c r="K1092" s="455">
        <f t="shared" ca="1" si="105"/>
        <v>-61403.226649460907</v>
      </c>
      <c r="L1092" s="455">
        <f t="shared" ca="1" si="106"/>
        <v>-14798177.62252008</v>
      </c>
      <c r="M1092" s="471">
        <f t="shared" si="109"/>
        <v>0.05</v>
      </c>
      <c r="N1092" s="475">
        <f t="shared" si="110"/>
        <v>84281</v>
      </c>
    </row>
    <row r="1093" spans="7:14" ht="11.25" customHeight="1" x14ac:dyDescent="0.3">
      <c r="G1093" s="470">
        <f t="shared" si="115"/>
        <v>91</v>
      </c>
      <c r="H1093" s="470">
        <v>1086</v>
      </c>
      <c r="I1093" s="455">
        <f t="shared" ca="1" si="108"/>
        <v>-14798177.62252008</v>
      </c>
      <c r="J1093" s="455">
        <f t="array" ref="J1093">IFERROR(INDEX('Retirement Calculator'!J:J,MATCH('Isaac 401k'!N1093,'Retirement Calculator'!A:A,0),0),0)</f>
        <v>7863.2184191855868</v>
      </c>
      <c r="K1093" s="455">
        <f t="shared" ca="1" si="105"/>
        <v>-61691.836837246934</v>
      </c>
      <c r="L1093" s="455">
        <f t="shared" ca="1" si="106"/>
        <v>-14867732.677776512</v>
      </c>
      <c r="M1093" s="471">
        <f t="shared" si="109"/>
        <v>0.05</v>
      </c>
      <c r="N1093" s="475">
        <f t="shared" si="110"/>
        <v>84312</v>
      </c>
    </row>
    <row r="1094" spans="7:14" ht="11.25" customHeight="1" x14ac:dyDescent="0.3">
      <c r="G1094" s="470">
        <f t="shared" si="115"/>
        <v>91</v>
      </c>
      <c r="H1094" s="470">
        <v>1087</v>
      </c>
      <c r="I1094" s="455">
        <f t="shared" ca="1" si="108"/>
        <v>-14867732.677776512</v>
      </c>
      <c r="J1094" s="455">
        <f t="array" ref="J1094">IFERROR(INDEX('Retirement Calculator'!J:J,MATCH('Isaac 401k'!N1094,'Retirement Calculator'!A:A,0),0),0)</f>
        <v>7863.2184191855868</v>
      </c>
      <c r="K1094" s="455">
        <f t="shared" ca="1" si="105"/>
        <v>-61981.649567482062</v>
      </c>
      <c r="L1094" s="455">
        <f t="shared" ca="1" si="106"/>
        <v>-14937577.54576318</v>
      </c>
      <c r="M1094" s="471">
        <f t="shared" si="109"/>
        <v>0.05</v>
      </c>
      <c r="N1094" s="475">
        <f t="shared" si="110"/>
        <v>84342</v>
      </c>
    </row>
    <row r="1095" spans="7:14" ht="11.25" customHeight="1" x14ac:dyDescent="0.3">
      <c r="G1095" s="470">
        <f t="shared" si="115"/>
        <v>91</v>
      </c>
      <c r="H1095" s="470">
        <v>1088</v>
      </c>
      <c r="I1095" s="455">
        <f t="shared" ca="1" si="108"/>
        <v>-14937577.54576318</v>
      </c>
      <c r="J1095" s="455">
        <f t="array" ref="J1095">IFERROR(INDEX('Retirement Calculator'!J:J,MATCH('Isaac 401k'!N1095,'Retirement Calculator'!A:A,0),0),0)</f>
        <v>7863.2184191855868</v>
      </c>
      <c r="K1095" s="455">
        <f t="shared" ca="1" si="105"/>
        <v>-62272.669850759848</v>
      </c>
      <c r="L1095" s="455">
        <f t="shared" ca="1" si="106"/>
        <v>-15007713.434033124</v>
      </c>
      <c r="M1095" s="471">
        <f t="shared" si="109"/>
        <v>0.05</v>
      </c>
      <c r="N1095" s="475">
        <f t="shared" si="110"/>
        <v>84373</v>
      </c>
    </row>
    <row r="1096" spans="7:14" ht="11.25" customHeight="1" x14ac:dyDescent="0.3">
      <c r="G1096" s="470">
        <f t="shared" si="115"/>
        <v>91</v>
      </c>
      <c r="H1096" s="470">
        <v>1089</v>
      </c>
      <c r="I1096" s="455">
        <f t="shared" ca="1" si="108"/>
        <v>-15007713.434033124</v>
      </c>
      <c r="J1096" s="455">
        <f t="array" ref="J1096">IFERROR(INDEX('Retirement Calculator'!J:J,MATCH('Isaac 401k'!N1096,'Retirement Calculator'!A:A,0),0),0)</f>
        <v>7863.2184191855868</v>
      </c>
      <c r="K1096" s="455">
        <f t="shared" ca="1" si="105"/>
        <v>-62564.902718551282</v>
      </c>
      <c r="L1096" s="455">
        <f t="shared" ca="1" si="106"/>
        <v>-15078141.55517086</v>
      </c>
      <c r="M1096" s="471">
        <f t="shared" si="109"/>
        <v>0.05</v>
      </c>
      <c r="N1096" s="475">
        <f t="shared" si="110"/>
        <v>84404</v>
      </c>
    </row>
    <row r="1097" spans="7:14" ht="11.25" customHeight="1" x14ac:dyDescent="0.3">
      <c r="G1097" s="470">
        <f t="shared" si="115"/>
        <v>91</v>
      </c>
      <c r="H1097" s="470">
        <v>1090</v>
      </c>
      <c r="I1097" s="455">
        <f t="shared" ca="1" si="108"/>
        <v>-15078141.55517086</v>
      </c>
      <c r="J1097" s="455">
        <f t="array" ref="J1097">IFERROR(INDEX('Retirement Calculator'!J:J,MATCH('Isaac 401k'!N1097,'Retirement Calculator'!A:A,0),0),0)</f>
        <v>7863.2184191855868</v>
      </c>
      <c r="K1097" s="455">
        <f t="shared" ca="1" si="105"/>
        <v>-62858.353223291851</v>
      </c>
      <c r="L1097" s="455">
        <f t="shared" ca="1" si="106"/>
        <v>-15148863.126813337</v>
      </c>
      <c r="M1097" s="471">
        <f t="shared" si="109"/>
        <v>0.05</v>
      </c>
      <c r="N1097" s="475">
        <f t="shared" si="110"/>
        <v>84432</v>
      </c>
    </row>
    <row r="1098" spans="7:14" ht="11.25" customHeight="1" x14ac:dyDescent="0.3">
      <c r="G1098" s="470">
        <f t="shared" si="115"/>
        <v>91</v>
      </c>
      <c r="H1098" s="470">
        <v>1091</v>
      </c>
      <c r="I1098" s="455">
        <f t="shared" ca="1" si="108"/>
        <v>-15148863.126813337</v>
      </c>
      <c r="J1098" s="455">
        <f t="array" ref="J1098">IFERROR(INDEX('Retirement Calculator'!J:J,MATCH('Isaac 401k'!N1098,'Retirement Calculator'!A:A,0),0),0)</f>
        <v>7863.2184191855868</v>
      </c>
      <c r="K1098" s="455">
        <f t="shared" ca="1" si="105"/>
        <v>-63153.026438468842</v>
      </c>
      <c r="L1098" s="455">
        <f t="shared" ca="1" si="106"/>
        <v>-15219879.371670991</v>
      </c>
      <c r="M1098" s="471">
        <f t="shared" si="109"/>
        <v>0.05</v>
      </c>
      <c r="N1098" s="475">
        <f t="shared" si="110"/>
        <v>84463</v>
      </c>
    </row>
    <row r="1099" spans="7:14" ht="11.25" customHeight="1" x14ac:dyDescent="0.3">
      <c r="G1099" s="470">
        <f t="shared" si="115"/>
        <v>91</v>
      </c>
      <c r="H1099" s="470">
        <v>1092</v>
      </c>
      <c r="I1099" s="455">
        <f t="shared" ca="1" si="108"/>
        <v>-15219879.371670991</v>
      </c>
      <c r="J1099" s="455">
        <f t="array" ref="J1099">IFERROR(INDEX('Retirement Calculator'!J:J,MATCH('Isaac 401k'!N1099,'Retirement Calculator'!A:A,0),0),0)</f>
        <v>7863.2184191855868</v>
      </c>
      <c r="K1099" s="455">
        <f t="shared" ca="1" si="105"/>
        <v>-63448.927458709077</v>
      </c>
      <c r="L1099" s="455">
        <f t="shared" ca="1" si="106"/>
        <v>-15291191.517548885</v>
      </c>
      <c r="M1099" s="471">
        <f t="shared" si="109"/>
        <v>0.05</v>
      </c>
      <c r="N1099" s="475">
        <f t="shared" si="110"/>
        <v>84493</v>
      </c>
    </row>
    <row r="1100" spans="7:14" ht="11.25" customHeight="1" x14ac:dyDescent="0.3">
      <c r="G1100" s="470">
        <f>G1099+1</f>
        <v>92</v>
      </c>
      <c r="H1100" s="470">
        <v>1093</v>
      </c>
      <c r="I1100" s="455">
        <f t="shared" ca="1" si="108"/>
        <v>-15291191.517548885</v>
      </c>
      <c r="J1100" s="455">
        <f t="array" ref="J1100">IFERROR(INDEX('Retirement Calculator'!J:J,MATCH('Isaac 401k'!N1100,'Retirement Calculator'!A:A,0),0),0)</f>
        <v>7863.2184191855868</v>
      </c>
      <c r="K1100" s="455">
        <f t="shared" ca="1" si="105"/>
        <v>-63746.061399866951</v>
      </c>
      <c r="L1100" s="455">
        <f t="shared" ca="1" si="106"/>
        <v>-15362800.797367938</v>
      </c>
      <c r="M1100" s="471">
        <f t="shared" si="109"/>
        <v>0.05</v>
      </c>
      <c r="N1100" s="475">
        <f t="shared" si="110"/>
        <v>84524</v>
      </c>
    </row>
    <row r="1101" spans="7:14" ht="11.25" customHeight="1" x14ac:dyDescent="0.3">
      <c r="G1101" s="470">
        <f t="shared" ref="G1101:G1111" si="116">G1100</f>
        <v>92</v>
      </c>
      <c r="H1101" s="470">
        <v>1094</v>
      </c>
      <c r="I1101" s="455">
        <f t="shared" ca="1" si="108"/>
        <v>-15362800.797367938</v>
      </c>
      <c r="J1101" s="455">
        <f t="array" ref="J1101">IFERROR(INDEX('Retirement Calculator'!J:J,MATCH('Isaac 401k'!N1101,'Retirement Calculator'!A:A,0),0),0)</f>
        <v>7863.2184191855868</v>
      </c>
      <c r="K1101" s="455">
        <f t="shared" ca="1" si="105"/>
        <v>-64044.433399113012</v>
      </c>
      <c r="L1101" s="455">
        <f t="shared" ca="1" si="106"/>
        <v>-15434708.449186236</v>
      </c>
      <c r="M1101" s="471">
        <f t="shared" si="109"/>
        <v>0.05</v>
      </c>
      <c r="N1101" s="475">
        <f t="shared" si="110"/>
        <v>84554</v>
      </c>
    </row>
    <row r="1102" spans="7:14" ht="11.25" customHeight="1" x14ac:dyDescent="0.3">
      <c r="G1102" s="470">
        <f t="shared" si="116"/>
        <v>92</v>
      </c>
      <c r="H1102" s="470">
        <v>1095</v>
      </c>
      <c r="I1102" s="455">
        <f t="shared" ca="1" si="108"/>
        <v>-15434708.449186236</v>
      </c>
      <c r="J1102" s="455">
        <f t="array" ref="J1102">IFERROR(INDEX('Retirement Calculator'!J:J,MATCH('Isaac 401k'!N1102,'Retirement Calculator'!A:A,0),0),0)</f>
        <v>7863.2184191855868</v>
      </c>
      <c r="K1102" s="455">
        <f t="shared" ca="1" si="105"/>
        <v>-64344.048615022584</v>
      </c>
      <c r="L1102" s="455">
        <f t="shared" ca="1" si="106"/>
        <v>-15506915.716220444</v>
      </c>
      <c r="M1102" s="471">
        <f t="shared" si="109"/>
        <v>0.05</v>
      </c>
      <c r="N1102" s="475">
        <f t="shared" si="110"/>
        <v>84585</v>
      </c>
    </row>
    <row r="1103" spans="7:14" ht="11.25" customHeight="1" x14ac:dyDescent="0.3">
      <c r="G1103" s="470">
        <f t="shared" si="116"/>
        <v>92</v>
      </c>
      <c r="H1103" s="470">
        <v>1096</v>
      </c>
      <c r="I1103" s="455">
        <f t="shared" ca="1" si="108"/>
        <v>-15506915.716220444</v>
      </c>
      <c r="J1103" s="455">
        <f t="array" ref="J1103">IFERROR(INDEX('Retirement Calculator'!J:J,MATCH('Isaac 401k'!N1103,'Retirement Calculator'!A:A,0),0),0)</f>
        <v>7863.2184191855868</v>
      </c>
      <c r="K1103" s="455">
        <f t="shared" ca="1" si="105"/>
        <v>-64644.912227665125</v>
      </c>
      <c r="L1103" s="455">
        <f t="shared" ca="1" si="106"/>
        <v>-15579423.846867295</v>
      </c>
      <c r="M1103" s="471">
        <f t="shared" si="109"/>
        <v>0.05</v>
      </c>
      <c r="N1103" s="475">
        <f t="shared" si="110"/>
        <v>84616</v>
      </c>
    </row>
    <row r="1104" spans="7:14" ht="11.25" customHeight="1" x14ac:dyDescent="0.3">
      <c r="G1104" s="470">
        <f t="shared" si="116"/>
        <v>92</v>
      </c>
      <c r="H1104" s="470">
        <v>1097</v>
      </c>
      <c r="I1104" s="455">
        <f t="shared" ca="1" si="108"/>
        <v>-15579423.846867295</v>
      </c>
      <c r="J1104" s="455">
        <f t="array" ref="J1104">IFERROR(INDEX('Retirement Calculator'!J:J,MATCH('Isaac 401k'!N1104,'Retirement Calculator'!A:A,0),0),0)</f>
        <v>7863.2184191855868</v>
      </c>
      <c r="K1104" s="455">
        <f t="shared" ca="1" si="105"/>
        <v>-64947.029438693658</v>
      </c>
      <c r="L1104" s="455">
        <f t="shared" ca="1" si="106"/>
        <v>-15652234.094725173</v>
      </c>
      <c r="M1104" s="471">
        <f t="shared" si="109"/>
        <v>0.05</v>
      </c>
      <c r="N1104" s="475">
        <f t="shared" si="110"/>
        <v>84646</v>
      </c>
    </row>
    <row r="1105" spans="7:14" ht="11.25" customHeight="1" x14ac:dyDescent="0.3">
      <c r="G1105" s="470">
        <f t="shared" si="116"/>
        <v>92</v>
      </c>
      <c r="H1105" s="470">
        <v>1098</v>
      </c>
      <c r="I1105" s="455">
        <f t="shared" ca="1" si="108"/>
        <v>-15652234.094725173</v>
      </c>
      <c r="J1105" s="455">
        <f t="array" ref="J1105">IFERROR(INDEX('Retirement Calculator'!J:J,MATCH('Isaac 401k'!N1105,'Retirement Calculator'!A:A,0),0),0)</f>
        <v>7863.2184191855868</v>
      </c>
      <c r="K1105" s="455">
        <f t="shared" ca="1" si="105"/>
        <v>-65250.405471434824</v>
      </c>
      <c r="L1105" s="455">
        <f t="shared" ca="1" si="106"/>
        <v>-15725347.718615793</v>
      </c>
      <c r="M1105" s="471">
        <f t="shared" si="109"/>
        <v>0.05</v>
      </c>
      <c r="N1105" s="475">
        <f t="shared" si="110"/>
        <v>84677</v>
      </c>
    </row>
    <row r="1106" spans="7:14" ht="11.25" customHeight="1" x14ac:dyDescent="0.3">
      <c r="G1106" s="470">
        <f t="shared" si="116"/>
        <v>92</v>
      </c>
      <c r="H1106" s="470">
        <v>1099</v>
      </c>
      <c r="I1106" s="455">
        <f t="shared" ca="1" si="108"/>
        <v>-15725347.718615793</v>
      </c>
      <c r="J1106" s="455">
        <f t="array" ref="J1106">IFERROR(INDEX('Retirement Calculator'!J:J,MATCH('Isaac 401k'!N1106,'Retirement Calculator'!A:A,0),0),0)</f>
        <v>7863.2184191855868</v>
      </c>
      <c r="K1106" s="455">
        <f t="shared" ca="1" si="105"/>
        <v>-65555.045570979069</v>
      </c>
      <c r="L1106" s="455">
        <f t="shared" ca="1" si="106"/>
        <v>-15798765.982605956</v>
      </c>
      <c r="M1106" s="471">
        <f t="shared" si="109"/>
        <v>0.05</v>
      </c>
      <c r="N1106" s="475">
        <f t="shared" si="110"/>
        <v>84707</v>
      </c>
    </row>
    <row r="1107" spans="7:14" ht="11.25" customHeight="1" x14ac:dyDescent="0.3">
      <c r="G1107" s="470">
        <f t="shared" si="116"/>
        <v>92</v>
      </c>
      <c r="H1107" s="470">
        <v>1100</v>
      </c>
      <c r="I1107" s="455">
        <f t="shared" ca="1" si="108"/>
        <v>-15798765.982605956</v>
      </c>
      <c r="J1107" s="455">
        <f t="array" ref="J1107">IFERROR(INDEX('Retirement Calculator'!J:J,MATCH('Isaac 401k'!N1107,'Retirement Calculator'!A:A,0),0),0)</f>
        <v>7863.2184191855868</v>
      </c>
      <c r="K1107" s="455">
        <f t="shared" ca="1" si="105"/>
        <v>-65860.955004271425</v>
      </c>
      <c r="L1107" s="455">
        <f t="shared" ca="1" si="106"/>
        <v>-15872490.156029413</v>
      </c>
      <c r="M1107" s="471">
        <f t="shared" si="109"/>
        <v>0.05</v>
      </c>
      <c r="N1107" s="475">
        <f t="shared" si="110"/>
        <v>84738</v>
      </c>
    </row>
    <row r="1108" spans="7:14" ht="11.25" customHeight="1" x14ac:dyDescent="0.3">
      <c r="G1108" s="470">
        <f t="shared" si="116"/>
        <v>92</v>
      </c>
      <c r="H1108" s="470">
        <v>1101</v>
      </c>
      <c r="I1108" s="455">
        <f t="shared" ca="1" si="108"/>
        <v>-15872490.156029413</v>
      </c>
      <c r="J1108" s="455">
        <f t="array" ref="J1108">IFERROR(INDEX('Retirement Calculator'!J:J,MATCH('Isaac 401k'!N1108,'Retirement Calculator'!A:A,0),0),0)</f>
        <v>7863.2184191855868</v>
      </c>
      <c r="K1108" s="455">
        <f t="shared" ca="1" si="105"/>
        <v>-66168.139060202477</v>
      </c>
      <c r="L1108" s="455">
        <f t="shared" ca="1" si="106"/>
        <v>-15946521.5135088</v>
      </c>
      <c r="M1108" s="471">
        <f t="shared" si="109"/>
        <v>0.05</v>
      </c>
      <c r="N1108" s="475">
        <f t="shared" si="110"/>
        <v>84769</v>
      </c>
    </row>
    <row r="1109" spans="7:14" ht="11.25" customHeight="1" x14ac:dyDescent="0.3">
      <c r="G1109" s="470">
        <f t="shared" si="116"/>
        <v>92</v>
      </c>
      <c r="H1109" s="470">
        <v>1102</v>
      </c>
      <c r="I1109" s="455">
        <f t="shared" ca="1" si="108"/>
        <v>-15946521.5135088</v>
      </c>
      <c r="J1109" s="455">
        <f t="array" ref="J1109">IFERROR(INDEX('Retirement Calculator'!J:J,MATCH('Isaac 401k'!N1109,'Retirement Calculator'!A:A,0),0),0)</f>
        <v>7863.2184191855868</v>
      </c>
      <c r="K1109" s="455">
        <f t="shared" ca="1" si="105"/>
        <v>-66476.603049699945</v>
      </c>
      <c r="L1109" s="455">
        <f t="shared" ca="1" si="106"/>
        <v>-16020861.334977685</v>
      </c>
      <c r="M1109" s="471">
        <f t="shared" si="109"/>
        <v>0.05</v>
      </c>
      <c r="N1109" s="475">
        <f t="shared" si="110"/>
        <v>84798</v>
      </c>
    </row>
    <row r="1110" spans="7:14" ht="11.25" customHeight="1" x14ac:dyDescent="0.3">
      <c r="G1110" s="470">
        <f t="shared" si="116"/>
        <v>92</v>
      </c>
      <c r="H1110" s="470">
        <v>1103</v>
      </c>
      <c r="I1110" s="455">
        <f t="shared" ca="1" si="108"/>
        <v>-16020861.334977685</v>
      </c>
      <c r="J1110" s="455">
        <f t="array" ref="J1110">IFERROR(INDEX('Retirement Calculator'!J:J,MATCH('Isaac 401k'!N1110,'Retirement Calculator'!A:A,0),0),0)</f>
        <v>7863.2184191855868</v>
      </c>
      <c r="K1110" s="455">
        <f t="shared" ca="1" si="105"/>
        <v>-66786.352305820285</v>
      </c>
      <c r="L1110" s="455">
        <f t="shared" ca="1" si="106"/>
        <v>-16095510.90570269</v>
      </c>
      <c r="M1110" s="471">
        <f t="shared" si="109"/>
        <v>0.05</v>
      </c>
      <c r="N1110" s="475">
        <f t="shared" si="110"/>
        <v>84829</v>
      </c>
    </row>
    <row r="1111" spans="7:14" ht="11.25" customHeight="1" x14ac:dyDescent="0.3">
      <c r="G1111" s="470">
        <f t="shared" si="116"/>
        <v>92</v>
      </c>
      <c r="H1111" s="470">
        <v>1104</v>
      </c>
      <c r="I1111" s="455">
        <f t="shared" ca="1" si="108"/>
        <v>-16095510.90570269</v>
      </c>
      <c r="J1111" s="455">
        <f t="array" ref="J1111">IFERROR(INDEX('Retirement Calculator'!J:J,MATCH('Isaac 401k'!N1111,'Retirement Calculator'!A:A,0),0),0)</f>
        <v>7863.2184191855868</v>
      </c>
      <c r="K1111" s="455">
        <f t="shared" ca="1" si="105"/>
        <v>-67097.392183841148</v>
      </c>
      <c r="L1111" s="455">
        <f t="shared" ca="1" si="106"/>
        <v>-16170471.516305715</v>
      </c>
      <c r="M1111" s="471">
        <f t="shared" si="109"/>
        <v>0.05</v>
      </c>
      <c r="N1111" s="475">
        <f t="shared" si="110"/>
        <v>84859</v>
      </c>
    </row>
    <row r="1112" spans="7:14" ht="11.25" customHeight="1" x14ac:dyDescent="0.3">
      <c r="G1112" s="470">
        <f>G1111+1</f>
        <v>93</v>
      </c>
      <c r="H1112" s="470">
        <v>1105</v>
      </c>
      <c r="I1112" s="455">
        <f t="shared" ca="1" si="108"/>
        <v>-16170471.516305715</v>
      </c>
      <c r="J1112" s="455">
        <f t="array" ref="J1112">IFERROR(INDEX('Retirement Calculator'!J:J,MATCH('Isaac 401k'!N1112,'Retirement Calculator'!A:A,0),0),0)</f>
        <v>7863.2184191855868</v>
      </c>
      <c r="K1112" s="455">
        <f t="shared" ca="1" si="105"/>
        <v>-67409.728061353744</v>
      </c>
      <c r="L1112" s="455">
        <f t="shared" ca="1" si="106"/>
        <v>-16245744.462786254</v>
      </c>
      <c r="M1112" s="471">
        <f t="shared" si="109"/>
        <v>0.05</v>
      </c>
      <c r="N1112" s="475">
        <f t="shared" si="110"/>
        <v>84890</v>
      </c>
    </row>
    <row r="1113" spans="7:14" ht="11.25" customHeight="1" x14ac:dyDescent="0.3">
      <c r="G1113" s="470">
        <f t="shared" ref="G1113:G1123" si="117">G1112</f>
        <v>93</v>
      </c>
      <c r="H1113" s="470">
        <v>1106</v>
      </c>
      <c r="I1113" s="455">
        <f t="shared" ca="1" si="108"/>
        <v>-16245744.462786254</v>
      </c>
      <c r="J1113" s="455">
        <f t="array" ref="J1113">IFERROR(INDEX('Retirement Calculator'!J:J,MATCH('Isaac 401k'!N1113,'Retirement Calculator'!A:A,0),0),0)</f>
        <v>7863.2184191855868</v>
      </c>
      <c r="K1113" s="455">
        <f t="shared" ca="1" si="105"/>
        <v>-67723.365338355987</v>
      </c>
      <c r="L1113" s="455">
        <f t="shared" ca="1" si="106"/>
        <v>-16321331.046543794</v>
      </c>
      <c r="M1113" s="471">
        <f t="shared" si="109"/>
        <v>0.05</v>
      </c>
      <c r="N1113" s="475">
        <f t="shared" si="110"/>
        <v>84920</v>
      </c>
    </row>
    <row r="1114" spans="7:14" ht="11.25" customHeight="1" x14ac:dyDescent="0.3">
      <c r="G1114" s="470">
        <f t="shared" si="117"/>
        <v>93</v>
      </c>
      <c r="H1114" s="470">
        <v>1107</v>
      </c>
      <c r="I1114" s="455">
        <f t="shared" ca="1" si="108"/>
        <v>-16321331.046543794</v>
      </c>
      <c r="J1114" s="455">
        <f t="array" ref="J1114">IFERROR(INDEX('Retirement Calculator'!J:J,MATCH('Isaac 401k'!N1114,'Retirement Calculator'!A:A,0),0),0)</f>
        <v>7863.2184191855868</v>
      </c>
      <c r="K1114" s="455">
        <f t="shared" ca="1" si="105"/>
        <v>-68038.309437345757</v>
      </c>
      <c r="L1114" s="455">
        <f t="shared" ca="1" si="106"/>
        <v>-16397232.574400324</v>
      </c>
      <c r="M1114" s="471">
        <f t="shared" si="109"/>
        <v>0.05</v>
      </c>
      <c r="N1114" s="475">
        <f t="shared" si="110"/>
        <v>84951</v>
      </c>
    </row>
    <row r="1115" spans="7:14" ht="11.25" customHeight="1" x14ac:dyDescent="0.3">
      <c r="G1115" s="470">
        <f t="shared" si="117"/>
        <v>93</v>
      </c>
      <c r="H1115" s="470">
        <v>1108</v>
      </c>
      <c r="I1115" s="455">
        <f t="shared" ca="1" si="108"/>
        <v>-16397232.574400324</v>
      </c>
      <c r="J1115" s="455">
        <f t="array" ref="J1115">IFERROR(INDEX('Retirement Calculator'!J:J,MATCH('Isaac 401k'!N1115,'Retirement Calculator'!A:A,0),0),0)</f>
        <v>7863.2184191855868</v>
      </c>
      <c r="K1115" s="455">
        <f t="shared" ca="1" si="105"/>
        <v>-68354.565803414633</v>
      </c>
      <c r="L1115" s="455">
        <f t="shared" ca="1" si="106"/>
        <v>-16473450.358622923</v>
      </c>
      <c r="M1115" s="471">
        <f t="shared" si="109"/>
        <v>0.05</v>
      </c>
      <c r="N1115" s="475">
        <f t="shared" si="110"/>
        <v>84982</v>
      </c>
    </row>
    <row r="1116" spans="7:14" ht="11.25" customHeight="1" x14ac:dyDescent="0.3">
      <c r="G1116" s="470">
        <f t="shared" si="117"/>
        <v>93</v>
      </c>
      <c r="H1116" s="470">
        <v>1109</v>
      </c>
      <c r="I1116" s="455">
        <f t="shared" ca="1" si="108"/>
        <v>-16473450.358622923</v>
      </c>
      <c r="J1116" s="455">
        <f t="array" ref="J1116">IFERROR(INDEX('Retirement Calculator'!J:J,MATCH('Isaac 401k'!N1116,'Retirement Calculator'!A:A,0),0),0)</f>
        <v>7863.2184191855868</v>
      </c>
      <c r="K1116" s="455">
        <f t="shared" ca="1" si="105"/>
        <v>-68672.139904342112</v>
      </c>
      <c r="L1116" s="455">
        <f t="shared" ca="1" si="106"/>
        <v>-16549985.716946451</v>
      </c>
      <c r="M1116" s="471">
        <f t="shared" si="109"/>
        <v>0.05</v>
      </c>
      <c r="N1116" s="475">
        <f t="shared" si="110"/>
        <v>85012</v>
      </c>
    </row>
    <row r="1117" spans="7:14" ht="11.25" customHeight="1" x14ac:dyDescent="0.3">
      <c r="G1117" s="470">
        <f t="shared" si="117"/>
        <v>93</v>
      </c>
      <c r="H1117" s="470">
        <v>1110</v>
      </c>
      <c r="I1117" s="455">
        <f t="shared" ca="1" si="108"/>
        <v>-16549985.716946451</v>
      </c>
      <c r="J1117" s="455">
        <f t="array" ref="J1117">IFERROR(INDEX('Retirement Calculator'!J:J,MATCH('Isaac 401k'!N1117,'Retirement Calculator'!A:A,0),0),0)</f>
        <v>7863.2184191855868</v>
      </c>
      <c r="K1117" s="455">
        <f t="shared" ca="1" si="105"/>
        <v>-68991.037230690141</v>
      </c>
      <c r="L1117" s="455">
        <f t="shared" ca="1" si="106"/>
        <v>-16626839.972596327</v>
      </c>
      <c r="M1117" s="471">
        <f t="shared" si="109"/>
        <v>0.05</v>
      </c>
      <c r="N1117" s="475">
        <f t="shared" si="110"/>
        <v>85043</v>
      </c>
    </row>
    <row r="1118" spans="7:14" ht="11.25" customHeight="1" x14ac:dyDescent="0.3">
      <c r="G1118" s="470">
        <f t="shared" si="117"/>
        <v>93</v>
      </c>
      <c r="H1118" s="470">
        <v>1111</v>
      </c>
      <c r="I1118" s="455">
        <f t="shared" ca="1" si="108"/>
        <v>-16626839.972596327</v>
      </c>
      <c r="J1118" s="455">
        <f t="array" ref="J1118">IFERROR(INDEX('Retirement Calculator'!J:J,MATCH('Isaac 401k'!N1118,'Retirement Calculator'!A:A,0),0),0)</f>
        <v>7863.2184191855868</v>
      </c>
      <c r="K1118" s="455">
        <f t="shared" ca="1" si="105"/>
        <v>-69311.263295897967</v>
      </c>
      <c r="L1118" s="455">
        <f t="shared" ca="1" si="106"/>
        <v>-16704014.45431141</v>
      </c>
      <c r="M1118" s="471">
        <f t="shared" si="109"/>
        <v>0.05</v>
      </c>
      <c r="N1118" s="475">
        <f t="shared" si="110"/>
        <v>85073</v>
      </c>
    </row>
    <row r="1119" spans="7:14" ht="11.25" customHeight="1" x14ac:dyDescent="0.3">
      <c r="G1119" s="470">
        <f t="shared" si="117"/>
        <v>93</v>
      </c>
      <c r="H1119" s="470">
        <v>1112</v>
      </c>
      <c r="I1119" s="455">
        <f t="shared" ca="1" si="108"/>
        <v>-16704014.45431141</v>
      </c>
      <c r="J1119" s="455">
        <f t="array" ref="J1119">IFERROR(INDEX('Retirement Calculator'!J:J,MATCH('Isaac 401k'!N1119,'Retirement Calculator'!A:A,0),0),0)</f>
        <v>7863.2184191855868</v>
      </c>
      <c r="K1119" s="455">
        <f t="shared" ca="1" si="105"/>
        <v>-69632.823636377478</v>
      </c>
      <c r="L1119" s="455">
        <f t="shared" ca="1" si="106"/>
        <v>-16781510.496366974</v>
      </c>
      <c r="M1119" s="471">
        <f t="shared" si="109"/>
        <v>0.05</v>
      </c>
      <c r="N1119" s="475">
        <f t="shared" si="110"/>
        <v>85104</v>
      </c>
    </row>
    <row r="1120" spans="7:14" ht="11.25" customHeight="1" x14ac:dyDescent="0.3">
      <c r="G1120" s="470">
        <f t="shared" si="117"/>
        <v>93</v>
      </c>
      <c r="H1120" s="470">
        <v>1113</v>
      </c>
      <c r="I1120" s="455">
        <f t="shared" ca="1" si="108"/>
        <v>-16781510.496366974</v>
      </c>
      <c r="J1120" s="455">
        <f t="array" ref="J1120">IFERROR(INDEX('Retirement Calculator'!J:J,MATCH('Isaac 401k'!N1120,'Retirement Calculator'!A:A,0),0),0)</f>
        <v>7863.2184191855868</v>
      </c>
      <c r="K1120" s="455">
        <f t="shared" ca="1" si="105"/>
        <v>-69955.723811609001</v>
      </c>
      <c r="L1120" s="455">
        <f t="shared" ca="1" si="106"/>
        <v>-16859329.438597769</v>
      </c>
      <c r="M1120" s="471">
        <f t="shared" si="109"/>
        <v>0.05</v>
      </c>
      <c r="N1120" s="475">
        <f t="shared" si="110"/>
        <v>85135</v>
      </c>
    </row>
    <row r="1121" spans="7:14" ht="11.25" customHeight="1" x14ac:dyDescent="0.3">
      <c r="G1121" s="470">
        <f t="shared" si="117"/>
        <v>93</v>
      </c>
      <c r="H1121" s="470">
        <v>1114</v>
      </c>
      <c r="I1121" s="455">
        <f t="shared" ca="1" si="108"/>
        <v>-16859329.438597769</v>
      </c>
      <c r="J1121" s="455">
        <f t="array" ref="J1121">IFERROR(INDEX('Retirement Calculator'!J:J,MATCH('Isaac 401k'!N1121,'Retirement Calculator'!A:A,0),0),0)</f>
        <v>7863.2184191855868</v>
      </c>
      <c r="K1121" s="455">
        <f t="shared" ca="1" si="105"/>
        <v>-70279.969404237316</v>
      </c>
      <c r="L1121" s="455">
        <f t="shared" ca="1" si="106"/>
        <v>-16937472.626421191</v>
      </c>
      <c r="M1121" s="471">
        <f t="shared" si="109"/>
        <v>0.05</v>
      </c>
      <c r="N1121" s="475">
        <f t="shared" si="110"/>
        <v>85163</v>
      </c>
    </row>
    <row r="1122" spans="7:14" ht="11.25" customHeight="1" x14ac:dyDescent="0.3">
      <c r="G1122" s="470">
        <f t="shared" si="117"/>
        <v>93</v>
      </c>
      <c r="H1122" s="470">
        <v>1115</v>
      </c>
      <c r="I1122" s="455">
        <f t="shared" ca="1" si="108"/>
        <v>-16937472.626421191</v>
      </c>
      <c r="J1122" s="455">
        <f t="array" ref="J1122">IFERROR(INDEX('Retirement Calculator'!J:J,MATCH('Isaac 401k'!N1122,'Retirement Calculator'!A:A,0),0),0)</f>
        <v>7863.2184191855868</v>
      </c>
      <c r="K1122" s="455">
        <f t="shared" ca="1" si="105"/>
        <v>-70605.566020168233</v>
      </c>
      <c r="L1122" s="455">
        <f t="shared" ca="1" si="106"/>
        <v>-17015941.410860546</v>
      </c>
      <c r="M1122" s="471">
        <f t="shared" si="109"/>
        <v>0.05</v>
      </c>
      <c r="N1122" s="475">
        <f t="shared" si="110"/>
        <v>85194</v>
      </c>
    </row>
    <row r="1123" spans="7:14" ht="11.25" customHeight="1" x14ac:dyDescent="0.3">
      <c r="G1123" s="470">
        <f t="shared" si="117"/>
        <v>93</v>
      </c>
      <c r="H1123" s="470">
        <v>1116</v>
      </c>
      <c r="I1123" s="455">
        <f t="shared" ca="1" si="108"/>
        <v>-17015941.410860546</v>
      </c>
      <c r="J1123" s="455">
        <f t="array" ref="J1123">IFERROR(INDEX('Retirement Calculator'!J:J,MATCH('Isaac 401k'!N1123,'Retirement Calculator'!A:A,0),0),0)</f>
        <v>7863.2184191855868</v>
      </c>
      <c r="K1123" s="455">
        <f t="shared" ca="1" si="105"/>
        <v>-70932.519288665557</v>
      </c>
      <c r="L1123" s="455">
        <f t="shared" ca="1" si="106"/>
        <v>-17094737.148568399</v>
      </c>
      <c r="M1123" s="471">
        <f t="shared" si="109"/>
        <v>0.05</v>
      </c>
      <c r="N1123" s="475">
        <f t="shared" si="110"/>
        <v>85224</v>
      </c>
    </row>
    <row r="1124" spans="7:14" ht="11.25" customHeight="1" x14ac:dyDescent="0.3">
      <c r="G1124" s="470">
        <f>G1123+1</f>
        <v>94</v>
      </c>
      <c r="H1124" s="470">
        <v>1117</v>
      </c>
      <c r="I1124" s="455">
        <f t="shared" ca="1" si="108"/>
        <v>-17094737.148568399</v>
      </c>
      <c r="J1124" s="455">
        <f t="array" ref="J1124">IFERROR(INDEX('Retirement Calculator'!J:J,MATCH('Isaac 401k'!N1124,'Retirement Calculator'!A:A,0),0),0)</f>
        <v>7863.2184191855868</v>
      </c>
      <c r="K1124" s="455">
        <f t="shared" ca="1" si="105"/>
        <v>-71260.834862448275</v>
      </c>
      <c r="L1124" s="455">
        <f t="shared" ca="1" si="106"/>
        <v>-17173861.201850034</v>
      </c>
      <c r="M1124" s="471">
        <f t="shared" si="109"/>
        <v>0.05</v>
      </c>
      <c r="N1124" s="475">
        <f t="shared" si="110"/>
        <v>85255</v>
      </c>
    </row>
    <row r="1125" spans="7:14" ht="11.25" customHeight="1" x14ac:dyDescent="0.3">
      <c r="G1125" s="470">
        <f t="shared" ref="G1125:G1135" si="118">G1124</f>
        <v>94</v>
      </c>
      <c r="H1125" s="470">
        <v>1118</v>
      </c>
      <c r="I1125" s="455">
        <f t="shared" ca="1" si="108"/>
        <v>-17173861.201850034</v>
      </c>
      <c r="J1125" s="455">
        <f t="array" ref="J1125">IFERROR(INDEX('Retirement Calculator'!J:J,MATCH('Isaac 401k'!N1125,'Retirement Calculator'!A:A,0),0),0)</f>
        <v>7863.2184191855868</v>
      </c>
      <c r="K1125" s="455">
        <f t="shared" ca="1" si="105"/>
        <v>-71590.518417788422</v>
      </c>
      <c r="L1125" s="455">
        <f t="shared" ca="1" si="106"/>
        <v>-17253314.938687008</v>
      </c>
      <c r="M1125" s="471">
        <f t="shared" si="109"/>
        <v>0.05</v>
      </c>
      <c r="N1125" s="475">
        <f t="shared" si="110"/>
        <v>85285</v>
      </c>
    </row>
    <row r="1126" spans="7:14" ht="11.25" customHeight="1" x14ac:dyDescent="0.3">
      <c r="G1126" s="470">
        <f t="shared" si="118"/>
        <v>94</v>
      </c>
      <c r="H1126" s="470">
        <v>1119</v>
      </c>
      <c r="I1126" s="455">
        <f t="shared" ca="1" si="108"/>
        <v>-17253314.938687008</v>
      </c>
      <c r="J1126" s="455">
        <f t="array" ref="J1126">IFERROR(INDEX('Retirement Calculator'!J:J,MATCH('Isaac 401k'!N1126,'Retirement Calculator'!A:A,0),0),0)</f>
        <v>7863.2184191855868</v>
      </c>
      <c r="K1126" s="455">
        <f t="shared" ca="1" si="105"/>
        <v>-71921.575654609143</v>
      </c>
      <c r="L1126" s="455">
        <f t="shared" ca="1" si="106"/>
        <v>-17333099.732760806</v>
      </c>
      <c r="M1126" s="471">
        <f t="shared" si="109"/>
        <v>0.05</v>
      </c>
      <c r="N1126" s="475">
        <f t="shared" si="110"/>
        <v>85316</v>
      </c>
    </row>
    <row r="1127" spans="7:14" ht="11.25" customHeight="1" x14ac:dyDescent="0.3">
      <c r="G1127" s="470">
        <f t="shared" si="118"/>
        <v>94</v>
      </c>
      <c r="H1127" s="470">
        <v>1120</v>
      </c>
      <c r="I1127" s="455">
        <f t="shared" ca="1" si="108"/>
        <v>-17333099.732760806</v>
      </c>
      <c r="J1127" s="455">
        <f t="array" ref="J1127">IFERROR(INDEX('Retirement Calculator'!J:J,MATCH('Isaac 401k'!N1127,'Retirement Calculator'!A:A,0),0),0)</f>
        <v>7863.2184191855868</v>
      </c>
      <c r="K1127" s="455">
        <f t="shared" ca="1" si="105"/>
        <v>-72254.0122965833</v>
      </c>
      <c r="L1127" s="455">
        <f t="shared" ca="1" si="106"/>
        <v>-17413216.963476576</v>
      </c>
      <c r="M1127" s="471">
        <f t="shared" si="109"/>
        <v>0.05</v>
      </c>
      <c r="N1127" s="475">
        <f t="shared" si="110"/>
        <v>85347</v>
      </c>
    </row>
    <row r="1128" spans="7:14" ht="11.25" customHeight="1" x14ac:dyDescent="0.3">
      <c r="G1128" s="470">
        <f t="shared" si="118"/>
        <v>94</v>
      </c>
      <c r="H1128" s="470">
        <v>1121</v>
      </c>
      <c r="I1128" s="455">
        <f t="shared" ca="1" si="108"/>
        <v>-17413216.963476576</v>
      </c>
      <c r="J1128" s="455">
        <f t="array" ref="J1128">IFERROR(INDEX('Retirement Calculator'!J:J,MATCH('Isaac 401k'!N1128,'Retirement Calculator'!A:A,0),0),0)</f>
        <v>7863.2184191855868</v>
      </c>
      <c r="K1128" s="455">
        <f t="shared" ca="1" si="105"/>
        <v>-72587.834091232347</v>
      </c>
      <c r="L1128" s="455">
        <f t="shared" ca="1" si="106"/>
        <v>-17493668.015986994</v>
      </c>
      <c r="M1128" s="471">
        <f t="shared" si="109"/>
        <v>0.05</v>
      </c>
      <c r="N1128" s="475">
        <f t="shared" si="110"/>
        <v>85377</v>
      </c>
    </row>
    <row r="1129" spans="7:14" ht="11.25" customHeight="1" x14ac:dyDescent="0.3">
      <c r="G1129" s="470">
        <f t="shared" si="118"/>
        <v>94</v>
      </c>
      <c r="H1129" s="470">
        <v>1122</v>
      </c>
      <c r="I1129" s="455">
        <f t="shared" ca="1" si="108"/>
        <v>-17493668.015986994</v>
      </c>
      <c r="J1129" s="455">
        <f t="array" ref="J1129">IFERROR(INDEX('Retirement Calculator'!J:J,MATCH('Isaac 401k'!N1129,'Retirement Calculator'!A:A,0),0),0)</f>
        <v>7863.2184191855868</v>
      </c>
      <c r="K1129" s="455">
        <f t="shared" ca="1" si="105"/>
        <v>-72923.046810025757</v>
      </c>
      <c r="L1129" s="455">
        <f t="shared" ca="1" si="106"/>
        <v>-17574454.281216208</v>
      </c>
      <c r="M1129" s="471">
        <f t="shared" si="109"/>
        <v>0.05</v>
      </c>
      <c r="N1129" s="475">
        <f t="shared" si="110"/>
        <v>85408</v>
      </c>
    </row>
    <row r="1130" spans="7:14" ht="11.25" customHeight="1" x14ac:dyDescent="0.3">
      <c r="G1130" s="470">
        <f t="shared" si="118"/>
        <v>94</v>
      </c>
      <c r="H1130" s="470">
        <v>1123</v>
      </c>
      <c r="I1130" s="455">
        <f t="shared" ca="1" si="108"/>
        <v>-17574454.281216208</v>
      </c>
      <c r="J1130" s="455">
        <f t="array" ref="J1130">IFERROR(INDEX('Retirement Calculator'!J:J,MATCH('Isaac 401k'!N1130,'Retirement Calculator'!A:A,0),0),0)</f>
        <v>7863.2184191855868</v>
      </c>
      <c r="K1130" s="455">
        <f t="shared" ca="1" si="105"/>
        <v>-73259.656248480809</v>
      </c>
      <c r="L1130" s="455">
        <f t="shared" ca="1" si="106"/>
        <v>-17655577.155883875</v>
      </c>
      <c r="M1130" s="471">
        <f t="shared" si="109"/>
        <v>0.05</v>
      </c>
      <c r="N1130" s="475">
        <f t="shared" si="110"/>
        <v>85438</v>
      </c>
    </row>
    <row r="1131" spans="7:14" ht="11.25" customHeight="1" x14ac:dyDescent="0.3">
      <c r="G1131" s="470">
        <f t="shared" si="118"/>
        <v>94</v>
      </c>
      <c r="H1131" s="470">
        <v>1124</v>
      </c>
      <c r="I1131" s="455">
        <f t="shared" ca="1" si="108"/>
        <v>-17655577.155883875</v>
      </c>
      <c r="J1131" s="455">
        <f t="array" ref="J1131">IFERROR(INDEX('Retirement Calculator'!J:J,MATCH('Isaac 401k'!N1131,'Retirement Calculator'!A:A,0),0),0)</f>
        <v>7863.2184191855868</v>
      </c>
      <c r="K1131" s="455">
        <f t="shared" ca="1" si="105"/>
        <v>-73597.668226262758</v>
      </c>
      <c r="L1131" s="455">
        <f t="shared" ca="1" si="106"/>
        <v>-17737038.042529326</v>
      </c>
      <c r="M1131" s="471">
        <f t="shared" si="109"/>
        <v>0.05</v>
      </c>
      <c r="N1131" s="475">
        <f t="shared" si="110"/>
        <v>85469</v>
      </c>
    </row>
    <row r="1132" spans="7:14" ht="11.25" customHeight="1" x14ac:dyDescent="0.3">
      <c r="G1132" s="470">
        <f t="shared" si="118"/>
        <v>94</v>
      </c>
      <c r="H1132" s="470">
        <v>1125</v>
      </c>
      <c r="I1132" s="455">
        <f t="shared" ca="1" si="108"/>
        <v>-17737038.042529326</v>
      </c>
      <c r="J1132" s="455">
        <f t="array" ref="J1132">IFERROR(INDEX('Retirement Calculator'!J:J,MATCH('Isaac 401k'!N1132,'Retirement Calculator'!A:A,0),0),0)</f>
        <v>7863.2184191855868</v>
      </c>
      <c r="K1132" s="455">
        <f t="shared" ca="1" si="105"/>
        <v>-73937.088587285471</v>
      </c>
      <c r="L1132" s="455">
        <f t="shared" ca="1" si="106"/>
        <v>-17818838.349535797</v>
      </c>
      <c r="M1132" s="471">
        <f t="shared" si="109"/>
        <v>0.05</v>
      </c>
      <c r="N1132" s="475">
        <f t="shared" si="110"/>
        <v>85500</v>
      </c>
    </row>
    <row r="1133" spans="7:14" ht="11.25" customHeight="1" x14ac:dyDescent="0.3">
      <c r="G1133" s="470">
        <f t="shared" si="118"/>
        <v>94</v>
      </c>
      <c r="H1133" s="470">
        <v>1126</v>
      </c>
      <c r="I1133" s="455">
        <f t="shared" ca="1" si="108"/>
        <v>-17818838.349535797</v>
      </c>
      <c r="J1133" s="455">
        <f t="array" ref="J1133">IFERROR(INDEX('Retirement Calculator'!J:J,MATCH('Isaac 401k'!N1133,'Retirement Calculator'!A:A,0),0),0)</f>
        <v>7863.2184191855868</v>
      </c>
      <c r="K1133" s="455">
        <f t="shared" ca="1" si="105"/>
        <v>-74277.923199812431</v>
      </c>
      <c r="L1133" s="455">
        <f t="shared" ca="1" si="106"/>
        <v>-17900979.491154797</v>
      </c>
      <c r="M1133" s="471">
        <f t="shared" si="109"/>
        <v>0.05</v>
      </c>
      <c r="N1133" s="475">
        <f t="shared" si="110"/>
        <v>85528</v>
      </c>
    </row>
    <row r="1134" spans="7:14" ht="11.25" customHeight="1" x14ac:dyDescent="0.3">
      <c r="G1134" s="470">
        <f t="shared" si="118"/>
        <v>94</v>
      </c>
      <c r="H1134" s="470">
        <v>1127</v>
      </c>
      <c r="I1134" s="455">
        <f t="shared" ca="1" si="108"/>
        <v>-17900979.491154797</v>
      </c>
      <c r="J1134" s="455">
        <f t="array" ref="J1134">IFERROR(INDEX('Retirement Calculator'!J:J,MATCH('Isaac 401k'!N1134,'Retirement Calculator'!A:A,0),0),0)</f>
        <v>7863.2184191855868</v>
      </c>
      <c r="K1134" s="455">
        <f t="shared" ca="1" si="105"/>
        <v>-74620.177956558269</v>
      </c>
      <c r="L1134" s="455">
        <f t="shared" ca="1" si="106"/>
        <v>-17983462.887530543</v>
      </c>
      <c r="M1134" s="471">
        <f t="shared" si="109"/>
        <v>0.05</v>
      </c>
      <c r="N1134" s="475">
        <f t="shared" si="110"/>
        <v>85559</v>
      </c>
    </row>
    <row r="1135" spans="7:14" ht="11.25" customHeight="1" x14ac:dyDescent="0.3">
      <c r="G1135" s="470">
        <f t="shared" si="118"/>
        <v>94</v>
      </c>
      <c r="H1135" s="470">
        <v>1128</v>
      </c>
      <c r="I1135" s="455">
        <f t="shared" ca="1" si="108"/>
        <v>-17983462.887530543</v>
      </c>
      <c r="J1135" s="455">
        <f t="array" ref="J1135">IFERROR(INDEX('Retirement Calculator'!J:J,MATCH('Isaac 401k'!N1135,'Retirement Calculator'!A:A,0),0),0)</f>
        <v>7863.2184191855868</v>
      </c>
      <c r="K1135" s="455">
        <f t="shared" ca="1" si="105"/>
        <v>-74963.85877479054</v>
      </c>
      <c r="L1135" s="455">
        <f t="shared" ca="1" si="106"/>
        <v>-18066289.964724518</v>
      </c>
      <c r="M1135" s="471">
        <f t="shared" si="109"/>
        <v>0.05</v>
      </c>
      <c r="N1135" s="475">
        <f t="shared" si="110"/>
        <v>85589</v>
      </c>
    </row>
    <row r="1136" spans="7:14" ht="11.25" customHeight="1" x14ac:dyDescent="0.3">
      <c r="G1136" s="470">
        <f>G1135+1</f>
        <v>95</v>
      </c>
      <c r="H1136" s="470">
        <v>1129</v>
      </c>
      <c r="I1136" s="455">
        <f t="shared" ca="1" si="108"/>
        <v>-18066289.964724518</v>
      </c>
      <c r="J1136" s="455">
        <f t="array" ref="J1136">IFERROR(INDEX('Retirement Calculator'!J:J,MATCH('Isaac 401k'!N1136,'Retirement Calculator'!A:A,0),0),0)</f>
        <v>7863.2184191855868</v>
      </c>
      <c r="K1136" s="455">
        <f t="shared" ca="1" si="105"/>
        <v>-75308.971596432108</v>
      </c>
      <c r="L1136" s="455">
        <f t="shared" ca="1" si="106"/>
        <v>-18149462.154740136</v>
      </c>
      <c r="M1136" s="471">
        <f t="shared" si="109"/>
        <v>0.05</v>
      </c>
      <c r="N1136" s="475">
        <f t="shared" si="110"/>
        <v>85620</v>
      </c>
    </row>
    <row r="1137" spans="7:14" ht="11.25" customHeight="1" x14ac:dyDescent="0.3">
      <c r="G1137" s="470">
        <f t="shared" ref="G1137:G1147" si="119">G1136</f>
        <v>95</v>
      </c>
      <c r="H1137" s="470">
        <v>1130</v>
      </c>
      <c r="I1137" s="455">
        <f t="shared" ca="1" si="108"/>
        <v>-18149462.154740136</v>
      </c>
      <c r="J1137" s="455">
        <f t="array" ref="J1137">IFERROR(INDEX('Retirement Calculator'!J:J,MATCH('Isaac 401k'!N1137,'Retirement Calculator'!A:A,0),0),0)</f>
        <v>7863.2184191855868</v>
      </c>
      <c r="K1137" s="455">
        <f t="shared" ca="1" si="105"/>
        <v>-75655.522388163838</v>
      </c>
      <c r="L1137" s="455">
        <f t="shared" ca="1" si="106"/>
        <v>-18232980.895547487</v>
      </c>
      <c r="M1137" s="471">
        <f t="shared" si="109"/>
        <v>0.05</v>
      </c>
      <c r="N1137" s="475">
        <f t="shared" si="110"/>
        <v>85650</v>
      </c>
    </row>
    <row r="1138" spans="7:14" ht="11.25" customHeight="1" x14ac:dyDescent="0.3">
      <c r="G1138" s="470">
        <f t="shared" si="119"/>
        <v>95</v>
      </c>
      <c r="H1138" s="470">
        <v>1131</v>
      </c>
      <c r="I1138" s="455">
        <f t="shared" ca="1" si="108"/>
        <v>-18232980.895547487</v>
      </c>
      <c r="J1138" s="455">
        <f t="array" ref="J1138">IFERROR(INDEX('Retirement Calculator'!J:J,MATCH('Isaac 401k'!N1138,'Retirement Calculator'!A:A,0),0),0)</f>
        <v>7863.2184191855868</v>
      </c>
      <c r="K1138" s="455">
        <f t="shared" ca="1" si="105"/>
        <v>-76003.517141527802</v>
      </c>
      <c r="L1138" s="455">
        <f t="shared" ca="1" si="106"/>
        <v>-18316847.631108202</v>
      </c>
      <c r="M1138" s="471">
        <f t="shared" si="109"/>
        <v>0.05</v>
      </c>
      <c r="N1138" s="475">
        <f t="shared" si="110"/>
        <v>85681</v>
      </c>
    </row>
    <row r="1139" spans="7:14" ht="11.25" customHeight="1" x14ac:dyDescent="0.3">
      <c r="G1139" s="470">
        <f t="shared" si="119"/>
        <v>95</v>
      </c>
      <c r="H1139" s="470">
        <v>1132</v>
      </c>
      <c r="I1139" s="455">
        <f t="shared" ca="1" si="108"/>
        <v>-18316847.631108202</v>
      </c>
      <c r="J1139" s="455">
        <f t="array" ref="J1139">IFERROR(INDEX('Retirement Calculator'!J:J,MATCH('Isaac 401k'!N1139,'Retirement Calculator'!A:A,0),0),0)</f>
        <v>7863.2184191855868</v>
      </c>
      <c r="K1139" s="455">
        <f t="shared" ca="1" si="105"/>
        <v>-76352.961873030785</v>
      </c>
      <c r="L1139" s="455">
        <f t="shared" ca="1" si="106"/>
        <v>-18401063.811400421</v>
      </c>
      <c r="M1139" s="471">
        <f t="shared" si="109"/>
        <v>0.05</v>
      </c>
      <c r="N1139" s="475">
        <f t="shared" si="110"/>
        <v>85712</v>
      </c>
    </row>
    <row r="1140" spans="7:14" ht="11.25" customHeight="1" x14ac:dyDescent="0.3">
      <c r="G1140" s="470">
        <f t="shared" si="119"/>
        <v>95</v>
      </c>
      <c r="H1140" s="470">
        <v>1133</v>
      </c>
      <c r="I1140" s="455">
        <f t="shared" ca="1" si="108"/>
        <v>-18401063.811400421</v>
      </c>
      <c r="J1140" s="455">
        <f t="array" ref="J1140">IFERROR(INDEX('Retirement Calculator'!J:J,MATCH('Isaac 401k'!N1140,'Retirement Calculator'!A:A,0),0),0)</f>
        <v>7863.2184191855868</v>
      </c>
      <c r="K1140" s="455">
        <f t="shared" ca="1" si="105"/>
        <v>-76703.862624248359</v>
      </c>
      <c r="L1140" s="455">
        <f t="shared" ca="1" si="106"/>
        <v>-18485630.892443854</v>
      </c>
      <c r="M1140" s="471">
        <f t="shared" si="109"/>
        <v>0.05</v>
      </c>
      <c r="N1140" s="475">
        <f t="shared" si="110"/>
        <v>85742</v>
      </c>
    </row>
    <row r="1141" spans="7:14" ht="11.25" customHeight="1" x14ac:dyDescent="0.3">
      <c r="G1141" s="470">
        <f t="shared" si="119"/>
        <v>95</v>
      </c>
      <c r="H1141" s="470">
        <v>1134</v>
      </c>
      <c r="I1141" s="455">
        <f t="shared" ca="1" si="108"/>
        <v>-18485630.892443854</v>
      </c>
      <c r="J1141" s="455">
        <f t="array" ref="J1141">IFERROR(INDEX('Retirement Calculator'!J:J,MATCH('Isaac 401k'!N1141,'Retirement Calculator'!A:A,0),0),0)</f>
        <v>7863.2184191855868</v>
      </c>
      <c r="K1141" s="455">
        <f t="shared" ca="1" si="105"/>
        <v>-77056.225461929338</v>
      </c>
      <c r="L1141" s="455">
        <f t="shared" ca="1" si="106"/>
        <v>-18570550.336324971</v>
      </c>
      <c r="M1141" s="471">
        <f t="shared" si="109"/>
        <v>0.05</v>
      </c>
      <c r="N1141" s="475">
        <f t="shared" si="110"/>
        <v>85773</v>
      </c>
    </row>
    <row r="1142" spans="7:14" ht="11.25" customHeight="1" x14ac:dyDescent="0.3">
      <c r="G1142" s="470">
        <f t="shared" si="119"/>
        <v>95</v>
      </c>
      <c r="H1142" s="470">
        <v>1135</v>
      </c>
      <c r="I1142" s="455">
        <f t="shared" ca="1" si="108"/>
        <v>-18570550.336324971</v>
      </c>
      <c r="J1142" s="455">
        <f t="array" ref="J1142">IFERROR(INDEX('Retirement Calculator'!J:J,MATCH('Isaac 401k'!N1142,'Retirement Calculator'!A:A,0),0),0)</f>
        <v>7863.2184191855868</v>
      </c>
      <c r="K1142" s="455">
        <f t="shared" ca="1" si="105"/>
        <v>-77410.056478100654</v>
      </c>
      <c r="L1142" s="455">
        <f t="shared" ca="1" si="106"/>
        <v>-18655823.61122226</v>
      </c>
      <c r="M1142" s="471">
        <f t="shared" si="109"/>
        <v>0.05</v>
      </c>
      <c r="N1142" s="475">
        <f t="shared" si="110"/>
        <v>85803</v>
      </c>
    </row>
    <row r="1143" spans="7:14" ht="11.25" customHeight="1" x14ac:dyDescent="0.3">
      <c r="G1143" s="470">
        <f t="shared" si="119"/>
        <v>95</v>
      </c>
      <c r="H1143" s="470">
        <v>1136</v>
      </c>
      <c r="I1143" s="455">
        <f t="shared" ca="1" si="108"/>
        <v>-18655823.61122226</v>
      </c>
      <c r="J1143" s="455">
        <f t="array" ref="J1143">IFERROR(INDEX('Retirement Calculator'!J:J,MATCH('Isaac 401k'!N1143,'Retirement Calculator'!A:A,0),0),0)</f>
        <v>7863.2184191855868</v>
      </c>
      <c r="K1143" s="455">
        <f t="shared" ca="1" si="105"/>
        <v>-77765.361790172698</v>
      </c>
      <c r="L1143" s="455">
        <f t="shared" ca="1" si="106"/>
        <v>-18741452.191431619</v>
      </c>
      <c r="M1143" s="471">
        <f t="shared" si="109"/>
        <v>0.05</v>
      </c>
      <c r="N1143" s="475">
        <f t="shared" si="110"/>
        <v>85834</v>
      </c>
    </row>
    <row r="1144" spans="7:14" ht="11.25" customHeight="1" x14ac:dyDescent="0.3">
      <c r="G1144" s="470">
        <f t="shared" si="119"/>
        <v>95</v>
      </c>
      <c r="H1144" s="470">
        <v>1137</v>
      </c>
      <c r="I1144" s="455">
        <f t="shared" ca="1" si="108"/>
        <v>-18741452.191431619</v>
      </c>
      <c r="J1144" s="455">
        <f t="array" ref="J1144">IFERROR(INDEX('Retirement Calculator'!J:J,MATCH('Isaac 401k'!N1144,'Retirement Calculator'!A:A,0),0),0)</f>
        <v>7863.2184191855868</v>
      </c>
      <c r="K1144" s="455">
        <f t="shared" ca="1" si="105"/>
        <v>-78122.147541045022</v>
      </c>
      <c r="L1144" s="455">
        <f t="shared" ca="1" si="106"/>
        <v>-18827437.557391852</v>
      </c>
      <c r="M1144" s="471">
        <f t="shared" si="109"/>
        <v>0.05</v>
      </c>
      <c r="N1144" s="475">
        <f t="shared" si="110"/>
        <v>85865</v>
      </c>
    </row>
    <row r="1145" spans="7:14" ht="11.25" customHeight="1" x14ac:dyDescent="0.3">
      <c r="G1145" s="470">
        <f t="shared" si="119"/>
        <v>95</v>
      </c>
      <c r="H1145" s="470">
        <v>1138</v>
      </c>
      <c r="I1145" s="455">
        <f t="shared" ca="1" si="108"/>
        <v>-18827437.557391852</v>
      </c>
      <c r="J1145" s="455">
        <f t="array" ref="J1145">IFERROR(INDEX('Retirement Calculator'!J:J,MATCH('Isaac 401k'!N1145,'Retirement Calculator'!A:A,0),0),0)</f>
        <v>7863.2184191855868</v>
      </c>
      <c r="K1145" s="455">
        <f t="shared" ca="1" si="105"/>
        <v>-78480.419899212662</v>
      </c>
      <c r="L1145" s="455">
        <f t="shared" ca="1" si="106"/>
        <v>-18913781.195710253</v>
      </c>
      <c r="M1145" s="471">
        <f t="shared" si="109"/>
        <v>0.05</v>
      </c>
      <c r="N1145" s="475">
        <f t="shared" si="110"/>
        <v>85893</v>
      </c>
    </row>
    <row r="1146" spans="7:14" ht="11.25" customHeight="1" x14ac:dyDescent="0.3">
      <c r="G1146" s="470">
        <f t="shared" si="119"/>
        <v>95</v>
      </c>
      <c r="H1146" s="470">
        <v>1139</v>
      </c>
      <c r="I1146" s="455">
        <f t="shared" ca="1" si="108"/>
        <v>-18913781.195710253</v>
      </c>
      <c r="J1146" s="455">
        <f t="array" ref="J1146">IFERROR(INDEX('Retirement Calculator'!J:J,MATCH('Isaac 401k'!N1146,'Retirement Calculator'!A:A,0),0),0)</f>
        <v>7863.2184191855868</v>
      </c>
      <c r="K1146" s="455">
        <f t="shared" ca="1" si="105"/>
        <v>-78840.185058872667</v>
      </c>
      <c r="L1146" s="455">
        <f t="shared" ca="1" si="106"/>
        <v>-19000484.599188313</v>
      </c>
      <c r="M1146" s="471">
        <f t="shared" si="109"/>
        <v>0.05</v>
      </c>
      <c r="N1146" s="475">
        <f t="shared" si="110"/>
        <v>85924</v>
      </c>
    </row>
    <row r="1147" spans="7:14" ht="11.25" customHeight="1" x14ac:dyDescent="0.3">
      <c r="G1147" s="470">
        <f t="shared" si="119"/>
        <v>95</v>
      </c>
      <c r="H1147" s="470">
        <v>1140</v>
      </c>
      <c r="I1147" s="455">
        <f t="shared" ca="1" si="108"/>
        <v>-19000484.599188313</v>
      </c>
      <c r="J1147" s="455">
        <f t="array" ref="J1147">IFERROR(INDEX('Retirement Calculator'!J:J,MATCH('Isaac 401k'!N1147,'Retirement Calculator'!A:A,0),0),0)</f>
        <v>7863.2184191855868</v>
      </c>
      <c r="K1147" s="455">
        <f t="shared" ca="1" si="105"/>
        <v>-79201.449240031245</v>
      </c>
      <c r="L1147" s="455">
        <f t="shared" ca="1" si="106"/>
        <v>-19087549.266847532</v>
      </c>
      <c r="M1147" s="471">
        <f t="shared" si="109"/>
        <v>0.05</v>
      </c>
      <c r="N1147" s="475">
        <f t="shared" si="110"/>
        <v>85954</v>
      </c>
    </row>
    <row r="1148" spans="7:14" ht="11.25" customHeight="1" x14ac:dyDescent="0.3">
      <c r="G1148" s="470">
        <f>G1147+1</f>
        <v>96</v>
      </c>
      <c r="H1148" s="470">
        <v>1141</v>
      </c>
      <c r="I1148" s="455">
        <f t="shared" ca="1" si="108"/>
        <v>-19087549.266847532</v>
      </c>
      <c r="J1148" s="455">
        <f t="array" ref="J1148">IFERROR(INDEX('Retirement Calculator'!J:J,MATCH('Isaac 401k'!N1148,'Retirement Calculator'!A:A,0),0),0)</f>
        <v>7863.2184191855868</v>
      </c>
      <c r="K1148" s="455">
        <f t="shared" ca="1" si="105"/>
        <v>-79564.218688611334</v>
      </c>
      <c r="L1148" s="455">
        <f t="shared" ca="1" si="106"/>
        <v>-19174976.70395533</v>
      </c>
      <c r="M1148" s="471">
        <f t="shared" si="109"/>
        <v>0.05</v>
      </c>
      <c r="N1148" s="475">
        <f t="shared" si="110"/>
        <v>85985</v>
      </c>
    </row>
    <row r="1149" spans="7:14" ht="11.25" customHeight="1" x14ac:dyDescent="0.3">
      <c r="G1149" s="470">
        <f t="shared" ref="G1149:G1159" si="120">G1148</f>
        <v>96</v>
      </c>
      <c r="H1149" s="470">
        <v>1142</v>
      </c>
      <c r="I1149" s="455">
        <f t="shared" ca="1" si="108"/>
        <v>-19174976.70395533</v>
      </c>
      <c r="J1149" s="455">
        <f t="array" ref="J1149">IFERROR(INDEX('Retirement Calculator'!J:J,MATCH('Isaac 401k'!N1149,'Retirement Calculator'!A:A,0),0),0)</f>
        <v>7863.2184191855868</v>
      </c>
      <c r="K1149" s="455">
        <f t="shared" ca="1" si="105"/>
        <v>-79928.499676560488</v>
      </c>
      <c r="L1149" s="455">
        <f t="shared" ca="1" si="106"/>
        <v>-19262768.422051076</v>
      </c>
      <c r="M1149" s="471">
        <f t="shared" si="109"/>
        <v>0.05</v>
      </c>
      <c r="N1149" s="475">
        <f t="shared" si="110"/>
        <v>86015</v>
      </c>
    </row>
    <row r="1150" spans="7:14" ht="11.25" customHeight="1" x14ac:dyDescent="0.3">
      <c r="G1150" s="470">
        <f t="shared" si="120"/>
        <v>96</v>
      </c>
      <c r="H1150" s="470">
        <v>1143</v>
      </c>
      <c r="I1150" s="455">
        <f t="shared" ca="1" si="108"/>
        <v>-19262768.422051076</v>
      </c>
      <c r="J1150" s="455">
        <f t="array" ref="J1150">IFERROR(INDEX('Retirement Calculator'!J:J,MATCH('Isaac 401k'!N1150,'Retirement Calculator'!A:A,0),0),0)</f>
        <v>7863.2184191855868</v>
      </c>
      <c r="K1150" s="455">
        <f t="shared" ca="1" si="105"/>
        <v>-80294.29850195942</v>
      </c>
      <c r="L1150" s="455">
        <f t="shared" ca="1" si="106"/>
        <v>-19350925.938972224</v>
      </c>
      <c r="M1150" s="471">
        <f t="shared" si="109"/>
        <v>0.05</v>
      </c>
      <c r="N1150" s="475">
        <f t="shared" si="110"/>
        <v>86046</v>
      </c>
    </row>
    <row r="1151" spans="7:14" ht="11.25" customHeight="1" x14ac:dyDescent="0.3">
      <c r="G1151" s="470">
        <f t="shared" si="120"/>
        <v>96</v>
      </c>
      <c r="H1151" s="470">
        <v>1144</v>
      </c>
      <c r="I1151" s="455">
        <f t="shared" ca="1" si="108"/>
        <v>-19350925.938972224</v>
      </c>
      <c r="J1151" s="455">
        <f t="array" ref="J1151">IFERROR(INDEX('Retirement Calculator'!J:J,MATCH('Isaac 401k'!N1151,'Retirement Calculator'!A:A,0),0),0)</f>
        <v>7863.2184191855868</v>
      </c>
      <c r="K1151" s="455">
        <f t="shared" ca="1" si="105"/>
        <v>-80661.621489130877</v>
      </c>
      <c r="L1151" s="455">
        <f t="shared" ca="1" si="106"/>
        <v>-19439450.77888054</v>
      </c>
      <c r="M1151" s="471">
        <f t="shared" si="109"/>
        <v>0.05</v>
      </c>
      <c r="N1151" s="475">
        <f t="shared" si="110"/>
        <v>86077</v>
      </c>
    </row>
    <row r="1152" spans="7:14" ht="11.25" customHeight="1" x14ac:dyDescent="0.3">
      <c r="G1152" s="470">
        <f t="shared" si="120"/>
        <v>96</v>
      </c>
      <c r="H1152" s="470">
        <v>1145</v>
      </c>
      <c r="I1152" s="455">
        <f t="shared" ca="1" si="108"/>
        <v>-19439450.77888054</v>
      </c>
      <c r="J1152" s="455">
        <f t="array" ref="J1152">IFERROR(INDEX('Retirement Calculator'!J:J,MATCH('Isaac 401k'!N1152,'Retirement Calculator'!A:A,0),0),0)</f>
        <v>7863.2184191855868</v>
      </c>
      <c r="K1152" s="455">
        <f t="shared" ca="1" si="105"/>
        <v>-81030.474988748858</v>
      </c>
      <c r="L1152" s="455">
        <f t="shared" ca="1" si="106"/>
        <v>-19528344.472288474</v>
      </c>
      <c r="M1152" s="471">
        <f t="shared" si="109"/>
        <v>0.05</v>
      </c>
      <c r="N1152" s="475">
        <f t="shared" si="110"/>
        <v>86107</v>
      </c>
    </row>
    <row r="1153" spans="7:14" ht="11.25" customHeight="1" x14ac:dyDescent="0.3">
      <c r="G1153" s="470">
        <f t="shared" si="120"/>
        <v>96</v>
      </c>
      <c r="H1153" s="470">
        <v>1146</v>
      </c>
      <c r="I1153" s="455">
        <f t="shared" ca="1" si="108"/>
        <v>-19528344.472288474</v>
      </c>
      <c r="J1153" s="455">
        <f t="array" ref="J1153">IFERROR(INDEX('Retirement Calculator'!J:J,MATCH('Isaac 401k'!N1153,'Retirement Calculator'!A:A,0),0),0)</f>
        <v>7863.2184191855868</v>
      </c>
      <c r="K1153" s="455">
        <f t="shared" ca="1" si="105"/>
        <v>-81400.86537794859</v>
      </c>
      <c r="L1153" s="455">
        <f t="shared" ca="1" si="106"/>
        <v>-19617608.556085609</v>
      </c>
      <c r="M1153" s="471">
        <f t="shared" si="109"/>
        <v>0.05</v>
      </c>
      <c r="N1153" s="475">
        <f t="shared" si="110"/>
        <v>86138</v>
      </c>
    </row>
    <row r="1154" spans="7:14" ht="11.25" customHeight="1" x14ac:dyDescent="0.3">
      <c r="G1154" s="470">
        <f t="shared" si="120"/>
        <v>96</v>
      </c>
      <c r="H1154" s="470">
        <v>1147</v>
      </c>
      <c r="I1154" s="455">
        <f t="shared" ca="1" si="108"/>
        <v>-19617608.556085609</v>
      </c>
      <c r="J1154" s="455">
        <f t="array" ref="J1154">IFERROR(INDEX('Retirement Calculator'!J:J,MATCH('Isaac 401k'!N1154,'Retirement Calculator'!A:A,0),0),0)</f>
        <v>7863.2184191855868</v>
      </c>
      <c r="K1154" s="455">
        <f t="shared" ca="1" si="105"/>
        <v>-81772.79906043665</v>
      </c>
      <c r="L1154" s="455">
        <f t="shared" ca="1" si="106"/>
        <v>-19707244.573565233</v>
      </c>
      <c r="M1154" s="471">
        <f t="shared" si="109"/>
        <v>0.05</v>
      </c>
      <c r="N1154" s="475">
        <f t="shared" si="110"/>
        <v>86168</v>
      </c>
    </row>
    <row r="1155" spans="7:14" ht="11.25" customHeight="1" x14ac:dyDescent="0.3">
      <c r="G1155" s="470">
        <f t="shared" si="120"/>
        <v>96</v>
      </c>
      <c r="H1155" s="470">
        <v>1148</v>
      </c>
      <c r="I1155" s="455">
        <f t="shared" ca="1" si="108"/>
        <v>-19707244.573565233</v>
      </c>
      <c r="J1155" s="455">
        <f t="array" ref="J1155">IFERROR(INDEX('Retirement Calculator'!J:J,MATCH('Isaac 401k'!N1155,'Retirement Calculator'!A:A,0),0),0)</f>
        <v>7863.2184191855868</v>
      </c>
      <c r="K1155" s="455">
        <f t="shared" ca="1" si="105"/>
        <v>-82146.282466601755</v>
      </c>
      <c r="L1155" s="455">
        <f t="shared" ca="1" si="106"/>
        <v>-19797254.074451022</v>
      </c>
      <c r="M1155" s="471">
        <f t="shared" si="109"/>
        <v>0.05</v>
      </c>
      <c r="N1155" s="475">
        <f t="shared" si="110"/>
        <v>86199</v>
      </c>
    </row>
    <row r="1156" spans="7:14" ht="11.25" customHeight="1" x14ac:dyDescent="0.3">
      <c r="G1156" s="470">
        <f t="shared" si="120"/>
        <v>96</v>
      </c>
      <c r="H1156" s="470">
        <v>1149</v>
      </c>
      <c r="I1156" s="455">
        <f t="shared" ca="1" si="108"/>
        <v>-19797254.074451022</v>
      </c>
      <c r="J1156" s="455">
        <f t="array" ref="J1156">IFERROR(INDEX('Retirement Calculator'!J:J,MATCH('Isaac 401k'!N1156,'Retirement Calculator'!A:A,0),0),0)</f>
        <v>7863.2184191855868</v>
      </c>
      <c r="K1156" s="455">
        <f t="shared" ca="1" si="105"/>
        <v>-82521.322053625874</v>
      </c>
      <c r="L1156" s="455">
        <f t="shared" ca="1" si="106"/>
        <v>-19887638.614923835</v>
      </c>
      <c r="M1156" s="471">
        <f t="shared" si="109"/>
        <v>0.05</v>
      </c>
      <c r="N1156" s="475">
        <f t="shared" si="110"/>
        <v>86230</v>
      </c>
    </row>
    <row r="1157" spans="7:14" ht="11.25" customHeight="1" x14ac:dyDescent="0.3">
      <c r="G1157" s="470">
        <f t="shared" si="120"/>
        <v>96</v>
      </c>
      <c r="H1157" s="470">
        <v>1150</v>
      </c>
      <c r="I1157" s="455">
        <f t="shared" ca="1" si="108"/>
        <v>-19887638.614923835</v>
      </c>
      <c r="J1157" s="455">
        <f t="array" ref="J1157">IFERROR(INDEX('Retirement Calculator'!J:J,MATCH('Isaac 401k'!N1157,'Retirement Calculator'!A:A,0),0),0)</f>
        <v>7863.2184191855868</v>
      </c>
      <c r="K1157" s="455">
        <f t="shared" ca="1" si="105"/>
        <v>-82897.924305595923</v>
      </c>
      <c r="L1157" s="455">
        <f t="shared" ca="1" si="106"/>
        <v>-19978399.757648617</v>
      </c>
      <c r="M1157" s="471">
        <f t="shared" si="109"/>
        <v>0.05</v>
      </c>
      <c r="N1157" s="475">
        <f t="shared" si="110"/>
        <v>86259</v>
      </c>
    </row>
    <row r="1158" spans="7:14" ht="11.25" customHeight="1" x14ac:dyDescent="0.3">
      <c r="G1158" s="470">
        <f t="shared" si="120"/>
        <v>96</v>
      </c>
      <c r="H1158" s="470">
        <v>1151</v>
      </c>
      <c r="I1158" s="455">
        <f t="shared" ca="1" si="108"/>
        <v>-19978399.757648617</v>
      </c>
      <c r="J1158" s="455">
        <f t="array" ref="J1158">IFERROR(INDEX('Retirement Calculator'!J:J,MATCH('Isaac 401k'!N1158,'Retirement Calculator'!A:A,0),0),0)</f>
        <v>7863.2184191855868</v>
      </c>
      <c r="K1158" s="455">
        <f t="shared" ca="1" si="105"/>
        <v>-83276.095733615846</v>
      </c>
      <c r="L1158" s="455">
        <f t="shared" ca="1" si="106"/>
        <v>-20069539.07180142</v>
      </c>
      <c r="M1158" s="471">
        <f t="shared" si="109"/>
        <v>0.05</v>
      </c>
      <c r="N1158" s="475">
        <f t="shared" si="110"/>
        <v>86290</v>
      </c>
    </row>
    <row r="1159" spans="7:14" ht="11.25" customHeight="1" x14ac:dyDescent="0.3">
      <c r="G1159" s="470">
        <f t="shared" si="120"/>
        <v>96</v>
      </c>
      <c r="H1159" s="470">
        <v>1152</v>
      </c>
      <c r="I1159" s="455">
        <f t="shared" ca="1" si="108"/>
        <v>-20069539.07180142</v>
      </c>
      <c r="J1159" s="455">
        <f t="array" ref="J1159">IFERROR(INDEX('Retirement Calculator'!J:J,MATCH('Isaac 401k'!N1159,'Retirement Calculator'!A:A,0),0),0)</f>
        <v>7863.2184191855868</v>
      </c>
      <c r="K1159" s="455">
        <f t="shared" ca="1" si="105"/>
        <v>-83655.842875919188</v>
      </c>
      <c r="L1159" s="455">
        <f t="shared" ca="1" si="106"/>
        <v>-20161058.133096527</v>
      </c>
      <c r="M1159" s="471">
        <f t="shared" si="109"/>
        <v>0.05</v>
      </c>
      <c r="N1159" s="475">
        <f t="shared" si="110"/>
        <v>86320</v>
      </c>
    </row>
    <row r="1160" spans="7:14" ht="11.25" customHeight="1" x14ac:dyDescent="0.3">
      <c r="G1160" s="470">
        <f>G1159+1</f>
        <v>97</v>
      </c>
      <c r="H1160" s="470">
        <v>1153</v>
      </c>
      <c r="I1160" s="455">
        <f t="shared" ca="1" si="108"/>
        <v>-20161058.133096527</v>
      </c>
      <c r="J1160" s="455">
        <f t="array" ref="J1160">IFERROR(INDEX('Retirement Calculator'!J:J,MATCH('Isaac 401k'!N1160,'Retirement Calculator'!A:A,0),0),0)</f>
        <v>7863.2184191855868</v>
      </c>
      <c r="K1160" s="455">
        <f t="shared" ca="1" si="105"/>
        <v>-84037.172297982135</v>
      </c>
      <c r="L1160" s="455">
        <f t="shared" ca="1" si="106"/>
        <v>-20252958.523813695</v>
      </c>
      <c r="M1160" s="471">
        <f t="shared" si="109"/>
        <v>0.05</v>
      </c>
      <c r="N1160" s="475">
        <f t="shared" si="110"/>
        <v>86351</v>
      </c>
    </row>
    <row r="1161" spans="7:14" ht="11.25" customHeight="1" x14ac:dyDescent="0.3">
      <c r="G1161" s="470">
        <f t="shared" ref="G1161:G1171" si="121">G1160</f>
        <v>97</v>
      </c>
      <c r="H1161" s="470">
        <v>1154</v>
      </c>
      <c r="I1161" s="455">
        <f t="shared" ca="1" si="108"/>
        <v>-20252958.523813695</v>
      </c>
      <c r="J1161" s="455">
        <f t="array" ref="J1161">IFERROR(INDEX('Retirement Calculator'!J:J,MATCH('Isaac 401k'!N1161,'Retirement Calculator'!A:A,0),0),0)</f>
        <v>7863.2184191855868</v>
      </c>
      <c r="K1161" s="455">
        <f t="shared" ca="1" si="105"/>
        <v>-84420.090592637003</v>
      </c>
      <c r="L1161" s="455">
        <f t="shared" ca="1" si="106"/>
        <v>-20345241.832825519</v>
      </c>
      <c r="M1161" s="471">
        <f t="shared" si="109"/>
        <v>0.05</v>
      </c>
      <c r="N1161" s="475">
        <f t="shared" si="110"/>
        <v>86381</v>
      </c>
    </row>
    <row r="1162" spans="7:14" ht="11.25" customHeight="1" x14ac:dyDescent="0.3">
      <c r="G1162" s="470">
        <f t="shared" si="121"/>
        <v>97</v>
      </c>
      <c r="H1162" s="470">
        <v>1155</v>
      </c>
      <c r="I1162" s="455">
        <f t="shared" ca="1" si="108"/>
        <v>-20345241.832825519</v>
      </c>
      <c r="J1162" s="455">
        <f t="array" ref="J1162">IFERROR(INDEX('Retirement Calculator'!J:J,MATCH('Isaac 401k'!N1162,'Retirement Calculator'!A:A,0),0),0)</f>
        <v>7863.2184191855868</v>
      </c>
      <c r="K1162" s="455">
        <f t="shared" ca="1" si="105"/>
        <v>-84804.604380186269</v>
      </c>
      <c r="L1162" s="455">
        <f t="shared" ca="1" si="106"/>
        <v>-20437909.655624893</v>
      </c>
      <c r="M1162" s="471">
        <f t="shared" si="109"/>
        <v>0.05</v>
      </c>
      <c r="N1162" s="475">
        <f t="shared" si="110"/>
        <v>86412</v>
      </c>
    </row>
    <row r="1163" spans="7:14" ht="11.25" customHeight="1" x14ac:dyDescent="0.3">
      <c r="G1163" s="470">
        <f t="shared" si="121"/>
        <v>97</v>
      </c>
      <c r="H1163" s="470">
        <v>1156</v>
      </c>
      <c r="I1163" s="455">
        <f t="shared" ca="1" si="108"/>
        <v>-20437909.655624893</v>
      </c>
      <c r="J1163" s="455">
        <f t="array" ref="J1163">IFERROR(INDEX('Retirement Calculator'!J:J,MATCH('Isaac 401k'!N1163,'Retirement Calculator'!A:A,0),0),0)</f>
        <v>7863.2184191855868</v>
      </c>
      <c r="K1163" s="455">
        <f t="shared" ca="1" si="105"/>
        <v>-85190.720308516989</v>
      </c>
      <c r="L1163" s="455">
        <f t="shared" ca="1" si="106"/>
        <v>-20530963.594352596</v>
      </c>
      <c r="M1163" s="471">
        <f t="shared" si="109"/>
        <v>0.05</v>
      </c>
      <c r="N1163" s="475">
        <f t="shared" si="110"/>
        <v>86443</v>
      </c>
    </row>
    <row r="1164" spans="7:14" ht="11.25" customHeight="1" x14ac:dyDescent="0.3">
      <c r="G1164" s="470">
        <f t="shared" si="121"/>
        <v>97</v>
      </c>
      <c r="H1164" s="470">
        <v>1157</v>
      </c>
      <c r="I1164" s="455">
        <f t="shared" ca="1" si="108"/>
        <v>-20530963.594352596</v>
      </c>
      <c r="J1164" s="455">
        <f t="array" ref="J1164">IFERROR(INDEX('Retirement Calculator'!J:J,MATCH('Isaac 401k'!N1164,'Retirement Calculator'!A:A,0),0),0)</f>
        <v>7863.2184191855868</v>
      </c>
      <c r="K1164" s="455">
        <f t="shared" ca="1" si="105"/>
        <v>-85578.445053215764</v>
      </c>
      <c r="L1164" s="455">
        <f t="shared" ca="1" si="106"/>
        <v>-20624405.257824998</v>
      </c>
      <c r="M1164" s="471">
        <f t="shared" si="109"/>
        <v>0.05</v>
      </c>
      <c r="N1164" s="475">
        <f t="shared" si="110"/>
        <v>86473</v>
      </c>
    </row>
    <row r="1165" spans="7:14" ht="11.25" customHeight="1" x14ac:dyDescent="0.3">
      <c r="G1165" s="470">
        <f t="shared" si="121"/>
        <v>97</v>
      </c>
      <c r="H1165" s="470">
        <v>1158</v>
      </c>
      <c r="I1165" s="455">
        <f t="shared" ca="1" si="108"/>
        <v>-20624405.257824998</v>
      </c>
      <c r="J1165" s="455">
        <f t="array" ref="J1165">IFERROR(INDEX('Retirement Calculator'!J:J,MATCH('Isaac 401k'!N1165,'Retirement Calculator'!A:A,0),0),0)</f>
        <v>7863.2184191855868</v>
      </c>
      <c r="K1165" s="455">
        <f t="shared" ca="1" si="105"/>
        <v>-85967.785317684102</v>
      </c>
      <c r="L1165" s="455">
        <f t="shared" ca="1" si="106"/>
        <v>-20718236.261561871</v>
      </c>
      <c r="M1165" s="471">
        <f t="shared" si="109"/>
        <v>0.05</v>
      </c>
      <c r="N1165" s="475">
        <f t="shared" si="110"/>
        <v>86504</v>
      </c>
    </row>
    <row r="1166" spans="7:14" ht="11.25" customHeight="1" x14ac:dyDescent="0.3">
      <c r="G1166" s="470">
        <f t="shared" si="121"/>
        <v>97</v>
      </c>
      <c r="H1166" s="470">
        <v>1159</v>
      </c>
      <c r="I1166" s="455">
        <f t="shared" ca="1" si="108"/>
        <v>-20718236.261561871</v>
      </c>
      <c r="J1166" s="455">
        <f t="array" ref="J1166">IFERROR(INDEX('Retirement Calculator'!J:J,MATCH('Isaac 401k'!N1166,'Retirement Calculator'!A:A,0),0),0)</f>
        <v>7863.2184191855868</v>
      </c>
      <c r="K1166" s="455">
        <f t="shared" ca="1" si="105"/>
        <v>-86358.747833254398</v>
      </c>
      <c r="L1166" s="455">
        <f t="shared" ca="1" si="106"/>
        <v>-20812458.227814313</v>
      </c>
      <c r="M1166" s="471">
        <f t="shared" si="109"/>
        <v>0.05</v>
      </c>
      <c r="N1166" s="475">
        <f t="shared" si="110"/>
        <v>86534</v>
      </c>
    </row>
    <row r="1167" spans="7:14" ht="11.25" customHeight="1" x14ac:dyDescent="0.3">
      <c r="G1167" s="470">
        <f t="shared" si="121"/>
        <v>97</v>
      </c>
      <c r="H1167" s="470">
        <v>1160</v>
      </c>
      <c r="I1167" s="455">
        <f t="shared" ca="1" si="108"/>
        <v>-20812458.227814313</v>
      </c>
      <c r="J1167" s="455">
        <f t="array" ref="J1167">IFERROR(INDEX('Retirement Calculator'!J:J,MATCH('Isaac 401k'!N1167,'Retirement Calculator'!A:A,0),0),0)</f>
        <v>7863.2184191855868</v>
      </c>
      <c r="K1167" s="455">
        <f t="shared" ca="1" si="105"/>
        <v>-86751.33935930625</v>
      </c>
      <c r="L1167" s="455">
        <f t="shared" ca="1" si="106"/>
        <v>-20907072.785592806</v>
      </c>
      <c r="M1167" s="471">
        <f t="shared" si="109"/>
        <v>0.05</v>
      </c>
      <c r="N1167" s="475">
        <f t="shared" si="110"/>
        <v>86565</v>
      </c>
    </row>
    <row r="1168" spans="7:14" ht="11.25" customHeight="1" x14ac:dyDescent="0.3">
      <c r="G1168" s="470">
        <f t="shared" si="121"/>
        <v>97</v>
      </c>
      <c r="H1168" s="470">
        <v>1161</v>
      </c>
      <c r="I1168" s="455">
        <f t="shared" ca="1" si="108"/>
        <v>-20907072.785592806</v>
      </c>
      <c r="J1168" s="455">
        <f t="array" ref="J1168">IFERROR(INDEX('Retirement Calculator'!J:J,MATCH('Isaac 401k'!N1168,'Retirement Calculator'!A:A,0),0),0)</f>
        <v>7863.2184191855868</v>
      </c>
      <c r="K1168" s="455">
        <f t="shared" ca="1" si="105"/>
        <v>-87145.566683383295</v>
      </c>
      <c r="L1168" s="455">
        <f t="shared" ca="1" si="106"/>
        <v>-21002081.570695374</v>
      </c>
      <c r="M1168" s="471">
        <f t="shared" si="109"/>
        <v>0.05</v>
      </c>
      <c r="N1168" s="475">
        <f t="shared" si="110"/>
        <v>86596</v>
      </c>
    </row>
    <row r="1169" spans="7:14" ht="11.25" customHeight="1" x14ac:dyDescent="0.3">
      <c r="G1169" s="470">
        <f t="shared" si="121"/>
        <v>97</v>
      </c>
      <c r="H1169" s="470">
        <v>1162</v>
      </c>
      <c r="I1169" s="455">
        <f t="shared" ca="1" si="108"/>
        <v>-21002081.570695374</v>
      </c>
      <c r="J1169" s="455">
        <f t="array" ref="J1169">IFERROR(INDEX('Retirement Calculator'!J:J,MATCH('Isaac 401k'!N1169,'Retirement Calculator'!A:A,0),0),0)</f>
        <v>0</v>
      </c>
      <c r="K1169" s="455">
        <f t="shared" ca="1" si="105"/>
        <v>-87508.673211230722</v>
      </c>
      <c r="L1169" s="455">
        <f t="shared" ca="1" si="106"/>
        <v>-21089590.243906606</v>
      </c>
      <c r="M1169" s="471">
        <f t="shared" si="109"/>
        <v>0.05</v>
      </c>
      <c r="N1169" s="475">
        <f t="shared" si="110"/>
        <v>86624</v>
      </c>
    </row>
    <row r="1170" spans="7:14" ht="11.25" customHeight="1" x14ac:dyDescent="0.3">
      <c r="G1170" s="470">
        <f t="shared" si="121"/>
        <v>97</v>
      </c>
      <c r="H1170" s="470">
        <v>1163</v>
      </c>
      <c r="I1170" s="455">
        <f t="shared" ca="1" si="108"/>
        <v>-21089590.243906606</v>
      </c>
      <c r="J1170" s="455">
        <f t="array" ref="J1170">IFERROR(INDEX('Retirement Calculator'!J:J,MATCH('Isaac 401k'!N1170,'Retirement Calculator'!A:A,0),0),0)</f>
        <v>0</v>
      </c>
      <c r="K1170" s="455">
        <f t="shared" ca="1" si="105"/>
        <v>-87873.292682944186</v>
      </c>
      <c r="L1170" s="455">
        <f t="shared" ca="1" si="106"/>
        <v>-21177463.536589552</v>
      </c>
      <c r="M1170" s="471">
        <f t="shared" si="109"/>
        <v>0.05</v>
      </c>
      <c r="N1170" s="475">
        <f t="shared" si="110"/>
        <v>86655</v>
      </c>
    </row>
    <row r="1171" spans="7:14" ht="11.25" customHeight="1" x14ac:dyDescent="0.3">
      <c r="G1171" s="470">
        <f t="shared" si="121"/>
        <v>97</v>
      </c>
      <c r="H1171" s="470">
        <v>1164</v>
      </c>
      <c r="I1171" s="455">
        <f t="shared" ca="1" si="108"/>
        <v>-21177463.536589552</v>
      </c>
      <c r="J1171" s="455">
        <f t="array" ref="J1171">IFERROR(INDEX('Retirement Calculator'!J:J,MATCH('Isaac 401k'!N1171,'Retirement Calculator'!A:A,0),0),0)</f>
        <v>0</v>
      </c>
      <c r="K1171" s="455">
        <f t="shared" ca="1" si="105"/>
        <v>-88239.431402456466</v>
      </c>
      <c r="L1171" s="455">
        <f t="shared" ca="1" si="106"/>
        <v>-21265702.967992008</v>
      </c>
      <c r="M1171" s="471">
        <f t="shared" si="109"/>
        <v>0.05</v>
      </c>
      <c r="N1171" s="475">
        <f t="shared" si="110"/>
        <v>86685</v>
      </c>
    </row>
    <row r="1172" spans="7:14" ht="11.25" customHeight="1" x14ac:dyDescent="0.3">
      <c r="G1172" s="470">
        <f>G1171+1</f>
        <v>98</v>
      </c>
      <c r="H1172" s="470">
        <v>1165</v>
      </c>
      <c r="I1172" s="455">
        <f t="shared" ca="1" si="108"/>
        <v>-21265702.967992008</v>
      </c>
      <c r="J1172" s="455">
        <f t="array" ref="J1172">IFERROR(INDEX('Retirement Calculator'!J:J,MATCH('Isaac 401k'!N1172,'Retirement Calculator'!A:A,0),0),0)</f>
        <v>0</v>
      </c>
      <c r="K1172" s="455">
        <f t="shared" ca="1" si="105"/>
        <v>-88607.095699966696</v>
      </c>
      <c r="L1172" s="455">
        <f t="shared" ca="1" si="106"/>
        <v>-21354310.063691974</v>
      </c>
      <c r="M1172" s="471">
        <f t="shared" si="109"/>
        <v>0.05</v>
      </c>
      <c r="N1172" s="475">
        <f t="shared" si="110"/>
        <v>86716</v>
      </c>
    </row>
    <row r="1173" spans="7:14" ht="11.25" customHeight="1" x14ac:dyDescent="0.3">
      <c r="G1173" s="470">
        <f t="shared" ref="G1173:G1183" si="122">G1172</f>
        <v>98</v>
      </c>
      <c r="H1173" s="470">
        <v>1166</v>
      </c>
      <c r="I1173" s="455">
        <f t="shared" ca="1" si="108"/>
        <v>-21354310.063691974</v>
      </c>
      <c r="J1173" s="455">
        <f t="array" ref="J1173">IFERROR(INDEX('Retirement Calculator'!J:J,MATCH('Isaac 401k'!N1173,'Retirement Calculator'!A:A,0),0),0)</f>
        <v>0</v>
      </c>
      <c r="K1173" s="455">
        <f t="shared" ca="1" si="105"/>
        <v>-88976.291932049891</v>
      </c>
      <c r="L1173" s="455">
        <f t="shared" ca="1" si="106"/>
        <v>-21443286.355624024</v>
      </c>
      <c r="M1173" s="471">
        <f t="shared" si="109"/>
        <v>0.05</v>
      </c>
      <c r="N1173" s="475">
        <f t="shared" si="110"/>
        <v>86746</v>
      </c>
    </row>
    <row r="1174" spans="7:14" ht="11.25" customHeight="1" x14ac:dyDescent="0.3">
      <c r="G1174" s="470">
        <f t="shared" si="122"/>
        <v>98</v>
      </c>
      <c r="H1174" s="470">
        <v>1167</v>
      </c>
      <c r="I1174" s="455">
        <f t="shared" ca="1" si="108"/>
        <v>-21443286.355624024</v>
      </c>
      <c r="J1174" s="455">
        <f t="array" ref="J1174">IFERROR(INDEX('Retirement Calculator'!J:J,MATCH('Isaac 401k'!N1174,'Retirement Calculator'!A:A,0),0),0)</f>
        <v>0</v>
      </c>
      <c r="K1174" s="455">
        <f t="shared" ca="1" si="105"/>
        <v>-89347.026481766763</v>
      </c>
      <c r="L1174" s="455">
        <f t="shared" ca="1" si="106"/>
        <v>-21532633.38210579</v>
      </c>
      <c r="M1174" s="471">
        <f t="shared" si="109"/>
        <v>0.05</v>
      </c>
      <c r="N1174" s="475">
        <f t="shared" si="110"/>
        <v>86777</v>
      </c>
    </row>
    <row r="1175" spans="7:14" ht="11.25" customHeight="1" x14ac:dyDescent="0.3">
      <c r="G1175" s="470">
        <f t="shared" si="122"/>
        <v>98</v>
      </c>
      <c r="H1175" s="470">
        <v>1168</v>
      </c>
      <c r="I1175" s="455">
        <f t="shared" ca="1" si="108"/>
        <v>-21532633.38210579</v>
      </c>
      <c r="J1175" s="455">
        <f t="array" ref="J1175">IFERROR(INDEX('Retirement Calculator'!J:J,MATCH('Isaac 401k'!N1175,'Retirement Calculator'!A:A,0),0),0)</f>
        <v>0</v>
      </c>
      <c r="K1175" s="455">
        <f t="shared" ca="1" si="105"/>
        <v>-89719.30575877412</v>
      </c>
      <c r="L1175" s="455">
        <f t="shared" ca="1" si="106"/>
        <v>-21622352.687864564</v>
      </c>
      <c r="M1175" s="471">
        <f t="shared" si="109"/>
        <v>0.05</v>
      </c>
      <c r="N1175" s="475">
        <f t="shared" si="110"/>
        <v>86808</v>
      </c>
    </row>
    <row r="1176" spans="7:14" ht="11.25" customHeight="1" x14ac:dyDescent="0.3">
      <c r="G1176" s="470">
        <f t="shared" si="122"/>
        <v>98</v>
      </c>
      <c r="H1176" s="470">
        <v>1169</v>
      </c>
      <c r="I1176" s="455">
        <f t="shared" ca="1" si="108"/>
        <v>-21622352.687864564</v>
      </c>
      <c r="J1176" s="455">
        <f t="array" ref="J1176">IFERROR(INDEX('Retirement Calculator'!J:J,MATCH('Isaac 401k'!N1176,'Retirement Calculator'!A:A,0),0),0)</f>
        <v>0</v>
      </c>
      <c r="K1176" s="455">
        <f t="shared" ca="1" si="105"/>
        <v>-90093.136199435685</v>
      </c>
      <c r="L1176" s="455">
        <f t="shared" ca="1" si="106"/>
        <v>-21712445.824064001</v>
      </c>
      <c r="M1176" s="471">
        <f t="shared" si="109"/>
        <v>0.05</v>
      </c>
      <c r="N1176" s="475">
        <f t="shared" si="110"/>
        <v>86838</v>
      </c>
    </row>
    <row r="1177" spans="7:14" ht="11.25" customHeight="1" x14ac:dyDescent="0.3">
      <c r="G1177" s="470">
        <f t="shared" si="122"/>
        <v>98</v>
      </c>
      <c r="H1177" s="470">
        <v>1170</v>
      </c>
      <c r="I1177" s="455">
        <f t="shared" ca="1" si="108"/>
        <v>-21712445.824064001</v>
      </c>
      <c r="J1177" s="455">
        <f t="array" ref="J1177">IFERROR(INDEX('Retirement Calculator'!J:J,MATCH('Isaac 401k'!N1177,'Retirement Calculator'!A:A,0),0),0)</f>
        <v>0</v>
      </c>
      <c r="K1177" s="455">
        <f t="shared" ca="1" si="105"/>
        <v>-90468.524266933338</v>
      </c>
      <c r="L1177" s="455">
        <f t="shared" ca="1" si="106"/>
        <v>-21802914.348330934</v>
      </c>
      <c r="M1177" s="471">
        <f t="shared" si="109"/>
        <v>0.05</v>
      </c>
      <c r="N1177" s="475">
        <f t="shared" si="110"/>
        <v>86869</v>
      </c>
    </row>
    <row r="1178" spans="7:14" ht="11.25" customHeight="1" x14ac:dyDescent="0.3">
      <c r="G1178" s="470">
        <f t="shared" si="122"/>
        <v>98</v>
      </c>
      <c r="H1178" s="470">
        <v>1171</v>
      </c>
      <c r="I1178" s="455">
        <f t="shared" ca="1" si="108"/>
        <v>-21802914.348330934</v>
      </c>
      <c r="J1178" s="455">
        <f t="array" ref="J1178">IFERROR(INDEX('Retirement Calculator'!J:J,MATCH('Isaac 401k'!N1178,'Retirement Calculator'!A:A,0),0),0)</f>
        <v>0</v>
      </c>
      <c r="K1178" s="455">
        <f t="shared" ca="1" si="105"/>
        <v>-90845.476451378883</v>
      </c>
      <c r="L1178" s="455">
        <f t="shared" ca="1" si="106"/>
        <v>-21893759.824782312</v>
      </c>
      <c r="M1178" s="471">
        <f t="shared" si="109"/>
        <v>0.05</v>
      </c>
      <c r="N1178" s="475">
        <f t="shared" si="110"/>
        <v>86899</v>
      </c>
    </row>
    <row r="1179" spans="7:14" ht="11.25" customHeight="1" x14ac:dyDescent="0.3">
      <c r="G1179" s="470">
        <f t="shared" si="122"/>
        <v>98</v>
      </c>
      <c r="H1179" s="470">
        <v>1172</v>
      </c>
      <c r="I1179" s="455">
        <f t="shared" ca="1" si="108"/>
        <v>-21893759.824782312</v>
      </c>
      <c r="J1179" s="455">
        <f t="array" ref="J1179">IFERROR(INDEX('Retirement Calculator'!J:J,MATCH('Isaac 401k'!N1179,'Retirement Calculator'!A:A,0),0),0)</f>
        <v>0</v>
      </c>
      <c r="K1179" s="455">
        <f t="shared" ca="1" si="105"/>
        <v>-91223.999269926295</v>
      </c>
      <c r="L1179" s="455">
        <f t="shared" ca="1" si="106"/>
        <v>-21984983.824052237</v>
      </c>
      <c r="M1179" s="471">
        <f t="shared" si="109"/>
        <v>0.05</v>
      </c>
      <c r="N1179" s="475">
        <f t="shared" si="110"/>
        <v>86930</v>
      </c>
    </row>
    <row r="1180" spans="7:14" ht="11.25" customHeight="1" x14ac:dyDescent="0.3">
      <c r="G1180" s="470">
        <f t="shared" si="122"/>
        <v>98</v>
      </c>
      <c r="H1180" s="470">
        <v>1173</v>
      </c>
      <c r="I1180" s="455">
        <f t="shared" ca="1" si="108"/>
        <v>-21984983.824052237</v>
      </c>
      <c r="J1180" s="455">
        <f t="array" ref="J1180">IFERROR(INDEX('Retirement Calculator'!J:J,MATCH('Isaac 401k'!N1180,'Retirement Calculator'!A:A,0),0),0)</f>
        <v>0</v>
      </c>
      <c r="K1180" s="455">
        <f t="shared" ca="1" si="105"/>
        <v>-91604.099266884325</v>
      </c>
      <c r="L1180" s="455">
        <f t="shared" ca="1" si="106"/>
        <v>-22076587.92331912</v>
      </c>
      <c r="M1180" s="471">
        <f t="shared" si="109"/>
        <v>0.05</v>
      </c>
      <c r="N1180" s="475">
        <f t="shared" si="110"/>
        <v>86961</v>
      </c>
    </row>
    <row r="1181" spans="7:14" ht="11.25" customHeight="1" x14ac:dyDescent="0.3">
      <c r="G1181" s="470">
        <f t="shared" si="122"/>
        <v>98</v>
      </c>
      <c r="H1181" s="470">
        <v>1174</v>
      </c>
      <c r="I1181" s="455">
        <f t="shared" ca="1" si="108"/>
        <v>-22076587.92331912</v>
      </c>
      <c r="J1181" s="455">
        <f t="array" ref="J1181">IFERROR(INDEX('Retirement Calculator'!J:J,MATCH('Isaac 401k'!N1181,'Retirement Calculator'!A:A,0),0),0)</f>
        <v>0</v>
      </c>
      <c r="K1181" s="455">
        <f t="shared" ca="1" si="105"/>
        <v>-91985.78301382967</v>
      </c>
      <c r="L1181" s="455">
        <f t="shared" ca="1" si="106"/>
        <v>-22168573.706332948</v>
      </c>
      <c r="M1181" s="471">
        <f t="shared" si="109"/>
        <v>0.05</v>
      </c>
      <c r="N1181" s="475">
        <f t="shared" si="110"/>
        <v>86989</v>
      </c>
    </row>
    <row r="1182" spans="7:14" ht="11.25" customHeight="1" x14ac:dyDescent="0.3">
      <c r="G1182" s="470">
        <f t="shared" si="122"/>
        <v>98</v>
      </c>
      <c r="H1182" s="470">
        <v>1175</v>
      </c>
      <c r="I1182" s="455">
        <f t="shared" ca="1" si="108"/>
        <v>-22168573.706332948</v>
      </c>
      <c r="J1182" s="455">
        <f t="array" ref="J1182">IFERROR(INDEX('Retirement Calculator'!J:J,MATCH('Isaac 401k'!N1182,'Retirement Calculator'!A:A,0),0),0)</f>
        <v>0</v>
      </c>
      <c r="K1182" s="455">
        <f t="shared" ca="1" si="105"/>
        <v>-92369.057109720612</v>
      </c>
      <c r="L1182" s="455">
        <f t="shared" ca="1" si="106"/>
        <v>-22260942.763442669</v>
      </c>
      <c r="M1182" s="471">
        <f t="shared" si="109"/>
        <v>0.05</v>
      </c>
      <c r="N1182" s="475">
        <f t="shared" si="110"/>
        <v>87020</v>
      </c>
    </row>
    <row r="1183" spans="7:14" ht="11.25" customHeight="1" x14ac:dyDescent="0.3">
      <c r="G1183" s="470">
        <f t="shared" si="122"/>
        <v>98</v>
      </c>
      <c r="H1183" s="470">
        <v>1176</v>
      </c>
      <c r="I1183" s="455">
        <f t="shared" ca="1" si="108"/>
        <v>-22260942.763442669</v>
      </c>
      <c r="J1183" s="455">
        <f t="array" ref="J1183">IFERROR(INDEX('Retirement Calculator'!J:J,MATCH('Isaac 401k'!N1183,'Retirement Calculator'!A:A,0),0),0)</f>
        <v>0</v>
      </c>
      <c r="K1183" s="455">
        <f t="shared" ca="1" si="105"/>
        <v>-92753.928181011113</v>
      </c>
      <c r="L1183" s="455">
        <f t="shared" ca="1" si="106"/>
        <v>-22353696.69162368</v>
      </c>
      <c r="M1183" s="471">
        <f t="shared" si="109"/>
        <v>0.05</v>
      </c>
      <c r="N1183" s="475">
        <f t="shared" si="110"/>
        <v>87050</v>
      </c>
    </row>
    <row r="1184" spans="7:14" ht="11.25" customHeight="1" x14ac:dyDescent="0.3">
      <c r="G1184" s="470">
        <f>G1183+1</f>
        <v>99</v>
      </c>
      <c r="H1184" s="470">
        <v>1177</v>
      </c>
      <c r="I1184" s="455">
        <f t="shared" ca="1" si="108"/>
        <v>-22353696.69162368</v>
      </c>
      <c r="J1184" s="455">
        <f t="array" ref="J1184">IFERROR(INDEX('Retirement Calculator'!J:J,MATCH('Isaac 401k'!N1184,'Retirement Calculator'!A:A,0),0),0)</f>
        <v>0</v>
      </c>
      <c r="K1184" s="455">
        <f t="shared" ca="1" si="105"/>
        <v>-93140.402881765331</v>
      </c>
      <c r="L1184" s="455">
        <f t="shared" ca="1" si="106"/>
        <v>-22446837.094505444</v>
      </c>
      <c r="M1184" s="471">
        <f t="shared" si="109"/>
        <v>0.05</v>
      </c>
      <c r="N1184" s="475">
        <f t="shared" si="110"/>
        <v>87081</v>
      </c>
    </row>
    <row r="1185" spans="7:14" ht="11.25" customHeight="1" x14ac:dyDescent="0.3">
      <c r="G1185" s="470">
        <f t="shared" ref="G1185:G1195" si="123">G1184</f>
        <v>99</v>
      </c>
      <c r="H1185" s="470">
        <v>1178</v>
      </c>
      <c r="I1185" s="455">
        <f t="shared" ca="1" si="108"/>
        <v>-22446837.094505444</v>
      </c>
      <c r="J1185" s="455">
        <f t="array" ref="J1185">IFERROR(INDEX('Retirement Calculator'!J:J,MATCH('Isaac 401k'!N1185,'Retirement Calculator'!A:A,0),0),0)</f>
        <v>0</v>
      </c>
      <c r="K1185" s="455">
        <f t="shared" ca="1" si="105"/>
        <v>-93528.48789377269</v>
      </c>
      <c r="L1185" s="455">
        <f t="shared" ca="1" si="106"/>
        <v>-22540365.582399216</v>
      </c>
      <c r="M1185" s="471">
        <f t="shared" si="109"/>
        <v>0.05</v>
      </c>
      <c r="N1185" s="475">
        <f t="shared" si="110"/>
        <v>87111</v>
      </c>
    </row>
    <row r="1186" spans="7:14" ht="11.25" customHeight="1" x14ac:dyDescent="0.3">
      <c r="G1186" s="470">
        <f t="shared" si="123"/>
        <v>99</v>
      </c>
      <c r="H1186" s="470">
        <v>1179</v>
      </c>
      <c r="I1186" s="455">
        <f t="shared" ca="1" si="108"/>
        <v>-22540365.582399216</v>
      </c>
      <c r="J1186" s="455">
        <f t="array" ref="J1186">IFERROR(INDEX('Retirement Calculator'!J:J,MATCH('Isaac 401k'!N1186,'Retirement Calculator'!A:A,0),0),0)</f>
        <v>0</v>
      </c>
      <c r="K1186" s="455">
        <f t="shared" ca="1" si="105"/>
        <v>-93918.189926663399</v>
      </c>
      <c r="L1186" s="455">
        <f t="shared" ca="1" si="106"/>
        <v>-22634283.772325877</v>
      </c>
      <c r="M1186" s="471">
        <f t="shared" si="109"/>
        <v>0.05</v>
      </c>
      <c r="N1186" s="475">
        <f t="shared" si="110"/>
        <v>87142</v>
      </c>
    </row>
    <row r="1187" spans="7:14" ht="11.25" customHeight="1" x14ac:dyDescent="0.3">
      <c r="G1187" s="470">
        <f t="shared" si="123"/>
        <v>99</v>
      </c>
      <c r="H1187" s="470">
        <v>1180</v>
      </c>
      <c r="I1187" s="455">
        <f t="shared" ca="1" si="108"/>
        <v>-22634283.772325877</v>
      </c>
      <c r="J1187" s="455">
        <f t="array" ref="J1187">IFERROR(INDEX('Retirement Calculator'!J:J,MATCH('Isaac 401k'!N1187,'Retirement Calculator'!A:A,0),0),0)</f>
        <v>0</v>
      </c>
      <c r="K1187" s="455">
        <f t="shared" ca="1" si="105"/>
        <v>-94309.515718024486</v>
      </c>
      <c r="L1187" s="455">
        <f t="shared" ca="1" si="106"/>
        <v>-22728593.288043901</v>
      </c>
      <c r="M1187" s="471">
        <f t="shared" si="109"/>
        <v>0.05</v>
      </c>
      <c r="N1187" s="475">
        <f t="shared" si="110"/>
        <v>87173</v>
      </c>
    </row>
    <row r="1188" spans="7:14" ht="11.25" customHeight="1" x14ac:dyDescent="0.3">
      <c r="G1188" s="470">
        <f t="shared" si="123"/>
        <v>99</v>
      </c>
      <c r="H1188" s="470">
        <v>1181</v>
      </c>
      <c r="I1188" s="455">
        <f t="shared" ca="1" si="108"/>
        <v>-22728593.288043901</v>
      </c>
      <c r="J1188" s="455">
        <f t="array" ref="J1188">IFERROR(INDEX('Retirement Calculator'!J:J,MATCH('Isaac 401k'!N1188,'Retirement Calculator'!A:A,0),0),0)</f>
        <v>0</v>
      </c>
      <c r="K1188" s="455">
        <f t="shared" ca="1" si="105"/>
        <v>-94702.472033516256</v>
      </c>
      <c r="L1188" s="455">
        <f t="shared" ca="1" si="106"/>
        <v>-22823295.760077417</v>
      </c>
      <c r="M1188" s="471">
        <f t="shared" si="109"/>
        <v>0.05</v>
      </c>
      <c r="N1188" s="475">
        <f t="shared" si="110"/>
        <v>87203</v>
      </c>
    </row>
    <row r="1189" spans="7:14" ht="11.25" customHeight="1" x14ac:dyDescent="0.3">
      <c r="G1189" s="470">
        <f t="shared" si="123"/>
        <v>99</v>
      </c>
      <c r="H1189" s="470">
        <v>1182</v>
      </c>
      <c r="I1189" s="455">
        <f t="shared" ca="1" si="108"/>
        <v>-22823295.760077417</v>
      </c>
      <c r="J1189" s="455">
        <f t="array" ref="J1189">IFERROR(INDEX('Retirement Calculator'!J:J,MATCH('Isaac 401k'!N1189,'Retirement Calculator'!A:A,0),0),0)</f>
        <v>0</v>
      </c>
      <c r="K1189" s="455">
        <f t="shared" ca="1" si="105"/>
        <v>-95097.065666989234</v>
      </c>
      <c r="L1189" s="455">
        <f t="shared" ca="1" si="106"/>
        <v>-22918392.825744405</v>
      </c>
      <c r="M1189" s="471">
        <f t="shared" si="109"/>
        <v>0.05</v>
      </c>
      <c r="N1189" s="475">
        <f t="shared" si="110"/>
        <v>87234</v>
      </c>
    </row>
    <row r="1190" spans="7:14" ht="11.25" customHeight="1" x14ac:dyDescent="0.3">
      <c r="G1190" s="470">
        <f t="shared" si="123"/>
        <v>99</v>
      </c>
      <c r="H1190" s="470">
        <v>1183</v>
      </c>
      <c r="I1190" s="455">
        <f t="shared" ca="1" si="108"/>
        <v>-22918392.825744405</v>
      </c>
      <c r="J1190" s="455">
        <f t="array" ref="J1190">IFERROR(INDEX('Retirement Calculator'!J:J,MATCH('Isaac 401k'!N1190,'Retirement Calculator'!A:A,0),0),0)</f>
        <v>0</v>
      </c>
      <c r="K1190" s="455">
        <f t="shared" ca="1" si="105"/>
        <v>-95493.303440601681</v>
      </c>
      <c r="L1190" s="455">
        <f t="shared" ca="1" si="106"/>
        <v>-23013886.129185006</v>
      </c>
      <c r="M1190" s="471">
        <f t="shared" si="109"/>
        <v>0.05</v>
      </c>
      <c r="N1190" s="475">
        <f t="shared" si="110"/>
        <v>87264</v>
      </c>
    </row>
    <row r="1191" spans="7:14" ht="11.25" customHeight="1" x14ac:dyDescent="0.3">
      <c r="G1191" s="470">
        <f t="shared" si="123"/>
        <v>99</v>
      </c>
      <c r="H1191" s="470">
        <v>1184</v>
      </c>
      <c r="I1191" s="455">
        <f t="shared" ca="1" si="108"/>
        <v>-23013886.129185006</v>
      </c>
      <c r="J1191" s="455">
        <f t="array" ref="J1191">IFERROR(INDEX('Retirement Calculator'!J:J,MATCH('Isaac 401k'!N1191,'Retirement Calculator'!A:A,0),0),0)</f>
        <v>0</v>
      </c>
      <c r="K1191" s="455">
        <f t="shared" ca="1" si="105"/>
        <v>-95891.192204937528</v>
      </c>
      <c r="L1191" s="455">
        <f t="shared" ca="1" si="106"/>
        <v>-23109777.321389943</v>
      </c>
      <c r="M1191" s="471">
        <f t="shared" si="109"/>
        <v>0.05</v>
      </c>
      <c r="N1191" s="475">
        <f t="shared" si="110"/>
        <v>87295</v>
      </c>
    </row>
    <row r="1192" spans="7:14" ht="11.25" customHeight="1" x14ac:dyDescent="0.3">
      <c r="G1192" s="470">
        <f t="shared" si="123"/>
        <v>99</v>
      </c>
      <c r="H1192" s="470">
        <v>1185</v>
      </c>
      <c r="I1192" s="455">
        <f t="shared" ca="1" si="108"/>
        <v>-23109777.321389943</v>
      </c>
      <c r="J1192" s="455">
        <f t="array" ref="J1192">IFERROR(INDEX('Retirement Calculator'!J:J,MATCH('Isaac 401k'!N1192,'Retirement Calculator'!A:A,0),0),0)</f>
        <v>0</v>
      </c>
      <c r="K1192" s="455">
        <f t="shared" ca="1" si="105"/>
        <v>-96290.738839124766</v>
      </c>
      <c r="L1192" s="455">
        <f t="shared" ca="1" si="106"/>
        <v>-23206068.060229067</v>
      </c>
      <c r="M1192" s="471">
        <f t="shared" si="109"/>
        <v>0.05</v>
      </c>
      <c r="N1192" s="475">
        <f t="shared" si="110"/>
        <v>87326</v>
      </c>
    </row>
    <row r="1193" spans="7:14" ht="11.25" customHeight="1" x14ac:dyDescent="0.3">
      <c r="G1193" s="470">
        <f t="shared" si="123"/>
        <v>99</v>
      </c>
      <c r="H1193" s="470">
        <v>1186</v>
      </c>
      <c r="I1193" s="455">
        <f t="shared" ca="1" si="108"/>
        <v>-23206068.060229067</v>
      </c>
      <c r="J1193" s="455">
        <f t="array" ref="J1193">IFERROR(INDEX('Retirement Calculator'!J:J,MATCH('Isaac 401k'!N1193,'Retirement Calculator'!A:A,0),0),0)</f>
        <v>0</v>
      </c>
      <c r="K1193" s="455">
        <f t="shared" ca="1" si="105"/>
        <v>-96691.95025095444</v>
      </c>
      <c r="L1193" s="455">
        <f t="shared" ca="1" si="106"/>
        <v>-23302760.01048002</v>
      </c>
      <c r="M1193" s="471">
        <f t="shared" si="109"/>
        <v>0.05</v>
      </c>
      <c r="N1193" s="475">
        <f t="shared" si="110"/>
        <v>87354</v>
      </c>
    </row>
    <row r="1194" spans="7:14" ht="11.25" customHeight="1" x14ac:dyDescent="0.3">
      <c r="G1194" s="470">
        <f t="shared" si="123"/>
        <v>99</v>
      </c>
      <c r="H1194" s="470">
        <v>1187</v>
      </c>
      <c r="I1194" s="455">
        <f t="shared" ca="1" si="108"/>
        <v>-23302760.01048002</v>
      </c>
      <c r="J1194" s="455">
        <f t="array" ref="J1194">IFERROR(INDEX('Retirement Calculator'!J:J,MATCH('Isaac 401k'!N1194,'Retirement Calculator'!A:A,0),0),0)</f>
        <v>0</v>
      </c>
      <c r="K1194" s="455">
        <f t="shared" ca="1" si="105"/>
        <v>-97094.83337700009</v>
      </c>
      <c r="L1194" s="455">
        <f t="shared" ca="1" si="106"/>
        <v>-23399854.84385702</v>
      </c>
      <c r="M1194" s="471">
        <f t="shared" si="109"/>
        <v>0.05</v>
      </c>
      <c r="N1194" s="475">
        <f t="shared" si="110"/>
        <v>87385</v>
      </c>
    </row>
    <row r="1195" spans="7:14" ht="11.25" customHeight="1" x14ac:dyDescent="0.3">
      <c r="G1195" s="470">
        <f t="shared" si="123"/>
        <v>99</v>
      </c>
      <c r="H1195" s="470">
        <v>1188</v>
      </c>
      <c r="I1195" s="455">
        <f t="shared" ca="1" si="108"/>
        <v>-23399854.84385702</v>
      </c>
      <c r="J1195" s="455">
        <f t="array" ref="J1195">IFERROR(INDEX('Retirement Calculator'!J:J,MATCH('Isaac 401k'!N1195,'Retirement Calculator'!A:A,0),0),0)</f>
        <v>0</v>
      </c>
      <c r="K1195" s="455">
        <f t="shared" ca="1" si="105"/>
        <v>-97499.395182737586</v>
      </c>
      <c r="L1195" s="455">
        <f t="shared" ca="1" si="106"/>
        <v>-23497354.239039756</v>
      </c>
      <c r="M1195" s="471">
        <f t="shared" si="109"/>
        <v>0.05</v>
      </c>
      <c r="N1195" s="475">
        <f t="shared" si="110"/>
        <v>87415</v>
      </c>
    </row>
    <row r="1196" spans="7:14" ht="11.25" customHeight="1" x14ac:dyDescent="0.3">
      <c r="G1196" s="470">
        <f>G1195+1</f>
        <v>100</v>
      </c>
      <c r="H1196" s="470">
        <v>1189</v>
      </c>
      <c r="I1196" s="455">
        <f t="shared" ca="1" si="108"/>
        <v>-23497354.239039756</v>
      </c>
      <c r="J1196" s="455">
        <f t="array" ref="J1196">IFERROR(INDEX('Retirement Calculator'!J:J,MATCH('Isaac 401k'!N1196,'Retirement Calculator'!A:A,0),0),0)</f>
        <v>0</v>
      </c>
      <c r="K1196" s="455">
        <f t="shared" ca="1" si="105"/>
        <v>-97905.642662665647</v>
      </c>
      <c r="L1196" s="455">
        <f t="shared" ca="1" si="106"/>
        <v>-23595259.881702423</v>
      </c>
      <c r="M1196" s="471">
        <f t="shared" si="109"/>
        <v>0.05</v>
      </c>
      <c r="N1196" s="475">
        <f t="shared" si="110"/>
        <v>87446</v>
      </c>
    </row>
    <row r="1197" spans="7:14" ht="11.25" customHeight="1" x14ac:dyDescent="0.3">
      <c r="G1197" s="470">
        <f t="shared" ref="G1197:G1207" si="124">G1196</f>
        <v>100</v>
      </c>
      <c r="H1197" s="470">
        <v>1190</v>
      </c>
      <c r="I1197" s="455">
        <f t="shared" ca="1" si="108"/>
        <v>-23595259.881702423</v>
      </c>
      <c r="J1197" s="455">
        <f t="array" ref="J1197">IFERROR(INDEX('Retirement Calculator'!J:J,MATCH('Isaac 401k'!N1197,'Retirement Calculator'!A:A,0),0),0)</f>
        <v>0</v>
      </c>
      <c r="K1197" s="455">
        <f t="shared" ca="1" si="105"/>
        <v>-98313.582840426767</v>
      </c>
      <c r="L1197" s="455">
        <f t="shared" ca="1" si="106"/>
        <v>-23693573.464542851</v>
      </c>
      <c r="M1197" s="471">
        <f t="shared" si="109"/>
        <v>0.05</v>
      </c>
      <c r="N1197" s="475">
        <f t="shared" si="110"/>
        <v>87476</v>
      </c>
    </row>
    <row r="1198" spans="7:14" ht="11.25" customHeight="1" x14ac:dyDescent="0.3">
      <c r="G1198" s="470">
        <f t="shared" si="124"/>
        <v>100</v>
      </c>
      <c r="H1198" s="470">
        <v>1191</v>
      </c>
      <c r="I1198" s="455">
        <f t="shared" ca="1" si="108"/>
        <v>-23693573.464542851</v>
      </c>
      <c r="J1198" s="455">
        <f t="array" ref="J1198">IFERROR(INDEX('Retirement Calculator'!J:J,MATCH('Isaac 401k'!N1198,'Retirement Calculator'!A:A,0),0),0)</f>
        <v>0</v>
      </c>
      <c r="K1198" s="455">
        <f t="shared" ca="1" si="105"/>
        <v>-98723.22276892855</v>
      </c>
      <c r="L1198" s="455">
        <f t="shared" ca="1" si="106"/>
        <v>-23792296.68731178</v>
      </c>
      <c r="M1198" s="471">
        <f t="shared" si="109"/>
        <v>0.05</v>
      </c>
      <c r="N1198" s="475">
        <f t="shared" si="110"/>
        <v>87507</v>
      </c>
    </row>
    <row r="1199" spans="7:14" ht="11.25" customHeight="1" x14ac:dyDescent="0.3">
      <c r="G1199" s="470">
        <f t="shared" si="124"/>
        <v>100</v>
      </c>
      <c r="H1199" s="470">
        <v>1192</v>
      </c>
      <c r="I1199" s="455">
        <f t="shared" ca="1" si="108"/>
        <v>-23792296.68731178</v>
      </c>
      <c r="J1199" s="455">
        <f t="array" ref="J1199">IFERROR(INDEX('Retirement Calculator'!J:J,MATCH('Isaac 401k'!N1199,'Retirement Calculator'!A:A,0),0),0)</f>
        <v>0</v>
      </c>
      <c r="K1199" s="455">
        <f t="shared" ca="1" si="105"/>
        <v>-99134.569530465742</v>
      </c>
      <c r="L1199" s="455">
        <f t="shared" ca="1" si="106"/>
        <v>-23891431.256842244</v>
      </c>
      <c r="M1199" s="471">
        <f t="shared" si="109"/>
        <v>0.05</v>
      </c>
      <c r="N1199" s="475">
        <f t="shared" si="110"/>
        <v>87538</v>
      </c>
    </row>
    <row r="1200" spans="7:14" ht="11.25" customHeight="1" x14ac:dyDescent="0.3">
      <c r="G1200" s="470">
        <f t="shared" si="124"/>
        <v>100</v>
      </c>
      <c r="H1200" s="470">
        <v>1193</v>
      </c>
      <c r="I1200" s="455">
        <f t="shared" ca="1" si="108"/>
        <v>-23891431.256842244</v>
      </c>
      <c r="J1200" s="455">
        <f t="array" ref="J1200">IFERROR(INDEX('Retirement Calculator'!J:J,MATCH('Isaac 401k'!N1200,'Retirement Calculator'!A:A,0),0),0)</f>
        <v>0</v>
      </c>
      <c r="K1200" s="455">
        <f t="shared" ca="1" si="105"/>
        <v>-99547.630236842684</v>
      </c>
      <c r="L1200" s="455">
        <f t="shared" ca="1" si="106"/>
        <v>-23990978.887079086</v>
      </c>
      <c r="M1200" s="471">
        <f t="shared" si="109"/>
        <v>0.05</v>
      </c>
      <c r="N1200" s="475">
        <f t="shared" si="110"/>
        <v>87568</v>
      </c>
    </row>
    <row r="1201" spans="7:14" ht="11.25" customHeight="1" x14ac:dyDescent="0.3">
      <c r="G1201" s="470">
        <f t="shared" si="124"/>
        <v>100</v>
      </c>
      <c r="H1201" s="470">
        <v>1194</v>
      </c>
      <c r="I1201" s="455">
        <f t="shared" ca="1" si="108"/>
        <v>-23990978.887079086</v>
      </c>
      <c r="J1201" s="455">
        <f t="array" ref="J1201">IFERROR(INDEX('Retirement Calculator'!J:J,MATCH('Isaac 401k'!N1201,'Retirement Calculator'!A:A,0),0),0)</f>
        <v>0</v>
      </c>
      <c r="K1201" s="455">
        <f t="shared" ca="1" si="105"/>
        <v>-99962.41202949619</v>
      </c>
      <c r="L1201" s="455">
        <f t="shared" ca="1" si="106"/>
        <v>-24090941.299108583</v>
      </c>
      <c r="M1201" s="471">
        <f t="shared" si="109"/>
        <v>0.05</v>
      </c>
      <c r="N1201" s="475">
        <f t="shared" si="110"/>
        <v>87599</v>
      </c>
    </row>
    <row r="1202" spans="7:14" ht="11.25" customHeight="1" x14ac:dyDescent="0.3">
      <c r="G1202" s="470">
        <f t="shared" si="124"/>
        <v>100</v>
      </c>
      <c r="H1202" s="470">
        <v>1195</v>
      </c>
      <c r="I1202" s="455">
        <f t="shared" ca="1" si="108"/>
        <v>-24090941.299108583</v>
      </c>
      <c r="J1202" s="455">
        <f t="array" ref="J1202">IFERROR(INDEX('Retirement Calculator'!J:J,MATCH('Isaac 401k'!N1202,'Retirement Calculator'!A:A,0),0),0)</f>
        <v>0</v>
      </c>
      <c r="K1202" s="455">
        <f t="shared" ca="1" si="105"/>
        <v>-100378.92207961909</v>
      </c>
      <c r="L1202" s="455">
        <f t="shared" ca="1" si="106"/>
        <v>-24191320.221188203</v>
      </c>
      <c r="M1202" s="471">
        <f t="shared" si="109"/>
        <v>0.05</v>
      </c>
      <c r="N1202" s="475">
        <f t="shared" si="110"/>
        <v>87629</v>
      </c>
    </row>
    <row r="1203" spans="7:14" ht="11.25" customHeight="1" x14ac:dyDescent="0.3">
      <c r="G1203" s="470">
        <f t="shared" si="124"/>
        <v>100</v>
      </c>
      <c r="H1203" s="470">
        <v>1196</v>
      </c>
      <c r="I1203" s="455">
        <f t="shared" ca="1" si="108"/>
        <v>-24191320.221188203</v>
      </c>
      <c r="J1203" s="455">
        <f t="array" ref="J1203">IFERROR(INDEX('Retirement Calculator'!J:J,MATCH('Isaac 401k'!N1203,'Retirement Calculator'!A:A,0),0),0)</f>
        <v>0</v>
      </c>
      <c r="K1203" s="455">
        <f t="shared" ca="1" si="105"/>
        <v>-100797.16758828418</v>
      </c>
      <c r="L1203" s="455">
        <f t="shared" ca="1" si="106"/>
        <v>-24292117.388776485</v>
      </c>
      <c r="M1203" s="471">
        <f t="shared" si="109"/>
        <v>0.05</v>
      </c>
      <c r="N1203" s="475">
        <f t="shared" si="110"/>
        <v>87660</v>
      </c>
    </row>
    <row r="1204" spans="7:14" ht="11.25" customHeight="1" x14ac:dyDescent="0.3">
      <c r="G1204" s="470">
        <f t="shared" si="124"/>
        <v>100</v>
      </c>
      <c r="H1204" s="470">
        <v>1197</v>
      </c>
      <c r="I1204" s="455">
        <f t="shared" ca="1" si="108"/>
        <v>-24292117.388776485</v>
      </c>
      <c r="J1204" s="455">
        <f t="array" ref="J1204">IFERROR(INDEX('Retirement Calculator'!J:J,MATCH('Isaac 401k'!N1204,'Retirement Calculator'!A:A,0),0),0)</f>
        <v>0</v>
      </c>
      <c r="K1204" s="455">
        <f t="shared" ca="1" si="105"/>
        <v>-101217.15578656869</v>
      </c>
      <c r="L1204" s="455">
        <f t="shared" ca="1" si="106"/>
        <v>-24393334.544563055</v>
      </c>
      <c r="M1204" s="471">
        <f t="shared" si="109"/>
        <v>0.05</v>
      </c>
      <c r="N1204" s="475">
        <f t="shared" si="110"/>
        <v>87691</v>
      </c>
    </row>
    <row r="1205" spans="7:14" ht="11.25" customHeight="1" x14ac:dyDescent="0.3">
      <c r="G1205" s="470">
        <f t="shared" si="124"/>
        <v>100</v>
      </c>
      <c r="H1205" s="470">
        <v>1198</v>
      </c>
      <c r="I1205" s="455">
        <f t="shared" ca="1" si="108"/>
        <v>-24393334.544563055</v>
      </c>
      <c r="J1205" s="455">
        <f t="array" ref="J1205">IFERROR(INDEX('Retirement Calculator'!J:J,MATCH('Isaac 401k'!N1205,'Retirement Calculator'!A:A,0),0),0)</f>
        <v>0</v>
      </c>
      <c r="K1205" s="455">
        <f t="shared" ca="1" si="105"/>
        <v>-101638.8939356794</v>
      </c>
      <c r="L1205" s="455">
        <f t="shared" ca="1" si="106"/>
        <v>-24494973.438498735</v>
      </c>
      <c r="M1205" s="471">
        <f t="shared" si="109"/>
        <v>0.05</v>
      </c>
      <c r="N1205" s="475">
        <f t="shared" si="110"/>
        <v>87720</v>
      </c>
    </row>
    <row r="1206" spans="7:14" ht="11.25" customHeight="1" x14ac:dyDescent="0.3">
      <c r="G1206" s="470">
        <f t="shared" si="124"/>
        <v>100</v>
      </c>
      <c r="H1206" s="470">
        <v>1199</v>
      </c>
      <c r="I1206" s="455">
        <f t="shared" ca="1" si="108"/>
        <v>-24494973.438498735</v>
      </c>
      <c r="J1206" s="455">
        <f t="array" ref="J1206">IFERROR(INDEX('Retirement Calculator'!J:J,MATCH('Isaac 401k'!N1206,'Retirement Calculator'!A:A,0),0),0)</f>
        <v>0</v>
      </c>
      <c r="K1206" s="455">
        <f t="shared" ca="1" si="105"/>
        <v>-102062.38932707807</v>
      </c>
      <c r="L1206" s="455">
        <f t="shared" ca="1" si="106"/>
        <v>-24597035.827825814</v>
      </c>
      <c r="M1206" s="471">
        <f t="shared" si="109"/>
        <v>0.05</v>
      </c>
      <c r="N1206" s="475">
        <f t="shared" si="110"/>
        <v>87751</v>
      </c>
    </row>
    <row r="1207" spans="7:14" ht="11.25" customHeight="1" x14ac:dyDescent="0.3">
      <c r="G1207" s="470">
        <f t="shared" si="124"/>
        <v>100</v>
      </c>
      <c r="H1207" s="470">
        <v>1200</v>
      </c>
      <c r="I1207" s="455">
        <f t="shared" ca="1" si="108"/>
        <v>-24597035.827825814</v>
      </c>
      <c r="J1207" s="455">
        <f t="array" ref="J1207">IFERROR(INDEX('Retirement Calculator'!J:J,MATCH('Isaac 401k'!N1207,'Retirement Calculator'!A:A,0),0),0)</f>
        <v>0</v>
      </c>
      <c r="K1207" s="455">
        <f t="shared" ca="1" si="105"/>
        <v>-102487.64928260756</v>
      </c>
      <c r="L1207" s="455">
        <f t="shared" ca="1" si="106"/>
        <v>-24699523.477108423</v>
      </c>
      <c r="M1207" s="471">
        <f t="shared" si="109"/>
        <v>0.05</v>
      </c>
      <c r="N1207" s="475">
        <f t="shared" si="110"/>
        <v>87781</v>
      </c>
    </row>
    <row r="1208" spans="7:14" ht="11.25" customHeight="1" x14ac:dyDescent="0.3">
      <c r="G1208" s="470">
        <f>G1207+1</f>
        <v>101</v>
      </c>
      <c r="H1208" s="470">
        <v>1201</v>
      </c>
      <c r="I1208" s="455">
        <f t="shared" ca="1" si="108"/>
        <v>-24699523.477108423</v>
      </c>
      <c r="J1208" s="455">
        <f t="array" ref="J1208">IFERROR(INDEX('Retirement Calculator'!J:J,MATCH('Isaac 401k'!N1208,'Retirement Calculator'!A:A,0),0),0)</f>
        <v>0</v>
      </c>
      <c r="K1208" s="455">
        <f t="shared" ca="1" si="105"/>
        <v>-102914.68115461843</v>
      </c>
      <c r="L1208" s="455">
        <f t="shared" ca="1" si="106"/>
        <v>-24802438.158263043</v>
      </c>
      <c r="M1208" s="471">
        <f t="shared" si="109"/>
        <v>0.05</v>
      </c>
      <c r="N1208" s="475">
        <f t="shared" si="110"/>
        <v>87812</v>
      </c>
    </row>
    <row r="1209" spans="7:14" ht="11.25" customHeight="1" x14ac:dyDescent="0.3">
      <c r="G1209" s="470">
        <f t="shared" ref="G1209:G1219" si="125">G1208</f>
        <v>101</v>
      </c>
      <c r="H1209" s="470">
        <v>1202</v>
      </c>
      <c r="I1209" s="455">
        <f t="shared" ca="1" si="108"/>
        <v>-24802438.158263043</v>
      </c>
      <c r="J1209" s="455">
        <f t="array" ref="J1209">IFERROR(INDEX('Retirement Calculator'!J:J,MATCH('Isaac 401k'!N1209,'Retirement Calculator'!A:A,0),0),0)</f>
        <v>0</v>
      </c>
      <c r="K1209" s="455">
        <f t="shared" ca="1" si="105"/>
        <v>-103343.49232609601</v>
      </c>
      <c r="L1209" s="455">
        <f t="shared" ca="1" si="106"/>
        <v>-24905781.650589138</v>
      </c>
      <c r="M1209" s="471">
        <f t="shared" si="109"/>
        <v>0.05</v>
      </c>
      <c r="N1209" s="475">
        <f t="shared" si="110"/>
        <v>87842</v>
      </c>
    </row>
    <row r="1210" spans="7:14" ht="11.25" customHeight="1" x14ac:dyDescent="0.3">
      <c r="G1210" s="470">
        <f t="shared" si="125"/>
        <v>101</v>
      </c>
      <c r="H1210" s="470">
        <v>1203</v>
      </c>
      <c r="I1210" s="455">
        <f t="shared" ca="1" si="108"/>
        <v>-24905781.650589138</v>
      </c>
      <c r="J1210" s="455">
        <f t="array" ref="J1210">IFERROR(INDEX('Retirement Calculator'!J:J,MATCH('Isaac 401k'!N1210,'Retirement Calculator'!A:A,0),0),0)</f>
        <v>0</v>
      </c>
      <c r="K1210" s="455">
        <f t="shared" ca="1" si="105"/>
        <v>-103774.09021078807</v>
      </c>
      <c r="L1210" s="455">
        <f t="shared" ca="1" si="106"/>
        <v>-25009555.740799926</v>
      </c>
      <c r="M1210" s="471">
        <f t="shared" si="109"/>
        <v>0.05</v>
      </c>
      <c r="N1210" s="475">
        <f t="shared" si="110"/>
        <v>87873</v>
      </c>
    </row>
    <row r="1211" spans="7:14" ht="11.25" customHeight="1" x14ac:dyDescent="0.3">
      <c r="G1211" s="470">
        <f t="shared" si="125"/>
        <v>101</v>
      </c>
      <c r="H1211" s="470">
        <v>1204</v>
      </c>
      <c r="I1211" s="455">
        <f t="shared" ca="1" si="108"/>
        <v>-25009555.740799926</v>
      </c>
      <c r="J1211" s="455">
        <f t="array" ref="J1211">IFERROR(INDEX('Retirement Calculator'!J:J,MATCH('Isaac 401k'!N1211,'Retirement Calculator'!A:A,0),0),0)</f>
        <v>0</v>
      </c>
      <c r="K1211" s="455">
        <f t="shared" ca="1" si="105"/>
        <v>-104206.48225333303</v>
      </c>
      <c r="L1211" s="455">
        <f t="shared" ca="1" si="106"/>
        <v>-25113762.223053258</v>
      </c>
      <c r="M1211" s="471">
        <f t="shared" si="109"/>
        <v>0.05</v>
      </c>
      <c r="N1211" s="475">
        <f t="shared" si="110"/>
        <v>87904</v>
      </c>
    </row>
    <row r="1212" spans="7:14" ht="11.25" customHeight="1" x14ac:dyDescent="0.3">
      <c r="G1212" s="470">
        <f t="shared" si="125"/>
        <v>101</v>
      </c>
      <c r="H1212" s="470">
        <v>1205</v>
      </c>
      <c r="I1212" s="455">
        <f t="shared" ca="1" si="108"/>
        <v>-25113762.223053258</v>
      </c>
      <c r="J1212" s="455">
        <f t="array" ref="J1212">IFERROR(INDEX('Retirement Calculator'!J:J,MATCH('Isaac 401k'!N1212,'Retirement Calculator'!A:A,0),0),0)</f>
        <v>0</v>
      </c>
      <c r="K1212" s="455">
        <f t="shared" ca="1" si="105"/>
        <v>-104640.67592938857</v>
      </c>
      <c r="L1212" s="455">
        <f t="shared" ca="1" si="106"/>
        <v>-25218402.898982648</v>
      </c>
      <c r="M1212" s="471">
        <f t="shared" si="109"/>
        <v>0.05</v>
      </c>
      <c r="N1212" s="475">
        <f t="shared" si="110"/>
        <v>87934</v>
      </c>
    </row>
    <row r="1213" spans="7:14" ht="11.25" customHeight="1" x14ac:dyDescent="0.3">
      <c r="G1213" s="470">
        <f t="shared" si="125"/>
        <v>101</v>
      </c>
      <c r="H1213" s="470">
        <v>1206</v>
      </c>
      <c r="I1213" s="455">
        <f t="shared" ca="1" si="108"/>
        <v>-25218402.898982648</v>
      </c>
      <c r="J1213" s="455">
        <f t="array" ref="J1213">IFERROR(INDEX('Retirement Calculator'!J:J,MATCH('Isaac 401k'!N1213,'Retirement Calculator'!A:A,0),0),0)</f>
        <v>0</v>
      </c>
      <c r="K1213" s="455">
        <f t="shared" ca="1" si="105"/>
        <v>-105076.67874576103</v>
      </c>
      <c r="L1213" s="455">
        <f t="shared" ca="1" si="106"/>
        <v>-25323479.577728409</v>
      </c>
      <c r="M1213" s="471">
        <f t="shared" si="109"/>
        <v>0.05</v>
      </c>
      <c r="N1213" s="475">
        <f t="shared" si="110"/>
        <v>87965</v>
      </c>
    </row>
    <row r="1214" spans="7:14" ht="11.25" customHeight="1" x14ac:dyDescent="0.3">
      <c r="G1214" s="470">
        <f t="shared" si="125"/>
        <v>101</v>
      </c>
      <c r="H1214" s="470">
        <v>1207</v>
      </c>
      <c r="I1214" s="455">
        <f t="shared" ca="1" si="108"/>
        <v>-25323479.577728409</v>
      </c>
      <c r="J1214" s="455">
        <f t="array" ref="J1214">IFERROR(INDEX('Retirement Calculator'!J:J,MATCH('Isaac 401k'!N1214,'Retirement Calculator'!A:A,0),0),0)</f>
        <v>0</v>
      </c>
      <c r="K1214" s="455">
        <f t="shared" ca="1" si="105"/>
        <v>-105514.49824053503</v>
      </c>
      <c r="L1214" s="455">
        <f t="shared" ca="1" si="106"/>
        <v>-25428994.075968944</v>
      </c>
      <c r="M1214" s="471">
        <f t="shared" si="109"/>
        <v>0.05</v>
      </c>
      <c r="N1214" s="475">
        <f t="shared" si="110"/>
        <v>87995</v>
      </c>
    </row>
    <row r="1215" spans="7:14" ht="11.25" customHeight="1" x14ac:dyDescent="0.3">
      <c r="G1215" s="470">
        <f t="shared" si="125"/>
        <v>101</v>
      </c>
      <c r="H1215" s="470">
        <v>1208</v>
      </c>
      <c r="I1215" s="455">
        <f t="shared" ca="1" si="108"/>
        <v>-25428994.075968944</v>
      </c>
      <c r="J1215" s="455">
        <f t="array" ref="J1215">IFERROR(INDEX('Retirement Calculator'!J:J,MATCH('Isaac 401k'!N1215,'Retirement Calculator'!A:A,0),0),0)</f>
        <v>0</v>
      </c>
      <c r="K1215" s="455">
        <f t="shared" ca="1" si="105"/>
        <v>-105954.14198320392</v>
      </c>
      <c r="L1215" s="455">
        <f t="shared" ca="1" si="106"/>
        <v>-25534948.217952147</v>
      </c>
      <c r="M1215" s="471">
        <f t="shared" si="109"/>
        <v>0.05</v>
      </c>
      <c r="N1215" s="475">
        <f t="shared" si="110"/>
        <v>88026</v>
      </c>
    </row>
    <row r="1216" spans="7:14" ht="11.25" customHeight="1" x14ac:dyDescent="0.3">
      <c r="G1216" s="470">
        <f t="shared" si="125"/>
        <v>101</v>
      </c>
      <c r="H1216" s="470">
        <v>1209</v>
      </c>
      <c r="I1216" s="455">
        <f t="shared" ca="1" si="108"/>
        <v>-25534948.217952147</v>
      </c>
      <c r="J1216" s="455">
        <f t="array" ref="J1216">IFERROR(INDEX('Retirement Calculator'!J:J,MATCH('Isaac 401k'!N1216,'Retirement Calculator'!A:A,0),0),0)</f>
        <v>0</v>
      </c>
      <c r="K1216" s="455">
        <f t="shared" ca="1" si="105"/>
        <v>-106395.61757480061</v>
      </c>
      <c r="L1216" s="455">
        <f t="shared" ca="1" si="106"/>
        <v>-25641343.835526947</v>
      </c>
      <c r="M1216" s="471">
        <f t="shared" si="109"/>
        <v>0.05</v>
      </c>
      <c r="N1216" s="475">
        <f t="shared" si="110"/>
        <v>88057</v>
      </c>
    </row>
    <row r="1217" spans="7:14" ht="11.25" customHeight="1" x14ac:dyDescent="0.3">
      <c r="G1217" s="470">
        <f t="shared" si="125"/>
        <v>101</v>
      </c>
      <c r="H1217" s="470">
        <v>1210</v>
      </c>
      <c r="I1217" s="455">
        <f t="shared" ca="1" si="108"/>
        <v>-25641343.835526947</v>
      </c>
      <c r="J1217" s="455">
        <f t="array" ref="J1217">IFERROR(INDEX('Retirement Calculator'!J:J,MATCH('Isaac 401k'!N1217,'Retirement Calculator'!A:A,0),0),0)</f>
        <v>0</v>
      </c>
      <c r="K1217" s="455">
        <f t="shared" ca="1" si="105"/>
        <v>-106838.93264802895</v>
      </c>
      <c r="L1217" s="455">
        <f t="shared" ca="1" si="106"/>
        <v>-25748182.768174976</v>
      </c>
      <c r="M1217" s="471">
        <f t="shared" si="109"/>
        <v>0.05</v>
      </c>
      <c r="N1217" s="475">
        <f t="shared" si="110"/>
        <v>88085</v>
      </c>
    </row>
    <row r="1218" spans="7:14" ht="11.25" customHeight="1" x14ac:dyDescent="0.3">
      <c r="G1218" s="470">
        <f t="shared" si="125"/>
        <v>101</v>
      </c>
      <c r="H1218" s="470">
        <v>1211</v>
      </c>
      <c r="I1218" s="455">
        <f t="shared" ca="1" si="108"/>
        <v>-25748182.768174976</v>
      </c>
      <c r="J1218" s="455">
        <f t="array" ref="J1218">IFERROR(INDEX('Retirement Calculator'!J:J,MATCH('Isaac 401k'!N1218,'Retirement Calculator'!A:A,0),0),0)</f>
        <v>0</v>
      </c>
      <c r="K1218" s="455">
        <f t="shared" ca="1" si="105"/>
        <v>-107284.09486739573</v>
      </c>
      <c r="L1218" s="455">
        <f t="shared" ca="1" si="106"/>
        <v>-25855466.863042373</v>
      </c>
      <c r="M1218" s="471">
        <f t="shared" si="109"/>
        <v>0.05</v>
      </c>
      <c r="N1218" s="475">
        <f t="shared" si="110"/>
        <v>88116</v>
      </c>
    </row>
    <row r="1219" spans="7:14" ht="11.25" customHeight="1" x14ac:dyDescent="0.3">
      <c r="G1219" s="470">
        <f t="shared" si="125"/>
        <v>101</v>
      </c>
      <c r="H1219" s="470">
        <v>1212</v>
      </c>
      <c r="I1219" s="455">
        <f t="shared" ca="1" si="108"/>
        <v>-25855466.863042373</v>
      </c>
      <c r="J1219" s="455">
        <f t="array" ref="J1219">IFERROR(INDEX('Retirement Calculator'!J:J,MATCH('Isaac 401k'!N1219,'Retirement Calculator'!A:A,0),0),0)</f>
        <v>0</v>
      </c>
      <c r="K1219" s="455">
        <f t="shared" ca="1" si="105"/>
        <v>-107731.11192934321</v>
      </c>
      <c r="L1219" s="455">
        <f t="shared" ca="1" si="106"/>
        <v>-25963197.974971715</v>
      </c>
      <c r="M1219" s="471">
        <f t="shared" si="109"/>
        <v>0.05</v>
      </c>
      <c r="N1219" s="475">
        <f t="shared" si="110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8"/>
        <v>-25963197.974971715</v>
      </c>
      <c r="J1220" s="455">
        <f t="array" ref="J1220">IFERROR(INDEX('Retirement Calculator'!J:J,MATCH('Isaac 401k'!N1220,'Retirement Calculator'!A:A,0),0),0)</f>
        <v>0</v>
      </c>
      <c r="K1220" s="455">
        <f t="shared" ca="1" si="105"/>
        <v>-108179.99156238214</v>
      </c>
      <c r="L1220" s="455">
        <f t="shared" ca="1" si="106"/>
        <v>-26071377.966534097</v>
      </c>
      <c r="M1220" s="471">
        <f t="shared" si="109"/>
        <v>0.05</v>
      </c>
      <c r="N1220" s="475">
        <f t="shared" si="110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8"/>
        <v>-26071377.966534097</v>
      </c>
      <c r="J1221" s="455">
        <f t="array" ref="J1221">IFERROR(INDEX('Retirement Calculator'!J:J,MATCH('Isaac 401k'!N1221,'Retirement Calculator'!A:A,0),0),0)</f>
        <v>0</v>
      </c>
      <c r="K1221" s="455">
        <f t="shared" ca="1" si="105"/>
        <v>-108630.7415272254</v>
      </c>
      <c r="L1221" s="455">
        <f t="shared" ca="1" si="106"/>
        <v>-26180008.708061323</v>
      </c>
      <c r="M1221" s="471">
        <f t="shared" si="109"/>
        <v>0.05</v>
      </c>
      <c r="N1221" s="475">
        <f t="shared" si="110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8"/>
        <v>-26180008.708061323</v>
      </c>
      <c r="J1222" s="455">
        <f t="array" ref="J1222">IFERROR(INDEX('Retirement Calculator'!J:J,MATCH('Isaac 401k'!N1222,'Retirement Calculator'!A:A,0),0),0)</f>
        <v>0</v>
      </c>
      <c r="K1222" s="455">
        <f t="shared" ca="1" si="105"/>
        <v>-109083.36961692219</v>
      </c>
      <c r="L1222" s="455">
        <f t="shared" ca="1" si="106"/>
        <v>-26289092.077678245</v>
      </c>
      <c r="M1222" s="471">
        <f t="shared" si="109"/>
        <v>0.05</v>
      </c>
      <c r="N1222" s="475">
        <f t="shared" si="110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8"/>
        <v>-26289092.077678245</v>
      </c>
      <c r="J1223" s="455">
        <f t="array" ref="J1223">IFERROR(INDEX('Retirement Calculator'!J:J,MATCH('Isaac 401k'!N1223,'Retirement Calculator'!A:A,0),0),0)</f>
        <v>0</v>
      </c>
      <c r="K1223" s="455">
        <f t="shared" ca="1" si="105"/>
        <v>-109537.88365699266</v>
      </c>
      <c r="L1223" s="455">
        <f t="shared" ca="1" si="106"/>
        <v>-26398629.961335238</v>
      </c>
      <c r="M1223" s="471">
        <f t="shared" si="109"/>
        <v>0.05</v>
      </c>
      <c r="N1223" s="475">
        <f t="shared" si="110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8"/>
        <v>-26398629.961335238</v>
      </c>
      <c r="J1224" s="455">
        <f t="array" ref="J1224">IFERROR(INDEX('Retirement Calculator'!J:J,MATCH('Isaac 401k'!N1224,'Retirement Calculator'!A:A,0),0),0)</f>
        <v>0</v>
      </c>
      <c r="K1224" s="455">
        <f t="shared" ca="1" si="105"/>
        <v>-109994.29150556349</v>
      </c>
      <c r="L1224" s="455">
        <f t="shared" ca="1" si="106"/>
        <v>-26508624.252840802</v>
      </c>
      <c r="M1224" s="471">
        <f t="shared" si="109"/>
        <v>0.05</v>
      </c>
      <c r="N1224" s="475">
        <f t="shared" si="110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8"/>
        <v>-26508624.252840802</v>
      </c>
      <c r="J1225" s="455">
        <f t="array" ref="J1225">IFERROR(INDEX('Retirement Calculator'!J:J,MATCH('Isaac 401k'!N1225,'Retirement Calculator'!A:A,0),0),0)</f>
        <v>0</v>
      </c>
      <c r="K1225" s="455">
        <f t="shared" ca="1" si="105"/>
        <v>-110452.60105350336</v>
      </c>
      <c r="L1225" s="455">
        <f t="shared" ca="1" si="106"/>
        <v>-26619076.853894304</v>
      </c>
      <c r="M1225" s="471">
        <f t="shared" si="109"/>
        <v>0.05</v>
      </c>
      <c r="N1225" s="475">
        <f t="shared" si="110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8"/>
        <v>-26619076.853894304</v>
      </c>
      <c r="J1226" s="455">
        <f t="array" ref="J1226">IFERROR(INDEX('Retirement Calculator'!J:J,MATCH('Isaac 401k'!N1226,'Retirement Calculator'!A:A,0),0),0)</f>
        <v>0</v>
      </c>
      <c r="K1226" s="455">
        <f t="shared" ca="1" si="105"/>
        <v>-110912.8202245596</v>
      </c>
      <c r="L1226" s="455">
        <f t="shared" ca="1" si="106"/>
        <v>-26729989.674118865</v>
      </c>
      <c r="M1226" s="471">
        <f t="shared" si="109"/>
        <v>0.05</v>
      </c>
      <c r="N1226" s="475">
        <f t="shared" si="110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8"/>
        <v>-26729989.674118865</v>
      </c>
      <c r="J1227" s="455">
        <f t="array" ref="J1227">IFERROR(INDEX('Retirement Calculator'!J:J,MATCH('Isaac 401k'!N1227,'Retirement Calculator'!A:A,0),0),0)</f>
        <v>0</v>
      </c>
      <c r="K1227" s="455">
        <f t="shared" ca="1" si="105"/>
        <v>-111374.95697549528</v>
      </c>
      <c r="L1227" s="455">
        <f t="shared" ca="1" si="106"/>
        <v>-26841364.631094359</v>
      </c>
      <c r="M1227" s="471">
        <f t="shared" si="109"/>
        <v>0.05</v>
      </c>
      <c r="N1227" s="475">
        <f t="shared" si="110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8"/>
        <v>-26841364.631094359</v>
      </c>
      <c r="J1228" s="455">
        <f t="array" ref="J1228">IFERROR(INDEX('Retirement Calculator'!J:J,MATCH('Isaac 401k'!N1228,'Retirement Calculator'!A:A,0),0),0)</f>
        <v>0</v>
      </c>
      <c r="K1228" s="455">
        <f t="shared" ca="1" si="105"/>
        <v>-111839.01929622648</v>
      </c>
      <c r="L1228" s="455">
        <f t="shared" ca="1" si="106"/>
        <v>-26953203.650390584</v>
      </c>
      <c r="M1228" s="471">
        <f t="shared" si="109"/>
        <v>0.05</v>
      </c>
      <c r="N1228" s="475">
        <f t="shared" si="110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8"/>
        <v>-26953203.650390584</v>
      </c>
      <c r="J1229" s="455">
        <f t="array" ref="J1229">IFERROR(INDEX('Retirement Calculator'!J:J,MATCH('Isaac 401k'!N1229,'Retirement Calculator'!A:A,0),0),0)</f>
        <v>0</v>
      </c>
      <c r="K1229" s="455">
        <f t="shared" ca="1" si="105"/>
        <v>-112305.01520996075</v>
      </c>
      <c r="L1229" s="455">
        <f t="shared" ca="1" si="106"/>
        <v>-27065508.665600546</v>
      </c>
      <c r="M1229" s="471">
        <f t="shared" si="109"/>
        <v>0.05</v>
      </c>
      <c r="N1229" s="475">
        <f t="shared" si="110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8"/>
        <v>-27065508.665600546</v>
      </c>
      <c r="J1230" s="455">
        <f t="array" ref="J1230">IFERROR(INDEX('Retirement Calculator'!J:J,MATCH('Isaac 401k'!N1230,'Retirement Calculator'!A:A,0),0),0)</f>
        <v>0</v>
      </c>
      <c r="K1230" s="455">
        <f t="shared" ca="1" si="105"/>
        <v>-112772.95277333561</v>
      </c>
      <c r="L1230" s="455">
        <f t="shared" ca="1" si="106"/>
        <v>-27178281.618373882</v>
      </c>
      <c r="M1230" s="471">
        <f t="shared" si="109"/>
        <v>0.05</v>
      </c>
      <c r="N1230" s="475">
        <f t="shared" si="110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8"/>
        <v>-27178281.618373882</v>
      </c>
      <c r="J1231" s="455">
        <f t="array" ref="J1231">IFERROR(INDEX('Retirement Calculator'!J:J,MATCH('Isaac 401k'!N1231,'Retirement Calculator'!A:A,0),0),0)</f>
        <v>0</v>
      </c>
      <c r="K1231" s="455">
        <f t="shared" ca="1" si="105"/>
        <v>-113242.84007655784</v>
      </c>
      <c r="L1231" s="455">
        <f t="shared" ca="1" si="106"/>
        <v>-27291524.45845044</v>
      </c>
      <c r="M1231" s="471">
        <f t="shared" si="109"/>
        <v>0.05</v>
      </c>
      <c r="N1231" s="475">
        <f t="shared" si="110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8"/>
        <v>-27291524.45845044</v>
      </c>
      <c r="J1232" s="455">
        <f t="array" ref="J1232">IFERROR(INDEX('Retirement Calculator'!J:J,MATCH('Isaac 401k'!N1232,'Retirement Calculator'!A:A,0),0),0)</f>
        <v>0</v>
      </c>
      <c r="K1232" s="455">
        <f t="shared" ca="1" si="105"/>
        <v>-113714.6852435435</v>
      </c>
      <c r="L1232" s="455">
        <f t="shared" ca="1" si="106"/>
        <v>-27405239.143693984</v>
      </c>
      <c r="M1232" s="471">
        <f t="shared" si="109"/>
        <v>0.05</v>
      </c>
      <c r="N1232" s="475">
        <f t="shared" si="110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8"/>
        <v>-27405239.143693984</v>
      </c>
      <c r="J1233" s="455">
        <f t="array" ref="J1233">IFERROR(INDEX('Retirement Calculator'!J:J,MATCH('Isaac 401k'!N1233,'Retirement Calculator'!A:A,0),0),0)</f>
        <v>0</v>
      </c>
      <c r="K1233" s="455">
        <f t="shared" ca="1" si="105"/>
        <v>-114188.49643205825</v>
      </c>
      <c r="L1233" s="455">
        <f t="shared" ca="1" si="106"/>
        <v>-27519427.640126042</v>
      </c>
      <c r="M1233" s="471">
        <f t="shared" si="109"/>
        <v>0.05</v>
      </c>
      <c r="N1233" s="475">
        <f t="shared" si="110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8"/>
        <v>-27519427.640126042</v>
      </c>
      <c r="J1234" s="455">
        <f t="array" ref="J1234">IFERROR(INDEX('Retirement Calculator'!J:J,MATCH('Isaac 401k'!N1234,'Retirement Calculator'!A:A,0),0),0)</f>
        <v>0</v>
      </c>
      <c r="K1234" s="455">
        <f t="shared" ca="1" si="105"/>
        <v>-114664.28183385851</v>
      </c>
      <c r="L1234" s="455">
        <f t="shared" ca="1" si="106"/>
        <v>-27634091.921959899</v>
      </c>
      <c r="M1234" s="471">
        <f t="shared" si="109"/>
        <v>0.05</v>
      </c>
      <c r="N1234" s="475">
        <f t="shared" si="110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8"/>
        <v>-27634091.921959899</v>
      </c>
      <c r="J1235" s="455">
        <f t="array" ref="J1235">IFERROR(INDEX('Retirement Calculator'!J:J,MATCH('Isaac 401k'!N1235,'Retirement Calculator'!A:A,0),0),0)</f>
        <v>0</v>
      </c>
      <c r="K1235" s="455">
        <f t="shared" ca="1" si="105"/>
        <v>-115142.04967483293</v>
      </c>
      <c r="L1235" s="455">
        <f t="shared" ca="1" si="106"/>
        <v>-27749233.971634731</v>
      </c>
      <c r="M1235" s="471">
        <f t="shared" si="109"/>
        <v>0.05</v>
      </c>
      <c r="N1235" s="475">
        <f t="shared" si="110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8"/>
        <v>-27749233.971634731</v>
      </c>
      <c r="J1236" s="455">
        <f t="array" ref="J1236">IFERROR(INDEX('Retirement Calculator'!J:J,MATCH('Isaac 401k'!N1236,'Retirement Calculator'!A:A,0),0),0)</f>
        <v>0</v>
      </c>
      <c r="K1236" s="455">
        <f t="shared" ca="1" si="105"/>
        <v>-115621.80821514473</v>
      </c>
      <c r="L1236" s="455">
        <f t="shared" ca="1" si="106"/>
        <v>-27864855.779849876</v>
      </c>
      <c r="M1236" s="471">
        <f t="shared" si="109"/>
        <v>0.05</v>
      </c>
      <c r="N1236" s="475">
        <f t="shared" si="110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8"/>
        <v>-27864855.779849876</v>
      </c>
      <c r="J1237" s="455">
        <f t="array" ref="J1237">IFERROR(INDEX('Retirement Calculator'!J:J,MATCH('Isaac 401k'!N1237,'Retirement Calculator'!A:A,0),0),0)</f>
        <v>0</v>
      </c>
      <c r="K1237" s="455">
        <f t="shared" ca="1" si="105"/>
        <v>-116103.56574937448</v>
      </c>
      <c r="L1237" s="455">
        <f t="shared" ca="1" si="106"/>
        <v>-27980959.345599249</v>
      </c>
      <c r="M1237" s="471">
        <f t="shared" si="109"/>
        <v>0.05</v>
      </c>
      <c r="N1237" s="475">
        <f t="shared" si="110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8"/>
        <v>-27980959.345599249</v>
      </c>
      <c r="J1238" s="455">
        <f t="array" ref="J1238">IFERROR(INDEX('Retirement Calculator'!J:J,MATCH('Isaac 401k'!N1238,'Retirement Calculator'!A:A,0),0),0)</f>
        <v>0</v>
      </c>
      <c r="K1238" s="455">
        <f t="shared" ca="1" si="105"/>
        <v>-116587.33060666353</v>
      </c>
      <c r="L1238" s="455">
        <f t="shared" ca="1" si="106"/>
        <v>-28097546.676205911</v>
      </c>
      <c r="M1238" s="471">
        <f t="shared" si="109"/>
        <v>0.05</v>
      </c>
      <c r="N1238" s="475">
        <f t="shared" si="110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8"/>
        <v>-28097546.676205911</v>
      </c>
      <c r="J1239" s="455">
        <f t="array" ref="J1239">IFERROR(INDEX('Retirement Calculator'!J:J,MATCH('Isaac 401k'!N1239,'Retirement Calculator'!A:A,0),0),0)</f>
        <v>0</v>
      </c>
      <c r="K1239" s="455">
        <f t="shared" ca="1" si="105"/>
        <v>-117073.11115085796</v>
      </c>
      <c r="L1239" s="455">
        <f t="shared" ca="1" si="106"/>
        <v>-28214619.787356768</v>
      </c>
      <c r="M1239" s="471">
        <f t="shared" si="109"/>
        <v>0.05</v>
      </c>
      <c r="N1239" s="475">
        <f t="shared" si="110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8"/>
        <v>-28214619.787356768</v>
      </c>
      <c r="J1240" s="455">
        <f t="array" ref="J1240">IFERROR(INDEX('Retirement Calculator'!J:J,MATCH('Isaac 401k'!N1240,'Retirement Calculator'!A:A,0),0),0)</f>
        <v>0</v>
      </c>
      <c r="K1240" s="455">
        <f t="shared" ca="1" si="105"/>
        <v>-117560.9157806532</v>
      </c>
      <c r="L1240" s="455">
        <f t="shared" ca="1" si="106"/>
        <v>-28332180.70313742</v>
      </c>
      <c r="M1240" s="471">
        <f t="shared" si="109"/>
        <v>0.05</v>
      </c>
      <c r="N1240" s="475">
        <f t="shared" si="110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8"/>
        <v>-28332180.70313742</v>
      </c>
      <c r="J1241" s="455">
        <f t="array" ref="J1241">IFERROR(INDEX('Retirement Calculator'!J:J,MATCH('Isaac 401k'!N1241,'Retirement Calculator'!A:A,0),0),0)</f>
        <v>0</v>
      </c>
      <c r="K1241" s="455">
        <f t="shared" ca="1" si="105"/>
        <v>-118050.75292973925</v>
      </c>
      <c r="L1241" s="455">
        <f t="shared" ca="1" si="106"/>
        <v>-28450231.45606716</v>
      </c>
      <c r="M1241" s="471">
        <f t="shared" si="109"/>
        <v>0.05</v>
      </c>
      <c r="N1241" s="475">
        <f t="shared" si="110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8"/>
        <v>-28450231.45606716</v>
      </c>
      <c r="J1242" s="455">
        <f t="array" ref="J1242">IFERROR(INDEX('Retirement Calculator'!J:J,MATCH('Isaac 401k'!N1242,'Retirement Calculator'!A:A,0),0),0)</f>
        <v>0</v>
      </c>
      <c r="K1242" s="455">
        <f t="shared" ca="1" si="105"/>
        <v>-118542.6310669465</v>
      </c>
      <c r="L1242" s="455">
        <f t="shared" ca="1" si="106"/>
        <v>-28568774.087134108</v>
      </c>
      <c r="M1242" s="471">
        <f t="shared" si="109"/>
        <v>0.05</v>
      </c>
      <c r="N1242" s="475">
        <f t="shared" si="110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8"/>
        <v>-28568774.087134108</v>
      </c>
      <c r="J1243" s="455">
        <f t="array" ref="J1243">IFERROR(INDEX('Retirement Calculator'!J:J,MATCH('Isaac 401k'!N1243,'Retirement Calculator'!A:A,0),0),0)</f>
        <v>0</v>
      </c>
      <c r="K1243" s="455">
        <f t="shared" ca="1" si="105"/>
        <v>-119036.55869639211</v>
      </c>
      <c r="L1243" s="455">
        <f t="shared" ca="1" si="106"/>
        <v>-28687810.645830501</v>
      </c>
      <c r="M1243" s="471">
        <f t="shared" si="109"/>
        <v>0.05</v>
      </c>
      <c r="N1243" s="475">
        <f t="shared" si="110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8"/>
        <v>-28687810.645830501</v>
      </c>
      <c r="J1244" s="455">
        <f t="array" ref="J1244">IFERROR(INDEX('Retirement Calculator'!J:J,MATCH('Isaac 401k'!N1244,'Retirement Calculator'!A:A,0),0),0)</f>
        <v>0</v>
      </c>
      <c r="K1244" s="455">
        <f t="shared" ca="1" si="105"/>
        <v>-119532.54435762709</v>
      </c>
      <c r="L1244" s="455">
        <f t="shared" ca="1" si="106"/>
        <v>-28807343.190188129</v>
      </c>
      <c r="M1244" s="471">
        <f t="shared" si="109"/>
        <v>0.05</v>
      </c>
      <c r="N1244" s="475">
        <f t="shared" si="110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8"/>
        <v>-28807343.190188129</v>
      </c>
      <c r="J1245" s="455">
        <f t="array" ref="J1245">IFERROR(INDEX('Retirement Calculator'!J:J,MATCH('Isaac 401k'!N1245,'Retirement Calculator'!A:A,0),0),0)</f>
        <v>0</v>
      </c>
      <c r="K1245" s="455">
        <f t="shared" ca="1" si="105"/>
        <v>-120030.59662578384</v>
      </c>
      <c r="L1245" s="455">
        <f t="shared" ca="1" si="106"/>
        <v>-28927373.786813911</v>
      </c>
      <c r="M1245" s="471">
        <f t="shared" si="109"/>
        <v>0.05</v>
      </c>
      <c r="N1245" s="475">
        <f t="shared" si="110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8"/>
        <v>-28927373.786813911</v>
      </c>
      <c r="J1246" s="455">
        <f t="array" ref="J1246">IFERROR(INDEX('Retirement Calculator'!J:J,MATCH('Isaac 401k'!N1246,'Retirement Calculator'!A:A,0),0),0)</f>
        <v>0</v>
      </c>
      <c r="K1246" s="455">
        <f t="shared" ca="1" si="105"/>
        <v>-120530.72411172463</v>
      </c>
      <c r="L1246" s="455">
        <f t="shared" ca="1" si="106"/>
        <v>-29047904.510925636</v>
      </c>
      <c r="M1246" s="471">
        <f t="shared" si="109"/>
        <v>0.05</v>
      </c>
      <c r="N1246" s="475">
        <f t="shared" si="110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8"/>
        <v>-29047904.510925636</v>
      </c>
      <c r="J1247" s="455">
        <f t="array" ref="J1247">IFERROR(INDEX('Retirement Calculator'!J:J,MATCH('Isaac 401k'!N1247,'Retirement Calculator'!A:A,0),0),0)</f>
        <v>0</v>
      </c>
      <c r="K1247" s="455">
        <f t="shared" ca="1" si="105"/>
        <v>-121032.93546219014</v>
      </c>
      <c r="L1247" s="455">
        <f t="shared" ca="1" si="106"/>
        <v>-29168937.446387827</v>
      </c>
      <c r="M1247" s="471">
        <f t="shared" si="109"/>
        <v>0.05</v>
      </c>
      <c r="N1247" s="475">
        <f t="shared" si="110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8"/>
        <v>-29168937.446387827</v>
      </c>
      <c r="J1248" s="455">
        <f t="array" ref="J1248">IFERROR(INDEX('Retirement Calculator'!J:J,MATCH('Isaac 401k'!N1248,'Retirement Calculator'!A:A,0),0),0)</f>
        <v>0</v>
      </c>
      <c r="K1248" s="455">
        <f t="shared" ca="1" si="105"/>
        <v>-121537.23935994928</v>
      </c>
      <c r="L1248" s="455">
        <f t="shared" ca="1" si="106"/>
        <v>-29290474.685747776</v>
      </c>
      <c r="M1248" s="471">
        <f t="shared" si="109"/>
        <v>0.05</v>
      </c>
      <c r="N1248" s="475">
        <f t="shared" si="110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8"/>
        <v>-29290474.685747776</v>
      </c>
      <c r="J1249" s="455">
        <f t="array" ref="J1249">IFERROR(INDEX('Retirement Calculator'!J:J,MATCH('Isaac 401k'!N1249,'Retirement Calculator'!A:A,0),0),0)</f>
        <v>0</v>
      </c>
      <c r="K1249" s="455">
        <f t="shared" ca="1" si="105"/>
        <v>-122043.64452394907</v>
      </c>
      <c r="L1249" s="455">
        <f t="shared" ca="1" si="106"/>
        <v>-29412518.330271725</v>
      </c>
      <c r="M1249" s="471">
        <f t="shared" si="109"/>
        <v>0.05</v>
      </c>
      <c r="N1249" s="475">
        <f t="shared" si="110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8"/>
        <v>-29412518.330271725</v>
      </c>
      <c r="J1250" s="455">
        <f t="array" ref="J1250">IFERROR(INDEX('Retirement Calculator'!J:J,MATCH('Isaac 401k'!N1250,'Retirement Calculator'!A:A,0),0),0)</f>
        <v>0</v>
      </c>
      <c r="K1250" s="455">
        <f t="shared" ca="1" si="105"/>
        <v>-122552.15970946552</v>
      </c>
      <c r="L1250" s="455">
        <f t="shared" ca="1" si="106"/>
        <v>-29535070.489981189</v>
      </c>
      <c r="M1250" s="471">
        <f t="shared" si="109"/>
        <v>0.05</v>
      </c>
      <c r="N1250" s="475">
        <f t="shared" si="110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8"/>
        <v>-29535070.489981189</v>
      </c>
      <c r="J1251" s="455">
        <f t="array" ref="J1251">IFERROR(INDEX('Retirement Calculator'!J:J,MATCH('Isaac 401k'!N1251,'Retirement Calculator'!A:A,0),0),0)</f>
        <v>0</v>
      </c>
      <c r="K1251" s="455">
        <f t="shared" ca="1" si="105"/>
        <v>-123062.79370825495</v>
      </c>
      <c r="L1251" s="455">
        <f t="shared" ca="1" si="106"/>
        <v>-29658133.283689443</v>
      </c>
      <c r="M1251" s="471">
        <f t="shared" si="109"/>
        <v>0.05</v>
      </c>
      <c r="N1251" s="475">
        <f t="shared" si="110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8"/>
        <v>-29658133.283689443</v>
      </c>
      <c r="J1252" s="455">
        <f t="array" ref="J1252">IFERROR(INDEX('Retirement Calculator'!J:J,MATCH('Isaac 401k'!N1252,'Retirement Calculator'!A:A,0),0),0)</f>
        <v>0</v>
      </c>
      <c r="K1252" s="455">
        <f t="shared" ca="1" si="105"/>
        <v>-123575.555348706</v>
      </c>
      <c r="L1252" s="455">
        <f t="shared" ca="1" si="106"/>
        <v>-29781708.839038149</v>
      </c>
      <c r="M1252" s="471">
        <f t="shared" si="109"/>
        <v>0.05</v>
      </c>
      <c r="N1252" s="475">
        <f t="shared" si="110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8"/>
        <v>-29781708.839038149</v>
      </c>
      <c r="J1253" s="455">
        <f t="array" ref="J1253">IFERROR(INDEX('Retirement Calculator'!J:J,MATCH('Isaac 401k'!N1253,'Retirement Calculator'!A:A,0),0),0)</f>
        <v>0</v>
      </c>
      <c r="K1253" s="455">
        <f t="shared" ca="1" si="105"/>
        <v>-124090.45349599229</v>
      </c>
      <c r="L1253" s="455">
        <f t="shared" ca="1" si="106"/>
        <v>-29905799.292534139</v>
      </c>
      <c r="M1253" s="471">
        <f t="shared" si="109"/>
        <v>0.05</v>
      </c>
      <c r="N1253" s="475">
        <f t="shared" si="110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8"/>
        <v>-29905799.292534139</v>
      </c>
      <c r="J1254" s="455">
        <f t="array" ref="J1254">IFERROR(INDEX('Retirement Calculator'!J:J,MATCH('Isaac 401k'!N1254,'Retirement Calculator'!A:A,0),0),0)</f>
        <v>0</v>
      </c>
      <c r="K1254" s="455">
        <f t="shared" ca="1" si="105"/>
        <v>-124607.49705222558</v>
      </c>
      <c r="L1254" s="455">
        <f t="shared" ca="1" si="106"/>
        <v>-30030406.789586365</v>
      </c>
      <c r="M1254" s="471">
        <f t="shared" si="109"/>
        <v>0.05</v>
      </c>
      <c r="N1254" s="475">
        <f t="shared" si="110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8"/>
        <v>-30030406.789586365</v>
      </c>
      <c r="J1255" s="455">
        <f t="array" ref="J1255">IFERROR(INDEX('Retirement Calculator'!J:J,MATCH('Isaac 401k'!N1255,'Retirement Calculator'!A:A,0),0),0)</f>
        <v>0</v>
      </c>
      <c r="K1255" s="455">
        <f t="shared" ca="1" si="105"/>
        <v>-125126.69495660985</v>
      </c>
      <c r="L1255" s="455">
        <f t="shared" ca="1" si="106"/>
        <v>-30155533.484542973</v>
      </c>
      <c r="M1255" s="471">
        <f t="shared" si="109"/>
        <v>0.05</v>
      </c>
      <c r="N1255" s="475">
        <f t="shared" si="110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8"/>
        <v>-30155533.484542973</v>
      </c>
      <c r="J1256" s="455">
        <f t="array" ref="J1256">IFERROR(INDEX('Retirement Calculator'!J:J,MATCH('Isaac 401k'!N1256,'Retirement Calculator'!A:A,0),0),0)</f>
        <v>0</v>
      </c>
      <c r="K1256" s="455">
        <f t="shared" ca="1" si="105"/>
        <v>-125648.05618559572</v>
      </c>
      <c r="L1256" s="455">
        <f t="shared" ca="1" si="106"/>
        <v>-30281181.540728569</v>
      </c>
      <c r="M1256" s="471">
        <f t="shared" si="109"/>
        <v>0.05</v>
      </c>
      <c r="N1256" s="475">
        <f t="shared" si="110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8"/>
        <v>-30281181.540728569</v>
      </c>
      <c r="J1257" s="455">
        <f t="array" ref="J1257">IFERROR(INDEX('Retirement Calculator'!J:J,MATCH('Isaac 401k'!N1257,'Retirement Calculator'!A:A,0),0),0)</f>
        <v>0</v>
      </c>
      <c r="K1257" s="455">
        <f t="shared" ca="1" si="105"/>
        <v>-126171.58975303569</v>
      </c>
      <c r="L1257" s="455">
        <f t="shared" ca="1" si="106"/>
        <v>-30407353.130481604</v>
      </c>
      <c r="M1257" s="471">
        <f t="shared" si="109"/>
        <v>0.05</v>
      </c>
      <c r="N1257" s="475">
        <f t="shared" si="110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8"/>
        <v>-30407353.130481604</v>
      </c>
      <c r="J1258" s="455">
        <f t="array" ref="J1258">IFERROR(INDEX('Retirement Calculator'!J:J,MATCH('Isaac 401k'!N1258,'Retirement Calculator'!A:A,0),0),0)</f>
        <v>0</v>
      </c>
      <c r="K1258" s="455">
        <f t="shared" ca="1" si="105"/>
        <v>-126697.30471034002</v>
      </c>
      <c r="L1258" s="455">
        <f t="shared" ca="1" si="106"/>
        <v>-30534050.435191944</v>
      </c>
      <c r="M1258" s="471">
        <f t="shared" si="109"/>
        <v>0.05</v>
      </c>
      <c r="N1258" s="475">
        <f t="shared" si="110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8"/>
        <v>-30534050.435191944</v>
      </c>
      <c r="J1259" s="455">
        <f t="array" ref="J1259">IFERROR(INDEX('Retirement Calculator'!J:J,MATCH('Isaac 401k'!N1259,'Retirement Calculator'!A:A,0),0),0)</f>
        <v>0</v>
      </c>
      <c r="K1259" s="455">
        <f t="shared" ca="1" si="105"/>
        <v>-127225.21014663311</v>
      </c>
      <c r="L1259" s="455">
        <f t="shared" ca="1" si="106"/>
        <v>-30661275.645338576</v>
      </c>
      <c r="M1259" s="471">
        <f t="shared" si="109"/>
        <v>0.05</v>
      </c>
      <c r="N1259" s="475">
        <f t="shared" si="110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8"/>
        <v>-30661275.645338576</v>
      </c>
      <c r="J1260" s="455">
        <f t="array" ref="J1260">IFERROR(INDEX('Retirement Calculator'!J:J,MATCH('Isaac 401k'!N1260,'Retirement Calculator'!A:A,0),0),0)</f>
        <v>0</v>
      </c>
      <c r="K1260" s="455">
        <f t="shared" ca="1" si="105"/>
        <v>-127755.31518891074</v>
      </c>
      <c r="L1260" s="455">
        <f t="shared" ca="1" si="106"/>
        <v>-30789030.960527487</v>
      </c>
      <c r="M1260" s="471">
        <f t="shared" si="109"/>
        <v>0.05</v>
      </c>
      <c r="N1260" s="475">
        <f t="shared" si="110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8"/>
        <v>-30789030.960527487</v>
      </c>
      <c r="J1261" s="455">
        <f t="array" ref="J1261">IFERROR(INDEX('Retirement Calculator'!J:J,MATCH('Isaac 401k'!N1261,'Retirement Calculator'!A:A,0),0),0)</f>
        <v>0</v>
      </c>
      <c r="K1261" s="455">
        <f t="shared" ca="1" si="105"/>
        <v>-128287.62900219785</v>
      </c>
      <c r="L1261" s="455">
        <f t="shared" ca="1" si="106"/>
        <v>-30917318.589529686</v>
      </c>
      <c r="M1261" s="471">
        <f t="shared" si="109"/>
        <v>0.05</v>
      </c>
      <c r="N1261" s="475">
        <f t="shared" si="110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8"/>
        <v>-30917318.589529686</v>
      </c>
      <c r="J1262" s="455">
        <f t="array" ref="J1262">IFERROR(INDEX('Retirement Calculator'!J:J,MATCH('Isaac 401k'!N1262,'Retirement Calculator'!A:A,0),0),0)</f>
        <v>0</v>
      </c>
      <c r="K1262" s="455">
        <f t="shared" ca="1" si="105"/>
        <v>-128822.16078970702</v>
      </c>
      <c r="L1262" s="455">
        <f t="shared" ca="1" si="106"/>
        <v>-31046140.750319391</v>
      </c>
      <c r="M1262" s="471">
        <f t="shared" si="109"/>
        <v>0.05</v>
      </c>
      <c r="N1262" s="475">
        <f t="shared" si="110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8"/>
        <v>-31046140.750319391</v>
      </c>
      <c r="J1263" s="455">
        <f t="array" ref="J1263">IFERROR(INDEX('Retirement Calculator'!J:J,MATCH('Isaac 401k'!N1263,'Retirement Calculator'!A:A,0),0),0)</f>
        <v>0</v>
      </c>
      <c r="K1263" s="455">
        <f t="shared" ca="1" si="105"/>
        <v>-129358.91979299746</v>
      </c>
      <c r="L1263" s="455">
        <f t="shared" ca="1" si="106"/>
        <v>-31175499.67011239</v>
      </c>
      <c r="M1263" s="471">
        <f t="shared" si="109"/>
        <v>0.05</v>
      </c>
      <c r="N1263" s="475">
        <f t="shared" si="110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8"/>
        <v>-31175499.67011239</v>
      </c>
      <c r="J1264" s="455">
        <f t="array" ref="J1264">IFERROR(INDEX('Retirement Calculator'!J:J,MATCH('Isaac 401k'!N1264,'Retirement Calculator'!A:A,0),0),0)</f>
        <v>0</v>
      </c>
      <c r="K1264" s="455">
        <f t="shared" ca="1" si="105"/>
        <v>-129897.91529213496</v>
      </c>
      <c r="L1264" s="455">
        <f t="shared" ca="1" si="106"/>
        <v>-31305397.585404526</v>
      </c>
      <c r="M1264" s="471">
        <f t="shared" si="109"/>
        <v>0.05</v>
      </c>
      <c r="N1264" s="475">
        <f t="shared" si="110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8"/>
        <v>-31305397.585404526</v>
      </c>
      <c r="J1265" s="455">
        <f t="array" ref="J1265">IFERROR(INDEX('Retirement Calculator'!J:J,MATCH('Isaac 401k'!N1265,'Retirement Calculator'!A:A,0),0),0)</f>
        <v>0</v>
      </c>
      <c r="K1265" s="455">
        <f t="shared" ca="1" si="105"/>
        <v>-130439.1566058522</v>
      </c>
      <c r="L1265" s="455">
        <f t="shared" ca="1" si="106"/>
        <v>-31435836.742010377</v>
      </c>
      <c r="M1265" s="471">
        <f t="shared" si="109"/>
        <v>0.05</v>
      </c>
      <c r="N1265" s="475">
        <f t="shared" si="110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8"/>
        <v>-31435836.742010377</v>
      </c>
      <c r="J1266" s="455">
        <f t="array" ref="J1266">IFERROR(INDEX('Retirement Calculator'!J:J,MATCH('Isaac 401k'!N1266,'Retirement Calculator'!A:A,0),0),0)</f>
        <v>0</v>
      </c>
      <c r="K1266" s="455">
        <f t="shared" ca="1" si="105"/>
        <v>-130982.6530917099</v>
      </c>
      <c r="L1266" s="455">
        <f t="shared" ca="1" si="106"/>
        <v>-31566819.395102087</v>
      </c>
      <c r="M1266" s="471">
        <f t="shared" si="109"/>
        <v>0.05</v>
      </c>
      <c r="N1266" s="475">
        <f t="shared" si="110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8"/>
        <v>-31566819.395102087</v>
      </c>
      <c r="J1267" s="455">
        <f t="array" ref="J1267">IFERROR(INDEX('Retirement Calculator'!J:J,MATCH('Isaac 401k'!N1267,'Retirement Calculator'!A:A,0),0),0)</f>
        <v>0</v>
      </c>
      <c r="K1267" s="455">
        <f t="shared" ca="1" si="105"/>
        <v>-131528.4141462587</v>
      </c>
      <c r="L1267" s="455">
        <f t="shared" ca="1" si="106"/>
        <v>-31698347.809248347</v>
      </c>
      <c r="M1267" s="471">
        <f t="shared" si="109"/>
        <v>0.05</v>
      </c>
      <c r="N1267" s="475">
        <f t="shared" si="110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8"/>
        <v>-31698347.809248347</v>
      </c>
      <c r="J1268" s="455">
        <f t="array" ref="J1268">IFERROR(INDEX('Retirement Calculator'!J:J,MATCH('Isaac 401k'!N1268,'Retirement Calculator'!A:A,0),0),0)</f>
        <v>0</v>
      </c>
      <c r="K1268" s="455">
        <f t="shared" ca="1" si="105"/>
        <v>-132076.44920520144</v>
      </c>
      <c r="L1268" s="455">
        <f t="shared" ca="1" si="106"/>
        <v>-31830424.258453548</v>
      </c>
      <c r="M1268" s="471">
        <f t="shared" si="109"/>
        <v>0.05</v>
      </c>
      <c r="N1268" s="475">
        <f t="shared" si="110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8"/>
        <v>-31830424.258453548</v>
      </c>
      <c r="J1269" s="455">
        <f t="array" ref="J1269">IFERROR(INDEX('Retirement Calculator'!J:J,MATCH('Isaac 401k'!N1269,'Retirement Calculator'!A:A,0),0),0)</f>
        <v>0</v>
      </c>
      <c r="K1269" s="455">
        <f t="shared" ca="1" si="105"/>
        <v>-132626.76774355644</v>
      </c>
      <c r="L1269" s="455">
        <f t="shared" ca="1" si="106"/>
        <v>-31963051.026197106</v>
      </c>
      <c r="M1269" s="471">
        <f t="shared" si="109"/>
        <v>0.05</v>
      </c>
      <c r="N1269" s="475">
        <f t="shared" si="110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8"/>
        <v>-31963051.026197106</v>
      </c>
      <c r="J1270" s="455">
        <f t="array" ref="J1270">IFERROR(INDEX('Retirement Calculator'!J:J,MATCH('Isaac 401k'!N1270,'Retirement Calculator'!A:A,0),0),0)</f>
        <v>0</v>
      </c>
      <c r="K1270" s="455">
        <f t="shared" ca="1" si="105"/>
        <v>-133179.37927582127</v>
      </c>
      <c r="L1270" s="455">
        <f t="shared" ca="1" si="106"/>
        <v>-32096230.405472927</v>
      </c>
      <c r="M1270" s="471">
        <f t="shared" si="109"/>
        <v>0.05</v>
      </c>
      <c r="N1270" s="475">
        <f t="shared" si="110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8"/>
        <v>-32096230.405472927</v>
      </c>
      <c r="J1271" s="455">
        <f t="array" ref="J1271">IFERROR(INDEX('Retirement Calculator'!J:J,MATCH('Isaac 401k'!N1271,'Retirement Calculator'!A:A,0),0),0)</f>
        <v>0</v>
      </c>
      <c r="K1271" s="455">
        <f t="shared" ca="1" si="105"/>
        <v>-133734.2933561372</v>
      </c>
      <c r="L1271" s="455">
        <f t="shared" ca="1" si="106"/>
        <v>-32229964.698829062</v>
      </c>
      <c r="M1271" s="471">
        <f t="shared" si="109"/>
        <v>0.05</v>
      </c>
      <c r="N1271" s="475">
        <f t="shared" si="110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8"/>
        <v>-32229964.698829062</v>
      </c>
      <c r="J1272" s="455">
        <f t="array" ref="J1272">IFERROR(INDEX('Retirement Calculator'!J:J,MATCH('Isaac 401k'!N1272,'Retirement Calculator'!A:A,0),0),0)</f>
        <v>0</v>
      </c>
      <c r="K1272" s="455">
        <f t="shared" ca="1" si="105"/>
        <v>-134291.5195784544</v>
      </c>
      <c r="L1272" s="455">
        <f t="shared" ca="1" si="106"/>
        <v>-32364256.218407515</v>
      </c>
      <c r="M1272" s="471">
        <f t="shared" si="109"/>
        <v>0.05</v>
      </c>
      <c r="N1272" s="475">
        <f t="shared" si="110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8"/>
        <v>-32364256.218407515</v>
      </c>
      <c r="J1273" s="455">
        <f t="array" ref="J1273">IFERROR(INDEX('Retirement Calculator'!J:J,MATCH('Isaac 401k'!N1273,'Retirement Calculator'!A:A,0),0),0)</f>
        <v>0</v>
      </c>
      <c r="K1273" s="455">
        <f t="shared" ca="1" si="105"/>
        <v>-134851.06757669797</v>
      </c>
      <c r="L1273" s="455">
        <f t="shared" ca="1" si="106"/>
        <v>-32499107.285984214</v>
      </c>
      <c r="M1273" s="471">
        <f t="shared" si="109"/>
        <v>0.05</v>
      </c>
      <c r="N1273" s="475">
        <f t="shared" si="110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8"/>
        <v>-32499107.285984214</v>
      </c>
      <c r="J1274" s="455">
        <f t="array" ref="J1274">IFERROR(INDEX('Retirement Calculator'!J:J,MATCH('Isaac 401k'!N1274,'Retirement Calculator'!A:A,0),0),0)</f>
        <v>0</v>
      </c>
      <c r="K1274" s="455">
        <f t="shared" ca="1" si="105"/>
        <v>-135412.94702493423</v>
      </c>
      <c r="L1274" s="455">
        <f t="shared" ca="1" si="106"/>
        <v>-32634520.233009148</v>
      </c>
      <c r="M1274" s="471">
        <f t="shared" si="109"/>
        <v>0.05</v>
      </c>
      <c r="N1274" s="475">
        <f t="shared" si="110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8"/>
        <v>-32634520.233009148</v>
      </c>
      <c r="J1275" s="455">
        <f t="array" ref="J1275">IFERROR(INDEX('Retirement Calculator'!J:J,MATCH('Isaac 401k'!N1275,'Retirement Calculator'!A:A,0),0),0)</f>
        <v>0</v>
      </c>
      <c r="K1275" s="455">
        <f t="shared" ca="1" si="105"/>
        <v>-135977.16763753811</v>
      </c>
      <c r="L1275" s="455">
        <f t="shared" ca="1" si="106"/>
        <v>-32770497.400646687</v>
      </c>
      <c r="M1275" s="471">
        <f t="shared" si="109"/>
        <v>0.05</v>
      </c>
      <c r="N1275" s="475">
        <f t="shared" si="110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8"/>
        <v>-32770497.400646687</v>
      </c>
      <c r="J1276" s="455">
        <f t="array" ref="J1276">IFERROR(INDEX('Retirement Calculator'!J:J,MATCH('Isaac 401k'!N1276,'Retirement Calculator'!A:A,0),0),0)</f>
        <v>0</v>
      </c>
      <c r="K1276" s="455">
        <f t="shared" ca="1" si="105"/>
        <v>-136543.73916936119</v>
      </c>
      <c r="L1276" s="455">
        <f t="shared" ca="1" si="106"/>
        <v>-32907041.139816049</v>
      </c>
      <c r="M1276" s="471">
        <f t="shared" si="109"/>
        <v>0.05</v>
      </c>
      <c r="N1276" s="475">
        <f t="shared" si="110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8"/>
        <v>-32907041.139816049</v>
      </c>
      <c r="J1277" s="455">
        <f t="array" ref="J1277">IFERROR(INDEX('Retirement Calculator'!J:J,MATCH('Isaac 401k'!N1277,'Retirement Calculator'!A:A,0),0),0)</f>
        <v>0</v>
      </c>
      <c r="K1277" s="455">
        <f t="shared" ca="1" si="105"/>
        <v>-137112.67141590023</v>
      </c>
      <c r="L1277" s="455">
        <f t="shared" ca="1" si="106"/>
        <v>-33044153.811231948</v>
      </c>
      <c r="M1277" s="471">
        <f t="shared" si="109"/>
        <v>0.05</v>
      </c>
      <c r="N1277" s="475">
        <f t="shared" si="110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8"/>
        <v>-33044153.811231948</v>
      </c>
      <c r="J1278" s="455">
        <f t="array" ref="J1278">IFERROR(INDEX('Retirement Calculator'!J:J,MATCH('Isaac 401k'!N1278,'Retirement Calculator'!A:A,0),0),0)</f>
        <v>0</v>
      </c>
      <c r="K1278" s="455">
        <f t="shared" ca="1" si="105"/>
        <v>-137683.97421346646</v>
      </c>
      <c r="L1278" s="455">
        <f t="shared" ca="1" si="106"/>
        <v>-33181837.785445414</v>
      </c>
      <c r="M1278" s="471">
        <f t="shared" si="109"/>
        <v>0.05</v>
      </c>
      <c r="N1278" s="475">
        <f t="shared" si="110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8"/>
        <v>-33181837.785445414</v>
      </c>
      <c r="J1279" s="455">
        <f t="array" ref="J1279">IFERROR(INDEX('Retirement Calculator'!J:J,MATCH('Isaac 401k'!N1279,'Retirement Calculator'!A:A,0),0),0)</f>
        <v>0</v>
      </c>
      <c r="K1279" s="455">
        <f t="shared" ca="1" si="105"/>
        <v>-138257.65743935588</v>
      </c>
      <c r="L1279" s="455">
        <f t="shared" ca="1" si="106"/>
        <v>-33320095.442884769</v>
      </c>
      <c r="M1279" s="471">
        <f t="shared" si="109"/>
        <v>0.05</v>
      </c>
      <c r="N1279" s="475">
        <f t="shared" si="110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8"/>
        <v>-33320095.442884769</v>
      </c>
      <c r="J1280" s="455">
        <f t="array" ref="J1280">IFERROR(INDEX('Retirement Calculator'!J:J,MATCH('Isaac 401k'!N1280,'Retirement Calculator'!A:A,0),0),0)</f>
        <v>0</v>
      </c>
      <c r="K1280" s="455">
        <f t="shared" ca="1" si="105"/>
        <v>-138833.73101201988</v>
      </c>
      <c r="L1280" s="455">
        <f t="shared" ca="1" si="106"/>
        <v>-33458929.17389679</v>
      </c>
      <c r="M1280" s="471">
        <f t="shared" si="109"/>
        <v>0.05</v>
      </c>
      <c r="N1280" s="475">
        <f t="shared" si="110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8"/>
        <v>-33458929.17389679</v>
      </c>
      <c r="J1281" s="455">
        <f t="array" ref="J1281">IFERROR(INDEX('Retirement Calculator'!J:J,MATCH('Isaac 401k'!N1281,'Retirement Calculator'!A:A,0),0),0)</f>
        <v>0</v>
      </c>
      <c r="K1281" s="455">
        <f t="shared" ca="1" si="105"/>
        <v>-139412.20489123662</v>
      </c>
      <c r="L1281" s="455">
        <f t="shared" ca="1" si="106"/>
        <v>-33598341.378788024</v>
      </c>
      <c r="M1281" s="471">
        <f t="shared" si="109"/>
        <v>0.05</v>
      </c>
      <c r="N1281" s="475">
        <f t="shared" si="110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8"/>
        <v>-33598341.378788024</v>
      </c>
      <c r="J1282" s="455">
        <f t="array" ref="J1282">IFERROR(INDEX('Retirement Calculator'!J:J,MATCH('Isaac 401k'!N1282,'Retirement Calculator'!A:A,0),0),0)</f>
        <v>0</v>
      </c>
      <c r="K1282" s="455">
        <f t="shared" ca="1" si="105"/>
        <v>-139993.08907828343</v>
      </c>
      <c r="L1282" s="455">
        <f t="shared" ca="1" si="106"/>
        <v>-33738334.467866309</v>
      </c>
      <c r="M1282" s="471">
        <f t="shared" si="109"/>
        <v>0.05</v>
      </c>
      <c r="N1282" s="475">
        <f t="shared" si="110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8"/>
        <v>-33738334.467866309</v>
      </c>
      <c r="J1283" s="455">
        <f t="array" ref="J1283">IFERROR(INDEX('Retirement Calculator'!J:J,MATCH('Isaac 401k'!N1283,'Retirement Calculator'!A:A,0),0),0)</f>
        <v>0</v>
      </c>
      <c r="K1283" s="455">
        <f t="shared" ref="K1283:K1537" ca="1" si="126">IPMT(M1283/12,1,12,-I1283+J1283,,0)</f>
        <v>-140576.39361610962</v>
      </c>
      <c r="L1283" s="455">
        <f t="shared" ref="L1283:L1537" ca="1" si="127">I1283-J1283+K1283</f>
        <v>-33878910.861482419</v>
      </c>
      <c r="M1283" s="471">
        <f t="shared" si="109"/>
        <v>0.05</v>
      </c>
      <c r="N1283" s="475">
        <f t="shared" si="110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28">L1283</f>
        <v>-33878910.861482419</v>
      </c>
      <c r="J1284" s="455">
        <f t="array" ref="J1284">IFERROR(INDEX('Retirement Calculator'!J:J,MATCH('Isaac 401k'!N1284,'Retirement Calculator'!A:A,0),0),0)</f>
        <v>0</v>
      </c>
      <c r="K1284" s="455">
        <f t="shared" ca="1" si="126"/>
        <v>-141162.12858951007</v>
      </c>
      <c r="L1284" s="455">
        <f t="shared" ca="1" si="127"/>
        <v>-34020072.99007193</v>
      </c>
      <c r="M1284" s="471">
        <f t="shared" ref="M1284:M1538" si="129">M1283</f>
        <v>0.05</v>
      </c>
      <c r="N1284" s="475">
        <f t="shared" ref="N1284:N1538" si="130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28"/>
        <v>-34020072.99007193</v>
      </c>
      <c r="J1285" s="455">
        <f t="array" ref="J1285">IFERROR(INDEX('Retirement Calculator'!J:J,MATCH('Isaac 401k'!N1285,'Retirement Calculator'!A:A,0),0),0)</f>
        <v>0</v>
      </c>
      <c r="K1285" s="455">
        <f t="shared" ca="1" si="126"/>
        <v>-141750.30412529971</v>
      </c>
      <c r="L1285" s="455">
        <f t="shared" ca="1" si="127"/>
        <v>-34161823.294197232</v>
      </c>
      <c r="M1285" s="471">
        <f t="shared" si="129"/>
        <v>0.05</v>
      </c>
      <c r="N1285" s="475">
        <f t="shared" si="130"/>
        <v>90156</v>
      </c>
    </row>
    <row r="1286" spans="7:14" ht="11.25" customHeight="1" x14ac:dyDescent="0.3">
      <c r="G1286" s="470"/>
      <c r="H1286" s="470">
        <v>1279</v>
      </c>
      <c r="I1286" s="455">
        <f t="shared" ca="1" si="128"/>
        <v>-34161823.294197232</v>
      </c>
      <c r="J1286" s="455">
        <f t="array" ref="J1286">IFERROR(INDEX('Retirement Calculator'!J:J,MATCH('Isaac 401k'!N1286,'Retirement Calculator'!A:A,0),0),0)</f>
        <v>0</v>
      </c>
      <c r="K1286" s="455">
        <f t="shared" ca="1" si="126"/>
        <v>-142340.93039248846</v>
      </c>
      <c r="L1286" s="455">
        <f t="shared" ca="1" si="127"/>
        <v>-34304164.22458972</v>
      </c>
      <c r="M1286" s="471">
        <f t="shared" si="129"/>
        <v>0.05</v>
      </c>
      <c r="N1286" s="475">
        <f t="shared" si="130"/>
        <v>90186</v>
      </c>
    </row>
    <row r="1287" spans="7:14" ht="11.25" customHeight="1" x14ac:dyDescent="0.3">
      <c r="G1287" s="470"/>
      <c r="H1287" s="470">
        <v>1280</v>
      </c>
      <c r="I1287" s="455">
        <f t="shared" ca="1" si="128"/>
        <v>-34304164.22458972</v>
      </c>
      <c r="J1287" s="455">
        <f t="array" ref="J1287">IFERROR(INDEX('Retirement Calculator'!J:J,MATCH('Isaac 401k'!N1287,'Retirement Calculator'!A:A,0),0),0)</f>
        <v>0</v>
      </c>
      <c r="K1287" s="455">
        <f t="shared" ca="1" si="126"/>
        <v>-142934.01760245717</v>
      </c>
      <c r="L1287" s="455">
        <f t="shared" ca="1" si="127"/>
        <v>-34447098.242192179</v>
      </c>
      <c r="M1287" s="471">
        <f t="shared" si="129"/>
        <v>0.05</v>
      </c>
      <c r="N1287" s="475">
        <f t="shared" si="130"/>
        <v>90217</v>
      </c>
    </row>
    <row r="1288" spans="7:14" ht="11.25" customHeight="1" x14ac:dyDescent="0.3">
      <c r="G1288" s="470"/>
      <c r="H1288" s="470">
        <v>1281</v>
      </c>
      <c r="I1288" s="455">
        <f t="shared" ca="1" si="128"/>
        <v>-34447098.242192179</v>
      </c>
      <c r="J1288" s="455">
        <f t="array" ref="J1288">IFERROR(INDEX('Retirement Calculator'!J:J,MATCH('Isaac 401k'!N1288,'Retirement Calculator'!A:A,0),0),0)</f>
        <v>0</v>
      </c>
      <c r="K1288" s="455">
        <f t="shared" ca="1" si="126"/>
        <v>-143529.57600913406</v>
      </c>
      <c r="L1288" s="455">
        <f t="shared" ca="1" si="127"/>
        <v>-34590627.818201311</v>
      </c>
      <c r="M1288" s="471">
        <f t="shared" si="129"/>
        <v>0.05</v>
      </c>
      <c r="N1288" s="475">
        <f t="shared" si="130"/>
        <v>90248</v>
      </c>
    </row>
    <row r="1289" spans="7:14" ht="11.25" customHeight="1" x14ac:dyDescent="0.3">
      <c r="G1289" s="470"/>
      <c r="H1289" s="470">
        <v>1282</v>
      </c>
      <c r="I1289" s="455">
        <f t="shared" ca="1" si="128"/>
        <v>-34590627.818201311</v>
      </c>
      <c r="J1289" s="455">
        <f t="array" ref="J1289">IFERROR(INDEX('Retirement Calculator'!J:J,MATCH('Isaac 401k'!N1289,'Retirement Calculator'!A:A,0),0),0)</f>
        <v>0</v>
      </c>
      <c r="K1289" s="455">
        <f t="shared" ca="1" si="126"/>
        <v>-144127.61590917213</v>
      </c>
      <c r="L1289" s="455">
        <f t="shared" ca="1" si="127"/>
        <v>-34734755.434110485</v>
      </c>
      <c r="M1289" s="471">
        <f t="shared" si="129"/>
        <v>0.05</v>
      </c>
      <c r="N1289" s="475">
        <f t="shared" si="130"/>
        <v>90276</v>
      </c>
    </row>
    <row r="1290" spans="7:14" ht="11.25" customHeight="1" x14ac:dyDescent="0.3">
      <c r="G1290" s="470"/>
      <c r="H1290" s="470">
        <v>1283</v>
      </c>
      <c r="I1290" s="455">
        <f t="shared" ca="1" si="128"/>
        <v>-34734755.434110485</v>
      </c>
      <c r="J1290" s="455">
        <f t="array" ref="J1290">IFERROR(INDEX('Retirement Calculator'!J:J,MATCH('Isaac 401k'!N1290,'Retirement Calculator'!A:A,0),0),0)</f>
        <v>0</v>
      </c>
      <c r="K1290" s="455">
        <f t="shared" ca="1" si="126"/>
        <v>-144728.14764212701</v>
      </c>
      <c r="L1290" s="455">
        <f t="shared" ca="1" si="127"/>
        <v>-34879483.581752613</v>
      </c>
      <c r="M1290" s="471">
        <f t="shared" si="129"/>
        <v>0.05</v>
      </c>
      <c r="N1290" s="475">
        <f t="shared" si="130"/>
        <v>90307</v>
      </c>
    </row>
    <row r="1291" spans="7:14" ht="11.25" customHeight="1" x14ac:dyDescent="0.3">
      <c r="G1291" s="470"/>
      <c r="H1291" s="470">
        <v>1284</v>
      </c>
      <c r="I1291" s="455">
        <f t="shared" ca="1" si="128"/>
        <v>-34879483.581752613</v>
      </c>
      <c r="J1291" s="455">
        <f t="array" ref="J1291">IFERROR(INDEX('Retirement Calculator'!J:J,MATCH('Isaac 401k'!N1291,'Retirement Calculator'!A:A,0),0),0)</f>
        <v>0</v>
      </c>
      <c r="K1291" s="455">
        <f t="shared" ca="1" si="126"/>
        <v>-145331.18159063588</v>
      </c>
      <c r="L1291" s="455">
        <f t="shared" ca="1" si="127"/>
        <v>-35024814.763343252</v>
      </c>
      <c r="M1291" s="471">
        <f t="shared" si="129"/>
        <v>0.05</v>
      </c>
      <c r="N1291" s="475">
        <f t="shared" si="130"/>
        <v>90337</v>
      </c>
    </row>
    <row r="1292" spans="7:14" ht="11.25" customHeight="1" x14ac:dyDescent="0.3">
      <c r="G1292" s="470"/>
      <c r="H1292" s="470">
        <v>1285</v>
      </c>
      <c r="I1292" s="455">
        <f t="shared" ca="1" si="128"/>
        <v>-35024814.763343252</v>
      </c>
      <c r="J1292" s="455">
        <f t="array" ref="J1292">IFERROR(INDEX('Retirement Calculator'!J:J,MATCH('Isaac 401k'!N1292,'Retirement Calculator'!A:A,0),0),0)</f>
        <v>0</v>
      </c>
      <c r="K1292" s="455">
        <f t="shared" ca="1" si="126"/>
        <v>-145936.7281805969</v>
      </c>
      <c r="L1292" s="455">
        <f t="shared" ca="1" si="127"/>
        <v>-35170751.491523847</v>
      </c>
      <c r="M1292" s="471">
        <f t="shared" si="129"/>
        <v>0.05</v>
      </c>
      <c r="N1292" s="475">
        <f t="shared" si="130"/>
        <v>90368</v>
      </c>
    </row>
    <row r="1293" spans="7:14" ht="11.25" customHeight="1" x14ac:dyDescent="0.3">
      <c r="G1293" s="470"/>
      <c r="H1293" s="470">
        <v>1286</v>
      </c>
      <c r="I1293" s="455">
        <f t="shared" ca="1" si="128"/>
        <v>-35170751.491523847</v>
      </c>
      <c r="J1293" s="455">
        <f t="array" ref="J1293">IFERROR(INDEX('Retirement Calculator'!J:J,MATCH('Isaac 401k'!N1293,'Retirement Calculator'!A:A,0),0),0)</f>
        <v>0</v>
      </c>
      <c r="K1293" s="455">
        <f t="shared" ca="1" si="126"/>
        <v>-146544.79788134937</v>
      </c>
      <c r="L1293" s="455">
        <f t="shared" ca="1" si="127"/>
        <v>-35317296.289405197</v>
      </c>
      <c r="M1293" s="471">
        <f t="shared" si="129"/>
        <v>0.05</v>
      </c>
      <c r="N1293" s="475">
        <f t="shared" si="130"/>
        <v>90398</v>
      </c>
    </row>
    <row r="1294" spans="7:14" ht="11.25" customHeight="1" x14ac:dyDescent="0.3">
      <c r="G1294" s="470"/>
      <c r="H1294" s="470">
        <v>1287</v>
      </c>
      <c r="I1294" s="455">
        <f t="shared" ca="1" si="128"/>
        <v>-35317296.289405197</v>
      </c>
      <c r="J1294" s="455">
        <f t="array" ref="J1294">IFERROR(INDEX('Retirement Calculator'!J:J,MATCH('Isaac 401k'!N1294,'Retirement Calculator'!A:A,0),0),0)</f>
        <v>0</v>
      </c>
      <c r="K1294" s="455">
        <f t="shared" ca="1" si="126"/>
        <v>-147155.40120585499</v>
      </c>
      <c r="L1294" s="455">
        <f t="shared" ca="1" si="127"/>
        <v>-35464451.69061105</v>
      </c>
      <c r="M1294" s="471">
        <f t="shared" si="129"/>
        <v>0.05</v>
      </c>
      <c r="N1294" s="475">
        <f t="shared" si="130"/>
        <v>90429</v>
      </c>
    </row>
    <row r="1295" spans="7:14" ht="11.25" customHeight="1" x14ac:dyDescent="0.3">
      <c r="G1295" s="470"/>
      <c r="H1295" s="470">
        <v>1288</v>
      </c>
      <c r="I1295" s="455">
        <f t="shared" ca="1" si="128"/>
        <v>-35464451.69061105</v>
      </c>
      <c r="J1295" s="455">
        <f t="array" ref="J1295">IFERROR(INDEX('Retirement Calculator'!J:J,MATCH('Isaac 401k'!N1295,'Retirement Calculator'!A:A,0),0),0)</f>
        <v>0</v>
      </c>
      <c r="K1295" s="455">
        <f t="shared" ca="1" si="126"/>
        <v>-147768.54871087937</v>
      </c>
      <c r="L1295" s="455">
        <f t="shared" ca="1" si="127"/>
        <v>-35612220.239321932</v>
      </c>
      <c r="M1295" s="471">
        <f t="shared" si="129"/>
        <v>0.05</v>
      </c>
      <c r="N1295" s="475">
        <f t="shared" si="130"/>
        <v>90460</v>
      </c>
    </row>
    <row r="1296" spans="7:14" ht="11.25" customHeight="1" x14ac:dyDescent="0.3">
      <c r="G1296" s="470"/>
      <c r="H1296" s="470">
        <v>1289</v>
      </c>
      <c r="I1296" s="455">
        <f t="shared" ca="1" si="128"/>
        <v>-35612220.239321932</v>
      </c>
      <c r="J1296" s="455">
        <f t="array" ref="J1296">IFERROR(INDEX('Retirement Calculator'!J:J,MATCH('Isaac 401k'!N1296,'Retirement Calculator'!A:A,0),0),0)</f>
        <v>0</v>
      </c>
      <c r="K1296" s="455">
        <f t="shared" ca="1" si="126"/>
        <v>-148384.25099717471</v>
      </c>
      <c r="L1296" s="455">
        <f t="shared" ca="1" si="127"/>
        <v>-35760604.49031911</v>
      </c>
      <c r="M1296" s="471">
        <f t="shared" si="129"/>
        <v>0.05</v>
      </c>
      <c r="N1296" s="475">
        <f t="shared" si="130"/>
        <v>90490</v>
      </c>
    </row>
    <row r="1297" spans="7:14" ht="11.25" customHeight="1" x14ac:dyDescent="0.3">
      <c r="G1297" s="470"/>
      <c r="H1297" s="470">
        <v>1290</v>
      </c>
      <c r="I1297" s="455">
        <f t="shared" ca="1" si="128"/>
        <v>-35760604.49031911</v>
      </c>
      <c r="J1297" s="455">
        <f t="array" ref="J1297">IFERROR(INDEX('Retirement Calculator'!J:J,MATCH('Isaac 401k'!N1297,'Retirement Calculator'!A:A,0),0),0)</f>
        <v>0</v>
      </c>
      <c r="K1297" s="455">
        <f t="shared" ca="1" si="126"/>
        <v>-149002.51870966295</v>
      </c>
      <c r="L1297" s="455">
        <f t="shared" ca="1" si="127"/>
        <v>-35909607.00902877</v>
      </c>
      <c r="M1297" s="471">
        <f t="shared" si="129"/>
        <v>0.05</v>
      </c>
      <c r="N1297" s="475">
        <f t="shared" si="130"/>
        <v>90521</v>
      </c>
    </row>
    <row r="1298" spans="7:14" ht="11.25" customHeight="1" x14ac:dyDescent="0.3">
      <c r="G1298" s="470"/>
      <c r="H1298" s="470">
        <v>1291</v>
      </c>
      <c r="I1298" s="455">
        <f t="shared" ca="1" si="128"/>
        <v>-35909607.00902877</v>
      </c>
      <c r="J1298" s="455">
        <f t="array" ref="J1298">IFERROR(INDEX('Retirement Calculator'!J:J,MATCH('Isaac 401k'!N1298,'Retirement Calculator'!A:A,0),0),0)</f>
        <v>0</v>
      </c>
      <c r="K1298" s="455">
        <f t="shared" ca="1" si="126"/>
        <v>-149623.36253761986</v>
      </c>
      <c r="L1298" s="455">
        <f t="shared" ca="1" si="127"/>
        <v>-36059230.371566392</v>
      </c>
      <c r="M1298" s="471">
        <f t="shared" si="129"/>
        <v>0.05</v>
      </c>
      <c r="N1298" s="475">
        <f t="shared" si="130"/>
        <v>90551</v>
      </c>
    </row>
    <row r="1299" spans="7:14" ht="11.25" customHeight="1" x14ac:dyDescent="0.3">
      <c r="G1299" s="470"/>
      <c r="H1299" s="470">
        <v>1292</v>
      </c>
      <c r="I1299" s="455">
        <f t="shared" ca="1" si="128"/>
        <v>-36059230.371566392</v>
      </c>
      <c r="J1299" s="455">
        <f t="array" ref="J1299">IFERROR(INDEX('Retirement Calculator'!J:J,MATCH('Isaac 401k'!N1299,'Retirement Calculator'!A:A,0),0),0)</f>
        <v>0</v>
      </c>
      <c r="K1299" s="455">
        <f t="shared" ca="1" si="126"/>
        <v>-150246.79321485996</v>
      </c>
      <c r="L1299" s="455">
        <f t="shared" ca="1" si="127"/>
        <v>-36209477.16478125</v>
      </c>
      <c r="M1299" s="471">
        <f t="shared" si="129"/>
        <v>0.05</v>
      </c>
      <c r="N1299" s="475">
        <f t="shared" si="130"/>
        <v>90582</v>
      </c>
    </row>
    <row r="1300" spans="7:14" ht="11.25" customHeight="1" x14ac:dyDescent="0.3">
      <c r="G1300" s="470"/>
      <c r="H1300" s="470">
        <v>1293</v>
      </c>
      <c r="I1300" s="455">
        <f t="shared" ca="1" si="128"/>
        <v>-36209477.16478125</v>
      </c>
      <c r="J1300" s="455">
        <f t="array" ref="J1300">IFERROR(INDEX('Retirement Calculator'!J:J,MATCH('Isaac 401k'!N1300,'Retirement Calculator'!A:A,0),0),0)</f>
        <v>0</v>
      </c>
      <c r="K1300" s="455">
        <f t="shared" ca="1" si="126"/>
        <v>-150872.82151992188</v>
      </c>
      <c r="L1300" s="455">
        <f t="shared" ca="1" si="127"/>
        <v>-36360349.986301169</v>
      </c>
      <c r="M1300" s="471">
        <f t="shared" si="129"/>
        <v>0.05</v>
      </c>
      <c r="N1300" s="475">
        <f t="shared" si="130"/>
        <v>90613</v>
      </c>
    </row>
    <row r="1301" spans="7:14" ht="11.25" customHeight="1" x14ac:dyDescent="0.3">
      <c r="G1301" s="470"/>
      <c r="H1301" s="470">
        <v>1294</v>
      </c>
      <c r="I1301" s="455">
        <f t="shared" ca="1" si="128"/>
        <v>-36360349.986301169</v>
      </c>
      <c r="J1301" s="455">
        <f t="array" ref="J1301">IFERROR(INDEX('Retirement Calculator'!J:J,MATCH('Isaac 401k'!N1301,'Retirement Calculator'!A:A,0),0),0)</f>
        <v>0</v>
      </c>
      <c r="K1301" s="455">
        <f t="shared" ca="1" si="126"/>
        <v>-151501.45827625488</v>
      </c>
      <c r="L1301" s="455">
        <f t="shared" ca="1" si="127"/>
        <v>-36511851.444577426</v>
      </c>
      <c r="M1301" s="471">
        <f t="shared" si="129"/>
        <v>0.05</v>
      </c>
      <c r="N1301" s="475">
        <f t="shared" si="130"/>
        <v>90642</v>
      </c>
    </row>
    <row r="1302" spans="7:14" ht="11.25" customHeight="1" x14ac:dyDescent="0.3">
      <c r="G1302" s="470"/>
      <c r="H1302" s="470">
        <v>1295</v>
      </c>
      <c r="I1302" s="455">
        <f t="shared" ca="1" si="128"/>
        <v>-36511851.444577426</v>
      </c>
      <c r="J1302" s="455">
        <f t="array" ref="J1302">IFERROR(INDEX('Retirement Calculator'!J:J,MATCH('Isaac 401k'!N1302,'Retirement Calculator'!A:A,0),0),0)</f>
        <v>0</v>
      </c>
      <c r="K1302" s="455">
        <f t="shared" ca="1" si="126"/>
        <v>-152132.71435240595</v>
      </c>
      <c r="L1302" s="455">
        <f t="shared" ca="1" si="127"/>
        <v>-36663984.158929832</v>
      </c>
      <c r="M1302" s="471">
        <f t="shared" si="129"/>
        <v>0.05</v>
      </c>
      <c r="N1302" s="475">
        <f t="shared" si="130"/>
        <v>90673</v>
      </c>
    </row>
    <row r="1303" spans="7:14" ht="11.25" customHeight="1" x14ac:dyDescent="0.3">
      <c r="G1303" s="470"/>
      <c r="H1303" s="470">
        <v>1296</v>
      </c>
      <c r="I1303" s="455">
        <f t="shared" ca="1" si="128"/>
        <v>-36663984.158929832</v>
      </c>
      <c r="J1303" s="455">
        <f t="array" ref="J1303">IFERROR(INDEX('Retirement Calculator'!J:J,MATCH('Isaac 401k'!N1303,'Retirement Calculator'!A:A,0),0),0)</f>
        <v>0</v>
      </c>
      <c r="K1303" s="455">
        <f t="shared" ca="1" si="126"/>
        <v>-152766.60066220764</v>
      </c>
      <c r="L1303" s="455">
        <f t="shared" ca="1" si="127"/>
        <v>-36816750.759592041</v>
      </c>
      <c r="M1303" s="471">
        <f t="shared" si="129"/>
        <v>0.05</v>
      </c>
      <c r="N1303" s="475">
        <f t="shared" si="130"/>
        <v>90703</v>
      </c>
    </row>
    <row r="1304" spans="7:14" ht="11.25" customHeight="1" x14ac:dyDescent="0.3">
      <c r="G1304" s="470"/>
      <c r="H1304" s="470">
        <v>1297</v>
      </c>
      <c r="I1304" s="455">
        <f t="shared" ca="1" si="128"/>
        <v>-36816750.759592041</v>
      </c>
      <c r="J1304" s="455">
        <f t="array" ref="J1304">IFERROR(INDEX('Retirement Calculator'!J:J,MATCH('Isaac 401k'!N1304,'Retirement Calculator'!A:A,0),0),0)</f>
        <v>0</v>
      </c>
      <c r="K1304" s="455">
        <f t="shared" ca="1" si="126"/>
        <v>-153403.12816496682</v>
      </c>
      <c r="L1304" s="455">
        <f t="shared" ca="1" si="127"/>
        <v>-36970153.887757011</v>
      </c>
      <c r="M1304" s="471">
        <f t="shared" si="129"/>
        <v>0.05</v>
      </c>
      <c r="N1304" s="475">
        <f t="shared" si="130"/>
        <v>90734</v>
      </c>
    </row>
    <row r="1305" spans="7:14" ht="11.25" customHeight="1" x14ac:dyDescent="0.3">
      <c r="G1305" s="470"/>
      <c r="H1305" s="470">
        <v>1298</v>
      </c>
      <c r="I1305" s="455">
        <f t="shared" ca="1" si="128"/>
        <v>-36970153.887757011</v>
      </c>
      <c r="J1305" s="455">
        <f t="array" ref="J1305">IFERROR(INDEX('Retirement Calculator'!J:J,MATCH('Isaac 401k'!N1305,'Retirement Calculator'!A:A,0),0),0)</f>
        <v>0</v>
      </c>
      <c r="K1305" s="455">
        <f t="shared" ca="1" si="126"/>
        <v>-154042.30786565421</v>
      </c>
      <c r="L1305" s="455">
        <f t="shared" ca="1" si="127"/>
        <v>-37124196.195622668</v>
      </c>
      <c r="M1305" s="471">
        <f t="shared" si="129"/>
        <v>0.05</v>
      </c>
      <c r="N1305" s="475">
        <f t="shared" si="130"/>
        <v>90764</v>
      </c>
    </row>
    <row r="1306" spans="7:14" ht="11.25" customHeight="1" x14ac:dyDescent="0.3">
      <c r="G1306" s="470"/>
      <c r="H1306" s="470">
        <v>1299</v>
      </c>
      <c r="I1306" s="455">
        <f t="shared" ca="1" si="128"/>
        <v>-37124196.195622668</v>
      </c>
      <c r="J1306" s="455">
        <f t="array" ref="J1306">IFERROR(INDEX('Retirement Calculator'!J:J,MATCH('Isaac 401k'!N1306,'Retirement Calculator'!A:A,0),0),0)</f>
        <v>0</v>
      </c>
      <c r="K1306" s="455">
        <f t="shared" ca="1" si="126"/>
        <v>-154684.15081509444</v>
      </c>
      <c r="L1306" s="455">
        <f t="shared" ca="1" si="127"/>
        <v>-37278880.34643776</v>
      </c>
      <c r="M1306" s="471">
        <f t="shared" si="129"/>
        <v>0.05</v>
      </c>
      <c r="N1306" s="475">
        <f t="shared" si="130"/>
        <v>90795</v>
      </c>
    </row>
    <row r="1307" spans="7:14" ht="11.25" customHeight="1" x14ac:dyDescent="0.3">
      <c r="G1307" s="470"/>
      <c r="H1307" s="470">
        <v>1300</v>
      </c>
      <c r="I1307" s="455">
        <f t="shared" ca="1" si="128"/>
        <v>-37278880.34643776</v>
      </c>
      <c r="J1307" s="455">
        <f t="array" ref="J1307">IFERROR(INDEX('Retirement Calculator'!J:J,MATCH('Isaac 401k'!N1307,'Retirement Calculator'!A:A,0),0),0)</f>
        <v>0</v>
      </c>
      <c r="K1307" s="455">
        <f t="shared" ca="1" si="126"/>
        <v>-155328.66811015733</v>
      </c>
      <c r="L1307" s="455">
        <f t="shared" ca="1" si="127"/>
        <v>-37434209.014547914</v>
      </c>
      <c r="M1307" s="471">
        <f t="shared" si="129"/>
        <v>0.05</v>
      </c>
      <c r="N1307" s="475">
        <f t="shared" si="130"/>
        <v>90826</v>
      </c>
    </row>
    <row r="1308" spans="7:14" ht="11.25" customHeight="1" x14ac:dyDescent="0.3">
      <c r="G1308" s="470"/>
      <c r="H1308" s="470">
        <v>1301</v>
      </c>
      <c r="I1308" s="455">
        <f t="shared" ca="1" si="128"/>
        <v>-37434209.014547914</v>
      </c>
      <c r="J1308" s="455">
        <f t="array" ref="J1308">IFERROR(INDEX('Retirement Calculator'!J:J,MATCH('Isaac 401k'!N1308,'Retirement Calculator'!A:A,0),0),0)</f>
        <v>0</v>
      </c>
      <c r="K1308" s="455">
        <f t="shared" ca="1" si="126"/>
        <v>-155975.87089394964</v>
      </c>
      <c r="L1308" s="455">
        <f t="shared" ca="1" si="127"/>
        <v>-37590184.885441862</v>
      </c>
      <c r="M1308" s="471">
        <f t="shared" si="129"/>
        <v>0.05</v>
      </c>
      <c r="N1308" s="475">
        <f t="shared" si="130"/>
        <v>90856</v>
      </c>
    </row>
    <row r="1309" spans="7:14" ht="11.25" customHeight="1" x14ac:dyDescent="0.3">
      <c r="G1309" s="470"/>
      <c r="H1309" s="470">
        <v>1302</v>
      </c>
      <c r="I1309" s="455">
        <f t="shared" ca="1" si="128"/>
        <v>-37590184.885441862</v>
      </c>
      <c r="J1309" s="455">
        <f t="array" ref="J1309">IFERROR(INDEX('Retirement Calculator'!J:J,MATCH('Isaac 401k'!N1309,'Retirement Calculator'!A:A,0),0),0)</f>
        <v>0</v>
      </c>
      <c r="K1309" s="455">
        <f t="shared" ca="1" si="126"/>
        <v>-156625.77035600776</v>
      </c>
      <c r="L1309" s="455">
        <f t="shared" ca="1" si="127"/>
        <v>-37746810.655797869</v>
      </c>
      <c r="M1309" s="471">
        <f t="shared" si="129"/>
        <v>0.05</v>
      </c>
      <c r="N1309" s="475">
        <f t="shared" si="130"/>
        <v>90887</v>
      </c>
    </row>
    <row r="1310" spans="7:14" ht="11.25" customHeight="1" x14ac:dyDescent="0.3">
      <c r="G1310" s="470"/>
      <c r="H1310" s="470">
        <v>1303</v>
      </c>
      <c r="I1310" s="455">
        <f t="shared" ca="1" si="128"/>
        <v>-37746810.655797869</v>
      </c>
      <c r="J1310" s="455">
        <f t="array" ref="J1310">IFERROR(INDEX('Retirement Calculator'!J:J,MATCH('Isaac 401k'!N1310,'Retirement Calculator'!A:A,0),0),0)</f>
        <v>0</v>
      </c>
      <c r="K1310" s="455">
        <f t="shared" ca="1" si="126"/>
        <v>-157278.37773249112</v>
      </c>
      <c r="L1310" s="455">
        <f t="shared" ca="1" si="127"/>
        <v>-37904089.033530362</v>
      </c>
      <c r="M1310" s="471">
        <f t="shared" si="129"/>
        <v>0.05</v>
      </c>
      <c r="N1310" s="475">
        <f t="shared" si="130"/>
        <v>90917</v>
      </c>
    </row>
    <row r="1311" spans="7:14" ht="11.25" customHeight="1" x14ac:dyDescent="0.3">
      <c r="G1311" s="470"/>
      <c r="H1311" s="470">
        <v>1304</v>
      </c>
      <c r="I1311" s="455">
        <f t="shared" ca="1" si="128"/>
        <v>-37904089.033530362</v>
      </c>
      <c r="J1311" s="455">
        <f t="array" ref="J1311">IFERROR(INDEX('Retirement Calculator'!J:J,MATCH('Isaac 401k'!N1311,'Retirement Calculator'!A:A,0),0),0)</f>
        <v>0</v>
      </c>
      <c r="K1311" s="455">
        <f t="shared" ca="1" si="126"/>
        <v>-157933.70430637652</v>
      </c>
      <c r="L1311" s="455">
        <f t="shared" ca="1" si="127"/>
        <v>-38062022.737836741</v>
      </c>
      <c r="M1311" s="471">
        <f t="shared" si="129"/>
        <v>0.05</v>
      </c>
      <c r="N1311" s="475">
        <f t="shared" si="130"/>
        <v>90948</v>
      </c>
    </row>
    <row r="1312" spans="7:14" ht="11.25" customHeight="1" x14ac:dyDescent="0.3">
      <c r="G1312" s="470"/>
      <c r="H1312" s="470">
        <v>1305</v>
      </c>
      <c r="I1312" s="455">
        <f t="shared" ca="1" si="128"/>
        <v>-38062022.737836741</v>
      </c>
      <c r="J1312" s="455">
        <f t="array" ref="J1312">IFERROR(INDEX('Retirement Calculator'!J:J,MATCH('Isaac 401k'!N1312,'Retirement Calculator'!A:A,0),0),0)</f>
        <v>0</v>
      </c>
      <c r="K1312" s="455">
        <f t="shared" ca="1" si="126"/>
        <v>-158591.76140765307</v>
      </c>
      <c r="L1312" s="455">
        <f t="shared" ca="1" si="127"/>
        <v>-38220614.499244392</v>
      </c>
      <c r="M1312" s="471">
        <f t="shared" si="129"/>
        <v>0.05</v>
      </c>
      <c r="N1312" s="475">
        <f t="shared" si="130"/>
        <v>90979</v>
      </c>
    </row>
    <row r="1313" spans="7:14" ht="11.25" customHeight="1" x14ac:dyDescent="0.3">
      <c r="G1313" s="470"/>
      <c r="H1313" s="470">
        <v>1306</v>
      </c>
      <c r="I1313" s="455">
        <f t="shared" ca="1" si="128"/>
        <v>-38220614.499244392</v>
      </c>
      <c r="J1313" s="455">
        <f t="array" ref="J1313">IFERROR(INDEX('Retirement Calculator'!J:J,MATCH('Isaac 401k'!N1313,'Retirement Calculator'!A:A,0),0),0)</f>
        <v>0</v>
      </c>
      <c r="K1313" s="455">
        <f t="shared" ca="1" si="126"/>
        <v>-159252.56041351831</v>
      </c>
      <c r="L1313" s="455">
        <f t="shared" ca="1" si="127"/>
        <v>-38379867.059657909</v>
      </c>
      <c r="M1313" s="471">
        <f t="shared" si="129"/>
        <v>0.05</v>
      </c>
      <c r="N1313" s="475">
        <f t="shared" si="130"/>
        <v>91007</v>
      </c>
    </row>
    <row r="1314" spans="7:14" ht="11.25" customHeight="1" x14ac:dyDescent="0.3">
      <c r="G1314" s="470"/>
      <c r="H1314" s="470">
        <v>1307</v>
      </c>
      <c r="I1314" s="455">
        <f t="shared" ca="1" si="128"/>
        <v>-38379867.059657909</v>
      </c>
      <c r="J1314" s="455">
        <f t="array" ref="J1314">IFERROR(INDEX('Retirement Calculator'!J:J,MATCH('Isaac 401k'!N1314,'Retirement Calculator'!A:A,0),0),0)</f>
        <v>0</v>
      </c>
      <c r="K1314" s="455">
        <f t="shared" ca="1" si="126"/>
        <v>-159916.11274857461</v>
      </c>
      <c r="L1314" s="455">
        <f t="shared" ca="1" si="127"/>
        <v>-38539783.172406487</v>
      </c>
      <c r="M1314" s="471">
        <f t="shared" si="129"/>
        <v>0.05</v>
      </c>
      <c r="N1314" s="475">
        <f t="shared" si="130"/>
        <v>91038</v>
      </c>
    </row>
    <row r="1315" spans="7:14" ht="11.25" customHeight="1" x14ac:dyDescent="0.3">
      <c r="G1315" s="470"/>
      <c r="H1315" s="470">
        <v>1308</v>
      </c>
      <c r="I1315" s="455">
        <f t="shared" ca="1" si="128"/>
        <v>-38539783.172406487</v>
      </c>
      <c r="J1315" s="455">
        <f t="array" ref="J1315">IFERROR(INDEX('Retirement Calculator'!J:J,MATCH('Isaac 401k'!N1315,'Retirement Calculator'!A:A,0),0),0)</f>
        <v>0</v>
      </c>
      <c r="K1315" s="455">
        <f t="shared" ca="1" si="126"/>
        <v>-160582.42988502703</v>
      </c>
      <c r="L1315" s="455">
        <f t="shared" ca="1" si="127"/>
        <v>-38700365.602291517</v>
      </c>
      <c r="M1315" s="471">
        <f t="shared" si="129"/>
        <v>0.05</v>
      </c>
      <c r="N1315" s="475">
        <f t="shared" si="130"/>
        <v>91068</v>
      </c>
    </row>
    <row r="1316" spans="7:14" ht="11.25" customHeight="1" x14ac:dyDescent="0.3">
      <c r="G1316" s="470"/>
      <c r="H1316" s="470">
        <v>1309</v>
      </c>
      <c r="I1316" s="455">
        <f t="shared" ca="1" si="128"/>
        <v>-38700365.602291517</v>
      </c>
      <c r="J1316" s="455">
        <f t="array" ref="J1316">IFERROR(INDEX('Retirement Calculator'!J:J,MATCH('Isaac 401k'!N1316,'Retirement Calculator'!A:A,0),0),0)</f>
        <v>0</v>
      </c>
      <c r="K1316" s="455">
        <f t="shared" ca="1" si="126"/>
        <v>-161251.52334288132</v>
      </c>
      <c r="L1316" s="455">
        <f t="shared" ca="1" si="127"/>
        <v>-38861617.125634395</v>
      </c>
      <c r="M1316" s="471">
        <f t="shared" si="129"/>
        <v>0.05</v>
      </c>
      <c r="N1316" s="475">
        <f t="shared" si="130"/>
        <v>91099</v>
      </c>
    </row>
    <row r="1317" spans="7:14" ht="11.25" customHeight="1" x14ac:dyDescent="0.3">
      <c r="G1317" s="470"/>
      <c r="H1317" s="470">
        <v>1310</v>
      </c>
      <c r="I1317" s="455">
        <f t="shared" ca="1" si="128"/>
        <v>-38861617.125634395</v>
      </c>
      <c r="J1317" s="455">
        <f t="array" ref="J1317">IFERROR(INDEX('Retirement Calculator'!J:J,MATCH('Isaac 401k'!N1317,'Retirement Calculator'!A:A,0),0),0)</f>
        <v>0</v>
      </c>
      <c r="K1317" s="455">
        <f t="shared" ca="1" si="126"/>
        <v>-161923.4046901433</v>
      </c>
      <c r="L1317" s="455">
        <f t="shared" ca="1" si="127"/>
        <v>-39023540.530324541</v>
      </c>
      <c r="M1317" s="471">
        <f t="shared" si="129"/>
        <v>0.05</v>
      </c>
      <c r="N1317" s="475">
        <f t="shared" si="130"/>
        <v>91129</v>
      </c>
    </row>
    <row r="1318" spans="7:14" ht="11.25" customHeight="1" x14ac:dyDescent="0.3">
      <c r="G1318" s="470"/>
      <c r="H1318" s="470">
        <v>1311</v>
      </c>
      <c r="I1318" s="455">
        <f t="shared" ca="1" si="128"/>
        <v>-39023540.530324541</v>
      </c>
      <c r="J1318" s="455">
        <f t="array" ref="J1318">IFERROR(INDEX('Retirement Calculator'!J:J,MATCH('Isaac 401k'!N1318,'Retirement Calculator'!A:A,0),0),0)</f>
        <v>0</v>
      </c>
      <c r="K1318" s="455">
        <f t="shared" ca="1" si="126"/>
        <v>-162598.08554301891</v>
      </c>
      <c r="L1318" s="455">
        <f t="shared" ca="1" si="127"/>
        <v>-39186138.615867563</v>
      </c>
      <c r="M1318" s="471">
        <f t="shared" si="129"/>
        <v>0.05</v>
      </c>
      <c r="N1318" s="475">
        <f t="shared" si="130"/>
        <v>91160</v>
      </c>
    </row>
    <row r="1319" spans="7:14" ht="11.25" customHeight="1" x14ac:dyDescent="0.3">
      <c r="G1319" s="470"/>
      <c r="H1319" s="470">
        <v>1312</v>
      </c>
      <c r="I1319" s="455">
        <f t="shared" ca="1" si="128"/>
        <v>-39186138.615867563</v>
      </c>
      <c r="J1319" s="455">
        <f t="array" ref="J1319">IFERROR(INDEX('Retirement Calculator'!J:J,MATCH('Isaac 401k'!N1319,'Retirement Calculator'!A:A,0),0),0)</f>
        <v>0</v>
      </c>
      <c r="K1319" s="455">
        <f t="shared" ca="1" si="126"/>
        <v>-163275.57756611484</v>
      </c>
      <c r="L1319" s="455">
        <f t="shared" ca="1" si="127"/>
        <v>-39349414.19343368</v>
      </c>
      <c r="M1319" s="471">
        <f t="shared" si="129"/>
        <v>0.05</v>
      </c>
      <c r="N1319" s="475">
        <f t="shared" si="130"/>
        <v>91191</v>
      </c>
    </row>
    <row r="1320" spans="7:14" ht="11.25" customHeight="1" x14ac:dyDescent="0.3">
      <c r="G1320" s="470"/>
      <c r="H1320" s="470">
        <v>1313</v>
      </c>
      <c r="I1320" s="455">
        <f t="shared" ca="1" si="128"/>
        <v>-39349414.19343368</v>
      </c>
      <c r="J1320" s="455">
        <f t="array" ref="J1320">IFERROR(INDEX('Retirement Calculator'!J:J,MATCH('Isaac 401k'!N1320,'Retirement Calculator'!A:A,0),0),0)</f>
        <v>0</v>
      </c>
      <c r="K1320" s="455">
        <f t="shared" ca="1" si="126"/>
        <v>-163955.89247264032</v>
      </c>
      <c r="L1320" s="455">
        <f t="shared" ca="1" si="127"/>
        <v>-39513370.085906319</v>
      </c>
      <c r="M1320" s="471">
        <f t="shared" si="129"/>
        <v>0.05</v>
      </c>
      <c r="N1320" s="475">
        <f t="shared" si="130"/>
        <v>91221</v>
      </c>
    </row>
    <row r="1321" spans="7:14" ht="11.25" customHeight="1" x14ac:dyDescent="0.3">
      <c r="G1321" s="470"/>
      <c r="H1321" s="470">
        <v>1314</v>
      </c>
      <c r="I1321" s="455">
        <f t="shared" ca="1" si="128"/>
        <v>-39513370.085906319</v>
      </c>
      <c r="J1321" s="455">
        <f t="array" ref="J1321">IFERROR(INDEX('Retirement Calculator'!J:J,MATCH('Isaac 401k'!N1321,'Retirement Calculator'!A:A,0),0),0)</f>
        <v>0</v>
      </c>
      <c r="K1321" s="455">
        <f t="shared" ca="1" si="126"/>
        <v>-164639.04202460966</v>
      </c>
      <c r="L1321" s="455">
        <f t="shared" ca="1" si="127"/>
        <v>-39678009.127930932</v>
      </c>
      <c r="M1321" s="471">
        <f t="shared" si="129"/>
        <v>0.05</v>
      </c>
      <c r="N1321" s="475">
        <f t="shared" si="130"/>
        <v>91252</v>
      </c>
    </row>
    <row r="1322" spans="7:14" ht="11.25" customHeight="1" x14ac:dyDescent="0.3">
      <c r="G1322" s="470"/>
      <c r="H1322" s="470">
        <v>1315</v>
      </c>
      <c r="I1322" s="455">
        <f t="shared" ca="1" si="128"/>
        <v>-39678009.127930932</v>
      </c>
      <c r="J1322" s="455">
        <f t="array" ref="J1322">IFERROR(INDEX('Retirement Calculator'!J:J,MATCH('Isaac 401k'!N1322,'Retirement Calculator'!A:A,0),0),0)</f>
        <v>0</v>
      </c>
      <c r="K1322" s="455">
        <f t="shared" ca="1" si="126"/>
        <v>-165325.03803304554</v>
      </c>
      <c r="L1322" s="455">
        <f t="shared" ca="1" si="127"/>
        <v>-39843334.165963978</v>
      </c>
      <c r="M1322" s="471">
        <f t="shared" si="129"/>
        <v>0.05</v>
      </c>
      <c r="N1322" s="475">
        <f t="shared" si="130"/>
        <v>91282</v>
      </c>
    </row>
    <row r="1323" spans="7:14" ht="11.25" customHeight="1" x14ac:dyDescent="0.3">
      <c r="G1323" s="470"/>
      <c r="H1323" s="470">
        <v>1316</v>
      </c>
      <c r="I1323" s="455">
        <f t="shared" ca="1" si="128"/>
        <v>-39843334.165963978</v>
      </c>
      <c r="J1323" s="455">
        <f t="array" ref="J1323">IFERROR(INDEX('Retirement Calculator'!J:J,MATCH('Isaac 401k'!N1323,'Retirement Calculator'!A:A,0),0),0)</f>
        <v>0</v>
      </c>
      <c r="K1323" s="455">
        <f t="shared" ca="1" si="126"/>
        <v>-166013.89235818325</v>
      </c>
      <c r="L1323" s="455">
        <f t="shared" ca="1" si="127"/>
        <v>-40009348.058322161</v>
      </c>
      <c r="M1323" s="471">
        <f t="shared" si="129"/>
        <v>0.05</v>
      </c>
      <c r="N1323" s="475">
        <f t="shared" si="130"/>
        <v>91313</v>
      </c>
    </row>
    <row r="1324" spans="7:14" ht="11.25" customHeight="1" x14ac:dyDescent="0.3">
      <c r="G1324" s="470"/>
      <c r="H1324" s="470">
        <v>1317</v>
      </c>
      <c r="I1324" s="455">
        <f t="shared" ca="1" si="128"/>
        <v>-40009348.058322161</v>
      </c>
      <c r="J1324" s="455">
        <f t="array" ref="J1324">IFERROR(INDEX('Retirement Calculator'!J:J,MATCH('Isaac 401k'!N1324,'Retirement Calculator'!A:A,0),0),0)</f>
        <v>0</v>
      </c>
      <c r="K1324" s="455">
        <f t="shared" ca="1" si="126"/>
        <v>-166705.61690967568</v>
      </c>
      <c r="L1324" s="455">
        <f t="shared" ca="1" si="127"/>
        <v>-40176053.675231837</v>
      </c>
      <c r="M1324" s="471">
        <f t="shared" si="129"/>
        <v>0.05</v>
      </c>
      <c r="N1324" s="475">
        <f t="shared" si="130"/>
        <v>91344</v>
      </c>
    </row>
    <row r="1325" spans="7:14" ht="11.25" customHeight="1" x14ac:dyDescent="0.3">
      <c r="G1325" s="470"/>
      <c r="H1325" s="470">
        <v>1318</v>
      </c>
      <c r="I1325" s="455">
        <f t="shared" ca="1" si="128"/>
        <v>-40176053.675231837</v>
      </c>
      <c r="J1325" s="455">
        <f t="array" ref="J1325">IFERROR(INDEX('Retirement Calculator'!J:J,MATCH('Isaac 401k'!N1325,'Retirement Calculator'!A:A,0),0),0)</f>
        <v>0</v>
      </c>
      <c r="K1325" s="455">
        <f t="shared" ca="1" si="126"/>
        <v>-167400.22364679931</v>
      </c>
      <c r="L1325" s="455">
        <f t="shared" ca="1" si="127"/>
        <v>-40343453.898878634</v>
      </c>
      <c r="M1325" s="471">
        <f t="shared" si="129"/>
        <v>0.05</v>
      </c>
      <c r="N1325" s="475">
        <f t="shared" si="130"/>
        <v>91372</v>
      </c>
    </row>
    <row r="1326" spans="7:14" ht="11.25" customHeight="1" x14ac:dyDescent="0.3">
      <c r="G1326" s="470"/>
      <c r="H1326" s="470">
        <v>1319</v>
      </c>
      <c r="I1326" s="455">
        <f t="shared" ca="1" si="128"/>
        <v>-40343453.898878634</v>
      </c>
      <c r="J1326" s="455">
        <f t="array" ref="J1326">IFERROR(INDEX('Retirement Calculator'!J:J,MATCH('Isaac 401k'!N1326,'Retirement Calculator'!A:A,0),0),0)</f>
        <v>0</v>
      </c>
      <c r="K1326" s="455">
        <f t="shared" ca="1" si="126"/>
        <v>-168097.72457866097</v>
      </c>
      <c r="L1326" s="455">
        <f t="shared" ca="1" si="127"/>
        <v>-40511551.623457298</v>
      </c>
      <c r="M1326" s="471">
        <f t="shared" si="129"/>
        <v>0.05</v>
      </c>
      <c r="N1326" s="475">
        <f t="shared" si="130"/>
        <v>91403</v>
      </c>
    </row>
    <row r="1327" spans="7:14" ht="11.25" customHeight="1" x14ac:dyDescent="0.3">
      <c r="G1327" s="470"/>
      <c r="H1327" s="470">
        <v>1320</v>
      </c>
      <c r="I1327" s="455">
        <f t="shared" ca="1" si="128"/>
        <v>-40511551.623457298</v>
      </c>
      <c r="J1327" s="455">
        <f t="array" ref="J1327">IFERROR(INDEX('Retirement Calculator'!J:J,MATCH('Isaac 401k'!N1327,'Retirement Calculator'!A:A,0),0),0)</f>
        <v>0</v>
      </c>
      <c r="K1327" s="455">
        <f t="shared" ca="1" si="126"/>
        <v>-168798.13176440541</v>
      </c>
      <c r="L1327" s="455">
        <f t="shared" ca="1" si="127"/>
        <v>-40680349.755221702</v>
      </c>
      <c r="M1327" s="471">
        <f t="shared" si="129"/>
        <v>0.05</v>
      </c>
      <c r="N1327" s="475">
        <f t="shared" si="130"/>
        <v>91433</v>
      </c>
    </row>
    <row r="1328" spans="7:14" ht="11.25" customHeight="1" x14ac:dyDescent="0.3">
      <c r="G1328" s="470"/>
      <c r="H1328" s="470">
        <v>1321</v>
      </c>
      <c r="I1328" s="455">
        <f t="shared" ca="1" si="128"/>
        <v>-40680349.755221702</v>
      </c>
      <c r="J1328" s="455">
        <f t="array" ref="J1328">IFERROR(INDEX('Retirement Calculator'!J:J,MATCH('Isaac 401k'!N1328,'Retirement Calculator'!A:A,0),0),0)</f>
        <v>0</v>
      </c>
      <c r="K1328" s="455">
        <f t="shared" ca="1" si="126"/>
        <v>-169501.45731342374</v>
      </c>
      <c r="L1328" s="455">
        <f t="shared" ca="1" si="127"/>
        <v>-40849851.212535128</v>
      </c>
      <c r="M1328" s="471">
        <f t="shared" si="129"/>
        <v>0.05</v>
      </c>
      <c r="N1328" s="475">
        <f t="shared" si="130"/>
        <v>91464</v>
      </c>
    </row>
    <row r="1329" spans="7:14" ht="11.25" customHeight="1" x14ac:dyDescent="0.3">
      <c r="G1329" s="470"/>
      <c r="H1329" s="470">
        <v>1322</v>
      </c>
      <c r="I1329" s="455">
        <f t="shared" ca="1" si="128"/>
        <v>-40849851.212535128</v>
      </c>
      <c r="J1329" s="455">
        <f t="array" ref="J1329">IFERROR(INDEX('Retirement Calculator'!J:J,MATCH('Isaac 401k'!N1329,'Retirement Calculator'!A:A,0),0),0)</f>
        <v>0</v>
      </c>
      <c r="K1329" s="455">
        <f t="shared" ca="1" si="126"/>
        <v>-170207.71338556302</v>
      </c>
      <c r="L1329" s="455">
        <f t="shared" ca="1" si="127"/>
        <v>-41020058.925920688</v>
      </c>
      <c r="M1329" s="471">
        <f t="shared" si="129"/>
        <v>0.05</v>
      </c>
      <c r="N1329" s="475">
        <f t="shared" si="130"/>
        <v>91494</v>
      </c>
    </row>
    <row r="1330" spans="7:14" ht="11.25" customHeight="1" x14ac:dyDescent="0.3">
      <c r="G1330" s="470"/>
      <c r="H1330" s="470">
        <v>1323</v>
      </c>
      <c r="I1330" s="455">
        <f t="shared" ca="1" si="128"/>
        <v>-41020058.925920688</v>
      </c>
      <c r="J1330" s="455">
        <f t="array" ref="J1330">IFERROR(INDEX('Retirement Calculator'!J:J,MATCH('Isaac 401k'!N1330,'Retirement Calculator'!A:A,0),0),0)</f>
        <v>0</v>
      </c>
      <c r="K1330" s="455">
        <f t="shared" ca="1" si="126"/>
        <v>-170916.91219133619</v>
      </c>
      <c r="L1330" s="455">
        <f t="shared" ca="1" si="127"/>
        <v>-41190975.838112026</v>
      </c>
      <c r="M1330" s="471">
        <f t="shared" si="129"/>
        <v>0.05</v>
      </c>
      <c r="N1330" s="475">
        <f t="shared" si="130"/>
        <v>91525</v>
      </c>
    </row>
    <row r="1331" spans="7:14" ht="11.25" customHeight="1" x14ac:dyDescent="0.3">
      <c r="G1331" s="470"/>
      <c r="H1331" s="470">
        <v>1324</v>
      </c>
      <c r="I1331" s="455">
        <f t="shared" ca="1" si="128"/>
        <v>-41190975.838112026</v>
      </c>
      <c r="J1331" s="455">
        <f t="array" ref="J1331">IFERROR(INDEX('Retirement Calculator'!J:J,MATCH('Isaac 401k'!N1331,'Retirement Calculator'!A:A,0),0),0)</f>
        <v>0</v>
      </c>
      <c r="K1331" s="455">
        <f t="shared" ca="1" si="126"/>
        <v>-171629.06599213343</v>
      </c>
      <c r="L1331" s="455">
        <f t="shared" ca="1" si="127"/>
        <v>-41362604.904104158</v>
      </c>
      <c r="M1331" s="471">
        <f t="shared" si="129"/>
        <v>0.05</v>
      </c>
      <c r="N1331" s="475">
        <f t="shared" si="130"/>
        <v>91556</v>
      </c>
    </row>
    <row r="1332" spans="7:14" ht="11.25" customHeight="1" x14ac:dyDescent="0.3">
      <c r="G1332" s="470"/>
      <c r="H1332" s="470">
        <v>1325</v>
      </c>
      <c r="I1332" s="455">
        <f t="shared" ca="1" si="128"/>
        <v>-41362604.904104158</v>
      </c>
      <c r="J1332" s="455">
        <f t="array" ref="J1332">IFERROR(INDEX('Retirement Calculator'!J:J,MATCH('Isaac 401k'!N1332,'Retirement Calculator'!A:A,0),0),0)</f>
        <v>0</v>
      </c>
      <c r="K1332" s="455">
        <f t="shared" ca="1" si="126"/>
        <v>-172344.18710043398</v>
      </c>
      <c r="L1332" s="455">
        <f t="shared" ca="1" si="127"/>
        <v>-41534949.091204591</v>
      </c>
      <c r="M1332" s="471">
        <f t="shared" si="129"/>
        <v>0.05</v>
      </c>
      <c r="N1332" s="475">
        <f t="shared" si="130"/>
        <v>91586</v>
      </c>
    </row>
    <row r="1333" spans="7:14" ht="11.25" customHeight="1" x14ac:dyDescent="0.3">
      <c r="G1333" s="470"/>
      <c r="H1333" s="470">
        <v>1326</v>
      </c>
      <c r="I1333" s="455">
        <f t="shared" ca="1" si="128"/>
        <v>-41534949.091204591</v>
      </c>
      <c r="J1333" s="455">
        <f t="array" ref="J1333">IFERROR(INDEX('Retirement Calculator'!J:J,MATCH('Isaac 401k'!N1333,'Retirement Calculator'!A:A,0),0),0)</f>
        <v>0</v>
      </c>
      <c r="K1333" s="455">
        <f t="shared" ca="1" si="126"/>
        <v>-173062.28788001914</v>
      </c>
      <c r="L1333" s="455">
        <f t="shared" ca="1" si="127"/>
        <v>-41708011.379084609</v>
      </c>
      <c r="M1333" s="471">
        <f t="shared" si="129"/>
        <v>0.05</v>
      </c>
      <c r="N1333" s="475">
        <f t="shared" si="130"/>
        <v>91617</v>
      </c>
    </row>
    <row r="1334" spans="7:14" ht="11.25" customHeight="1" x14ac:dyDescent="0.3">
      <c r="G1334" s="470"/>
      <c r="H1334" s="470">
        <v>1327</v>
      </c>
      <c r="I1334" s="455">
        <f t="shared" ca="1" si="128"/>
        <v>-41708011.379084609</v>
      </c>
      <c r="J1334" s="455">
        <f t="array" ref="J1334">IFERROR(INDEX('Retirement Calculator'!J:J,MATCH('Isaac 401k'!N1334,'Retirement Calculator'!A:A,0),0),0)</f>
        <v>0</v>
      </c>
      <c r="K1334" s="455">
        <f t="shared" ca="1" si="126"/>
        <v>-173783.38074618587</v>
      </c>
      <c r="L1334" s="455">
        <f t="shared" ca="1" si="127"/>
        <v>-41881794.759830795</v>
      </c>
      <c r="M1334" s="471">
        <f t="shared" si="129"/>
        <v>0.05</v>
      </c>
      <c r="N1334" s="475">
        <f t="shared" si="130"/>
        <v>91647</v>
      </c>
    </row>
    <row r="1335" spans="7:14" ht="11.25" customHeight="1" x14ac:dyDescent="0.3">
      <c r="G1335" s="470"/>
      <c r="H1335" s="470">
        <v>1328</v>
      </c>
      <c r="I1335" s="455">
        <f t="shared" ca="1" si="128"/>
        <v>-41881794.759830795</v>
      </c>
      <c r="J1335" s="455">
        <f t="array" ref="J1335">IFERROR(INDEX('Retirement Calculator'!J:J,MATCH('Isaac 401k'!N1335,'Retirement Calculator'!A:A,0),0),0)</f>
        <v>0</v>
      </c>
      <c r="K1335" s="455">
        <f t="shared" ca="1" si="126"/>
        <v>-174507.47816596166</v>
      </c>
      <c r="L1335" s="455">
        <f t="shared" ca="1" si="127"/>
        <v>-42056302.237996757</v>
      </c>
      <c r="M1335" s="471">
        <f t="shared" si="129"/>
        <v>0.05</v>
      </c>
      <c r="N1335" s="475">
        <f t="shared" si="130"/>
        <v>91678</v>
      </c>
    </row>
    <row r="1336" spans="7:14" ht="11.25" customHeight="1" x14ac:dyDescent="0.3">
      <c r="G1336" s="470"/>
      <c r="H1336" s="470">
        <v>1329</v>
      </c>
      <c r="I1336" s="455">
        <f t="shared" ca="1" si="128"/>
        <v>-42056302.237996757</v>
      </c>
      <c r="J1336" s="455">
        <f t="array" ref="J1336">IFERROR(INDEX('Retirement Calculator'!J:J,MATCH('Isaac 401k'!N1336,'Retirement Calculator'!A:A,0),0),0)</f>
        <v>0</v>
      </c>
      <c r="K1336" s="455">
        <f t="shared" ca="1" si="126"/>
        <v>-175234.59265831983</v>
      </c>
      <c r="L1336" s="455">
        <f t="shared" ca="1" si="127"/>
        <v>-42231536.830655076</v>
      </c>
      <c r="M1336" s="471">
        <f t="shared" si="129"/>
        <v>0.05</v>
      </c>
      <c r="N1336" s="475">
        <f t="shared" si="130"/>
        <v>91709</v>
      </c>
    </row>
    <row r="1337" spans="7:14" ht="11.25" customHeight="1" x14ac:dyDescent="0.3">
      <c r="G1337" s="470"/>
      <c r="H1337" s="470">
        <v>1330</v>
      </c>
      <c r="I1337" s="455">
        <f t="shared" ca="1" si="128"/>
        <v>-42231536.830655076</v>
      </c>
      <c r="J1337" s="455">
        <f t="array" ref="J1337">IFERROR(INDEX('Retirement Calculator'!J:J,MATCH('Isaac 401k'!N1337,'Retirement Calculator'!A:A,0),0),0)</f>
        <v>0</v>
      </c>
      <c r="K1337" s="455">
        <f t="shared" ca="1" si="126"/>
        <v>-175964.73679439616</v>
      </c>
      <c r="L1337" s="455">
        <f t="shared" ca="1" si="127"/>
        <v>-42407501.567449473</v>
      </c>
      <c r="M1337" s="471">
        <f t="shared" si="129"/>
        <v>0.05</v>
      </c>
      <c r="N1337" s="475">
        <f t="shared" si="130"/>
        <v>91737</v>
      </c>
    </row>
    <row r="1338" spans="7:14" ht="11.25" customHeight="1" x14ac:dyDescent="0.3">
      <c r="G1338" s="470"/>
      <c r="H1338" s="470">
        <v>1331</v>
      </c>
      <c r="I1338" s="455">
        <f t="shared" ca="1" si="128"/>
        <v>-42407501.567449473</v>
      </c>
      <c r="J1338" s="455">
        <f t="array" ref="J1338">IFERROR(INDEX('Retirement Calculator'!J:J,MATCH('Isaac 401k'!N1338,'Retirement Calculator'!A:A,0),0),0)</f>
        <v>0</v>
      </c>
      <c r="K1338" s="455">
        <f t="shared" ca="1" si="126"/>
        <v>-176697.92319770614</v>
      </c>
      <c r="L1338" s="455">
        <f t="shared" ca="1" si="127"/>
        <v>-42584199.490647182</v>
      </c>
      <c r="M1338" s="471">
        <f t="shared" si="129"/>
        <v>0.05</v>
      </c>
      <c r="N1338" s="475">
        <f t="shared" si="130"/>
        <v>91768</v>
      </c>
    </row>
    <row r="1339" spans="7:14" ht="11.25" customHeight="1" x14ac:dyDescent="0.3">
      <c r="G1339" s="470"/>
      <c r="H1339" s="470">
        <v>1332</v>
      </c>
      <c r="I1339" s="455">
        <f t="shared" ca="1" si="128"/>
        <v>-42584199.490647182</v>
      </c>
      <c r="J1339" s="455">
        <f t="array" ref="J1339">IFERROR(INDEX('Retirement Calculator'!J:J,MATCH('Isaac 401k'!N1339,'Retirement Calculator'!A:A,0),0),0)</f>
        <v>0</v>
      </c>
      <c r="K1339" s="455">
        <f t="shared" ca="1" si="126"/>
        <v>-177434.16454436324</v>
      </c>
      <c r="L1339" s="455">
        <f t="shared" ca="1" si="127"/>
        <v>-42761633.655191548</v>
      </c>
      <c r="M1339" s="471">
        <f t="shared" si="129"/>
        <v>0.05</v>
      </c>
      <c r="N1339" s="475">
        <f t="shared" si="130"/>
        <v>91798</v>
      </c>
    </row>
    <row r="1340" spans="7:14" ht="11.25" customHeight="1" x14ac:dyDescent="0.3">
      <c r="G1340" s="470"/>
      <c r="H1340" s="470">
        <v>1333</v>
      </c>
      <c r="I1340" s="455">
        <f t="shared" ca="1" si="128"/>
        <v>-42761633.655191548</v>
      </c>
      <c r="J1340" s="455">
        <f t="array" ref="J1340">IFERROR(INDEX('Retirement Calculator'!J:J,MATCH('Isaac 401k'!N1340,'Retirement Calculator'!A:A,0),0),0)</f>
        <v>0</v>
      </c>
      <c r="K1340" s="455">
        <f t="shared" ca="1" si="126"/>
        <v>-178173.47356329812</v>
      </c>
      <c r="L1340" s="455">
        <f t="shared" ca="1" si="127"/>
        <v>-42939807.128754847</v>
      </c>
      <c r="M1340" s="471">
        <f t="shared" si="129"/>
        <v>0.05</v>
      </c>
      <c r="N1340" s="475">
        <f t="shared" si="130"/>
        <v>91829</v>
      </c>
    </row>
    <row r="1341" spans="7:14" ht="11.25" customHeight="1" x14ac:dyDescent="0.3">
      <c r="G1341" s="470"/>
      <c r="H1341" s="470">
        <v>1334</v>
      </c>
      <c r="I1341" s="455">
        <f t="shared" ca="1" si="128"/>
        <v>-42939807.128754847</v>
      </c>
      <c r="J1341" s="455">
        <f t="array" ref="J1341">IFERROR(INDEX('Retirement Calculator'!J:J,MATCH('Isaac 401k'!N1341,'Retirement Calculator'!A:A,0),0),0)</f>
        <v>0</v>
      </c>
      <c r="K1341" s="455">
        <f t="shared" ca="1" si="126"/>
        <v>-178915.86303647852</v>
      </c>
      <c r="L1341" s="455">
        <f t="shared" ca="1" si="127"/>
        <v>-43118722.991791323</v>
      </c>
      <c r="M1341" s="471">
        <f t="shared" si="129"/>
        <v>0.05</v>
      </c>
      <c r="N1341" s="475">
        <f t="shared" si="130"/>
        <v>91859</v>
      </c>
    </row>
    <row r="1342" spans="7:14" ht="11.25" customHeight="1" x14ac:dyDescent="0.3">
      <c r="G1342" s="470"/>
      <c r="H1342" s="470">
        <v>1335</v>
      </c>
      <c r="I1342" s="455">
        <f t="shared" ca="1" si="128"/>
        <v>-43118722.991791323</v>
      </c>
      <c r="J1342" s="455">
        <f t="array" ref="J1342">IFERROR(INDEX('Retirement Calculator'!J:J,MATCH('Isaac 401k'!N1342,'Retirement Calculator'!A:A,0),0),0)</f>
        <v>0</v>
      </c>
      <c r="K1342" s="455">
        <f t="shared" ca="1" si="126"/>
        <v>-179661.3457991305</v>
      </c>
      <c r="L1342" s="455">
        <f t="shared" ca="1" si="127"/>
        <v>-43298384.337590456</v>
      </c>
      <c r="M1342" s="471">
        <f t="shared" si="129"/>
        <v>0.05</v>
      </c>
      <c r="N1342" s="475">
        <f t="shared" si="130"/>
        <v>91890</v>
      </c>
    </row>
    <row r="1343" spans="7:14" ht="11.25" customHeight="1" x14ac:dyDescent="0.3">
      <c r="G1343" s="470"/>
      <c r="H1343" s="470">
        <v>1336</v>
      </c>
      <c r="I1343" s="455">
        <f t="shared" ca="1" si="128"/>
        <v>-43298384.337590456</v>
      </c>
      <c r="J1343" s="455">
        <f t="array" ref="J1343">IFERROR(INDEX('Retirement Calculator'!J:J,MATCH('Isaac 401k'!N1343,'Retirement Calculator'!A:A,0),0),0)</f>
        <v>0</v>
      </c>
      <c r="K1343" s="455">
        <f t="shared" ca="1" si="126"/>
        <v>-180409.93473996024</v>
      </c>
      <c r="L1343" s="455">
        <f t="shared" ca="1" si="127"/>
        <v>-43478794.272330418</v>
      </c>
      <c r="M1343" s="471">
        <f t="shared" si="129"/>
        <v>0.05</v>
      </c>
      <c r="N1343" s="475">
        <f t="shared" si="130"/>
        <v>91921</v>
      </c>
    </row>
    <row r="1344" spans="7:14" ht="11.25" customHeight="1" x14ac:dyDescent="0.3">
      <c r="G1344" s="470"/>
      <c r="H1344" s="470">
        <v>1337</v>
      </c>
      <c r="I1344" s="455">
        <f t="shared" ca="1" si="128"/>
        <v>-43478794.272330418</v>
      </c>
      <c r="J1344" s="455">
        <f t="array" ref="J1344">IFERROR(INDEX('Retirement Calculator'!J:J,MATCH('Isaac 401k'!N1344,'Retirement Calculator'!A:A,0),0),0)</f>
        <v>0</v>
      </c>
      <c r="K1344" s="455">
        <f t="shared" ca="1" si="126"/>
        <v>-181161.64280137673</v>
      </c>
      <c r="L1344" s="455">
        <f t="shared" ca="1" si="127"/>
        <v>-43659955.915131792</v>
      </c>
      <c r="M1344" s="471">
        <f t="shared" si="129"/>
        <v>0.05</v>
      </c>
      <c r="N1344" s="475">
        <f t="shared" si="130"/>
        <v>91951</v>
      </c>
    </row>
    <row r="1345" spans="7:14" ht="11.25" customHeight="1" x14ac:dyDescent="0.3">
      <c r="G1345" s="470"/>
      <c r="H1345" s="470">
        <v>1338</v>
      </c>
      <c r="I1345" s="455">
        <f t="shared" ca="1" si="128"/>
        <v>-43659955.915131792</v>
      </c>
      <c r="J1345" s="455">
        <f t="array" ref="J1345">IFERROR(INDEX('Retirement Calculator'!J:J,MATCH('Isaac 401k'!N1345,'Retirement Calculator'!A:A,0),0),0)</f>
        <v>0</v>
      </c>
      <c r="K1345" s="455">
        <f t="shared" ca="1" si="126"/>
        <v>-181916.4829797158</v>
      </c>
      <c r="L1345" s="455">
        <f t="shared" ca="1" si="127"/>
        <v>-43841872.398111507</v>
      </c>
      <c r="M1345" s="471">
        <f t="shared" si="129"/>
        <v>0.05</v>
      </c>
      <c r="N1345" s="475">
        <f t="shared" si="130"/>
        <v>91982</v>
      </c>
    </row>
    <row r="1346" spans="7:14" ht="11.25" customHeight="1" x14ac:dyDescent="0.3">
      <c r="G1346" s="470"/>
      <c r="H1346" s="470">
        <v>1339</v>
      </c>
      <c r="I1346" s="455">
        <f t="shared" ca="1" si="128"/>
        <v>-43841872.398111507</v>
      </c>
      <c r="J1346" s="455">
        <f t="array" ref="J1346">IFERROR(INDEX('Retirement Calculator'!J:J,MATCH('Isaac 401k'!N1346,'Retirement Calculator'!A:A,0),0),0)</f>
        <v>0</v>
      </c>
      <c r="K1346" s="455">
        <f t="shared" ca="1" si="126"/>
        <v>-182674.46832546461</v>
      </c>
      <c r="L1346" s="455">
        <f t="shared" ca="1" si="127"/>
        <v>-44024546.866436973</v>
      </c>
      <c r="M1346" s="471">
        <f t="shared" si="129"/>
        <v>0.05</v>
      </c>
      <c r="N1346" s="475">
        <f t="shared" si="130"/>
        <v>92012</v>
      </c>
    </row>
    <row r="1347" spans="7:14" ht="11.25" customHeight="1" x14ac:dyDescent="0.3">
      <c r="G1347" s="470"/>
      <c r="H1347" s="470">
        <v>1340</v>
      </c>
      <c r="I1347" s="455">
        <f t="shared" ca="1" si="128"/>
        <v>-44024546.866436973</v>
      </c>
      <c r="J1347" s="455">
        <f t="array" ref="J1347">IFERROR(INDEX('Retirement Calculator'!J:J,MATCH('Isaac 401k'!N1347,'Retirement Calculator'!A:A,0),0),0)</f>
        <v>0</v>
      </c>
      <c r="K1347" s="455">
        <f t="shared" ca="1" si="126"/>
        <v>-183435.6119434874</v>
      </c>
      <c r="L1347" s="455">
        <f t="shared" ca="1" si="127"/>
        <v>-44207982.478380464</v>
      </c>
      <c r="M1347" s="471">
        <f t="shared" si="129"/>
        <v>0.05</v>
      </c>
      <c r="N1347" s="475">
        <f t="shared" si="130"/>
        <v>92043</v>
      </c>
    </row>
    <row r="1348" spans="7:14" ht="11.25" customHeight="1" x14ac:dyDescent="0.3">
      <c r="G1348" s="470"/>
      <c r="H1348" s="470">
        <v>1341</v>
      </c>
      <c r="I1348" s="455">
        <f t="shared" ca="1" si="128"/>
        <v>-44207982.478380464</v>
      </c>
      <c r="J1348" s="455">
        <f t="array" ref="J1348">IFERROR(INDEX('Retirement Calculator'!J:J,MATCH('Isaac 401k'!N1348,'Retirement Calculator'!A:A,0),0),0)</f>
        <v>0</v>
      </c>
      <c r="K1348" s="455">
        <f t="shared" ca="1" si="126"/>
        <v>-184199.92699325192</v>
      </c>
      <c r="L1348" s="455">
        <f t="shared" ca="1" si="127"/>
        <v>-44392182.405373715</v>
      </c>
      <c r="M1348" s="471">
        <f t="shared" si="129"/>
        <v>0.05</v>
      </c>
      <c r="N1348" s="475">
        <f t="shared" si="130"/>
        <v>92074</v>
      </c>
    </row>
    <row r="1349" spans="7:14" ht="11.25" customHeight="1" x14ac:dyDescent="0.3">
      <c r="G1349" s="470"/>
      <c r="H1349" s="470">
        <v>1342</v>
      </c>
      <c r="I1349" s="455">
        <f t="shared" ca="1" si="128"/>
        <v>-44392182.405373715</v>
      </c>
      <c r="J1349" s="455">
        <f t="array" ref="J1349">IFERROR(INDEX('Retirement Calculator'!J:J,MATCH('Isaac 401k'!N1349,'Retirement Calculator'!A:A,0),0),0)</f>
        <v>0</v>
      </c>
      <c r="K1349" s="455">
        <f t="shared" ca="1" si="126"/>
        <v>-184967.42668905715</v>
      </c>
      <c r="L1349" s="455">
        <f t="shared" ca="1" si="127"/>
        <v>-44577149.832062773</v>
      </c>
      <c r="M1349" s="471">
        <f t="shared" si="129"/>
        <v>0.05</v>
      </c>
      <c r="N1349" s="475">
        <f t="shared" si="130"/>
        <v>92103</v>
      </c>
    </row>
    <row r="1350" spans="7:14" ht="11.25" customHeight="1" x14ac:dyDescent="0.3">
      <c r="G1350" s="470"/>
      <c r="H1350" s="470">
        <v>1343</v>
      </c>
      <c r="I1350" s="455">
        <f t="shared" ca="1" si="128"/>
        <v>-44577149.832062773</v>
      </c>
      <c r="J1350" s="455">
        <f t="array" ref="J1350">IFERROR(INDEX('Retirement Calculator'!J:J,MATCH('Isaac 401k'!N1350,'Retirement Calculator'!A:A,0),0),0)</f>
        <v>0</v>
      </c>
      <c r="K1350" s="455">
        <f t="shared" ca="1" si="126"/>
        <v>-185738.12430026155</v>
      </c>
      <c r="L1350" s="455">
        <f t="shared" ca="1" si="127"/>
        <v>-44762887.956363037</v>
      </c>
      <c r="M1350" s="471">
        <f t="shared" si="129"/>
        <v>0.05</v>
      </c>
      <c r="N1350" s="475">
        <f t="shared" si="130"/>
        <v>92134</v>
      </c>
    </row>
    <row r="1351" spans="7:14" ht="11.25" customHeight="1" x14ac:dyDescent="0.3">
      <c r="G1351" s="470"/>
      <c r="H1351" s="470">
        <v>1344</v>
      </c>
      <c r="I1351" s="455">
        <f t="shared" ca="1" si="128"/>
        <v>-44762887.956363037</v>
      </c>
      <c r="J1351" s="455">
        <f t="array" ref="J1351">IFERROR(INDEX('Retirement Calculator'!J:J,MATCH('Isaac 401k'!N1351,'Retirement Calculator'!A:A,0),0),0)</f>
        <v>0</v>
      </c>
      <c r="K1351" s="455">
        <f t="shared" ca="1" si="126"/>
        <v>-186512.03315151265</v>
      </c>
      <c r="L1351" s="455">
        <f t="shared" ca="1" si="127"/>
        <v>-44949399.989514552</v>
      </c>
      <c r="M1351" s="471">
        <f t="shared" si="129"/>
        <v>0.05</v>
      </c>
      <c r="N1351" s="475">
        <f t="shared" si="130"/>
        <v>92164</v>
      </c>
    </row>
    <row r="1352" spans="7:14" ht="11.25" customHeight="1" x14ac:dyDescent="0.3">
      <c r="G1352" s="470"/>
      <c r="H1352" s="470">
        <v>1345</v>
      </c>
      <c r="I1352" s="455">
        <f t="shared" ca="1" si="128"/>
        <v>-44949399.989514552</v>
      </c>
      <c r="J1352" s="455">
        <f t="array" ref="J1352">IFERROR(INDEX('Retirement Calculator'!J:J,MATCH('Isaac 401k'!N1352,'Retirement Calculator'!A:A,0),0),0)</f>
        <v>0</v>
      </c>
      <c r="K1352" s="455">
        <f t="shared" ca="1" si="126"/>
        <v>-187289.1666229773</v>
      </c>
      <c r="L1352" s="455">
        <f t="shared" ca="1" si="127"/>
        <v>-45136689.156137526</v>
      </c>
      <c r="M1352" s="471">
        <f t="shared" si="129"/>
        <v>0.05</v>
      </c>
      <c r="N1352" s="475">
        <f t="shared" si="130"/>
        <v>92195</v>
      </c>
    </row>
    <row r="1353" spans="7:14" ht="11.25" customHeight="1" x14ac:dyDescent="0.3">
      <c r="G1353" s="470"/>
      <c r="H1353" s="470">
        <v>1346</v>
      </c>
      <c r="I1353" s="455">
        <f t="shared" ca="1" si="128"/>
        <v>-45136689.156137526</v>
      </c>
      <c r="J1353" s="455">
        <f t="array" ref="J1353">IFERROR(INDEX('Retirement Calculator'!J:J,MATCH('Isaac 401k'!N1353,'Retirement Calculator'!A:A,0),0),0)</f>
        <v>0</v>
      </c>
      <c r="K1353" s="455">
        <f t="shared" ca="1" si="126"/>
        <v>-188069.53815057303</v>
      </c>
      <c r="L1353" s="455">
        <f t="shared" ca="1" si="127"/>
        <v>-45324758.694288097</v>
      </c>
      <c r="M1353" s="471">
        <f t="shared" si="129"/>
        <v>0.05</v>
      </c>
      <c r="N1353" s="475">
        <f t="shared" si="130"/>
        <v>92225</v>
      </c>
    </row>
    <row r="1354" spans="7:14" ht="11.25" customHeight="1" x14ac:dyDescent="0.3">
      <c r="G1354" s="470"/>
      <c r="H1354" s="470">
        <v>1347</v>
      </c>
      <c r="I1354" s="455">
        <f t="shared" ca="1" si="128"/>
        <v>-45324758.694288097</v>
      </c>
      <c r="J1354" s="455">
        <f t="array" ref="J1354">IFERROR(INDEX('Retirement Calculator'!J:J,MATCH('Isaac 401k'!N1354,'Retirement Calculator'!A:A,0),0),0)</f>
        <v>0</v>
      </c>
      <c r="K1354" s="455">
        <f t="shared" ca="1" si="126"/>
        <v>-188853.16122620041</v>
      </c>
      <c r="L1354" s="455">
        <f t="shared" ca="1" si="127"/>
        <v>-45513611.855514295</v>
      </c>
      <c r="M1354" s="471">
        <f t="shared" si="129"/>
        <v>0.05</v>
      </c>
      <c r="N1354" s="475">
        <f t="shared" si="130"/>
        <v>92256</v>
      </c>
    </row>
    <row r="1355" spans="7:14" ht="11.25" customHeight="1" x14ac:dyDescent="0.3">
      <c r="G1355" s="470"/>
      <c r="H1355" s="470">
        <v>1348</v>
      </c>
      <c r="I1355" s="455">
        <f t="shared" ca="1" si="128"/>
        <v>-45513611.855514295</v>
      </c>
      <c r="J1355" s="455">
        <f t="array" ref="J1355">IFERROR(INDEX('Retirement Calculator'!J:J,MATCH('Isaac 401k'!N1355,'Retirement Calculator'!A:A,0),0),0)</f>
        <v>0</v>
      </c>
      <c r="K1355" s="455">
        <f t="shared" ca="1" si="126"/>
        <v>-189640.04939797623</v>
      </c>
      <c r="L1355" s="455">
        <f t="shared" ca="1" si="127"/>
        <v>-45703251.904912271</v>
      </c>
      <c r="M1355" s="471">
        <f t="shared" si="129"/>
        <v>0.05</v>
      </c>
      <c r="N1355" s="475">
        <f t="shared" si="130"/>
        <v>92287</v>
      </c>
    </row>
    <row r="1356" spans="7:14" ht="11.25" customHeight="1" x14ac:dyDescent="0.3">
      <c r="G1356" s="470"/>
      <c r="H1356" s="470">
        <v>1349</v>
      </c>
      <c r="I1356" s="455">
        <f t="shared" ca="1" si="128"/>
        <v>-45703251.904912271</v>
      </c>
      <c r="J1356" s="455">
        <f t="array" ref="J1356">IFERROR(INDEX('Retirement Calculator'!J:J,MATCH('Isaac 401k'!N1356,'Retirement Calculator'!A:A,0),0),0)</f>
        <v>0</v>
      </c>
      <c r="K1356" s="455">
        <f t="shared" ca="1" si="126"/>
        <v>-190430.21627046779</v>
      </c>
      <c r="L1356" s="455">
        <f t="shared" ca="1" si="127"/>
        <v>-45893682.12118274</v>
      </c>
      <c r="M1356" s="471">
        <f t="shared" si="129"/>
        <v>0.05</v>
      </c>
      <c r="N1356" s="475">
        <f t="shared" si="130"/>
        <v>92317</v>
      </c>
    </row>
    <row r="1357" spans="7:14" ht="11.25" customHeight="1" x14ac:dyDescent="0.3">
      <c r="G1357" s="470"/>
      <c r="H1357" s="470">
        <v>1350</v>
      </c>
      <c r="I1357" s="455">
        <f t="shared" ca="1" si="128"/>
        <v>-45893682.12118274</v>
      </c>
      <c r="J1357" s="455">
        <f t="array" ref="J1357">IFERROR(INDEX('Retirement Calculator'!J:J,MATCH('Isaac 401k'!N1357,'Retirement Calculator'!A:A,0),0),0)</f>
        <v>0</v>
      </c>
      <c r="K1357" s="455">
        <f t="shared" ca="1" si="126"/>
        <v>-191223.67550492808</v>
      </c>
      <c r="L1357" s="455">
        <f t="shared" ca="1" si="127"/>
        <v>-46084905.79668767</v>
      </c>
      <c r="M1357" s="471">
        <f t="shared" si="129"/>
        <v>0.05</v>
      </c>
      <c r="N1357" s="475">
        <f t="shared" si="130"/>
        <v>92348</v>
      </c>
    </row>
    <row r="1358" spans="7:14" ht="11.25" customHeight="1" x14ac:dyDescent="0.3">
      <c r="G1358" s="470"/>
      <c r="H1358" s="470">
        <v>1351</v>
      </c>
      <c r="I1358" s="455">
        <f t="shared" ca="1" si="128"/>
        <v>-46084905.79668767</v>
      </c>
      <c r="J1358" s="455">
        <f t="array" ref="J1358">IFERROR(INDEX('Retirement Calculator'!J:J,MATCH('Isaac 401k'!N1358,'Retirement Calculator'!A:A,0),0),0)</f>
        <v>0</v>
      </c>
      <c r="K1358" s="455">
        <f t="shared" ca="1" si="126"/>
        <v>-192020.44081953197</v>
      </c>
      <c r="L1358" s="455">
        <f t="shared" ca="1" si="127"/>
        <v>-46276926.237507202</v>
      </c>
      <c r="M1358" s="471">
        <f t="shared" si="129"/>
        <v>0.05</v>
      </c>
      <c r="N1358" s="475">
        <f t="shared" si="130"/>
        <v>92378</v>
      </c>
    </row>
    <row r="1359" spans="7:14" ht="11.25" customHeight="1" x14ac:dyDescent="0.3">
      <c r="G1359" s="470"/>
      <c r="H1359" s="470">
        <v>1352</v>
      </c>
      <c r="I1359" s="455">
        <f t="shared" ca="1" si="128"/>
        <v>-46276926.237507202</v>
      </c>
      <c r="J1359" s="455">
        <f t="array" ref="J1359">IFERROR(INDEX('Retirement Calculator'!J:J,MATCH('Isaac 401k'!N1359,'Retirement Calculator'!A:A,0),0),0)</f>
        <v>0</v>
      </c>
      <c r="K1359" s="455">
        <f t="shared" ca="1" si="126"/>
        <v>-192820.52598961335</v>
      </c>
      <c r="L1359" s="455">
        <f t="shared" ca="1" si="127"/>
        <v>-46469746.763496816</v>
      </c>
      <c r="M1359" s="471">
        <f t="shared" si="129"/>
        <v>0.05</v>
      </c>
      <c r="N1359" s="475">
        <f t="shared" si="130"/>
        <v>92409</v>
      </c>
    </row>
    <row r="1360" spans="7:14" ht="11.25" customHeight="1" x14ac:dyDescent="0.3">
      <c r="G1360" s="470"/>
      <c r="H1360" s="470">
        <v>1353</v>
      </c>
      <c r="I1360" s="455">
        <f t="shared" ca="1" si="128"/>
        <v>-46469746.763496816</v>
      </c>
      <c r="J1360" s="455">
        <f t="array" ref="J1360">IFERROR(INDEX('Retirement Calculator'!J:J,MATCH('Isaac 401k'!N1360,'Retirement Calculator'!A:A,0),0),0)</f>
        <v>0</v>
      </c>
      <c r="K1360" s="455">
        <f t="shared" ca="1" si="126"/>
        <v>-193623.94484790339</v>
      </c>
      <c r="L1360" s="455">
        <f t="shared" ca="1" si="127"/>
        <v>-46663370.70834472</v>
      </c>
      <c r="M1360" s="471">
        <f t="shared" si="129"/>
        <v>0.05</v>
      </c>
      <c r="N1360" s="475">
        <f t="shared" si="130"/>
        <v>92440</v>
      </c>
    </row>
    <row r="1361" spans="7:14" ht="11.25" customHeight="1" x14ac:dyDescent="0.3">
      <c r="G1361" s="470"/>
      <c r="H1361" s="470">
        <v>1354</v>
      </c>
      <c r="I1361" s="455">
        <f t="shared" ca="1" si="128"/>
        <v>-46663370.70834472</v>
      </c>
      <c r="J1361" s="455">
        <f t="array" ref="J1361">IFERROR(INDEX('Retirement Calculator'!J:J,MATCH('Isaac 401k'!N1361,'Retirement Calculator'!A:A,0),0),0)</f>
        <v>0</v>
      </c>
      <c r="K1361" s="455">
        <f t="shared" ca="1" si="126"/>
        <v>-194430.71128476967</v>
      </c>
      <c r="L1361" s="455">
        <f t="shared" ca="1" si="127"/>
        <v>-46857801.419629492</v>
      </c>
      <c r="M1361" s="471">
        <f t="shared" si="129"/>
        <v>0.05</v>
      </c>
      <c r="N1361" s="475">
        <f t="shared" si="130"/>
        <v>92468</v>
      </c>
    </row>
    <row r="1362" spans="7:14" ht="11.25" customHeight="1" x14ac:dyDescent="0.3">
      <c r="G1362" s="470"/>
      <c r="H1362" s="470">
        <v>1355</v>
      </c>
      <c r="I1362" s="455">
        <f t="shared" ca="1" si="128"/>
        <v>-46857801.419629492</v>
      </c>
      <c r="J1362" s="455">
        <f t="array" ref="J1362">IFERROR(INDEX('Retirement Calculator'!J:J,MATCH('Isaac 401k'!N1362,'Retirement Calculator'!A:A,0),0),0)</f>
        <v>0</v>
      </c>
      <c r="K1362" s="455">
        <f t="shared" ca="1" si="126"/>
        <v>-195240.83924845621</v>
      </c>
      <c r="L1362" s="455">
        <f t="shared" ca="1" si="127"/>
        <v>-47053042.258877948</v>
      </c>
      <c r="M1362" s="471">
        <f t="shared" si="129"/>
        <v>0.05</v>
      </c>
      <c r="N1362" s="475">
        <f t="shared" si="130"/>
        <v>92499</v>
      </c>
    </row>
    <row r="1363" spans="7:14" ht="11.25" customHeight="1" x14ac:dyDescent="0.3">
      <c r="G1363" s="470"/>
      <c r="H1363" s="470">
        <v>1356</v>
      </c>
      <c r="I1363" s="455">
        <f t="shared" ca="1" si="128"/>
        <v>-47053042.258877948</v>
      </c>
      <c r="J1363" s="455">
        <f t="array" ref="J1363">IFERROR(INDEX('Retirement Calculator'!J:J,MATCH('Isaac 401k'!N1363,'Retirement Calculator'!A:A,0),0),0)</f>
        <v>0</v>
      </c>
      <c r="K1363" s="455">
        <f t="shared" ca="1" si="126"/>
        <v>-196054.34274532477</v>
      </c>
      <c r="L1363" s="455">
        <f t="shared" ca="1" si="127"/>
        <v>-47249096.601623274</v>
      </c>
      <c r="M1363" s="471">
        <f t="shared" si="129"/>
        <v>0.05</v>
      </c>
      <c r="N1363" s="475">
        <f t="shared" si="130"/>
        <v>92529</v>
      </c>
    </row>
    <row r="1364" spans="7:14" ht="11.25" customHeight="1" x14ac:dyDescent="0.3">
      <c r="G1364" s="470"/>
      <c r="H1364" s="470">
        <v>1357</v>
      </c>
      <c r="I1364" s="455">
        <f t="shared" ca="1" si="128"/>
        <v>-47249096.601623274</v>
      </c>
      <c r="J1364" s="455">
        <f t="array" ref="J1364">IFERROR(INDEX('Retirement Calculator'!J:J,MATCH('Isaac 401k'!N1364,'Retirement Calculator'!A:A,0),0),0)</f>
        <v>0</v>
      </c>
      <c r="K1364" s="455">
        <f t="shared" ca="1" si="126"/>
        <v>-196871.23584009698</v>
      </c>
      <c r="L1364" s="455">
        <f t="shared" ca="1" si="127"/>
        <v>-47445967.837463371</v>
      </c>
      <c r="M1364" s="471">
        <f t="shared" si="129"/>
        <v>0.05</v>
      </c>
      <c r="N1364" s="475">
        <f t="shared" si="130"/>
        <v>92560</v>
      </c>
    </row>
    <row r="1365" spans="7:14" ht="11.25" customHeight="1" x14ac:dyDescent="0.3">
      <c r="G1365" s="470"/>
      <c r="H1365" s="470">
        <v>1358</v>
      </c>
      <c r="I1365" s="455">
        <f t="shared" ca="1" si="128"/>
        <v>-47445967.837463371</v>
      </c>
      <c r="J1365" s="455">
        <f t="array" ref="J1365">IFERROR(INDEX('Retirement Calculator'!J:J,MATCH('Isaac 401k'!N1365,'Retirement Calculator'!A:A,0),0),0)</f>
        <v>0</v>
      </c>
      <c r="K1365" s="455">
        <f t="shared" ca="1" si="126"/>
        <v>-197691.53265609738</v>
      </c>
      <c r="L1365" s="455">
        <f t="shared" ca="1" si="127"/>
        <v>-47643659.370119467</v>
      </c>
      <c r="M1365" s="471">
        <f t="shared" si="129"/>
        <v>0.05</v>
      </c>
      <c r="N1365" s="475">
        <f t="shared" si="130"/>
        <v>92590</v>
      </c>
    </row>
    <row r="1366" spans="7:14" ht="11.25" customHeight="1" x14ac:dyDescent="0.3">
      <c r="G1366" s="470"/>
      <c r="H1366" s="470">
        <v>1359</v>
      </c>
      <c r="I1366" s="455">
        <f t="shared" ca="1" si="128"/>
        <v>-47643659.370119467</v>
      </c>
      <c r="J1366" s="455">
        <f t="array" ref="J1366">IFERROR(INDEX('Retirement Calculator'!J:J,MATCH('Isaac 401k'!N1366,'Retirement Calculator'!A:A,0),0),0)</f>
        <v>0</v>
      </c>
      <c r="K1366" s="455">
        <f t="shared" ca="1" si="126"/>
        <v>-198515.24737549777</v>
      </c>
      <c r="L1366" s="455">
        <f t="shared" ca="1" si="127"/>
        <v>-47842174.617494963</v>
      </c>
      <c r="M1366" s="471">
        <f t="shared" si="129"/>
        <v>0.05</v>
      </c>
      <c r="N1366" s="475">
        <f t="shared" si="130"/>
        <v>92621</v>
      </c>
    </row>
    <row r="1367" spans="7:14" ht="11.25" customHeight="1" x14ac:dyDescent="0.3">
      <c r="G1367" s="470"/>
      <c r="H1367" s="470">
        <v>1360</v>
      </c>
      <c r="I1367" s="455">
        <f t="shared" ca="1" si="128"/>
        <v>-47842174.617494963</v>
      </c>
      <c r="J1367" s="455">
        <f t="array" ref="J1367">IFERROR(INDEX('Retirement Calculator'!J:J,MATCH('Isaac 401k'!N1367,'Retirement Calculator'!A:A,0),0),0)</f>
        <v>0</v>
      </c>
      <c r="K1367" s="455">
        <f t="shared" ca="1" si="126"/>
        <v>-199342.39423956233</v>
      </c>
      <c r="L1367" s="455">
        <f t="shared" ca="1" si="127"/>
        <v>-48041517.011734523</v>
      </c>
      <c r="M1367" s="471">
        <f t="shared" si="129"/>
        <v>0.05</v>
      </c>
      <c r="N1367" s="475">
        <f t="shared" si="130"/>
        <v>92652</v>
      </c>
    </row>
    <row r="1368" spans="7:14" ht="11.25" customHeight="1" x14ac:dyDescent="0.3">
      <c r="G1368" s="470"/>
      <c r="H1368" s="470">
        <v>1361</v>
      </c>
      <c r="I1368" s="455">
        <f t="shared" ca="1" si="128"/>
        <v>-48041517.011734523</v>
      </c>
      <c r="J1368" s="455">
        <f t="array" ref="J1368">IFERROR(INDEX('Retirement Calculator'!J:J,MATCH('Isaac 401k'!N1368,'Retirement Calculator'!A:A,0),0),0)</f>
        <v>0</v>
      </c>
      <c r="K1368" s="455">
        <f t="shared" ca="1" si="126"/>
        <v>-200172.98754889384</v>
      </c>
      <c r="L1368" s="455">
        <f t="shared" ca="1" si="127"/>
        <v>-48241689.999283418</v>
      </c>
      <c r="M1368" s="471">
        <f t="shared" si="129"/>
        <v>0.05</v>
      </c>
      <c r="N1368" s="475">
        <f t="shared" si="130"/>
        <v>92682</v>
      </c>
    </row>
    <row r="1369" spans="7:14" ht="11.25" customHeight="1" x14ac:dyDescent="0.3">
      <c r="G1369" s="470"/>
      <c r="H1369" s="470">
        <v>1362</v>
      </c>
      <c r="I1369" s="455">
        <f t="shared" ca="1" si="128"/>
        <v>-48241689.999283418</v>
      </c>
      <c r="J1369" s="455">
        <f t="array" ref="J1369">IFERROR(INDEX('Retirement Calculator'!J:J,MATCH('Isaac 401k'!N1369,'Retirement Calculator'!A:A,0),0),0)</f>
        <v>0</v>
      </c>
      <c r="K1369" s="455">
        <f t="shared" ca="1" si="126"/>
        <v>-201007.04166368089</v>
      </c>
      <c r="L1369" s="455">
        <f t="shared" ca="1" si="127"/>
        <v>-48442697.040947102</v>
      </c>
      <c r="M1369" s="471">
        <f t="shared" si="129"/>
        <v>0.05</v>
      </c>
      <c r="N1369" s="475">
        <f t="shared" si="130"/>
        <v>92713</v>
      </c>
    </row>
    <row r="1370" spans="7:14" ht="11.25" customHeight="1" x14ac:dyDescent="0.3">
      <c r="G1370" s="470"/>
      <c r="H1370" s="470">
        <v>1363</v>
      </c>
      <c r="I1370" s="455">
        <f t="shared" ca="1" si="128"/>
        <v>-48442697.040947102</v>
      </c>
      <c r="J1370" s="455">
        <f t="array" ref="J1370">IFERROR(INDEX('Retirement Calculator'!J:J,MATCH('Isaac 401k'!N1370,'Retirement Calculator'!A:A,0),0),0)</f>
        <v>0</v>
      </c>
      <c r="K1370" s="455">
        <f t="shared" ca="1" si="126"/>
        <v>-201844.57100394624</v>
      </c>
      <c r="L1370" s="455">
        <f t="shared" ca="1" si="127"/>
        <v>-48644541.611951046</v>
      </c>
      <c r="M1370" s="471">
        <f t="shared" si="129"/>
        <v>0.05</v>
      </c>
      <c r="N1370" s="475">
        <f t="shared" si="130"/>
        <v>92743</v>
      </c>
    </row>
    <row r="1371" spans="7:14" ht="11.25" customHeight="1" x14ac:dyDescent="0.3">
      <c r="G1371" s="470"/>
      <c r="H1371" s="470">
        <v>1364</v>
      </c>
      <c r="I1371" s="455">
        <f t="shared" ca="1" si="128"/>
        <v>-48644541.611951046</v>
      </c>
      <c r="J1371" s="455">
        <f t="array" ref="J1371">IFERROR(INDEX('Retirement Calculator'!J:J,MATCH('Isaac 401k'!N1371,'Retirement Calculator'!A:A,0),0),0)</f>
        <v>0</v>
      </c>
      <c r="K1371" s="455">
        <f t="shared" ca="1" si="126"/>
        <v>-202685.59004979601</v>
      </c>
      <c r="L1371" s="455">
        <f t="shared" ca="1" si="127"/>
        <v>-48847227.202000841</v>
      </c>
      <c r="M1371" s="471">
        <f t="shared" si="129"/>
        <v>0.05</v>
      </c>
      <c r="N1371" s="475">
        <f t="shared" si="130"/>
        <v>92774</v>
      </c>
    </row>
    <row r="1372" spans="7:14" ht="11.25" customHeight="1" x14ac:dyDescent="0.3">
      <c r="G1372" s="470"/>
      <c r="H1372" s="470">
        <v>1365</v>
      </c>
      <c r="I1372" s="455">
        <f t="shared" ca="1" si="128"/>
        <v>-48847227.202000841</v>
      </c>
      <c r="J1372" s="455">
        <f t="array" ref="J1372">IFERROR(INDEX('Retirement Calculator'!J:J,MATCH('Isaac 401k'!N1372,'Retirement Calculator'!A:A,0),0),0)</f>
        <v>0</v>
      </c>
      <c r="K1372" s="455">
        <f t="shared" ca="1" si="126"/>
        <v>-203530.11334167016</v>
      </c>
      <c r="L1372" s="455">
        <f t="shared" ca="1" si="127"/>
        <v>-49050757.315342508</v>
      </c>
      <c r="M1372" s="471">
        <f t="shared" si="129"/>
        <v>0.05</v>
      </c>
      <c r="N1372" s="475">
        <f t="shared" si="130"/>
        <v>92805</v>
      </c>
    </row>
    <row r="1373" spans="7:14" ht="11.25" customHeight="1" x14ac:dyDescent="0.3">
      <c r="G1373" s="470"/>
      <c r="H1373" s="470">
        <v>1366</v>
      </c>
      <c r="I1373" s="455">
        <f t="shared" ca="1" si="128"/>
        <v>-49050757.315342508</v>
      </c>
      <c r="J1373" s="455">
        <f t="array" ref="J1373">IFERROR(INDEX('Retirement Calculator'!J:J,MATCH('Isaac 401k'!N1373,'Retirement Calculator'!A:A,0),0),0)</f>
        <v>0</v>
      </c>
      <c r="K1373" s="455">
        <f t="shared" ca="1" si="126"/>
        <v>-204378.15548059379</v>
      </c>
      <c r="L1373" s="455">
        <f t="shared" ca="1" si="127"/>
        <v>-49255135.470823102</v>
      </c>
      <c r="M1373" s="471">
        <f t="shared" si="129"/>
        <v>0.05</v>
      </c>
      <c r="N1373" s="475">
        <f t="shared" si="130"/>
        <v>92833</v>
      </c>
    </row>
    <row r="1374" spans="7:14" ht="11.25" customHeight="1" x14ac:dyDescent="0.3">
      <c r="G1374" s="470"/>
      <c r="H1374" s="470">
        <v>1367</v>
      </c>
      <c r="I1374" s="455">
        <f t="shared" ca="1" si="128"/>
        <v>-49255135.470823102</v>
      </c>
      <c r="J1374" s="455">
        <f t="array" ref="J1374">IFERROR(INDEX('Retirement Calculator'!J:J,MATCH('Isaac 401k'!N1374,'Retirement Calculator'!A:A,0),0),0)</f>
        <v>0</v>
      </c>
      <c r="K1374" s="455">
        <f t="shared" ca="1" si="126"/>
        <v>-205229.73112842959</v>
      </c>
      <c r="L1374" s="455">
        <f t="shared" ca="1" si="127"/>
        <v>-49460365.201951534</v>
      </c>
      <c r="M1374" s="471">
        <f t="shared" si="129"/>
        <v>0.05</v>
      </c>
      <c r="N1374" s="475">
        <f t="shared" si="130"/>
        <v>92864</v>
      </c>
    </row>
    <row r="1375" spans="7:14" ht="11.25" customHeight="1" x14ac:dyDescent="0.3">
      <c r="G1375" s="470"/>
      <c r="H1375" s="470">
        <v>1368</v>
      </c>
      <c r="I1375" s="455">
        <f t="shared" ca="1" si="128"/>
        <v>-49460365.201951534</v>
      </c>
      <c r="J1375" s="455">
        <f t="array" ref="J1375">IFERROR(INDEX('Retirement Calculator'!J:J,MATCH('Isaac 401k'!N1375,'Retirement Calculator'!A:A,0),0),0)</f>
        <v>0</v>
      </c>
      <c r="K1375" s="455">
        <f t="shared" ca="1" si="126"/>
        <v>-206084.85500813139</v>
      </c>
      <c r="L1375" s="455">
        <f t="shared" ca="1" si="127"/>
        <v>-49666450.056959666</v>
      </c>
      <c r="M1375" s="471">
        <f t="shared" si="129"/>
        <v>0.05</v>
      </c>
      <c r="N1375" s="475">
        <f t="shared" si="130"/>
        <v>92894</v>
      </c>
    </row>
    <row r="1376" spans="7:14" ht="11.25" customHeight="1" x14ac:dyDescent="0.3">
      <c r="G1376" s="470"/>
      <c r="H1376" s="470">
        <v>1369</v>
      </c>
      <c r="I1376" s="455">
        <f t="shared" ca="1" si="128"/>
        <v>-49666450.056959666</v>
      </c>
      <c r="J1376" s="455">
        <f t="array" ref="J1376">IFERROR(INDEX('Retirement Calculator'!J:J,MATCH('Isaac 401k'!N1376,'Retirement Calculator'!A:A,0),0),0)</f>
        <v>0</v>
      </c>
      <c r="K1376" s="455">
        <f t="shared" ca="1" si="126"/>
        <v>-206943.54190399862</v>
      </c>
      <c r="L1376" s="455">
        <f t="shared" ca="1" si="127"/>
        <v>-49873393.598863661</v>
      </c>
      <c r="M1376" s="471">
        <f t="shared" si="129"/>
        <v>0.05</v>
      </c>
      <c r="N1376" s="475">
        <f t="shared" si="130"/>
        <v>92925</v>
      </c>
    </row>
    <row r="1377" spans="7:14" ht="11.25" customHeight="1" x14ac:dyDescent="0.3">
      <c r="G1377" s="470"/>
      <c r="H1377" s="470">
        <v>1370</v>
      </c>
      <c r="I1377" s="455">
        <f t="shared" ca="1" si="128"/>
        <v>-49873393.598863661</v>
      </c>
      <c r="J1377" s="455">
        <f t="array" ref="J1377">IFERROR(INDEX('Retirement Calculator'!J:J,MATCH('Isaac 401k'!N1377,'Retirement Calculator'!A:A,0),0),0)</f>
        <v>0</v>
      </c>
      <c r="K1377" s="455">
        <f t="shared" ca="1" si="126"/>
        <v>-207805.80666193191</v>
      </c>
      <c r="L1377" s="455">
        <f t="shared" ca="1" si="127"/>
        <v>-50081199.405525595</v>
      </c>
      <c r="M1377" s="471">
        <f t="shared" si="129"/>
        <v>0.05</v>
      </c>
      <c r="N1377" s="475">
        <f t="shared" si="130"/>
        <v>92955</v>
      </c>
    </row>
    <row r="1378" spans="7:14" ht="11.25" customHeight="1" x14ac:dyDescent="0.3">
      <c r="G1378" s="470"/>
      <c r="H1378" s="470">
        <v>1371</v>
      </c>
      <c r="I1378" s="455">
        <f t="shared" ca="1" si="128"/>
        <v>-50081199.405525595</v>
      </c>
      <c r="J1378" s="455">
        <f t="array" ref="J1378">IFERROR(INDEX('Retirement Calculator'!J:J,MATCH('Isaac 401k'!N1378,'Retirement Calculator'!A:A,0),0),0)</f>
        <v>0</v>
      </c>
      <c r="K1378" s="455">
        <f t="shared" ca="1" si="126"/>
        <v>-208671.66418968997</v>
      </c>
      <c r="L1378" s="455">
        <f t="shared" ca="1" si="127"/>
        <v>-50289871.069715284</v>
      </c>
      <c r="M1378" s="471">
        <f t="shared" si="129"/>
        <v>0.05</v>
      </c>
      <c r="N1378" s="475">
        <f t="shared" si="130"/>
        <v>92986</v>
      </c>
    </row>
    <row r="1379" spans="7:14" ht="11.25" customHeight="1" x14ac:dyDescent="0.3">
      <c r="G1379" s="470"/>
      <c r="H1379" s="470">
        <v>1372</v>
      </c>
      <c r="I1379" s="455">
        <f t="shared" ca="1" si="128"/>
        <v>-50289871.069715284</v>
      </c>
      <c r="J1379" s="455">
        <f t="array" ref="J1379">IFERROR(INDEX('Retirement Calculator'!J:J,MATCH('Isaac 401k'!N1379,'Retirement Calculator'!A:A,0),0),0)</f>
        <v>0</v>
      </c>
      <c r="K1379" s="455">
        <f t="shared" ca="1" si="126"/>
        <v>-209541.12945714701</v>
      </c>
      <c r="L1379" s="455">
        <f t="shared" ca="1" si="127"/>
        <v>-50499412.19917243</v>
      </c>
      <c r="M1379" s="471">
        <f t="shared" si="129"/>
        <v>0.05</v>
      </c>
      <c r="N1379" s="475">
        <f t="shared" si="130"/>
        <v>93017</v>
      </c>
    </row>
    <row r="1380" spans="7:14" ht="11.25" customHeight="1" x14ac:dyDescent="0.3">
      <c r="G1380" s="470"/>
      <c r="H1380" s="470">
        <v>1373</v>
      </c>
      <c r="I1380" s="455">
        <f t="shared" ca="1" si="128"/>
        <v>-50499412.19917243</v>
      </c>
      <c r="J1380" s="455">
        <f t="array" ref="J1380">IFERROR(INDEX('Retirement Calculator'!J:J,MATCH('Isaac 401k'!N1380,'Retirement Calculator'!A:A,0),0),0)</f>
        <v>0</v>
      </c>
      <c r="K1380" s="455">
        <f t="shared" ca="1" si="126"/>
        <v>-210414.21749655178</v>
      </c>
      <c r="L1380" s="455">
        <f t="shared" ca="1" si="127"/>
        <v>-50709826.416668981</v>
      </c>
      <c r="M1380" s="471">
        <f t="shared" si="129"/>
        <v>0.05</v>
      </c>
      <c r="N1380" s="475">
        <f t="shared" si="130"/>
        <v>93047</v>
      </c>
    </row>
    <row r="1381" spans="7:14" ht="11.25" customHeight="1" x14ac:dyDescent="0.3">
      <c r="G1381" s="470"/>
      <c r="H1381" s="470">
        <v>1374</v>
      </c>
      <c r="I1381" s="455">
        <f t="shared" ca="1" si="128"/>
        <v>-50709826.416668981</v>
      </c>
      <c r="J1381" s="455">
        <f t="array" ref="J1381">IFERROR(INDEX('Retirement Calculator'!J:J,MATCH('Isaac 401k'!N1381,'Retirement Calculator'!A:A,0),0),0)</f>
        <v>0</v>
      </c>
      <c r="K1381" s="455">
        <f t="shared" ca="1" si="126"/>
        <v>-211290.94340278741</v>
      </c>
      <c r="L1381" s="455">
        <f t="shared" ca="1" si="127"/>
        <v>-50921117.360071771</v>
      </c>
      <c r="M1381" s="471">
        <f t="shared" si="129"/>
        <v>0.05</v>
      </c>
      <c r="N1381" s="475">
        <f t="shared" si="130"/>
        <v>93078</v>
      </c>
    </row>
    <row r="1382" spans="7:14" ht="11.25" customHeight="1" x14ac:dyDescent="0.3">
      <c r="G1382" s="470"/>
      <c r="H1382" s="470">
        <v>1375</v>
      </c>
      <c r="I1382" s="455">
        <f t="shared" ca="1" si="128"/>
        <v>-50921117.360071771</v>
      </c>
      <c r="J1382" s="455">
        <f t="array" ref="J1382">IFERROR(INDEX('Retirement Calculator'!J:J,MATCH('Isaac 401k'!N1382,'Retirement Calculator'!A:A,0),0),0)</f>
        <v>0</v>
      </c>
      <c r="K1382" s="455">
        <f t="shared" ca="1" si="126"/>
        <v>-212171.32233363239</v>
      </c>
      <c r="L1382" s="455">
        <f t="shared" ca="1" si="127"/>
        <v>-51133288.682405405</v>
      </c>
      <c r="M1382" s="471">
        <f t="shared" si="129"/>
        <v>0.05</v>
      </c>
      <c r="N1382" s="475">
        <f t="shared" si="130"/>
        <v>93108</v>
      </c>
    </row>
    <row r="1383" spans="7:14" ht="11.25" customHeight="1" x14ac:dyDescent="0.3">
      <c r="G1383" s="470"/>
      <c r="H1383" s="470">
        <v>1376</v>
      </c>
      <c r="I1383" s="455">
        <f t="shared" ca="1" si="128"/>
        <v>-51133288.682405405</v>
      </c>
      <c r="J1383" s="455">
        <f t="array" ref="J1383">IFERROR(INDEX('Retirement Calculator'!J:J,MATCH('Isaac 401k'!N1383,'Retirement Calculator'!A:A,0),0),0)</f>
        <v>0</v>
      </c>
      <c r="K1383" s="455">
        <f t="shared" ca="1" si="126"/>
        <v>-213055.36951002252</v>
      </c>
      <c r="L1383" s="455">
        <f t="shared" ca="1" si="127"/>
        <v>-51346344.05191543</v>
      </c>
      <c r="M1383" s="471">
        <f t="shared" si="129"/>
        <v>0.05</v>
      </c>
      <c r="N1383" s="475">
        <f t="shared" si="130"/>
        <v>93139</v>
      </c>
    </row>
    <row r="1384" spans="7:14" ht="11.25" customHeight="1" x14ac:dyDescent="0.3">
      <c r="G1384" s="470"/>
      <c r="H1384" s="470">
        <v>1377</v>
      </c>
      <c r="I1384" s="455">
        <f t="shared" ca="1" si="128"/>
        <v>-51346344.05191543</v>
      </c>
      <c r="J1384" s="455">
        <f t="array" ref="J1384">IFERROR(INDEX('Retirement Calculator'!J:J,MATCH('Isaac 401k'!N1384,'Retirement Calculator'!A:A,0),0),0)</f>
        <v>0</v>
      </c>
      <c r="K1384" s="455">
        <f t="shared" ca="1" si="126"/>
        <v>-213943.10021631428</v>
      </c>
      <c r="L1384" s="455">
        <f t="shared" ca="1" si="127"/>
        <v>-51560287.152131744</v>
      </c>
      <c r="M1384" s="471">
        <f t="shared" si="129"/>
        <v>0.05</v>
      </c>
      <c r="N1384" s="475">
        <f t="shared" si="130"/>
        <v>93170</v>
      </c>
    </row>
    <row r="1385" spans="7:14" ht="11.25" customHeight="1" x14ac:dyDescent="0.3">
      <c r="G1385" s="470"/>
      <c r="H1385" s="470">
        <v>1378</v>
      </c>
      <c r="I1385" s="455">
        <f t="shared" ca="1" si="128"/>
        <v>-51560287.152131744</v>
      </c>
      <c r="J1385" s="455">
        <f t="array" ref="J1385">IFERROR(INDEX('Retirement Calculator'!J:J,MATCH('Isaac 401k'!N1385,'Retirement Calculator'!A:A,0),0),0)</f>
        <v>0</v>
      </c>
      <c r="K1385" s="455">
        <f t="shared" ca="1" si="126"/>
        <v>-214834.52980054892</v>
      </c>
      <c r="L1385" s="455">
        <f t="shared" ca="1" si="127"/>
        <v>-51775121.681932293</v>
      </c>
      <c r="M1385" s="471">
        <f t="shared" si="129"/>
        <v>0.05</v>
      </c>
      <c r="N1385" s="475">
        <f t="shared" si="130"/>
        <v>93198</v>
      </c>
    </row>
    <row r="1386" spans="7:14" ht="11.25" customHeight="1" x14ac:dyDescent="0.3">
      <c r="G1386" s="470"/>
      <c r="H1386" s="470">
        <v>1379</v>
      </c>
      <c r="I1386" s="455">
        <f t="shared" ca="1" si="128"/>
        <v>-51775121.681932293</v>
      </c>
      <c r="J1386" s="455">
        <f t="array" ref="J1386">IFERROR(INDEX('Retirement Calculator'!J:J,MATCH('Isaac 401k'!N1386,'Retirement Calculator'!A:A,0),0),0)</f>
        <v>0</v>
      </c>
      <c r="K1386" s="455">
        <f t="shared" ca="1" si="126"/>
        <v>-215729.67367471789</v>
      </c>
      <c r="L1386" s="455">
        <f t="shared" ca="1" si="127"/>
        <v>-51990851.35560701</v>
      </c>
      <c r="M1386" s="471">
        <f t="shared" si="129"/>
        <v>0.05</v>
      </c>
      <c r="N1386" s="475">
        <f t="shared" si="130"/>
        <v>93229</v>
      </c>
    </row>
    <row r="1387" spans="7:14" ht="11.25" customHeight="1" x14ac:dyDescent="0.3">
      <c r="G1387" s="470"/>
      <c r="H1387" s="470">
        <v>1380</v>
      </c>
      <c r="I1387" s="455">
        <f t="shared" ca="1" si="128"/>
        <v>-51990851.35560701</v>
      </c>
      <c r="J1387" s="455">
        <f t="array" ref="J1387">IFERROR(INDEX('Retirement Calculator'!J:J,MATCH('Isaac 401k'!N1387,'Retirement Calculator'!A:A,0),0),0)</f>
        <v>0</v>
      </c>
      <c r="K1387" s="455">
        <f t="shared" ca="1" si="126"/>
        <v>-216628.54731502919</v>
      </c>
      <c r="L1387" s="455">
        <f t="shared" ca="1" si="127"/>
        <v>-52207479.902922042</v>
      </c>
      <c r="M1387" s="471">
        <f t="shared" si="129"/>
        <v>0.05</v>
      </c>
      <c r="N1387" s="475">
        <f t="shared" si="130"/>
        <v>93259</v>
      </c>
    </row>
    <row r="1388" spans="7:14" ht="11.25" customHeight="1" x14ac:dyDescent="0.3">
      <c r="G1388" s="470"/>
      <c r="H1388" s="470">
        <v>1381</v>
      </c>
      <c r="I1388" s="455">
        <f t="shared" ca="1" si="128"/>
        <v>-52207479.902922042</v>
      </c>
      <c r="J1388" s="455">
        <f t="array" ref="J1388">IFERROR(INDEX('Retirement Calculator'!J:J,MATCH('Isaac 401k'!N1388,'Retirement Calculator'!A:A,0),0),0)</f>
        <v>0</v>
      </c>
      <c r="K1388" s="455">
        <f t="shared" ca="1" si="126"/>
        <v>-217531.16626217516</v>
      </c>
      <c r="L1388" s="455">
        <f t="shared" ca="1" si="127"/>
        <v>-52425011.069184214</v>
      </c>
      <c r="M1388" s="471">
        <f t="shared" si="129"/>
        <v>0.05</v>
      </c>
      <c r="N1388" s="475">
        <f t="shared" si="130"/>
        <v>93290</v>
      </c>
    </row>
    <row r="1389" spans="7:14" ht="11.25" customHeight="1" x14ac:dyDescent="0.3">
      <c r="G1389" s="470"/>
      <c r="H1389" s="470">
        <v>1382</v>
      </c>
      <c r="I1389" s="455">
        <f t="shared" ca="1" si="128"/>
        <v>-52425011.069184214</v>
      </c>
      <c r="J1389" s="455">
        <f t="array" ref="J1389">IFERROR(INDEX('Retirement Calculator'!J:J,MATCH('Isaac 401k'!N1389,'Retirement Calculator'!A:A,0),0),0)</f>
        <v>0</v>
      </c>
      <c r="K1389" s="455">
        <f t="shared" ca="1" si="126"/>
        <v>-218437.54612160093</v>
      </c>
      <c r="L1389" s="455">
        <f t="shared" ca="1" si="127"/>
        <v>-52643448.615305811</v>
      </c>
      <c r="M1389" s="471">
        <f t="shared" si="129"/>
        <v>0.05</v>
      </c>
      <c r="N1389" s="475">
        <f t="shared" si="130"/>
        <v>93320</v>
      </c>
    </row>
    <row r="1390" spans="7:14" ht="11.25" customHeight="1" x14ac:dyDescent="0.3">
      <c r="G1390" s="470"/>
      <c r="H1390" s="470">
        <v>1383</v>
      </c>
      <c r="I1390" s="455">
        <f t="shared" ca="1" si="128"/>
        <v>-52643448.615305811</v>
      </c>
      <c r="J1390" s="455">
        <f t="array" ref="J1390">IFERROR(INDEX('Retirement Calculator'!J:J,MATCH('Isaac 401k'!N1390,'Retirement Calculator'!A:A,0),0),0)</f>
        <v>0</v>
      </c>
      <c r="K1390" s="455">
        <f t="shared" ca="1" si="126"/>
        <v>-219347.70256377419</v>
      </c>
      <c r="L1390" s="455">
        <f t="shared" ca="1" si="127"/>
        <v>-52862796.317869589</v>
      </c>
      <c r="M1390" s="471">
        <f t="shared" si="129"/>
        <v>0.05</v>
      </c>
      <c r="N1390" s="475">
        <f t="shared" si="130"/>
        <v>93351</v>
      </c>
    </row>
    <row r="1391" spans="7:14" ht="11.25" customHeight="1" x14ac:dyDescent="0.3">
      <c r="G1391" s="470"/>
      <c r="H1391" s="470">
        <v>1384</v>
      </c>
      <c r="I1391" s="455">
        <f t="shared" ca="1" si="128"/>
        <v>-52862796.317869589</v>
      </c>
      <c r="J1391" s="455">
        <f t="array" ref="J1391">IFERROR(INDEX('Retirement Calculator'!J:J,MATCH('Isaac 401k'!N1391,'Retirement Calculator'!A:A,0),0),0)</f>
        <v>0</v>
      </c>
      <c r="K1391" s="455">
        <f t="shared" ca="1" si="126"/>
        <v>-220261.65132445662</v>
      </c>
      <c r="L1391" s="455">
        <f t="shared" ca="1" si="127"/>
        <v>-53083057.969194047</v>
      </c>
      <c r="M1391" s="471">
        <f t="shared" si="129"/>
        <v>0.05</v>
      </c>
      <c r="N1391" s="475">
        <f t="shared" si="130"/>
        <v>93382</v>
      </c>
    </row>
    <row r="1392" spans="7:14" ht="11.25" customHeight="1" x14ac:dyDescent="0.3">
      <c r="G1392" s="470"/>
      <c r="H1392" s="470">
        <v>1385</v>
      </c>
      <c r="I1392" s="455">
        <f t="shared" ca="1" si="128"/>
        <v>-53083057.969194047</v>
      </c>
      <c r="J1392" s="455">
        <f t="array" ref="J1392">IFERROR(INDEX('Retirement Calculator'!J:J,MATCH('Isaac 401k'!N1392,'Retirement Calculator'!A:A,0),0),0)</f>
        <v>0</v>
      </c>
      <c r="K1392" s="455">
        <f t="shared" ca="1" si="126"/>
        <v>-221179.40820497519</v>
      </c>
      <c r="L1392" s="455">
        <f t="shared" ca="1" si="127"/>
        <v>-53304237.37739902</v>
      </c>
      <c r="M1392" s="471">
        <f t="shared" si="129"/>
        <v>0.05</v>
      </c>
      <c r="N1392" s="475">
        <f t="shared" si="130"/>
        <v>93412</v>
      </c>
    </row>
    <row r="1393" spans="7:14" ht="11.25" customHeight="1" x14ac:dyDescent="0.3">
      <c r="G1393" s="470"/>
      <c r="H1393" s="470">
        <v>1386</v>
      </c>
      <c r="I1393" s="455">
        <f t="shared" ca="1" si="128"/>
        <v>-53304237.37739902</v>
      </c>
      <c r="J1393" s="455">
        <f t="array" ref="J1393">IFERROR(INDEX('Retirement Calculator'!J:J,MATCH('Isaac 401k'!N1393,'Retirement Calculator'!A:A,0),0),0)</f>
        <v>0</v>
      </c>
      <c r="K1393" s="455">
        <f t="shared" ca="1" si="126"/>
        <v>-222100.98907249593</v>
      </c>
      <c r="L1393" s="455">
        <f t="shared" ca="1" si="127"/>
        <v>-53526338.366471514</v>
      </c>
      <c r="M1393" s="471">
        <f t="shared" si="129"/>
        <v>0.05</v>
      </c>
      <c r="N1393" s="475">
        <f t="shared" si="130"/>
        <v>93443</v>
      </c>
    </row>
    <row r="1394" spans="7:14" ht="11.25" customHeight="1" x14ac:dyDescent="0.3">
      <c r="G1394" s="470"/>
      <c r="H1394" s="470">
        <v>1387</v>
      </c>
      <c r="I1394" s="455">
        <f t="shared" ca="1" si="128"/>
        <v>-53526338.366471514</v>
      </c>
      <c r="J1394" s="455">
        <f t="array" ref="J1394">IFERROR(INDEX('Retirement Calculator'!J:J,MATCH('Isaac 401k'!N1394,'Retirement Calculator'!A:A,0),0),0)</f>
        <v>0</v>
      </c>
      <c r="K1394" s="455">
        <f t="shared" ca="1" si="126"/>
        <v>-223026.40986029798</v>
      </c>
      <c r="L1394" s="455">
        <f t="shared" ca="1" si="127"/>
        <v>-53749364.776331812</v>
      </c>
      <c r="M1394" s="471">
        <f t="shared" si="129"/>
        <v>0.05</v>
      </c>
      <c r="N1394" s="475">
        <f t="shared" si="130"/>
        <v>93473</v>
      </c>
    </row>
    <row r="1395" spans="7:14" ht="11.25" customHeight="1" x14ac:dyDescent="0.3">
      <c r="G1395" s="470"/>
      <c r="H1395" s="470">
        <v>1388</v>
      </c>
      <c r="I1395" s="455">
        <f t="shared" ca="1" si="128"/>
        <v>-53749364.776331812</v>
      </c>
      <c r="J1395" s="455">
        <f t="array" ref="J1395">IFERROR(INDEX('Retirement Calculator'!J:J,MATCH('Isaac 401k'!N1395,'Retirement Calculator'!A:A,0),0),0)</f>
        <v>0</v>
      </c>
      <c r="K1395" s="455">
        <f t="shared" ca="1" si="126"/>
        <v>-223955.68656804922</v>
      </c>
      <c r="L1395" s="455">
        <f t="shared" ca="1" si="127"/>
        <v>-53973320.462899864</v>
      </c>
      <c r="M1395" s="471">
        <f t="shared" si="129"/>
        <v>0.05</v>
      </c>
      <c r="N1395" s="475">
        <f t="shared" si="130"/>
        <v>93504</v>
      </c>
    </row>
    <row r="1396" spans="7:14" ht="11.25" customHeight="1" x14ac:dyDescent="0.3">
      <c r="G1396" s="470"/>
      <c r="H1396" s="470">
        <v>1389</v>
      </c>
      <c r="I1396" s="455">
        <f t="shared" ca="1" si="128"/>
        <v>-53973320.462899864</v>
      </c>
      <c r="J1396" s="455">
        <f t="array" ref="J1396">IFERROR(INDEX('Retirement Calculator'!J:J,MATCH('Isaac 401k'!N1396,'Retirement Calculator'!A:A,0),0),0)</f>
        <v>0</v>
      </c>
      <c r="K1396" s="455">
        <f t="shared" ca="1" si="126"/>
        <v>-224888.83526208275</v>
      </c>
      <c r="L1396" s="455">
        <f t="shared" ca="1" si="127"/>
        <v>-54198209.298161946</v>
      </c>
      <c r="M1396" s="471">
        <f t="shared" si="129"/>
        <v>0.05</v>
      </c>
      <c r="N1396" s="475">
        <f t="shared" si="130"/>
        <v>93535</v>
      </c>
    </row>
    <row r="1397" spans="7:14" ht="11.25" customHeight="1" x14ac:dyDescent="0.3">
      <c r="G1397" s="470"/>
      <c r="H1397" s="470">
        <v>1390</v>
      </c>
      <c r="I1397" s="455">
        <f t="shared" ca="1" si="128"/>
        <v>-54198209.298161946</v>
      </c>
      <c r="J1397" s="455">
        <f t="array" ref="J1397">IFERROR(INDEX('Retirement Calculator'!J:J,MATCH('Isaac 401k'!N1397,'Retirement Calculator'!A:A,0),0),0)</f>
        <v>0</v>
      </c>
      <c r="K1397" s="455">
        <f t="shared" ca="1" si="126"/>
        <v>-225825.87207567476</v>
      </c>
      <c r="L1397" s="455">
        <f t="shared" ca="1" si="127"/>
        <v>-54424035.170237623</v>
      </c>
      <c r="M1397" s="471">
        <f t="shared" si="129"/>
        <v>0.05</v>
      </c>
      <c r="N1397" s="475">
        <f t="shared" si="130"/>
        <v>93564</v>
      </c>
    </row>
    <row r="1398" spans="7:14" ht="11.25" customHeight="1" x14ac:dyDescent="0.3">
      <c r="G1398" s="470"/>
      <c r="H1398" s="470">
        <v>1391</v>
      </c>
      <c r="I1398" s="455">
        <f t="shared" ca="1" si="128"/>
        <v>-54424035.170237623</v>
      </c>
      <c r="J1398" s="455">
        <f t="array" ref="J1398">IFERROR(INDEX('Retirement Calculator'!J:J,MATCH('Isaac 401k'!N1398,'Retirement Calculator'!A:A,0),0),0)</f>
        <v>0</v>
      </c>
      <c r="K1398" s="455">
        <f t="shared" ca="1" si="126"/>
        <v>-226766.81320932339</v>
      </c>
      <c r="L1398" s="455">
        <f t="shared" ca="1" si="127"/>
        <v>-54650801.983446948</v>
      </c>
      <c r="M1398" s="471">
        <f t="shared" si="129"/>
        <v>0.05</v>
      </c>
      <c r="N1398" s="475">
        <f t="shared" si="130"/>
        <v>93595</v>
      </c>
    </row>
    <row r="1399" spans="7:14" ht="11.25" customHeight="1" x14ac:dyDescent="0.3">
      <c r="G1399" s="470"/>
      <c r="H1399" s="470">
        <v>1392</v>
      </c>
      <c r="I1399" s="455">
        <f t="shared" ca="1" si="128"/>
        <v>-54650801.983446948</v>
      </c>
      <c r="J1399" s="455">
        <f t="array" ref="J1399">IFERROR(INDEX('Retirement Calculator'!J:J,MATCH('Isaac 401k'!N1399,'Retirement Calculator'!A:A,0),0),0)</f>
        <v>0</v>
      </c>
      <c r="K1399" s="455">
        <f t="shared" ca="1" si="126"/>
        <v>-227711.67493102895</v>
      </c>
      <c r="L1399" s="455">
        <f t="shared" ca="1" si="127"/>
        <v>-54878513.658377975</v>
      </c>
      <c r="M1399" s="471">
        <f t="shared" si="129"/>
        <v>0.05</v>
      </c>
      <c r="N1399" s="475">
        <f t="shared" si="130"/>
        <v>93625</v>
      </c>
    </row>
    <row r="1400" spans="7:14" ht="11.25" customHeight="1" x14ac:dyDescent="0.3">
      <c r="G1400" s="470"/>
      <c r="H1400" s="470">
        <v>1393</v>
      </c>
      <c r="I1400" s="455">
        <f t="shared" ca="1" si="128"/>
        <v>-54878513.658377975</v>
      </c>
      <c r="J1400" s="455">
        <f t="array" ref="J1400">IFERROR(INDEX('Retirement Calculator'!J:J,MATCH('Isaac 401k'!N1400,'Retirement Calculator'!A:A,0),0),0)</f>
        <v>0</v>
      </c>
      <c r="K1400" s="455">
        <f t="shared" ca="1" si="126"/>
        <v>-228660.47357657491</v>
      </c>
      <c r="L1400" s="455">
        <f t="shared" ca="1" si="127"/>
        <v>-55107174.131954551</v>
      </c>
      <c r="M1400" s="471">
        <f t="shared" si="129"/>
        <v>0.05</v>
      </c>
      <c r="N1400" s="475">
        <f t="shared" si="130"/>
        <v>93656</v>
      </c>
    </row>
    <row r="1401" spans="7:14" ht="11.25" customHeight="1" x14ac:dyDescent="0.3">
      <c r="G1401" s="470"/>
      <c r="H1401" s="470">
        <v>1394</v>
      </c>
      <c r="I1401" s="455">
        <f t="shared" ca="1" si="128"/>
        <v>-55107174.131954551</v>
      </c>
      <c r="J1401" s="455">
        <f t="array" ref="J1401">IFERROR(INDEX('Retirement Calculator'!J:J,MATCH('Isaac 401k'!N1401,'Retirement Calculator'!A:A,0),0),0)</f>
        <v>0</v>
      </c>
      <c r="K1401" s="455">
        <f t="shared" ca="1" si="126"/>
        <v>-229613.22554981062</v>
      </c>
      <c r="L1401" s="455">
        <f t="shared" ca="1" si="127"/>
        <v>-55336787.35750436</v>
      </c>
      <c r="M1401" s="471">
        <f t="shared" si="129"/>
        <v>0.05</v>
      </c>
      <c r="N1401" s="475">
        <f t="shared" si="130"/>
        <v>93686</v>
      </c>
    </row>
    <row r="1402" spans="7:14" ht="11.25" customHeight="1" x14ac:dyDescent="0.3">
      <c r="G1402" s="470"/>
      <c r="H1402" s="470">
        <v>1395</v>
      </c>
      <c r="I1402" s="455">
        <f t="shared" ca="1" si="128"/>
        <v>-55336787.35750436</v>
      </c>
      <c r="J1402" s="455">
        <f t="array" ref="J1402">IFERROR(INDEX('Retirement Calculator'!J:J,MATCH('Isaac 401k'!N1402,'Retirement Calculator'!A:A,0),0),0)</f>
        <v>0</v>
      </c>
      <c r="K1402" s="455">
        <f t="shared" ca="1" si="126"/>
        <v>-230569.94732293484</v>
      </c>
      <c r="L1402" s="455">
        <f t="shared" ca="1" si="127"/>
        <v>-55567357.304827295</v>
      </c>
      <c r="M1402" s="471">
        <f t="shared" si="129"/>
        <v>0.05</v>
      </c>
      <c r="N1402" s="475">
        <f t="shared" si="130"/>
        <v>93717</v>
      </c>
    </row>
    <row r="1403" spans="7:14" ht="11.25" customHeight="1" x14ac:dyDescent="0.3">
      <c r="G1403" s="470"/>
      <c r="H1403" s="470">
        <v>1396</v>
      </c>
      <c r="I1403" s="455">
        <f t="shared" ca="1" si="128"/>
        <v>-55567357.304827295</v>
      </c>
      <c r="J1403" s="455">
        <f t="array" ref="J1403">IFERROR(INDEX('Retirement Calculator'!J:J,MATCH('Isaac 401k'!N1403,'Retirement Calculator'!A:A,0),0),0)</f>
        <v>0</v>
      </c>
      <c r="K1403" s="455">
        <f t="shared" ca="1" si="126"/>
        <v>-231530.65543678036</v>
      </c>
      <c r="L1403" s="455">
        <f t="shared" ca="1" si="127"/>
        <v>-55798887.960264079</v>
      </c>
      <c r="M1403" s="471">
        <f t="shared" si="129"/>
        <v>0.05</v>
      </c>
      <c r="N1403" s="475">
        <f t="shared" si="130"/>
        <v>93748</v>
      </c>
    </row>
    <row r="1404" spans="7:14" ht="11.25" customHeight="1" x14ac:dyDescent="0.3">
      <c r="G1404" s="470"/>
      <c r="H1404" s="470">
        <v>1397</v>
      </c>
      <c r="I1404" s="455">
        <f t="shared" ca="1" si="128"/>
        <v>-55798887.960264079</v>
      </c>
      <c r="J1404" s="455">
        <f t="array" ref="J1404">IFERROR(INDEX('Retirement Calculator'!J:J,MATCH('Isaac 401k'!N1404,'Retirement Calculator'!A:A,0),0),0)</f>
        <v>0</v>
      </c>
      <c r="K1404" s="455">
        <f t="shared" ca="1" si="126"/>
        <v>-232495.36650110036</v>
      </c>
      <c r="L1404" s="455">
        <f t="shared" ca="1" si="127"/>
        <v>-56031383.32676518</v>
      </c>
      <c r="M1404" s="471">
        <f t="shared" si="129"/>
        <v>0.05</v>
      </c>
      <c r="N1404" s="475">
        <f t="shared" si="130"/>
        <v>93778</v>
      </c>
    </row>
    <row r="1405" spans="7:14" ht="11.25" customHeight="1" x14ac:dyDescent="0.3">
      <c r="G1405" s="470"/>
      <c r="H1405" s="470">
        <v>1398</v>
      </c>
      <c r="I1405" s="455">
        <f t="shared" ca="1" si="128"/>
        <v>-56031383.32676518</v>
      </c>
      <c r="J1405" s="455">
        <f t="array" ref="J1405">IFERROR(INDEX('Retirement Calculator'!J:J,MATCH('Isaac 401k'!N1405,'Retirement Calculator'!A:A,0),0),0)</f>
        <v>0</v>
      </c>
      <c r="K1405" s="455">
        <f t="shared" ca="1" si="126"/>
        <v>-233464.0971948549</v>
      </c>
      <c r="L1405" s="455">
        <f t="shared" ca="1" si="127"/>
        <v>-56264847.423960038</v>
      </c>
      <c r="M1405" s="471">
        <f t="shared" si="129"/>
        <v>0.05</v>
      </c>
      <c r="N1405" s="475">
        <f t="shared" si="130"/>
        <v>93809</v>
      </c>
    </row>
    <row r="1406" spans="7:14" ht="11.25" customHeight="1" x14ac:dyDescent="0.3">
      <c r="G1406" s="470"/>
      <c r="H1406" s="470">
        <v>1399</v>
      </c>
      <c r="I1406" s="455">
        <f t="shared" ca="1" si="128"/>
        <v>-56264847.423960038</v>
      </c>
      <c r="J1406" s="455">
        <f t="array" ref="J1406">IFERROR(INDEX('Retirement Calculator'!J:J,MATCH('Isaac 401k'!N1406,'Retirement Calculator'!A:A,0),0),0)</f>
        <v>0</v>
      </c>
      <c r="K1406" s="455">
        <f t="shared" ca="1" si="126"/>
        <v>-234436.86426650014</v>
      </c>
      <c r="L1406" s="455">
        <f t="shared" ca="1" si="127"/>
        <v>-56499284.288226537</v>
      </c>
      <c r="M1406" s="471">
        <f t="shared" si="129"/>
        <v>0.05</v>
      </c>
      <c r="N1406" s="475">
        <f t="shared" si="130"/>
        <v>93839</v>
      </c>
    </row>
    <row r="1407" spans="7:14" ht="11.25" customHeight="1" x14ac:dyDescent="0.3">
      <c r="G1407" s="470"/>
      <c r="H1407" s="470">
        <v>1400</v>
      </c>
      <c r="I1407" s="455">
        <f t="shared" ca="1" si="128"/>
        <v>-56499284.288226537</v>
      </c>
      <c r="J1407" s="455">
        <f t="array" ref="J1407">IFERROR(INDEX('Retirement Calculator'!J:J,MATCH('Isaac 401k'!N1407,'Retirement Calculator'!A:A,0),0),0)</f>
        <v>0</v>
      </c>
      <c r="K1407" s="455">
        <f t="shared" ca="1" si="126"/>
        <v>-235413.68453427724</v>
      </c>
      <c r="L1407" s="455">
        <f t="shared" ca="1" si="127"/>
        <v>-56734697.972760811</v>
      </c>
      <c r="M1407" s="471">
        <f t="shared" si="129"/>
        <v>0.05</v>
      </c>
      <c r="N1407" s="475">
        <f t="shared" si="130"/>
        <v>93870</v>
      </c>
    </row>
    <row r="1408" spans="7:14" ht="11.25" customHeight="1" x14ac:dyDescent="0.3">
      <c r="G1408" s="470"/>
      <c r="H1408" s="470">
        <v>1401</v>
      </c>
      <c r="I1408" s="455">
        <f t="shared" ca="1" si="128"/>
        <v>-56734697.972760811</v>
      </c>
      <c r="J1408" s="455">
        <f t="array" ref="J1408">IFERROR(INDEX('Retirement Calculator'!J:J,MATCH('Isaac 401k'!N1408,'Retirement Calculator'!A:A,0),0),0)</f>
        <v>0</v>
      </c>
      <c r="K1408" s="455">
        <f t="shared" ca="1" si="126"/>
        <v>-236394.57488650337</v>
      </c>
      <c r="L1408" s="455">
        <f t="shared" ca="1" si="127"/>
        <v>-56971092.547647312</v>
      </c>
      <c r="M1408" s="471">
        <f t="shared" si="129"/>
        <v>0.05</v>
      </c>
      <c r="N1408" s="475">
        <f t="shared" si="130"/>
        <v>93901</v>
      </c>
    </row>
    <row r="1409" spans="7:14" ht="11.25" customHeight="1" x14ac:dyDescent="0.3">
      <c r="G1409" s="470"/>
      <c r="H1409" s="470">
        <v>1402</v>
      </c>
      <c r="I1409" s="455">
        <f t="shared" ca="1" si="128"/>
        <v>-56971092.547647312</v>
      </c>
      <c r="J1409" s="455">
        <f t="array" ref="J1409">IFERROR(INDEX('Retirement Calculator'!J:J,MATCH('Isaac 401k'!N1409,'Retirement Calculator'!A:A,0),0),0)</f>
        <v>0</v>
      </c>
      <c r="K1409" s="455">
        <f t="shared" ca="1" si="126"/>
        <v>-237379.55228186378</v>
      </c>
      <c r="L1409" s="455">
        <f t="shared" ca="1" si="127"/>
        <v>-57208472.099929176</v>
      </c>
      <c r="M1409" s="471">
        <f t="shared" si="129"/>
        <v>0.05</v>
      </c>
      <c r="N1409" s="475">
        <f t="shared" si="130"/>
        <v>93929</v>
      </c>
    </row>
    <row r="1410" spans="7:14" ht="11.25" customHeight="1" x14ac:dyDescent="0.3">
      <c r="G1410" s="470"/>
      <c r="H1410" s="470">
        <v>1403</v>
      </c>
      <c r="I1410" s="455">
        <f t="shared" ca="1" si="128"/>
        <v>-57208472.099929176</v>
      </c>
      <c r="J1410" s="455">
        <f t="array" ref="J1410">IFERROR(INDEX('Retirement Calculator'!J:J,MATCH('Isaac 401k'!N1410,'Retirement Calculator'!A:A,0),0),0)</f>
        <v>0</v>
      </c>
      <c r="K1410" s="455">
        <f t="shared" ca="1" si="126"/>
        <v>-238368.6337497049</v>
      </c>
      <c r="L1410" s="455">
        <f t="shared" ca="1" si="127"/>
        <v>-57446840.733678885</v>
      </c>
      <c r="M1410" s="471">
        <f t="shared" si="129"/>
        <v>0.05</v>
      </c>
      <c r="N1410" s="475">
        <f t="shared" si="130"/>
        <v>93960</v>
      </c>
    </row>
    <row r="1411" spans="7:14" ht="11.25" customHeight="1" x14ac:dyDescent="0.3">
      <c r="G1411" s="470"/>
      <c r="H1411" s="470">
        <v>1404</v>
      </c>
      <c r="I1411" s="455">
        <f t="shared" ca="1" si="128"/>
        <v>-57446840.733678885</v>
      </c>
      <c r="J1411" s="455">
        <f t="array" ref="J1411">IFERROR(INDEX('Retirement Calculator'!J:J,MATCH('Isaac 401k'!N1411,'Retirement Calculator'!A:A,0),0),0)</f>
        <v>0</v>
      </c>
      <c r="K1411" s="455">
        <f t="shared" ca="1" si="126"/>
        <v>-239361.83639032865</v>
      </c>
      <c r="L1411" s="455">
        <f t="shared" ca="1" si="127"/>
        <v>-57686202.570069216</v>
      </c>
      <c r="M1411" s="471">
        <f t="shared" si="129"/>
        <v>0.05</v>
      </c>
      <c r="N1411" s="475">
        <f t="shared" si="130"/>
        <v>93990</v>
      </c>
    </row>
    <row r="1412" spans="7:14" ht="11.25" customHeight="1" x14ac:dyDescent="0.3">
      <c r="G1412" s="470"/>
      <c r="H1412" s="470">
        <v>1405</v>
      </c>
      <c r="I1412" s="455">
        <f t="shared" ca="1" si="128"/>
        <v>-57686202.570069216</v>
      </c>
      <c r="J1412" s="455">
        <f t="array" ref="J1412">IFERROR(INDEX('Retirement Calculator'!J:J,MATCH('Isaac 401k'!N1412,'Retirement Calculator'!A:A,0),0),0)</f>
        <v>0</v>
      </c>
      <c r="K1412" s="455">
        <f t="shared" ca="1" si="126"/>
        <v>-240359.17737528836</v>
      </c>
      <c r="L1412" s="455">
        <f t="shared" ca="1" si="127"/>
        <v>-57926561.747444503</v>
      </c>
      <c r="M1412" s="471">
        <f t="shared" si="129"/>
        <v>0.05</v>
      </c>
      <c r="N1412" s="475">
        <f t="shared" si="130"/>
        <v>94021</v>
      </c>
    </row>
    <row r="1413" spans="7:14" ht="11.25" customHeight="1" x14ac:dyDescent="0.3">
      <c r="G1413" s="470"/>
      <c r="H1413" s="470">
        <v>1406</v>
      </c>
      <c r="I1413" s="455">
        <f t="shared" ca="1" si="128"/>
        <v>-57926561.747444503</v>
      </c>
      <c r="J1413" s="455">
        <f t="array" ref="J1413">IFERROR(INDEX('Retirement Calculator'!J:J,MATCH('Isaac 401k'!N1413,'Retirement Calculator'!A:A,0),0),0)</f>
        <v>0</v>
      </c>
      <c r="K1413" s="455">
        <f t="shared" ca="1" si="126"/>
        <v>-241360.67394768543</v>
      </c>
      <c r="L1413" s="455">
        <f t="shared" ca="1" si="127"/>
        <v>-58167922.421392187</v>
      </c>
      <c r="M1413" s="471">
        <f t="shared" si="129"/>
        <v>0.05</v>
      </c>
      <c r="N1413" s="475">
        <f t="shared" si="130"/>
        <v>94051</v>
      </c>
    </row>
    <row r="1414" spans="7:14" ht="11.25" customHeight="1" x14ac:dyDescent="0.3">
      <c r="G1414" s="470"/>
      <c r="H1414" s="470">
        <v>1407</v>
      </c>
      <c r="I1414" s="455">
        <f t="shared" ca="1" si="128"/>
        <v>-58167922.421392187</v>
      </c>
      <c r="J1414" s="455">
        <f t="array" ref="J1414">IFERROR(INDEX('Retirement Calculator'!J:J,MATCH('Isaac 401k'!N1414,'Retirement Calculator'!A:A,0),0),0)</f>
        <v>0</v>
      </c>
      <c r="K1414" s="455">
        <f t="shared" ca="1" si="126"/>
        <v>-242366.34342246744</v>
      </c>
      <c r="L1414" s="455">
        <f t="shared" ca="1" si="127"/>
        <v>-58410288.764814653</v>
      </c>
      <c r="M1414" s="471">
        <f t="shared" si="129"/>
        <v>0.05</v>
      </c>
      <c r="N1414" s="475">
        <f t="shared" si="130"/>
        <v>94082</v>
      </c>
    </row>
    <row r="1415" spans="7:14" ht="11.25" customHeight="1" x14ac:dyDescent="0.3">
      <c r="G1415" s="470"/>
      <c r="H1415" s="470">
        <v>1408</v>
      </c>
      <c r="I1415" s="455">
        <f t="shared" ca="1" si="128"/>
        <v>-58410288.764814653</v>
      </c>
      <c r="J1415" s="455">
        <f t="array" ref="J1415">IFERROR(INDEX('Retirement Calculator'!J:J,MATCH('Isaac 401k'!N1415,'Retirement Calculator'!A:A,0),0),0)</f>
        <v>0</v>
      </c>
      <c r="K1415" s="455">
        <f t="shared" ca="1" si="126"/>
        <v>-243376.20318672771</v>
      </c>
      <c r="L1415" s="455">
        <f t="shared" ca="1" si="127"/>
        <v>-58653664.968001381</v>
      </c>
      <c r="M1415" s="471">
        <f t="shared" si="129"/>
        <v>0.05</v>
      </c>
      <c r="N1415" s="475">
        <f t="shared" si="130"/>
        <v>94113</v>
      </c>
    </row>
    <row r="1416" spans="7:14" ht="11.25" customHeight="1" x14ac:dyDescent="0.3">
      <c r="G1416" s="470"/>
      <c r="H1416" s="470">
        <v>1409</v>
      </c>
      <c r="I1416" s="455">
        <f t="shared" ca="1" si="128"/>
        <v>-58653664.968001381</v>
      </c>
      <c r="J1416" s="455">
        <f t="array" ref="J1416">IFERROR(INDEX('Retirement Calculator'!J:J,MATCH('Isaac 401k'!N1416,'Retirement Calculator'!A:A,0),0),0)</f>
        <v>0</v>
      </c>
      <c r="K1416" s="455">
        <f t="shared" ca="1" si="126"/>
        <v>-244390.27070000579</v>
      </c>
      <c r="L1416" s="455">
        <f t="shared" ca="1" si="127"/>
        <v>-58898055.238701388</v>
      </c>
      <c r="M1416" s="471">
        <f t="shared" si="129"/>
        <v>0.05</v>
      </c>
      <c r="N1416" s="475">
        <f t="shared" si="130"/>
        <v>94143</v>
      </c>
    </row>
    <row r="1417" spans="7:14" ht="11.25" customHeight="1" x14ac:dyDescent="0.3">
      <c r="G1417" s="470"/>
      <c r="H1417" s="470">
        <v>1410</v>
      </c>
      <c r="I1417" s="455">
        <f t="shared" ca="1" si="128"/>
        <v>-58898055.238701388</v>
      </c>
      <c r="J1417" s="455">
        <f t="array" ref="J1417">IFERROR(INDEX('Retirement Calculator'!J:J,MATCH('Isaac 401k'!N1417,'Retirement Calculator'!A:A,0),0),0)</f>
        <v>0</v>
      </c>
      <c r="K1417" s="455">
        <f t="shared" ca="1" si="126"/>
        <v>-245408.56349458909</v>
      </c>
      <c r="L1417" s="455">
        <f t="shared" ca="1" si="127"/>
        <v>-59143463.802195974</v>
      </c>
      <c r="M1417" s="471">
        <f t="shared" si="129"/>
        <v>0.05</v>
      </c>
      <c r="N1417" s="475">
        <f t="shared" si="130"/>
        <v>94174</v>
      </c>
    </row>
    <row r="1418" spans="7:14" ht="11.25" customHeight="1" x14ac:dyDescent="0.3">
      <c r="G1418" s="470"/>
      <c r="H1418" s="470">
        <v>1411</v>
      </c>
      <c r="I1418" s="455">
        <f t="shared" ca="1" si="128"/>
        <v>-59143463.802195974</v>
      </c>
      <c r="J1418" s="455">
        <f t="array" ref="J1418">IFERROR(INDEX('Retirement Calculator'!J:J,MATCH('Isaac 401k'!N1418,'Retirement Calculator'!A:A,0),0),0)</f>
        <v>0</v>
      </c>
      <c r="K1418" s="455">
        <f t="shared" ca="1" si="126"/>
        <v>-246431.09917581658</v>
      </c>
      <c r="L1418" s="455">
        <f t="shared" ca="1" si="127"/>
        <v>-59389894.901371792</v>
      </c>
      <c r="M1418" s="471">
        <f t="shared" si="129"/>
        <v>0.05</v>
      </c>
      <c r="N1418" s="475">
        <f t="shared" si="130"/>
        <v>94204</v>
      </c>
    </row>
    <row r="1419" spans="7:14" ht="11.25" customHeight="1" x14ac:dyDescent="0.3">
      <c r="G1419" s="470"/>
      <c r="H1419" s="470">
        <v>1412</v>
      </c>
      <c r="I1419" s="455">
        <f t="shared" ca="1" si="128"/>
        <v>-59389894.901371792</v>
      </c>
      <c r="J1419" s="455">
        <f t="array" ref="J1419">IFERROR(INDEX('Retirement Calculator'!J:J,MATCH('Isaac 401k'!N1419,'Retirement Calculator'!A:A,0),0),0)</f>
        <v>0</v>
      </c>
      <c r="K1419" s="455">
        <f t="shared" ca="1" si="126"/>
        <v>-247457.89542238245</v>
      </c>
      <c r="L1419" s="455">
        <f t="shared" ca="1" si="127"/>
        <v>-59637352.796794176</v>
      </c>
      <c r="M1419" s="471">
        <f t="shared" si="129"/>
        <v>0.05</v>
      </c>
      <c r="N1419" s="475">
        <f t="shared" si="130"/>
        <v>94235</v>
      </c>
    </row>
    <row r="1420" spans="7:14" ht="11.25" customHeight="1" x14ac:dyDescent="0.3">
      <c r="G1420" s="470"/>
      <c r="H1420" s="470">
        <v>1413</v>
      </c>
      <c r="I1420" s="455">
        <f t="shared" ca="1" si="128"/>
        <v>-59637352.796794176</v>
      </c>
      <c r="J1420" s="455">
        <f t="array" ref="J1420">IFERROR(INDEX('Retirement Calculator'!J:J,MATCH('Isaac 401k'!N1420,'Retirement Calculator'!A:A,0),0),0)</f>
        <v>0</v>
      </c>
      <c r="K1420" s="455">
        <f t="shared" ca="1" si="126"/>
        <v>-248488.96998664239</v>
      </c>
      <c r="L1420" s="455">
        <f t="shared" ca="1" si="127"/>
        <v>-59885841.766780816</v>
      </c>
      <c r="M1420" s="471">
        <f t="shared" si="129"/>
        <v>0.05</v>
      </c>
      <c r="N1420" s="475">
        <f t="shared" si="130"/>
        <v>94266</v>
      </c>
    </row>
    <row r="1421" spans="7:14" ht="11.25" customHeight="1" x14ac:dyDescent="0.3">
      <c r="G1421" s="470"/>
      <c r="H1421" s="470">
        <v>1414</v>
      </c>
      <c r="I1421" s="455">
        <f t="shared" ca="1" si="128"/>
        <v>-59885841.766780816</v>
      </c>
      <c r="J1421" s="455">
        <f t="array" ref="J1421">IFERROR(INDEX('Retirement Calculator'!J:J,MATCH('Isaac 401k'!N1421,'Retirement Calculator'!A:A,0),0),0)</f>
        <v>0</v>
      </c>
      <c r="K1421" s="455">
        <f t="shared" ca="1" si="126"/>
        <v>-249524.34069492007</v>
      </c>
      <c r="L1421" s="455">
        <f t="shared" ca="1" si="127"/>
        <v>-60135366.107475735</v>
      </c>
      <c r="M1421" s="471">
        <f t="shared" si="129"/>
        <v>0.05</v>
      </c>
      <c r="N1421" s="475">
        <f t="shared" si="130"/>
        <v>94294</v>
      </c>
    </row>
    <row r="1422" spans="7:14" ht="11.25" customHeight="1" x14ac:dyDescent="0.3">
      <c r="G1422" s="470"/>
      <c r="H1422" s="470">
        <v>1415</v>
      </c>
      <c r="I1422" s="455">
        <f t="shared" ca="1" si="128"/>
        <v>-60135366.107475735</v>
      </c>
      <c r="J1422" s="455">
        <f t="array" ref="J1422">IFERROR(INDEX('Retirement Calculator'!J:J,MATCH('Isaac 401k'!N1422,'Retirement Calculator'!A:A,0),0),0)</f>
        <v>0</v>
      </c>
      <c r="K1422" s="455">
        <f t="shared" ca="1" si="126"/>
        <v>-250564.02544781557</v>
      </c>
      <c r="L1422" s="455">
        <f t="shared" ca="1" si="127"/>
        <v>-60385930.132923551</v>
      </c>
      <c r="M1422" s="471">
        <f t="shared" si="129"/>
        <v>0.05</v>
      </c>
      <c r="N1422" s="475">
        <f t="shared" si="130"/>
        <v>94325</v>
      </c>
    </row>
    <row r="1423" spans="7:14" ht="11.25" customHeight="1" x14ac:dyDescent="0.3">
      <c r="G1423" s="470"/>
      <c r="H1423" s="470">
        <v>1416</v>
      </c>
      <c r="I1423" s="455">
        <f t="shared" ca="1" si="128"/>
        <v>-60385930.132923551</v>
      </c>
      <c r="J1423" s="455">
        <f t="array" ref="J1423">IFERROR(INDEX('Retirement Calculator'!J:J,MATCH('Isaac 401k'!N1423,'Retirement Calculator'!A:A,0),0),0)</f>
        <v>0</v>
      </c>
      <c r="K1423" s="455">
        <f t="shared" ca="1" si="126"/>
        <v>-251608.04222051479</v>
      </c>
      <c r="L1423" s="455">
        <f t="shared" ca="1" si="127"/>
        <v>-60637538.175144069</v>
      </c>
      <c r="M1423" s="471">
        <f t="shared" si="129"/>
        <v>0.05</v>
      </c>
      <c r="N1423" s="475">
        <f t="shared" si="130"/>
        <v>94355</v>
      </c>
    </row>
    <row r="1424" spans="7:14" ht="11.25" customHeight="1" x14ac:dyDescent="0.3">
      <c r="G1424" s="470"/>
      <c r="H1424" s="470">
        <v>1417</v>
      </c>
      <c r="I1424" s="455">
        <f t="shared" ca="1" si="128"/>
        <v>-60637538.175144069</v>
      </c>
      <c r="J1424" s="455">
        <f t="array" ref="J1424">IFERROR(INDEX('Retirement Calculator'!J:J,MATCH('Isaac 401k'!N1424,'Retirement Calculator'!A:A,0),0),0)</f>
        <v>0</v>
      </c>
      <c r="K1424" s="455">
        <f t="shared" ca="1" si="126"/>
        <v>-252656.40906310029</v>
      </c>
      <c r="L1424" s="455">
        <f t="shared" ca="1" si="127"/>
        <v>-60890194.58420717</v>
      </c>
      <c r="M1424" s="471">
        <f t="shared" si="129"/>
        <v>0.05</v>
      </c>
      <c r="N1424" s="475">
        <f t="shared" si="130"/>
        <v>94386</v>
      </c>
    </row>
    <row r="1425" spans="7:14" ht="11.25" customHeight="1" x14ac:dyDescent="0.3">
      <c r="G1425" s="470"/>
      <c r="H1425" s="470">
        <v>1418</v>
      </c>
      <c r="I1425" s="455">
        <f t="shared" ca="1" si="128"/>
        <v>-60890194.58420717</v>
      </c>
      <c r="J1425" s="455">
        <f t="array" ref="J1425">IFERROR(INDEX('Retirement Calculator'!J:J,MATCH('Isaac 401k'!N1425,'Retirement Calculator'!A:A,0),0),0)</f>
        <v>0</v>
      </c>
      <c r="K1425" s="455">
        <f t="shared" ca="1" si="126"/>
        <v>-253709.14410086322</v>
      </c>
      <c r="L1425" s="455">
        <f t="shared" ca="1" si="127"/>
        <v>-61143903.728308029</v>
      </c>
      <c r="M1425" s="471">
        <f t="shared" si="129"/>
        <v>0.05</v>
      </c>
      <c r="N1425" s="475">
        <f t="shared" si="130"/>
        <v>94416</v>
      </c>
    </row>
    <row r="1426" spans="7:14" ht="11.25" customHeight="1" x14ac:dyDescent="0.3">
      <c r="G1426" s="470"/>
      <c r="H1426" s="470">
        <v>1419</v>
      </c>
      <c r="I1426" s="455">
        <f t="shared" ca="1" si="128"/>
        <v>-61143903.728308029</v>
      </c>
      <c r="J1426" s="455">
        <f t="array" ref="J1426">IFERROR(INDEX('Retirement Calculator'!J:J,MATCH('Isaac 401k'!N1426,'Retirement Calculator'!A:A,0),0),0)</f>
        <v>0</v>
      </c>
      <c r="K1426" s="455">
        <f t="shared" ca="1" si="126"/>
        <v>-254766.26553461677</v>
      </c>
      <c r="L1426" s="455">
        <f t="shared" ca="1" si="127"/>
        <v>-61398669.993842646</v>
      </c>
      <c r="M1426" s="471">
        <f t="shared" si="129"/>
        <v>0.05</v>
      </c>
      <c r="N1426" s="475">
        <f t="shared" si="130"/>
        <v>94447</v>
      </c>
    </row>
    <row r="1427" spans="7:14" ht="11.25" customHeight="1" x14ac:dyDescent="0.3">
      <c r="G1427" s="470"/>
      <c r="H1427" s="470">
        <v>1420</v>
      </c>
      <c r="I1427" s="455">
        <f t="shared" ca="1" si="128"/>
        <v>-61398669.993842646</v>
      </c>
      <c r="J1427" s="455">
        <f t="array" ref="J1427">IFERROR(INDEX('Retirement Calculator'!J:J,MATCH('Isaac 401k'!N1427,'Retirement Calculator'!A:A,0),0),0)</f>
        <v>0</v>
      </c>
      <c r="K1427" s="455">
        <f t="shared" ca="1" si="126"/>
        <v>-255827.79164101102</v>
      </c>
      <c r="L1427" s="455">
        <f t="shared" ca="1" si="127"/>
        <v>-61654497.785483658</v>
      </c>
      <c r="M1427" s="471">
        <f t="shared" si="129"/>
        <v>0.05</v>
      </c>
      <c r="N1427" s="475">
        <f t="shared" si="130"/>
        <v>94478</v>
      </c>
    </row>
    <row r="1428" spans="7:14" ht="11.25" customHeight="1" x14ac:dyDescent="0.3">
      <c r="G1428" s="470"/>
      <c r="H1428" s="470">
        <v>1421</v>
      </c>
      <c r="I1428" s="455">
        <f t="shared" ca="1" si="128"/>
        <v>-61654497.785483658</v>
      </c>
      <c r="J1428" s="455">
        <f t="array" ref="J1428">IFERROR(INDEX('Retirement Calculator'!J:J,MATCH('Isaac 401k'!N1428,'Retirement Calculator'!A:A,0),0),0)</f>
        <v>0</v>
      </c>
      <c r="K1428" s="455">
        <f t="shared" ca="1" si="126"/>
        <v>-256893.74077284857</v>
      </c>
      <c r="L1428" s="455">
        <f t="shared" ca="1" si="127"/>
        <v>-61911391.526256509</v>
      </c>
      <c r="M1428" s="471">
        <f t="shared" si="129"/>
        <v>0.05</v>
      </c>
      <c r="N1428" s="475">
        <f t="shared" si="130"/>
        <v>94508</v>
      </c>
    </row>
    <row r="1429" spans="7:14" ht="11.25" customHeight="1" x14ac:dyDescent="0.3">
      <c r="G1429" s="470"/>
      <c r="H1429" s="470">
        <v>1422</v>
      </c>
      <c r="I1429" s="455">
        <f t="shared" ca="1" si="128"/>
        <v>-61911391.526256509</v>
      </c>
      <c r="J1429" s="455">
        <f t="array" ref="J1429">IFERROR(INDEX('Retirement Calculator'!J:J,MATCH('Isaac 401k'!N1429,'Retirement Calculator'!A:A,0),0),0)</f>
        <v>0</v>
      </c>
      <c r="K1429" s="455">
        <f t="shared" ca="1" si="126"/>
        <v>-257964.13135940212</v>
      </c>
      <c r="L1429" s="455">
        <f t="shared" ca="1" si="127"/>
        <v>-62169355.657615915</v>
      </c>
      <c r="M1429" s="471">
        <f t="shared" si="129"/>
        <v>0.05</v>
      </c>
      <c r="N1429" s="475">
        <f t="shared" si="130"/>
        <v>94539</v>
      </c>
    </row>
    <row r="1430" spans="7:14" ht="11.25" customHeight="1" x14ac:dyDescent="0.3">
      <c r="G1430" s="470"/>
      <c r="H1430" s="470">
        <v>1423</v>
      </c>
      <c r="I1430" s="455">
        <f t="shared" ca="1" si="128"/>
        <v>-62169355.657615915</v>
      </c>
      <c r="J1430" s="455">
        <f t="array" ref="J1430">IFERROR(INDEX('Retirement Calculator'!J:J,MATCH('Isaac 401k'!N1430,'Retirement Calculator'!A:A,0),0),0)</f>
        <v>0</v>
      </c>
      <c r="K1430" s="455">
        <f t="shared" ca="1" si="126"/>
        <v>-259038.98190673298</v>
      </c>
      <c r="L1430" s="455">
        <f t="shared" ca="1" si="127"/>
        <v>-62428394.639522649</v>
      </c>
      <c r="M1430" s="471">
        <f t="shared" si="129"/>
        <v>0.05</v>
      </c>
      <c r="N1430" s="475">
        <f t="shared" si="130"/>
        <v>94569</v>
      </c>
    </row>
    <row r="1431" spans="7:14" ht="11.25" customHeight="1" x14ac:dyDescent="0.3">
      <c r="G1431" s="470"/>
      <c r="H1431" s="470">
        <v>1424</v>
      </c>
      <c r="I1431" s="455">
        <f t="shared" ca="1" si="128"/>
        <v>-62428394.639522649</v>
      </c>
      <c r="J1431" s="455">
        <f t="array" ref="J1431">IFERROR(INDEX('Retirement Calculator'!J:J,MATCH('Isaac 401k'!N1431,'Retirement Calculator'!A:A,0),0),0)</f>
        <v>0</v>
      </c>
      <c r="K1431" s="455">
        <f t="shared" ca="1" si="126"/>
        <v>-260118.31099801103</v>
      </c>
      <c r="L1431" s="455">
        <f t="shared" ca="1" si="127"/>
        <v>-62688512.950520657</v>
      </c>
      <c r="M1431" s="471">
        <f t="shared" si="129"/>
        <v>0.05</v>
      </c>
      <c r="N1431" s="475">
        <f t="shared" si="130"/>
        <v>94600</v>
      </c>
    </row>
    <row r="1432" spans="7:14" ht="11.25" customHeight="1" x14ac:dyDescent="0.3">
      <c r="G1432" s="470"/>
      <c r="H1432" s="470">
        <v>1425</v>
      </c>
      <c r="I1432" s="455">
        <f t="shared" ca="1" si="128"/>
        <v>-62688512.950520657</v>
      </c>
      <c r="J1432" s="455">
        <f t="array" ref="J1432">IFERROR(INDEX('Retirement Calculator'!J:J,MATCH('Isaac 401k'!N1432,'Retirement Calculator'!A:A,0),0),0)</f>
        <v>0</v>
      </c>
      <c r="K1432" s="455">
        <f t="shared" ca="1" si="126"/>
        <v>-261202.13729383607</v>
      </c>
      <c r="L1432" s="455">
        <f t="shared" ca="1" si="127"/>
        <v>-62949715.087814495</v>
      </c>
      <c r="M1432" s="471">
        <f t="shared" si="129"/>
        <v>0.05</v>
      </c>
      <c r="N1432" s="475">
        <f t="shared" si="130"/>
        <v>94631</v>
      </c>
    </row>
    <row r="1433" spans="7:14" ht="11.25" customHeight="1" x14ac:dyDescent="0.3">
      <c r="G1433" s="470"/>
      <c r="H1433" s="470">
        <v>1426</v>
      </c>
      <c r="I1433" s="455">
        <f t="shared" ca="1" si="128"/>
        <v>-62949715.087814495</v>
      </c>
      <c r="J1433" s="455">
        <f t="array" ref="J1433">IFERROR(INDEX('Retirement Calculator'!J:J,MATCH('Isaac 401k'!N1433,'Retirement Calculator'!A:A,0),0),0)</f>
        <v>0</v>
      </c>
      <c r="K1433" s="455">
        <f t="shared" ca="1" si="126"/>
        <v>-262290.47953256045</v>
      </c>
      <c r="L1433" s="455">
        <f t="shared" ca="1" si="127"/>
        <v>-63212005.567347057</v>
      </c>
      <c r="M1433" s="471">
        <f t="shared" si="129"/>
        <v>0.05</v>
      </c>
      <c r="N1433" s="475">
        <f t="shared" si="130"/>
        <v>94659</v>
      </c>
    </row>
    <row r="1434" spans="7:14" ht="11.25" customHeight="1" x14ac:dyDescent="0.3">
      <c r="G1434" s="470"/>
      <c r="H1434" s="470">
        <v>1427</v>
      </c>
      <c r="I1434" s="455">
        <f t="shared" ca="1" si="128"/>
        <v>-63212005.567347057</v>
      </c>
      <c r="J1434" s="455">
        <f t="array" ref="J1434">IFERROR(INDEX('Retirement Calculator'!J:J,MATCH('Isaac 401k'!N1434,'Retirement Calculator'!A:A,0),0),0)</f>
        <v>0</v>
      </c>
      <c r="K1434" s="455">
        <f t="shared" ca="1" si="126"/>
        <v>-263383.35653061274</v>
      </c>
      <c r="L1434" s="455">
        <f t="shared" ca="1" si="127"/>
        <v>-63475388.923877671</v>
      </c>
      <c r="M1434" s="471">
        <f t="shared" si="129"/>
        <v>0.05</v>
      </c>
      <c r="N1434" s="475">
        <f t="shared" si="130"/>
        <v>94690</v>
      </c>
    </row>
    <row r="1435" spans="7:14" ht="11.25" customHeight="1" x14ac:dyDescent="0.3">
      <c r="G1435" s="470"/>
      <c r="H1435" s="470">
        <v>1428</v>
      </c>
      <c r="I1435" s="455">
        <f t="shared" ca="1" si="128"/>
        <v>-63475388.923877671</v>
      </c>
      <c r="J1435" s="455">
        <f t="array" ref="J1435">IFERROR(INDEX('Retirement Calculator'!J:J,MATCH('Isaac 401k'!N1435,'Retirement Calculator'!A:A,0),0),0)</f>
        <v>0</v>
      </c>
      <c r="K1435" s="455">
        <f t="shared" ca="1" si="126"/>
        <v>-264480.78718282364</v>
      </c>
      <c r="L1435" s="455">
        <f t="shared" ca="1" si="127"/>
        <v>-63739869.711060494</v>
      </c>
      <c r="M1435" s="471">
        <f t="shared" si="129"/>
        <v>0.05</v>
      </c>
      <c r="N1435" s="475">
        <f t="shared" si="130"/>
        <v>94720</v>
      </c>
    </row>
    <row r="1436" spans="7:14" ht="11.25" customHeight="1" x14ac:dyDescent="0.3">
      <c r="G1436" s="470"/>
      <c r="H1436" s="470">
        <v>1429</v>
      </c>
      <c r="I1436" s="455">
        <f t="shared" ca="1" si="128"/>
        <v>-63739869.711060494</v>
      </c>
      <c r="J1436" s="455">
        <f t="array" ref="J1436">IFERROR(INDEX('Retirement Calculator'!J:J,MATCH('Isaac 401k'!N1436,'Retirement Calculator'!A:A,0),0),0)</f>
        <v>0</v>
      </c>
      <c r="K1436" s="455">
        <f t="shared" ca="1" si="126"/>
        <v>-265582.79046275205</v>
      </c>
      <c r="L1436" s="455">
        <f t="shared" ca="1" si="127"/>
        <v>-64005452.501523249</v>
      </c>
      <c r="M1436" s="471">
        <f t="shared" si="129"/>
        <v>0.05</v>
      </c>
      <c r="N1436" s="475">
        <f t="shared" si="130"/>
        <v>94751</v>
      </c>
    </row>
    <row r="1437" spans="7:14" ht="11.25" customHeight="1" x14ac:dyDescent="0.3">
      <c r="G1437" s="470"/>
      <c r="H1437" s="470">
        <v>1430</v>
      </c>
      <c r="I1437" s="455">
        <f t="shared" ca="1" si="128"/>
        <v>-64005452.501523249</v>
      </c>
      <c r="J1437" s="455">
        <f t="array" ref="J1437">IFERROR(INDEX('Retirement Calculator'!J:J,MATCH('Isaac 401k'!N1437,'Retirement Calculator'!A:A,0),0),0)</f>
        <v>0</v>
      </c>
      <c r="K1437" s="455">
        <f t="shared" ca="1" si="126"/>
        <v>-266689.38542301347</v>
      </c>
      <c r="L1437" s="455">
        <f t="shared" ca="1" si="127"/>
        <v>-64272141.886946261</v>
      </c>
      <c r="M1437" s="471">
        <f t="shared" si="129"/>
        <v>0.05</v>
      </c>
      <c r="N1437" s="475">
        <f t="shared" si="130"/>
        <v>94781</v>
      </c>
    </row>
    <row r="1438" spans="7:14" ht="11.25" customHeight="1" x14ac:dyDescent="0.3">
      <c r="G1438" s="470"/>
      <c r="H1438" s="470">
        <v>1431</v>
      </c>
      <c r="I1438" s="455">
        <f t="shared" ca="1" si="128"/>
        <v>-64272141.886946261</v>
      </c>
      <c r="J1438" s="455">
        <f t="array" ref="J1438">IFERROR(INDEX('Retirement Calculator'!J:J,MATCH('Isaac 401k'!N1438,'Retirement Calculator'!A:A,0),0),0)</f>
        <v>0</v>
      </c>
      <c r="K1438" s="455">
        <f t="shared" ca="1" si="126"/>
        <v>-267800.59119560936</v>
      </c>
      <c r="L1438" s="455">
        <f t="shared" ca="1" si="127"/>
        <v>-64539942.478141867</v>
      </c>
      <c r="M1438" s="471">
        <f t="shared" si="129"/>
        <v>0.05</v>
      </c>
      <c r="N1438" s="475">
        <f t="shared" si="130"/>
        <v>94812</v>
      </c>
    </row>
    <row r="1439" spans="7:14" ht="11.25" customHeight="1" x14ac:dyDescent="0.3">
      <c r="G1439" s="470"/>
      <c r="H1439" s="470">
        <v>1432</v>
      </c>
      <c r="I1439" s="455">
        <f t="shared" ca="1" si="128"/>
        <v>-64539942.478141867</v>
      </c>
      <c r="J1439" s="455">
        <f t="array" ref="J1439">IFERROR(INDEX('Retirement Calculator'!J:J,MATCH('Isaac 401k'!N1439,'Retirement Calculator'!A:A,0),0),0)</f>
        <v>0</v>
      </c>
      <c r="K1439" s="455">
        <f t="shared" ca="1" si="126"/>
        <v>-268916.42699225777</v>
      </c>
      <c r="L1439" s="455">
        <f t="shared" ca="1" si="127"/>
        <v>-64808858.905134127</v>
      </c>
      <c r="M1439" s="471">
        <f t="shared" si="129"/>
        <v>0.05</v>
      </c>
      <c r="N1439" s="475">
        <f t="shared" si="130"/>
        <v>94843</v>
      </c>
    </row>
    <row r="1440" spans="7:14" ht="11.25" customHeight="1" x14ac:dyDescent="0.3">
      <c r="G1440" s="470"/>
      <c r="H1440" s="470">
        <v>1433</v>
      </c>
      <c r="I1440" s="455">
        <f t="shared" ca="1" si="128"/>
        <v>-64808858.905134127</v>
      </c>
      <c r="J1440" s="455">
        <f t="array" ref="J1440">IFERROR(INDEX('Retirement Calculator'!J:J,MATCH('Isaac 401k'!N1440,'Retirement Calculator'!A:A,0),0),0)</f>
        <v>0</v>
      </c>
      <c r="K1440" s="455">
        <f t="shared" ca="1" si="126"/>
        <v>-270036.91210472555</v>
      </c>
      <c r="L1440" s="455">
        <f t="shared" ca="1" si="127"/>
        <v>-65078895.817238852</v>
      </c>
      <c r="M1440" s="471">
        <f t="shared" si="129"/>
        <v>0.05</v>
      </c>
      <c r="N1440" s="475">
        <f t="shared" si="130"/>
        <v>94873</v>
      </c>
    </row>
    <row r="1441" spans="7:14" ht="11.25" customHeight="1" x14ac:dyDescent="0.3">
      <c r="G1441" s="470"/>
      <c r="H1441" s="470">
        <v>1434</v>
      </c>
      <c r="I1441" s="455">
        <f t="shared" ca="1" si="128"/>
        <v>-65078895.817238852</v>
      </c>
      <c r="J1441" s="455">
        <f t="array" ref="J1441">IFERROR(INDEX('Retirement Calculator'!J:J,MATCH('Isaac 401k'!N1441,'Retirement Calculator'!A:A,0),0),0)</f>
        <v>0</v>
      </c>
      <c r="K1441" s="455">
        <f t="shared" ca="1" si="126"/>
        <v>-271162.0659051619</v>
      </c>
      <c r="L1441" s="455">
        <f t="shared" ca="1" si="127"/>
        <v>-65350057.883144014</v>
      </c>
      <c r="M1441" s="471">
        <f t="shared" si="129"/>
        <v>0.05</v>
      </c>
      <c r="N1441" s="475">
        <f t="shared" si="130"/>
        <v>94904</v>
      </c>
    </row>
    <row r="1442" spans="7:14" ht="11.25" customHeight="1" x14ac:dyDescent="0.3">
      <c r="G1442" s="470"/>
      <c r="H1442" s="470">
        <v>1435</v>
      </c>
      <c r="I1442" s="455">
        <f t="shared" ca="1" si="128"/>
        <v>-65350057.883144014</v>
      </c>
      <c r="J1442" s="455">
        <f t="array" ref="J1442">IFERROR(INDEX('Retirement Calculator'!J:J,MATCH('Isaac 401k'!N1442,'Retirement Calculator'!A:A,0),0),0)</f>
        <v>0</v>
      </c>
      <c r="K1442" s="455">
        <f t="shared" ca="1" si="126"/>
        <v>-272291.9078464334</v>
      </c>
      <c r="L1442" s="455">
        <f t="shared" ca="1" si="127"/>
        <v>-65622349.790990449</v>
      </c>
      <c r="M1442" s="471">
        <f t="shared" si="129"/>
        <v>0.05</v>
      </c>
      <c r="N1442" s="475">
        <f t="shared" si="130"/>
        <v>94934</v>
      </c>
    </row>
    <row r="1443" spans="7:14" ht="11.25" customHeight="1" x14ac:dyDescent="0.3">
      <c r="G1443" s="470"/>
      <c r="H1443" s="470">
        <v>1436</v>
      </c>
      <c r="I1443" s="455">
        <f t="shared" ca="1" si="128"/>
        <v>-65622349.790990449</v>
      </c>
      <c r="J1443" s="455">
        <f t="array" ref="J1443">IFERROR(INDEX('Retirement Calculator'!J:J,MATCH('Isaac 401k'!N1443,'Retirement Calculator'!A:A,0),0),0)</f>
        <v>0</v>
      </c>
      <c r="K1443" s="455">
        <f t="shared" ca="1" si="126"/>
        <v>-273426.45746246015</v>
      </c>
      <c r="L1443" s="455">
        <f t="shared" ca="1" si="127"/>
        <v>-65895776.248452909</v>
      </c>
      <c r="M1443" s="471">
        <f t="shared" si="129"/>
        <v>0.05</v>
      </c>
      <c r="N1443" s="475">
        <f t="shared" si="130"/>
        <v>94965</v>
      </c>
    </row>
    <row r="1444" spans="7:14" ht="11.25" customHeight="1" x14ac:dyDescent="0.3">
      <c r="G1444" s="470"/>
      <c r="H1444" s="470">
        <v>1437</v>
      </c>
      <c r="I1444" s="455">
        <f t="shared" ca="1" si="128"/>
        <v>-65895776.248452909</v>
      </c>
      <c r="J1444" s="455">
        <f t="array" ref="J1444">IFERROR(INDEX('Retirement Calculator'!J:J,MATCH('Isaac 401k'!N1444,'Retirement Calculator'!A:A,0),0),0)</f>
        <v>0</v>
      </c>
      <c r="K1444" s="455">
        <f t="shared" ca="1" si="126"/>
        <v>-274565.73436855379</v>
      </c>
      <c r="L1444" s="455">
        <f t="shared" ca="1" si="127"/>
        <v>-66170341.982821465</v>
      </c>
      <c r="M1444" s="471">
        <f t="shared" si="129"/>
        <v>0.05</v>
      </c>
      <c r="N1444" s="475">
        <f t="shared" si="130"/>
        <v>94996</v>
      </c>
    </row>
    <row r="1445" spans="7:14" ht="11.25" customHeight="1" x14ac:dyDescent="0.3">
      <c r="G1445" s="470"/>
      <c r="H1445" s="470">
        <v>1438</v>
      </c>
      <c r="I1445" s="455">
        <f t="shared" ca="1" si="128"/>
        <v>-66170341.982821465</v>
      </c>
      <c r="J1445" s="455">
        <f t="array" ref="J1445">IFERROR(INDEX('Retirement Calculator'!J:J,MATCH('Isaac 401k'!N1445,'Retirement Calculator'!A:A,0),0),0)</f>
        <v>0</v>
      </c>
      <c r="K1445" s="455">
        <f t="shared" ca="1" si="126"/>
        <v>-275709.7582617561</v>
      </c>
      <c r="L1445" s="455">
        <f t="shared" ca="1" si="127"/>
        <v>-66446051.74108322</v>
      </c>
      <c r="M1445" s="471">
        <f t="shared" si="129"/>
        <v>0.05</v>
      </c>
      <c r="N1445" s="475">
        <f t="shared" si="130"/>
        <v>95025</v>
      </c>
    </row>
    <row r="1446" spans="7:14" ht="11.25" customHeight="1" x14ac:dyDescent="0.3">
      <c r="G1446" s="470"/>
      <c r="H1446" s="470">
        <v>1439</v>
      </c>
      <c r="I1446" s="455">
        <f t="shared" ca="1" si="128"/>
        <v>-66446051.74108322</v>
      </c>
      <c r="J1446" s="455">
        <f t="array" ref="J1446">IFERROR(INDEX('Retirement Calculator'!J:J,MATCH('Isaac 401k'!N1446,'Retirement Calculator'!A:A,0),0),0)</f>
        <v>0</v>
      </c>
      <c r="K1446" s="455">
        <f t="shared" ca="1" si="126"/>
        <v>-276858.54892118007</v>
      </c>
      <c r="L1446" s="455">
        <f t="shared" ca="1" si="127"/>
        <v>-66722910.290004402</v>
      </c>
      <c r="M1446" s="471">
        <f t="shared" si="129"/>
        <v>0.05</v>
      </c>
      <c r="N1446" s="475">
        <f t="shared" si="130"/>
        <v>95056</v>
      </c>
    </row>
    <row r="1447" spans="7:14" ht="11.25" customHeight="1" x14ac:dyDescent="0.3">
      <c r="G1447" s="470"/>
      <c r="H1447" s="470">
        <v>1440</v>
      </c>
      <c r="I1447" s="455">
        <f t="shared" ca="1" si="128"/>
        <v>-66722910.290004402</v>
      </c>
      <c r="J1447" s="455">
        <f t="array" ref="J1447">IFERROR(INDEX('Retirement Calculator'!J:J,MATCH('Isaac 401k'!N1447,'Retirement Calculator'!A:A,0),0),0)</f>
        <v>0</v>
      </c>
      <c r="K1447" s="455">
        <f t="shared" ca="1" si="126"/>
        <v>-278012.12620835169</v>
      </c>
      <c r="L1447" s="455">
        <f t="shared" ca="1" si="127"/>
        <v>-67000922.416212752</v>
      </c>
      <c r="M1447" s="471">
        <f t="shared" si="129"/>
        <v>0.05</v>
      </c>
      <c r="N1447" s="475">
        <f t="shared" si="130"/>
        <v>95086</v>
      </c>
    </row>
    <row r="1448" spans="7:14" ht="11.25" customHeight="1" x14ac:dyDescent="0.3">
      <c r="G1448" s="470"/>
      <c r="H1448" s="470">
        <v>1441</v>
      </c>
      <c r="I1448" s="455">
        <f t="shared" ca="1" si="128"/>
        <v>-67000922.416212752</v>
      </c>
      <c r="J1448" s="455">
        <f t="array" ref="J1448">IFERROR(INDEX('Retirement Calculator'!J:J,MATCH('Isaac 401k'!N1448,'Retirement Calculator'!A:A,0),0),0)</f>
        <v>0</v>
      </c>
      <c r="K1448" s="455">
        <f t="shared" ca="1" si="126"/>
        <v>-279170.51006755314</v>
      </c>
      <c r="L1448" s="455">
        <f t="shared" ca="1" si="127"/>
        <v>-67280092.926280305</v>
      </c>
      <c r="M1448" s="471">
        <f t="shared" si="129"/>
        <v>0.05</v>
      </c>
      <c r="N1448" s="475">
        <f t="shared" si="130"/>
        <v>95117</v>
      </c>
    </row>
    <row r="1449" spans="7:14" ht="11.25" customHeight="1" x14ac:dyDescent="0.3">
      <c r="G1449" s="470"/>
      <c r="H1449" s="470">
        <v>1442</v>
      </c>
      <c r="I1449" s="455">
        <f t="shared" ca="1" si="128"/>
        <v>-67280092.926280305</v>
      </c>
      <c r="J1449" s="455">
        <f t="array" ref="J1449">IFERROR(INDEX('Retirement Calculator'!J:J,MATCH('Isaac 401k'!N1449,'Retirement Calculator'!A:A,0),0),0)</f>
        <v>0</v>
      </c>
      <c r="K1449" s="455">
        <f t="shared" ca="1" si="126"/>
        <v>-280333.72052616795</v>
      </c>
      <c r="L1449" s="455">
        <f t="shared" ca="1" si="127"/>
        <v>-67560426.646806479</v>
      </c>
      <c r="M1449" s="471">
        <f t="shared" si="129"/>
        <v>0.05</v>
      </c>
      <c r="N1449" s="475">
        <f t="shared" si="130"/>
        <v>95147</v>
      </c>
    </row>
    <row r="1450" spans="7:14" ht="11.25" customHeight="1" x14ac:dyDescent="0.3">
      <c r="G1450" s="470"/>
      <c r="H1450" s="470">
        <v>1443</v>
      </c>
      <c r="I1450" s="455">
        <f t="shared" ca="1" si="128"/>
        <v>-67560426.646806479</v>
      </c>
      <c r="J1450" s="455">
        <f t="array" ref="J1450">IFERROR(INDEX('Retirement Calculator'!J:J,MATCH('Isaac 401k'!N1450,'Retirement Calculator'!A:A,0),0),0)</f>
        <v>0</v>
      </c>
      <c r="K1450" s="455">
        <f t="shared" ca="1" si="126"/>
        <v>-281501.77769502701</v>
      </c>
      <c r="L1450" s="455">
        <f t="shared" ca="1" si="127"/>
        <v>-67841928.424501508</v>
      </c>
      <c r="M1450" s="471">
        <f t="shared" si="129"/>
        <v>0.05</v>
      </c>
      <c r="N1450" s="475">
        <f t="shared" si="130"/>
        <v>95178</v>
      </c>
    </row>
    <row r="1451" spans="7:14" ht="11.25" customHeight="1" x14ac:dyDescent="0.3">
      <c r="G1451" s="470"/>
      <c r="H1451" s="470">
        <v>1444</v>
      </c>
      <c r="I1451" s="455">
        <f t="shared" ca="1" si="128"/>
        <v>-67841928.424501508</v>
      </c>
      <c r="J1451" s="455">
        <f t="array" ref="J1451">IFERROR(INDEX('Retirement Calculator'!J:J,MATCH('Isaac 401k'!N1451,'Retirement Calculator'!A:A,0),0),0)</f>
        <v>0</v>
      </c>
      <c r="K1451" s="455">
        <f t="shared" ca="1" si="126"/>
        <v>-282674.70176875626</v>
      </c>
      <c r="L1451" s="455">
        <f t="shared" ca="1" si="127"/>
        <v>-68124603.126270264</v>
      </c>
      <c r="M1451" s="471">
        <f t="shared" si="129"/>
        <v>0.05</v>
      </c>
      <c r="N1451" s="475">
        <f t="shared" si="130"/>
        <v>95209</v>
      </c>
    </row>
    <row r="1452" spans="7:14" ht="11.25" customHeight="1" x14ac:dyDescent="0.3">
      <c r="G1452" s="470"/>
      <c r="H1452" s="470">
        <v>1445</v>
      </c>
      <c r="I1452" s="455">
        <f t="shared" ca="1" si="128"/>
        <v>-68124603.126270264</v>
      </c>
      <c r="J1452" s="455">
        <f t="array" ref="J1452">IFERROR(INDEX('Retirement Calculator'!J:J,MATCH('Isaac 401k'!N1452,'Retirement Calculator'!A:A,0),0),0)</f>
        <v>0</v>
      </c>
      <c r="K1452" s="455">
        <f t="shared" ca="1" si="126"/>
        <v>-283852.51302612608</v>
      </c>
      <c r="L1452" s="455">
        <f t="shared" ca="1" si="127"/>
        <v>-68408455.639296398</v>
      </c>
      <c r="M1452" s="471">
        <f t="shared" si="129"/>
        <v>0.05</v>
      </c>
      <c r="N1452" s="475">
        <f t="shared" si="130"/>
        <v>95239</v>
      </c>
    </row>
    <row r="1453" spans="7:14" ht="11.25" customHeight="1" x14ac:dyDescent="0.3">
      <c r="G1453" s="470"/>
      <c r="H1453" s="470">
        <v>1446</v>
      </c>
      <c r="I1453" s="455">
        <f t="shared" ca="1" si="128"/>
        <v>-68408455.639296398</v>
      </c>
      <c r="J1453" s="455">
        <f t="array" ref="J1453">IFERROR(INDEX('Retirement Calculator'!J:J,MATCH('Isaac 401k'!N1453,'Retirement Calculator'!A:A,0),0),0)</f>
        <v>0</v>
      </c>
      <c r="K1453" s="455">
        <f t="shared" ca="1" si="126"/>
        <v>-285035.23183040164</v>
      </c>
      <c r="L1453" s="455">
        <f t="shared" ca="1" si="127"/>
        <v>-68693490.871126801</v>
      </c>
      <c r="M1453" s="471">
        <f t="shared" si="129"/>
        <v>0.05</v>
      </c>
      <c r="N1453" s="475">
        <f t="shared" si="130"/>
        <v>95270</v>
      </c>
    </row>
    <row r="1454" spans="7:14" ht="11.25" customHeight="1" x14ac:dyDescent="0.3">
      <c r="G1454" s="470"/>
      <c r="H1454" s="470">
        <v>1447</v>
      </c>
      <c r="I1454" s="455">
        <f t="shared" ca="1" si="128"/>
        <v>-68693490.871126801</v>
      </c>
      <c r="J1454" s="455">
        <f t="array" ref="J1454">IFERROR(INDEX('Retirement Calculator'!J:J,MATCH('Isaac 401k'!N1454,'Retirement Calculator'!A:A,0),0),0)</f>
        <v>0</v>
      </c>
      <c r="K1454" s="455">
        <f t="shared" ca="1" si="126"/>
        <v>-286222.87862969498</v>
      </c>
      <c r="L1454" s="455">
        <f t="shared" ca="1" si="127"/>
        <v>-68979713.7497565</v>
      </c>
      <c r="M1454" s="471">
        <f t="shared" si="129"/>
        <v>0.05</v>
      </c>
      <c r="N1454" s="475">
        <f t="shared" si="130"/>
        <v>95300</v>
      </c>
    </row>
    <row r="1455" spans="7:14" ht="11.25" customHeight="1" x14ac:dyDescent="0.3">
      <c r="G1455" s="470"/>
      <c r="H1455" s="470">
        <v>1448</v>
      </c>
      <c r="I1455" s="455">
        <f t="shared" ca="1" si="128"/>
        <v>-68979713.7497565</v>
      </c>
      <c r="J1455" s="455">
        <f t="array" ref="J1455">IFERROR(INDEX('Retirement Calculator'!J:J,MATCH('Isaac 401k'!N1455,'Retirement Calculator'!A:A,0),0),0)</f>
        <v>0</v>
      </c>
      <c r="K1455" s="455">
        <f t="shared" ca="1" si="126"/>
        <v>-287415.47395731875</v>
      </c>
      <c r="L1455" s="455">
        <f t="shared" ca="1" si="127"/>
        <v>-69267129.223713815</v>
      </c>
      <c r="M1455" s="471">
        <f t="shared" si="129"/>
        <v>0.05</v>
      </c>
      <c r="N1455" s="475">
        <f t="shared" si="130"/>
        <v>95331</v>
      </c>
    </row>
    <row r="1456" spans="7:14" ht="11.25" customHeight="1" x14ac:dyDescent="0.3">
      <c r="G1456" s="470"/>
      <c r="H1456" s="470">
        <v>1449</v>
      </c>
      <c r="I1456" s="455">
        <f t="shared" ca="1" si="128"/>
        <v>-69267129.223713815</v>
      </c>
      <c r="J1456" s="455">
        <f t="array" ref="J1456">IFERROR(INDEX('Retirement Calculator'!J:J,MATCH('Isaac 401k'!N1456,'Retirement Calculator'!A:A,0),0),0)</f>
        <v>0</v>
      </c>
      <c r="K1456" s="455">
        <f t="shared" ca="1" si="126"/>
        <v>-288613.03843214089</v>
      </c>
      <c r="L1456" s="455">
        <f t="shared" ca="1" si="127"/>
        <v>-69555742.262145951</v>
      </c>
      <c r="M1456" s="471">
        <f t="shared" si="129"/>
        <v>0.05</v>
      </c>
      <c r="N1456" s="475">
        <f t="shared" si="130"/>
        <v>95362</v>
      </c>
    </row>
    <row r="1457" spans="7:14" ht="11.25" customHeight="1" x14ac:dyDescent="0.3">
      <c r="G1457" s="470"/>
      <c r="H1457" s="470">
        <v>1450</v>
      </c>
      <c r="I1457" s="455">
        <f t="shared" ca="1" si="128"/>
        <v>-69555742.262145951</v>
      </c>
      <c r="J1457" s="455">
        <f t="array" ref="J1457">IFERROR(INDEX('Retirement Calculator'!J:J,MATCH('Isaac 401k'!N1457,'Retirement Calculator'!A:A,0),0),0)</f>
        <v>0</v>
      </c>
      <c r="K1457" s="455">
        <f t="shared" ca="1" si="126"/>
        <v>-289815.59275894146</v>
      </c>
      <c r="L1457" s="455">
        <f t="shared" ca="1" si="127"/>
        <v>-69845557.85490489</v>
      </c>
      <c r="M1457" s="471">
        <f t="shared" si="129"/>
        <v>0.05</v>
      </c>
      <c r="N1457" s="475">
        <f t="shared" si="130"/>
        <v>95390</v>
      </c>
    </row>
    <row r="1458" spans="7:14" ht="11.25" customHeight="1" x14ac:dyDescent="0.3">
      <c r="G1458" s="470"/>
      <c r="H1458" s="470">
        <v>1451</v>
      </c>
      <c r="I1458" s="455">
        <f t="shared" ca="1" si="128"/>
        <v>-69845557.85490489</v>
      </c>
      <c r="J1458" s="455">
        <f t="array" ref="J1458">IFERROR(INDEX('Retirement Calculator'!J:J,MATCH('Isaac 401k'!N1458,'Retirement Calculator'!A:A,0),0),0)</f>
        <v>0</v>
      </c>
      <c r="K1458" s="455">
        <f t="shared" ca="1" si="126"/>
        <v>-291023.1577287704</v>
      </c>
      <c r="L1458" s="455">
        <f t="shared" ca="1" si="127"/>
        <v>-70136581.012633666</v>
      </c>
      <c r="M1458" s="471">
        <f t="shared" si="129"/>
        <v>0.05</v>
      </c>
      <c r="N1458" s="475">
        <f t="shared" si="130"/>
        <v>95421</v>
      </c>
    </row>
    <row r="1459" spans="7:14" ht="11.25" customHeight="1" x14ac:dyDescent="0.3">
      <c r="G1459" s="470"/>
      <c r="H1459" s="470">
        <v>1452</v>
      </c>
      <c r="I1459" s="455">
        <f t="shared" ca="1" si="128"/>
        <v>-70136581.012633666</v>
      </c>
      <c r="J1459" s="455">
        <f t="array" ref="J1459">IFERROR(INDEX('Retirement Calculator'!J:J,MATCH('Isaac 401k'!N1459,'Retirement Calculator'!A:A,0),0),0)</f>
        <v>0</v>
      </c>
      <c r="K1459" s="455">
        <f t="shared" ca="1" si="126"/>
        <v>-292235.75421930692</v>
      </c>
      <c r="L1459" s="455">
        <f t="shared" ca="1" si="127"/>
        <v>-70428816.766852975</v>
      </c>
      <c r="M1459" s="471">
        <f t="shared" si="129"/>
        <v>0.05</v>
      </c>
      <c r="N1459" s="475">
        <f t="shared" si="130"/>
        <v>95451</v>
      </c>
    </row>
    <row r="1460" spans="7:14" ht="11.25" customHeight="1" x14ac:dyDescent="0.3">
      <c r="G1460" s="470"/>
      <c r="H1460" s="470">
        <v>1453</v>
      </c>
      <c r="I1460" s="455">
        <f t="shared" ca="1" si="128"/>
        <v>-70428816.766852975</v>
      </c>
      <c r="J1460" s="455">
        <f t="array" ref="J1460">IFERROR(INDEX('Retirement Calculator'!J:J,MATCH('Isaac 401k'!N1460,'Retirement Calculator'!A:A,0),0),0)</f>
        <v>0</v>
      </c>
      <c r="K1460" s="455">
        <f t="shared" ca="1" si="126"/>
        <v>-293453.40319522074</v>
      </c>
      <c r="L1460" s="455">
        <f t="shared" ca="1" si="127"/>
        <v>-70722270.170048192</v>
      </c>
      <c r="M1460" s="471">
        <f t="shared" si="129"/>
        <v>0.05</v>
      </c>
      <c r="N1460" s="475">
        <f t="shared" si="130"/>
        <v>95482</v>
      </c>
    </row>
    <row r="1461" spans="7:14" ht="11.25" customHeight="1" x14ac:dyDescent="0.3">
      <c r="G1461" s="470"/>
      <c r="H1461" s="470">
        <v>1454</v>
      </c>
      <c r="I1461" s="455">
        <f t="shared" ca="1" si="128"/>
        <v>-70722270.170048192</v>
      </c>
      <c r="J1461" s="455">
        <f t="array" ref="J1461">IFERROR(INDEX('Retirement Calculator'!J:J,MATCH('Isaac 401k'!N1461,'Retirement Calculator'!A:A,0),0),0)</f>
        <v>0</v>
      </c>
      <c r="K1461" s="455">
        <f t="shared" ca="1" si="126"/>
        <v>-294676.12570853415</v>
      </c>
      <c r="L1461" s="455">
        <f t="shared" ca="1" si="127"/>
        <v>-71016946.295756727</v>
      </c>
      <c r="M1461" s="471">
        <f t="shared" si="129"/>
        <v>0.05</v>
      </c>
      <c r="N1461" s="475">
        <f t="shared" si="130"/>
        <v>95512</v>
      </c>
    </row>
    <row r="1462" spans="7:14" ht="11.25" customHeight="1" x14ac:dyDescent="0.3">
      <c r="G1462" s="470"/>
      <c r="H1462" s="470">
        <v>1455</v>
      </c>
      <c r="I1462" s="455">
        <f t="shared" ca="1" si="128"/>
        <v>-71016946.295756727</v>
      </c>
      <c r="J1462" s="455">
        <f t="array" ref="J1462">IFERROR(INDEX('Retirement Calculator'!J:J,MATCH('Isaac 401k'!N1462,'Retirement Calculator'!A:A,0),0),0)</f>
        <v>0</v>
      </c>
      <c r="K1462" s="455">
        <f t="shared" ca="1" si="126"/>
        <v>-295903.94289898634</v>
      </c>
      <c r="L1462" s="455">
        <f t="shared" ca="1" si="127"/>
        <v>-71312850.238655716</v>
      </c>
      <c r="M1462" s="471">
        <f t="shared" si="129"/>
        <v>0.05</v>
      </c>
      <c r="N1462" s="475">
        <f t="shared" si="130"/>
        <v>95543</v>
      </c>
    </row>
    <row r="1463" spans="7:14" ht="11.25" customHeight="1" x14ac:dyDescent="0.3">
      <c r="G1463" s="470"/>
      <c r="H1463" s="470">
        <v>1456</v>
      </c>
      <c r="I1463" s="455">
        <f t="shared" ca="1" si="128"/>
        <v>-71312850.238655716</v>
      </c>
      <c r="J1463" s="455">
        <f t="array" ref="J1463">IFERROR(INDEX('Retirement Calculator'!J:J,MATCH('Isaac 401k'!N1463,'Retirement Calculator'!A:A,0),0),0)</f>
        <v>0</v>
      </c>
      <c r="K1463" s="455">
        <f t="shared" ca="1" si="126"/>
        <v>-297136.87599439884</v>
      </c>
      <c r="L1463" s="455">
        <f t="shared" ca="1" si="127"/>
        <v>-71609987.114650115</v>
      </c>
      <c r="M1463" s="471">
        <f t="shared" si="129"/>
        <v>0.05</v>
      </c>
      <c r="N1463" s="475">
        <f t="shared" si="130"/>
        <v>95574</v>
      </c>
    </row>
    <row r="1464" spans="7:14" ht="11.25" customHeight="1" x14ac:dyDescent="0.3">
      <c r="G1464" s="470"/>
      <c r="H1464" s="470">
        <v>1457</v>
      </c>
      <c r="I1464" s="455">
        <f t="shared" ca="1" si="128"/>
        <v>-71609987.114650115</v>
      </c>
      <c r="J1464" s="455">
        <f t="array" ref="J1464">IFERROR(INDEX('Retirement Calculator'!J:J,MATCH('Isaac 401k'!N1464,'Retirement Calculator'!A:A,0),0),0)</f>
        <v>0</v>
      </c>
      <c r="K1464" s="455">
        <f t="shared" ca="1" si="126"/>
        <v>-298374.94631104212</v>
      </c>
      <c r="L1464" s="455">
        <f t="shared" ca="1" si="127"/>
        <v>-71908362.060961157</v>
      </c>
      <c r="M1464" s="471">
        <f t="shared" si="129"/>
        <v>0.05</v>
      </c>
      <c r="N1464" s="475">
        <f t="shared" si="130"/>
        <v>95604</v>
      </c>
    </row>
    <row r="1465" spans="7:14" ht="11.25" customHeight="1" x14ac:dyDescent="0.3">
      <c r="G1465" s="470"/>
      <c r="H1465" s="470">
        <v>1458</v>
      </c>
      <c r="I1465" s="455">
        <f t="shared" ca="1" si="128"/>
        <v>-71908362.060961157</v>
      </c>
      <c r="J1465" s="455">
        <f t="array" ref="J1465">IFERROR(INDEX('Retirement Calculator'!J:J,MATCH('Isaac 401k'!N1465,'Retirement Calculator'!A:A,0),0),0)</f>
        <v>0</v>
      </c>
      <c r="K1465" s="455">
        <f t="shared" ca="1" si="126"/>
        <v>-299618.17525400483</v>
      </c>
      <c r="L1465" s="455">
        <f t="shared" ca="1" si="127"/>
        <v>-72207980.236215159</v>
      </c>
      <c r="M1465" s="471">
        <f t="shared" si="129"/>
        <v>0.05</v>
      </c>
      <c r="N1465" s="475">
        <f t="shared" si="130"/>
        <v>95635</v>
      </c>
    </row>
    <row r="1466" spans="7:14" ht="11.25" customHeight="1" x14ac:dyDescent="0.3">
      <c r="G1466" s="470"/>
      <c r="H1466" s="470">
        <v>1459</v>
      </c>
      <c r="I1466" s="455">
        <f t="shared" ca="1" si="128"/>
        <v>-72207980.236215159</v>
      </c>
      <c r="J1466" s="455">
        <f t="array" ref="J1466">IFERROR(INDEX('Retirement Calculator'!J:J,MATCH('Isaac 401k'!N1466,'Retirement Calculator'!A:A,0),0),0)</f>
        <v>0</v>
      </c>
      <c r="K1466" s="455">
        <f t="shared" ca="1" si="126"/>
        <v>-300866.58431756316</v>
      </c>
      <c r="L1466" s="455">
        <f t="shared" ca="1" si="127"/>
        <v>-72508846.820532724</v>
      </c>
      <c r="M1466" s="471">
        <f t="shared" si="129"/>
        <v>0.05</v>
      </c>
      <c r="N1466" s="475">
        <f t="shared" si="130"/>
        <v>95665</v>
      </c>
    </row>
    <row r="1467" spans="7:14" ht="11.25" customHeight="1" x14ac:dyDescent="0.3">
      <c r="G1467" s="470"/>
      <c r="H1467" s="470">
        <v>1460</v>
      </c>
      <c r="I1467" s="455">
        <f t="shared" ca="1" si="128"/>
        <v>-72508846.820532724</v>
      </c>
      <c r="J1467" s="455">
        <f t="array" ref="J1467">IFERROR(INDEX('Retirement Calculator'!J:J,MATCH('Isaac 401k'!N1467,'Retirement Calculator'!A:A,0),0),0)</f>
        <v>0</v>
      </c>
      <c r="K1467" s="455">
        <f t="shared" ca="1" si="126"/>
        <v>-302120.19508555299</v>
      </c>
      <c r="L1467" s="455">
        <f t="shared" ca="1" si="127"/>
        <v>-72810967.01561828</v>
      </c>
      <c r="M1467" s="471">
        <f t="shared" si="129"/>
        <v>0.05</v>
      </c>
      <c r="N1467" s="475">
        <f t="shared" si="130"/>
        <v>95696</v>
      </c>
    </row>
    <row r="1468" spans="7:14" ht="11.25" customHeight="1" x14ac:dyDescent="0.3">
      <c r="G1468" s="470"/>
      <c r="H1468" s="470">
        <v>1461</v>
      </c>
      <c r="I1468" s="455">
        <f t="shared" ca="1" si="128"/>
        <v>-72810967.01561828</v>
      </c>
      <c r="J1468" s="455">
        <f t="array" ref="J1468">IFERROR(INDEX('Retirement Calculator'!J:J,MATCH('Isaac 401k'!N1468,'Retirement Calculator'!A:A,0),0),0)</f>
        <v>0</v>
      </c>
      <c r="K1468" s="455">
        <f t="shared" ca="1" si="126"/>
        <v>-303379.02923174284</v>
      </c>
      <c r="L1468" s="455">
        <f t="shared" ca="1" si="127"/>
        <v>-73114346.044850022</v>
      </c>
      <c r="M1468" s="471">
        <f t="shared" si="129"/>
        <v>0.05</v>
      </c>
      <c r="N1468" s="475">
        <f t="shared" si="130"/>
        <v>95727</v>
      </c>
    </row>
    <row r="1469" spans="7:14" ht="11.25" customHeight="1" x14ac:dyDescent="0.3">
      <c r="G1469" s="470"/>
      <c r="H1469" s="470">
        <v>1462</v>
      </c>
      <c r="I1469" s="455">
        <f t="shared" ca="1" si="128"/>
        <v>-73114346.044850022</v>
      </c>
      <c r="J1469" s="455">
        <f t="array" ref="J1469">IFERROR(INDEX('Retirement Calculator'!J:J,MATCH('Isaac 401k'!N1469,'Retirement Calculator'!A:A,0),0),0)</f>
        <v>0</v>
      </c>
      <c r="K1469" s="455">
        <f t="shared" ca="1" si="126"/>
        <v>-304643.10852020839</v>
      </c>
      <c r="L1469" s="455">
        <f t="shared" ca="1" si="127"/>
        <v>-73418989.153370231</v>
      </c>
      <c r="M1469" s="471">
        <f t="shared" si="129"/>
        <v>0.05</v>
      </c>
      <c r="N1469" s="475">
        <f t="shared" si="130"/>
        <v>95755</v>
      </c>
    </row>
    <row r="1470" spans="7:14" ht="11.25" customHeight="1" x14ac:dyDescent="0.3">
      <c r="G1470" s="470"/>
      <c r="H1470" s="470">
        <v>1463</v>
      </c>
      <c r="I1470" s="455">
        <f t="shared" ca="1" si="128"/>
        <v>-73418989.153370231</v>
      </c>
      <c r="J1470" s="455">
        <f t="array" ref="J1470">IFERROR(INDEX('Retirement Calculator'!J:J,MATCH('Isaac 401k'!N1470,'Retirement Calculator'!A:A,0),0),0)</f>
        <v>0</v>
      </c>
      <c r="K1470" s="455">
        <f t="shared" ca="1" si="126"/>
        <v>-305912.45480570931</v>
      </c>
      <c r="L1470" s="455">
        <f t="shared" ca="1" si="127"/>
        <v>-73724901.608175933</v>
      </c>
      <c r="M1470" s="471">
        <f t="shared" si="129"/>
        <v>0.05</v>
      </c>
      <c r="N1470" s="475">
        <f t="shared" si="130"/>
        <v>95786</v>
      </c>
    </row>
    <row r="1471" spans="7:14" ht="11.25" customHeight="1" x14ac:dyDescent="0.3">
      <c r="G1471" s="470"/>
      <c r="H1471" s="470">
        <v>1464</v>
      </c>
      <c r="I1471" s="455">
        <f t="shared" ca="1" si="128"/>
        <v>-73724901.608175933</v>
      </c>
      <c r="J1471" s="455">
        <f t="array" ref="J1471">IFERROR(INDEX('Retirement Calculator'!J:J,MATCH('Isaac 401k'!N1471,'Retirement Calculator'!A:A,0),0),0)</f>
        <v>0</v>
      </c>
      <c r="K1471" s="455">
        <f t="shared" ca="1" si="126"/>
        <v>-307187.09003406641</v>
      </c>
      <c r="L1471" s="455">
        <f t="shared" ca="1" si="127"/>
        <v>-74032088.698210001</v>
      </c>
      <c r="M1471" s="471">
        <f t="shared" si="129"/>
        <v>0.05</v>
      </c>
      <c r="N1471" s="475">
        <f t="shared" si="130"/>
        <v>95816</v>
      </c>
    </row>
    <row r="1472" spans="7:14" ht="11.25" customHeight="1" x14ac:dyDescent="0.3">
      <c r="G1472" s="470"/>
      <c r="H1472" s="470">
        <v>1465</v>
      </c>
      <c r="I1472" s="455">
        <f t="shared" ca="1" si="128"/>
        <v>-74032088.698210001</v>
      </c>
      <c r="J1472" s="455">
        <f t="array" ref="J1472">IFERROR(INDEX('Retirement Calculator'!J:J,MATCH('Isaac 401k'!N1472,'Retirement Calculator'!A:A,0),0),0)</f>
        <v>0</v>
      </c>
      <c r="K1472" s="455">
        <f t="shared" ca="1" si="126"/>
        <v>-308467.03624254168</v>
      </c>
      <c r="L1472" s="455">
        <f t="shared" ca="1" si="127"/>
        <v>-74340555.734452546</v>
      </c>
      <c r="M1472" s="471">
        <f t="shared" si="129"/>
        <v>0.05</v>
      </c>
      <c r="N1472" s="475">
        <f t="shared" si="130"/>
        <v>95847</v>
      </c>
    </row>
    <row r="1473" spans="7:14" ht="11.25" customHeight="1" x14ac:dyDescent="0.3">
      <c r="G1473" s="470"/>
      <c r="H1473" s="470">
        <v>1466</v>
      </c>
      <c r="I1473" s="455">
        <f t="shared" ca="1" si="128"/>
        <v>-74340555.734452546</v>
      </c>
      <c r="J1473" s="455">
        <f t="array" ref="J1473">IFERROR(INDEX('Retirement Calculator'!J:J,MATCH('Isaac 401k'!N1473,'Retirement Calculator'!A:A,0),0),0)</f>
        <v>0</v>
      </c>
      <c r="K1473" s="455">
        <f t="shared" ca="1" si="126"/>
        <v>-309752.31556021894</v>
      </c>
      <c r="L1473" s="455">
        <f t="shared" ca="1" si="127"/>
        <v>-74650308.050012767</v>
      </c>
      <c r="M1473" s="471">
        <f t="shared" si="129"/>
        <v>0.05</v>
      </c>
      <c r="N1473" s="475">
        <f t="shared" si="130"/>
        <v>95877</v>
      </c>
    </row>
    <row r="1474" spans="7:14" ht="11.25" customHeight="1" x14ac:dyDescent="0.3">
      <c r="G1474" s="470"/>
      <c r="H1474" s="470">
        <v>1467</v>
      </c>
      <c r="I1474" s="455">
        <f t="shared" ca="1" si="128"/>
        <v>-74650308.050012767</v>
      </c>
      <c r="J1474" s="455">
        <f t="array" ref="J1474">IFERROR(INDEX('Retirement Calculator'!J:J,MATCH('Isaac 401k'!N1474,'Retirement Calculator'!A:A,0),0),0)</f>
        <v>0</v>
      </c>
      <c r="K1474" s="455">
        <f t="shared" ca="1" si="126"/>
        <v>-311042.95020838652</v>
      </c>
      <c r="L1474" s="455">
        <f t="shared" ca="1" si="127"/>
        <v>-74961351.000221148</v>
      </c>
      <c r="M1474" s="471">
        <f t="shared" si="129"/>
        <v>0.05</v>
      </c>
      <c r="N1474" s="475">
        <f t="shared" si="130"/>
        <v>95908</v>
      </c>
    </row>
    <row r="1475" spans="7:14" ht="11.25" customHeight="1" x14ac:dyDescent="0.3">
      <c r="G1475" s="470"/>
      <c r="H1475" s="470">
        <v>1468</v>
      </c>
      <c r="I1475" s="455">
        <f t="shared" ca="1" si="128"/>
        <v>-74961351.000221148</v>
      </c>
      <c r="J1475" s="455">
        <f t="array" ref="J1475">IFERROR(INDEX('Retirement Calculator'!J:J,MATCH('Isaac 401k'!N1475,'Retirement Calculator'!A:A,0),0),0)</f>
        <v>0</v>
      </c>
      <c r="K1475" s="455">
        <f t="shared" ca="1" si="126"/>
        <v>-312338.96250092145</v>
      </c>
      <c r="L1475" s="455">
        <f t="shared" ca="1" si="127"/>
        <v>-75273689.962722063</v>
      </c>
      <c r="M1475" s="471">
        <f t="shared" si="129"/>
        <v>0.05</v>
      </c>
      <c r="N1475" s="475">
        <f t="shared" si="130"/>
        <v>95939</v>
      </c>
    </row>
    <row r="1476" spans="7:14" ht="11.25" customHeight="1" x14ac:dyDescent="0.3">
      <c r="G1476" s="470"/>
      <c r="H1476" s="470">
        <v>1469</v>
      </c>
      <c r="I1476" s="455">
        <f t="shared" ca="1" si="128"/>
        <v>-75273689.962722063</v>
      </c>
      <c r="J1476" s="455">
        <f t="array" ref="J1476">IFERROR(INDEX('Retirement Calculator'!J:J,MATCH('Isaac 401k'!N1476,'Retirement Calculator'!A:A,0),0),0)</f>
        <v>0</v>
      </c>
      <c r="K1476" s="455">
        <f t="shared" ca="1" si="126"/>
        <v>-313640.37484467524</v>
      </c>
      <c r="L1476" s="455">
        <f t="shared" ca="1" si="127"/>
        <v>-75587330.337566733</v>
      </c>
      <c r="M1476" s="471">
        <f t="shared" si="129"/>
        <v>0.05</v>
      </c>
      <c r="N1476" s="475">
        <f t="shared" si="130"/>
        <v>95969</v>
      </c>
    </row>
    <row r="1477" spans="7:14" ht="11.25" customHeight="1" x14ac:dyDescent="0.3">
      <c r="G1477" s="470"/>
      <c r="H1477" s="470">
        <v>1470</v>
      </c>
      <c r="I1477" s="455">
        <f t="shared" ca="1" si="128"/>
        <v>-75587330.337566733</v>
      </c>
      <c r="J1477" s="455">
        <f t="array" ref="J1477">IFERROR(INDEX('Retirement Calculator'!J:J,MATCH('Isaac 401k'!N1477,'Retirement Calculator'!A:A,0),0),0)</f>
        <v>0</v>
      </c>
      <c r="K1477" s="455">
        <f t="shared" ca="1" si="126"/>
        <v>-314947.20973986137</v>
      </c>
      <c r="L1477" s="455">
        <f t="shared" ca="1" si="127"/>
        <v>-75902277.547306597</v>
      </c>
      <c r="M1477" s="471">
        <f t="shared" si="129"/>
        <v>0.05</v>
      </c>
      <c r="N1477" s="475">
        <f t="shared" si="130"/>
        <v>96000</v>
      </c>
    </row>
    <row r="1478" spans="7:14" ht="11.25" customHeight="1" x14ac:dyDescent="0.3">
      <c r="G1478" s="470"/>
      <c r="H1478" s="470">
        <v>1471</v>
      </c>
      <c r="I1478" s="455">
        <f t="shared" ca="1" si="128"/>
        <v>-75902277.547306597</v>
      </c>
      <c r="J1478" s="455">
        <f t="array" ref="J1478">IFERROR(INDEX('Retirement Calculator'!J:J,MATCH('Isaac 401k'!N1478,'Retirement Calculator'!A:A,0),0),0)</f>
        <v>0</v>
      </c>
      <c r="K1478" s="455">
        <f t="shared" ca="1" si="126"/>
        <v>-316259.48978044413</v>
      </c>
      <c r="L1478" s="455">
        <f t="shared" ca="1" si="127"/>
        <v>-76218537.037087038</v>
      </c>
      <c r="M1478" s="471">
        <f t="shared" si="129"/>
        <v>0.05</v>
      </c>
      <c r="N1478" s="475">
        <f t="shared" si="130"/>
        <v>96030</v>
      </c>
    </row>
    <row r="1479" spans="7:14" ht="11.25" customHeight="1" x14ac:dyDescent="0.3">
      <c r="G1479" s="470"/>
      <c r="H1479" s="470">
        <v>1472</v>
      </c>
      <c r="I1479" s="455">
        <f t="shared" ca="1" si="128"/>
        <v>-76218537.037087038</v>
      </c>
      <c r="J1479" s="455">
        <f t="array" ref="J1479">IFERROR(INDEX('Retirement Calculator'!J:J,MATCH('Isaac 401k'!N1479,'Retirement Calculator'!A:A,0),0),0)</f>
        <v>0</v>
      </c>
      <c r="K1479" s="455">
        <f t="shared" ca="1" si="126"/>
        <v>-317577.23765452934</v>
      </c>
      <c r="L1479" s="455">
        <f t="shared" ca="1" si="127"/>
        <v>-76536114.27474156</v>
      </c>
      <c r="M1479" s="471">
        <f t="shared" si="129"/>
        <v>0.05</v>
      </c>
      <c r="N1479" s="475">
        <f t="shared" si="130"/>
        <v>96061</v>
      </c>
    </row>
    <row r="1480" spans="7:14" ht="11.25" customHeight="1" x14ac:dyDescent="0.3">
      <c r="G1480" s="470"/>
      <c r="H1480" s="470">
        <v>1473</v>
      </c>
      <c r="I1480" s="455">
        <f t="shared" ca="1" si="128"/>
        <v>-76536114.27474156</v>
      </c>
      <c r="J1480" s="455">
        <f t="array" ref="J1480">IFERROR(INDEX('Retirement Calculator'!J:J,MATCH('Isaac 401k'!N1480,'Retirement Calculator'!A:A,0),0),0)</f>
        <v>0</v>
      </c>
      <c r="K1480" s="455">
        <f t="shared" ca="1" si="126"/>
        <v>-318900.47614475648</v>
      </c>
      <c r="L1480" s="455">
        <f t="shared" ca="1" si="127"/>
        <v>-76855014.750886321</v>
      </c>
      <c r="M1480" s="471">
        <f t="shared" si="129"/>
        <v>0.05</v>
      </c>
      <c r="N1480" s="475">
        <f t="shared" si="130"/>
        <v>96092</v>
      </c>
    </row>
    <row r="1481" spans="7:14" ht="11.25" customHeight="1" x14ac:dyDescent="0.3">
      <c r="G1481" s="470"/>
      <c r="H1481" s="470">
        <v>1474</v>
      </c>
      <c r="I1481" s="455">
        <f t="shared" ca="1" si="128"/>
        <v>-76855014.750886321</v>
      </c>
      <c r="J1481" s="455">
        <f t="array" ref="J1481">IFERROR(INDEX('Retirement Calculator'!J:J,MATCH('Isaac 401k'!N1481,'Retirement Calculator'!A:A,0),0),0)</f>
        <v>0</v>
      </c>
      <c r="K1481" s="455">
        <f t="shared" ca="1" si="126"/>
        <v>-320229.22812869301</v>
      </c>
      <c r="L1481" s="455">
        <f t="shared" ca="1" si="127"/>
        <v>-77175243.979015008</v>
      </c>
      <c r="M1481" s="471">
        <f t="shared" si="129"/>
        <v>0.05</v>
      </c>
      <c r="N1481" s="475">
        <f t="shared" si="130"/>
        <v>96120</v>
      </c>
    </row>
    <row r="1482" spans="7:14" ht="11.25" customHeight="1" x14ac:dyDescent="0.3">
      <c r="G1482" s="470"/>
      <c r="H1482" s="470">
        <v>1475</v>
      </c>
      <c r="I1482" s="455">
        <f t="shared" ca="1" si="128"/>
        <v>-77175243.979015008</v>
      </c>
      <c r="J1482" s="455">
        <f t="array" ref="J1482">IFERROR(INDEX('Retirement Calculator'!J:J,MATCH('Isaac 401k'!N1482,'Retirement Calculator'!A:A,0),0),0)</f>
        <v>0</v>
      </c>
      <c r="K1482" s="455">
        <f t="shared" ca="1" si="126"/>
        <v>-321563.51657922921</v>
      </c>
      <c r="L1482" s="455">
        <f t="shared" ca="1" si="127"/>
        <v>-77496807.495594233</v>
      </c>
      <c r="M1482" s="471">
        <f t="shared" si="129"/>
        <v>0.05</v>
      </c>
      <c r="N1482" s="475">
        <f t="shared" si="130"/>
        <v>96151</v>
      </c>
    </row>
    <row r="1483" spans="7:14" ht="11.25" customHeight="1" x14ac:dyDescent="0.3">
      <c r="G1483" s="470"/>
      <c r="H1483" s="470">
        <v>1476</v>
      </c>
      <c r="I1483" s="455">
        <f t="shared" ca="1" si="128"/>
        <v>-77496807.495594233</v>
      </c>
      <c r="J1483" s="455">
        <f t="array" ref="J1483">IFERROR(INDEX('Retirement Calculator'!J:J,MATCH('Isaac 401k'!N1483,'Retirement Calculator'!A:A,0),0),0)</f>
        <v>0</v>
      </c>
      <c r="K1483" s="455">
        <f t="shared" ca="1" si="126"/>
        <v>-322903.36456497596</v>
      </c>
      <c r="L1483" s="455">
        <f t="shared" ca="1" si="127"/>
        <v>-77819710.860159203</v>
      </c>
      <c r="M1483" s="471">
        <f t="shared" si="129"/>
        <v>0.05</v>
      </c>
      <c r="N1483" s="475">
        <f t="shared" si="130"/>
        <v>96181</v>
      </c>
    </row>
    <row r="1484" spans="7:14" ht="11.25" customHeight="1" x14ac:dyDescent="0.3">
      <c r="G1484" s="470"/>
      <c r="H1484" s="470">
        <v>1477</v>
      </c>
      <c r="I1484" s="455">
        <f t="shared" ca="1" si="128"/>
        <v>-77819710.860159203</v>
      </c>
      <c r="J1484" s="455">
        <f t="array" ref="J1484">IFERROR(INDEX('Retirement Calculator'!J:J,MATCH('Isaac 401k'!N1484,'Retirement Calculator'!A:A,0),0),0)</f>
        <v>0</v>
      </c>
      <c r="K1484" s="455">
        <f t="shared" ca="1" si="126"/>
        <v>-324248.79525066336</v>
      </c>
      <c r="L1484" s="455">
        <f t="shared" ca="1" si="127"/>
        <v>-78143959.655409873</v>
      </c>
      <c r="M1484" s="471">
        <f t="shared" si="129"/>
        <v>0.05</v>
      </c>
      <c r="N1484" s="475">
        <f t="shared" si="130"/>
        <v>96212</v>
      </c>
    </row>
    <row r="1485" spans="7:14" ht="11.25" customHeight="1" x14ac:dyDescent="0.3">
      <c r="G1485" s="470"/>
      <c r="H1485" s="470">
        <v>1478</v>
      </c>
      <c r="I1485" s="455">
        <f t="shared" ca="1" si="128"/>
        <v>-78143959.655409873</v>
      </c>
      <c r="J1485" s="455">
        <f t="array" ref="J1485">IFERROR(INDEX('Retirement Calculator'!J:J,MATCH('Isaac 401k'!N1485,'Retirement Calculator'!A:A,0),0),0)</f>
        <v>0</v>
      </c>
      <c r="K1485" s="455">
        <f t="shared" ca="1" si="126"/>
        <v>-325599.83189754112</v>
      </c>
      <c r="L1485" s="455">
        <f t="shared" ca="1" si="127"/>
        <v>-78469559.487307414</v>
      </c>
      <c r="M1485" s="471">
        <f t="shared" si="129"/>
        <v>0.05</v>
      </c>
      <c r="N1485" s="475">
        <f t="shared" si="130"/>
        <v>96242</v>
      </c>
    </row>
    <row r="1486" spans="7:14" ht="11.25" customHeight="1" x14ac:dyDescent="0.3">
      <c r="G1486" s="470"/>
      <c r="H1486" s="470">
        <v>1479</v>
      </c>
      <c r="I1486" s="455">
        <f t="shared" ca="1" si="128"/>
        <v>-78469559.487307414</v>
      </c>
      <c r="J1486" s="455">
        <f t="array" ref="J1486">IFERROR(INDEX('Retirement Calculator'!J:J,MATCH('Isaac 401k'!N1486,'Retirement Calculator'!A:A,0),0),0)</f>
        <v>0</v>
      </c>
      <c r="K1486" s="455">
        <f t="shared" ca="1" si="126"/>
        <v>-326956.49786378088</v>
      </c>
      <c r="L1486" s="455">
        <f t="shared" ca="1" si="127"/>
        <v>-78796515.985171199</v>
      </c>
      <c r="M1486" s="471">
        <f t="shared" si="129"/>
        <v>0.05</v>
      </c>
      <c r="N1486" s="475">
        <f t="shared" si="130"/>
        <v>96273</v>
      </c>
    </row>
    <row r="1487" spans="7:14" ht="11.25" customHeight="1" x14ac:dyDescent="0.3">
      <c r="G1487" s="470"/>
      <c r="H1487" s="470">
        <v>1480</v>
      </c>
      <c r="I1487" s="455">
        <f t="shared" ca="1" si="128"/>
        <v>-78796515.985171199</v>
      </c>
      <c r="J1487" s="455">
        <f t="array" ref="J1487">IFERROR(INDEX('Retirement Calculator'!J:J,MATCH('Isaac 401k'!N1487,'Retirement Calculator'!A:A,0),0),0)</f>
        <v>0</v>
      </c>
      <c r="K1487" s="455">
        <f t="shared" ca="1" si="126"/>
        <v>-328318.81660487998</v>
      </c>
      <c r="L1487" s="455">
        <f t="shared" ca="1" si="127"/>
        <v>-79124834.801776081</v>
      </c>
      <c r="M1487" s="471">
        <f t="shared" si="129"/>
        <v>0.05</v>
      </c>
      <c r="N1487" s="475">
        <f t="shared" si="130"/>
        <v>96304</v>
      </c>
    </row>
    <row r="1488" spans="7:14" ht="11.25" customHeight="1" x14ac:dyDescent="0.3">
      <c r="G1488" s="470"/>
      <c r="H1488" s="470">
        <v>1481</v>
      </c>
      <c r="I1488" s="455">
        <f t="shared" ca="1" si="128"/>
        <v>-79124834.801776081</v>
      </c>
      <c r="J1488" s="455">
        <f t="array" ref="J1488">IFERROR(INDEX('Retirement Calculator'!J:J,MATCH('Isaac 401k'!N1488,'Retirement Calculator'!A:A,0),0),0)</f>
        <v>0</v>
      </c>
      <c r="K1488" s="455">
        <f t="shared" ca="1" si="126"/>
        <v>-329686.81167406699</v>
      </c>
      <c r="L1488" s="455">
        <f t="shared" ca="1" si="127"/>
        <v>-79454521.613450155</v>
      </c>
      <c r="M1488" s="471">
        <f t="shared" si="129"/>
        <v>0.05</v>
      </c>
      <c r="N1488" s="475">
        <f t="shared" si="130"/>
        <v>96334</v>
      </c>
    </row>
    <row r="1489" spans="7:14" ht="11.25" customHeight="1" x14ac:dyDescent="0.3">
      <c r="G1489" s="470"/>
      <c r="H1489" s="470">
        <v>1482</v>
      </c>
      <c r="I1489" s="455">
        <f t="shared" ca="1" si="128"/>
        <v>-79454521.613450155</v>
      </c>
      <c r="J1489" s="455">
        <f t="array" ref="J1489">IFERROR(INDEX('Retirement Calculator'!J:J,MATCH('Isaac 401k'!N1489,'Retirement Calculator'!A:A,0),0),0)</f>
        <v>0</v>
      </c>
      <c r="K1489" s="455">
        <f t="shared" ca="1" si="126"/>
        <v>-331060.50672270899</v>
      </c>
      <c r="L1489" s="455">
        <f t="shared" ca="1" si="127"/>
        <v>-79785582.120172858</v>
      </c>
      <c r="M1489" s="471">
        <f t="shared" si="129"/>
        <v>0.05</v>
      </c>
      <c r="N1489" s="475">
        <f t="shared" si="130"/>
        <v>96365</v>
      </c>
    </row>
    <row r="1490" spans="7:14" ht="11.25" customHeight="1" x14ac:dyDescent="0.3">
      <c r="G1490" s="470"/>
      <c r="H1490" s="470">
        <v>1483</v>
      </c>
      <c r="I1490" s="455">
        <f t="shared" ca="1" si="128"/>
        <v>-79785582.120172858</v>
      </c>
      <c r="J1490" s="455">
        <f t="array" ref="J1490">IFERROR(INDEX('Retirement Calculator'!J:J,MATCH('Isaac 401k'!N1490,'Retirement Calculator'!A:A,0),0),0)</f>
        <v>0</v>
      </c>
      <c r="K1490" s="455">
        <f t="shared" ca="1" si="126"/>
        <v>-332439.92550072022</v>
      </c>
      <c r="L1490" s="455">
        <f t="shared" ca="1" si="127"/>
        <v>-80118022.045673579</v>
      </c>
      <c r="M1490" s="471">
        <f t="shared" si="129"/>
        <v>0.05</v>
      </c>
      <c r="N1490" s="475">
        <f t="shared" si="130"/>
        <v>96395</v>
      </c>
    </row>
    <row r="1491" spans="7:14" ht="11.25" customHeight="1" x14ac:dyDescent="0.3">
      <c r="G1491" s="470"/>
      <c r="H1491" s="470">
        <v>1484</v>
      </c>
      <c r="I1491" s="455">
        <f t="shared" ca="1" si="128"/>
        <v>-80118022.045673579</v>
      </c>
      <c r="J1491" s="455">
        <f t="array" ref="J1491">IFERROR(INDEX('Retirement Calculator'!J:J,MATCH('Isaac 401k'!N1491,'Retirement Calculator'!A:A,0),0),0)</f>
        <v>0</v>
      </c>
      <c r="K1491" s="455">
        <f t="shared" ca="1" si="126"/>
        <v>-333825.09185697325</v>
      </c>
      <c r="L1491" s="455">
        <f t="shared" ca="1" si="127"/>
        <v>-80451847.13753055</v>
      </c>
      <c r="M1491" s="471">
        <f t="shared" si="129"/>
        <v>0.05</v>
      </c>
      <c r="N1491" s="475">
        <f t="shared" si="130"/>
        <v>96426</v>
      </c>
    </row>
    <row r="1492" spans="7:14" ht="11.25" customHeight="1" x14ac:dyDescent="0.3">
      <c r="G1492" s="470"/>
      <c r="H1492" s="470">
        <v>1485</v>
      </c>
      <c r="I1492" s="455">
        <f t="shared" ca="1" si="128"/>
        <v>-80451847.13753055</v>
      </c>
      <c r="J1492" s="455">
        <f t="array" ref="J1492">IFERROR(INDEX('Retirement Calculator'!J:J,MATCH('Isaac 401k'!N1492,'Retirement Calculator'!A:A,0),0),0)</f>
        <v>0</v>
      </c>
      <c r="K1492" s="455">
        <f t="shared" ca="1" si="126"/>
        <v>-335216.02973971062</v>
      </c>
      <c r="L1492" s="455">
        <f t="shared" ca="1" si="127"/>
        <v>-80787063.167270258</v>
      </c>
      <c r="M1492" s="471">
        <f t="shared" si="129"/>
        <v>0.05</v>
      </c>
      <c r="N1492" s="475">
        <f t="shared" si="130"/>
        <v>96457</v>
      </c>
    </row>
    <row r="1493" spans="7:14" ht="11.25" customHeight="1" x14ac:dyDescent="0.3">
      <c r="G1493" s="470"/>
      <c r="H1493" s="470">
        <v>1486</v>
      </c>
      <c r="I1493" s="455">
        <f t="shared" ca="1" si="128"/>
        <v>-80787063.167270258</v>
      </c>
      <c r="J1493" s="455">
        <f t="array" ref="J1493">IFERROR(INDEX('Retirement Calculator'!J:J,MATCH('Isaac 401k'!N1493,'Retirement Calculator'!A:A,0),0),0)</f>
        <v>0</v>
      </c>
      <c r="K1493" s="455">
        <f t="shared" ca="1" si="126"/>
        <v>-336612.76319695939</v>
      </c>
      <c r="L1493" s="455">
        <f t="shared" ca="1" si="127"/>
        <v>-81123675.930467218</v>
      </c>
      <c r="M1493" s="471">
        <f t="shared" si="129"/>
        <v>0.05</v>
      </c>
      <c r="N1493" s="475">
        <f t="shared" si="130"/>
        <v>96486</v>
      </c>
    </row>
    <row r="1494" spans="7:14" ht="11.25" customHeight="1" x14ac:dyDescent="0.3">
      <c r="G1494" s="470"/>
      <c r="H1494" s="470">
        <v>1487</v>
      </c>
      <c r="I1494" s="455">
        <f t="shared" ca="1" si="128"/>
        <v>-81123675.930467218</v>
      </c>
      <c r="J1494" s="455">
        <f t="array" ref="J1494">IFERROR(INDEX('Retirement Calculator'!J:J,MATCH('Isaac 401k'!N1494,'Retirement Calculator'!A:A,0),0),0)</f>
        <v>0</v>
      </c>
      <c r="K1494" s="455">
        <f t="shared" ca="1" si="126"/>
        <v>-338015.31637694675</v>
      </c>
      <c r="L1494" s="455">
        <f t="shared" ca="1" si="127"/>
        <v>-81461691.246844158</v>
      </c>
      <c r="M1494" s="471">
        <f t="shared" si="129"/>
        <v>0.05</v>
      </c>
      <c r="N1494" s="475">
        <f t="shared" si="130"/>
        <v>96517</v>
      </c>
    </row>
    <row r="1495" spans="7:14" ht="11.25" customHeight="1" x14ac:dyDescent="0.3">
      <c r="G1495" s="470"/>
      <c r="H1495" s="470">
        <v>1488</v>
      </c>
      <c r="I1495" s="455">
        <f t="shared" ca="1" si="128"/>
        <v>-81461691.246844158</v>
      </c>
      <c r="J1495" s="455">
        <f t="array" ref="J1495">IFERROR(INDEX('Retirement Calculator'!J:J,MATCH('Isaac 401k'!N1495,'Retirement Calculator'!A:A,0),0),0)</f>
        <v>0</v>
      </c>
      <c r="K1495" s="455">
        <f t="shared" ca="1" si="126"/>
        <v>-339423.71352851734</v>
      </c>
      <c r="L1495" s="455">
        <f t="shared" ca="1" si="127"/>
        <v>-81801114.960372671</v>
      </c>
      <c r="M1495" s="471">
        <f t="shared" si="129"/>
        <v>0.05</v>
      </c>
      <c r="N1495" s="475">
        <f t="shared" si="130"/>
        <v>96547</v>
      </c>
    </row>
    <row r="1496" spans="7:14" ht="11.25" customHeight="1" x14ac:dyDescent="0.3">
      <c r="G1496" s="470"/>
      <c r="H1496" s="470">
        <v>1489</v>
      </c>
      <c r="I1496" s="455">
        <f t="shared" ca="1" si="128"/>
        <v>-81801114.960372671</v>
      </c>
      <c r="J1496" s="455">
        <f t="array" ref="J1496">IFERROR(INDEX('Retirement Calculator'!J:J,MATCH('Isaac 401k'!N1496,'Retirement Calculator'!A:A,0),0),0)</f>
        <v>0</v>
      </c>
      <c r="K1496" s="455">
        <f t="shared" ca="1" si="126"/>
        <v>-340837.9790015528</v>
      </c>
      <c r="L1496" s="455">
        <f t="shared" ca="1" si="127"/>
        <v>-82141952.939374223</v>
      </c>
      <c r="M1496" s="471">
        <f t="shared" si="129"/>
        <v>0.05</v>
      </c>
      <c r="N1496" s="475">
        <f t="shared" si="130"/>
        <v>96578</v>
      </c>
    </row>
    <row r="1497" spans="7:14" ht="11.25" customHeight="1" x14ac:dyDescent="0.3">
      <c r="G1497" s="470"/>
      <c r="H1497" s="470">
        <v>1490</v>
      </c>
      <c r="I1497" s="455">
        <f t="shared" ca="1" si="128"/>
        <v>-82141952.939374223</v>
      </c>
      <c r="J1497" s="455">
        <f t="array" ref="J1497">IFERROR(INDEX('Retirement Calculator'!J:J,MATCH('Isaac 401k'!N1497,'Retirement Calculator'!A:A,0),0),0)</f>
        <v>0</v>
      </c>
      <c r="K1497" s="455">
        <f t="shared" ca="1" si="126"/>
        <v>-342258.13724739262</v>
      </c>
      <c r="L1497" s="455">
        <f t="shared" ca="1" si="127"/>
        <v>-82484211.076621622</v>
      </c>
      <c r="M1497" s="471">
        <f t="shared" si="129"/>
        <v>0.05</v>
      </c>
      <c r="N1497" s="475">
        <f t="shared" si="130"/>
        <v>96608</v>
      </c>
    </row>
    <row r="1498" spans="7:14" ht="11.25" customHeight="1" x14ac:dyDescent="0.3">
      <c r="G1498" s="470"/>
      <c r="H1498" s="470">
        <v>1491</v>
      </c>
      <c r="I1498" s="455">
        <f t="shared" ca="1" si="128"/>
        <v>-82484211.076621622</v>
      </c>
      <c r="J1498" s="455">
        <f t="array" ref="J1498">IFERROR(INDEX('Retirement Calculator'!J:J,MATCH('Isaac 401k'!N1498,'Retirement Calculator'!A:A,0),0),0)</f>
        <v>0</v>
      </c>
      <c r="K1498" s="455">
        <f t="shared" ca="1" si="126"/>
        <v>-343684.21281925676</v>
      </c>
      <c r="L1498" s="455">
        <f t="shared" ca="1" si="127"/>
        <v>-82827895.289440885</v>
      </c>
      <c r="M1498" s="471">
        <f t="shared" si="129"/>
        <v>0.05</v>
      </c>
      <c r="N1498" s="475">
        <f t="shared" si="130"/>
        <v>96639</v>
      </c>
    </row>
    <row r="1499" spans="7:14" ht="11.25" customHeight="1" x14ac:dyDescent="0.3">
      <c r="G1499" s="470"/>
      <c r="H1499" s="470">
        <v>1492</v>
      </c>
      <c r="I1499" s="455">
        <f t="shared" ca="1" si="128"/>
        <v>-82827895.289440885</v>
      </c>
      <c r="J1499" s="455">
        <f t="array" ref="J1499">IFERROR(INDEX('Retirement Calculator'!J:J,MATCH('Isaac 401k'!N1499,'Retirement Calculator'!A:A,0),0),0)</f>
        <v>0</v>
      </c>
      <c r="K1499" s="455">
        <f t="shared" ca="1" si="126"/>
        <v>-345116.23037267034</v>
      </c>
      <c r="L1499" s="455">
        <f t="shared" ca="1" si="127"/>
        <v>-83173011.519813552</v>
      </c>
      <c r="M1499" s="471">
        <f t="shared" si="129"/>
        <v>0.05</v>
      </c>
      <c r="N1499" s="475">
        <f t="shared" si="130"/>
        <v>96670</v>
      </c>
    </row>
    <row r="1500" spans="7:14" ht="11.25" customHeight="1" x14ac:dyDescent="0.3">
      <c r="G1500" s="470"/>
      <c r="H1500" s="470">
        <v>1493</v>
      </c>
      <c r="I1500" s="455">
        <f t="shared" ca="1" si="128"/>
        <v>-83173011.519813552</v>
      </c>
      <c r="J1500" s="455">
        <f t="array" ref="J1500">IFERROR(INDEX('Retirement Calculator'!J:J,MATCH('Isaac 401k'!N1500,'Retirement Calculator'!A:A,0),0),0)</f>
        <v>0</v>
      </c>
      <c r="K1500" s="455">
        <f t="shared" ca="1" si="126"/>
        <v>-346554.2146658898</v>
      </c>
      <c r="L1500" s="455">
        <f t="shared" ca="1" si="127"/>
        <v>-83519565.734479442</v>
      </c>
      <c r="M1500" s="471">
        <f t="shared" si="129"/>
        <v>0.05</v>
      </c>
      <c r="N1500" s="475">
        <f t="shared" si="130"/>
        <v>96700</v>
      </c>
    </row>
    <row r="1501" spans="7:14" ht="11.25" customHeight="1" x14ac:dyDescent="0.3">
      <c r="G1501" s="470"/>
      <c r="H1501" s="470">
        <v>1494</v>
      </c>
      <c r="I1501" s="455">
        <f t="shared" ca="1" si="128"/>
        <v>-83519565.734479442</v>
      </c>
      <c r="J1501" s="455">
        <f t="array" ref="J1501">IFERROR(INDEX('Retirement Calculator'!J:J,MATCH('Isaac 401k'!N1501,'Retirement Calculator'!A:A,0),0),0)</f>
        <v>0</v>
      </c>
      <c r="K1501" s="455">
        <f t="shared" ca="1" si="126"/>
        <v>-347998.19056033099</v>
      </c>
      <c r="L1501" s="455">
        <f t="shared" ca="1" si="127"/>
        <v>-83867563.925039768</v>
      </c>
      <c r="M1501" s="471">
        <f t="shared" si="129"/>
        <v>0.05</v>
      </c>
      <c r="N1501" s="475">
        <f t="shared" si="130"/>
        <v>96731</v>
      </c>
    </row>
    <row r="1502" spans="7:14" ht="11.25" customHeight="1" x14ac:dyDescent="0.3">
      <c r="G1502" s="470"/>
      <c r="H1502" s="470">
        <v>1495</v>
      </c>
      <c r="I1502" s="455">
        <f t="shared" ca="1" si="128"/>
        <v>-83867563.925039768</v>
      </c>
      <c r="J1502" s="455">
        <f t="array" ref="J1502">IFERROR(INDEX('Retirement Calculator'!J:J,MATCH('Isaac 401k'!N1502,'Retirement Calculator'!A:A,0),0),0)</f>
        <v>0</v>
      </c>
      <c r="K1502" s="455">
        <f t="shared" ca="1" si="126"/>
        <v>-349448.18302099901</v>
      </c>
      <c r="L1502" s="455">
        <f t="shared" ca="1" si="127"/>
        <v>-84217012.108060762</v>
      </c>
      <c r="M1502" s="471">
        <f t="shared" si="129"/>
        <v>0.05</v>
      </c>
      <c r="N1502" s="475">
        <f t="shared" si="130"/>
        <v>96761</v>
      </c>
    </row>
    <row r="1503" spans="7:14" ht="11.25" customHeight="1" x14ac:dyDescent="0.3">
      <c r="G1503" s="470"/>
      <c r="H1503" s="470">
        <v>1496</v>
      </c>
      <c r="I1503" s="455">
        <f t="shared" ca="1" si="128"/>
        <v>-84217012.108060762</v>
      </c>
      <c r="J1503" s="455">
        <f t="array" ref="J1503">IFERROR(INDEX('Retirement Calculator'!J:J,MATCH('Isaac 401k'!N1503,'Retirement Calculator'!A:A,0),0),0)</f>
        <v>0</v>
      </c>
      <c r="K1503" s="455">
        <f t="shared" ca="1" si="126"/>
        <v>-350904.21711691981</v>
      </c>
      <c r="L1503" s="455">
        <f t="shared" ca="1" si="127"/>
        <v>-84567916.325177684</v>
      </c>
      <c r="M1503" s="471">
        <f t="shared" si="129"/>
        <v>0.05</v>
      </c>
      <c r="N1503" s="475">
        <f t="shared" si="130"/>
        <v>96792</v>
      </c>
    </row>
    <row r="1504" spans="7:14" ht="11.25" customHeight="1" x14ac:dyDescent="0.3">
      <c r="G1504" s="470"/>
      <c r="H1504" s="470">
        <v>1497</v>
      </c>
      <c r="I1504" s="455">
        <f t="shared" ca="1" si="128"/>
        <v>-84567916.325177684</v>
      </c>
      <c r="J1504" s="455">
        <f t="array" ref="J1504">IFERROR(INDEX('Retirement Calculator'!J:J,MATCH('Isaac 401k'!N1504,'Retirement Calculator'!A:A,0),0),0)</f>
        <v>0</v>
      </c>
      <c r="K1504" s="455">
        <f t="shared" ca="1" si="126"/>
        <v>-352366.31802157371</v>
      </c>
      <c r="L1504" s="455">
        <f t="shared" ca="1" si="127"/>
        <v>-84920282.643199265</v>
      </c>
      <c r="M1504" s="471">
        <f t="shared" si="129"/>
        <v>0.05</v>
      </c>
      <c r="N1504" s="475">
        <f t="shared" si="130"/>
        <v>96823</v>
      </c>
    </row>
    <row r="1505" spans="7:14" ht="11.25" customHeight="1" x14ac:dyDescent="0.3">
      <c r="G1505" s="470"/>
      <c r="H1505" s="470">
        <v>1498</v>
      </c>
      <c r="I1505" s="455">
        <f t="shared" ca="1" si="128"/>
        <v>-84920282.643199265</v>
      </c>
      <c r="J1505" s="455">
        <f t="array" ref="J1505">IFERROR(INDEX('Retirement Calculator'!J:J,MATCH('Isaac 401k'!N1505,'Retirement Calculator'!A:A,0),0),0)</f>
        <v>0</v>
      </c>
      <c r="K1505" s="455">
        <f t="shared" ca="1" si="126"/>
        <v>-353834.51101333025</v>
      </c>
      <c r="L1505" s="455">
        <f t="shared" ca="1" si="127"/>
        <v>-85274117.154212594</v>
      </c>
      <c r="M1505" s="471">
        <f t="shared" si="129"/>
        <v>0.05</v>
      </c>
      <c r="N1505" s="475">
        <f t="shared" si="130"/>
        <v>96851</v>
      </c>
    </row>
    <row r="1506" spans="7:14" ht="11.25" customHeight="1" x14ac:dyDescent="0.3">
      <c r="G1506" s="470"/>
      <c r="H1506" s="470">
        <v>1499</v>
      </c>
      <c r="I1506" s="455">
        <f t="shared" ca="1" si="128"/>
        <v>-85274117.154212594</v>
      </c>
      <c r="J1506" s="455">
        <f t="array" ref="J1506">IFERROR(INDEX('Retirement Calculator'!J:J,MATCH('Isaac 401k'!N1506,'Retirement Calculator'!A:A,0),0),0)</f>
        <v>0</v>
      </c>
      <c r="K1506" s="455">
        <f t="shared" ca="1" si="126"/>
        <v>-355308.82147588581</v>
      </c>
      <c r="L1506" s="455">
        <f t="shared" ca="1" si="127"/>
        <v>-85629425.975688487</v>
      </c>
      <c r="M1506" s="471">
        <f t="shared" si="129"/>
        <v>0.05</v>
      </c>
      <c r="N1506" s="475">
        <f t="shared" si="130"/>
        <v>96882</v>
      </c>
    </row>
    <row r="1507" spans="7:14" ht="11.25" customHeight="1" x14ac:dyDescent="0.3">
      <c r="G1507" s="470"/>
      <c r="H1507" s="470">
        <v>1500</v>
      </c>
      <c r="I1507" s="455">
        <f t="shared" ca="1" si="128"/>
        <v>-85629425.975688487</v>
      </c>
      <c r="J1507" s="455">
        <f t="array" ref="J1507">IFERROR(INDEX('Retirement Calculator'!J:J,MATCH('Isaac 401k'!N1507,'Retirement Calculator'!A:A,0),0),0)</f>
        <v>0</v>
      </c>
      <c r="K1507" s="455">
        <f t="shared" ca="1" si="126"/>
        <v>-356789.27489870205</v>
      </c>
      <c r="L1507" s="455">
        <f t="shared" ca="1" si="127"/>
        <v>-85986215.250587195</v>
      </c>
      <c r="M1507" s="471">
        <f t="shared" si="129"/>
        <v>0.05</v>
      </c>
      <c r="N1507" s="475">
        <f t="shared" si="130"/>
        <v>96912</v>
      </c>
    </row>
    <row r="1508" spans="7:14" ht="11.25" customHeight="1" x14ac:dyDescent="0.3">
      <c r="G1508" s="470"/>
      <c r="H1508" s="470">
        <v>1501</v>
      </c>
      <c r="I1508" s="455">
        <f t="shared" ca="1" si="128"/>
        <v>-85986215.250587195</v>
      </c>
      <c r="J1508" s="455">
        <f t="array" ref="J1508">IFERROR(INDEX('Retirement Calculator'!J:J,MATCH('Isaac 401k'!N1508,'Retirement Calculator'!A:A,0),0),0)</f>
        <v>0</v>
      </c>
      <c r="K1508" s="455">
        <f t="shared" ca="1" si="126"/>
        <v>-358275.89687744662</v>
      </c>
      <c r="L1508" s="455">
        <f t="shared" ca="1" si="127"/>
        <v>-86344491.147464648</v>
      </c>
      <c r="M1508" s="471">
        <f t="shared" si="129"/>
        <v>0.05</v>
      </c>
      <c r="N1508" s="475">
        <f t="shared" si="130"/>
        <v>96943</v>
      </c>
    </row>
    <row r="1509" spans="7:14" ht="11.25" customHeight="1" x14ac:dyDescent="0.3">
      <c r="G1509" s="470"/>
      <c r="H1509" s="470">
        <v>1502</v>
      </c>
      <c r="I1509" s="455">
        <f t="shared" ca="1" si="128"/>
        <v>-86344491.147464648</v>
      </c>
      <c r="J1509" s="455">
        <f t="array" ref="J1509">IFERROR(INDEX('Retirement Calculator'!J:J,MATCH('Isaac 401k'!N1509,'Retirement Calculator'!A:A,0),0),0)</f>
        <v>0</v>
      </c>
      <c r="K1509" s="455">
        <f t="shared" ca="1" si="126"/>
        <v>-359768.71311443602</v>
      </c>
      <c r="L1509" s="455">
        <f t="shared" ca="1" si="127"/>
        <v>-86704259.860579088</v>
      </c>
      <c r="M1509" s="471">
        <f t="shared" si="129"/>
        <v>0.05</v>
      </c>
      <c r="N1509" s="475">
        <f t="shared" si="130"/>
        <v>96973</v>
      </c>
    </row>
    <row r="1510" spans="7:14" ht="11.25" customHeight="1" x14ac:dyDescent="0.3">
      <c r="G1510" s="470"/>
      <c r="H1510" s="470">
        <v>1503</v>
      </c>
      <c r="I1510" s="455">
        <f t="shared" ca="1" si="128"/>
        <v>-86704259.860579088</v>
      </c>
      <c r="J1510" s="455">
        <f t="array" ref="J1510">IFERROR(INDEX('Retirement Calculator'!J:J,MATCH('Isaac 401k'!N1510,'Retirement Calculator'!A:A,0),0),0)</f>
        <v>0</v>
      </c>
      <c r="K1510" s="455">
        <f t="shared" ca="1" si="126"/>
        <v>-361267.74941907951</v>
      </c>
      <c r="L1510" s="455">
        <f t="shared" ca="1" si="127"/>
        <v>-87065527.609998167</v>
      </c>
      <c r="M1510" s="471">
        <f t="shared" si="129"/>
        <v>0.05</v>
      </c>
      <c r="N1510" s="475">
        <f t="shared" si="130"/>
        <v>97004</v>
      </c>
    </row>
    <row r="1511" spans="7:14" ht="11.25" customHeight="1" x14ac:dyDescent="0.3">
      <c r="G1511" s="470"/>
      <c r="H1511" s="470">
        <v>1504</v>
      </c>
      <c r="I1511" s="455">
        <f t="shared" ca="1" si="128"/>
        <v>-87065527.609998167</v>
      </c>
      <c r="J1511" s="455">
        <f t="array" ref="J1511">IFERROR(INDEX('Retirement Calculator'!J:J,MATCH('Isaac 401k'!N1511,'Retirement Calculator'!A:A,0),0),0)</f>
        <v>0</v>
      </c>
      <c r="K1511" s="455">
        <f t="shared" ca="1" si="126"/>
        <v>-362773.03170832567</v>
      </c>
      <c r="L1511" s="455">
        <f t="shared" ca="1" si="127"/>
        <v>-87428300.641706496</v>
      </c>
      <c r="M1511" s="471">
        <f t="shared" si="129"/>
        <v>0.05</v>
      </c>
      <c r="N1511" s="475">
        <f t="shared" si="130"/>
        <v>97035</v>
      </c>
    </row>
    <row r="1512" spans="7:14" ht="11.25" customHeight="1" x14ac:dyDescent="0.3">
      <c r="G1512" s="470"/>
      <c r="H1512" s="470">
        <v>1505</v>
      </c>
      <c r="I1512" s="455">
        <f t="shared" ca="1" si="128"/>
        <v>-87428300.641706496</v>
      </c>
      <c r="J1512" s="455">
        <f t="array" ref="J1512">IFERROR(INDEX('Retirement Calculator'!J:J,MATCH('Isaac 401k'!N1512,'Retirement Calculator'!A:A,0),0),0)</f>
        <v>0</v>
      </c>
      <c r="K1512" s="455">
        <f t="shared" ca="1" si="126"/>
        <v>-364284.58600711043</v>
      </c>
      <c r="L1512" s="455">
        <f t="shared" ca="1" si="127"/>
        <v>-87792585.2277136</v>
      </c>
      <c r="M1512" s="471">
        <f t="shared" si="129"/>
        <v>0.05</v>
      </c>
      <c r="N1512" s="475">
        <f t="shared" si="130"/>
        <v>97065</v>
      </c>
    </row>
    <row r="1513" spans="7:14" ht="11.25" customHeight="1" x14ac:dyDescent="0.3">
      <c r="G1513" s="470"/>
      <c r="H1513" s="470">
        <v>1506</v>
      </c>
      <c r="I1513" s="455">
        <f t="shared" ca="1" si="128"/>
        <v>-87792585.2277136</v>
      </c>
      <c r="J1513" s="455">
        <f t="array" ref="J1513">IFERROR(INDEX('Retirement Calculator'!J:J,MATCH('Isaac 401k'!N1513,'Retirement Calculator'!A:A,0),0),0)</f>
        <v>0</v>
      </c>
      <c r="K1513" s="455">
        <f t="shared" ca="1" si="126"/>
        <v>-365802.43844880664</v>
      </c>
      <c r="L1513" s="455">
        <f t="shared" ca="1" si="127"/>
        <v>-88158387.666162401</v>
      </c>
      <c r="M1513" s="471">
        <f t="shared" si="129"/>
        <v>0.05</v>
      </c>
      <c r="N1513" s="475">
        <f t="shared" si="130"/>
        <v>97096</v>
      </c>
    </row>
    <row r="1514" spans="7:14" ht="11.25" customHeight="1" x14ac:dyDescent="0.3">
      <c r="G1514" s="470"/>
      <c r="H1514" s="470">
        <v>1507</v>
      </c>
      <c r="I1514" s="455">
        <f t="shared" ca="1" si="128"/>
        <v>-88158387.666162401</v>
      </c>
      <c r="J1514" s="455">
        <f t="array" ref="J1514">IFERROR(INDEX('Retirement Calculator'!J:J,MATCH('Isaac 401k'!N1514,'Retirement Calculator'!A:A,0),0),0)</f>
        <v>0</v>
      </c>
      <c r="K1514" s="455">
        <f t="shared" ca="1" si="126"/>
        <v>-367326.61527567665</v>
      </c>
      <c r="L1514" s="455">
        <f t="shared" ca="1" si="127"/>
        <v>-88525714.281438082</v>
      </c>
      <c r="M1514" s="471">
        <f t="shared" si="129"/>
        <v>0.05</v>
      </c>
      <c r="N1514" s="475">
        <f t="shared" si="130"/>
        <v>97126</v>
      </c>
    </row>
    <row r="1515" spans="7:14" ht="11.25" customHeight="1" x14ac:dyDescent="0.3">
      <c r="G1515" s="470"/>
      <c r="H1515" s="470">
        <v>1508</v>
      </c>
      <c r="I1515" s="455">
        <f t="shared" ca="1" si="128"/>
        <v>-88525714.281438082</v>
      </c>
      <c r="J1515" s="455">
        <f t="array" ref="J1515">IFERROR(INDEX('Retirement Calculator'!J:J,MATCH('Isaac 401k'!N1515,'Retirement Calculator'!A:A,0),0),0)</f>
        <v>0</v>
      </c>
      <c r="K1515" s="455">
        <f t="shared" ca="1" si="126"/>
        <v>-368857.14283932536</v>
      </c>
      <c r="L1515" s="455">
        <f t="shared" ca="1" si="127"/>
        <v>-88894571.42427741</v>
      </c>
      <c r="M1515" s="471">
        <f t="shared" si="129"/>
        <v>0.05</v>
      </c>
      <c r="N1515" s="475">
        <f t="shared" si="130"/>
        <v>97157</v>
      </c>
    </row>
    <row r="1516" spans="7:14" ht="11.25" customHeight="1" x14ac:dyDescent="0.3">
      <c r="G1516" s="470"/>
      <c r="H1516" s="470">
        <v>1509</v>
      </c>
      <c r="I1516" s="455">
        <f t="shared" ca="1" si="128"/>
        <v>-88894571.42427741</v>
      </c>
      <c r="J1516" s="455">
        <f t="array" ref="J1516">IFERROR(INDEX('Retirement Calculator'!J:J,MATCH('Isaac 401k'!N1516,'Retirement Calculator'!A:A,0),0),0)</f>
        <v>0</v>
      </c>
      <c r="K1516" s="455">
        <f t="shared" ca="1" si="126"/>
        <v>-370394.04760115588</v>
      </c>
      <c r="L1516" s="455">
        <f t="shared" ca="1" si="127"/>
        <v>-89264965.471878558</v>
      </c>
      <c r="M1516" s="471">
        <f t="shared" si="129"/>
        <v>0.05</v>
      </c>
      <c r="N1516" s="475">
        <f t="shared" si="130"/>
        <v>97188</v>
      </c>
    </row>
    <row r="1517" spans="7:14" ht="11.25" customHeight="1" x14ac:dyDescent="0.3">
      <c r="G1517" s="470"/>
      <c r="H1517" s="470">
        <v>1510</v>
      </c>
      <c r="I1517" s="455">
        <f t="shared" ca="1" si="128"/>
        <v>-89264965.471878558</v>
      </c>
      <c r="J1517" s="455">
        <f t="array" ref="J1517">IFERROR(INDEX('Retirement Calculator'!J:J,MATCH('Isaac 401k'!N1517,'Retirement Calculator'!A:A,0),0),0)</f>
        <v>0</v>
      </c>
      <c r="K1517" s="455">
        <f t="shared" ca="1" si="126"/>
        <v>-371937.35613282735</v>
      </c>
      <c r="L1517" s="455">
        <f t="shared" ca="1" si="127"/>
        <v>-89636902.828011379</v>
      </c>
      <c r="M1517" s="471">
        <f t="shared" si="129"/>
        <v>0.05</v>
      </c>
      <c r="N1517" s="475">
        <f t="shared" si="130"/>
        <v>97216</v>
      </c>
    </row>
    <row r="1518" spans="7:14" ht="11.25" customHeight="1" x14ac:dyDescent="0.3">
      <c r="G1518" s="470"/>
      <c r="H1518" s="470">
        <v>1511</v>
      </c>
      <c r="I1518" s="455">
        <f t="shared" ca="1" si="128"/>
        <v>-89636902.828011379</v>
      </c>
      <c r="J1518" s="455">
        <f t="array" ref="J1518">IFERROR(INDEX('Retirement Calculator'!J:J,MATCH('Isaac 401k'!N1518,'Retirement Calculator'!A:A,0),0),0)</f>
        <v>0</v>
      </c>
      <c r="K1518" s="455">
        <f t="shared" ca="1" si="126"/>
        <v>-373487.09511671407</v>
      </c>
      <c r="L1518" s="455">
        <f t="shared" ca="1" si="127"/>
        <v>-90010389.923128098</v>
      </c>
      <c r="M1518" s="471">
        <f t="shared" si="129"/>
        <v>0.05</v>
      </c>
      <c r="N1518" s="475">
        <f t="shared" si="130"/>
        <v>97247</v>
      </c>
    </row>
    <row r="1519" spans="7:14" ht="11.25" customHeight="1" x14ac:dyDescent="0.3">
      <c r="G1519" s="470"/>
      <c r="H1519" s="470">
        <v>1512</v>
      </c>
      <c r="I1519" s="455">
        <f t="shared" ca="1" si="128"/>
        <v>-90010389.923128098</v>
      </c>
      <c r="J1519" s="455">
        <f t="array" ref="J1519">IFERROR(INDEX('Retirement Calculator'!J:J,MATCH('Isaac 401k'!N1519,'Retirement Calculator'!A:A,0),0),0)</f>
        <v>0</v>
      </c>
      <c r="K1519" s="455">
        <f t="shared" ca="1" si="126"/>
        <v>-375043.2913463671</v>
      </c>
      <c r="L1519" s="455">
        <f t="shared" ca="1" si="127"/>
        <v>-90385433.214474469</v>
      </c>
      <c r="M1519" s="471">
        <f t="shared" si="129"/>
        <v>0.05</v>
      </c>
      <c r="N1519" s="475">
        <f t="shared" si="130"/>
        <v>97277</v>
      </c>
    </row>
    <row r="1520" spans="7:14" ht="11.25" customHeight="1" x14ac:dyDescent="0.3">
      <c r="G1520" s="470"/>
      <c r="H1520" s="470">
        <v>1513</v>
      </c>
      <c r="I1520" s="455">
        <f t="shared" ca="1" si="128"/>
        <v>-90385433.214474469</v>
      </c>
      <c r="J1520" s="455">
        <f t="array" ref="J1520">IFERROR(INDEX('Retirement Calculator'!J:J,MATCH('Isaac 401k'!N1520,'Retirement Calculator'!A:A,0),0),0)</f>
        <v>0</v>
      </c>
      <c r="K1520" s="455">
        <f t="shared" ca="1" si="126"/>
        <v>-376605.97172697698</v>
      </c>
      <c r="L1520" s="455">
        <f t="shared" ca="1" si="127"/>
        <v>-90762039.186201453</v>
      </c>
      <c r="M1520" s="471">
        <f t="shared" si="129"/>
        <v>0.05</v>
      </c>
      <c r="N1520" s="475">
        <f t="shared" si="130"/>
        <v>97308</v>
      </c>
    </row>
    <row r="1521" spans="7:14" ht="11.25" customHeight="1" x14ac:dyDescent="0.3">
      <c r="G1521" s="470"/>
      <c r="H1521" s="470">
        <v>1514</v>
      </c>
      <c r="I1521" s="455">
        <f t="shared" ca="1" si="128"/>
        <v>-90762039.186201453</v>
      </c>
      <c r="J1521" s="455">
        <f t="array" ref="J1521">IFERROR(INDEX('Retirement Calculator'!J:J,MATCH('Isaac 401k'!N1521,'Retirement Calculator'!A:A,0),0),0)</f>
        <v>0</v>
      </c>
      <c r="K1521" s="455">
        <f t="shared" ca="1" si="126"/>
        <v>-378175.16327583941</v>
      </c>
      <c r="L1521" s="455">
        <f t="shared" ca="1" si="127"/>
        <v>-91140214.349477291</v>
      </c>
      <c r="M1521" s="471">
        <f t="shared" si="129"/>
        <v>0.05</v>
      </c>
      <c r="N1521" s="475">
        <f t="shared" si="130"/>
        <v>97338</v>
      </c>
    </row>
    <row r="1522" spans="7:14" ht="11.25" customHeight="1" x14ac:dyDescent="0.3">
      <c r="G1522" s="470"/>
      <c r="H1522" s="470">
        <v>1515</v>
      </c>
      <c r="I1522" s="455">
        <f t="shared" ca="1" si="128"/>
        <v>-91140214.349477291</v>
      </c>
      <c r="J1522" s="455">
        <f t="array" ref="J1522">IFERROR(INDEX('Retirement Calculator'!J:J,MATCH('Isaac 401k'!N1522,'Retirement Calculator'!A:A,0),0),0)</f>
        <v>0</v>
      </c>
      <c r="K1522" s="455">
        <f t="shared" ca="1" si="126"/>
        <v>-379750.89312282205</v>
      </c>
      <c r="L1522" s="455">
        <f t="shared" ca="1" si="127"/>
        <v>-91519965.242600113</v>
      </c>
      <c r="M1522" s="471">
        <f t="shared" si="129"/>
        <v>0.05</v>
      </c>
      <c r="N1522" s="475">
        <f t="shared" si="130"/>
        <v>97369</v>
      </c>
    </row>
    <row r="1523" spans="7:14" ht="11.25" customHeight="1" x14ac:dyDescent="0.3">
      <c r="G1523" s="470"/>
      <c r="H1523" s="470">
        <v>1516</v>
      </c>
      <c r="I1523" s="455">
        <f t="shared" ca="1" si="128"/>
        <v>-91519965.242600113</v>
      </c>
      <c r="J1523" s="455">
        <f t="array" ref="J1523">IFERROR(INDEX('Retirement Calculator'!J:J,MATCH('Isaac 401k'!N1523,'Retirement Calculator'!A:A,0),0),0)</f>
        <v>0</v>
      </c>
      <c r="K1523" s="455">
        <f t="shared" ca="1" si="126"/>
        <v>-381333.18851083377</v>
      </c>
      <c r="L1523" s="455">
        <f t="shared" ca="1" si="127"/>
        <v>-91901298.431110948</v>
      </c>
      <c r="M1523" s="471">
        <f t="shared" si="129"/>
        <v>0.05</v>
      </c>
      <c r="N1523" s="475">
        <f t="shared" si="130"/>
        <v>97400</v>
      </c>
    </row>
    <row r="1524" spans="7:14" ht="11.25" customHeight="1" x14ac:dyDescent="0.3">
      <c r="G1524" s="470"/>
      <c r="H1524" s="470">
        <v>1517</v>
      </c>
      <c r="I1524" s="455">
        <f t="shared" ca="1" si="128"/>
        <v>-91901298.431110948</v>
      </c>
      <c r="J1524" s="455">
        <f t="array" ref="J1524">IFERROR(INDEX('Retirement Calculator'!J:J,MATCH('Isaac 401k'!N1524,'Retirement Calculator'!A:A,0),0),0)</f>
        <v>0</v>
      </c>
      <c r="K1524" s="455">
        <f t="shared" ca="1" si="126"/>
        <v>-382922.07679629559</v>
      </c>
      <c r="L1524" s="455">
        <f t="shared" ca="1" si="127"/>
        <v>-92284220.507907242</v>
      </c>
      <c r="M1524" s="471">
        <f t="shared" si="129"/>
        <v>0.05</v>
      </c>
      <c r="N1524" s="475">
        <f t="shared" si="130"/>
        <v>97430</v>
      </c>
    </row>
    <row r="1525" spans="7:14" ht="11.25" customHeight="1" x14ac:dyDescent="0.3">
      <c r="G1525" s="470"/>
      <c r="H1525" s="470">
        <v>1518</v>
      </c>
      <c r="I1525" s="455">
        <f t="shared" ca="1" si="128"/>
        <v>-92284220.507907242</v>
      </c>
      <c r="J1525" s="455">
        <f t="array" ref="J1525">IFERROR(INDEX('Retirement Calculator'!J:J,MATCH('Isaac 401k'!N1525,'Retirement Calculator'!A:A,0),0),0)</f>
        <v>0</v>
      </c>
      <c r="K1525" s="455">
        <f t="shared" ca="1" si="126"/>
        <v>-384517.58544961351</v>
      </c>
      <c r="L1525" s="455">
        <f t="shared" ca="1" si="127"/>
        <v>-92668738.093356848</v>
      </c>
      <c r="M1525" s="471">
        <f t="shared" si="129"/>
        <v>0.05</v>
      </c>
      <c r="N1525" s="475">
        <f t="shared" si="130"/>
        <v>97461</v>
      </c>
    </row>
    <row r="1526" spans="7:14" ht="11.25" customHeight="1" x14ac:dyDescent="0.3">
      <c r="G1526" s="470"/>
      <c r="H1526" s="470">
        <v>1519</v>
      </c>
      <c r="I1526" s="455">
        <f t="shared" ca="1" si="128"/>
        <v>-92668738.093356848</v>
      </c>
      <c r="J1526" s="455">
        <f t="array" ref="J1526">IFERROR(INDEX('Retirement Calculator'!J:J,MATCH('Isaac 401k'!N1526,'Retirement Calculator'!A:A,0),0),0)</f>
        <v>0</v>
      </c>
      <c r="K1526" s="455">
        <f t="shared" ca="1" si="126"/>
        <v>-386119.74205565354</v>
      </c>
      <c r="L1526" s="455">
        <f t="shared" ca="1" si="127"/>
        <v>-93054857.835412502</v>
      </c>
      <c r="M1526" s="471">
        <f t="shared" si="129"/>
        <v>0.05</v>
      </c>
      <c r="N1526" s="475">
        <f t="shared" si="130"/>
        <v>97491</v>
      </c>
    </row>
    <row r="1527" spans="7:14" ht="11.25" customHeight="1" x14ac:dyDescent="0.3">
      <c r="G1527" s="470"/>
      <c r="H1527" s="470">
        <v>1520</v>
      </c>
      <c r="I1527" s="455">
        <f t="shared" ca="1" si="128"/>
        <v>-93054857.835412502</v>
      </c>
      <c r="J1527" s="455">
        <f t="array" ref="J1527">IFERROR(INDEX('Retirement Calculator'!J:J,MATCH('Isaac 401k'!N1527,'Retirement Calculator'!A:A,0),0),0)</f>
        <v>0</v>
      </c>
      <c r="K1527" s="455">
        <f t="shared" ca="1" si="126"/>
        <v>-387728.57431421877</v>
      </c>
      <c r="L1527" s="455">
        <f t="shared" ca="1" si="127"/>
        <v>-93442586.409726724</v>
      </c>
      <c r="M1527" s="471">
        <f t="shared" si="129"/>
        <v>0.05</v>
      </c>
      <c r="N1527" s="475">
        <f t="shared" si="130"/>
        <v>97522</v>
      </c>
    </row>
    <row r="1528" spans="7:14" ht="11.25" customHeight="1" x14ac:dyDescent="0.3">
      <c r="G1528" s="470"/>
      <c r="H1528" s="470">
        <v>1521</v>
      </c>
      <c r="I1528" s="455">
        <f t="shared" ca="1" si="128"/>
        <v>-93442586.409726724</v>
      </c>
      <c r="J1528" s="455">
        <f t="array" ref="J1528">IFERROR(INDEX('Retirement Calculator'!J:J,MATCH('Isaac 401k'!N1528,'Retirement Calculator'!A:A,0),0),0)</f>
        <v>0</v>
      </c>
      <c r="K1528" s="455">
        <f t="shared" ca="1" si="126"/>
        <v>-389344.110040528</v>
      </c>
      <c r="L1528" s="455">
        <f t="shared" ca="1" si="127"/>
        <v>-93831930.519767255</v>
      </c>
      <c r="M1528" s="471">
        <f t="shared" si="129"/>
        <v>0.05</v>
      </c>
      <c r="N1528" s="475">
        <f t="shared" si="130"/>
        <v>97553</v>
      </c>
    </row>
    <row r="1529" spans="7:14" ht="11.25" customHeight="1" x14ac:dyDescent="0.3">
      <c r="G1529" s="470"/>
      <c r="H1529" s="470">
        <v>1522</v>
      </c>
      <c r="I1529" s="455">
        <f t="shared" ca="1" si="128"/>
        <v>-93831930.519767255</v>
      </c>
      <c r="J1529" s="455">
        <f t="array" ref="J1529">IFERROR(INDEX('Retirement Calculator'!J:J,MATCH('Isaac 401k'!N1529,'Retirement Calculator'!A:A,0),0),0)</f>
        <v>0</v>
      </c>
      <c r="K1529" s="455">
        <f t="shared" ca="1" si="126"/>
        <v>-390966.37716569687</v>
      </c>
      <c r="L1529" s="455">
        <f t="shared" ca="1" si="127"/>
        <v>-94222896.896932945</v>
      </c>
      <c r="M1529" s="471">
        <f t="shared" si="129"/>
        <v>0.05</v>
      </c>
      <c r="N1529" s="475">
        <f t="shared" si="130"/>
        <v>97581</v>
      </c>
    </row>
    <row r="1530" spans="7:14" ht="11.25" customHeight="1" x14ac:dyDescent="0.3">
      <c r="G1530" s="470"/>
      <c r="H1530" s="470">
        <v>1523</v>
      </c>
      <c r="I1530" s="455">
        <f t="shared" ca="1" si="128"/>
        <v>-94222896.896932945</v>
      </c>
      <c r="J1530" s="455">
        <f t="array" ref="J1530">IFERROR(INDEX('Retirement Calculator'!J:J,MATCH('Isaac 401k'!N1530,'Retirement Calculator'!A:A,0),0),0)</f>
        <v>0</v>
      </c>
      <c r="K1530" s="455">
        <f t="shared" ca="1" si="126"/>
        <v>-392595.40373722062</v>
      </c>
      <c r="L1530" s="455">
        <f t="shared" ca="1" si="127"/>
        <v>-94615492.300670162</v>
      </c>
      <c r="M1530" s="471">
        <f t="shared" si="129"/>
        <v>0.05</v>
      </c>
      <c r="N1530" s="475">
        <f t="shared" si="130"/>
        <v>97612</v>
      </c>
    </row>
    <row r="1531" spans="7:14" ht="11.25" customHeight="1" x14ac:dyDescent="0.3">
      <c r="G1531" s="470"/>
      <c r="H1531" s="470">
        <v>1524</v>
      </c>
      <c r="I1531" s="455">
        <f t="shared" ca="1" si="128"/>
        <v>-94615492.300670162</v>
      </c>
      <c r="J1531" s="455">
        <f t="array" ref="J1531">IFERROR(INDEX('Retirement Calculator'!J:J,MATCH('Isaac 401k'!N1531,'Retirement Calculator'!A:A,0),0),0)</f>
        <v>0</v>
      </c>
      <c r="K1531" s="455">
        <f t="shared" ca="1" si="126"/>
        <v>-394231.21791945898</v>
      </c>
      <c r="L1531" s="455">
        <f t="shared" ca="1" si="127"/>
        <v>-95009723.518589616</v>
      </c>
      <c r="M1531" s="471">
        <f t="shared" si="129"/>
        <v>0.05</v>
      </c>
      <c r="N1531" s="475">
        <f t="shared" si="130"/>
        <v>97642</v>
      </c>
    </row>
    <row r="1532" spans="7:14" ht="11.25" customHeight="1" x14ac:dyDescent="0.3">
      <c r="G1532" s="470"/>
      <c r="H1532" s="470">
        <v>1525</v>
      </c>
      <c r="I1532" s="455">
        <f t="shared" ca="1" si="128"/>
        <v>-95009723.518589616</v>
      </c>
      <c r="J1532" s="455">
        <f t="array" ref="J1532">IFERROR(INDEX('Retirement Calculator'!J:J,MATCH('Isaac 401k'!N1532,'Retirement Calculator'!A:A,0),0),0)</f>
        <v>0</v>
      </c>
      <c r="K1532" s="455">
        <f t="shared" ca="1" si="126"/>
        <v>-395873.84799412341</v>
      </c>
      <c r="L1532" s="455">
        <f t="shared" ca="1" si="127"/>
        <v>-95405597.366583735</v>
      </c>
      <c r="M1532" s="471">
        <f t="shared" si="129"/>
        <v>0.05</v>
      </c>
      <c r="N1532" s="475">
        <f t="shared" si="130"/>
        <v>97673</v>
      </c>
    </row>
    <row r="1533" spans="7:14" ht="11.25" customHeight="1" x14ac:dyDescent="0.3">
      <c r="G1533" s="470"/>
      <c r="H1533" s="470">
        <v>1526</v>
      </c>
      <c r="I1533" s="455">
        <f t="shared" ca="1" si="128"/>
        <v>-95405597.366583735</v>
      </c>
      <c r="J1533" s="455">
        <f t="array" ref="J1533">IFERROR(INDEX('Retirement Calculator'!J:J,MATCH('Isaac 401k'!N1533,'Retirement Calculator'!A:A,0),0),0)</f>
        <v>0</v>
      </c>
      <c r="K1533" s="455">
        <f t="shared" ca="1" si="126"/>
        <v>-397523.32236076554</v>
      </c>
      <c r="L1533" s="455">
        <f t="shared" ca="1" si="127"/>
        <v>-95803120.688944504</v>
      </c>
      <c r="M1533" s="471">
        <f t="shared" si="129"/>
        <v>0.05</v>
      </c>
      <c r="N1533" s="475">
        <f t="shared" si="130"/>
        <v>97703</v>
      </c>
    </row>
    <row r="1534" spans="7:14" ht="11.25" customHeight="1" x14ac:dyDescent="0.3">
      <c r="G1534" s="470"/>
      <c r="H1534" s="470">
        <v>1527</v>
      </c>
      <c r="I1534" s="455">
        <f t="shared" ca="1" si="128"/>
        <v>-95803120.688944504</v>
      </c>
      <c r="J1534" s="455">
        <f t="array" ref="J1534">IFERROR(INDEX('Retirement Calculator'!J:J,MATCH('Isaac 401k'!N1534,'Retirement Calculator'!A:A,0),0),0)</f>
        <v>0</v>
      </c>
      <c r="K1534" s="455">
        <f t="shared" ca="1" si="126"/>
        <v>-399179.66953726875</v>
      </c>
      <c r="L1534" s="455">
        <f t="shared" ca="1" si="127"/>
        <v>-96202300.35848178</v>
      </c>
      <c r="M1534" s="471">
        <f t="shared" si="129"/>
        <v>0.05</v>
      </c>
      <c r="N1534" s="475">
        <f t="shared" si="130"/>
        <v>97734</v>
      </c>
    </row>
    <row r="1535" spans="7:14" ht="11.25" customHeight="1" x14ac:dyDescent="0.3">
      <c r="G1535" s="470"/>
      <c r="H1535" s="470">
        <v>1528</v>
      </c>
      <c r="I1535" s="455">
        <f t="shared" ca="1" si="128"/>
        <v>-96202300.35848178</v>
      </c>
      <c r="J1535" s="455">
        <f t="array" ref="J1535">IFERROR(INDEX('Retirement Calculator'!J:J,MATCH('Isaac 401k'!N1535,'Retirement Calculator'!A:A,0),0),0)</f>
        <v>0</v>
      </c>
      <c r="K1535" s="455">
        <f t="shared" ca="1" si="126"/>
        <v>-400842.91816034075</v>
      </c>
      <c r="L1535" s="455">
        <f t="shared" ca="1" si="127"/>
        <v>-96603143.276642114</v>
      </c>
      <c r="M1535" s="471">
        <f t="shared" si="129"/>
        <v>0.05</v>
      </c>
      <c r="N1535" s="475">
        <f t="shared" si="130"/>
        <v>97765</v>
      </c>
    </row>
    <row r="1536" spans="7:14" ht="11.25" customHeight="1" x14ac:dyDescent="0.3">
      <c r="G1536" s="470"/>
      <c r="H1536" s="470">
        <v>1529</v>
      </c>
      <c r="I1536" s="455">
        <f t="shared" ca="1" si="128"/>
        <v>-96603143.276642114</v>
      </c>
      <c r="J1536" s="455">
        <f t="array" ref="J1536">IFERROR(INDEX('Retirement Calculator'!J:J,MATCH('Isaac 401k'!N1536,'Retirement Calculator'!A:A,0),0),0)</f>
        <v>0</v>
      </c>
      <c r="K1536" s="455">
        <f t="shared" ca="1" si="126"/>
        <v>-402513.09698600881</v>
      </c>
      <c r="L1536" s="455">
        <f t="shared" ca="1" si="127"/>
        <v>-97005656.373628125</v>
      </c>
      <c r="M1536" s="471">
        <f t="shared" si="129"/>
        <v>0.05</v>
      </c>
      <c r="N1536" s="475">
        <f t="shared" si="130"/>
        <v>97795</v>
      </c>
    </row>
    <row r="1537" spans="7:14" ht="11.25" customHeight="1" x14ac:dyDescent="0.3">
      <c r="G1537" s="470"/>
      <c r="H1537" s="470">
        <v>1530</v>
      </c>
      <c r="I1537" s="455">
        <f t="shared" ca="1" si="128"/>
        <v>-97005656.373628125</v>
      </c>
      <c r="J1537" s="455">
        <f t="array" ref="J1537">IFERROR(INDEX('Retirement Calculator'!J:J,MATCH('Isaac 401k'!N1537,'Retirement Calculator'!A:A,0),0),0)</f>
        <v>0</v>
      </c>
      <c r="K1537" s="455">
        <f t="shared" ca="1" si="126"/>
        <v>-404190.23489011719</v>
      </c>
      <c r="L1537" s="455">
        <f t="shared" ca="1" si="127"/>
        <v>-97409846.608518243</v>
      </c>
      <c r="M1537" s="471">
        <f t="shared" si="129"/>
        <v>0.05</v>
      </c>
      <c r="N1537" s="475">
        <f t="shared" si="130"/>
        <v>97826</v>
      </c>
    </row>
    <row r="1538" spans="7:14" ht="11.25" customHeight="1" x14ac:dyDescent="0.3">
      <c r="G1538" s="470"/>
      <c r="H1538" s="470">
        <v>1531</v>
      </c>
      <c r="I1538" s="455">
        <f t="shared" ca="1" si="128"/>
        <v>-97409846.608518243</v>
      </c>
      <c r="J1538" s="455">
        <f t="array" ref="J1538">IFERROR(INDEX('Retirement Calculator'!J:J,MATCH('Isaac 401k'!N1538,'Retirement Calculator'!A:A,0),0),0)</f>
        <v>0</v>
      </c>
      <c r="K1538" s="455">
        <f t="shared" ref="K1538:K1792" ca="1" si="131">IPMT(M1538/12,1,12,-I1538+J1538,,0)</f>
        <v>-405874.36086882598</v>
      </c>
      <c r="L1538" s="455">
        <f t="shared" ref="L1538:L1792" ca="1" si="132">I1538-J1538+K1538</f>
        <v>-97815720.969387069</v>
      </c>
      <c r="M1538" s="471">
        <f t="shared" si="129"/>
        <v>0.05</v>
      </c>
      <c r="N1538" s="475">
        <f t="shared" si="130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33">L1538</f>
        <v>-97815720.969387069</v>
      </c>
      <c r="J1539" s="455">
        <f t="array" ref="J1539">IFERROR(INDEX('Retirement Calculator'!J:J,MATCH('Isaac 401k'!N1539,'Retirement Calculator'!A:A,0),0),0)</f>
        <v>0</v>
      </c>
      <c r="K1539" s="455">
        <f t="shared" ca="1" si="131"/>
        <v>-407565.50403911277</v>
      </c>
      <c r="L1539" s="455">
        <f t="shared" ca="1" si="132"/>
        <v>-98223286.473426178</v>
      </c>
      <c r="M1539" s="471">
        <f t="shared" ref="M1539:M1793" si="134">M1538</f>
        <v>0.05</v>
      </c>
      <c r="N1539" s="475">
        <f t="shared" ref="N1539:N1793" si="135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33"/>
        <v>-98223286.473426178</v>
      </c>
      <c r="J1540" s="455">
        <f t="array" ref="J1540">IFERROR(INDEX('Retirement Calculator'!J:J,MATCH('Isaac 401k'!N1540,'Retirement Calculator'!A:A,0),0),0)</f>
        <v>0</v>
      </c>
      <c r="K1540" s="455">
        <f t="shared" ca="1" si="131"/>
        <v>-409263.69363927573</v>
      </c>
      <c r="L1540" s="455">
        <f t="shared" ca="1" si="132"/>
        <v>-98632550.167065457</v>
      </c>
      <c r="M1540" s="471">
        <f t="shared" si="134"/>
        <v>0.05</v>
      </c>
      <c r="N1540" s="475">
        <f t="shared" si="135"/>
        <v>97918</v>
      </c>
    </row>
    <row r="1541" spans="7:14" ht="11.25" customHeight="1" x14ac:dyDescent="0.3">
      <c r="G1541" s="470"/>
      <c r="H1541" s="470">
        <v>1534</v>
      </c>
      <c r="I1541" s="455">
        <f t="shared" ca="1" si="133"/>
        <v>-98632550.167065457</v>
      </c>
      <c r="J1541" s="455">
        <f t="array" ref="J1541">IFERROR(INDEX('Retirement Calculator'!J:J,MATCH('Isaac 401k'!N1541,'Retirement Calculator'!A:A,0),0),0)</f>
        <v>0</v>
      </c>
      <c r="K1541" s="455">
        <f t="shared" ca="1" si="131"/>
        <v>-410968.95902943937</v>
      </c>
      <c r="L1541" s="455">
        <f t="shared" ca="1" si="132"/>
        <v>-99043519.126094893</v>
      </c>
      <c r="M1541" s="471">
        <f t="shared" si="134"/>
        <v>0.05</v>
      </c>
      <c r="N1541" s="475">
        <f t="shared" si="135"/>
        <v>97947</v>
      </c>
    </row>
    <row r="1542" spans="7:14" ht="11.25" customHeight="1" x14ac:dyDescent="0.3">
      <c r="G1542" s="470"/>
      <c r="H1542" s="470">
        <v>1535</v>
      </c>
      <c r="I1542" s="455">
        <f t="shared" ca="1" si="133"/>
        <v>-99043519.126094893</v>
      </c>
      <c r="J1542" s="455">
        <f t="array" ref="J1542">IFERROR(INDEX('Retirement Calculator'!J:J,MATCH('Isaac 401k'!N1542,'Retirement Calculator'!A:A,0),0),0)</f>
        <v>0</v>
      </c>
      <c r="K1542" s="455">
        <f t="shared" ca="1" si="131"/>
        <v>-412681.32969206205</v>
      </c>
      <c r="L1542" s="455">
        <f t="shared" ca="1" si="132"/>
        <v>-99456200.455786958</v>
      </c>
      <c r="M1542" s="471">
        <f t="shared" si="134"/>
        <v>0.05</v>
      </c>
      <c r="N1542" s="475">
        <f t="shared" si="135"/>
        <v>97978</v>
      </c>
    </row>
    <row r="1543" spans="7:14" ht="11.25" customHeight="1" x14ac:dyDescent="0.3">
      <c r="G1543" s="470"/>
      <c r="H1543" s="470">
        <v>1536</v>
      </c>
      <c r="I1543" s="455">
        <f t="shared" ca="1" si="133"/>
        <v>-99456200.455786958</v>
      </c>
      <c r="J1543" s="455">
        <f t="array" ref="J1543">IFERROR(INDEX('Retirement Calculator'!J:J,MATCH('Isaac 401k'!N1543,'Retirement Calculator'!A:A,0),0),0)</f>
        <v>0</v>
      </c>
      <c r="K1543" s="455">
        <f t="shared" ca="1" si="131"/>
        <v>-414400.83523244568</v>
      </c>
      <c r="L1543" s="455">
        <f t="shared" ca="1" si="132"/>
        <v>-99870601.29101941</v>
      </c>
      <c r="M1543" s="471">
        <f t="shared" si="134"/>
        <v>0.05</v>
      </c>
      <c r="N1543" s="475">
        <f t="shared" si="135"/>
        <v>98008</v>
      </c>
    </row>
    <row r="1544" spans="7:14" ht="11.25" customHeight="1" x14ac:dyDescent="0.3">
      <c r="G1544" s="470"/>
      <c r="H1544" s="470">
        <v>1537</v>
      </c>
      <c r="I1544" s="455">
        <f t="shared" ca="1" si="133"/>
        <v>-99870601.29101941</v>
      </c>
      <c r="J1544" s="455">
        <f t="array" ref="J1544">IFERROR(INDEX('Retirement Calculator'!J:J,MATCH('Isaac 401k'!N1544,'Retirement Calculator'!A:A,0),0),0)</f>
        <v>0</v>
      </c>
      <c r="K1544" s="455">
        <f t="shared" ca="1" si="131"/>
        <v>-416127.50537924754</v>
      </c>
      <c r="L1544" s="455">
        <f t="shared" ca="1" si="132"/>
        <v>-100286728.79639865</v>
      </c>
      <c r="M1544" s="471">
        <f t="shared" si="134"/>
        <v>0.05</v>
      </c>
      <c r="N1544" s="475">
        <f t="shared" si="135"/>
        <v>98039</v>
      </c>
    </row>
    <row r="1545" spans="7:14" ht="11.25" customHeight="1" x14ac:dyDescent="0.3">
      <c r="G1545" s="470"/>
      <c r="H1545" s="470">
        <v>1538</v>
      </c>
      <c r="I1545" s="455">
        <f t="shared" ca="1" si="133"/>
        <v>-100286728.79639865</v>
      </c>
      <c r="J1545" s="455">
        <f t="array" ref="J1545">IFERROR(INDEX('Retirement Calculator'!J:J,MATCH('Isaac 401k'!N1545,'Retirement Calculator'!A:A,0),0),0)</f>
        <v>0</v>
      </c>
      <c r="K1545" s="455">
        <f t="shared" ca="1" si="131"/>
        <v>-417861.36998499441</v>
      </c>
      <c r="L1545" s="455">
        <f t="shared" ca="1" si="132"/>
        <v>-100704590.16638365</v>
      </c>
      <c r="M1545" s="471">
        <f t="shared" si="134"/>
        <v>0.05</v>
      </c>
      <c r="N1545" s="475">
        <f t="shared" si="135"/>
        <v>98069</v>
      </c>
    </row>
    <row r="1546" spans="7:14" ht="11.25" customHeight="1" x14ac:dyDescent="0.3">
      <c r="G1546" s="470"/>
      <c r="H1546" s="470">
        <v>1539</v>
      </c>
      <c r="I1546" s="455">
        <f t="shared" ca="1" si="133"/>
        <v>-100704590.16638365</v>
      </c>
      <c r="J1546" s="455">
        <f t="array" ref="J1546">IFERROR(INDEX('Retirement Calculator'!J:J,MATCH('Isaac 401k'!N1546,'Retirement Calculator'!A:A,0),0),0)</f>
        <v>0</v>
      </c>
      <c r="K1546" s="455">
        <f t="shared" ca="1" si="131"/>
        <v>-419602.45902659855</v>
      </c>
      <c r="L1546" s="455">
        <f t="shared" ca="1" si="132"/>
        <v>-101124192.62541026</v>
      </c>
      <c r="M1546" s="471">
        <f t="shared" si="134"/>
        <v>0.05</v>
      </c>
      <c r="N1546" s="475">
        <f t="shared" si="135"/>
        <v>98100</v>
      </c>
    </row>
    <row r="1547" spans="7:14" ht="11.25" customHeight="1" x14ac:dyDescent="0.3">
      <c r="G1547" s="470"/>
      <c r="H1547" s="470">
        <v>1540</v>
      </c>
      <c r="I1547" s="455">
        <f t="shared" ca="1" si="133"/>
        <v>-101124192.62541026</v>
      </c>
      <c r="J1547" s="455">
        <f t="array" ref="J1547">IFERROR(INDEX('Retirement Calculator'!J:J,MATCH('Isaac 401k'!N1547,'Retirement Calculator'!A:A,0),0),0)</f>
        <v>0</v>
      </c>
      <c r="K1547" s="455">
        <f t="shared" ca="1" si="131"/>
        <v>-421350.80260587606</v>
      </c>
      <c r="L1547" s="455">
        <f t="shared" ca="1" si="132"/>
        <v>-101545543.42801614</v>
      </c>
      <c r="M1547" s="471">
        <f t="shared" si="134"/>
        <v>0.05</v>
      </c>
      <c r="N1547" s="475">
        <f t="shared" si="135"/>
        <v>98131</v>
      </c>
    </row>
    <row r="1548" spans="7:14" ht="11.25" customHeight="1" x14ac:dyDescent="0.3">
      <c r="G1548" s="470"/>
      <c r="H1548" s="470">
        <v>1541</v>
      </c>
      <c r="I1548" s="455">
        <f t="shared" ca="1" si="133"/>
        <v>-101545543.42801614</v>
      </c>
      <c r="J1548" s="455">
        <f t="array" ref="J1548">IFERROR(INDEX('Retirement Calculator'!J:J,MATCH('Isaac 401k'!N1548,'Retirement Calculator'!A:A,0),0),0)</f>
        <v>0</v>
      </c>
      <c r="K1548" s="455">
        <f t="shared" ca="1" si="131"/>
        <v>-423106.43095006724</v>
      </c>
      <c r="L1548" s="455">
        <f t="shared" ca="1" si="132"/>
        <v>-101968649.8589662</v>
      </c>
      <c r="M1548" s="471">
        <f t="shared" si="134"/>
        <v>0.05</v>
      </c>
      <c r="N1548" s="475">
        <f t="shared" si="135"/>
        <v>98161</v>
      </c>
    </row>
    <row r="1549" spans="7:14" ht="11.25" customHeight="1" x14ac:dyDescent="0.3">
      <c r="G1549" s="470"/>
      <c r="H1549" s="470">
        <v>1542</v>
      </c>
      <c r="I1549" s="455">
        <f t="shared" ca="1" si="133"/>
        <v>-101968649.8589662</v>
      </c>
      <c r="J1549" s="455">
        <f t="array" ref="J1549">IFERROR(INDEX('Retirement Calculator'!J:J,MATCH('Isaac 401k'!N1549,'Retirement Calculator'!A:A,0),0),0)</f>
        <v>0</v>
      </c>
      <c r="K1549" s="455">
        <f t="shared" ca="1" si="131"/>
        <v>-424869.37441235915</v>
      </c>
      <c r="L1549" s="455">
        <f t="shared" ca="1" si="132"/>
        <v>-102393519.23337856</v>
      </c>
      <c r="M1549" s="471">
        <f t="shared" si="134"/>
        <v>0.05</v>
      </c>
      <c r="N1549" s="475">
        <f t="shared" si="135"/>
        <v>98192</v>
      </c>
    </row>
    <row r="1550" spans="7:14" ht="11.25" customHeight="1" x14ac:dyDescent="0.3">
      <c r="G1550" s="470"/>
      <c r="H1550" s="470">
        <v>1543</v>
      </c>
      <c r="I1550" s="455">
        <f t="shared" ca="1" si="133"/>
        <v>-102393519.23337856</v>
      </c>
      <c r="J1550" s="455">
        <f t="array" ref="J1550">IFERROR(INDEX('Retirement Calculator'!J:J,MATCH('Isaac 401k'!N1550,'Retirement Calculator'!A:A,0),0),0)</f>
        <v>0</v>
      </c>
      <c r="K1550" s="455">
        <f t="shared" ca="1" si="131"/>
        <v>-426639.66347241064</v>
      </c>
      <c r="L1550" s="455">
        <f t="shared" ca="1" si="132"/>
        <v>-102820158.89685097</v>
      </c>
      <c r="M1550" s="471">
        <f t="shared" si="134"/>
        <v>0.05</v>
      </c>
      <c r="N1550" s="475">
        <f t="shared" si="135"/>
        <v>98222</v>
      </c>
    </row>
    <row r="1551" spans="7:14" ht="11.25" customHeight="1" x14ac:dyDescent="0.3">
      <c r="G1551" s="470"/>
      <c r="H1551" s="470">
        <v>1544</v>
      </c>
      <c r="I1551" s="455">
        <f t="shared" ca="1" si="133"/>
        <v>-102820158.89685097</v>
      </c>
      <c r="J1551" s="455">
        <f t="array" ref="J1551">IFERROR(INDEX('Retirement Calculator'!J:J,MATCH('Isaac 401k'!N1551,'Retirement Calculator'!A:A,0),0),0)</f>
        <v>0</v>
      </c>
      <c r="K1551" s="455">
        <f t="shared" ca="1" si="131"/>
        <v>-428417.32873687905</v>
      </c>
      <c r="L1551" s="455">
        <f t="shared" ca="1" si="132"/>
        <v>-103248576.22558786</v>
      </c>
      <c r="M1551" s="471">
        <f t="shared" si="134"/>
        <v>0.05</v>
      </c>
      <c r="N1551" s="475">
        <f t="shared" si="135"/>
        <v>98253</v>
      </c>
    </row>
    <row r="1552" spans="7:14" ht="11.25" customHeight="1" x14ac:dyDescent="0.3">
      <c r="G1552" s="470"/>
      <c r="H1552" s="470">
        <v>1545</v>
      </c>
      <c r="I1552" s="455">
        <f t="shared" ca="1" si="133"/>
        <v>-103248576.22558786</v>
      </c>
      <c r="J1552" s="455">
        <f t="array" ref="J1552">IFERROR(INDEX('Retirement Calculator'!J:J,MATCH('Isaac 401k'!N1552,'Retirement Calculator'!A:A,0),0),0)</f>
        <v>0</v>
      </c>
      <c r="K1552" s="455">
        <f t="shared" ca="1" si="131"/>
        <v>-430202.40093994938</v>
      </c>
      <c r="L1552" s="455">
        <f t="shared" ca="1" si="132"/>
        <v>-103678778.62652782</v>
      </c>
      <c r="M1552" s="471">
        <f t="shared" si="134"/>
        <v>0.05</v>
      </c>
      <c r="N1552" s="475">
        <f t="shared" si="135"/>
        <v>98284</v>
      </c>
    </row>
    <row r="1553" spans="7:14" ht="11.25" customHeight="1" x14ac:dyDescent="0.3">
      <c r="G1553" s="470"/>
      <c r="H1553" s="470">
        <v>1546</v>
      </c>
      <c r="I1553" s="455">
        <f t="shared" ca="1" si="133"/>
        <v>-103678778.62652782</v>
      </c>
      <c r="J1553" s="455">
        <f t="array" ref="J1553">IFERROR(INDEX('Retirement Calculator'!J:J,MATCH('Isaac 401k'!N1553,'Retirement Calculator'!A:A,0),0),0)</f>
        <v>0</v>
      </c>
      <c r="K1553" s="455">
        <f t="shared" ca="1" si="131"/>
        <v>-431994.91094386589</v>
      </c>
      <c r="L1553" s="455">
        <f t="shared" ca="1" si="132"/>
        <v>-104110773.53747168</v>
      </c>
      <c r="M1553" s="471">
        <f t="shared" si="134"/>
        <v>0.05</v>
      </c>
      <c r="N1553" s="475">
        <f t="shared" si="135"/>
        <v>98312</v>
      </c>
    </row>
    <row r="1554" spans="7:14" ht="11.25" customHeight="1" x14ac:dyDescent="0.3">
      <c r="G1554" s="470"/>
      <c r="H1554" s="470">
        <v>1547</v>
      </c>
      <c r="I1554" s="455">
        <f t="shared" ca="1" si="133"/>
        <v>-104110773.53747168</v>
      </c>
      <c r="J1554" s="455">
        <f t="array" ref="J1554">IFERROR(INDEX('Retirement Calculator'!J:J,MATCH('Isaac 401k'!N1554,'Retirement Calculator'!A:A,0),0),0)</f>
        <v>0</v>
      </c>
      <c r="K1554" s="455">
        <f t="shared" ca="1" si="131"/>
        <v>-433794.88973946532</v>
      </c>
      <c r="L1554" s="455">
        <f t="shared" ca="1" si="132"/>
        <v>-104544568.42721115</v>
      </c>
      <c r="M1554" s="471">
        <f t="shared" si="134"/>
        <v>0.05</v>
      </c>
      <c r="N1554" s="475">
        <f t="shared" si="135"/>
        <v>98343</v>
      </c>
    </row>
    <row r="1555" spans="7:14" ht="11.25" customHeight="1" x14ac:dyDescent="0.3">
      <c r="G1555" s="470"/>
      <c r="H1555" s="470">
        <v>1548</v>
      </c>
      <c r="I1555" s="455">
        <f t="shared" ca="1" si="133"/>
        <v>-104544568.42721115</v>
      </c>
      <c r="J1555" s="455">
        <f t="array" ref="J1555">IFERROR(INDEX('Retirement Calculator'!J:J,MATCH('Isaac 401k'!N1555,'Retirement Calculator'!A:A,0),0),0)</f>
        <v>0</v>
      </c>
      <c r="K1555" s="455">
        <f t="shared" ca="1" si="131"/>
        <v>-435602.36844671314</v>
      </c>
      <c r="L1555" s="455">
        <f t="shared" ca="1" si="132"/>
        <v>-104980170.79565786</v>
      </c>
      <c r="M1555" s="471">
        <f t="shared" si="134"/>
        <v>0.05</v>
      </c>
      <c r="N1555" s="475">
        <f t="shared" si="135"/>
        <v>98373</v>
      </c>
    </row>
    <row r="1556" spans="7:14" ht="11.25" customHeight="1" x14ac:dyDescent="0.3">
      <c r="G1556" s="470"/>
      <c r="H1556" s="470">
        <v>1549</v>
      </c>
      <c r="I1556" s="455">
        <f t="shared" ca="1" si="133"/>
        <v>-104980170.79565786</v>
      </c>
      <c r="J1556" s="455">
        <f t="array" ref="J1556">IFERROR(INDEX('Retirement Calculator'!J:J,MATCH('Isaac 401k'!N1556,'Retirement Calculator'!A:A,0),0),0)</f>
        <v>0</v>
      </c>
      <c r="K1556" s="455">
        <f t="shared" ca="1" si="131"/>
        <v>-437417.37831524108</v>
      </c>
      <c r="L1556" s="455">
        <f t="shared" ca="1" si="132"/>
        <v>-105417588.1739731</v>
      </c>
      <c r="M1556" s="471">
        <f t="shared" si="134"/>
        <v>0.05</v>
      </c>
      <c r="N1556" s="475">
        <f t="shared" si="135"/>
        <v>98404</v>
      </c>
    </row>
    <row r="1557" spans="7:14" ht="11.25" customHeight="1" x14ac:dyDescent="0.3">
      <c r="G1557" s="470"/>
      <c r="H1557" s="470">
        <v>1550</v>
      </c>
      <c r="I1557" s="455">
        <f t="shared" ca="1" si="133"/>
        <v>-105417588.1739731</v>
      </c>
      <c r="J1557" s="455">
        <f t="array" ref="J1557">IFERROR(INDEX('Retirement Calculator'!J:J,MATCH('Isaac 401k'!N1557,'Retirement Calculator'!A:A,0),0),0)</f>
        <v>0</v>
      </c>
      <c r="K1557" s="455">
        <f t="shared" ca="1" si="131"/>
        <v>-439239.95072488789</v>
      </c>
      <c r="L1557" s="455">
        <f t="shared" ca="1" si="132"/>
        <v>-105856828.12469798</v>
      </c>
      <c r="M1557" s="471">
        <f t="shared" si="134"/>
        <v>0.05</v>
      </c>
      <c r="N1557" s="475">
        <f t="shared" si="135"/>
        <v>98434</v>
      </c>
    </row>
    <row r="1558" spans="7:14" ht="11.25" customHeight="1" x14ac:dyDescent="0.3">
      <c r="G1558" s="470"/>
      <c r="H1558" s="470">
        <v>1551</v>
      </c>
      <c r="I1558" s="455">
        <f t="shared" ca="1" si="133"/>
        <v>-105856828.12469798</v>
      </c>
      <c r="J1558" s="455">
        <f t="array" ref="J1558">IFERROR(INDEX('Retirement Calculator'!J:J,MATCH('Isaac 401k'!N1558,'Retirement Calculator'!A:A,0),0),0)</f>
        <v>0</v>
      </c>
      <c r="K1558" s="455">
        <f t="shared" ca="1" si="131"/>
        <v>-441070.11718624161</v>
      </c>
      <c r="L1558" s="455">
        <f t="shared" ca="1" si="132"/>
        <v>-106297898.24188423</v>
      </c>
      <c r="M1558" s="471">
        <f t="shared" si="134"/>
        <v>0.05</v>
      </c>
      <c r="N1558" s="475">
        <f t="shared" si="135"/>
        <v>98465</v>
      </c>
    </row>
    <row r="1559" spans="7:14" ht="11.25" customHeight="1" x14ac:dyDescent="0.3">
      <c r="G1559" s="470"/>
      <c r="H1559" s="470">
        <v>1552</v>
      </c>
      <c r="I1559" s="455">
        <f t="shared" ca="1" si="133"/>
        <v>-106297898.24188423</v>
      </c>
      <c r="J1559" s="455">
        <f t="array" ref="J1559">IFERROR(INDEX('Retirement Calculator'!J:J,MATCH('Isaac 401k'!N1559,'Retirement Calculator'!A:A,0),0),0)</f>
        <v>0</v>
      </c>
      <c r="K1559" s="455">
        <f t="shared" ca="1" si="131"/>
        <v>-442907.90934118425</v>
      </c>
      <c r="L1559" s="455">
        <f t="shared" ca="1" si="132"/>
        <v>-106740806.15122542</v>
      </c>
      <c r="M1559" s="471">
        <f t="shared" si="134"/>
        <v>0.05</v>
      </c>
      <c r="N1559" s="475">
        <f t="shared" si="135"/>
        <v>98496</v>
      </c>
    </row>
    <row r="1560" spans="7:14" ht="11.25" customHeight="1" x14ac:dyDescent="0.3">
      <c r="G1560" s="470"/>
      <c r="H1560" s="470">
        <v>1553</v>
      </c>
      <c r="I1560" s="455">
        <f t="shared" ca="1" si="133"/>
        <v>-106740806.15122542</v>
      </c>
      <c r="J1560" s="455">
        <f t="array" ref="J1560">IFERROR(INDEX('Retirement Calculator'!J:J,MATCH('Isaac 401k'!N1560,'Retirement Calculator'!A:A,0),0),0)</f>
        <v>0</v>
      </c>
      <c r="K1560" s="455">
        <f t="shared" ca="1" si="131"/>
        <v>-444753.35896343924</v>
      </c>
      <c r="L1560" s="455">
        <f t="shared" ca="1" si="132"/>
        <v>-107185559.51018886</v>
      </c>
      <c r="M1560" s="471">
        <f t="shared" si="134"/>
        <v>0.05</v>
      </c>
      <c r="N1560" s="475">
        <f t="shared" si="135"/>
        <v>98526</v>
      </c>
    </row>
    <row r="1561" spans="7:14" ht="11.25" customHeight="1" x14ac:dyDescent="0.3">
      <c r="G1561" s="470"/>
      <c r="H1561" s="470">
        <v>1554</v>
      </c>
      <c r="I1561" s="455">
        <f t="shared" ca="1" si="133"/>
        <v>-107185559.51018886</v>
      </c>
      <c r="J1561" s="455">
        <f t="array" ref="J1561">IFERROR(INDEX('Retirement Calculator'!J:J,MATCH('Isaac 401k'!N1561,'Retirement Calculator'!A:A,0),0),0)</f>
        <v>0</v>
      </c>
      <c r="K1561" s="455">
        <f t="shared" ca="1" si="131"/>
        <v>-446606.49795912026</v>
      </c>
      <c r="L1561" s="455">
        <f t="shared" ca="1" si="132"/>
        <v>-107632166.00814798</v>
      </c>
      <c r="M1561" s="471">
        <f t="shared" si="134"/>
        <v>0.05</v>
      </c>
      <c r="N1561" s="475">
        <f t="shared" si="135"/>
        <v>98557</v>
      </c>
    </row>
    <row r="1562" spans="7:14" ht="11.25" customHeight="1" x14ac:dyDescent="0.3">
      <c r="G1562" s="470"/>
      <c r="H1562" s="470">
        <v>1555</v>
      </c>
      <c r="I1562" s="455">
        <f t="shared" ca="1" si="133"/>
        <v>-107632166.00814798</v>
      </c>
      <c r="J1562" s="455">
        <f t="array" ref="J1562">IFERROR(INDEX('Retirement Calculator'!J:J,MATCH('Isaac 401k'!N1562,'Retirement Calculator'!A:A,0),0),0)</f>
        <v>0</v>
      </c>
      <c r="K1562" s="455">
        <f t="shared" ca="1" si="131"/>
        <v>-448467.35836728325</v>
      </c>
      <c r="L1562" s="455">
        <f t="shared" ca="1" si="132"/>
        <v>-108080633.36651526</v>
      </c>
      <c r="M1562" s="471">
        <f t="shared" si="134"/>
        <v>0.05</v>
      </c>
      <c r="N1562" s="475">
        <f t="shared" si="135"/>
        <v>98587</v>
      </c>
    </row>
    <row r="1563" spans="7:14" ht="11.25" customHeight="1" x14ac:dyDescent="0.3">
      <c r="G1563" s="470"/>
      <c r="H1563" s="470">
        <v>1556</v>
      </c>
      <c r="I1563" s="455">
        <f t="shared" ca="1" si="133"/>
        <v>-108080633.36651526</v>
      </c>
      <c r="J1563" s="455">
        <f t="array" ref="J1563">IFERROR(INDEX('Retirement Calculator'!J:J,MATCH('Isaac 401k'!N1563,'Retirement Calculator'!A:A,0),0),0)</f>
        <v>0</v>
      </c>
      <c r="K1563" s="455">
        <f t="shared" ca="1" si="131"/>
        <v>-450335.97236048029</v>
      </c>
      <c r="L1563" s="455">
        <f t="shared" ca="1" si="132"/>
        <v>-108530969.33887574</v>
      </c>
      <c r="M1563" s="471">
        <f t="shared" si="134"/>
        <v>0.05</v>
      </c>
      <c r="N1563" s="475">
        <f t="shared" si="135"/>
        <v>98618</v>
      </c>
    </row>
    <row r="1564" spans="7:14" ht="11.25" customHeight="1" x14ac:dyDescent="0.3">
      <c r="G1564" s="470"/>
      <c r="H1564" s="470">
        <v>1557</v>
      </c>
      <c r="I1564" s="455">
        <f t="shared" ca="1" si="133"/>
        <v>-108530969.33887574</v>
      </c>
      <c r="J1564" s="455">
        <f t="array" ref="J1564">IFERROR(INDEX('Retirement Calculator'!J:J,MATCH('Isaac 401k'!N1564,'Retirement Calculator'!A:A,0),0),0)</f>
        <v>0</v>
      </c>
      <c r="K1564" s="455">
        <f t="shared" ca="1" si="131"/>
        <v>-452212.37224531552</v>
      </c>
      <c r="L1564" s="455">
        <f t="shared" ca="1" si="132"/>
        <v>-108983181.71112105</v>
      </c>
      <c r="M1564" s="471">
        <f t="shared" si="134"/>
        <v>0.05</v>
      </c>
      <c r="N1564" s="475">
        <f t="shared" si="135"/>
        <v>98649</v>
      </c>
    </row>
    <row r="1565" spans="7:14" ht="11.25" customHeight="1" x14ac:dyDescent="0.3">
      <c r="G1565" s="470"/>
      <c r="H1565" s="470">
        <v>1558</v>
      </c>
      <c r="I1565" s="455">
        <f t="shared" ca="1" si="133"/>
        <v>-108983181.71112105</v>
      </c>
      <c r="J1565" s="455">
        <f t="array" ref="J1565">IFERROR(INDEX('Retirement Calculator'!J:J,MATCH('Isaac 401k'!N1565,'Retirement Calculator'!A:A,0),0),0)</f>
        <v>0</v>
      </c>
      <c r="K1565" s="455">
        <f t="shared" ca="1" si="131"/>
        <v>-454096.59046300437</v>
      </c>
      <c r="L1565" s="455">
        <f t="shared" ca="1" si="132"/>
        <v>-109437278.30158405</v>
      </c>
      <c r="M1565" s="471">
        <f t="shared" si="134"/>
        <v>0.05</v>
      </c>
      <c r="N1565" s="475">
        <f t="shared" si="135"/>
        <v>98677</v>
      </c>
    </row>
    <row r="1566" spans="7:14" ht="11.25" customHeight="1" x14ac:dyDescent="0.3">
      <c r="G1566" s="470"/>
      <c r="H1566" s="470">
        <v>1559</v>
      </c>
      <c r="I1566" s="455">
        <f t="shared" ca="1" si="133"/>
        <v>-109437278.30158405</v>
      </c>
      <c r="J1566" s="455">
        <f t="array" ref="J1566">IFERROR(INDEX('Retirement Calculator'!J:J,MATCH('Isaac 401k'!N1566,'Retirement Calculator'!A:A,0),0),0)</f>
        <v>0</v>
      </c>
      <c r="K1566" s="455">
        <f t="shared" ca="1" si="131"/>
        <v>-455988.65958993358</v>
      </c>
      <c r="L1566" s="455">
        <f t="shared" ca="1" si="132"/>
        <v>-109893266.96117398</v>
      </c>
      <c r="M1566" s="471">
        <f t="shared" si="134"/>
        <v>0.05</v>
      </c>
      <c r="N1566" s="475">
        <f t="shared" si="135"/>
        <v>98708</v>
      </c>
    </row>
    <row r="1567" spans="7:14" ht="11.25" customHeight="1" x14ac:dyDescent="0.3">
      <c r="G1567" s="470"/>
      <c r="H1567" s="470">
        <v>1560</v>
      </c>
      <c r="I1567" s="455">
        <f t="shared" ca="1" si="133"/>
        <v>-109893266.96117398</v>
      </c>
      <c r="J1567" s="455">
        <f t="array" ref="J1567">IFERROR(INDEX('Retirement Calculator'!J:J,MATCH('Isaac 401k'!N1567,'Retirement Calculator'!A:A,0),0),0)</f>
        <v>0</v>
      </c>
      <c r="K1567" s="455">
        <f t="shared" ca="1" si="131"/>
        <v>-457888.61233822495</v>
      </c>
      <c r="L1567" s="455">
        <f t="shared" ca="1" si="132"/>
        <v>-110351155.57351221</v>
      </c>
      <c r="M1567" s="471">
        <f t="shared" si="134"/>
        <v>0.05</v>
      </c>
      <c r="N1567" s="475">
        <f t="shared" si="135"/>
        <v>98738</v>
      </c>
    </row>
    <row r="1568" spans="7:14" ht="11.25" customHeight="1" x14ac:dyDescent="0.3">
      <c r="G1568" s="470"/>
      <c r="H1568" s="470">
        <v>1561</v>
      </c>
      <c r="I1568" s="455">
        <f t="shared" ca="1" si="133"/>
        <v>-110351155.57351221</v>
      </c>
      <c r="J1568" s="455">
        <f t="array" ref="J1568">IFERROR(INDEX('Retirement Calculator'!J:J,MATCH('Isaac 401k'!N1568,'Retirement Calculator'!A:A,0),0),0)</f>
        <v>0</v>
      </c>
      <c r="K1568" s="455">
        <f t="shared" ca="1" si="131"/>
        <v>-459796.48155630089</v>
      </c>
      <c r="L1568" s="455">
        <f t="shared" ca="1" si="132"/>
        <v>-110810952.05506851</v>
      </c>
      <c r="M1568" s="471">
        <f t="shared" si="134"/>
        <v>0.05</v>
      </c>
      <c r="N1568" s="475">
        <f t="shared" si="135"/>
        <v>98769</v>
      </c>
    </row>
    <row r="1569" spans="7:14" ht="11.25" customHeight="1" x14ac:dyDescent="0.3">
      <c r="G1569" s="470"/>
      <c r="H1569" s="470">
        <v>1562</v>
      </c>
      <c r="I1569" s="455">
        <f t="shared" ca="1" si="133"/>
        <v>-110810952.05506851</v>
      </c>
      <c r="J1569" s="455">
        <f t="array" ref="J1569">IFERROR(INDEX('Retirement Calculator'!J:J,MATCH('Isaac 401k'!N1569,'Retirement Calculator'!A:A,0),0),0)</f>
        <v>0</v>
      </c>
      <c r="K1569" s="455">
        <f t="shared" ca="1" si="131"/>
        <v>-461712.30022945208</v>
      </c>
      <c r="L1569" s="455">
        <f t="shared" ca="1" si="132"/>
        <v>-111272664.35529795</v>
      </c>
      <c r="M1569" s="471">
        <f t="shared" si="134"/>
        <v>0.05</v>
      </c>
      <c r="N1569" s="475">
        <f t="shared" si="135"/>
        <v>98799</v>
      </c>
    </row>
    <row r="1570" spans="7:14" ht="11.25" customHeight="1" x14ac:dyDescent="0.3">
      <c r="G1570" s="470"/>
      <c r="H1570" s="470">
        <v>1563</v>
      </c>
      <c r="I1570" s="455">
        <f t="shared" ca="1" si="133"/>
        <v>-111272664.35529795</v>
      </c>
      <c r="J1570" s="455">
        <f t="array" ref="J1570">IFERROR(INDEX('Retirement Calculator'!J:J,MATCH('Isaac 401k'!N1570,'Retirement Calculator'!A:A,0),0),0)</f>
        <v>0</v>
      </c>
      <c r="K1570" s="455">
        <f t="shared" ca="1" si="131"/>
        <v>-463636.10148040811</v>
      </c>
      <c r="L1570" s="455">
        <f t="shared" ca="1" si="132"/>
        <v>-111736300.45677836</v>
      </c>
      <c r="M1570" s="471">
        <f t="shared" si="134"/>
        <v>0.05</v>
      </c>
      <c r="N1570" s="475">
        <f t="shared" si="135"/>
        <v>98830</v>
      </c>
    </row>
    <row r="1571" spans="7:14" ht="11.25" customHeight="1" x14ac:dyDescent="0.3">
      <c r="G1571" s="470"/>
      <c r="H1571" s="470">
        <v>1564</v>
      </c>
      <c r="I1571" s="455">
        <f t="shared" ca="1" si="133"/>
        <v>-111736300.45677836</v>
      </c>
      <c r="J1571" s="455">
        <f t="array" ref="J1571">IFERROR(INDEX('Retirement Calculator'!J:J,MATCH('Isaac 401k'!N1571,'Retirement Calculator'!A:A,0),0),0)</f>
        <v>0</v>
      </c>
      <c r="K1571" s="455">
        <f t="shared" ca="1" si="131"/>
        <v>-465567.91856990976</v>
      </c>
      <c r="L1571" s="455">
        <f t="shared" ca="1" si="132"/>
        <v>-112201868.37534827</v>
      </c>
      <c r="M1571" s="471">
        <f t="shared" si="134"/>
        <v>0.05</v>
      </c>
      <c r="N1571" s="475">
        <f t="shared" si="135"/>
        <v>98861</v>
      </c>
    </row>
    <row r="1572" spans="7:14" ht="11.25" customHeight="1" x14ac:dyDescent="0.3">
      <c r="G1572" s="470"/>
      <c r="H1572" s="470">
        <v>1565</v>
      </c>
      <c r="I1572" s="455">
        <f t="shared" ca="1" si="133"/>
        <v>-112201868.37534827</v>
      </c>
      <c r="J1572" s="455">
        <f t="array" ref="J1572">IFERROR(INDEX('Retirement Calculator'!J:J,MATCH('Isaac 401k'!N1572,'Retirement Calculator'!A:A,0),0),0)</f>
        <v>0</v>
      </c>
      <c r="K1572" s="455">
        <f t="shared" ca="1" si="131"/>
        <v>-467507.78489728452</v>
      </c>
      <c r="L1572" s="455">
        <f t="shared" ca="1" si="132"/>
        <v>-112669376.16024555</v>
      </c>
      <c r="M1572" s="471">
        <f t="shared" si="134"/>
        <v>0.05</v>
      </c>
      <c r="N1572" s="475">
        <f t="shared" si="135"/>
        <v>98891</v>
      </c>
    </row>
    <row r="1573" spans="7:14" ht="11.25" customHeight="1" x14ac:dyDescent="0.3">
      <c r="G1573" s="470"/>
      <c r="H1573" s="470">
        <v>1566</v>
      </c>
      <c r="I1573" s="455">
        <f t="shared" ca="1" si="133"/>
        <v>-112669376.16024555</v>
      </c>
      <c r="J1573" s="455">
        <f t="array" ref="J1573">IFERROR(INDEX('Retirement Calculator'!J:J,MATCH('Isaac 401k'!N1573,'Retirement Calculator'!A:A,0),0),0)</f>
        <v>0</v>
      </c>
      <c r="K1573" s="455">
        <f t="shared" ca="1" si="131"/>
        <v>-469455.73400102311</v>
      </c>
      <c r="L1573" s="455">
        <f t="shared" ca="1" si="132"/>
        <v>-113138831.89424658</v>
      </c>
      <c r="M1573" s="471">
        <f t="shared" si="134"/>
        <v>0.05</v>
      </c>
      <c r="N1573" s="475">
        <f t="shared" si="135"/>
        <v>98922</v>
      </c>
    </row>
    <row r="1574" spans="7:14" ht="11.25" customHeight="1" x14ac:dyDescent="0.3">
      <c r="G1574" s="470"/>
      <c r="H1574" s="470">
        <v>1567</v>
      </c>
      <c r="I1574" s="455">
        <f t="shared" ca="1" si="133"/>
        <v>-113138831.89424658</v>
      </c>
      <c r="J1574" s="455">
        <f t="array" ref="J1574">IFERROR(INDEX('Retirement Calculator'!J:J,MATCH('Isaac 401k'!N1574,'Retirement Calculator'!A:A,0),0),0)</f>
        <v>0</v>
      </c>
      <c r="K1574" s="455">
        <f t="shared" ca="1" si="131"/>
        <v>-471411.79955936072</v>
      </c>
      <c r="L1574" s="455">
        <f t="shared" ca="1" si="132"/>
        <v>-113610243.69380593</v>
      </c>
      <c r="M1574" s="471">
        <f t="shared" si="134"/>
        <v>0.05</v>
      </c>
      <c r="N1574" s="475">
        <f t="shared" si="135"/>
        <v>98952</v>
      </c>
    </row>
    <row r="1575" spans="7:14" ht="11.25" customHeight="1" x14ac:dyDescent="0.3">
      <c r="G1575" s="470"/>
      <c r="H1575" s="470">
        <v>1568</v>
      </c>
      <c r="I1575" s="455">
        <f t="shared" ca="1" si="133"/>
        <v>-113610243.69380593</v>
      </c>
      <c r="J1575" s="455">
        <f t="array" ref="J1575">IFERROR(INDEX('Retirement Calculator'!J:J,MATCH('Isaac 401k'!N1575,'Retirement Calculator'!A:A,0),0),0)</f>
        <v>0</v>
      </c>
      <c r="K1575" s="455">
        <f t="shared" ca="1" si="131"/>
        <v>-473376.01539085805</v>
      </c>
      <c r="L1575" s="455">
        <f t="shared" ca="1" si="132"/>
        <v>-114083619.70919679</v>
      </c>
      <c r="M1575" s="471">
        <f t="shared" si="134"/>
        <v>0.05</v>
      </c>
      <c r="N1575" s="475">
        <f t="shared" si="135"/>
        <v>98983</v>
      </c>
    </row>
    <row r="1576" spans="7:14" ht="11.25" customHeight="1" x14ac:dyDescent="0.3">
      <c r="G1576" s="470"/>
      <c r="H1576" s="470">
        <v>1569</v>
      </c>
      <c r="I1576" s="455">
        <f t="shared" ca="1" si="133"/>
        <v>-114083619.70919679</v>
      </c>
      <c r="J1576" s="455">
        <f t="array" ref="J1576">IFERROR(INDEX('Retirement Calculator'!J:J,MATCH('Isaac 401k'!N1576,'Retirement Calculator'!A:A,0),0),0)</f>
        <v>0</v>
      </c>
      <c r="K1576" s="455">
        <f t="shared" ca="1" si="131"/>
        <v>-475348.41545498662</v>
      </c>
      <c r="L1576" s="455">
        <f t="shared" ca="1" si="132"/>
        <v>-114558968.12465177</v>
      </c>
      <c r="M1576" s="471">
        <f t="shared" si="134"/>
        <v>0.05</v>
      </c>
      <c r="N1576" s="475">
        <f t="shared" si="135"/>
        <v>99014</v>
      </c>
    </row>
    <row r="1577" spans="7:14" ht="11.25" customHeight="1" x14ac:dyDescent="0.3">
      <c r="G1577" s="470"/>
      <c r="H1577" s="470">
        <v>1570</v>
      </c>
      <c r="I1577" s="455">
        <f t="shared" ca="1" si="133"/>
        <v>-114558968.12465177</v>
      </c>
      <c r="J1577" s="455">
        <f t="array" ref="J1577">IFERROR(INDEX('Retirement Calculator'!J:J,MATCH('Isaac 401k'!N1577,'Retirement Calculator'!A:A,0),0),0)</f>
        <v>0</v>
      </c>
      <c r="K1577" s="455">
        <f t="shared" ca="1" si="131"/>
        <v>-477329.03385271574</v>
      </c>
      <c r="L1577" s="455">
        <f t="shared" ca="1" si="132"/>
        <v>-115036297.15850449</v>
      </c>
      <c r="M1577" s="471">
        <f t="shared" si="134"/>
        <v>0.05</v>
      </c>
      <c r="N1577" s="475">
        <f t="shared" si="135"/>
        <v>99042</v>
      </c>
    </row>
    <row r="1578" spans="7:14" ht="11.25" customHeight="1" x14ac:dyDescent="0.3">
      <c r="G1578" s="470"/>
      <c r="H1578" s="470">
        <v>1571</v>
      </c>
      <c r="I1578" s="455">
        <f t="shared" ca="1" si="133"/>
        <v>-115036297.15850449</v>
      </c>
      <c r="J1578" s="455">
        <f t="array" ref="J1578">IFERROR(INDEX('Retirement Calculator'!J:J,MATCH('Isaac 401k'!N1578,'Retirement Calculator'!A:A,0),0),0)</f>
        <v>0</v>
      </c>
      <c r="K1578" s="455">
        <f t="shared" ca="1" si="131"/>
        <v>-479317.90482710209</v>
      </c>
      <c r="L1578" s="455">
        <f t="shared" ca="1" si="132"/>
        <v>-115515615.06333159</v>
      </c>
      <c r="M1578" s="471">
        <f t="shared" si="134"/>
        <v>0.05</v>
      </c>
      <c r="N1578" s="475">
        <f t="shared" si="135"/>
        <v>99073</v>
      </c>
    </row>
    <row r="1579" spans="7:14" ht="11.25" customHeight="1" x14ac:dyDescent="0.3">
      <c r="G1579" s="470"/>
      <c r="H1579" s="470">
        <v>1572</v>
      </c>
      <c r="I1579" s="455">
        <f t="shared" ca="1" si="133"/>
        <v>-115515615.06333159</v>
      </c>
      <c r="J1579" s="455">
        <f t="array" ref="J1579">IFERROR(INDEX('Retirement Calculator'!J:J,MATCH('Isaac 401k'!N1579,'Retirement Calculator'!A:A,0),0),0)</f>
        <v>0</v>
      </c>
      <c r="K1579" s="455">
        <f t="shared" ca="1" si="131"/>
        <v>-481315.06276388164</v>
      </c>
      <c r="L1579" s="455">
        <f t="shared" ca="1" si="132"/>
        <v>-115996930.12609547</v>
      </c>
      <c r="M1579" s="471">
        <f t="shared" si="134"/>
        <v>0.05</v>
      </c>
      <c r="N1579" s="475">
        <f t="shared" si="135"/>
        <v>99103</v>
      </c>
    </row>
    <row r="1580" spans="7:14" ht="11.25" customHeight="1" x14ac:dyDescent="0.3">
      <c r="G1580" s="470"/>
      <c r="H1580" s="470">
        <v>1573</v>
      </c>
      <c r="I1580" s="455">
        <f t="shared" ca="1" si="133"/>
        <v>-115996930.12609547</v>
      </c>
      <c r="J1580" s="455">
        <f t="array" ref="J1580">IFERROR(INDEX('Retirement Calculator'!J:J,MATCH('Isaac 401k'!N1580,'Retirement Calculator'!A:A,0),0),0)</f>
        <v>0</v>
      </c>
      <c r="K1580" s="455">
        <f t="shared" ca="1" si="131"/>
        <v>-483320.54219206452</v>
      </c>
      <c r="L1580" s="455">
        <f t="shared" ca="1" si="132"/>
        <v>-116480250.66828755</v>
      </c>
      <c r="M1580" s="471">
        <f t="shared" si="134"/>
        <v>0.05</v>
      </c>
      <c r="N1580" s="475">
        <f t="shared" si="135"/>
        <v>99134</v>
      </c>
    </row>
    <row r="1581" spans="7:14" ht="11.25" customHeight="1" x14ac:dyDescent="0.3">
      <c r="G1581" s="470"/>
      <c r="H1581" s="470">
        <v>1574</v>
      </c>
      <c r="I1581" s="455">
        <f t="shared" ca="1" si="133"/>
        <v>-116480250.66828755</v>
      </c>
      <c r="J1581" s="455">
        <f t="array" ref="J1581">IFERROR(INDEX('Retirement Calculator'!J:J,MATCH('Isaac 401k'!N1581,'Retirement Calculator'!A:A,0),0),0)</f>
        <v>0</v>
      </c>
      <c r="K1581" s="455">
        <f t="shared" ca="1" si="131"/>
        <v>-485334.37778453145</v>
      </c>
      <c r="L1581" s="455">
        <f t="shared" ca="1" si="132"/>
        <v>-116965585.04607208</v>
      </c>
      <c r="M1581" s="471">
        <f t="shared" si="134"/>
        <v>0.05</v>
      </c>
      <c r="N1581" s="475">
        <f t="shared" si="135"/>
        <v>99164</v>
      </c>
    </row>
    <row r="1582" spans="7:14" ht="11.25" customHeight="1" x14ac:dyDescent="0.3">
      <c r="G1582" s="470"/>
      <c r="H1582" s="470">
        <v>1575</v>
      </c>
      <c r="I1582" s="455">
        <f t="shared" ca="1" si="133"/>
        <v>-116965585.04607208</v>
      </c>
      <c r="J1582" s="455">
        <f t="array" ref="J1582">IFERROR(INDEX('Retirement Calculator'!J:J,MATCH('Isaac 401k'!N1582,'Retirement Calculator'!A:A,0),0),0)</f>
        <v>0</v>
      </c>
      <c r="K1582" s="455">
        <f t="shared" ca="1" si="131"/>
        <v>-487356.60435863375</v>
      </c>
      <c r="L1582" s="455">
        <f t="shared" ca="1" si="132"/>
        <v>-117452941.65043071</v>
      </c>
      <c r="M1582" s="471">
        <f t="shared" si="134"/>
        <v>0.05</v>
      </c>
      <c r="N1582" s="475">
        <f t="shared" si="135"/>
        <v>99195</v>
      </c>
    </row>
    <row r="1583" spans="7:14" ht="11.25" customHeight="1" x14ac:dyDescent="0.3">
      <c r="G1583" s="470"/>
      <c r="H1583" s="470">
        <v>1576</v>
      </c>
      <c r="I1583" s="455">
        <f t="shared" ca="1" si="133"/>
        <v>-117452941.65043071</v>
      </c>
      <c r="J1583" s="455">
        <f t="array" ref="J1583">IFERROR(INDEX('Retirement Calculator'!J:J,MATCH('Isaac 401k'!N1583,'Retirement Calculator'!A:A,0),0),0)</f>
        <v>0</v>
      </c>
      <c r="K1583" s="455">
        <f t="shared" ca="1" si="131"/>
        <v>-489387.25687679462</v>
      </c>
      <c r="L1583" s="455">
        <f t="shared" ca="1" si="132"/>
        <v>-117942328.90730751</v>
      </c>
      <c r="M1583" s="471">
        <f t="shared" si="134"/>
        <v>0.05</v>
      </c>
      <c r="N1583" s="475">
        <f t="shared" si="135"/>
        <v>99226</v>
      </c>
    </row>
    <row r="1584" spans="7:14" ht="11.25" customHeight="1" x14ac:dyDescent="0.3">
      <c r="G1584" s="470"/>
      <c r="H1584" s="470">
        <v>1577</v>
      </c>
      <c r="I1584" s="455">
        <f t="shared" ca="1" si="133"/>
        <v>-117942328.90730751</v>
      </c>
      <c r="J1584" s="455">
        <f t="array" ref="J1584">IFERROR(INDEX('Retirement Calculator'!J:J,MATCH('Isaac 401k'!N1584,'Retirement Calculator'!A:A,0),0),0)</f>
        <v>0</v>
      </c>
      <c r="K1584" s="455">
        <f t="shared" ca="1" si="131"/>
        <v>-491426.37044711452</v>
      </c>
      <c r="L1584" s="455">
        <f t="shared" ca="1" si="132"/>
        <v>-118433755.27775462</v>
      </c>
      <c r="M1584" s="471">
        <f t="shared" si="134"/>
        <v>0.05</v>
      </c>
      <c r="N1584" s="475">
        <f t="shared" si="135"/>
        <v>99256</v>
      </c>
    </row>
    <row r="1585" spans="7:14" ht="11.25" customHeight="1" x14ac:dyDescent="0.3">
      <c r="G1585" s="470"/>
      <c r="H1585" s="470">
        <v>1578</v>
      </c>
      <c r="I1585" s="455">
        <f t="shared" ca="1" si="133"/>
        <v>-118433755.27775462</v>
      </c>
      <c r="J1585" s="455">
        <f t="array" ref="J1585">IFERROR(INDEX('Retirement Calculator'!J:J,MATCH('Isaac 401k'!N1585,'Retirement Calculator'!A:A,0),0),0)</f>
        <v>0</v>
      </c>
      <c r="K1585" s="455">
        <f t="shared" ca="1" si="131"/>
        <v>-493473.98032397765</v>
      </c>
      <c r="L1585" s="455">
        <f t="shared" ca="1" si="132"/>
        <v>-118927229.25807859</v>
      </c>
      <c r="M1585" s="471">
        <f t="shared" si="134"/>
        <v>0.05</v>
      </c>
      <c r="N1585" s="475">
        <f t="shared" si="135"/>
        <v>99287</v>
      </c>
    </row>
    <row r="1586" spans="7:14" ht="11.25" customHeight="1" x14ac:dyDescent="0.3">
      <c r="G1586" s="470"/>
      <c r="H1586" s="470">
        <v>1579</v>
      </c>
      <c r="I1586" s="455">
        <f t="shared" ca="1" si="133"/>
        <v>-118927229.25807859</v>
      </c>
      <c r="J1586" s="455">
        <f t="array" ref="J1586">IFERROR(INDEX('Retirement Calculator'!J:J,MATCH('Isaac 401k'!N1586,'Retirement Calculator'!A:A,0),0),0)</f>
        <v>0</v>
      </c>
      <c r="K1586" s="455">
        <f t="shared" ca="1" si="131"/>
        <v>-495530.12190866086</v>
      </c>
      <c r="L1586" s="455">
        <f t="shared" ca="1" si="132"/>
        <v>-119422759.37998725</v>
      </c>
      <c r="M1586" s="471">
        <f t="shared" si="134"/>
        <v>0.05</v>
      </c>
      <c r="N1586" s="475">
        <f t="shared" si="135"/>
        <v>99317</v>
      </c>
    </row>
    <row r="1587" spans="7:14" ht="11.25" customHeight="1" x14ac:dyDescent="0.3">
      <c r="G1587" s="470"/>
      <c r="H1587" s="470">
        <v>1580</v>
      </c>
      <c r="I1587" s="455">
        <f t="shared" ca="1" si="133"/>
        <v>-119422759.37998725</v>
      </c>
      <c r="J1587" s="455">
        <f t="array" ref="J1587">IFERROR(INDEX('Retirement Calculator'!J:J,MATCH('Isaac 401k'!N1587,'Retirement Calculator'!A:A,0),0),0)</f>
        <v>0</v>
      </c>
      <c r="K1587" s="455">
        <f t="shared" ca="1" si="131"/>
        <v>-497594.83074994682</v>
      </c>
      <c r="L1587" s="455">
        <f t="shared" ca="1" si="132"/>
        <v>-119920354.2107372</v>
      </c>
      <c r="M1587" s="471">
        <f t="shared" si="134"/>
        <v>0.05</v>
      </c>
      <c r="N1587" s="475">
        <f t="shared" si="135"/>
        <v>99348</v>
      </c>
    </row>
    <row r="1588" spans="7:14" ht="11.25" customHeight="1" x14ac:dyDescent="0.3">
      <c r="G1588" s="470"/>
      <c r="H1588" s="470">
        <v>1581</v>
      </c>
      <c r="I1588" s="455">
        <f t="shared" ca="1" si="133"/>
        <v>-119920354.2107372</v>
      </c>
      <c r="J1588" s="455">
        <f t="array" ref="J1588">IFERROR(INDEX('Retirement Calculator'!J:J,MATCH('Isaac 401k'!N1588,'Retirement Calculator'!A:A,0),0),0)</f>
        <v>0</v>
      </c>
      <c r="K1588" s="455">
        <f t="shared" ca="1" si="131"/>
        <v>-499668.14254473831</v>
      </c>
      <c r="L1588" s="455">
        <f t="shared" ca="1" si="132"/>
        <v>-120420022.35328193</v>
      </c>
      <c r="M1588" s="471">
        <f t="shared" si="134"/>
        <v>0.05</v>
      </c>
      <c r="N1588" s="475">
        <f t="shared" si="135"/>
        <v>99379</v>
      </c>
    </row>
    <row r="1589" spans="7:14" ht="11.25" customHeight="1" x14ac:dyDescent="0.3">
      <c r="G1589" s="470"/>
      <c r="H1589" s="470">
        <v>1582</v>
      </c>
      <c r="I1589" s="455">
        <f t="shared" ca="1" si="133"/>
        <v>-120420022.35328193</v>
      </c>
      <c r="J1589" s="455">
        <f t="array" ref="J1589">IFERROR(INDEX('Retirement Calculator'!J:J,MATCH('Isaac 401k'!N1589,'Retirement Calculator'!A:A,0),0),0)</f>
        <v>0</v>
      </c>
      <c r="K1589" s="455">
        <f t="shared" ca="1" si="131"/>
        <v>-501750.09313867474</v>
      </c>
      <c r="L1589" s="455">
        <f t="shared" ca="1" si="132"/>
        <v>-120921772.44642061</v>
      </c>
      <c r="M1589" s="471">
        <f t="shared" si="134"/>
        <v>0.05</v>
      </c>
      <c r="N1589" s="475">
        <f t="shared" si="135"/>
        <v>99408</v>
      </c>
    </row>
    <row r="1590" spans="7:14" ht="11.25" customHeight="1" x14ac:dyDescent="0.3">
      <c r="G1590" s="470"/>
      <c r="H1590" s="470">
        <v>1583</v>
      </c>
      <c r="I1590" s="455">
        <f t="shared" ca="1" si="133"/>
        <v>-120921772.44642061</v>
      </c>
      <c r="J1590" s="455">
        <f t="array" ref="J1590">IFERROR(INDEX('Retirement Calculator'!J:J,MATCH('Isaac 401k'!N1590,'Retirement Calculator'!A:A,0),0),0)</f>
        <v>0</v>
      </c>
      <c r="K1590" s="455">
        <f t="shared" ca="1" si="131"/>
        <v>-503840.71852675255</v>
      </c>
      <c r="L1590" s="455">
        <f t="shared" ca="1" si="132"/>
        <v>-121425613.16494736</v>
      </c>
      <c r="M1590" s="471">
        <f t="shared" si="134"/>
        <v>0.05</v>
      </c>
      <c r="N1590" s="475">
        <f t="shared" si="135"/>
        <v>99439</v>
      </c>
    </row>
    <row r="1591" spans="7:14" ht="11.25" customHeight="1" x14ac:dyDescent="0.3">
      <c r="G1591" s="470"/>
      <c r="H1591" s="470">
        <v>1584</v>
      </c>
      <c r="I1591" s="455">
        <f t="shared" ca="1" si="133"/>
        <v>-121425613.16494736</v>
      </c>
      <c r="J1591" s="455">
        <f t="array" ref="J1591">IFERROR(INDEX('Retirement Calculator'!J:J,MATCH('Isaac 401k'!N1591,'Retirement Calculator'!A:A,0),0),0)</f>
        <v>0</v>
      </c>
      <c r="K1591" s="455">
        <f t="shared" ca="1" si="131"/>
        <v>-505940.05485394737</v>
      </c>
      <c r="L1591" s="455">
        <f t="shared" ca="1" si="132"/>
        <v>-121931553.21980131</v>
      </c>
      <c r="M1591" s="471">
        <f t="shared" si="134"/>
        <v>0.05</v>
      </c>
      <c r="N1591" s="475">
        <f t="shared" si="135"/>
        <v>99469</v>
      </c>
    </row>
    <row r="1592" spans="7:14" ht="11.25" customHeight="1" x14ac:dyDescent="0.3">
      <c r="G1592" s="470"/>
      <c r="H1592" s="470">
        <v>1585</v>
      </c>
      <c r="I1592" s="455">
        <f t="shared" ca="1" si="133"/>
        <v>-121931553.21980131</v>
      </c>
      <c r="J1592" s="455">
        <f t="array" ref="J1592">IFERROR(INDEX('Retirement Calculator'!J:J,MATCH('Isaac 401k'!N1592,'Retirement Calculator'!A:A,0),0),0)</f>
        <v>0</v>
      </c>
      <c r="K1592" s="455">
        <f t="shared" ca="1" si="131"/>
        <v>-508048.13841583877</v>
      </c>
      <c r="L1592" s="455">
        <f t="shared" ca="1" si="132"/>
        <v>-122439601.35821715</v>
      </c>
      <c r="M1592" s="471">
        <f t="shared" si="134"/>
        <v>0.05</v>
      </c>
      <c r="N1592" s="475">
        <f t="shared" si="135"/>
        <v>99500</v>
      </c>
    </row>
    <row r="1593" spans="7:14" ht="11.25" customHeight="1" x14ac:dyDescent="0.3">
      <c r="G1593" s="470"/>
      <c r="H1593" s="470">
        <v>1586</v>
      </c>
      <c r="I1593" s="455">
        <f t="shared" ca="1" si="133"/>
        <v>-122439601.35821715</v>
      </c>
      <c r="J1593" s="455">
        <f t="array" ref="J1593">IFERROR(INDEX('Retirement Calculator'!J:J,MATCH('Isaac 401k'!N1593,'Retirement Calculator'!A:A,0),0),0)</f>
        <v>0</v>
      </c>
      <c r="K1593" s="455">
        <f t="shared" ca="1" si="131"/>
        <v>-510165.0056592382</v>
      </c>
      <c r="L1593" s="455">
        <f t="shared" ca="1" si="132"/>
        <v>-122949766.36387639</v>
      </c>
      <c r="M1593" s="471">
        <f t="shared" si="134"/>
        <v>0.05</v>
      </c>
      <c r="N1593" s="475">
        <f t="shared" si="135"/>
        <v>99530</v>
      </c>
    </row>
    <row r="1594" spans="7:14" ht="11.25" customHeight="1" x14ac:dyDescent="0.3">
      <c r="G1594" s="470"/>
      <c r="H1594" s="470">
        <v>1587</v>
      </c>
      <c r="I1594" s="455">
        <f t="shared" ca="1" si="133"/>
        <v>-122949766.36387639</v>
      </c>
      <c r="J1594" s="455">
        <f t="array" ref="J1594">IFERROR(INDEX('Retirement Calculator'!J:J,MATCH('Isaac 401k'!N1594,'Retirement Calculator'!A:A,0),0),0)</f>
        <v>0</v>
      </c>
      <c r="K1594" s="455">
        <f t="shared" ca="1" si="131"/>
        <v>-512290.6931828183</v>
      </c>
      <c r="L1594" s="455">
        <f t="shared" ca="1" si="132"/>
        <v>-123462057.0570592</v>
      </c>
      <c r="M1594" s="471">
        <f t="shared" si="134"/>
        <v>0.05</v>
      </c>
      <c r="N1594" s="475">
        <f t="shared" si="135"/>
        <v>99561</v>
      </c>
    </row>
    <row r="1595" spans="7:14" ht="11.25" customHeight="1" x14ac:dyDescent="0.3">
      <c r="G1595" s="470"/>
      <c r="H1595" s="470">
        <v>1588</v>
      </c>
      <c r="I1595" s="455">
        <f t="shared" ca="1" si="133"/>
        <v>-123462057.0570592</v>
      </c>
      <c r="J1595" s="455">
        <f t="array" ref="J1595">IFERROR(INDEX('Retirement Calculator'!J:J,MATCH('Isaac 401k'!N1595,'Retirement Calculator'!A:A,0),0),0)</f>
        <v>0</v>
      </c>
      <c r="K1595" s="455">
        <f t="shared" ca="1" si="131"/>
        <v>-514425.23773774673</v>
      </c>
      <c r="L1595" s="455">
        <f t="shared" ca="1" si="132"/>
        <v>-123976482.29479694</v>
      </c>
      <c r="M1595" s="471">
        <f t="shared" si="134"/>
        <v>0.05</v>
      </c>
      <c r="N1595" s="475">
        <f t="shared" si="135"/>
        <v>99592</v>
      </c>
    </row>
    <row r="1596" spans="7:14" ht="11.25" customHeight="1" x14ac:dyDescent="0.3">
      <c r="G1596" s="470"/>
      <c r="H1596" s="470">
        <v>1589</v>
      </c>
      <c r="I1596" s="455">
        <f t="shared" ca="1" si="133"/>
        <v>-123976482.29479694</v>
      </c>
      <c r="J1596" s="455">
        <f t="array" ref="J1596">IFERROR(INDEX('Retirement Calculator'!J:J,MATCH('Isaac 401k'!N1596,'Retirement Calculator'!A:A,0),0),0)</f>
        <v>0</v>
      </c>
      <c r="K1596" s="455">
        <f t="shared" ca="1" si="131"/>
        <v>-516568.67622832058</v>
      </c>
      <c r="L1596" s="455">
        <f t="shared" ca="1" si="132"/>
        <v>-124493050.97102526</v>
      </c>
      <c r="M1596" s="471">
        <f t="shared" si="134"/>
        <v>0.05</v>
      </c>
      <c r="N1596" s="475">
        <f t="shared" si="135"/>
        <v>99622</v>
      </c>
    </row>
    <row r="1597" spans="7:14" ht="11.25" customHeight="1" x14ac:dyDescent="0.3">
      <c r="G1597" s="470"/>
      <c r="H1597" s="470">
        <v>1590</v>
      </c>
      <c r="I1597" s="455">
        <f t="shared" ca="1" si="133"/>
        <v>-124493050.97102526</v>
      </c>
      <c r="J1597" s="455">
        <f t="array" ref="J1597">IFERROR(INDEX('Retirement Calculator'!J:J,MATCH('Isaac 401k'!N1597,'Retirement Calculator'!A:A,0),0),0)</f>
        <v>0</v>
      </c>
      <c r="K1597" s="455">
        <f t="shared" ca="1" si="131"/>
        <v>-518721.04571260524</v>
      </c>
      <c r="L1597" s="455">
        <f t="shared" ca="1" si="132"/>
        <v>-125011772.01673786</v>
      </c>
      <c r="M1597" s="471">
        <f t="shared" si="134"/>
        <v>0.05</v>
      </c>
      <c r="N1597" s="475">
        <f t="shared" si="135"/>
        <v>99653</v>
      </c>
    </row>
    <row r="1598" spans="7:14" ht="11.25" customHeight="1" x14ac:dyDescent="0.3">
      <c r="G1598" s="470"/>
      <c r="H1598" s="470">
        <v>1591</v>
      </c>
      <c r="I1598" s="455">
        <f t="shared" ca="1" si="133"/>
        <v>-125011772.01673786</v>
      </c>
      <c r="J1598" s="455">
        <f t="array" ref="J1598">IFERROR(INDEX('Retirement Calculator'!J:J,MATCH('Isaac 401k'!N1598,'Retirement Calculator'!A:A,0),0),0)</f>
        <v>0</v>
      </c>
      <c r="K1598" s="455">
        <f t="shared" ca="1" si="131"/>
        <v>-520882.3834030744</v>
      </c>
      <c r="L1598" s="455">
        <f t="shared" ca="1" si="132"/>
        <v>-125532654.40014094</v>
      </c>
      <c r="M1598" s="471">
        <f t="shared" si="134"/>
        <v>0.05</v>
      </c>
      <c r="N1598" s="475">
        <f t="shared" si="135"/>
        <v>99683</v>
      </c>
    </row>
    <row r="1599" spans="7:14" ht="11.25" customHeight="1" x14ac:dyDescent="0.3">
      <c r="G1599" s="470"/>
      <c r="H1599" s="470">
        <v>1592</v>
      </c>
      <c r="I1599" s="455">
        <f t="shared" ca="1" si="133"/>
        <v>-125532654.40014094</v>
      </c>
      <c r="J1599" s="455">
        <f t="array" ref="J1599">IFERROR(INDEX('Retirement Calculator'!J:J,MATCH('Isaac 401k'!N1599,'Retirement Calculator'!A:A,0),0),0)</f>
        <v>0</v>
      </c>
      <c r="K1599" s="455">
        <f t="shared" ca="1" si="131"/>
        <v>-523052.72666725394</v>
      </c>
      <c r="L1599" s="455">
        <f t="shared" ca="1" si="132"/>
        <v>-126055707.1268082</v>
      </c>
      <c r="M1599" s="471">
        <f t="shared" si="134"/>
        <v>0.05</v>
      </c>
      <c r="N1599" s="475">
        <f t="shared" si="135"/>
        <v>99714</v>
      </c>
    </row>
    <row r="1600" spans="7:14" ht="11.25" customHeight="1" x14ac:dyDescent="0.3">
      <c r="G1600" s="470"/>
      <c r="H1600" s="470">
        <v>1593</v>
      </c>
      <c r="I1600" s="455">
        <f t="shared" ca="1" si="133"/>
        <v>-126055707.1268082</v>
      </c>
      <c r="J1600" s="455">
        <f t="array" ref="J1600">IFERROR(INDEX('Retirement Calculator'!J:J,MATCH('Isaac 401k'!N1600,'Retirement Calculator'!A:A,0),0),0)</f>
        <v>0</v>
      </c>
      <c r="K1600" s="455">
        <f t="shared" ca="1" si="131"/>
        <v>-525232.1130283674</v>
      </c>
      <c r="L1600" s="455">
        <f t="shared" ca="1" si="132"/>
        <v>-126580939.23983656</v>
      </c>
      <c r="M1600" s="471">
        <f t="shared" si="134"/>
        <v>0.05</v>
      </c>
      <c r="N1600" s="475">
        <f t="shared" si="135"/>
        <v>99745</v>
      </c>
    </row>
    <row r="1601" spans="7:14" ht="11.25" customHeight="1" x14ac:dyDescent="0.3">
      <c r="G1601" s="470"/>
      <c r="H1601" s="470">
        <v>1594</v>
      </c>
      <c r="I1601" s="455">
        <f t="shared" ca="1" si="133"/>
        <v>-126580939.23983656</v>
      </c>
      <c r="J1601" s="455">
        <f t="array" ref="J1601">IFERROR(INDEX('Retirement Calculator'!J:J,MATCH('Isaac 401k'!N1601,'Retirement Calculator'!A:A,0),0),0)</f>
        <v>0</v>
      </c>
      <c r="K1601" s="455">
        <f t="shared" ca="1" si="131"/>
        <v>-527420.58016598562</v>
      </c>
      <c r="L1601" s="455">
        <f t="shared" ca="1" si="132"/>
        <v>-127108359.82000254</v>
      </c>
      <c r="M1601" s="471">
        <f t="shared" si="134"/>
        <v>0.05</v>
      </c>
      <c r="N1601" s="475">
        <f t="shared" si="135"/>
        <v>99773</v>
      </c>
    </row>
    <row r="1602" spans="7:14" ht="11.25" customHeight="1" x14ac:dyDescent="0.3">
      <c r="G1602" s="470"/>
      <c r="H1602" s="470">
        <v>1595</v>
      </c>
      <c r="I1602" s="455">
        <f t="shared" ca="1" si="133"/>
        <v>-127108359.82000254</v>
      </c>
      <c r="J1602" s="455">
        <f t="array" ref="J1602">IFERROR(INDEX('Retirement Calculator'!J:J,MATCH('Isaac 401k'!N1602,'Retirement Calculator'!A:A,0),0),0)</f>
        <v>0</v>
      </c>
      <c r="K1602" s="455">
        <f t="shared" ca="1" si="131"/>
        <v>-529618.16591667722</v>
      </c>
      <c r="L1602" s="455">
        <f t="shared" ca="1" si="132"/>
        <v>-127637977.98591922</v>
      </c>
      <c r="M1602" s="471">
        <f t="shared" si="134"/>
        <v>0.05</v>
      </c>
      <c r="N1602" s="475">
        <f t="shared" si="135"/>
        <v>99804</v>
      </c>
    </row>
    <row r="1603" spans="7:14" ht="11.25" customHeight="1" x14ac:dyDescent="0.3">
      <c r="G1603" s="470"/>
      <c r="H1603" s="470">
        <v>1596</v>
      </c>
      <c r="I1603" s="455">
        <f t="shared" ca="1" si="133"/>
        <v>-127637977.98591922</v>
      </c>
      <c r="J1603" s="455">
        <f t="array" ref="J1603">IFERROR(INDEX('Retirement Calculator'!J:J,MATCH('Isaac 401k'!N1603,'Retirement Calculator'!A:A,0),0),0)</f>
        <v>0</v>
      </c>
      <c r="K1603" s="455">
        <f t="shared" ca="1" si="131"/>
        <v>-531824.9082746635</v>
      </c>
      <c r="L1603" s="455">
        <f t="shared" ca="1" si="132"/>
        <v>-128169802.89419389</v>
      </c>
      <c r="M1603" s="471">
        <f t="shared" si="134"/>
        <v>0.05</v>
      </c>
      <c r="N1603" s="475">
        <f t="shared" si="135"/>
        <v>99834</v>
      </c>
    </row>
    <row r="1604" spans="7:14" ht="11.25" customHeight="1" x14ac:dyDescent="0.3">
      <c r="G1604" s="470"/>
      <c r="H1604" s="470">
        <v>1597</v>
      </c>
      <c r="I1604" s="455">
        <f t="shared" ca="1" si="133"/>
        <v>-128169802.89419389</v>
      </c>
      <c r="J1604" s="455">
        <f t="array" ref="J1604">IFERROR(INDEX('Retirement Calculator'!J:J,MATCH('Isaac 401k'!N1604,'Retirement Calculator'!A:A,0),0),0)</f>
        <v>0</v>
      </c>
      <c r="K1604" s="455">
        <f t="shared" ca="1" si="131"/>
        <v>-534040.84539247444</v>
      </c>
      <c r="L1604" s="455">
        <f t="shared" ca="1" si="132"/>
        <v>-128703843.73958637</v>
      </c>
      <c r="M1604" s="471">
        <f t="shared" si="134"/>
        <v>0.05</v>
      </c>
      <c r="N1604" s="475">
        <f t="shared" si="135"/>
        <v>99865</v>
      </c>
    </row>
    <row r="1605" spans="7:14" ht="11.25" customHeight="1" x14ac:dyDescent="0.3">
      <c r="G1605" s="470"/>
      <c r="H1605" s="470">
        <v>1598</v>
      </c>
      <c r="I1605" s="455">
        <f t="shared" ca="1" si="133"/>
        <v>-128703843.73958637</v>
      </c>
      <c r="J1605" s="455">
        <f t="array" ref="J1605">IFERROR(INDEX('Retirement Calculator'!J:J,MATCH('Isaac 401k'!N1605,'Retirement Calculator'!A:A,0),0),0)</f>
        <v>0</v>
      </c>
      <c r="K1605" s="455">
        <f t="shared" ca="1" si="131"/>
        <v>-536266.0155816098</v>
      </c>
      <c r="L1605" s="455">
        <f t="shared" ca="1" si="132"/>
        <v>-129240109.75516798</v>
      </c>
      <c r="M1605" s="471">
        <f t="shared" si="134"/>
        <v>0.05</v>
      </c>
      <c r="N1605" s="475">
        <f t="shared" si="135"/>
        <v>99895</v>
      </c>
    </row>
    <row r="1606" spans="7:14" ht="11.25" customHeight="1" x14ac:dyDescent="0.3">
      <c r="G1606" s="470"/>
      <c r="H1606" s="470">
        <v>1599</v>
      </c>
      <c r="I1606" s="455">
        <f t="shared" ca="1" si="133"/>
        <v>-129240109.75516798</v>
      </c>
      <c r="J1606" s="455">
        <f t="array" ref="J1606">IFERROR(INDEX('Retirement Calculator'!J:J,MATCH('Isaac 401k'!N1606,'Retirement Calculator'!A:A,0),0),0)</f>
        <v>0</v>
      </c>
      <c r="K1606" s="455">
        <f t="shared" ca="1" si="131"/>
        <v>-538500.45731319988</v>
      </c>
      <c r="L1606" s="455">
        <f t="shared" ca="1" si="132"/>
        <v>-129778610.21248117</v>
      </c>
      <c r="M1606" s="471">
        <f t="shared" si="134"/>
        <v>0.05</v>
      </c>
      <c r="N1606" s="475">
        <f t="shared" si="135"/>
        <v>99926</v>
      </c>
    </row>
    <row r="1607" spans="7:14" ht="11.25" customHeight="1" x14ac:dyDescent="0.3">
      <c r="G1607" s="470"/>
      <c r="H1607" s="470">
        <v>1600</v>
      </c>
      <c r="I1607" s="455">
        <f t="shared" ca="1" si="133"/>
        <v>-129778610.21248117</v>
      </c>
      <c r="J1607" s="455">
        <f t="array" ref="J1607">IFERROR(INDEX('Retirement Calculator'!J:J,MATCH('Isaac 401k'!N1607,'Retirement Calculator'!A:A,0),0),0)</f>
        <v>0</v>
      </c>
      <c r="K1607" s="455">
        <f t="shared" ca="1" si="131"/>
        <v>-540744.20921867155</v>
      </c>
      <c r="L1607" s="455">
        <f t="shared" ca="1" si="132"/>
        <v>-130319354.42169984</v>
      </c>
      <c r="M1607" s="471">
        <f t="shared" si="134"/>
        <v>0.05</v>
      </c>
      <c r="N1607" s="475">
        <f t="shared" si="135"/>
        <v>99957</v>
      </c>
    </row>
    <row r="1608" spans="7:14" ht="11.25" customHeight="1" x14ac:dyDescent="0.3">
      <c r="G1608" s="470"/>
      <c r="H1608" s="470">
        <v>1601</v>
      </c>
      <c r="I1608" s="455">
        <f t="shared" ca="1" si="133"/>
        <v>-130319354.42169984</v>
      </c>
      <c r="J1608" s="455">
        <f t="array" ref="J1608">IFERROR(INDEX('Retirement Calculator'!J:J,MATCH('Isaac 401k'!N1608,'Retirement Calculator'!A:A,0),0),0)</f>
        <v>0</v>
      </c>
      <c r="K1608" s="455">
        <f t="shared" ca="1" si="131"/>
        <v>-542997.31009041599</v>
      </c>
      <c r="L1608" s="455">
        <f t="shared" ca="1" si="132"/>
        <v>-130862351.73179026</v>
      </c>
      <c r="M1608" s="471">
        <f t="shared" si="134"/>
        <v>0.05</v>
      </c>
      <c r="N1608" s="475">
        <f t="shared" si="135"/>
        <v>99987</v>
      </c>
    </row>
    <row r="1609" spans="7:14" ht="11.25" customHeight="1" x14ac:dyDescent="0.3">
      <c r="G1609" s="470"/>
      <c r="H1609" s="470">
        <v>1602</v>
      </c>
      <c r="I1609" s="455">
        <f t="shared" ca="1" si="133"/>
        <v>-130862351.73179026</v>
      </c>
      <c r="J1609" s="455">
        <f t="array" ref="J1609">IFERROR(INDEX('Retirement Calculator'!J:J,MATCH('Isaac 401k'!N1609,'Retirement Calculator'!A:A,0),0),0)</f>
        <v>0</v>
      </c>
      <c r="K1609" s="455">
        <f t="shared" ca="1" si="131"/>
        <v>-545259.79888245941</v>
      </c>
      <c r="L1609" s="455">
        <f t="shared" ca="1" si="132"/>
        <v>-131407611.53067271</v>
      </c>
      <c r="M1609" s="471">
        <f t="shared" si="134"/>
        <v>0.05</v>
      </c>
      <c r="N1609" s="475">
        <f t="shared" si="135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33"/>
        <v>-131407611.53067271</v>
      </c>
      <c r="J1610" s="455">
        <f t="array" ref="J1610">IFERROR(INDEX('Retirement Calculator'!J:J,MATCH('Isaac 401k'!N1610,'Retirement Calculator'!A:A,0),0),0)</f>
        <v>0</v>
      </c>
      <c r="K1610" s="455">
        <f t="shared" ca="1" si="131"/>
        <v>-547531.7147111363</v>
      </c>
      <c r="L1610" s="455">
        <f t="shared" ca="1" si="132"/>
        <v>-131955143.24538384</v>
      </c>
      <c r="M1610" s="471">
        <f t="shared" si="134"/>
        <v>0.05</v>
      </c>
      <c r="N1610" s="475">
        <f t="shared" si="135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33"/>
        <v>-131955143.24538384</v>
      </c>
      <c r="J1611" s="455">
        <f t="array" ref="J1611">IFERROR(INDEX('Retirement Calculator'!J:J,MATCH('Isaac 401k'!N1611,'Retirement Calculator'!A:A,0),0),0)</f>
        <v>0</v>
      </c>
      <c r="K1611" s="455">
        <f t="shared" ca="1" si="131"/>
        <v>-549813.09685576602</v>
      </c>
      <c r="L1611" s="455">
        <f t="shared" ca="1" si="132"/>
        <v>-132504956.3422396</v>
      </c>
      <c r="M1611" s="471">
        <f t="shared" si="134"/>
        <v>0.05</v>
      </c>
      <c r="N1611" s="475">
        <f t="shared" si="135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33"/>
        <v>-132504956.3422396</v>
      </c>
      <c r="J1612" s="455">
        <f t="array" ref="J1612">IFERROR(INDEX('Retirement Calculator'!J:J,MATCH('Isaac 401k'!N1612,'Retirement Calculator'!A:A,0),0),0)</f>
        <v>0</v>
      </c>
      <c r="K1612" s="455">
        <f t="shared" ca="1" si="131"/>
        <v>-552103.98475933168</v>
      </c>
      <c r="L1612" s="455">
        <f t="shared" ca="1" si="132"/>
        <v>-133057060.32699893</v>
      </c>
      <c r="M1612" s="471">
        <f t="shared" si="134"/>
        <v>0.05</v>
      </c>
      <c r="N1612" s="475">
        <f t="shared" si="135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33"/>
        <v>-133057060.32699893</v>
      </c>
      <c r="J1613" s="455">
        <f t="array" ref="J1613">IFERROR(INDEX('Retirement Calculator'!J:J,MATCH('Isaac 401k'!N1613,'Retirement Calculator'!A:A,0),0),0)</f>
        <v>0</v>
      </c>
      <c r="K1613" s="455">
        <f t="shared" ca="1" si="131"/>
        <v>-554404.41802916222</v>
      </c>
      <c r="L1613" s="455">
        <f t="shared" ca="1" si="132"/>
        <v>-133611464.74502809</v>
      </c>
      <c r="M1613" s="471">
        <f t="shared" si="134"/>
        <v>0.05</v>
      </c>
      <c r="N1613" s="475">
        <f t="shared" si="135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33"/>
        <v>-133611464.74502809</v>
      </c>
      <c r="J1614" s="455">
        <f t="array" ref="J1614">IFERROR(INDEX('Retirement Calculator'!J:J,MATCH('Isaac 401k'!N1614,'Retirement Calculator'!A:A,0),0),0)</f>
        <v>0</v>
      </c>
      <c r="K1614" s="455">
        <f t="shared" ca="1" si="131"/>
        <v>-556714.43643761706</v>
      </c>
      <c r="L1614" s="455">
        <f t="shared" ca="1" si="132"/>
        <v>-134168179.18146572</v>
      </c>
      <c r="M1614" s="471">
        <f t="shared" si="134"/>
        <v>0.05</v>
      </c>
      <c r="N1614" s="475">
        <f t="shared" si="135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33"/>
        <v>-134168179.18146572</v>
      </c>
      <c r="J1615" s="455">
        <f t="array" ref="J1615">IFERROR(INDEX('Retirement Calculator'!J:J,MATCH('Isaac 401k'!N1615,'Retirement Calculator'!A:A,0),0),0)</f>
        <v>0</v>
      </c>
      <c r="K1615" s="455">
        <f t="shared" ca="1" si="131"/>
        <v>-559034.07992277376</v>
      </c>
      <c r="L1615" s="455">
        <f t="shared" ca="1" si="132"/>
        <v>-134727213.26138848</v>
      </c>
      <c r="M1615" s="471">
        <f t="shared" si="134"/>
        <v>0.05</v>
      </c>
      <c r="N1615" s="475">
        <f t="shared" si="135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33"/>
        <v>-134727213.26138848</v>
      </c>
      <c r="J1616" s="455">
        <f t="array" ref="J1616">IFERROR(INDEX('Retirement Calculator'!J:J,MATCH('Isaac 401k'!N1616,'Retirement Calculator'!A:A,0),0),0)</f>
        <v>0</v>
      </c>
      <c r="K1616" s="455">
        <f t="shared" ca="1" si="131"/>
        <v>-561363.38858911861</v>
      </c>
      <c r="L1616" s="455">
        <f t="shared" ca="1" si="132"/>
        <v>-135288576.64997759</v>
      </c>
      <c r="M1616" s="471">
        <f t="shared" si="134"/>
        <v>0.05</v>
      </c>
      <c r="N1616" s="475">
        <f t="shared" si="135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33"/>
        <v>-135288576.64997759</v>
      </c>
      <c r="J1617" s="455">
        <f t="array" ref="J1617">IFERROR(INDEX('Retirement Calculator'!J:J,MATCH('Isaac 401k'!N1617,'Retirement Calculator'!A:A,0),0),0)</f>
        <v>0</v>
      </c>
      <c r="K1617" s="455">
        <f t="shared" ca="1" si="131"/>
        <v>-563702.40270823997</v>
      </c>
      <c r="L1617" s="455">
        <f t="shared" ca="1" si="132"/>
        <v>-135852279.05268583</v>
      </c>
      <c r="M1617" s="471">
        <f t="shared" si="134"/>
        <v>0.05</v>
      </c>
      <c r="N1617" s="475">
        <f t="shared" si="135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33"/>
        <v>-135852279.05268583</v>
      </c>
      <c r="J1618" s="455">
        <f t="array" ref="J1618">IFERROR(INDEX('Retirement Calculator'!J:J,MATCH('Isaac 401k'!N1618,'Retirement Calculator'!A:A,0),0),0)</f>
        <v>0</v>
      </c>
      <c r="K1618" s="455">
        <f t="shared" ca="1" si="131"/>
        <v>-566051.16271952423</v>
      </c>
      <c r="L1618" s="455">
        <f t="shared" ca="1" si="132"/>
        <v>-136418330.21540534</v>
      </c>
      <c r="M1618" s="471">
        <f t="shared" si="134"/>
        <v>0.05</v>
      </c>
      <c r="N1618" s="475">
        <f t="shared" si="135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33"/>
        <v>-136418330.21540534</v>
      </c>
      <c r="J1619" s="455">
        <f t="array" ref="J1619">IFERROR(INDEX('Retirement Calculator'!J:J,MATCH('Isaac 401k'!N1619,'Retirement Calculator'!A:A,0),0),0)</f>
        <v>0</v>
      </c>
      <c r="K1619" s="455">
        <f t="shared" ca="1" si="131"/>
        <v>-568409.70923085557</v>
      </c>
      <c r="L1619" s="455">
        <f t="shared" ca="1" si="132"/>
        <v>-136986739.92463621</v>
      </c>
      <c r="M1619" s="471">
        <f t="shared" si="134"/>
        <v>0.05</v>
      </c>
      <c r="N1619" s="475">
        <f t="shared" si="135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33"/>
        <v>-136986739.92463621</v>
      </c>
      <c r="J1620" s="455">
        <f t="array" ref="J1620">IFERROR(INDEX('Retirement Calculator'!J:J,MATCH('Isaac 401k'!N1620,'Retirement Calculator'!A:A,0),0),0)</f>
        <v>0</v>
      </c>
      <c r="K1620" s="455">
        <f t="shared" ca="1" si="131"/>
        <v>-570778.08301931759</v>
      </c>
      <c r="L1620" s="455">
        <f t="shared" ca="1" si="132"/>
        <v>-137557518.00765553</v>
      </c>
      <c r="M1620" s="471">
        <f t="shared" si="134"/>
        <v>0.05</v>
      </c>
      <c r="N1620" s="475">
        <f t="shared" si="135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33"/>
        <v>-137557518.00765553</v>
      </c>
      <c r="J1621" s="455">
        <f t="array" ref="J1621">IFERROR(INDEX('Retirement Calculator'!J:J,MATCH('Isaac 401k'!N1621,'Retirement Calculator'!A:A,0),0),0)</f>
        <v>0</v>
      </c>
      <c r="K1621" s="455">
        <f t="shared" ca="1" si="131"/>
        <v>-573156.32503189798</v>
      </c>
      <c r="L1621" s="455">
        <f t="shared" ca="1" si="132"/>
        <v>-138130674.33268744</v>
      </c>
      <c r="M1621" s="471">
        <f t="shared" si="134"/>
        <v>0.05</v>
      </c>
      <c r="N1621" s="475">
        <f t="shared" si="135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33"/>
        <v>-138130674.33268744</v>
      </c>
      <c r="J1622" s="455">
        <f t="array" ref="J1622">IFERROR(INDEX('Retirement Calculator'!J:J,MATCH('Isaac 401k'!N1622,'Retirement Calculator'!A:A,0),0),0)</f>
        <v>0</v>
      </c>
      <c r="K1622" s="455">
        <f t="shared" ca="1" si="131"/>
        <v>-575544.47638619761</v>
      </c>
      <c r="L1622" s="455">
        <f t="shared" ca="1" si="132"/>
        <v>-138706218.80907363</v>
      </c>
      <c r="M1622" s="471">
        <f t="shared" si="134"/>
        <v>0.05</v>
      </c>
      <c r="N1622" s="475">
        <f t="shared" si="135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33"/>
        <v>-138706218.80907363</v>
      </c>
      <c r="J1623" s="455">
        <f t="array" ref="J1623">IFERROR(INDEX('Retirement Calculator'!J:J,MATCH('Isaac 401k'!N1623,'Retirement Calculator'!A:A,0),0),0)</f>
        <v>0</v>
      </c>
      <c r="K1623" s="455">
        <f t="shared" ca="1" si="131"/>
        <v>-577942.57837114006</v>
      </c>
      <c r="L1623" s="455">
        <f t="shared" ca="1" si="132"/>
        <v>-139284161.38744476</v>
      </c>
      <c r="M1623" s="471">
        <f t="shared" si="134"/>
        <v>0.05</v>
      </c>
      <c r="N1623" s="475">
        <f t="shared" si="135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33"/>
        <v>-139284161.38744476</v>
      </c>
      <c r="J1624" s="455">
        <f t="array" ref="J1624">IFERROR(INDEX('Retirement Calculator'!J:J,MATCH('Isaac 401k'!N1624,'Retirement Calculator'!A:A,0),0),0)</f>
        <v>0</v>
      </c>
      <c r="K1624" s="455">
        <f t="shared" ca="1" si="131"/>
        <v>-580350.67244768655</v>
      </c>
      <c r="L1624" s="455">
        <f t="shared" ca="1" si="132"/>
        <v>-139864512.05989245</v>
      </c>
      <c r="M1624" s="471">
        <f t="shared" si="134"/>
        <v>0.05</v>
      </c>
      <c r="N1624" s="475">
        <f t="shared" si="135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33"/>
        <v>-139864512.05989245</v>
      </c>
      <c r="J1625" s="455">
        <f t="array" ref="J1625">IFERROR(INDEX('Retirement Calculator'!J:J,MATCH('Isaac 401k'!N1625,'Retirement Calculator'!A:A,0),0),0)</f>
        <v>0</v>
      </c>
      <c r="K1625" s="455">
        <f t="shared" ca="1" si="131"/>
        <v>-582768.80024955189</v>
      </c>
      <c r="L1625" s="455">
        <f t="shared" ca="1" si="132"/>
        <v>-140447280.86014199</v>
      </c>
      <c r="M1625" s="471">
        <f t="shared" si="134"/>
        <v>0.05</v>
      </c>
      <c r="N1625" s="475">
        <f t="shared" si="135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33"/>
        <v>-140447280.86014199</v>
      </c>
      <c r="J1626" s="455">
        <f t="array" ref="J1626">IFERROR(INDEX('Retirement Calculator'!J:J,MATCH('Isaac 401k'!N1626,'Retirement Calculator'!A:A,0),0),0)</f>
        <v>0</v>
      </c>
      <c r="K1626" s="455">
        <f t="shared" ca="1" si="131"/>
        <v>-585197.00358392496</v>
      </c>
      <c r="L1626" s="455">
        <f t="shared" ca="1" si="132"/>
        <v>-141032477.86372593</v>
      </c>
      <c r="M1626" s="471">
        <f t="shared" si="134"/>
        <v>0.05</v>
      </c>
      <c r="N1626" s="475">
        <f t="shared" si="135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33"/>
        <v>-141032477.86372593</v>
      </c>
      <c r="J1627" s="455">
        <f t="array" ref="J1627">IFERROR(INDEX('Retirement Calculator'!J:J,MATCH('Isaac 401k'!N1627,'Retirement Calculator'!A:A,0),0),0)</f>
        <v>0</v>
      </c>
      <c r="K1627" s="455">
        <f t="shared" ca="1" si="131"/>
        <v>-587635.32443219132</v>
      </c>
      <c r="L1627" s="455">
        <f t="shared" ca="1" si="132"/>
        <v>-141620113.18815812</v>
      </c>
      <c r="M1627" s="471">
        <f t="shared" si="134"/>
        <v>0.05</v>
      </c>
      <c r="N1627" s="475">
        <f t="shared" si="135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33"/>
        <v>-141620113.18815812</v>
      </c>
      <c r="J1628" s="455">
        <f t="array" ref="J1628">IFERROR(INDEX('Retirement Calculator'!J:J,MATCH('Isaac 401k'!N1628,'Retirement Calculator'!A:A,0),0),0)</f>
        <v>0</v>
      </c>
      <c r="K1628" s="455">
        <f t="shared" ca="1" si="131"/>
        <v>-590083.80495065881</v>
      </c>
      <c r="L1628" s="455">
        <f t="shared" ca="1" si="132"/>
        <v>-142210196.99310878</v>
      </c>
      <c r="M1628" s="471">
        <f t="shared" si="134"/>
        <v>0.05</v>
      </c>
      <c r="N1628" s="475">
        <f t="shared" si="135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33"/>
        <v>-142210196.99310878</v>
      </c>
      <c r="J1629" s="455">
        <f t="array" ref="J1629">IFERROR(INDEX('Retirement Calculator'!J:J,MATCH('Isaac 401k'!N1629,'Retirement Calculator'!A:A,0),0),0)</f>
        <v>0</v>
      </c>
      <c r="K1629" s="455">
        <f t="shared" ca="1" si="131"/>
        <v>-592542.48747128656</v>
      </c>
      <c r="L1629" s="455">
        <f t="shared" ca="1" si="132"/>
        <v>-142802739.48058006</v>
      </c>
      <c r="M1629" s="471">
        <f t="shared" si="134"/>
        <v>0.05</v>
      </c>
      <c r="N1629" s="475">
        <f t="shared" si="135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33"/>
        <v>-142802739.48058006</v>
      </c>
      <c r="J1630" s="455">
        <f t="array" ref="J1630">IFERROR(INDEX('Retirement Calculator'!J:J,MATCH('Isaac 401k'!N1630,'Retirement Calculator'!A:A,0),0),0)</f>
        <v>0</v>
      </c>
      <c r="K1630" s="455">
        <f t="shared" ca="1" si="131"/>
        <v>-595011.41450241697</v>
      </c>
      <c r="L1630" s="455">
        <f t="shared" ca="1" si="132"/>
        <v>-143397750.89508247</v>
      </c>
      <c r="M1630" s="471">
        <f t="shared" si="134"/>
        <v>0.05</v>
      </c>
      <c r="N1630" s="475">
        <f t="shared" si="135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33"/>
        <v>-143397750.89508247</v>
      </c>
      <c r="J1631" s="455">
        <f t="array" ref="J1631">IFERROR(INDEX('Retirement Calculator'!J:J,MATCH('Isaac 401k'!N1631,'Retirement Calculator'!A:A,0),0),0)</f>
        <v>0</v>
      </c>
      <c r="K1631" s="455">
        <f t="shared" ca="1" si="131"/>
        <v>-597490.62872951035</v>
      </c>
      <c r="L1631" s="455">
        <f t="shared" ca="1" si="132"/>
        <v>-143995241.523812</v>
      </c>
      <c r="M1631" s="471">
        <f t="shared" si="134"/>
        <v>0.05</v>
      </c>
      <c r="N1631" s="475">
        <f t="shared" si="135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33"/>
        <v>-143995241.523812</v>
      </c>
      <c r="J1632" s="455">
        <f t="array" ref="J1632">IFERROR(INDEX('Retirement Calculator'!J:J,MATCH('Isaac 401k'!N1632,'Retirement Calculator'!A:A,0),0),0)</f>
        <v>0</v>
      </c>
      <c r="K1632" s="455">
        <f t="shared" ca="1" si="131"/>
        <v>-599980.17301588331</v>
      </c>
      <c r="L1632" s="455">
        <f t="shared" ca="1" si="132"/>
        <v>-144595221.69682789</v>
      </c>
      <c r="M1632" s="471">
        <f t="shared" si="134"/>
        <v>0.05</v>
      </c>
      <c r="N1632" s="475">
        <f t="shared" si="135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33"/>
        <v>-144595221.69682789</v>
      </c>
      <c r="J1633" s="455">
        <f t="array" ref="J1633">IFERROR(INDEX('Retirement Calculator'!J:J,MATCH('Isaac 401k'!N1633,'Retirement Calculator'!A:A,0),0),0)</f>
        <v>0</v>
      </c>
      <c r="K1633" s="455">
        <f t="shared" ca="1" si="131"/>
        <v>-602480.09040344949</v>
      </c>
      <c r="L1633" s="455">
        <f t="shared" ca="1" si="132"/>
        <v>-145197701.78723133</v>
      </c>
      <c r="M1633" s="471">
        <f t="shared" si="134"/>
        <v>0.05</v>
      </c>
      <c r="N1633" s="475">
        <f t="shared" si="135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33"/>
        <v>-145197701.78723133</v>
      </c>
      <c r="J1634" s="455">
        <f t="array" ref="J1634">IFERROR(INDEX('Retirement Calculator'!J:J,MATCH('Isaac 401k'!N1634,'Retirement Calculator'!A:A,0),0),0)</f>
        <v>0</v>
      </c>
      <c r="K1634" s="455">
        <f t="shared" ca="1" si="131"/>
        <v>-604990.42411346384</v>
      </c>
      <c r="L1634" s="455">
        <f t="shared" ca="1" si="132"/>
        <v>-145802692.21134478</v>
      </c>
      <c r="M1634" s="471">
        <f t="shared" si="134"/>
        <v>0.05</v>
      </c>
      <c r="N1634" s="475">
        <f t="shared" si="135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33"/>
        <v>-145802692.21134478</v>
      </c>
      <c r="J1635" s="455">
        <f t="array" ref="J1635">IFERROR(INDEX('Retirement Calculator'!J:J,MATCH('Isaac 401k'!N1635,'Retirement Calculator'!A:A,0),0),0)</f>
        <v>0</v>
      </c>
      <c r="K1635" s="455">
        <f t="shared" ca="1" si="131"/>
        <v>-607511.21754726989</v>
      </c>
      <c r="L1635" s="455">
        <f t="shared" ca="1" si="132"/>
        <v>-146410203.42889205</v>
      </c>
      <c r="M1635" s="471">
        <f t="shared" si="134"/>
        <v>0.05</v>
      </c>
      <c r="N1635" s="475">
        <f t="shared" si="135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33"/>
        <v>-146410203.42889205</v>
      </c>
      <c r="J1636" s="455">
        <f t="array" ref="J1636">IFERROR(INDEX('Retirement Calculator'!J:J,MATCH('Isaac 401k'!N1636,'Retirement Calculator'!A:A,0),0),0)</f>
        <v>0</v>
      </c>
      <c r="K1636" s="455">
        <f t="shared" ca="1" si="131"/>
        <v>-610042.51428705023</v>
      </c>
      <c r="L1636" s="455">
        <f t="shared" ca="1" si="132"/>
        <v>-147020245.9431791</v>
      </c>
      <c r="M1636" s="471">
        <f t="shared" si="134"/>
        <v>0.05</v>
      </c>
      <c r="N1636" s="475">
        <f t="shared" si="135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33"/>
        <v>-147020245.9431791</v>
      </c>
      <c r="J1637" s="455">
        <f t="array" ref="J1637">IFERROR(INDEX('Retirement Calculator'!J:J,MATCH('Isaac 401k'!N1637,'Retirement Calculator'!A:A,0),0),0)</f>
        <v>0</v>
      </c>
      <c r="K1637" s="455">
        <f t="shared" ca="1" si="131"/>
        <v>-612584.35809657956</v>
      </c>
      <c r="L1637" s="455">
        <f t="shared" ca="1" si="132"/>
        <v>-147632830.30127567</v>
      </c>
      <c r="M1637" s="471">
        <f t="shared" si="134"/>
        <v>0.05</v>
      </c>
      <c r="N1637" s="475">
        <f t="shared" si="135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33"/>
        <v>-147632830.30127567</v>
      </c>
      <c r="J1638" s="455">
        <f t="array" ref="J1638">IFERROR(INDEX('Retirement Calculator'!J:J,MATCH('Isaac 401k'!N1638,'Retirement Calculator'!A:A,0),0),0)</f>
        <v>0</v>
      </c>
      <c r="K1638" s="455">
        <f t="shared" ca="1" si="131"/>
        <v>-615136.79292198201</v>
      </c>
      <c r="L1638" s="455">
        <f t="shared" ca="1" si="132"/>
        <v>-148247967.09419766</v>
      </c>
      <c r="M1638" s="471">
        <f t="shared" si="134"/>
        <v>0.05</v>
      </c>
      <c r="N1638" s="475">
        <f t="shared" si="135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33"/>
        <v>-148247967.09419766</v>
      </c>
      <c r="J1639" s="455">
        <f t="array" ref="J1639">IFERROR(INDEX('Retirement Calculator'!J:J,MATCH('Isaac 401k'!N1639,'Retirement Calculator'!A:A,0),0),0)</f>
        <v>0</v>
      </c>
      <c r="K1639" s="455">
        <f t="shared" ca="1" si="131"/>
        <v>-617699.86289249023</v>
      </c>
      <c r="L1639" s="455">
        <f t="shared" ca="1" si="132"/>
        <v>-148865666.95709014</v>
      </c>
      <c r="M1639" s="471">
        <f t="shared" si="134"/>
        <v>0.05</v>
      </c>
      <c r="N1639" s="475">
        <f t="shared" si="135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33"/>
        <v>-148865666.95709014</v>
      </c>
      <c r="J1640" s="455">
        <f t="array" ref="J1640">IFERROR(INDEX('Retirement Calculator'!J:J,MATCH('Isaac 401k'!N1640,'Retirement Calculator'!A:A,0),0),0)</f>
        <v>0</v>
      </c>
      <c r="K1640" s="455">
        <f t="shared" ca="1" si="131"/>
        <v>-620273.61232120893</v>
      </c>
      <c r="L1640" s="455">
        <f t="shared" ca="1" si="132"/>
        <v>-149485940.56941134</v>
      </c>
      <c r="M1640" s="471">
        <f t="shared" si="134"/>
        <v>0.05</v>
      </c>
      <c r="N1640" s="475">
        <f t="shared" si="135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33"/>
        <v>-149485940.56941134</v>
      </c>
      <c r="J1641" s="455">
        <f t="array" ref="J1641">IFERROR(INDEX('Retirement Calculator'!J:J,MATCH('Isaac 401k'!N1641,'Retirement Calculator'!A:A,0),0),0)</f>
        <v>0</v>
      </c>
      <c r="K1641" s="455">
        <f t="shared" ca="1" si="131"/>
        <v>-622858.08570588054</v>
      </c>
      <c r="L1641" s="455">
        <f t="shared" ca="1" si="132"/>
        <v>-150108798.65511721</v>
      </c>
      <c r="M1641" s="471">
        <f t="shared" si="134"/>
        <v>0.05</v>
      </c>
      <c r="N1641" s="475">
        <f t="shared" si="135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33"/>
        <v>-150108798.65511721</v>
      </c>
      <c r="J1642" s="455">
        <f t="array" ref="J1642">IFERROR(INDEX('Retirement Calculator'!J:J,MATCH('Isaac 401k'!N1642,'Retirement Calculator'!A:A,0),0),0)</f>
        <v>0</v>
      </c>
      <c r="K1642" s="455">
        <f t="shared" ca="1" si="131"/>
        <v>-625453.32772965508</v>
      </c>
      <c r="L1642" s="455">
        <f t="shared" ca="1" si="132"/>
        <v>-150734251.98284686</v>
      </c>
      <c r="M1642" s="471">
        <f t="shared" si="134"/>
        <v>0.05</v>
      </c>
      <c r="N1642" s="475">
        <f t="shared" si="135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33"/>
        <v>-150734251.98284686</v>
      </c>
      <c r="J1643" s="455">
        <f t="array" ref="J1643">IFERROR(INDEX('Retirement Calculator'!J:J,MATCH('Isaac 401k'!N1643,'Retirement Calculator'!A:A,0),0),0)</f>
        <v>0</v>
      </c>
      <c r="K1643" s="455">
        <f t="shared" ca="1" si="131"/>
        <v>-628059.38326186186</v>
      </c>
      <c r="L1643" s="455">
        <f t="shared" ca="1" si="132"/>
        <v>-151362311.36610872</v>
      </c>
      <c r="M1643" s="471">
        <f t="shared" si="134"/>
        <v>0.05</v>
      </c>
      <c r="N1643" s="475">
        <f t="shared" si="135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33"/>
        <v>-151362311.36610872</v>
      </c>
      <c r="J1644" s="455">
        <f t="array" ref="J1644">IFERROR(INDEX('Retirement Calculator'!J:J,MATCH('Isaac 401k'!N1644,'Retirement Calculator'!A:A,0),0),0)</f>
        <v>0</v>
      </c>
      <c r="K1644" s="455">
        <f t="shared" ca="1" si="131"/>
        <v>-630676.29735878634</v>
      </c>
      <c r="L1644" s="455">
        <f t="shared" ca="1" si="132"/>
        <v>-151992987.6634675</v>
      </c>
      <c r="M1644" s="471">
        <f t="shared" si="134"/>
        <v>0.05</v>
      </c>
      <c r="N1644" s="475">
        <f t="shared" si="135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33"/>
        <v>-151992987.6634675</v>
      </c>
      <c r="J1645" s="455">
        <f t="array" ref="J1645">IFERROR(INDEX('Retirement Calculator'!J:J,MATCH('Isaac 401k'!N1645,'Retirement Calculator'!A:A,0),0),0)</f>
        <v>0</v>
      </c>
      <c r="K1645" s="455">
        <f t="shared" ca="1" si="131"/>
        <v>-633304.11526444787</v>
      </c>
      <c r="L1645" s="455">
        <f t="shared" ca="1" si="132"/>
        <v>-152626291.77873194</v>
      </c>
      <c r="M1645" s="471">
        <f t="shared" si="134"/>
        <v>0.05</v>
      </c>
      <c r="N1645" s="475">
        <f t="shared" si="135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33"/>
        <v>-152626291.77873194</v>
      </c>
      <c r="J1646" s="455">
        <f t="array" ref="J1646">IFERROR(INDEX('Retirement Calculator'!J:J,MATCH('Isaac 401k'!N1646,'Retirement Calculator'!A:A,0),0),0)</f>
        <v>0</v>
      </c>
      <c r="K1646" s="455">
        <f t="shared" ca="1" si="131"/>
        <v>-635942.88241138309</v>
      </c>
      <c r="L1646" s="455">
        <f t="shared" ca="1" si="132"/>
        <v>-153262234.66114333</v>
      </c>
      <c r="M1646" s="471">
        <f t="shared" si="134"/>
        <v>0.05</v>
      </c>
      <c r="N1646" s="475">
        <f t="shared" si="135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33"/>
        <v>-153262234.66114333</v>
      </c>
      <c r="J1647" s="455">
        <f t="array" ref="J1647">IFERROR(INDEX('Retirement Calculator'!J:J,MATCH('Isaac 401k'!N1647,'Retirement Calculator'!A:A,0),0),0)</f>
        <v>0</v>
      </c>
      <c r="K1647" s="455">
        <f t="shared" ca="1" si="131"/>
        <v>-638592.64442143054</v>
      </c>
      <c r="L1647" s="455">
        <f t="shared" ca="1" si="132"/>
        <v>-153900827.30556476</v>
      </c>
      <c r="M1647" s="471">
        <f t="shared" si="134"/>
        <v>0.05</v>
      </c>
      <c r="N1647" s="475">
        <f t="shared" si="135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33"/>
        <v>-153900827.30556476</v>
      </c>
      <c r="J1648" s="455">
        <f t="array" ref="J1648">IFERROR(INDEX('Retirement Calculator'!J:J,MATCH('Isaac 401k'!N1648,'Retirement Calculator'!A:A,0),0),0)</f>
        <v>0</v>
      </c>
      <c r="K1648" s="455">
        <f t="shared" ca="1" si="131"/>
        <v>-641253.44710651983</v>
      </c>
      <c r="L1648" s="455">
        <f t="shared" ca="1" si="132"/>
        <v>-154542080.75267127</v>
      </c>
      <c r="M1648" s="471">
        <f t="shared" si="134"/>
        <v>0.05</v>
      </c>
      <c r="N1648" s="475">
        <f t="shared" si="135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33"/>
        <v>-154542080.75267127</v>
      </c>
      <c r="J1649" s="455">
        <f t="array" ref="J1649">IFERROR(INDEX('Retirement Calculator'!J:J,MATCH('Isaac 401k'!N1649,'Retirement Calculator'!A:A,0),0),0)</f>
        <v>0</v>
      </c>
      <c r="K1649" s="455">
        <f t="shared" ca="1" si="131"/>
        <v>-643925.33646946365</v>
      </c>
      <c r="L1649" s="455">
        <f t="shared" ca="1" si="132"/>
        <v>-155186006.08914074</v>
      </c>
      <c r="M1649" s="471">
        <f t="shared" si="134"/>
        <v>0.05</v>
      </c>
      <c r="N1649" s="475">
        <f t="shared" si="135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33"/>
        <v>-155186006.08914074</v>
      </c>
      <c r="J1650" s="455">
        <f t="array" ref="J1650">IFERROR(INDEX('Retirement Calculator'!J:J,MATCH('Isaac 401k'!N1650,'Retirement Calculator'!A:A,0),0),0)</f>
        <v>0</v>
      </c>
      <c r="K1650" s="455">
        <f t="shared" ca="1" si="131"/>
        <v>-646608.3587047531</v>
      </c>
      <c r="L1650" s="455">
        <f t="shared" ca="1" si="132"/>
        <v>-155832614.44784549</v>
      </c>
      <c r="M1650" s="471">
        <f t="shared" si="134"/>
        <v>0.05</v>
      </c>
      <c r="N1650" s="475">
        <f t="shared" si="135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33"/>
        <v>-155832614.44784549</v>
      </c>
      <c r="J1651" s="455">
        <f t="array" ref="J1651">IFERROR(INDEX('Retirement Calculator'!J:J,MATCH('Isaac 401k'!N1651,'Retirement Calculator'!A:A,0),0),0)</f>
        <v>0</v>
      </c>
      <c r="K1651" s="455">
        <f t="shared" ca="1" si="131"/>
        <v>-649302.56019935617</v>
      </c>
      <c r="L1651" s="455">
        <f t="shared" ca="1" si="132"/>
        <v>-156481917.00804484</v>
      </c>
      <c r="M1651" s="471">
        <f t="shared" si="134"/>
        <v>0.05</v>
      </c>
      <c r="N1651" s="475">
        <f t="shared" si="135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33"/>
        <v>-156481917.00804484</v>
      </c>
      <c r="J1652" s="455">
        <f t="array" ref="J1652">IFERROR(INDEX('Retirement Calculator'!J:J,MATCH('Isaac 401k'!N1652,'Retirement Calculator'!A:A,0),0),0)</f>
        <v>0</v>
      </c>
      <c r="K1652" s="455">
        <f t="shared" ca="1" si="131"/>
        <v>-652007.98753352021</v>
      </c>
      <c r="L1652" s="455">
        <f t="shared" ca="1" si="132"/>
        <v>-157133924.99557835</v>
      </c>
      <c r="M1652" s="471">
        <f t="shared" si="134"/>
        <v>0.05</v>
      </c>
      <c r="N1652" s="475">
        <f t="shared" si="135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33"/>
        <v>-157133924.99557835</v>
      </c>
      <c r="J1653" s="455">
        <f t="array" ref="J1653">IFERROR(INDEX('Retirement Calculator'!J:J,MATCH('Isaac 401k'!N1653,'Retirement Calculator'!A:A,0),0),0)</f>
        <v>0</v>
      </c>
      <c r="K1653" s="455">
        <f t="shared" ca="1" si="131"/>
        <v>-654724.68748157646</v>
      </c>
      <c r="L1653" s="455">
        <f t="shared" ca="1" si="132"/>
        <v>-157788649.68305993</v>
      </c>
      <c r="M1653" s="471">
        <f t="shared" si="134"/>
        <v>0.05</v>
      </c>
      <c r="N1653" s="475">
        <f t="shared" si="135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33"/>
        <v>-157788649.68305993</v>
      </c>
      <c r="J1654" s="455">
        <f t="array" ref="J1654">IFERROR(INDEX('Retirement Calculator'!J:J,MATCH('Isaac 401k'!N1654,'Retirement Calculator'!A:A,0),0),0)</f>
        <v>0</v>
      </c>
      <c r="K1654" s="455">
        <f t="shared" ca="1" si="131"/>
        <v>-657452.70701274974</v>
      </c>
      <c r="L1654" s="455">
        <f t="shared" ca="1" si="132"/>
        <v>-158446102.39007267</v>
      </c>
      <c r="M1654" s="471">
        <f t="shared" si="134"/>
        <v>0.05</v>
      </c>
      <c r="N1654" s="475">
        <f t="shared" si="135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33"/>
        <v>-158446102.39007267</v>
      </c>
      <c r="J1655" s="455">
        <f t="array" ref="J1655">IFERROR(INDEX('Retirement Calculator'!J:J,MATCH('Isaac 401k'!N1655,'Retirement Calculator'!A:A,0),0),0)</f>
        <v>0</v>
      </c>
      <c r="K1655" s="455">
        <f t="shared" ca="1" si="131"/>
        <v>-660192.0932919695</v>
      </c>
      <c r="L1655" s="455">
        <f t="shared" ca="1" si="132"/>
        <v>-159106294.48336464</v>
      </c>
      <c r="M1655" s="471">
        <f t="shared" si="134"/>
        <v>0.05</v>
      </c>
      <c r="N1655" s="475">
        <f t="shared" si="135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33"/>
        <v>-159106294.48336464</v>
      </c>
      <c r="J1656" s="455">
        <f t="array" ref="J1656">IFERROR(INDEX('Retirement Calculator'!J:J,MATCH('Isaac 401k'!N1656,'Retirement Calculator'!A:A,0),0),0)</f>
        <v>0</v>
      </c>
      <c r="K1656" s="455">
        <f t="shared" ca="1" si="131"/>
        <v>-662942.89368068601</v>
      </c>
      <c r="L1656" s="455">
        <f t="shared" ca="1" si="132"/>
        <v>-159769237.37704533</v>
      </c>
      <c r="M1656" s="471">
        <f t="shared" si="134"/>
        <v>0.05</v>
      </c>
      <c r="N1656" s="475">
        <f t="shared" si="135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33"/>
        <v>-159769237.37704533</v>
      </c>
      <c r="J1657" s="455">
        <f t="array" ref="J1657">IFERROR(INDEX('Retirement Calculator'!J:J,MATCH('Isaac 401k'!N1657,'Retirement Calculator'!A:A,0),0),0)</f>
        <v>0</v>
      </c>
      <c r="K1657" s="455">
        <f t="shared" ca="1" si="131"/>
        <v>-665705.15573768888</v>
      </c>
      <c r="L1657" s="455">
        <f t="shared" ca="1" si="132"/>
        <v>-160434942.53278303</v>
      </c>
      <c r="M1657" s="471">
        <f t="shared" si="134"/>
        <v>0.05</v>
      </c>
      <c r="N1657" s="475">
        <f t="shared" si="135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33"/>
        <v>-160434942.53278303</v>
      </c>
      <c r="J1658" s="455">
        <f t="array" ref="J1658">IFERROR(INDEX('Retirement Calculator'!J:J,MATCH('Isaac 401k'!N1658,'Retirement Calculator'!A:A,0),0),0)</f>
        <v>0</v>
      </c>
      <c r="K1658" s="455">
        <f t="shared" ca="1" si="131"/>
        <v>-668478.92721992929</v>
      </c>
      <c r="L1658" s="455">
        <f t="shared" ca="1" si="132"/>
        <v>-161103421.46000296</v>
      </c>
      <c r="M1658" s="471">
        <f t="shared" si="134"/>
        <v>0.05</v>
      </c>
      <c r="N1658" s="475">
        <f t="shared" si="135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33"/>
        <v>-161103421.46000296</v>
      </c>
      <c r="J1659" s="455">
        <f t="array" ref="J1659">IFERROR(INDEX('Retirement Calculator'!J:J,MATCH('Isaac 401k'!N1659,'Retirement Calculator'!A:A,0),0),0)</f>
        <v>0</v>
      </c>
      <c r="K1659" s="455">
        <f t="shared" ca="1" si="131"/>
        <v>-671264.25608334562</v>
      </c>
      <c r="L1659" s="455">
        <f t="shared" ca="1" si="132"/>
        <v>-161774685.7160863</v>
      </c>
      <c r="M1659" s="471">
        <f t="shared" si="134"/>
        <v>0.05</v>
      </c>
      <c r="N1659" s="475">
        <f t="shared" si="135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33"/>
        <v>-161774685.7160863</v>
      </c>
      <c r="J1660" s="455">
        <f t="array" ref="J1660">IFERROR(INDEX('Retirement Calculator'!J:J,MATCH('Isaac 401k'!N1660,'Retirement Calculator'!A:A,0),0),0)</f>
        <v>0</v>
      </c>
      <c r="K1660" s="455">
        <f t="shared" ca="1" si="131"/>
        <v>-674061.19048369292</v>
      </c>
      <c r="L1660" s="455">
        <f t="shared" ca="1" si="132"/>
        <v>-162448746.90656999</v>
      </c>
      <c r="M1660" s="471">
        <f t="shared" si="134"/>
        <v>0.05</v>
      </c>
      <c r="N1660" s="475">
        <f t="shared" si="135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33"/>
        <v>-162448746.90656999</v>
      </c>
      <c r="J1661" s="455">
        <f t="array" ref="J1661">IFERROR(INDEX('Retirement Calculator'!J:J,MATCH('Isaac 401k'!N1661,'Retirement Calculator'!A:A,0),0),0)</f>
        <v>0</v>
      </c>
      <c r="K1661" s="455">
        <f t="shared" ca="1" si="131"/>
        <v>-676869.77877737489</v>
      </c>
      <c r="L1661" s="455">
        <f t="shared" ca="1" si="132"/>
        <v>-163125616.68534735</v>
      </c>
      <c r="M1661" s="471">
        <f t="shared" si="134"/>
        <v>0.05</v>
      </c>
      <c r="N1661" s="475">
        <f t="shared" si="135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33"/>
        <v>-163125616.68534735</v>
      </c>
      <c r="J1662" s="455">
        <f t="array" ref="J1662">IFERROR(INDEX('Retirement Calculator'!J:J,MATCH('Isaac 401k'!N1662,'Retirement Calculator'!A:A,0),0),0)</f>
        <v>0</v>
      </c>
      <c r="K1662" s="455">
        <f t="shared" ca="1" si="131"/>
        <v>-679690.0695222806</v>
      </c>
      <c r="L1662" s="455">
        <f t="shared" ca="1" si="132"/>
        <v>-163805306.75486964</v>
      </c>
      <c r="M1662" s="471">
        <f t="shared" si="134"/>
        <v>0.05</v>
      </c>
      <c r="N1662" s="475">
        <f t="shared" si="135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33"/>
        <v>-163805306.75486964</v>
      </c>
      <c r="J1663" s="455">
        <f t="array" ref="J1663">IFERROR(INDEX('Retirement Calculator'!J:J,MATCH('Isaac 401k'!N1663,'Retirement Calculator'!A:A,0),0),0)</f>
        <v>0</v>
      </c>
      <c r="K1663" s="455">
        <f t="shared" ca="1" si="131"/>
        <v>-682522.11147862347</v>
      </c>
      <c r="L1663" s="455">
        <f t="shared" ca="1" si="132"/>
        <v>-164487828.86634827</v>
      </c>
      <c r="M1663" s="471">
        <f t="shared" si="134"/>
        <v>0.05</v>
      </c>
      <c r="N1663" s="475">
        <f t="shared" si="135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33"/>
        <v>-164487828.86634827</v>
      </c>
      <c r="J1664" s="455">
        <f t="array" ref="J1664">IFERROR(INDEX('Retirement Calculator'!J:J,MATCH('Isaac 401k'!N1664,'Retirement Calculator'!A:A,0),0),0)</f>
        <v>0</v>
      </c>
      <c r="K1664" s="455">
        <f t="shared" ca="1" si="131"/>
        <v>-685365.95360978448</v>
      </c>
      <c r="L1664" s="455">
        <f t="shared" ca="1" si="132"/>
        <v>-165173194.81995806</v>
      </c>
      <c r="M1664" s="471">
        <f t="shared" si="134"/>
        <v>0.05</v>
      </c>
      <c r="N1664" s="475">
        <f t="shared" si="135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33"/>
        <v>-165173194.81995806</v>
      </c>
      <c r="J1665" s="455">
        <f t="array" ref="J1665">IFERROR(INDEX('Retirement Calculator'!J:J,MATCH('Isaac 401k'!N1665,'Retirement Calculator'!A:A,0),0),0)</f>
        <v>0</v>
      </c>
      <c r="K1665" s="455">
        <f t="shared" ca="1" si="131"/>
        <v>-688221.64508315863</v>
      </c>
      <c r="L1665" s="455">
        <f t="shared" ca="1" si="132"/>
        <v>-165861416.46504122</v>
      </c>
      <c r="M1665" s="471">
        <f t="shared" si="134"/>
        <v>0.05</v>
      </c>
      <c r="N1665" s="475">
        <f t="shared" si="135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33"/>
        <v>-165861416.46504122</v>
      </c>
      <c r="J1666" s="455">
        <f t="array" ref="J1666">IFERROR(INDEX('Retirement Calculator'!J:J,MATCH('Isaac 401k'!N1666,'Retirement Calculator'!A:A,0),0),0)</f>
        <v>0</v>
      </c>
      <c r="K1666" s="455">
        <f t="shared" ca="1" si="131"/>
        <v>-691089.23527100508</v>
      </c>
      <c r="L1666" s="455">
        <f t="shared" ca="1" si="132"/>
        <v>-166552505.70031223</v>
      </c>
      <c r="M1666" s="471">
        <f t="shared" si="134"/>
        <v>0.05</v>
      </c>
      <c r="N1666" s="475">
        <f t="shared" si="135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33"/>
        <v>-166552505.70031223</v>
      </c>
      <c r="J1667" s="455">
        <f t="array" ref="J1667">IFERROR(INDEX('Retirement Calculator'!J:J,MATCH('Isaac 401k'!N1667,'Retirement Calculator'!A:A,0),0),0)</f>
        <v>0</v>
      </c>
      <c r="K1667" s="455">
        <f t="shared" ca="1" si="131"/>
        <v>-693968.77375130099</v>
      </c>
      <c r="L1667" s="455">
        <f t="shared" ca="1" si="132"/>
        <v>-167246474.47406352</v>
      </c>
      <c r="M1667" s="471">
        <f t="shared" si="134"/>
        <v>0.05</v>
      </c>
      <c r="N1667" s="475">
        <f t="shared" si="135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33"/>
        <v>-167246474.47406352</v>
      </c>
      <c r="J1668" s="455">
        <f t="array" ref="J1668">IFERROR(INDEX('Retirement Calculator'!J:J,MATCH('Isaac 401k'!N1668,'Retirement Calculator'!A:A,0),0),0)</f>
        <v>0</v>
      </c>
      <c r="K1668" s="455">
        <f t="shared" ca="1" si="131"/>
        <v>-696860.31030859798</v>
      </c>
      <c r="L1668" s="455">
        <f t="shared" ca="1" si="132"/>
        <v>-167943334.78437212</v>
      </c>
      <c r="M1668" s="471">
        <f t="shared" si="134"/>
        <v>0.05</v>
      </c>
      <c r="N1668" s="475">
        <f t="shared" si="135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33"/>
        <v>-167943334.78437212</v>
      </c>
      <c r="J1669" s="455">
        <f t="array" ref="J1669">IFERROR(INDEX('Retirement Calculator'!J:J,MATCH('Isaac 401k'!N1669,'Retirement Calculator'!A:A,0),0),0)</f>
        <v>0</v>
      </c>
      <c r="K1669" s="455">
        <f t="shared" ca="1" si="131"/>
        <v>-699763.89493488381</v>
      </c>
      <c r="L1669" s="455">
        <f t="shared" ca="1" si="132"/>
        <v>-168643098.67930701</v>
      </c>
      <c r="M1669" s="471">
        <f t="shared" si="134"/>
        <v>0.05</v>
      </c>
      <c r="N1669" s="475">
        <f t="shared" si="135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33"/>
        <v>-168643098.67930701</v>
      </c>
      <c r="J1670" s="455">
        <f t="array" ref="J1670">IFERROR(INDEX('Retirement Calculator'!J:J,MATCH('Isaac 401k'!N1670,'Retirement Calculator'!A:A,0),0),0)</f>
        <v>0</v>
      </c>
      <c r="K1670" s="455">
        <f t="shared" ca="1" si="131"/>
        <v>-702679.57783044584</v>
      </c>
      <c r="L1670" s="455">
        <f t="shared" ca="1" si="132"/>
        <v>-169345778.25713745</v>
      </c>
      <c r="M1670" s="471">
        <f t="shared" si="134"/>
        <v>0.05</v>
      </c>
      <c r="N1670" s="475">
        <f t="shared" si="135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33"/>
        <v>-169345778.25713745</v>
      </c>
      <c r="J1671" s="455">
        <f t="array" ref="J1671">IFERROR(INDEX('Retirement Calculator'!J:J,MATCH('Isaac 401k'!N1671,'Retirement Calculator'!A:A,0),0),0)</f>
        <v>0</v>
      </c>
      <c r="K1671" s="455">
        <f t="shared" ca="1" si="131"/>
        <v>-705607.40940473939</v>
      </c>
      <c r="L1671" s="455">
        <f t="shared" ca="1" si="132"/>
        <v>-170051385.66654217</v>
      </c>
      <c r="M1671" s="471">
        <f t="shared" si="134"/>
        <v>0.05</v>
      </c>
      <c r="N1671" s="475">
        <f t="shared" si="135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33"/>
        <v>-170051385.66654217</v>
      </c>
      <c r="J1672" s="455">
        <f t="array" ref="J1672">IFERROR(INDEX('Retirement Calculator'!J:J,MATCH('Isaac 401k'!N1672,'Retirement Calculator'!A:A,0),0),0)</f>
        <v>0</v>
      </c>
      <c r="K1672" s="455">
        <f t="shared" ca="1" si="131"/>
        <v>-708547.4402772591</v>
      </c>
      <c r="L1672" s="455">
        <f t="shared" ca="1" si="132"/>
        <v>-170759933.10681942</v>
      </c>
      <c r="M1672" s="471">
        <f t="shared" si="134"/>
        <v>0.05</v>
      </c>
      <c r="N1672" s="475">
        <f t="shared" si="135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33"/>
        <v>-170759933.10681942</v>
      </c>
      <c r="J1673" s="455">
        <f t="array" ref="J1673">IFERROR(INDEX('Retirement Calculator'!J:J,MATCH('Isaac 401k'!N1673,'Retirement Calculator'!A:A,0),0),0)</f>
        <v>0</v>
      </c>
      <c r="K1673" s="455">
        <f t="shared" ca="1" si="131"/>
        <v>-711499.72127841425</v>
      </c>
      <c r="L1673" s="455">
        <f t="shared" ca="1" si="132"/>
        <v>-171471432.82809785</v>
      </c>
      <c r="M1673" s="471">
        <f t="shared" si="134"/>
        <v>0.05</v>
      </c>
      <c r="N1673" s="475">
        <f t="shared" si="135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33"/>
        <v>-171471432.82809785</v>
      </c>
      <c r="J1674" s="455">
        <f t="array" ref="J1674">IFERROR(INDEX('Retirement Calculator'!J:J,MATCH('Isaac 401k'!N1674,'Retirement Calculator'!A:A,0),0),0)</f>
        <v>0</v>
      </c>
      <c r="K1674" s="455">
        <f t="shared" ca="1" si="131"/>
        <v>-714464.30345040769</v>
      </c>
      <c r="L1674" s="455">
        <f t="shared" ca="1" si="132"/>
        <v>-172185897.13154826</v>
      </c>
      <c r="M1674" s="471">
        <f t="shared" si="134"/>
        <v>0.05</v>
      </c>
      <c r="N1674" s="475">
        <f t="shared" si="135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33"/>
        <v>-172185897.13154826</v>
      </c>
      <c r="J1675" s="455">
        <f t="array" ref="J1675">IFERROR(INDEX('Retirement Calculator'!J:J,MATCH('Isaac 401k'!N1675,'Retirement Calculator'!A:A,0),0),0)</f>
        <v>0</v>
      </c>
      <c r="K1675" s="455">
        <f t="shared" ca="1" si="131"/>
        <v>-717441.23804811772</v>
      </c>
      <c r="L1675" s="455">
        <f t="shared" ca="1" si="132"/>
        <v>-172903338.36959636</v>
      </c>
      <c r="M1675" s="471">
        <f t="shared" si="134"/>
        <v>0.05</v>
      </c>
      <c r="N1675" s="475">
        <f t="shared" si="135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33"/>
        <v>-172903338.36959636</v>
      </c>
      <c r="J1676" s="455">
        <f t="array" ref="J1676">IFERROR(INDEX('Retirement Calculator'!J:J,MATCH('Isaac 401k'!N1676,'Retirement Calculator'!A:A,0),0),0)</f>
        <v>0</v>
      </c>
      <c r="K1676" s="455">
        <f t="shared" ca="1" si="131"/>
        <v>-720430.57653998479</v>
      </c>
      <c r="L1676" s="455">
        <f t="shared" ca="1" si="132"/>
        <v>-173623768.94613636</v>
      </c>
      <c r="M1676" s="471">
        <f t="shared" si="134"/>
        <v>0.05</v>
      </c>
      <c r="N1676" s="475">
        <f t="shared" si="135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33"/>
        <v>-173623768.94613636</v>
      </c>
      <c r="J1677" s="455">
        <f t="array" ref="J1677">IFERROR(INDEX('Retirement Calculator'!J:J,MATCH('Isaac 401k'!N1677,'Retirement Calculator'!A:A,0),0),0)</f>
        <v>0</v>
      </c>
      <c r="K1677" s="455">
        <f t="shared" ca="1" si="131"/>
        <v>-723432.37060890149</v>
      </c>
      <c r="L1677" s="455">
        <f t="shared" ca="1" si="132"/>
        <v>-174347201.31674525</v>
      </c>
      <c r="M1677" s="471">
        <f t="shared" si="134"/>
        <v>0.05</v>
      </c>
      <c r="N1677" s="475">
        <f t="shared" si="135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33"/>
        <v>-174347201.31674525</v>
      </c>
      <c r="J1678" s="455">
        <f t="array" ref="J1678">IFERROR(INDEX('Retirement Calculator'!J:J,MATCH('Isaac 401k'!N1678,'Retirement Calculator'!A:A,0),0),0)</f>
        <v>0</v>
      </c>
      <c r="K1678" s="455">
        <f t="shared" ca="1" si="131"/>
        <v>-726446.67215310526</v>
      </c>
      <c r="L1678" s="455">
        <f t="shared" ca="1" si="132"/>
        <v>-175073647.98889837</v>
      </c>
      <c r="M1678" s="471">
        <f t="shared" si="134"/>
        <v>0.05</v>
      </c>
      <c r="N1678" s="475">
        <f t="shared" si="135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33"/>
        <v>-175073647.98889837</v>
      </c>
      <c r="J1679" s="455">
        <f t="array" ref="J1679">IFERROR(INDEX('Retirement Calculator'!J:J,MATCH('Isaac 401k'!N1679,'Retirement Calculator'!A:A,0),0),0)</f>
        <v>0</v>
      </c>
      <c r="K1679" s="455">
        <f t="shared" ca="1" si="131"/>
        <v>-729473.53328707651</v>
      </c>
      <c r="L1679" s="455">
        <f t="shared" ca="1" si="132"/>
        <v>-175803121.52218544</v>
      </c>
      <c r="M1679" s="471">
        <f t="shared" si="134"/>
        <v>0.05</v>
      </c>
      <c r="N1679" s="475">
        <f t="shared" si="135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33"/>
        <v>-175803121.52218544</v>
      </c>
      <c r="J1680" s="455">
        <f t="array" ref="J1680">IFERROR(INDEX('Retirement Calculator'!J:J,MATCH('Isaac 401k'!N1680,'Retirement Calculator'!A:A,0),0),0)</f>
        <v>0</v>
      </c>
      <c r="K1680" s="455">
        <f t="shared" ca="1" si="131"/>
        <v>-732513.00634243933</v>
      </c>
      <c r="L1680" s="455">
        <f t="shared" ca="1" si="132"/>
        <v>-176535634.52852789</v>
      </c>
      <c r="M1680" s="471">
        <f t="shared" si="134"/>
        <v>0.05</v>
      </c>
      <c r="N1680" s="475">
        <f t="shared" si="135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33"/>
        <v>-176535634.52852789</v>
      </c>
      <c r="J1681" s="455">
        <f t="array" ref="J1681">IFERROR(INDEX('Retirement Calculator'!J:J,MATCH('Isaac 401k'!N1681,'Retirement Calculator'!A:A,0),0),0)</f>
        <v>0</v>
      </c>
      <c r="K1681" s="455">
        <f t="shared" ca="1" si="131"/>
        <v>-735565.14386886614</v>
      </c>
      <c r="L1681" s="455">
        <f t="shared" ca="1" si="132"/>
        <v>-177271199.67239675</v>
      </c>
      <c r="M1681" s="471">
        <f t="shared" si="134"/>
        <v>0.05</v>
      </c>
      <c r="N1681" s="475">
        <f t="shared" si="135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33"/>
        <v>-177271199.67239675</v>
      </c>
      <c r="J1682" s="455">
        <f t="array" ref="J1682">IFERROR(INDEX('Retirement Calculator'!J:J,MATCH('Isaac 401k'!N1682,'Retirement Calculator'!A:A,0),0),0)</f>
        <v>0</v>
      </c>
      <c r="K1682" s="455">
        <f t="shared" ca="1" si="131"/>
        <v>-738629.99863498646</v>
      </c>
      <c r="L1682" s="455">
        <f t="shared" ca="1" si="132"/>
        <v>-178009829.67103174</v>
      </c>
      <c r="M1682" s="471">
        <f t="shared" si="134"/>
        <v>0.05</v>
      </c>
      <c r="N1682" s="475">
        <f t="shared" si="135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33"/>
        <v>-178009829.67103174</v>
      </c>
      <c r="J1683" s="455">
        <f t="array" ref="J1683">IFERROR(INDEX('Retirement Calculator'!J:J,MATCH('Isaac 401k'!N1683,'Retirement Calculator'!A:A,0),0),0)</f>
        <v>0</v>
      </c>
      <c r="K1683" s="455">
        <f t="shared" ca="1" si="131"/>
        <v>-741707.62362929888</v>
      </c>
      <c r="L1683" s="455">
        <f t="shared" ca="1" si="132"/>
        <v>-178751537.29466105</v>
      </c>
      <c r="M1683" s="471">
        <f t="shared" si="134"/>
        <v>0.05</v>
      </c>
      <c r="N1683" s="475">
        <f t="shared" si="135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33"/>
        <v>-178751537.29466105</v>
      </c>
      <c r="J1684" s="455">
        <f t="array" ref="J1684">IFERROR(INDEX('Retirement Calculator'!J:J,MATCH('Isaac 401k'!N1684,'Retirement Calculator'!A:A,0),0),0)</f>
        <v>0</v>
      </c>
      <c r="K1684" s="455">
        <f t="shared" ca="1" si="131"/>
        <v>-744798.0720610877</v>
      </c>
      <c r="L1684" s="455">
        <f t="shared" ca="1" si="132"/>
        <v>-179496335.36672214</v>
      </c>
      <c r="M1684" s="471">
        <f t="shared" si="134"/>
        <v>0.05</v>
      </c>
      <c r="N1684" s="475">
        <f t="shared" si="135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33"/>
        <v>-179496335.36672214</v>
      </c>
      <c r="J1685" s="455">
        <f t="array" ref="J1685">IFERROR(INDEX('Retirement Calculator'!J:J,MATCH('Isaac 401k'!N1685,'Retirement Calculator'!A:A,0),0),0)</f>
        <v>0</v>
      </c>
      <c r="K1685" s="455">
        <f t="shared" ca="1" si="131"/>
        <v>-747901.39736134221</v>
      </c>
      <c r="L1685" s="455">
        <f t="shared" ca="1" si="132"/>
        <v>-180244236.76408347</v>
      </c>
      <c r="M1685" s="471">
        <f t="shared" si="134"/>
        <v>0.05</v>
      </c>
      <c r="N1685" s="475">
        <f t="shared" si="135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33"/>
        <v>-180244236.76408347</v>
      </c>
      <c r="J1686" s="455">
        <f t="array" ref="J1686">IFERROR(INDEX('Retirement Calculator'!J:J,MATCH('Isaac 401k'!N1686,'Retirement Calculator'!A:A,0),0),0)</f>
        <v>0</v>
      </c>
      <c r="K1686" s="455">
        <f t="shared" ca="1" si="131"/>
        <v>-751017.65318368119</v>
      </c>
      <c r="L1686" s="455">
        <f t="shared" ca="1" si="132"/>
        <v>-180995254.41726714</v>
      </c>
      <c r="M1686" s="471">
        <f t="shared" si="134"/>
        <v>0.05</v>
      </c>
      <c r="N1686" s="475">
        <f t="shared" si="135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33"/>
        <v>-180995254.41726714</v>
      </c>
      <c r="J1687" s="455">
        <f t="array" ref="J1687">IFERROR(INDEX('Retirement Calculator'!J:J,MATCH('Isaac 401k'!N1687,'Retirement Calculator'!A:A,0),0),0)</f>
        <v>0</v>
      </c>
      <c r="K1687" s="455">
        <f t="shared" ca="1" si="131"/>
        <v>-754146.89340527973</v>
      </c>
      <c r="L1687" s="455">
        <f t="shared" ca="1" si="132"/>
        <v>-181749401.31067243</v>
      </c>
      <c r="M1687" s="471">
        <f t="shared" si="134"/>
        <v>0.05</v>
      </c>
      <c r="N1687" s="475">
        <f t="shared" si="135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33"/>
        <v>-181749401.31067243</v>
      </c>
      <c r="J1688" s="455">
        <f t="array" ref="J1688">IFERROR(INDEX('Retirement Calculator'!J:J,MATCH('Isaac 401k'!N1688,'Retirement Calculator'!A:A,0),0),0)</f>
        <v>0</v>
      </c>
      <c r="K1688" s="455">
        <f t="shared" ca="1" si="131"/>
        <v>-757289.17212780181</v>
      </c>
      <c r="L1688" s="455">
        <f t="shared" ca="1" si="132"/>
        <v>-182506690.48280025</v>
      </c>
      <c r="M1688" s="471">
        <f t="shared" si="134"/>
        <v>0.05</v>
      </c>
      <c r="N1688" s="475">
        <f t="shared" si="135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33"/>
        <v>-182506690.48280025</v>
      </c>
      <c r="J1689" s="455">
        <f t="array" ref="J1689">IFERROR(INDEX('Retirement Calculator'!J:J,MATCH('Isaac 401k'!N1689,'Retirement Calculator'!A:A,0),0),0)</f>
        <v>0</v>
      </c>
      <c r="K1689" s="455">
        <f t="shared" ca="1" si="131"/>
        <v>-760444.54367833433</v>
      </c>
      <c r="L1689" s="455">
        <f t="shared" ca="1" si="132"/>
        <v>-183267135.02647859</v>
      </c>
      <c r="M1689" s="471">
        <f t="shared" si="134"/>
        <v>0.05</v>
      </c>
      <c r="N1689" s="475">
        <f t="shared" si="135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33"/>
        <v>-183267135.02647859</v>
      </c>
      <c r="J1690" s="455">
        <f t="array" ref="J1690">IFERROR(INDEX('Retirement Calculator'!J:J,MATCH('Isaac 401k'!N1690,'Retirement Calculator'!A:A,0),0),0)</f>
        <v>0</v>
      </c>
      <c r="K1690" s="455">
        <f t="shared" ca="1" si="131"/>
        <v>-763613.0626103275</v>
      </c>
      <c r="L1690" s="455">
        <f t="shared" ca="1" si="132"/>
        <v>-184030748.08908892</v>
      </c>
      <c r="M1690" s="471">
        <f t="shared" si="134"/>
        <v>0.05</v>
      </c>
      <c r="N1690" s="475">
        <f t="shared" si="135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33"/>
        <v>-184030748.08908892</v>
      </c>
      <c r="J1691" s="455">
        <f t="array" ref="J1691">IFERROR(INDEX('Retirement Calculator'!J:J,MATCH('Isaac 401k'!N1691,'Retirement Calculator'!A:A,0),0),0)</f>
        <v>0</v>
      </c>
      <c r="K1691" s="455">
        <f t="shared" ca="1" si="131"/>
        <v>-766794.7837045372</v>
      </c>
      <c r="L1691" s="455">
        <f t="shared" ca="1" si="132"/>
        <v>-184797542.87279347</v>
      </c>
      <c r="M1691" s="471">
        <f t="shared" si="134"/>
        <v>0.05</v>
      </c>
      <c r="N1691" s="475">
        <f t="shared" si="135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33"/>
        <v>-184797542.87279347</v>
      </c>
      <c r="J1692" s="455">
        <f t="array" ref="J1692">IFERROR(INDEX('Retirement Calculator'!J:J,MATCH('Isaac 401k'!N1692,'Retirement Calculator'!A:A,0),0),0)</f>
        <v>0</v>
      </c>
      <c r="K1692" s="455">
        <f t="shared" ca="1" si="131"/>
        <v>-769989.76196997275</v>
      </c>
      <c r="L1692" s="455">
        <f t="shared" ca="1" si="132"/>
        <v>-185567532.63476345</v>
      </c>
      <c r="M1692" s="471">
        <f t="shared" si="134"/>
        <v>0.05</v>
      </c>
      <c r="N1692" s="475">
        <f t="shared" si="135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33"/>
        <v>-185567532.63476345</v>
      </c>
      <c r="J1693" s="455">
        <f t="array" ref="J1693">IFERROR(INDEX('Retirement Calculator'!J:J,MATCH('Isaac 401k'!N1693,'Retirement Calculator'!A:A,0),0),0)</f>
        <v>0</v>
      </c>
      <c r="K1693" s="455">
        <f t="shared" ca="1" si="131"/>
        <v>-773198.05264484766</v>
      </c>
      <c r="L1693" s="455">
        <f t="shared" ca="1" si="132"/>
        <v>-186340730.6874083</v>
      </c>
      <c r="M1693" s="471">
        <f t="shared" si="134"/>
        <v>0.05</v>
      </c>
      <c r="N1693" s="475">
        <f t="shared" si="135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33"/>
        <v>-186340730.6874083</v>
      </c>
      <c r="J1694" s="455">
        <f t="array" ref="J1694">IFERROR(INDEX('Retirement Calculator'!J:J,MATCH('Isaac 401k'!N1694,'Retirement Calculator'!A:A,0),0),0)</f>
        <v>0</v>
      </c>
      <c r="K1694" s="455">
        <f t="shared" ca="1" si="131"/>
        <v>-776419.71119753458</v>
      </c>
      <c r="L1694" s="455">
        <f t="shared" ca="1" si="132"/>
        <v>-187117150.39860582</v>
      </c>
      <c r="M1694" s="471">
        <f t="shared" si="134"/>
        <v>0.05</v>
      </c>
      <c r="N1694" s="475">
        <f t="shared" si="135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33"/>
        <v>-187117150.39860582</v>
      </c>
      <c r="J1695" s="455">
        <f t="array" ref="J1695">IFERROR(INDEX('Retirement Calculator'!J:J,MATCH('Isaac 401k'!N1695,'Retirement Calculator'!A:A,0),0),0)</f>
        <v>0</v>
      </c>
      <c r="K1695" s="455">
        <f t="shared" ca="1" si="131"/>
        <v>-779654.79332752421</v>
      </c>
      <c r="L1695" s="455">
        <f t="shared" ca="1" si="132"/>
        <v>-187896805.19193333</v>
      </c>
      <c r="M1695" s="471">
        <f t="shared" si="134"/>
        <v>0.05</v>
      </c>
      <c r="N1695" s="475">
        <f t="shared" si="135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33"/>
        <v>-187896805.19193333</v>
      </c>
      <c r="J1696" s="455">
        <f t="array" ref="J1696">IFERROR(INDEX('Retirement Calculator'!J:J,MATCH('Isaac 401k'!N1696,'Retirement Calculator'!A:A,0),0),0)</f>
        <v>0</v>
      </c>
      <c r="K1696" s="455">
        <f t="shared" ca="1" si="131"/>
        <v>-782903.3549663889</v>
      </c>
      <c r="L1696" s="455">
        <f t="shared" ca="1" si="132"/>
        <v>-188679708.54689974</v>
      </c>
      <c r="M1696" s="471">
        <f t="shared" si="134"/>
        <v>0.05</v>
      </c>
      <c r="N1696" s="475">
        <f t="shared" si="135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33"/>
        <v>-188679708.54689974</v>
      </c>
      <c r="J1697" s="455">
        <f t="array" ref="J1697">IFERROR(INDEX('Retirement Calculator'!J:J,MATCH('Isaac 401k'!N1697,'Retirement Calculator'!A:A,0),0),0)</f>
        <v>0</v>
      </c>
      <c r="K1697" s="455">
        <f t="shared" ca="1" si="131"/>
        <v>-786165.45227874885</v>
      </c>
      <c r="L1697" s="455">
        <f t="shared" ca="1" si="132"/>
        <v>-189465873.9991785</v>
      </c>
      <c r="M1697" s="471">
        <f t="shared" si="134"/>
        <v>0.05</v>
      </c>
      <c r="N1697" s="475">
        <f t="shared" si="135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33"/>
        <v>-189465873.9991785</v>
      </c>
      <c r="J1698" s="455">
        <f t="array" ref="J1698">IFERROR(INDEX('Retirement Calculator'!J:J,MATCH('Isaac 401k'!N1698,'Retirement Calculator'!A:A,0),0),0)</f>
        <v>0</v>
      </c>
      <c r="K1698" s="455">
        <f t="shared" ca="1" si="131"/>
        <v>-789441.14166324376</v>
      </c>
      <c r="L1698" s="455">
        <f t="shared" ca="1" si="132"/>
        <v>-190255315.14084175</v>
      </c>
      <c r="M1698" s="471">
        <f t="shared" si="134"/>
        <v>0.05</v>
      </c>
      <c r="N1698" s="475">
        <f t="shared" si="135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33"/>
        <v>-190255315.14084175</v>
      </c>
      <c r="J1699" s="455">
        <f t="array" ref="J1699">IFERROR(INDEX('Retirement Calculator'!J:J,MATCH('Isaac 401k'!N1699,'Retirement Calculator'!A:A,0),0),0)</f>
        <v>0</v>
      </c>
      <c r="K1699" s="455">
        <f t="shared" ca="1" si="131"/>
        <v>-792730.4797535073</v>
      </c>
      <c r="L1699" s="455">
        <f t="shared" ca="1" si="132"/>
        <v>-191048045.62059525</v>
      </c>
      <c r="M1699" s="471">
        <f t="shared" si="134"/>
        <v>0.05</v>
      </c>
      <c r="N1699" s="475">
        <f t="shared" si="135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33"/>
        <v>-191048045.62059525</v>
      </c>
      <c r="J1700" s="455">
        <f t="array" ref="J1700">IFERROR(INDEX('Retirement Calculator'!J:J,MATCH('Isaac 401k'!N1700,'Retirement Calculator'!A:A,0),0),0)</f>
        <v>0</v>
      </c>
      <c r="K1700" s="455">
        <f t="shared" ca="1" si="131"/>
        <v>-796033.52341914689</v>
      </c>
      <c r="L1700" s="455">
        <f t="shared" ca="1" si="132"/>
        <v>-191844079.14401439</v>
      </c>
      <c r="M1700" s="471">
        <f t="shared" si="134"/>
        <v>0.05</v>
      </c>
      <c r="N1700" s="475">
        <f t="shared" si="135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33"/>
        <v>-191844079.14401439</v>
      </c>
      <c r="J1701" s="455">
        <f t="array" ref="J1701">IFERROR(INDEX('Retirement Calculator'!J:J,MATCH('Isaac 401k'!N1701,'Retirement Calculator'!A:A,0),0),0)</f>
        <v>0</v>
      </c>
      <c r="K1701" s="455">
        <f t="shared" ca="1" si="131"/>
        <v>-799350.32976672659</v>
      </c>
      <c r="L1701" s="455">
        <f t="shared" ca="1" si="132"/>
        <v>-192643429.47378111</v>
      </c>
      <c r="M1701" s="471">
        <f t="shared" si="134"/>
        <v>0.05</v>
      </c>
      <c r="N1701" s="475">
        <f t="shared" si="135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33"/>
        <v>-192643429.47378111</v>
      </c>
      <c r="J1702" s="455">
        <f t="array" ref="J1702">IFERROR(INDEX('Retirement Calculator'!J:J,MATCH('Isaac 401k'!N1702,'Retirement Calculator'!A:A,0),0),0)</f>
        <v>0</v>
      </c>
      <c r="K1702" s="455">
        <f t="shared" ca="1" si="131"/>
        <v>-802680.95614075463</v>
      </c>
      <c r="L1702" s="455">
        <f t="shared" ca="1" si="132"/>
        <v>-193446110.42992187</v>
      </c>
      <c r="M1702" s="471">
        <f t="shared" si="134"/>
        <v>0.05</v>
      </c>
      <c r="N1702" s="475">
        <f t="shared" si="135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33"/>
        <v>-193446110.42992187</v>
      </c>
      <c r="J1703" s="455">
        <f t="array" ref="J1703">IFERROR(INDEX('Retirement Calculator'!J:J,MATCH('Isaac 401k'!N1703,'Retirement Calculator'!A:A,0),0),0)</f>
        <v>0</v>
      </c>
      <c r="K1703" s="455">
        <f t="shared" ca="1" si="131"/>
        <v>-806025.46012467449</v>
      </c>
      <c r="L1703" s="455">
        <f t="shared" ca="1" si="132"/>
        <v>-194252135.89004654</v>
      </c>
      <c r="M1703" s="471">
        <f t="shared" si="134"/>
        <v>0.05</v>
      </c>
      <c r="N1703" s="475">
        <f t="shared" si="135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33"/>
        <v>-194252135.89004654</v>
      </c>
      <c r="J1704" s="455">
        <f t="array" ref="J1704">IFERROR(INDEX('Retirement Calculator'!J:J,MATCH('Isaac 401k'!N1704,'Retirement Calculator'!A:A,0),0),0)</f>
        <v>0</v>
      </c>
      <c r="K1704" s="455">
        <f t="shared" ca="1" si="131"/>
        <v>-809383.89954186056</v>
      </c>
      <c r="L1704" s="455">
        <f t="shared" ca="1" si="132"/>
        <v>-195061519.78958839</v>
      </c>
      <c r="M1704" s="471">
        <f t="shared" si="134"/>
        <v>0.05</v>
      </c>
      <c r="N1704" s="475">
        <f t="shared" si="135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33"/>
        <v>-195061519.78958839</v>
      </c>
      <c r="J1705" s="455">
        <f t="array" ref="J1705">IFERROR(INDEX('Retirement Calculator'!J:J,MATCH('Isaac 401k'!N1705,'Retirement Calculator'!A:A,0),0),0)</f>
        <v>0</v>
      </c>
      <c r="K1705" s="455">
        <f t="shared" ca="1" si="131"/>
        <v>-812756.33245661831</v>
      </c>
      <c r="L1705" s="455">
        <f t="shared" ca="1" si="132"/>
        <v>-195874276.12204501</v>
      </c>
      <c r="M1705" s="471">
        <f t="shared" si="134"/>
        <v>0.05</v>
      </c>
      <c r="N1705" s="475">
        <f t="shared" si="135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33"/>
        <v>-195874276.12204501</v>
      </c>
      <c r="J1706" s="455">
        <f t="array" ref="J1706">IFERROR(INDEX('Retirement Calculator'!J:J,MATCH('Isaac 401k'!N1706,'Retirement Calculator'!A:A,0),0),0)</f>
        <v>0</v>
      </c>
      <c r="K1706" s="455">
        <f t="shared" ca="1" si="131"/>
        <v>-816142.81717518752</v>
      </c>
      <c r="L1706" s="455">
        <f t="shared" ca="1" si="132"/>
        <v>-196690418.93922019</v>
      </c>
      <c r="M1706" s="471">
        <f t="shared" si="134"/>
        <v>0.05</v>
      </c>
      <c r="N1706" s="475">
        <f t="shared" si="135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33"/>
        <v>-196690418.93922019</v>
      </c>
      <c r="J1707" s="455">
        <f t="array" ref="J1707">IFERROR(INDEX('Retirement Calculator'!J:J,MATCH('Isaac 401k'!N1707,'Retirement Calculator'!A:A,0),0),0)</f>
        <v>0</v>
      </c>
      <c r="K1707" s="455">
        <f t="shared" ca="1" si="131"/>
        <v>-819543.41224675078</v>
      </c>
      <c r="L1707" s="455">
        <f t="shared" ca="1" si="132"/>
        <v>-197509962.35146695</v>
      </c>
      <c r="M1707" s="471">
        <f t="shared" si="134"/>
        <v>0.05</v>
      </c>
      <c r="N1707" s="475">
        <f t="shared" si="135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33"/>
        <v>-197509962.35146695</v>
      </c>
      <c r="J1708" s="455">
        <f t="array" ref="J1708">IFERROR(INDEX('Retirement Calculator'!J:J,MATCH('Isaac 401k'!N1708,'Retirement Calculator'!A:A,0),0),0)</f>
        <v>0</v>
      </c>
      <c r="K1708" s="455">
        <f t="shared" ca="1" si="131"/>
        <v>-822958.17646444566</v>
      </c>
      <c r="L1708" s="455">
        <f t="shared" ca="1" si="132"/>
        <v>-198332920.52793139</v>
      </c>
      <c r="M1708" s="471">
        <f t="shared" si="134"/>
        <v>0.05</v>
      </c>
      <c r="N1708" s="475">
        <f t="shared" si="135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33"/>
        <v>-198332920.52793139</v>
      </c>
      <c r="J1709" s="455">
        <f t="array" ref="J1709">IFERROR(INDEX('Retirement Calculator'!J:J,MATCH('Isaac 401k'!N1709,'Retirement Calculator'!A:A,0),0),0)</f>
        <v>0</v>
      </c>
      <c r="K1709" s="455">
        <f t="shared" ca="1" si="131"/>
        <v>-826387.16886638082</v>
      </c>
      <c r="L1709" s="455">
        <f t="shared" ca="1" si="132"/>
        <v>-199159307.69679776</v>
      </c>
      <c r="M1709" s="471">
        <f t="shared" si="134"/>
        <v>0.05</v>
      </c>
      <c r="N1709" s="475">
        <f t="shared" si="135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33"/>
        <v>-199159307.69679776</v>
      </c>
      <c r="J1710" s="455">
        <f t="array" ref="J1710">IFERROR(INDEX('Retirement Calculator'!J:J,MATCH('Isaac 401k'!N1710,'Retirement Calculator'!A:A,0),0),0)</f>
        <v>0</v>
      </c>
      <c r="K1710" s="455">
        <f t="shared" ca="1" si="131"/>
        <v>-829830.44873665727</v>
      </c>
      <c r="L1710" s="455">
        <f t="shared" ca="1" si="132"/>
        <v>-199989138.14553443</v>
      </c>
      <c r="M1710" s="471">
        <f t="shared" si="134"/>
        <v>0.05</v>
      </c>
      <c r="N1710" s="475">
        <f t="shared" si="135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33"/>
        <v>-199989138.14553443</v>
      </c>
      <c r="J1711" s="455">
        <f t="array" ref="J1711">IFERROR(INDEX('Retirement Calculator'!J:J,MATCH('Isaac 401k'!N1711,'Retirement Calculator'!A:A,0),0),0)</f>
        <v>0</v>
      </c>
      <c r="K1711" s="455">
        <f t="shared" ca="1" si="131"/>
        <v>-833288.07560639339</v>
      </c>
      <c r="L1711" s="455">
        <f t="shared" ca="1" si="132"/>
        <v>-200822426.22114083</v>
      </c>
      <c r="M1711" s="471">
        <f t="shared" si="134"/>
        <v>0.05</v>
      </c>
      <c r="N1711" s="475">
        <f t="shared" si="135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33"/>
        <v>-200822426.22114083</v>
      </c>
      <c r="J1712" s="455">
        <f t="array" ref="J1712">IFERROR(INDEX('Retirement Calculator'!J:J,MATCH('Isaac 401k'!N1712,'Retirement Calculator'!A:A,0),0),0)</f>
        <v>0</v>
      </c>
      <c r="K1712" s="455">
        <f t="shared" ca="1" si="131"/>
        <v>-836760.10925475345</v>
      </c>
      <c r="L1712" s="455">
        <f t="shared" ca="1" si="132"/>
        <v>-201659186.33039558</v>
      </c>
      <c r="M1712" s="471">
        <f t="shared" si="134"/>
        <v>0.05</v>
      </c>
      <c r="N1712" s="475">
        <f t="shared" si="135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33"/>
        <v>-201659186.33039558</v>
      </c>
      <c r="J1713" s="455">
        <f t="array" ref="J1713">IFERROR(INDEX('Retirement Calculator'!J:J,MATCH('Isaac 401k'!N1713,'Retirement Calculator'!A:A,0),0),0)</f>
        <v>0</v>
      </c>
      <c r="K1713" s="455">
        <f t="shared" ca="1" si="131"/>
        <v>-840246.6097099816</v>
      </c>
      <c r="L1713" s="455">
        <f t="shared" ca="1" si="132"/>
        <v>-202499432.94010556</v>
      </c>
      <c r="M1713" s="471">
        <f t="shared" si="134"/>
        <v>0.05</v>
      </c>
      <c r="N1713" s="475">
        <f t="shared" si="135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33"/>
        <v>-202499432.94010556</v>
      </c>
      <c r="J1714" s="455">
        <f t="array" ref="J1714">IFERROR(INDEX('Retirement Calculator'!J:J,MATCH('Isaac 401k'!N1714,'Retirement Calculator'!A:A,0),0),0)</f>
        <v>0</v>
      </c>
      <c r="K1714" s="455">
        <f t="shared" ca="1" si="131"/>
        <v>-843747.63725043985</v>
      </c>
      <c r="L1714" s="455">
        <f t="shared" ca="1" si="132"/>
        <v>-203343180.57735601</v>
      </c>
      <c r="M1714" s="471">
        <f t="shared" si="134"/>
        <v>0.05</v>
      </c>
      <c r="N1714" s="475">
        <f t="shared" si="135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33"/>
        <v>-203343180.57735601</v>
      </c>
      <c r="J1715" s="455">
        <f t="array" ref="J1715">IFERROR(INDEX('Retirement Calculator'!J:J,MATCH('Isaac 401k'!N1715,'Retirement Calculator'!A:A,0),0),0)</f>
        <v>0</v>
      </c>
      <c r="K1715" s="455">
        <f t="shared" ca="1" si="131"/>
        <v>-847263.25240564998</v>
      </c>
      <c r="L1715" s="455">
        <f t="shared" ca="1" si="132"/>
        <v>-204190443.82976165</v>
      </c>
      <c r="M1715" s="471">
        <f t="shared" si="134"/>
        <v>0.05</v>
      </c>
      <c r="N1715" s="475">
        <f t="shared" si="135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33"/>
        <v>-204190443.82976165</v>
      </c>
      <c r="J1716" s="455">
        <f t="array" ref="J1716">IFERROR(INDEX('Retirement Calculator'!J:J,MATCH('Isaac 401k'!N1716,'Retirement Calculator'!A:A,0),0),0)</f>
        <v>0</v>
      </c>
      <c r="K1716" s="455">
        <f t="shared" ca="1" si="131"/>
        <v>-850793.51595734025</v>
      </c>
      <c r="L1716" s="455">
        <f t="shared" ca="1" si="132"/>
        <v>-205041237.34571898</v>
      </c>
      <c r="M1716" s="471">
        <f t="shared" si="134"/>
        <v>0.05</v>
      </c>
      <c r="N1716" s="475">
        <f t="shared" si="135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33"/>
        <v>-205041237.34571898</v>
      </c>
      <c r="J1717" s="455">
        <f t="array" ref="J1717">IFERROR(INDEX('Retirement Calculator'!J:J,MATCH('Isaac 401k'!N1717,'Retirement Calculator'!A:A,0),0),0)</f>
        <v>0</v>
      </c>
      <c r="K1717" s="455">
        <f t="shared" ca="1" si="131"/>
        <v>-854338.48894049576</v>
      </c>
      <c r="L1717" s="455">
        <f t="shared" ca="1" si="132"/>
        <v>-205895575.83465949</v>
      </c>
      <c r="M1717" s="471">
        <f t="shared" si="134"/>
        <v>0.05</v>
      </c>
      <c r="N1717" s="475">
        <f t="shared" si="135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33"/>
        <v>-205895575.83465949</v>
      </c>
      <c r="J1718" s="455">
        <f t="array" ref="J1718">IFERROR(INDEX('Retirement Calculator'!J:J,MATCH('Isaac 401k'!N1718,'Retirement Calculator'!A:A,0),0),0)</f>
        <v>0</v>
      </c>
      <c r="K1718" s="455">
        <f t="shared" ca="1" si="131"/>
        <v>-857898.23264441453</v>
      </c>
      <c r="L1718" s="455">
        <f t="shared" ca="1" si="132"/>
        <v>-206753474.0673039</v>
      </c>
      <c r="M1718" s="471">
        <f t="shared" si="134"/>
        <v>0.05</v>
      </c>
      <c r="N1718" s="475">
        <f t="shared" si="135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33"/>
        <v>-206753474.0673039</v>
      </c>
      <c r="J1719" s="455">
        <f t="array" ref="J1719">IFERROR(INDEX('Retirement Calculator'!J:J,MATCH('Isaac 401k'!N1719,'Retirement Calculator'!A:A,0),0),0)</f>
        <v>0</v>
      </c>
      <c r="K1719" s="455">
        <f t="shared" ca="1" si="131"/>
        <v>-861472.80861376622</v>
      </c>
      <c r="L1719" s="455">
        <f t="shared" ca="1" si="132"/>
        <v>-207614946.87591767</v>
      </c>
      <c r="M1719" s="471">
        <f t="shared" si="134"/>
        <v>0.05</v>
      </c>
      <c r="N1719" s="475">
        <f t="shared" si="135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33"/>
        <v>-207614946.87591767</v>
      </c>
      <c r="J1720" s="455">
        <f t="array" ref="J1720">IFERROR(INDEX('Retirement Calculator'!J:J,MATCH('Isaac 401k'!N1720,'Retirement Calculator'!A:A,0),0),0)</f>
        <v>0</v>
      </c>
      <c r="K1720" s="455">
        <f t="shared" ca="1" si="131"/>
        <v>-865062.27864965692</v>
      </c>
      <c r="L1720" s="455">
        <f t="shared" ca="1" si="132"/>
        <v>-208480009.15456733</v>
      </c>
      <c r="M1720" s="471">
        <f t="shared" si="134"/>
        <v>0.05</v>
      </c>
      <c r="N1720" s="475">
        <f t="shared" si="135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33"/>
        <v>-208480009.15456733</v>
      </c>
      <c r="J1721" s="455">
        <f t="array" ref="J1721">IFERROR(INDEX('Retirement Calculator'!J:J,MATCH('Isaac 401k'!N1721,'Retirement Calculator'!A:A,0),0),0)</f>
        <v>0</v>
      </c>
      <c r="K1721" s="455">
        <f t="shared" ca="1" si="131"/>
        <v>-868666.70481069724</v>
      </c>
      <c r="L1721" s="455">
        <f t="shared" ca="1" si="132"/>
        <v>-209348675.85937804</v>
      </c>
      <c r="M1721" s="471">
        <f t="shared" si="134"/>
        <v>0.05</v>
      </c>
      <c r="N1721" s="475">
        <f t="shared" si="135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33"/>
        <v>-209348675.85937804</v>
      </c>
      <c r="J1722" s="455">
        <f t="array" ref="J1722">IFERROR(INDEX('Retirement Calculator'!J:J,MATCH('Isaac 401k'!N1722,'Retirement Calculator'!A:A,0),0),0)</f>
        <v>0</v>
      </c>
      <c r="K1722" s="455">
        <f t="shared" ca="1" si="131"/>
        <v>-872286.14941407519</v>
      </c>
      <c r="L1722" s="455">
        <f t="shared" ca="1" si="132"/>
        <v>-210220962.0087921</v>
      </c>
      <c r="M1722" s="471">
        <f t="shared" si="134"/>
        <v>0.05</v>
      </c>
      <c r="N1722" s="475">
        <f t="shared" si="135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33"/>
        <v>-210220962.0087921</v>
      </c>
      <c r="J1723" s="455">
        <f t="array" ref="J1723">IFERROR(INDEX('Retirement Calculator'!J:J,MATCH('Isaac 401k'!N1723,'Retirement Calculator'!A:A,0),0),0)</f>
        <v>0</v>
      </c>
      <c r="K1723" s="455">
        <f t="shared" ca="1" si="131"/>
        <v>-875920.67503663385</v>
      </c>
      <c r="L1723" s="455">
        <f t="shared" ca="1" si="132"/>
        <v>-211096882.68382874</v>
      </c>
      <c r="M1723" s="471">
        <f t="shared" si="134"/>
        <v>0.05</v>
      </c>
      <c r="N1723" s="475">
        <f t="shared" si="135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33"/>
        <v>-211096882.68382874</v>
      </c>
      <c r="J1724" s="455">
        <f t="array" ref="J1724">IFERROR(INDEX('Retirement Calculator'!J:J,MATCH('Isaac 401k'!N1724,'Retirement Calculator'!A:A,0),0),0)</f>
        <v>0</v>
      </c>
      <c r="K1724" s="455">
        <f t="shared" ca="1" si="131"/>
        <v>-879570.3445159531</v>
      </c>
      <c r="L1724" s="455">
        <f t="shared" ca="1" si="132"/>
        <v>-211976453.02834469</v>
      </c>
      <c r="M1724" s="471">
        <f t="shared" si="134"/>
        <v>0.05</v>
      </c>
      <c r="N1724" s="475">
        <f t="shared" si="135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33"/>
        <v>-211976453.02834469</v>
      </c>
      <c r="J1725" s="455">
        <f t="array" ref="J1725">IFERROR(INDEX('Retirement Calculator'!J:J,MATCH('Isaac 401k'!N1725,'Retirement Calculator'!A:A,0),0),0)</f>
        <v>0</v>
      </c>
      <c r="K1725" s="455">
        <f t="shared" ca="1" si="131"/>
        <v>-883235.2209514362</v>
      </c>
      <c r="L1725" s="455">
        <f t="shared" ca="1" si="132"/>
        <v>-212859688.24929613</v>
      </c>
      <c r="M1725" s="471">
        <f t="shared" si="134"/>
        <v>0.05</v>
      </c>
      <c r="N1725" s="475">
        <f t="shared" si="135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33"/>
        <v>-212859688.24929613</v>
      </c>
      <c r="J1726" s="455">
        <f t="array" ref="J1726">IFERROR(INDEX('Retirement Calculator'!J:J,MATCH('Isaac 401k'!N1726,'Retirement Calculator'!A:A,0),0),0)</f>
        <v>0</v>
      </c>
      <c r="K1726" s="455">
        <f t="shared" ca="1" si="131"/>
        <v>-886915.36770540057</v>
      </c>
      <c r="L1726" s="455">
        <f t="shared" ca="1" si="132"/>
        <v>-213746603.61700153</v>
      </c>
      <c r="M1726" s="471">
        <f t="shared" si="134"/>
        <v>0.05</v>
      </c>
      <c r="N1726" s="475">
        <f t="shared" si="135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33"/>
        <v>-213746603.61700153</v>
      </c>
      <c r="J1727" s="455">
        <f t="array" ref="J1727">IFERROR(INDEX('Retirement Calculator'!J:J,MATCH('Isaac 401k'!N1727,'Retirement Calculator'!A:A,0),0),0)</f>
        <v>0</v>
      </c>
      <c r="K1727" s="455">
        <f t="shared" ca="1" si="131"/>
        <v>-890610.84840417316</v>
      </c>
      <c r="L1727" s="455">
        <f t="shared" ca="1" si="132"/>
        <v>-214637214.4654057</v>
      </c>
      <c r="M1727" s="471">
        <f t="shared" si="134"/>
        <v>0.05</v>
      </c>
      <c r="N1727" s="475">
        <f t="shared" si="135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33"/>
        <v>-214637214.4654057</v>
      </c>
      <c r="J1728" s="455">
        <f t="array" ref="J1728">IFERROR(INDEX('Retirement Calculator'!J:J,MATCH('Isaac 401k'!N1728,'Retirement Calculator'!A:A,0),0),0)</f>
        <v>0</v>
      </c>
      <c r="K1728" s="455">
        <f t="shared" ca="1" si="131"/>
        <v>-894321.72693919053</v>
      </c>
      <c r="L1728" s="455">
        <f t="shared" ca="1" si="132"/>
        <v>-215531536.1923449</v>
      </c>
      <c r="M1728" s="471">
        <f t="shared" si="134"/>
        <v>0.05</v>
      </c>
      <c r="N1728" s="475">
        <f t="shared" si="135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33"/>
        <v>-215531536.1923449</v>
      </c>
      <c r="J1729" s="455">
        <f t="array" ref="J1729">IFERROR(INDEX('Retirement Calculator'!J:J,MATCH('Isaac 401k'!N1729,'Retirement Calculator'!A:A,0),0),0)</f>
        <v>0</v>
      </c>
      <c r="K1729" s="455">
        <f t="shared" ca="1" si="131"/>
        <v>-898048.06746810372</v>
      </c>
      <c r="L1729" s="455">
        <f t="shared" ca="1" si="132"/>
        <v>-216429584.25981301</v>
      </c>
      <c r="M1729" s="471">
        <f t="shared" si="134"/>
        <v>0.05</v>
      </c>
      <c r="N1729" s="475">
        <f t="shared" si="135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33"/>
        <v>-216429584.25981301</v>
      </c>
      <c r="J1730" s="455">
        <f t="array" ref="J1730">IFERROR(INDEX('Retirement Calculator'!J:J,MATCH('Isaac 401k'!N1730,'Retirement Calculator'!A:A,0),0),0)</f>
        <v>0</v>
      </c>
      <c r="K1730" s="455">
        <f t="shared" ca="1" si="131"/>
        <v>-901789.93441588758</v>
      </c>
      <c r="L1730" s="455">
        <f t="shared" ca="1" si="132"/>
        <v>-217331374.19422889</v>
      </c>
      <c r="M1730" s="471">
        <f t="shared" si="134"/>
        <v>0.05</v>
      </c>
      <c r="N1730" s="475">
        <f t="shared" si="135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33"/>
        <v>-217331374.19422889</v>
      </c>
      <c r="J1731" s="455">
        <f t="array" ref="J1731">IFERROR(INDEX('Retirement Calculator'!J:J,MATCH('Isaac 401k'!N1731,'Retirement Calculator'!A:A,0),0),0)</f>
        <v>0</v>
      </c>
      <c r="K1731" s="455">
        <f t="shared" ca="1" si="131"/>
        <v>-905547.39247595367</v>
      </c>
      <c r="L1731" s="455">
        <f t="shared" ca="1" si="132"/>
        <v>-218236921.58670485</v>
      </c>
      <c r="M1731" s="471">
        <f t="shared" si="134"/>
        <v>0.05</v>
      </c>
      <c r="N1731" s="475">
        <f t="shared" si="135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33"/>
        <v>-218236921.58670485</v>
      </c>
      <c r="J1732" s="455">
        <f t="array" ref="J1732">IFERROR(INDEX('Retirement Calculator'!J:J,MATCH('Isaac 401k'!N1732,'Retirement Calculator'!A:A,0),0),0)</f>
        <v>0</v>
      </c>
      <c r="K1732" s="455">
        <f t="shared" ca="1" si="131"/>
        <v>-909320.50661127002</v>
      </c>
      <c r="L1732" s="455">
        <f t="shared" ca="1" si="132"/>
        <v>-219146242.09331611</v>
      </c>
      <c r="M1732" s="471">
        <f t="shared" si="134"/>
        <v>0.05</v>
      </c>
      <c r="N1732" s="475">
        <f t="shared" si="135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33"/>
        <v>-219146242.09331611</v>
      </c>
      <c r="J1733" s="455">
        <f t="array" ref="J1733">IFERROR(INDEX('Retirement Calculator'!J:J,MATCH('Isaac 401k'!N1733,'Retirement Calculator'!A:A,0),0),0)</f>
        <v>0</v>
      </c>
      <c r="K1733" s="455">
        <f t="shared" ca="1" si="131"/>
        <v>-913109.34205548372</v>
      </c>
      <c r="L1733" s="455">
        <f t="shared" ca="1" si="132"/>
        <v>-220059351.43537158</v>
      </c>
      <c r="M1733" s="471">
        <f t="shared" si="134"/>
        <v>0.05</v>
      </c>
      <c r="N1733" s="475">
        <f t="shared" si="135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33"/>
        <v>-220059351.43537158</v>
      </c>
      <c r="J1734" s="455">
        <f t="array" ref="J1734">IFERROR(INDEX('Retirement Calculator'!J:J,MATCH('Isaac 401k'!N1734,'Retirement Calculator'!A:A,0),0),0)</f>
        <v>0</v>
      </c>
      <c r="K1734" s="455">
        <f t="shared" ca="1" si="131"/>
        <v>-916913.96431404818</v>
      </c>
      <c r="L1734" s="455">
        <f t="shared" ca="1" si="132"/>
        <v>-220976265.39968562</v>
      </c>
      <c r="M1734" s="471">
        <f t="shared" si="134"/>
        <v>0.05</v>
      </c>
      <c r="N1734" s="475">
        <f t="shared" si="135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33"/>
        <v>-220976265.39968562</v>
      </c>
      <c r="J1735" s="455">
        <f t="array" ref="J1735">IFERROR(INDEX('Retirement Calculator'!J:J,MATCH('Isaac 401k'!N1735,'Retirement Calculator'!A:A,0),0),0)</f>
        <v>0</v>
      </c>
      <c r="K1735" s="455">
        <f t="shared" ca="1" si="131"/>
        <v>-920734.43916535669</v>
      </c>
      <c r="L1735" s="455">
        <f t="shared" ca="1" si="132"/>
        <v>-221896999.83885098</v>
      </c>
      <c r="M1735" s="471">
        <f t="shared" si="134"/>
        <v>0.05</v>
      </c>
      <c r="N1735" s="475">
        <f t="shared" si="135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33"/>
        <v>-221896999.83885098</v>
      </c>
      <c r="J1736" s="455">
        <f t="array" ref="J1736">IFERROR(INDEX('Retirement Calculator'!J:J,MATCH('Isaac 401k'!N1736,'Retirement Calculator'!A:A,0),0),0)</f>
        <v>0</v>
      </c>
      <c r="K1736" s="455">
        <f t="shared" ca="1" si="131"/>
        <v>-924570.8326618789</v>
      </c>
      <c r="L1736" s="455">
        <f t="shared" ca="1" si="132"/>
        <v>-222821570.67151284</v>
      </c>
      <c r="M1736" s="471">
        <f t="shared" si="134"/>
        <v>0.05</v>
      </c>
      <c r="N1736" s="475">
        <f t="shared" si="135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33"/>
        <v>-222821570.67151284</v>
      </c>
      <c r="J1737" s="455">
        <f t="array" ref="J1737">IFERROR(INDEX('Retirement Calculator'!J:J,MATCH('Isaac 401k'!N1737,'Retirement Calculator'!A:A,0),0),0)</f>
        <v>0</v>
      </c>
      <c r="K1737" s="455">
        <f t="shared" ca="1" si="131"/>
        <v>-928423.21113130334</v>
      </c>
      <c r="L1737" s="455">
        <f t="shared" ca="1" si="132"/>
        <v>-223749993.88264415</v>
      </c>
      <c r="M1737" s="471">
        <f t="shared" si="134"/>
        <v>0.05</v>
      </c>
      <c r="N1737" s="475">
        <f t="shared" si="135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33"/>
        <v>-223749993.88264415</v>
      </c>
      <c r="J1738" s="455">
        <f t="array" ref="J1738">IFERROR(INDEX('Retirement Calculator'!J:J,MATCH('Isaac 401k'!N1738,'Retirement Calculator'!A:A,0),0),0)</f>
        <v>0</v>
      </c>
      <c r="K1738" s="455">
        <f t="shared" ca="1" si="131"/>
        <v>-932291.64117768407</v>
      </c>
      <c r="L1738" s="455">
        <f t="shared" ca="1" si="132"/>
        <v>-224682285.52382183</v>
      </c>
      <c r="M1738" s="471">
        <f t="shared" si="134"/>
        <v>0.05</v>
      </c>
      <c r="N1738" s="475">
        <f t="shared" si="135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33"/>
        <v>-224682285.52382183</v>
      </c>
      <c r="J1739" s="455">
        <f t="array" ref="J1739">IFERROR(INDEX('Retirement Calculator'!J:J,MATCH('Isaac 401k'!N1739,'Retirement Calculator'!A:A,0),0),0)</f>
        <v>0</v>
      </c>
      <c r="K1739" s="455">
        <f t="shared" ca="1" si="131"/>
        <v>-936176.18968259089</v>
      </c>
      <c r="L1739" s="455">
        <f t="shared" ca="1" si="132"/>
        <v>-225618461.71350443</v>
      </c>
      <c r="M1739" s="471">
        <f t="shared" si="134"/>
        <v>0.05</v>
      </c>
      <c r="N1739" s="475">
        <f t="shared" si="135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33"/>
        <v>-225618461.71350443</v>
      </c>
      <c r="J1740" s="455">
        <f t="array" ref="J1740">IFERROR(INDEX('Retirement Calculator'!J:J,MATCH('Isaac 401k'!N1740,'Retirement Calculator'!A:A,0),0),0)</f>
        <v>0</v>
      </c>
      <c r="K1740" s="455">
        <f t="shared" ca="1" si="131"/>
        <v>-940076.92380626849</v>
      </c>
      <c r="L1740" s="455">
        <f t="shared" ca="1" si="132"/>
        <v>-226558538.63731071</v>
      </c>
      <c r="M1740" s="471">
        <f t="shared" si="134"/>
        <v>0.05</v>
      </c>
      <c r="N1740" s="475">
        <f t="shared" si="135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33"/>
        <v>-226558538.63731071</v>
      </c>
      <c r="J1741" s="455">
        <f t="array" ref="J1741">IFERROR(INDEX('Retirement Calculator'!J:J,MATCH('Isaac 401k'!N1741,'Retirement Calculator'!A:A,0),0),0)</f>
        <v>0</v>
      </c>
      <c r="K1741" s="455">
        <f t="shared" ca="1" si="131"/>
        <v>-943993.91098879452</v>
      </c>
      <c r="L1741" s="455">
        <f t="shared" ca="1" si="132"/>
        <v>-227502532.54829952</v>
      </c>
      <c r="M1741" s="471">
        <f t="shared" si="134"/>
        <v>0.05</v>
      </c>
      <c r="N1741" s="475">
        <f t="shared" si="135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33"/>
        <v>-227502532.54829952</v>
      </c>
      <c r="J1742" s="455">
        <f t="array" ref="J1742">IFERROR(INDEX('Retirement Calculator'!J:J,MATCH('Isaac 401k'!N1742,'Retirement Calculator'!A:A,0),0),0)</f>
        <v>0</v>
      </c>
      <c r="K1742" s="455">
        <f t="shared" ca="1" si="131"/>
        <v>-947927.21895124798</v>
      </c>
      <c r="L1742" s="455">
        <f t="shared" ca="1" si="132"/>
        <v>-228450459.76725078</v>
      </c>
      <c r="M1742" s="471">
        <f t="shared" si="134"/>
        <v>0.05</v>
      </c>
      <c r="N1742" s="475">
        <f t="shared" si="135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33"/>
        <v>-228450459.76725078</v>
      </c>
      <c r="J1743" s="455">
        <f t="array" ref="J1743">IFERROR(INDEX('Retirement Calculator'!J:J,MATCH('Isaac 401k'!N1743,'Retirement Calculator'!A:A,0),0),0)</f>
        <v>0</v>
      </c>
      <c r="K1743" s="455">
        <f t="shared" ca="1" si="131"/>
        <v>-951876.91569687822</v>
      </c>
      <c r="L1743" s="455">
        <f t="shared" ca="1" si="132"/>
        <v>-229402336.68294767</v>
      </c>
      <c r="M1743" s="471">
        <f t="shared" si="134"/>
        <v>0.05</v>
      </c>
      <c r="N1743" s="475">
        <f t="shared" si="135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33"/>
        <v>-229402336.68294767</v>
      </c>
      <c r="J1744" s="455">
        <f t="array" ref="J1744">IFERROR(INDEX('Retirement Calculator'!J:J,MATCH('Isaac 401k'!N1744,'Retirement Calculator'!A:A,0),0),0)</f>
        <v>0</v>
      </c>
      <c r="K1744" s="455">
        <f t="shared" ca="1" si="131"/>
        <v>-955843.06951228192</v>
      </c>
      <c r="L1744" s="455">
        <f t="shared" ca="1" si="132"/>
        <v>-230358179.75245994</v>
      </c>
      <c r="M1744" s="471">
        <f t="shared" si="134"/>
        <v>0.05</v>
      </c>
      <c r="N1744" s="475">
        <f t="shared" si="135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33"/>
        <v>-230358179.75245994</v>
      </c>
      <c r="J1745" s="455">
        <f t="array" ref="J1745">IFERROR(INDEX('Retirement Calculator'!J:J,MATCH('Isaac 401k'!N1745,'Retirement Calculator'!A:A,0),0),0)</f>
        <v>0</v>
      </c>
      <c r="K1745" s="455">
        <f t="shared" ca="1" si="131"/>
        <v>-959825.74896858307</v>
      </c>
      <c r="L1745" s="455">
        <f t="shared" ca="1" si="132"/>
        <v>-231318005.50142851</v>
      </c>
      <c r="M1745" s="471">
        <f t="shared" si="134"/>
        <v>0.05</v>
      </c>
      <c r="N1745" s="475">
        <f t="shared" si="135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33"/>
        <v>-231318005.50142851</v>
      </c>
      <c r="J1746" s="455">
        <f t="array" ref="J1746">IFERROR(INDEX('Retirement Calculator'!J:J,MATCH('Isaac 401k'!N1746,'Retirement Calculator'!A:A,0),0),0)</f>
        <v>0</v>
      </c>
      <c r="K1746" s="455">
        <f t="shared" ca="1" si="131"/>
        <v>-963825.02292261866</v>
      </c>
      <c r="L1746" s="455">
        <f t="shared" ca="1" si="132"/>
        <v>-232281830.52435112</v>
      </c>
      <c r="M1746" s="471">
        <f t="shared" si="134"/>
        <v>0.05</v>
      </c>
      <c r="N1746" s="475">
        <f t="shared" si="135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33"/>
        <v>-232281830.52435112</v>
      </c>
      <c r="J1747" s="455">
        <f t="array" ref="J1747">IFERROR(INDEX('Retirement Calculator'!J:J,MATCH('Isaac 401k'!N1747,'Retirement Calculator'!A:A,0),0),0)</f>
        <v>0</v>
      </c>
      <c r="K1747" s="455">
        <f t="shared" ca="1" si="131"/>
        <v>-967840.96051812952</v>
      </c>
      <c r="L1747" s="455">
        <f t="shared" ca="1" si="132"/>
        <v>-233249671.48486924</v>
      </c>
      <c r="M1747" s="471">
        <f t="shared" si="134"/>
        <v>0.05</v>
      </c>
      <c r="N1747" s="475">
        <f t="shared" si="135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33"/>
        <v>-233249671.48486924</v>
      </c>
      <c r="J1748" s="455">
        <f t="array" ref="J1748">IFERROR(INDEX('Retirement Calculator'!J:J,MATCH('Isaac 401k'!N1748,'Retirement Calculator'!A:A,0),0),0)</f>
        <v>0</v>
      </c>
      <c r="K1748" s="455">
        <f t="shared" ca="1" si="131"/>
        <v>-971873.63118695514</v>
      </c>
      <c r="L1748" s="455">
        <f t="shared" ca="1" si="132"/>
        <v>-234221545.1160562</v>
      </c>
      <c r="M1748" s="471">
        <f t="shared" si="134"/>
        <v>0.05</v>
      </c>
      <c r="N1748" s="475">
        <f t="shared" si="135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33"/>
        <v>-234221545.1160562</v>
      </c>
      <c r="J1749" s="455">
        <f t="array" ref="J1749">IFERROR(INDEX('Retirement Calculator'!J:J,MATCH('Isaac 401k'!N1749,'Retirement Calculator'!A:A,0),0),0)</f>
        <v>0</v>
      </c>
      <c r="K1749" s="455">
        <f t="shared" ca="1" si="131"/>
        <v>-975923.10465023422</v>
      </c>
      <c r="L1749" s="455">
        <f t="shared" ca="1" si="132"/>
        <v>-235197468.22070643</v>
      </c>
      <c r="M1749" s="471">
        <f t="shared" si="134"/>
        <v>0.05</v>
      </c>
      <c r="N1749" s="475">
        <f t="shared" si="135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33"/>
        <v>-235197468.22070643</v>
      </c>
      <c r="J1750" s="455">
        <f t="array" ref="J1750">IFERROR(INDEX('Retirement Calculator'!J:J,MATCH('Isaac 401k'!N1750,'Retirement Calculator'!A:A,0),0),0)</f>
        <v>0</v>
      </c>
      <c r="K1750" s="455">
        <f t="shared" ca="1" si="131"/>
        <v>-979989.45091961022</v>
      </c>
      <c r="L1750" s="455">
        <f t="shared" ca="1" si="132"/>
        <v>-236177457.67162603</v>
      </c>
      <c r="M1750" s="471">
        <f t="shared" si="134"/>
        <v>0.05</v>
      </c>
      <c r="N1750" s="475">
        <f t="shared" si="135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33"/>
        <v>-236177457.67162603</v>
      </c>
      <c r="J1751" s="455">
        <f t="array" ref="J1751">IFERROR(INDEX('Retirement Calculator'!J:J,MATCH('Isaac 401k'!N1751,'Retirement Calculator'!A:A,0),0),0)</f>
        <v>0</v>
      </c>
      <c r="K1751" s="455">
        <f t="shared" ca="1" si="131"/>
        <v>-984072.74029844173</v>
      </c>
      <c r="L1751" s="455">
        <f t="shared" ca="1" si="132"/>
        <v>-237161530.41192448</v>
      </c>
      <c r="M1751" s="471">
        <f t="shared" si="134"/>
        <v>0.05</v>
      </c>
      <c r="N1751" s="475">
        <f t="shared" si="135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33"/>
        <v>-237161530.41192448</v>
      </c>
      <c r="J1752" s="455">
        <f t="array" ref="J1752">IFERROR(INDEX('Retirement Calculator'!J:J,MATCH('Isaac 401k'!N1752,'Retirement Calculator'!A:A,0),0),0)</f>
        <v>0</v>
      </c>
      <c r="K1752" s="455">
        <f t="shared" ca="1" si="131"/>
        <v>-988173.0433830187</v>
      </c>
      <c r="L1752" s="455">
        <f t="shared" ca="1" si="132"/>
        <v>-238149703.45530751</v>
      </c>
      <c r="M1752" s="471">
        <f t="shared" si="134"/>
        <v>0.05</v>
      </c>
      <c r="N1752" s="475">
        <f t="shared" si="135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33"/>
        <v>-238149703.45530751</v>
      </c>
      <c r="J1753" s="455">
        <f t="array" ref="J1753">IFERROR(INDEX('Retirement Calculator'!J:J,MATCH('Isaac 401k'!N1753,'Retirement Calculator'!A:A,0),0),0)</f>
        <v>0</v>
      </c>
      <c r="K1753" s="455">
        <f t="shared" ca="1" si="131"/>
        <v>-992290.43106378126</v>
      </c>
      <c r="L1753" s="455">
        <f t="shared" ca="1" si="132"/>
        <v>-239141993.88637128</v>
      </c>
      <c r="M1753" s="471">
        <f t="shared" si="134"/>
        <v>0.05</v>
      </c>
      <c r="N1753" s="475">
        <f t="shared" si="135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33"/>
        <v>-239141993.88637128</v>
      </c>
      <c r="J1754" s="455">
        <f t="array" ref="J1754">IFERROR(INDEX('Retirement Calculator'!J:J,MATCH('Isaac 401k'!N1754,'Retirement Calculator'!A:A,0),0),0)</f>
        <v>0</v>
      </c>
      <c r="K1754" s="455">
        <f t="shared" ca="1" si="131"/>
        <v>-996424.97452654701</v>
      </c>
      <c r="L1754" s="455">
        <f t="shared" ca="1" si="132"/>
        <v>-240138418.86089784</v>
      </c>
      <c r="M1754" s="471">
        <f t="shared" si="134"/>
        <v>0.05</v>
      </c>
      <c r="N1754" s="475">
        <f t="shared" si="135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33"/>
        <v>-240138418.86089784</v>
      </c>
      <c r="J1755" s="455">
        <f t="array" ref="J1755">IFERROR(INDEX('Retirement Calculator'!J:J,MATCH('Isaac 401k'!N1755,'Retirement Calculator'!A:A,0),0),0)</f>
        <v>0</v>
      </c>
      <c r="K1755" s="455">
        <f t="shared" ca="1" si="131"/>
        <v>-1000576.7452537408</v>
      </c>
      <c r="L1755" s="455">
        <f t="shared" ca="1" si="132"/>
        <v>-241138995.60615158</v>
      </c>
      <c r="M1755" s="471">
        <f t="shared" si="134"/>
        <v>0.05</v>
      </c>
      <c r="N1755" s="475">
        <f t="shared" si="135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33"/>
        <v>-241138995.60615158</v>
      </c>
      <c r="J1756" s="455">
        <f t="array" ref="J1756">IFERROR(INDEX('Retirement Calculator'!J:J,MATCH('Isaac 401k'!N1756,'Retirement Calculator'!A:A,0),0),0)</f>
        <v>0</v>
      </c>
      <c r="K1756" s="455">
        <f t="shared" ca="1" si="131"/>
        <v>-1004745.8150256317</v>
      </c>
      <c r="L1756" s="455">
        <f t="shared" ca="1" si="132"/>
        <v>-242143741.42117721</v>
      </c>
      <c r="M1756" s="471">
        <f t="shared" si="134"/>
        <v>0.05</v>
      </c>
      <c r="N1756" s="475">
        <f t="shared" si="135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33"/>
        <v>-242143741.42117721</v>
      </c>
      <c r="J1757" s="455">
        <f t="array" ref="J1757">IFERROR(INDEX('Retirement Calculator'!J:J,MATCH('Isaac 401k'!N1757,'Retirement Calculator'!A:A,0),0),0)</f>
        <v>0</v>
      </c>
      <c r="K1757" s="455">
        <f t="shared" ca="1" si="131"/>
        <v>-1008932.2559215719</v>
      </c>
      <c r="L1757" s="455">
        <f t="shared" ca="1" si="132"/>
        <v>-243152673.67709878</v>
      </c>
      <c r="M1757" s="471">
        <f t="shared" si="134"/>
        <v>0.05</v>
      </c>
      <c r="N1757" s="475">
        <f t="shared" si="135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33"/>
        <v>-243152673.67709878</v>
      </c>
      <c r="J1758" s="455">
        <f t="array" ref="J1758">IFERROR(INDEX('Retirement Calculator'!J:J,MATCH('Isaac 401k'!N1758,'Retirement Calculator'!A:A,0),0),0)</f>
        <v>0</v>
      </c>
      <c r="K1758" s="455">
        <f t="shared" ca="1" si="131"/>
        <v>-1013136.1403212451</v>
      </c>
      <c r="L1758" s="455">
        <f t="shared" ca="1" si="132"/>
        <v>-244165809.81742004</v>
      </c>
      <c r="M1758" s="471">
        <f t="shared" si="134"/>
        <v>0.05</v>
      </c>
      <c r="N1758" s="475">
        <f t="shared" si="135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33"/>
        <v>-244165809.81742004</v>
      </c>
      <c r="J1759" s="455">
        <f t="array" ref="J1759">IFERROR(INDEX('Retirement Calculator'!J:J,MATCH('Isaac 401k'!N1759,'Retirement Calculator'!A:A,0),0),0)</f>
        <v>0</v>
      </c>
      <c r="K1759" s="455">
        <f t="shared" ca="1" si="131"/>
        <v>-1017357.5409059169</v>
      </c>
      <c r="L1759" s="455">
        <f t="shared" ca="1" si="132"/>
        <v>-245183167.35832596</v>
      </c>
      <c r="M1759" s="471">
        <f t="shared" si="134"/>
        <v>0.05</v>
      </c>
      <c r="N1759" s="475">
        <f t="shared" si="135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33"/>
        <v>-245183167.35832596</v>
      </c>
      <c r="J1760" s="455">
        <f t="array" ref="J1760">IFERROR(INDEX('Retirement Calculator'!J:J,MATCH('Isaac 401k'!N1760,'Retirement Calculator'!A:A,0),0),0)</f>
        <v>0</v>
      </c>
      <c r="K1760" s="455">
        <f t="shared" ca="1" si="131"/>
        <v>-1021596.5306596914</v>
      </c>
      <c r="L1760" s="455">
        <f t="shared" ca="1" si="132"/>
        <v>-246204763.88898566</v>
      </c>
      <c r="M1760" s="471">
        <f t="shared" si="134"/>
        <v>0.05</v>
      </c>
      <c r="N1760" s="475">
        <f t="shared" si="135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33"/>
        <v>-246204763.88898566</v>
      </c>
      <c r="J1761" s="455">
        <f t="array" ref="J1761">IFERROR(INDEX('Retirement Calculator'!J:J,MATCH('Isaac 401k'!N1761,'Retirement Calculator'!A:A,0),0),0)</f>
        <v>0</v>
      </c>
      <c r="K1761" s="455">
        <f t="shared" ca="1" si="131"/>
        <v>-1025853.1828707735</v>
      </c>
      <c r="L1761" s="455">
        <f t="shared" ca="1" si="132"/>
        <v>-247230617.07185644</v>
      </c>
      <c r="M1761" s="471">
        <f t="shared" si="134"/>
        <v>0.05</v>
      </c>
      <c r="N1761" s="475">
        <f t="shared" si="135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33"/>
        <v>-247230617.07185644</v>
      </c>
      <c r="J1762" s="455">
        <f t="array" ref="J1762">IFERROR(INDEX('Retirement Calculator'!J:J,MATCH('Isaac 401k'!N1762,'Retirement Calculator'!A:A,0),0),0)</f>
        <v>0</v>
      </c>
      <c r="K1762" s="455">
        <f t="shared" ca="1" si="131"/>
        <v>-1030127.5711327351</v>
      </c>
      <c r="L1762" s="455">
        <f t="shared" ca="1" si="132"/>
        <v>-248260744.64298919</v>
      </c>
      <c r="M1762" s="471">
        <f t="shared" si="134"/>
        <v>0.05</v>
      </c>
      <c r="N1762" s="475">
        <f t="shared" si="135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33"/>
        <v>-248260744.64298919</v>
      </c>
      <c r="J1763" s="455">
        <f t="array" ref="J1763">IFERROR(INDEX('Retirement Calculator'!J:J,MATCH('Isaac 401k'!N1763,'Retirement Calculator'!A:A,0),0),0)</f>
        <v>0</v>
      </c>
      <c r="K1763" s="455">
        <f t="shared" ca="1" si="131"/>
        <v>-1034419.7693457882</v>
      </c>
      <c r="L1763" s="455">
        <f t="shared" ca="1" si="132"/>
        <v>-249295164.41233498</v>
      </c>
      <c r="M1763" s="471">
        <f t="shared" si="134"/>
        <v>0.05</v>
      </c>
      <c r="N1763" s="475">
        <f t="shared" si="135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33"/>
        <v>-249295164.41233498</v>
      </c>
      <c r="J1764" s="455">
        <f t="array" ref="J1764">IFERROR(INDEX('Retirement Calculator'!J:J,MATCH('Isaac 401k'!N1764,'Retirement Calculator'!A:A,0),0),0)</f>
        <v>0</v>
      </c>
      <c r="K1764" s="455">
        <f t="shared" ca="1" si="131"/>
        <v>-1038729.8517180624</v>
      </c>
      <c r="L1764" s="455">
        <f t="shared" ca="1" si="132"/>
        <v>-250333894.26405305</v>
      </c>
      <c r="M1764" s="471">
        <f t="shared" si="134"/>
        <v>0.05</v>
      </c>
      <c r="N1764" s="475">
        <f t="shared" si="135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33"/>
        <v>-250333894.26405305</v>
      </c>
      <c r="J1765" s="455">
        <f t="array" ref="J1765">IFERROR(INDEX('Retirement Calculator'!J:J,MATCH('Isaac 401k'!N1765,'Retirement Calculator'!A:A,0),0),0)</f>
        <v>0</v>
      </c>
      <c r="K1765" s="455">
        <f t="shared" ca="1" si="131"/>
        <v>-1043057.8927668877</v>
      </c>
      <c r="L1765" s="455">
        <f t="shared" ca="1" si="132"/>
        <v>-251376952.15681994</v>
      </c>
      <c r="M1765" s="471">
        <f t="shared" si="134"/>
        <v>0.05</v>
      </c>
      <c r="N1765" s="475">
        <f t="shared" si="135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33"/>
        <v>-251376952.15681994</v>
      </c>
      <c r="J1766" s="455">
        <f t="array" ref="J1766">IFERROR(INDEX('Retirement Calculator'!J:J,MATCH('Isaac 401k'!N1766,'Retirement Calculator'!A:A,0),0),0)</f>
        <v>0</v>
      </c>
      <c r="K1766" s="455">
        <f t="shared" ca="1" si="131"/>
        <v>-1047403.9673200831</v>
      </c>
      <c r="L1766" s="455">
        <f t="shared" ca="1" si="132"/>
        <v>-252424356.12414002</v>
      </c>
      <c r="M1766" s="471">
        <f t="shared" si="134"/>
        <v>0.05</v>
      </c>
      <c r="N1766" s="475">
        <f t="shared" si="135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33"/>
        <v>-252424356.12414002</v>
      </c>
      <c r="J1767" s="455">
        <f t="array" ref="J1767">IFERROR(INDEX('Retirement Calculator'!J:J,MATCH('Isaac 401k'!N1767,'Retirement Calculator'!A:A,0),0),0)</f>
        <v>0</v>
      </c>
      <c r="K1767" s="455">
        <f t="shared" ca="1" si="131"/>
        <v>-1051768.1505172502</v>
      </c>
      <c r="L1767" s="455">
        <f t="shared" ca="1" si="132"/>
        <v>-253476124.27465728</v>
      </c>
      <c r="M1767" s="471">
        <f t="shared" si="134"/>
        <v>0.05</v>
      </c>
      <c r="N1767" s="475">
        <f t="shared" si="135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33"/>
        <v>-253476124.27465728</v>
      </c>
      <c r="J1768" s="455">
        <f t="array" ref="J1768">IFERROR(INDEX('Retirement Calculator'!J:J,MATCH('Isaac 401k'!N1768,'Retirement Calculator'!A:A,0),0),0)</f>
        <v>0</v>
      </c>
      <c r="K1768" s="455">
        <f t="shared" ca="1" si="131"/>
        <v>-1056150.5178110721</v>
      </c>
      <c r="L1768" s="455">
        <f t="shared" ca="1" si="132"/>
        <v>-254532274.79246834</v>
      </c>
      <c r="M1768" s="471">
        <f t="shared" si="134"/>
        <v>0.05</v>
      </c>
      <c r="N1768" s="475">
        <f t="shared" si="135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33"/>
        <v>-254532274.79246834</v>
      </c>
      <c r="J1769" s="455">
        <f t="array" ref="J1769">IFERROR(INDEX('Retirement Calculator'!J:J,MATCH('Isaac 401k'!N1769,'Retirement Calculator'!A:A,0),0),0)</f>
        <v>0</v>
      </c>
      <c r="K1769" s="455">
        <f t="shared" ca="1" si="131"/>
        <v>-1060551.1449686182</v>
      </c>
      <c r="L1769" s="455">
        <f t="shared" ca="1" si="132"/>
        <v>-255592825.93743697</v>
      </c>
      <c r="M1769" s="471">
        <f t="shared" si="134"/>
        <v>0.05</v>
      </c>
      <c r="N1769" s="475">
        <f t="shared" si="135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33"/>
        <v>-255592825.93743697</v>
      </c>
      <c r="J1770" s="455">
        <f t="array" ref="J1770">IFERROR(INDEX('Retirement Calculator'!J:J,MATCH('Isaac 401k'!N1770,'Retirement Calculator'!A:A,0),0),0)</f>
        <v>0</v>
      </c>
      <c r="K1770" s="455">
        <f t="shared" ca="1" si="131"/>
        <v>-1064970.1080726541</v>
      </c>
      <c r="L1770" s="455">
        <f t="shared" ca="1" si="132"/>
        <v>-256657796.04550964</v>
      </c>
      <c r="M1770" s="471">
        <f t="shared" si="134"/>
        <v>0.05</v>
      </c>
      <c r="N1770" s="475">
        <f t="shared" si="135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33"/>
        <v>-256657796.04550964</v>
      </c>
      <c r="J1771" s="455">
        <f t="array" ref="J1771">IFERROR(INDEX('Retirement Calculator'!J:J,MATCH('Isaac 401k'!N1771,'Retirement Calculator'!A:A,0),0),0)</f>
        <v>0</v>
      </c>
      <c r="K1771" s="455">
        <f t="shared" ca="1" si="131"/>
        <v>-1069407.4835229567</v>
      </c>
      <c r="L1771" s="455">
        <f t="shared" ca="1" si="132"/>
        <v>-257727203.52903259</v>
      </c>
      <c r="M1771" s="471">
        <f t="shared" si="134"/>
        <v>0.05</v>
      </c>
      <c r="N1771" s="475">
        <f t="shared" si="135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33"/>
        <v>-257727203.52903259</v>
      </c>
      <c r="J1772" s="455">
        <f t="array" ref="J1772">IFERROR(INDEX('Retirement Calculator'!J:J,MATCH('Isaac 401k'!N1772,'Retirement Calculator'!A:A,0),0),0)</f>
        <v>0</v>
      </c>
      <c r="K1772" s="455">
        <f t="shared" ca="1" si="131"/>
        <v>-1073863.3480376357</v>
      </c>
      <c r="L1772" s="455">
        <f t="shared" ca="1" si="132"/>
        <v>-258801066.87707022</v>
      </c>
      <c r="M1772" s="471">
        <f t="shared" si="134"/>
        <v>0.05</v>
      </c>
      <c r="N1772" s="475">
        <f t="shared" si="135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33"/>
        <v>-258801066.87707022</v>
      </c>
      <c r="J1773" s="455">
        <f t="array" ref="J1773">IFERROR(INDEX('Retirement Calculator'!J:J,MATCH('Isaac 401k'!N1773,'Retirement Calculator'!A:A,0),0),0)</f>
        <v>0</v>
      </c>
      <c r="K1773" s="455">
        <f t="shared" ca="1" si="131"/>
        <v>-1078337.7786544592</v>
      </c>
      <c r="L1773" s="455">
        <f t="shared" ca="1" si="132"/>
        <v>-259879404.65572467</v>
      </c>
      <c r="M1773" s="471">
        <f t="shared" si="134"/>
        <v>0.05</v>
      </c>
      <c r="N1773" s="475">
        <f t="shared" si="135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33"/>
        <v>-259879404.65572467</v>
      </c>
      <c r="J1774" s="455">
        <f t="array" ref="J1774">IFERROR(INDEX('Retirement Calculator'!J:J,MATCH('Isaac 401k'!N1774,'Retirement Calculator'!A:A,0),0),0)</f>
        <v>0</v>
      </c>
      <c r="K1774" s="455">
        <f t="shared" ca="1" si="131"/>
        <v>-1082830.8527321862</v>
      </c>
      <c r="L1774" s="455">
        <f t="shared" ca="1" si="132"/>
        <v>-260962235.50845686</v>
      </c>
      <c r="M1774" s="471">
        <f t="shared" si="134"/>
        <v>0.05</v>
      </c>
      <c r="N1774" s="475">
        <f t="shared" si="135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33"/>
        <v>-260962235.50845686</v>
      </c>
      <c r="J1775" s="455">
        <f t="array" ref="J1775">IFERROR(INDEX('Retirement Calculator'!J:J,MATCH('Isaac 401k'!N1775,'Retirement Calculator'!A:A,0),0),0)</f>
        <v>0</v>
      </c>
      <c r="K1775" s="455">
        <f t="shared" ca="1" si="131"/>
        <v>-1087342.6479519035</v>
      </c>
      <c r="L1775" s="455">
        <f t="shared" ca="1" si="132"/>
        <v>-262049578.15640876</v>
      </c>
      <c r="M1775" s="471">
        <f t="shared" si="134"/>
        <v>0.05</v>
      </c>
      <c r="N1775" s="475">
        <f t="shared" si="135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33"/>
        <v>-262049578.15640876</v>
      </c>
      <c r="J1776" s="455">
        <f t="array" ref="J1776">IFERROR(INDEX('Retirement Calculator'!J:J,MATCH('Isaac 401k'!N1776,'Retirement Calculator'!A:A,0),0),0)</f>
        <v>0</v>
      </c>
      <c r="K1776" s="455">
        <f t="shared" ca="1" si="131"/>
        <v>-1091873.2423183699</v>
      </c>
      <c r="L1776" s="455">
        <f t="shared" ca="1" si="132"/>
        <v>-263141451.39872712</v>
      </c>
      <c r="M1776" s="471">
        <f t="shared" si="134"/>
        <v>0.05</v>
      </c>
      <c r="N1776" s="475">
        <f t="shared" si="135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33"/>
        <v>-263141451.39872712</v>
      </c>
      <c r="J1777" s="455">
        <f t="array" ref="J1777">IFERROR(INDEX('Retirement Calculator'!J:J,MATCH('Isaac 401k'!N1777,'Retirement Calculator'!A:A,0),0),0)</f>
        <v>0</v>
      </c>
      <c r="K1777" s="455">
        <f t="shared" ca="1" si="131"/>
        <v>-1096422.714161363</v>
      </c>
      <c r="L1777" s="455">
        <f t="shared" ca="1" si="132"/>
        <v>-264237874.11288849</v>
      </c>
      <c r="M1777" s="471">
        <f t="shared" si="134"/>
        <v>0.05</v>
      </c>
      <c r="N1777" s="475">
        <f t="shared" si="135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33"/>
        <v>-264237874.11288849</v>
      </c>
      <c r="J1778" s="455">
        <f t="array" ref="J1778">IFERROR(INDEX('Retirement Calculator'!J:J,MATCH('Isaac 401k'!N1778,'Retirement Calculator'!A:A,0),0),0)</f>
        <v>0</v>
      </c>
      <c r="K1778" s="455">
        <f t="shared" ca="1" si="131"/>
        <v>-1100991.1421370353</v>
      </c>
      <c r="L1778" s="455">
        <f t="shared" ca="1" si="132"/>
        <v>-265338865.25502551</v>
      </c>
      <c r="M1778" s="471">
        <f t="shared" si="134"/>
        <v>0.05</v>
      </c>
      <c r="N1778" s="475">
        <f t="shared" si="135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33"/>
        <v>-265338865.25502551</v>
      </c>
      <c r="J1779" s="455">
        <f t="array" ref="J1779">IFERROR(INDEX('Retirement Calculator'!J:J,MATCH('Isaac 401k'!N1779,'Retirement Calculator'!A:A,0),0),0)</f>
        <v>0</v>
      </c>
      <c r="K1779" s="455">
        <f t="shared" ca="1" si="131"/>
        <v>-1105578.605229273</v>
      </c>
      <c r="L1779" s="455">
        <f t="shared" ca="1" si="132"/>
        <v>-266444443.86025476</v>
      </c>
      <c r="M1779" s="471">
        <f t="shared" si="134"/>
        <v>0.05</v>
      </c>
      <c r="N1779" s="475">
        <f t="shared" si="135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33"/>
        <v>-266444443.86025476</v>
      </c>
      <c r="J1780" s="455">
        <f t="array" ref="J1780">IFERROR(INDEX('Retirement Calculator'!J:J,MATCH('Isaac 401k'!N1780,'Retirement Calculator'!A:A,0),0),0)</f>
        <v>0</v>
      </c>
      <c r="K1780" s="455">
        <f t="shared" ca="1" si="131"/>
        <v>-1110185.1827510616</v>
      </c>
      <c r="L1780" s="455">
        <f t="shared" ca="1" si="132"/>
        <v>-267554629.04300582</v>
      </c>
      <c r="M1780" s="471">
        <f t="shared" si="134"/>
        <v>0.05</v>
      </c>
      <c r="N1780" s="475">
        <f t="shared" si="135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33"/>
        <v>-267554629.04300582</v>
      </c>
      <c r="J1781" s="455">
        <f t="array" ref="J1781">IFERROR(INDEX('Retirement Calculator'!J:J,MATCH('Isaac 401k'!N1781,'Retirement Calculator'!A:A,0),0),0)</f>
        <v>0</v>
      </c>
      <c r="K1781" s="455">
        <f t="shared" ca="1" si="131"/>
        <v>-1114810.9543458575</v>
      </c>
      <c r="L1781" s="455">
        <f t="shared" ca="1" si="132"/>
        <v>-268669439.99735171</v>
      </c>
      <c r="M1781" s="471">
        <f t="shared" si="134"/>
        <v>0.05</v>
      </c>
      <c r="N1781" s="475">
        <f t="shared" si="135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33"/>
        <v>-268669439.99735171</v>
      </c>
      <c r="J1782" s="455">
        <f t="array" ref="J1782">IFERROR(INDEX('Retirement Calculator'!J:J,MATCH('Isaac 401k'!N1782,'Retirement Calculator'!A:A,0),0),0)</f>
        <v>0</v>
      </c>
      <c r="K1782" s="455">
        <f t="shared" ca="1" si="131"/>
        <v>-1119455.9999889655</v>
      </c>
      <c r="L1782" s="455">
        <f t="shared" ca="1" si="132"/>
        <v>-269788895.99734068</v>
      </c>
      <c r="M1782" s="471">
        <f t="shared" si="134"/>
        <v>0.05</v>
      </c>
      <c r="N1782" s="475">
        <f t="shared" si="135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33"/>
        <v>-269788895.99734068</v>
      </c>
      <c r="J1783" s="455">
        <f t="array" ref="J1783">IFERROR(INDEX('Retirement Calculator'!J:J,MATCH('Isaac 401k'!N1783,'Retirement Calculator'!A:A,0),0),0)</f>
        <v>0</v>
      </c>
      <c r="K1783" s="455">
        <f t="shared" ca="1" si="131"/>
        <v>-1124120.3999889195</v>
      </c>
      <c r="L1783" s="455">
        <f t="shared" ca="1" si="132"/>
        <v>-270913016.39732957</v>
      </c>
      <c r="M1783" s="471">
        <f t="shared" si="134"/>
        <v>0.05</v>
      </c>
      <c r="N1783" s="475">
        <f t="shared" si="135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33"/>
        <v>-270913016.39732957</v>
      </c>
      <c r="J1784" s="455">
        <f t="array" ref="J1784">IFERROR(INDEX('Retirement Calculator'!J:J,MATCH('Isaac 401k'!N1784,'Retirement Calculator'!A:A,0),0),0)</f>
        <v>0</v>
      </c>
      <c r="K1784" s="455">
        <f t="shared" ca="1" si="131"/>
        <v>-1128804.2349888731</v>
      </c>
      <c r="L1784" s="455">
        <f t="shared" ca="1" si="132"/>
        <v>-272041820.63231844</v>
      </c>
      <c r="M1784" s="471">
        <f t="shared" si="134"/>
        <v>0.05</v>
      </c>
      <c r="N1784" s="475">
        <f t="shared" si="135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33"/>
        <v>-272041820.63231844</v>
      </c>
      <c r="J1785" s="455">
        <f t="array" ref="J1785">IFERROR(INDEX('Retirement Calculator'!J:J,MATCH('Isaac 401k'!N1785,'Retirement Calculator'!A:A,0),0),0)</f>
        <v>0</v>
      </c>
      <c r="K1785" s="455">
        <f t="shared" ca="1" si="131"/>
        <v>-1133507.5859679934</v>
      </c>
      <c r="L1785" s="455">
        <f t="shared" ca="1" si="132"/>
        <v>-273175328.21828645</v>
      </c>
      <c r="M1785" s="471">
        <f t="shared" si="134"/>
        <v>0.05</v>
      </c>
      <c r="N1785" s="475">
        <f t="shared" si="135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33"/>
        <v>-273175328.21828645</v>
      </c>
      <c r="J1786" s="455">
        <f t="array" ref="J1786">IFERROR(INDEX('Retirement Calculator'!J:J,MATCH('Isaac 401k'!N1786,'Retirement Calculator'!A:A,0),0),0)</f>
        <v>0</v>
      </c>
      <c r="K1786" s="455">
        <f t="shared" ca="1" si="131"/>
        <v>-1138230.5342428603</v>
      </c>
      <c r="L1786" s="455">
        <f t="shared" ca="1" si="132"/>
        <v>-274313558.75252932</v>
      </c>
      <c r="M1786" s="471">
        <f t="shared" si="134"/>
        <v>0.05</v>
      </c>
      <c r="N1786" s="475">
        <f t="shared" si="135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33"/>
        <v>-274313558.75252932</v>
      </c>
      <c r="J1787" s="455">
        <f t="array" ref="J1787">IFERROR(INDEX('Retirement Calculator'!J:J,MATCH('Isaac 401k'!N1787,'Retirement Calculator'!A:A,0),0),0)</f>
        <v>0</v>
      </c>
      <c r="K1787" s="455">
        <f t="shared" ca="1" si="131"/>
        <v>-1142973.1614688721</v>
      </c>
      <c r="L1787" s="455">
        <f t="shared" ca="1" si="132"/>
        <v>-275456531.91399819</v>
      </c>
      <c r="M1787" s="471">
        <f t="shared" si="134"/>
        <v>0.05</v>
      </c>
      <c r="N1787" s="475">
        <f t="shared" si="135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33"/>
        <v>-275456531.91399819</v>
      </c>
      <c r="J1788" s="455">
        <f t="array" ref="J1788">IFERROR(INDEX('Retirement Calculator'!J:J,MATCH('Isaac 401k'!N1788,'Retirement Calculator'!A:A,0),0),0)</f>
        <v>0</v>
      </c>
      <c r="K1788" s="455">
        <f t="shared" ca="1" si="131"/>
        <v>-1147735.549641659</v>
      </c>
      <c r="L1788" s="455">
        <f t="shared" ca="1" si="132"/>
        <v>-276604267.46363986</v>
      </c>
      <c r="M1788" s="471">
        <f t="shared" si="134"/>
        <v>0.05</v>
      </c>
      <c r="N1788" s="475">
        <f t="shared" si="135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33"/>
        <v>-276604267.46363986</v>
      </c>
      <c r="J1789" s="455">
        <f t="array" ref="J1789">IFERROR(INDEX('Retirement Calculator'!J:J,MATCH('Isaac 401k'!N1789,'Retirement Calculator'!A:A,0),0),0)</f>
        <v>0</v>
      </c>
      <c r="K1789" s="455">
        <f t="shared" ca="1" si="131"/>
        <v>-1152517.7810984994</v>
      </c>
      <c r="L1789" s="455">
        <f t="shared" ca="1" si="132"/>
        <v>-277756785.24473834</v>
      </c>
      <c r="M1789" s="471">
        <f t="shared" si="134"/>
        <v>0.05</v>
      </c>
      <c r="N1789" s="475">
        <f t="shared" si="135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33"/>
        <v>-277756785.24473834</v>
      </c>
      <c r="J1790" s="455">
        <f t="array" ref="J1790">IFERROR(INDEX('Retirement Calculator'!J:J,MATCH('Isaac 401k'!N1790,'Retirement Calculator'!A:A,0),0),0)</f>
        <v>0</v>
      </c>
      <c r="K1790" s="455">
        <f t="shared" ca="1" si="131"/>
        <v>-1157319.938519743</v>
      </c>
      <c r="L1790" s="455">
        <f t="shared" ca="1" si="132"/>
        <v>-278914105.18325806</v>
      </c>
      <c r="M1790" s="471">
        <f t="shared" si="134"/>
        <v>0.05</v>
      </c>
      <c r="N1790" s="475">
        <f t="shared" si="135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33"/>
        <v>-278914105.18325806</v>
      </c>
      <c r="J1791" s="455">
        <f t="array" ref="J1791">IFERROR(INDEX('Retirement Calculator'!J:J,MATCH('Isaac 401k'!N1791,'Retirement Calculator'!A:A,0),0),0)</f>
        <v>0</v>
      </c>
      <c r="K1791" s="455">
        <f t="shared" ca="1" si="131"/>
        <v>-1162142.1049302418</v>
      </c>
      <c r="L1791" s="455">
        <f t="shared" ca="1" si="132"/>
        <v>-280076247.28818828</v>
      </c>
      <c r="M1791" s="471">
        <f t="shared" si="134"/>
        <v>0.05</v>
      </c>
      <c r="N1791" s="475">
        <f t="shared" si="135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33"/>
        <v>-280076247.28818828</v>
      </c>
      <c r="J1792" s="455">
        <f t="array" ref="J1792">IFERROR(INDEX('Retirement Calculator'!J:J,MATCH('Isaac 401k'!N1792,'Retirement Calculator'!A:A,0),0),0)</f>
        <v>0</v>
      </c>
      <c r="K1792" s="455">
        <f t="shared" ca="1" si="131"/>
        <v>-1166984.3637007845</v>
      </c>
      <c r="L1792" s="455">
        <f t="shared" ca="1" si="132"/>
        <v>-281243231.65188909</v>
      </c>
      <c r="M1792" s="471">
        <f t="shared" si="134"/>
        <v>0.05</v>
      </c>
      <c r="N1792" s="475">
        <f t="shared" si="135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33"/>
        <v>-281243231.65188909</v>
      </c>
      <c r="J1793" s="455">
        <f t="array" ref="J1793">IFERROR(INDEX('Retirement Calculator'!J:J,MATCH('Isaac 401k'!N1793,'Retirement Calculator'!A:A,0),0),0)</f>
        <v>0</v>
      </c>
      <c r="K1793" s="455">
        <f t="shared" ref="K1793:K2047" ca="1" si="136">IPMT(M1793/12,1,12,-I1793+J1793,,0)</f>
        <v>-1171846.7985495378</v>
      </c>
      <c r="L1793" s="455">
        <f t="shared" ref="L1793:L2047" ca="1" si="137">I1793-J1793+K1793</f>
        <v>-282415078.45043862</v>
      </c>
      <c r="M1793" s="471">
        <f t="shared" si="134"/>
        <v>0.05</v>
      </c>
      <c r="N1793" s="475">
        <f t="shared" si="135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38">L1793</f>
        <v>-282415078.45043862</v>
      </c>
      <c r="J1794" s="455">
        <f t="array" ref="J1794">IFERROR(INDEX('Retirement Calculator'!J:J,MATCH('Isaac 401k'!N1794,'Retirement Calculator'!A:A,0),0),0)</f>
        <v>0</v>
      </c>
      <c r="K1794" s="455">
        <f t="shared" ca="1" si="136"/>
        <v>-1176729.4935434943</v>
      </c>
      <c r="L1794" s="455">
        <f t="shared" ca="1" si="137"/>
        <v>-283591807.94398212</v>
      </c>
      <c r="M1794" s="471">
        <f t="shared" ref="M1794:M2048" si="139">M1793</f>
        <v>0.05</v>
      </c>
      <c r="N1794" s="475">
        <f t="shared" ref="N1794:N2048" si="140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38"/>
        <v>-283591807.94398212</v>
      </c>
      <c r="J1795" s="455">
        <f t="array" ref="J1795">IFERROR(INDEX('Retirement Calculator'!J:J,MATCH('Isaac 401k'!N1795,'Retirement Calculator'!A:A,0),0),0)</f>
        <v>0</v>
      </c>
      <c r="K1795" s="455">
        <f t="shared" ca="1" si="136"/>
        <v>-1181632.5330999256</v>
      </c>
      <c r="L1795" s="455">
        <f t="shared" ca="1" si="137"/>
        <v>-284773440.47708207</v>
      </c>
      <c r="M1795" s="471">
        <f t="shared" si="139"/>
        <v>0.05</v>
      </c>
      <c r="N1795" s="475">
        <f t="shared" si="140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38"/>
        <v>-284773440.47708207</v>
      </c>
      <c r="J1796" s="455">
        <f t="array" ref="J1796">IFERROR(INDEX('Retirement Calculator'!J:J,MATCH('Isaac 401k'!N1796,'Retirement Calculator'!A:A,0),0),0)</f>
        <v>0</v>
      </c>
      <c r="K1796" s="455">
        <f t="shared" ca="1" si="136"/>
        <v>-1186556.0019878419</v>
      </c>
      <c r="L1796" s="455">
        <f t="shared" ca="1" si="137"/>
        <v>-285959996.47906989</v>
      </c>
      <c r="M1796" s="471">
        <f t="shared" si="139"/>
        <v>0.05</v>
      </c>
      <c r="N1796" s="475">
        <f t="shared" si="140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38"/>
        <v>-285959996.47906989</v>
      </c>
      <c r="J1797" s="455">
        <f t="array" ref="J1797">IFERROR(INDEX('Retirement Calculator'!J:J,MATCH('Isaac 401k'!N1797,'Retirement Calculator'!A:A,0),0),0)</f>
        <v>0</v>
      </c>
      <c r="K1797" s="455">
        <f t="shared" ca="1" si="136"/>
        <v>-1191499.9853294578</v>
      </c>
      <c r="L1797" s="455">
        <f t="shared" ca="1" si="137"/>
        <v>-287151496.46439934</v>
      </c>
      <c r="M1797" s="471">
        <f t="shared" si="139"/>
        <v>0.05</v>
      </c>
      <c r="N1797" s="475">
        <f t="shared" si="140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38"/>
        <v>-287151496.46439934</v>
      </c>
      <c r="J1798" s="455">
        <f t="array" ref="J1798">IFERROR(INDEX('Retirement Calculator'!J:J,MATCH('Isaac 401k'!N1798,'Retirement Calculator'!A:A,0),0),0)</f>
        <v>0</v>
      </c>
      <c r="K1798" s="455">
        <f t="shared" ca="1" si="136"/>
        <v>-1196464.5686016639</v>
      </c>
      <c r="L1798" s="455">
        <f t="shared" ca="1" si="137"/>
        <v>-288347961.03300101</v>
      </c>
      <c r="M1798" s="471">
        <f t="shared" si="139"/>
        <v>0.05</v>
      </c>
      <c r="N1798" s="475">
        <f t="shared" si="140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38"/>
        <v>-288347961.03300101</v>
      </c>
      <c r="J1799" s="455">
        <f t="array" ref="J1799">IFERROR(INDEX('Retirement Calculator'!J:J,MATCH('Isaac 401k'!N1799,'Retirement Calculator'!A:A,0),0),0)</f>
        <v>0</v>
      </c>
      <c r="K1799" s="455">
        <f t="shared" ca="1" si="136"/>
        <v>-1201449.8376375041</v>
      </c>
      <c r="L1799" s="455">
        <f t="shared" ca="1" si="137"/>
        <v>-289549410.87063849</v>
      </c>
      <c r="M1799" s="471">
        <f t="shared" si="139"/>
        <v>0.05</v>
      </c>
      <c r="N1799" s="475">
        <f t="shared" si="140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38"/>
        <v>-289549410.87063849</v>
      </c>
      <c r="J1800" s="455">
        <f t="array" ref="J1800">IFERROR(INDEX('Retirement Calculator'!J:J,MATCH('Isaac 401k'!N1800,'Retirement Calculator'!A:A,0),0),0)</f>
        <v>0</v>
      </c>
      <c r="K1800" s="455">
        <f t="shared" ca="1" si="136"/>
        <v>-1206455.8786276605</v>
      </c>
      <c r="L1800" s="455">
        <f t="shared" ca="1" si="137"/>
        <v>-290755866.74926615</v>
      </c>
      <c r="M1800" s="471">
        <f t="shared" si="139"/>
        <v>0.05</v>
      </c>
      <c r="N1800" s="475">
        <f t="shared" si="140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38"/>
        <v>-290755866.74926615</v>
      </c>
      <c r="J1801" s="455">
        <f t="array" ref="J1801">IFERROR(INDEX('Retirement Calculator'!J:J,MATCH('Isaac 401k'!N1801,'Retirement Calculator'!A:A,0),0),0)</f>
        <v>0</v>
      </c>
      <c r="K1801" s="455">
        <f t="shared" ca="1" si="136"/>
        <v>-1211482.7781219422</v>
      </c>
      <c r="L1801" s="455">
        <f t="shared" ca="1" si="137"/>
        <v>-291967349.5273881</v>
      </c>
      <c r="M1801" s="471">
        <f t="shared" si="139"/>
        <v>0.05</v>
      </c>
      <c r="N1801" s="475">
        <f t="shared" si="140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38"/>
        <v>-291967349.5273881</v>
      </c>
      <c r="J1802" s="455">
        <f t="array" ref="J1802">IFERROR(INDEX('Retirement Calculator'!J:J,MATCH('Isaac 401k'!N1802,'Retirement Calculator'!A:A,0),0),0)</f>
        <v>0</v>
      </c>
      <c r="K1802" s="455">
        <f t="shared" ca="1" si="136"/>
        <v>-1216530.6230307836</v>
      </c>
      <c r="L1802" s="455">
        <f t="shared" ca="1" si="137"/>
        <v>-293183880.15041888</v>
      </c>
      <c r="M1802" s="471">
        <f t="shared" si="139"/>
        <v>0.05</v>
      </c>
      <c r="N1802" s="475">
        <f t="shared" si="140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38"/>
        <v>-293183880.15041888</v>
      </c>
      <c r="J1803" s="455">
        <f t="array" ref="J1803">IFERROR(INDEX('Retirement Calculator'!J:J,MATCH('Isaac 401k'!N1803,'Retirement Calculator'!A:A,0),0),0)</f>
        <v>0</v>
      </c>
      <c r="K1803" s="455">
        <f t="shared" ca="1" si="136"/>
        <v>-1221599.5006267454</v>
      </c>
      <c r="L1803" s="455">
        <f t="shared" ca="1" si="137"/>
        <v>-294405479.65104562</v>
      </c>
      <c r="M1803" s="471">
        <f t="shared" si="139"/>
        <v>0.05</v>
      </c>
      <c r="N1803" s="475">
        <f t="shared" si="140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38"/>
        <v>-294405479.65104562</v>
      </c>
      <c r="J1804" s="455">
        <f t="array" ref="J1804">IFERROR(INDEX('Retirement Calculator'!J:J,MATCH('Isaac 401k'!N1804,'Retirement Calculator'!A:A,0),0),0)</f>
        <v>0</v>
      </c>
      <c r="K1804" s="455">
        <f t="shared" ca="1" si="136"/>
        <v>-1226689.4985460234</v>
      </c>
      <c r="L1804" s="455">
        <f t="shared" ca="1" si="137"/>
        <v>-295632169.14959162</v>
      </c>
      <c r="M1804" s="471">
        <f t="shared" si="139"/>
        <v>0.05</v>
      </c>
      <c r="N1804" s="475">
        <f t="shared" si="140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38"/>
        <v>-295632169.14959162</v>
      </c>
      <c r="J1805" s="455">
        <f t="array" ref="J1805">IFERROR(INDEX('Retirement Calculator'!J:J,MATCH('Isaac 401k'!N1805,'Retirement Calculator'!A:A,0),0),0)</f>
        <v>0</v>
      </c>
      <c r="K1805" s="455">
        <f t="shared" ca="1" si="136"/>
        <v>-1231800.7047899652</v>
      </c>
      <c r="L1805" s="455">
        <f t="shared" ca="1" si="137"/>
        <v>-296863969.85438156</v>
      </c>
      <c r="M1805" s="471">
        <f t="shared" si="139"/>
        <v>0.05</v>
      </c>
      <c r="N1805" s="475">
        <f t="shared" si="140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38"/>
        <v>-296863969.85438156</v>
      </c>
      <c r="J1806" s="455">
        <f t="array" ref="J1806">IFERROR(INDEX('Retirement Calculator'!J:J,MATCH('Isaac 401k'!N1806,'Retirement Calculator'!A:A,0),0),0)</f>
        <v>0</v>
      </c>
      <c r="K1806" s="455">
        <f t="shared" ca="1" si="136"/>
        <v>-1236933.2077265899</v>
      </c>
      <c r="L1806" s="455">
        <f t="shared" ca="1" si="137"/>
        <v>-298100903.06210816</v>
      </c>
      <c r="M1806" s="471">
        <f t="shared" si="139"/>
        <v>0.05</v>
      </c>
      <c r="N1806" s="475">
        <f t="shared" si="140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38"/>
        <v>-298100903.06210816</v>
      </c>
      <c r="J1807" s="455">
        <f t="array" ref="J1807">IFERROR(INDEX('Retirement Calculator'!J:J,MATCH('Isaac 401k'!N1807,'Retirement Calculator'!A:A,0),0),0)</f>
        <v>0</v>
      </c>
      <c r="K1807" s="455">
        <f t="shared" ca="1" si="136"/>
        <v>-1242087.0960921173</v>
      </c>
      <c r="L1807" s="455">
        <f t="shared" ca="1" si="137"/>
        <v>-299342990.15820026</v>
      </c>
      <c r="M1807" s="471">
        <f t="shared" si="139"/>
        <v>0.05</v>
      </c>
      <c r="N1807" s="475">
        <f t="shared" si="140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38"/>
        <v>-299342990.15820026</v>
      </c>
      <c r="J1808" s="455">
        <f t="array" ref="J1808">IFERROR(INDEX('Retirement Calculator'!J:J,MATCH('Isaac 401k'!N1808,'Retirement Calculator'!A:A,0),0),0)</f>
        <v>0</v>
      </c>
      <c r="K1808" s="455">
        <f t="shared" ca="1" si="136"/>
        <v>-1247262.458992501</v>
      </c>
      <c r="L1808" s="455">
        <f t="shared" ca="1" si="137"/>
        <v>-300590252.61719275</v>
      </c>
      <c r="M1808" s="471">
        <f t="shared" si="139"/>
        <v>0.05</v>
      </c>
      <c r="N1808" s="475">
        <f t="shared" si="140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38"/>
        <v>-300590252.61719275</v>
      </c>
      <c r="J1809" s="455">
        <f t="array" ref="J1809">IFERROR(INDEX('Retirement Calculator'!J:J,MATCH('Isaac 401k'!N1809,'Retirement Calculator'!A:A,0),0),0)</f>
        <v>0</v>
      </c>
      <c r="K1809" s="455">
        <f t="shared" ca="1" si="136"/>
        <v>-1252459.3859049696</v>
      </c>
      <c r="L1809" s="455">
        <f t="shared" ca="1" si="137"/>
        <v>-301842712.00309771</v>
      </c>
      <c r="M1809" s="471">
        <f t="shared" si="139"/>
        <v>0.05</v>
      </c>
      <c r="N1809" s="475">
        <f t="shared" si="140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38"/>
        <v>-301842712.00309771</v>
      </c>
      <c r="J1810" s="455">
        <f t="array" ref="J1810">IFERROR(INDEX('Retirement Calculator'!J:J,MATCH('Isaac 401k'!N1810,'Retirement Calculator'!A:A,0),0),0)</f>
        <v>0</v>
      </c>
      <c r="K1810" s="455">
        <f t="shared" ca="1" si="136"/>
        <v>-1257677.9666795738</v>
      </c>
      <c r="L1810" s="455">
        <f t="shared" ca="1" si="137"/>
        <v>-303100389.96977729</v>
      </c>
      <c r="M1810" s="471">
        <f t="shared" si="139"/>
        <v>0.05</v>
      </c>
      <c r="N1810" s="475">
        <f t="shared" si="140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38"/>
        <v>-303100389.96977729</v>
      </c>
      <c r="J1811" s="455">
        <f t="array" ref="J1811">IFERROR(INDEX('Retirement Calculator'!J:J,MATCH('Isaac 401k'!N1811,'Retirement Calculator'!A:A,0),0),0)</f>
        <v>0</v>
      </c>
      <c r="K1811" s="455">
        <f t="shared" ca="1" si="136"/>
        <v>-1262918.2915407387</v>
      </c>
      <c r="L1811" s="455">
        <f t="shared" ca="1" si="137"/>
        <v>-304363308.26131803</v>
      </c>
      <c r="M1811" s="471">
        <f t="shared" si="139"/>
        <v>0.05</v>
      </c>
      <c r="N1811" s="475">
        <f t="shared" si="140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38"/>
        <v>-304363308.26131803</v>
      </c>
      <c r="J1812" s="455">
        <f t="array" ref="J1812">IFERROR(INDEX('Retirement Calculator'!J:J,MATCH('Isaac 401k'!N1812,'Retirement Calculator'!A:A,0),0),0)</f>
        <v>0</v>
      </c>
      <c r="K1812" s="455">
        <f t="shared" ca="1" si="136"/>
        <v>-1268180.451088825</v>
      </c>
      <c r="L1812" s="455">
        <f t="shared" ca="1" si="137"/>
        <v>-305631488.71240687</v>
      </c>
      <c r="M1812" s="471">
        <f t="shared" si="139"/>
        <v>0.05</v>
      </c>
      <c r="N1812" s="475">
        <f t="shared" si="140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38"/>
        <v>-305631488.71240687</v>
      </c>
      <c r="J1813" s="455">
        <f t="array" ref="J1813">IFERROR(INDEX('Retirement Calculator'!J:J,MATCH('Isaac 401k'!N1813,'Retirement Calculator'!A:A,0),0),0)</f>
        <v>0</v>
      </c>
      <c r="K1813" s="455">
        <f t="shared" ca="1" si="136"/>
        <v>-1273464.5363016953</v>
      </c>
      <c r="L1813" s="455">
        <f t="shared" ca="1" si="137"/>
        <v>-306904953.24870855</v>
      </c>
      <c r="M1813" s="471">
        <f t="shared" si="139"/>
        <v>0.05</v>
      </c>
      <c r="N1813" s="475">
        <f t="shared" si="140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38"/>
        <v>-306904953.24870855</v>
      </c>
      <c r="J1814" s="455">
        <f t="array" ref="J1814">IFERROR(INDEX('Retirement Calculator'!J:J,MATCH('Isaac 401k'!N1814,'Retirement Calculator'!A:A,0),0),0)</f>
        <v>0</v>
      </c>
      <c r="K1814" s="455">
        <f t="shared" ca="1" si="136"/>
        <v>-1278770.6385362856</v>
      </c>
      <c r="L1814" s="455">
        <f t="shared" ca="1" si="137"/>
        <v>-308183723.88724482</v>
      </c>
      <c r="M1814" s="471">
        <f t="shared" si="139"/>
        <v>0.05</v>
      </c>
      <c r="N1814" s="475">
        <f t="shared" si="140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38"/>
        <v>-308183723.88724482</v>
      </c>
      <c r="J1815" s="455">
        <f t="array" ref="J1815">IFERROR(INDEX('Retirement Calculator'!J:J,MATCH('Isaac 401k'!N1815,'Retirement Calculator'!A:A,0),0),0)</f>
        <v>0</v>
      </c>
      <c r="K1815" s="455">
        <f t="shared" ca="1" si="136"/>
        <v>-1284098.8495301867</v>
      </c>
      <c r="L1815" s="455">
        <f t="shared" ca="1" si="137"/>
        <v>-309467822.73677498</v>
      </c>
      <c r="M1815" s="471">
        <f t="shared" si="139"/>
        <v>0.05</v>
      </c>
      <c r="N1815" s="475">
        <f t="shared" si="140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38"/>
        <v>-309467822.73677498</v>
      </c>
      <c r="J1816" s="455">
        <f t="array" ref="J1816">IFERROR(INDEX('Retirement Calculator'!J:J,MATCH('Isaac 401k'!N1816,'Retirement Calculator'!A:A,0),0),0)</f>
        <v>0</v>
      </c>
      <c r="K1816" s="455">
        <f t="shared" ca="1" si="136"/>
        <v>-1289449.2614032291</v>
      </c>
      <c r="L1816" s="455">
        <f t="shared" ca="1" si="137"/>
        <v>-310757271.99817818</v>
      </c>
      <c r="M1816" s="471">
        <f t="shared" si="139"/>
        <v>0.05</v>
      </c>
      <c r="N1816" s="475">
        <f t="shared" si="140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38"/>
        <v>-310757271.99817818</v>
      </c>
      <c r="J1817" s="455">
        <f t="array" ref="J1817">IFERROR(INDEX('Retirement Calculator'!J:J,MATCH('Isaac 401k'!N1817,'Retirement Calculator'!A:A,0),0),0)</f>
        <v>0</v>
      </c>
      <c r="K1817" s="455">
        <f t="shared" ca="1" si="136"/>
        <v>-1294821.9666590758</v>
      </c>
      <c r="L1817" s="455">
        <f t="shared" ca="1" si="137"/>
        <v>-312052093.96483725</v>
      </c>
      <c r="M1817" s="471">
        <f t="shared" si="139"/>
        <v>0.05</v>
      </c>
      <c r="N1817" s="475">
        <f t="shared" si="140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38"/>
        <v>-312052093.96483725</v>
      </c>
      <c r="J1818" s="455">
        <f t="array" ref="J1818">IFERROR(INDEX('Retirement Calculator'!J:J,MATCH('Isaac 401k'!N1818,'Retirement Calculator'!A:A,0),0),0)</f>
        <v>0</v>
      </c>
      <c r="K1818" s="455">
        <f t="shared" ca="1" si="136"/>
        <v>-1300217.0581868219</v>
      </c>
      <c r="L1818" s="455">
        <f t="shared" ca="1" si="137"/>
        <v>-313352311.02302408</v>
      </c>
      <c r="M1818" s="471">
        <f t="shared" si="139"/>
        <v>0.05</v>
      </c>
      <c r="N1818" s="475">
        <f t="shared" si="140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38"/>
        <v>-313352311.02302408</v>
      </c>
      <c r="J1819" s="455">
        <f t="array" ref="J1819">IFERROR(INDEX('Retirement Calculator'!J:J,MATCH('Isaac 401k'!N1819,'Retirement Calculator'!A:A,0),0),0)</f>
        <v>0</v>
      </c>
      <c r="K1819" s="455">
        <f t="shared" ca="1" si="136"/>
        <v>-1305634.6292626003</v>
      </c>
      <c r="L1819" s="455">
        <f t="shared" ca="1" si="137"/>
        <v>-314657945.65228671</v>
      </c>
      <c r="M1819" s="471">
        <f t="shared" si="139"/>
        <v>0.05</v>
      </c>
      <c r="N1819" s="475">
        <f t="shared" si="140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38"/>
        <v>-314657945.65228671</v>
      </c>
      <c r="J1820" s="455">
        <f t="array" ref="J1820">IFERROR(INDEX('Retirement Calculator'!J:J,MATCH('Isaac 401k'!N1820,'Retirement Calculator'!A:A,0),0),0)</f>
        <v>0</v>
      </c>
      <c r="K1820" s="455">
        <f t="shared" ca="1" si="136"/>
        <v>-1311074.7735511947</v>
      </c>
      <c r="L1820" s="455">
        <f t="shared" ca="1" si="137"/>
        <v>-315969020.42583787</v>
      </c>
      <c r="M1820" s="471">
        <f t="shared" si="139"/>
        <v>0.05</v>
      </c>
      <c r="N1820" s="475">
        <f t="shared" si="140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38"/>
        <v>-315969020.42583787</v>
      </c>
      <c r="J1821" s="455">
        <f t="array" ref="J1821">IFERROR(INDEX('Retirement Calculator'!J:J,MATCH('Isaac 401k'!N1821,'Retirement Calculator'!A:A,0),0),0)</f>
        <v>0</v>
      </c>
      <c r="K1821" s="455">
        <f t="shared" ca="1" si="136"/>
        <v>-1316537.5851076578</v>
      </c>
      <c r="L1821" s="455">
        <f t="shared" ca="1" si="137"/>
        <v>-317285558.01094556</v>
      </c>
      <c r="M1821" s="471">
        <f t="shared" si="139"/>
        <v>0.05</v>
      </c>
      <c r="N1821" s="475">
        <f t="shared" si="140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38"/>
        <v>-317285558.01094556</v>
      </c>
      <c r="J1822" s="455">
        <f t="array" ref="J1822">IFERROR(INDEX('Retirement Calculator'!J:J,MATCH('Isaac 401k'!N1822,'Retirement Calculator'!A:A,0),0),0)</f>
        <v>0</v>
      </c>
      <c r="K1822" s="455">
        <f t="shared" ca="1" si="136"/>
        <v>-1322023.1583789398</v>
      </c>
      <c r="L1822" s="455">
        <f t="shared" ca="1" si="137"/>
        <v>-318607581.16932452</v>
      </c>
      <c r="M1822" s="471">
        <f t="shared" si="139"/>
        <v>0.05</v>
      </c>
      <c r="N1822" s="475">
        <f t="shared" si="140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38"/>
        <v>-318607581.16932452</v>
      </c>
      <c r="J1823" s="455">
        <f t="array" ref="J1823">IFERROR(INDEX('Retirement Calculator'!J:J,MATCH('Isaac 401k'!N1823,'Retirement Calculator'!A:A,0),0),0)</f>
        <v>0</v>
      </c>
      <c r="K1823" s="455">
        <f t="shared" ca="1" si="136"/>
        <v>-1327531.5882055189</v>
      </c>
      <c r="L1823" s="455">
        <f t="shared" ca="1" si="137"/>
        <v>-319935112.75753003</v>
      </c>
      <c r="M1823" s="471">
        <f t="shared" si="139"/>
        <v>0.05</v>
      </c>
      <c r="N1823" s="475">
        <f t="shared" si="140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38"/>
        <v>-319935112.75753003</v>
      </c>
      <c r="J1824" s="455">
        <f t="array" ref="J1824">IFERROR(INDEX('Retirement Calculator'!J:J,MATCH('Isaac 401k'!N1824,'Retirement Calculator'!A:A,0),0),0)</f>
        <v>0</v>
      </c>
      <c r="K1824" s="455">
        <f t="shared" ca="1" si="136"/>
        <v>-1333062.9698230417</v>
      </c>
      <c r="L1824" s="455">
        <f t="shared" ca="1" si="137"/>
        <v>-321268175.7273531</v>
      </c>
      <c r="M1824" s="471">
        <f t="shared" si="139"/>
        <v>0.05</v>
      </c>
      <c r="N1824" s="475">
        <f t="shared" si="140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38"/>
        <v>-321268175.7273531</v>
      </c>
      <c r="J1825" s="455">
        <f t="array" ref="J1825">IFERROR(INDEX('Retirement Calculator'!J:J,MATCH('Isaac 401k'!N1825,'Retirement Calculator'!A:A,0),0),0)</f>
        <v>0</v>
      </c>
      <c r="K1825" s="455">
        <f t="shared" ca="1" si="136"/>
        <v>-1338617.3988639712</v>
      </c>
      <c r="L1825" s="455">
        <f t="shared" ca="1" si="137"/>
        <v>-322606793.12621707</v>
      </c>
      <c r="M1825" s="471">
        <f t="shared" si="139"/>
        <v>0.05</v>
      </c>
      <c r="N1825" s="475">
        <f t="shared" si="140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38"/>
        <v>-322606793.12621707</v>
      </c>
      <c r="J1826" s="455">
        <f t="array" ref="J1826">IFERROR(INDEX('Retirement Calculator'!J:J,MATCH('Isaac 401k'!N1826,'Retirement Calculator'!A:A,0),0),0)</f>
        <v>0</v>
      </c>
      <c r="K1826" s="455">
        <f t="shared" ca="1" si="136"/>
        <v>-1344194.9713592378</v>
      </c>
      <c r="L1826" s="455">
        <f t="shared" ca="1" si="137"/>
        <v>-323950988.09757632</v>
      </c>
      <c r="M1826" s="471">
        <f t="shared" si="139"/>
        <v>0.05</v>
      </c>
      <c r="N1826" s="475">
        <f t="shared" si="140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38"/>
        <v>-323950988.09757632</v>
      </c>
      <c r="J1827" s="455">
        <f t="array" ref="J1827">IFERROR(INDEX('Retirement Calculator'!J:J,MATCH('Isaac 401k'!N1827,'Retirement Calculator'!A:A,0),0),0)</f>
        <v>0</v>
      </c>
      <c r="K1827" s="455">
        <f t="shared" ca="1" si="136"/>
        <v>-1349795.7837399014</v>
      </c>
      <c r="L1827" s="455">
        <f t="shared" ca="1" si="137"/>
        <v>-325300783.88131624</v>
      </c>
      <c r="M1827" s="471">
        <f t="shared" si="139"/>
        <v>0.05</v>
      </c>
      <c r="N1827" s="475">
        <f t="shared" si="140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38"/>
        <v>-325300783.88131624</v>
      </c>
      <c r="J1828" s="455">
        <f t="array" ref="J1828">IFERROR(INDEX('Retirement Calculator'!J:J,MATCH('Isaac 401k'!N1828,'Retirement Calculator'!A:A,0),0),0)</f>
        <v>0</v>
      </c>
      <c r="K1828" s="455">
        <f t="shared" ca="1" si="136"/>
        <v>-1355419.9328388176</v>
      </c>
      <c r="L1828" s="455">
        <f t="shared" ca="1" si="137"/>
        <v>-326656203.81415504</v>
      </c>
      <c r="M1828" s="471">
        <f t="shared" si="139"/>
        <v>0.05</v>
      </c>
      <c r="N1828" s="475">
        <f t="shared" si="140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38"/>
        <v>-326656203.81415504</v>
      </c>
      <c r="J1829" s="455">
        <f t="array" ref="J1829">IFERROR(INDEX('Retirement Calculator'!J:J,MATCH('Isaac 401k'!N1829,'Retirement Calculator'!A:A,0),0),0)</f>
        <v>0</v>
      </c>
      <c r="K1829" s="455">
        <f t="shared" ca="1" si="136"/>
        <v>-1361067.5158923126</v>
      </c>
      <c r="L1829" s="455">
        <f t="shared" ca="1" si="137"/>
        <v>-328017271.33004737</v>
      </c>
      <c r="M1829" s="471">
        <f t="shared" si="139"/>
        <v>0.05</v>
      </c>
      <c r="N1829" s="475">
        <f t="shared" si="140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38"/>
        <v>-328017271.33004737</v>
      </c>
      <c r="J1830" s="455">
        <f t="array" ref="J1830">IFERROR(INDEX('Retirement Calculator'!J:J,MATCH('Isaac 401k'!N1830,'Retirement Calculator'!A:A,0),0),0)</f>
        <v>0</v>
      </c>
      <c r="K1830" s="455">
        <f t="shared" ca="1" si="136"/>
        <v>-1366738.6305418641</v>
      </c>
      <c r="L1830" s="455">
        <f t="shared" ca="1" si="137"/>
        <v>-329384009.96058923</v>
      </c>
      <c r="M1830" s="471">
        <f t="shared" si="139"/>
        <v>0.05</v>
      </c>
      <c r="N1830" s="475">
        <f t="shared" si="140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38"/>
        <v>-329384009.96058923</v>
      </c>
      <c r="J1831" s="455">
        <f t="array" ref="J1831">IFERROR(INDEX('Retirement Calculator'!J:J,MATCH('Isaac 401k'!N1831,'Retirement Calculator'!A:A,0),0),0)</f>
        <v>0</v>
      </c>
      <c r="K1831" s="455">
        <f t="shared" ca="1" si="136"/>
        <v>-1372433.3748357885</v>
      </c>
      <c r="L1831" s="455">
        <f t="shared" ca="1" si="137"/>
        <v>-330756443.33542502</v>
      </c>
      <c r="M1831" s="471">
        <f t="shared" si="139"/>
        <v>0.05</v>
      </c>
      <c r="N1831" s="475">
        <f t="shared" si="140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38"/>
        <v>-330756443.33542502</v>
      </c>
      <c r="J1832" s="455">
        <f t="array" ref="J1832">IFERROR(INDEX('Retirement Calculator'!J:J,MATCH('Isaac 401k'!N1832,'Retirement Calculator'!A:A,0),0),0)</f>
        <v>0</v>
      </c>
      <c r="K1832" s="455">
        <f t="shared" ca="1" si="136"/>
        <v>-1378151.8472309376</v>
      </c>
      <c r="L1832" s="455">
        <f t="shared" ca="1" si="137"/>
        <v>-332134595.18265593</v>
      </c>
      <c r="M1832" s="471">
        <f t="shared" si="139"/>
        <v>0.05</v>
      </c>
      <c r="N1832" s="475">
        <f t="shared" si="140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38"/>
        <v>-332134595.18265593</v>
      </c>
      <c r="J1833" s="455">
        <f t="array" ref="J1833">IFERROR(INDEX('Retirement Calculator'!J:J,MATCH('Isaac 401k'!N1833,'Retirement Calculator'!A:A,0),0),0)</f>
        <v>0</v>
      </c>
      <c r="K1833" s="455">
        <f t="shared" ca="1" si="136"/>
        <v>-1383894.1465943996</v>
      </c>
      <c r="L1833" s="455">
        <f t="shared" ca="1" si="137"/>
        <v>-333518489.32925034</v>
      </c>
      <c r="M1833" s="471">
        <f t="shared" si="139"/>
        <v>0.05</v>
      </c>
      <c r="N1833" s="475">
        <f t="shared" si="140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38"/>
        <v>-333518489.32925034</v>
      </c>
      <c r="J1834" s="455">
        <f t="array" ref="J1834">IFERROR(INDEX('Retirement Calculator'!J:J,MATCH('Isaac 401k'!N1834,'Retirement Calculator'!A:A,0),0),0)</f>
        <v>0</v>
      </c>
      <c r="K1834" s="455">
        <f t="shared" ca="1" si="136"/>
        <v>-1389660.3722052097</v>
      </c>
      <c r="L1834" s="455">
        <f t="shared" ca="1" si="137"/>
        <v>-334908149.70145553</v>
      </c>
      <c r="M1834" s="471">
        <f t="shared" si="139"/>
        <v>0.05</v>
      </c>
      <c r="N1834" s="475">
        <f t="shared" si="140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38"/>
        <v>-334908149.70145553</v>
      </c>
      <c r="J1835" s="455">
        <f t="array" ref="J1835">IFERROR(INDEX('Retirement Calculator'!J:J,MATCH('Isaac 401k'!N1835,'Retirement Calculator'!A:A,0),0),0)</f>
        <v>0</v>
      </c>
      <c r="K1835" s="455">
        <f t="shared" ca="1" si="136"/>
        <v>-1395450.6237560648</v>
      </c>
      <c r="L1835" s="455">
        <f t="shared" ca="1" si="137"/>
        <v>-336303600.32521158</v>
      </c>
      <c r="M1835" s="471">
        <f t="shared" si="139"/>
        <v>0.05</v>
      </c>
      <c r="N1835" s="475">
        <f t="shared" si="140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38"/>
        <v>-336303600.32521158</v>
      </c>
      <c r="J1836" s="455">
        <f t="array" ref="J1836">IFERROR(INDEX('Retirement Calculator'!J:J,MATCH('Isaac 401k'!N1836,'Retirement Calculator'!A:A,0),0),0)</f>
        <v>0</v>
      </c>
      <c r="K1836" s="455">
        <f t="shared" ca="1" si="136"/>
        <v>-1401265.0013550483</v>
      </c>
      <c r="L1836" s="455">
        <f t="shared" ca="1" si="137"/>
        <v>-337704865.32656664</v>
      </c>
      <c r="M1836" s="471">
        <f t="shared" si="139"/>
        <v>0.05</v>
      </c>
      <c r="N1836" s="475">
        <f t="shared" si="140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38"/>
        <v>-337704865.32656664</v>
      </c>
      <c r="J1837" s="455">
        <f t="array" ref="J1837">IFERROR(INDEX('Retirement Calculator'!J:J,MATCH('Isaac 401k'!N1837,'Retirement Calculator'!A:A,0),0),0)</f>
        <v>0</v>
      </c>
      <c r="K1837" s="455">
        <f t="shared" ca="1" si="136"/>
        <v>-1407103.6055273609</v>
      </c>
      <c r="L1837" s="455">
        <f t="shared" ca="1" si="137"/>
        <v>-339111968.93209398</v>
      </c>
      <c r="M1837" s="471">
        <f t="shared" si="139"/>
        <v>0.05</v>
      </c>
      <c r="N1837" s="475">
        <f t="shared" si="140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38"/>
        <v>-339111968.93209398</v>
      </c>
      <c r="J1838" s="455">
        <f t="array" ref="J1838">IFERROR(INDEX('Retirement Calculator'!J:J,MATCH('Isaac 401k'!N1838,'Retirement Calculator'!A:A,0),0),0)</f>
        <v>0</v>
      </c>
      <c r="K1838" s="455">
        <f t="shared" ca="1" si="136"/>
        <v>-1412966.5372170582</v>
      </c>
      <c r="L1838" s="455">
        <f t="shared" ca="1" si="137"/>
        <v>-340524935.46931106</v>
      </c>
      <c r="M1838" s="471">
        <f t="shared" si="139"/>
        <v>0.05</v>
      </c>
      <c r="N1838" s="475">
        <f t="shared" si="140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38"/>
        <v>-340524935.46931106</v>
      </c>
      <c r="J1839" s="455">
        <f t="array" ref="J1839">IFERROR(INDEX('Retirement Calculator'!J:J,MATCH('Isaac 401k'!N1839,'Retirement Calculator'!A:A,0),0),0)</f>
        <v>0</v>
      </c>
      <c r="K1839" s="455">
        <f t="shared" ca="1" si="136"/>
        <v>-1418853.8977887961</v>
      </c>
      <c r="L1839" s="455">
        <f t="shared" ca="1" si="137"/>
        <v>-341943789.36709988</v>
      </c>
      <c r="M1839" s="471">
        <f t="shared" si="139"/>
        <v>0.05</v>
      </c>
      <c r="N1839" s="475">
        <f t="shared" si="140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38"/>
        <v>-341943789.36709988</v>
      </c>
      <c r="J1840" s="455">
        <f t="array" ref="J1840">IFERROR(INDEX('Retirement Calculator'!J:J,MATCH('Isaac 401k'!N1840,'Retirement Calculator'!A:A,0),0),0)</f>
        <v>0</v>
      </c>
      <c r="K1840" s="455">
        <f t="shared" ca="1" si="136"/>
        <v>-1424765.7890295829</v>
      </c>
      <c r="L1840" s="455">
        <f t="shared" ca="1" si="137"/>
        <v>-343368555.15612948</v>
      </c>
      <c r="M1840" s="471">
        <f t="shared" si="139"/>
        <v>0.05</v>
      </c>
      <c r="N1840" s="475">
        <f t="shared" si="140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38"/>
        <v>-343368555.15612948</v>
      </c>
      <c r="J1841" s="455">
        <f t="array" ref="J1841">IFERROR(INDEX('Retirement Calculator'!J:J,MATCH('Isaac 401k'!N1841,'Retirement Calculator'!A:A,0),0),0)</f>
        <v>0</v>
      </c>
      <c r="K1841" s="455">
        <f t="shared" ca="1" si="136"/>
        <v>-1430702.3131505395</v>
      </c>
      <c r="L1841" s="455">
        <f t="shared" ca="1" si="137"/>
        <v>-344799257.46928</v>
      </c>
      <c r="M1841" s="471">
        <f t="shared" si="139"/>
        <v>0.05</v>
      </c>
      <c r="N1841" s="475">
        <f t="shared" si="140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38"/>
        <v>-344799257.46928</v>
      </c>
      <c r="J1842" s="455">
        <f t="array" ref="J1842">IFERROR(INDEX('Retirement Calculator'!J:J,MATCH('Isaac 401k'!N1842,'Retirement Calculator'!A:A,0),0),0)</f>
        <v>0</v>
      </c>
      <c r="K1842" s="455">
        <f t="shared" ca="1" si="136"/>
        <v>-1436663.5727886667</v>
      </c>
      <c r="L1842" s="455">
        <f t="shared" ca="1" si="137"/>
        <v>-346235921.04206866</v>
      </c>
      <c r="M1842" s="471">
        <f t="shared" si="139"/>
        <v>0.05</v>
      </c>
      <c r="N1842" s="475">
        <f t="shared" si="140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38"/>
        <v>-346235921.04206866</v>
      </c>
      <c r="J1843" s="455">
        <f t="array" ref="J1843">IFERROR(INDEX('Retirement Calculator'!J:J,MATCH('Isaac 401k'!N1843,'Retirement Calculator'!A:A,0),0),0)</f>
        <v>0</v>
      </c>
      <c r="K1843" s="455">
        <f t="shared" ca="1" si="136"/>
        <v>-1442649.6710086195</v>
      </c>
      <c r="L1843" s="455">
        <f t="shared" ca="1" si="137"/>
        <v>-347678570.71307731</v>
      </c>
      <c r="M1843" s="471">
        <f t="shared" si="139"/>
        <v>0.05</v>
      </c>
      <c r="N1843" s="475">
        <f t="shared" si="140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38"/>
        <v>-347678570.71307731</v>
      </c>
      <c r="J1844" s="455">
        <f t="array" ref="J1844">IFERROR(INDEX('Retirement Calculator'!J:J,MATCH('Isaac 401k'!N1844,'Retirement Calculator'!A:A,0),0),0)</f>
        <v>0</v>
      </c>
      <c r="K1844" s="455">
        <f t="shared" ca="1" si="136"/>
        <v>-1448660.7113044888</v>
      </c>
      <c r="L1844" s="455">
        <f t="shared" ca="1" si="137"/>
        <v>-349127231.42438179</v>
      </c>
      <c r="M1844" s="471">
        <f t="shared" si="139"/>
        <v>0.05</v>
      </c>
      <c r="N1844" s="475">
        <f t="shared" si="140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38"/>
        <v>-349127231.42438179</v>
      </c>
      <c r="J1845" s="455">
        <f t="array" ref="J1845">IFERROR(INDEX('Retirement Calculator'!J:J,MATCH('Isaac 401k'!N1845,'Retirement Calculator'!A:A,0),0),0)</f>
        <v>0</v>
      </c>
      <c r="K1845" s="455">
        <f t="shared" ca="1" si="136"/>
        <v>-1454696.7976015909</v>
      </c>
      <c r="L1845" s="455">
        <f t="shared" ca="1" si="137"/>
        <v>-350581928.22198337</v>
      </c>
      <c r="M1845" s="471">
        <f t="shared" si="139"/>
        <v>0.05</v>
      </c>
      <c r="N1845" s="475">
        <f t="shared" si="140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38"/>
        <v>-350581928.22198337</v>
      </c>
      <c r="J1846" s="455">
        <f t="array" ref="J1846">IFERROR(INDEX('Retirement Calculator'!J:J,MATCH('Isaac 401k'!N1846,'Retirement Calculator'!A:A,0),0),0)</f>
        <v>0</v>
      </c>
      <c r="K1846" s="455">
        <f t="shared" ca="1" si="136"/>
        <v>-1460758.0342582641</v>
      </c>
      <c r="L1846" s="455">
        <f t="shared" ca="1" si="137"/>
        <v>-352042686.25624162</v>
      </c>
      <c r="M1846" s="471">
        <f t="shared" si="139"/>
        <v>0.05</v>
      </c>
      <c r="N1846" s="475">
        <f t="shared" si="140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38"/>
        <v>-352042686.25624162</v>
      </c>
      <c r="J1847" s="455">
        <f t="array" ref="J1847">IFERROR(INDEX('Retirement Calculator'!J:J,MATCH('Isaac 401k'!N1847,'Retirement Calculator'!A:A,0),0),0)</f>
        <v>0</v>
      </c>
      <c r="K1847" s="455">
        <f t="shared" ca="1" si="136"/>
        <v>-1466844.5260676735</v>
      </c>
      <c r="L1847" s="455">
        <f t="shared" ca="1" si="137"/>
        <v>-353509530.78230929</v>
      </c>
      <c r="M1847" s="471">
        <f t="shared" si="139"/>
        <v>0.05</v>
      </c>
      <c r="N1847" s="475">
        <f t="shared" si="140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38"/>
        <v>-353509530.78230929</v>
      </c>
      <c r="J1848" s="455">
        <f t="array" ref="J1848">IFERROR(INDEX('Retirement Calculator'!J:J,MATCH('Isaac 401k'!N1848,'Retirement Calculator'!A:A,0),0),0)</f>
        <v>0</v>
      </c>
      <c r="K1848" s="455">
        <f t="shared" ca="1" si="136"/>
        <v>-1472956.378259622</v>
      </c>
      <c r="L1848" s="455">
        <f t="shared" ca="1" si="137"/>
        <v>-354982487.16056889</v>
      </c>
      <c r="M1848" s="471">
        <f t="shared" si="139"/>
        <v>0.05</v>
      </c>
      <c r="N1848" s="475">
        <f t="shared" si="140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38"/>
        <v>-354982487.16056889</v>
      </c>
      <c r="J1849" s="455">
        <f t="array" ref="J1849">IFERROR(INDEX('Retirement Calculator'!J:J,MATCH('Isaac 401k'!N1849,'Retirement Calculator'!A:A,0),0),0)</f>
        <v>0</v>
      </c>
      <c r="K1849" s="455">
        <f t="shared" ca="1" si="136"/>
        <v>-1479093.6965023703</v>
      </c>
      <c r="L1849" s="455">
        <f t="shared" ca="1" si="137"/>
        <v>-356461580.85707128</v>
      </c>
      <c r="M1849" s="471">
        <f t="shared" si="139"/>
        <v>0.05</v>
      </c>
      <c r="N1849" s="475">
        <f t="shared" si="140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38"/>
        <v>-356461580.85707128</v>
      </c>
      <c r="J1850" s="455">
        <f t="array" ref="J1850">IFERROR(INDEX('Retirement Calculator'!J:J,MATCH('Isaac 401k'!N1850,'Retirement Calculator'!A:A,0),0),0)</f>
        <v>0</v>
      </c>
      <c r="K1850" s="455">
        <f t="shared" ca="1" si="136"/>
        <v>-1485256.5869044636</v>
      </c>
      <c r="L1850" s="455">
        <f t="shared" ca="1" si="137"/>
        <v>-357946837.44397575</v>
      </c>
      <c r="M1850" s="471">
        <f t="shared" si="139"/>
        <v>0.05</v>
      </c>
      <c r="N1850" s="475">
        <f t="shared" si="140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38"/>
        <v>-357946837.44397575</v>
      </c>
      <c r="J1851" s="455">
        <f t="array" ref="J1851">IFERROR(INDEX('Retirement Calculator'!J:J,MATCH('Isaac 401k'!N1851,'Retirement Calculator'!A:A,0),0),0)</f>
        <v>0</v>
      </c>
      <c r="K1851" s="455">
        <f t="shared" ca="1" si="136"/>
        <v>-1491445.1560165656</v>
      </c>
      <c r="L1851" s="455">
        <f t="shared" ca="1" si="137"/>
        <v>-359438282.59999233</v>
      </c>
      <c r="M1851" s="471">
        <f t="shared" si="139"/>
        <v>0.05</v>
      </c>
      <c r="N1851" s="475">
        <f t="shared" si="140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38"/>
        <v>-359438282.59999233</v>
      </c>
      <c r="J1852" s="455">
        <f t="array" ref="J1852">IFERROR(INDEX('Retirement Calculator'!J:J,MATCH('Isaac 401k'!N1852,'Retirement Calculator'!A:A,0),0),0)</f>
        <v>0</v>
      </c>
      <c r="K1852" s="455">
        <f t="shared" ca="1" si="136"/>
        <v>-1497659.5108333013</v>
      </c>
      <c r="L1852" s="455">
        <f t="shared" ca="1" si="137"/>
        <v>-360935942.11082566</v>
      </c>
      <c r="M1852" s="471">
        <f t="shared" si="139"/>
        <v>0.05</v>
      </c>
      <c r="N1852" s="475">
        <f t="shared" si="140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38"/>
        <v>-360935942.11082566</v>
      </c>
      <c r="J1853" s="455">
        <f t="array" ref="J1853">IFERROR(INDEX('Retirement Calculator'!J:J,MATCH('Isaac 401k'!N1853,'Retirement Calculator'!A:A,0),0),0)</f>
        <v>0</v>
      </c>
      <c r="K1853" s="455">
        <f t="shared" ca="1" si="136"/>
        <v>-1503899.7587951068</v>
      </c>
      <c r="L1853" s="455">
        <f t="shared" ca="1" si="137"/>
        <v>-362439841.86962074</v>
      </c>
      <c r="M1853" s="471">
        <f t="shared" si="139"/>
        <v>0.05</v>
      </c>
      <c r="N1853" s="475">
        <f t="shared" si="140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38"/>
        <v>-362439841.86962074</v>
      </c>
      <c r="J1854" s="455">
        <f t="array" ref="J1854">IFERROR(INDEX('Retirement Calculator'!J:J,MATCH('Isaac 401k'!N1854,'Retirement Calculator'!A:A,0),0),0)</f>
        <v>0</v>
      </c>
      <c r="K1854" s="455">
        <f t="shared" ca="1" si="136"/>
        <v>-1510166.0077900863</v>
      </c>
      <c r="L1854" s="455">
        <f t="shared" ca="1" si="137"/>
        <v>-363950007.87741083</v>
      </c>
      <c r="M1854" s="471">
        <f t="shared" si="139"/>
        <v>0.05</v>
      </c>
      <c r="N1854" s="475">
        <f t="shared" si="140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38"/>
        <v>-363950007.87741083</v>
      </c>
      <c r="J1855" s="455">
        <f t="array" ref="J1855">IFERROR(INDEX('Retirement Calculator'!J:J,MATCH('Isaac 401k'!N1855,'Retirement Calculator'!A:A,0),0),0)</f>
        <v>0</v>
      </c>
      <c r="K1855" s="455">
        <f t="shared" ca="1" si="136"/>
        <v>-1516458.3661558784</v>
      </c>
      <c r="L1855" s="455">
        <f t="shared" ca="1" si="137"/>
        <v>-365466466.24356669</v>
      </c>
      <c r="M1855" s="471">
        <f t="shared" si="139"/>
        <v>0.05</v>
      </c>
      <c r="N1855" s="475">
        <f t="shared" si="140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38"/>
        <v>-365466466.24356669</v>
      </c>
      <c r="J1856" s="455">
        <f t="array" ref="J1856">IFERROR(INDEX('Retirement Calculator'!J:J,MATCH('Isaac 401k'!N1856,'Retirement Calculator'!A:A,0),0),0)</f>
        <v>0</v>
      </c>
      <c r="K1856" s="455">
        <f t="shared" ca="1" si="136"/>
        <v>-1522776.9426815279</v>
      </c>
      <c r="L1856" s="455">
        <f t="shared" ca="1" si="137"/>
        <v>-366989243.18624824</v>
      </c>
      <c r="M1856" s="471">
        <f t="shared" si="139"/>
        <v>0.05</v>
      </c>
      <c r="N1856" s="475">
        <f t="shared" si="140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38"/>
        <v>-366989243.18624824</v>
      </c>
      <c r="J1857" s="455">
        <f t="array" ref="J1857">IFERROR(INDEX('Retirement Calculator'!J:J,MATCH('Isaac 401k'!N1857,'Retirement Calculator'!A:A,0),0),0)</f>
        <v>0</v>
      </c>
      <c r="K1857" s="455">
        <f t="shared" ca="1" si="136"/>
        <v>-1529121.8466093678</v>
      </c>
      <c r="L1857" s="455">
        <f t="shared" ca="1" si="137"/>
        <v>-368518365.0328576</v>
      </c>
      <c r="M1857" s="471">
        <f t="shared" si="139"/>
        <v>0.05</v>
      </c>
      <c r="N1857" s="475">
        <f t="shared" si="140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38"/>
        <v>-368518365.0328576</v>
      </c>
      <c r="J1858" s="455">
        <f t="array" ref="J1858">IFERROR(INDEX('Retirement Calculator'!J:J,MATCH('Isaac 401k'!N1858,'Retirement Calculator'!A:A,0),0),0)</f>
        <v>0</v>
      </c>
      <c r="K1858" s="455">
        <f t="shared" ca="1" si="136"/>
        <v>-1535493.1876369067</v>
      </c>
      <c r="L1858" s="455">
        <f t="shared" ca="1" si="137"/>
        <v>-370053858.22049451</v>
      </c>
      <c r="M1858" s="471">
        <f t="shared" si="139"/>
        <v>0.05</v>
      </c>
      <c r="N1858" s="475">
        <f t="shared" si="140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38"/>
        <v>-370053858.22049451</v>
      </c>
      <c r="J1859" s="455">
        <f t="array" ref="J1859">IFERROR(INDEX('Retirement Calculator'!J:J,MATCH('Isaac 401k'!N1859,'Retirement Calculator'!A:A,0),0),0)</f>
        <v>0</v>
      </c>
      <c r="K1859" s="455">
        <f t="shared" ca="1" si="136"/>
        <v>-1541891.0759187271</v>
      </c>
      <c r="L1859" s="455">
        <f t="shared" ca="1" si="137"/>
        <v>-371595749.29641324</v>
      </c>
      <c r="M1859" s="471">
        <f t="shared" si="139"/>
        <v>0.05</v>
      </c>
      <c r="N1859" s="475">
        <f t="shared" si="140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38"/>
        <v>-371595749.29641324</v>
      </c>
      <c r="J1860" s="455">
        <f t="array" ref="J1860">IFERROR(INDEX('Retirement Calculator'!J:J,MATCH('Isaac 401k'!N1860,'Retirement Calculator'!A:A,0),0),0)</f>
        <v>0</v>
      </c>
      <c r="K1860" s="455">
        <f t="shared" ca="1" si="136"/>
        <v>-1548315.6220683884</v>
      </c>
      <c r="L1860" s="455">
        <f t="shared" ca="1" si="137"/>
        <v>-373144064.91848165</v>
      </c>
      <c r="M1860" s="471">
        <f t="shared" si="139"/>
        <v>0.05</v>
      </c>
      <c r="N1860" s="475">
        <f t="shared" si="140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38"/>
        <v>-373144064.91848165</v>
      </c>
      <c r="J1861" s="455">
        <f t="array" ref="J1861">IFERROR(INDEX('Retirement Calculator'!J:J,MATCH('Isaac 401k'!N1861,'Retirement Calculator'!A:A,0),0),0)</f>
        <v>0</v>
      </c>
      <c r="K1861" s="455">
        <f t="shared" ca="1" si="136"/>
        <v>-1554766.9371603401</v>
      </c>
      <c r="L1861" s="455">
        <f t="shared" ca="1" si="137"/>
        <v>-374698831.85564196</v>
      </c>
      <c r="M1861" s="471">
        <f t="shared" si="139"/>
        <v>0.05</v>
      </c>
      <c r="N1861" s="475">
        <f t="shared" si="140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38"/>
        <v>-374698831.85564196</v>
      </c>
      <c r="J1862" s="455">
        <f t="array" ref="J1862">IFERROR(INDEX('Retirement Calculator'!J:J,MATCH('Isaac 401k'!N1862,'Retirement Calculator'!A:A,0),0),0)</f>
        <v>0</v>
      </c>
      <c r="K1862" s="455">
        <f t="shared" ca="1" si="136"/>
        <v>-1561245.1327318414</v>
      </c>
      <c r="L1862" s="455">
        <f t="shared" ca="1" si="137"/>
        <v>-376260076.98837382</v>
      </c>
      <c r="M1862" s="471">
        <f t="shared" si="139"/>
        <v>0.05</v>
      </c>
      <c r="N1862" s="475">
        <f t="shared" si="140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38"/>
        <v>-376260076.98837382</v>
      </c>
      <c r="J1863" s="455">
        <f t="array" ref="J1863">IFERROR(INDEX('Retirement Calculator'!J:J,MATCH('Isaac 401k'!N1863,'Retirement Calculator'!A:A,0),0),0)</f>
        <v>0</v>
      </c>
      <c r="K1863" s="455">
        <f t="shared" ca="1" si="136"/>
        <v>-1567750.3207848908</v>
      </c>
      <c r="L1863" s="455">
        <f t="shared" ca="1" si="137"/>
        <v>-377827827.30915868</v>
      </c>
      <c r="M1863" s="471">
        <f t="shared" si="139"/>
        <v>0.05</v>
      </c>
      <c r="N1863" s="475">
        <f t="shared" si="140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38"/>
        <v>-377827827.30915868</v>
      </c>
      <c r="J1864" s="455">
        <f t="array" ref="J1864">IFERROR(INDEX('Retirement Calculator'!J:J,MATCH('Isaac 401k'!N1864,'Retirement Calculator'!A:A,0),0),0)</f>
        <v>0</v>
      </c>
      <c r="K1864" s="455">
        <f t="shared" ca="1" si="136"/>
        <v>-1574282.6137881612</v>
      </c>
      <c r="L1864" s="455">
        <f t="shared" ca="1" si="137"/>
        <v>-379402109.92294687</v>
      </c>
      <c r="M1864" s="471">
        <f t="shared" si="139"/>
        <v>0.05</v>
      </c>
      <c r="N1864" s="475">
        <f t="shared" si="140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38"/>
        <v>-379402109.92294687</v>
      </c>
      <c r="J1865" s="455">
        <f t="array" ref="J1865">IFERROR(INDEX('Retirement Calculator'!J:J,MATCH('Isaac 401k'!N1865,'Retirement Calculator'!A:A,0),0),0)</f>
        <v>0</v>
      </c>
      <c r="K1865" s="455">
        <f t="shared" ca="1" si="136"/>
        <v>-1580842.1246789452</v>
      </c>
      <c r="L1865" s="455">
        <f t="shared" ca="1" si="137"/>
        <v>-380982952.04762584</v>
      </c>
      <c r="M1865" s="471">
        <f t="shared" si="139"/>
        <v>0.05</v>
      </c>
      <c r="N1865" s="475">
        <f t="shared" si="140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38"/>
        <v>-380982952.04762584</v>
      </c>
      <c r="J1866" s="455">
        <f t="array" ref="J1866">IFERROR(INDEX('Retirement Calculator'!J:J,MATCH('Isaac 401k'!N1866,'Retirement Calculator'!A:A,0),0),0)</f>
        <v>0</v>
      </c>
      <c r="K1866" s="455">
        <f t="shared" ca="1" si="136"/>
        <v>-1587428.9668651076</v>
      </c>
      <c r="L1866" s="455">
        <f t="shared" ca="1" si="137"/>
        <v>-382570381.01449096</v>
      </c>
      <c r="M1866" s="471">
        <f t="shared" si="139"/>
        <v>0.05</v>
      </c>
      <c r="N1866" s="475">
        <f t="shared" si="140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38"/>
        <v>-382570381.01449096</v>
      </c>
      <c r="J1867" s="455">
        <f t="array" ref="J1867">IFERROR(INDEX('Retirement Calculator'!J:J,MATCH('Isaac 401k'!N1867,'Retirement Calculator'!A:A,0),0),0)</f>
        <v>0</v>
      </c>
      <c r="K1867" s="455">
        <f t="shared" ca="1" si="136"/>
        <v>-1594043.2542270457</v>
      </c>
      <c r="L1867" s="455">
        <f t="shared" ca="1" si="137"/>
        <v>-384164424.268718</v>
      </c>
      <c r="M1867" s="471">
        <f t="shared" si="139"/>
        <v>0.05</v>
      </c>
      <c r="N1867" s="475">
        <f t="shared" si="140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38"/>
        <v>-384164424.268718</v>
      </c>
      <c r="J1868" s="455">
        <f t="array" ref="J1868">IFERROR(INDEX('Retirement Calculator'!J:J,MATCH('Isaac 401k'!N1868,'Retirement Calculator'!A:A,0),0),0)</f>
        <v>0</v>
      </c>
      <c r="K1868" s="455">
        <f t="shared" ca="1" si="136"/>
        <v>-1600685.1011196584</v>
      </c>
      <c r="L1868" s="455">
        <f t="shared" ca="1" si="137"/>
        <v>-385765109.36983764</v>
      </c>
      <c r="M1868" s="471">
        <f t="shared" si="139"/>
        <v>0.05</v>
      </c>
      <c r="N1868" s="475">
        <f t="shared" si="140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38"/>
        <v>-385765109.36983764</v>
      </c>
      <c r="J1869" s="455">
        <f t="array" ref="J1869">IFERROR(INDEX('Retirement Calculator'!J:J,MATCH('Isaac 401k'!N1869,'Retirement Calculator'!A:A,0),0),0)</f>
        <v>0</v>
      </c>
      <c r="K1869" s="455">
        <f t="shared" ca="1" si="136"/>
        <v>-1607354.6223743234</v>
      </c>
      <c r="L1869" s="455">
        <f t="shared" ca="1" si="137"/>
        <v>-387372463.99221194</v>
      </c>
      <c r="M1869" s="471">
        <f t="shared" si="139"/>
        <v>0.05</v>
      </c>
      <c r="N1869" s="475">
        <f t="shared" si="140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38"/>
        <v>-387372463.99221194</v>
      </c>
      <c r="J1870" s="455">
        <f t="array" ref="J1870">IFERROR(INDEX('Retirement Calculator'!J:J,MATCH('Isaac 401k'!N1870,'Retirement Calculator'!A:A,0),0),0)</f>
        <v>0</v>
      </c>
      <c r="K1870" s="455">
        <f t="shared" ca="1" si="136"/>
        <v>-1614051.933300883</v>
      </c>
      <c r="L1870" s="455">
        <f t="shared" ca="1" si="137"/>
        <v>-388986515.92551285</v>
      </c>
      <c r="M1870" s="471">
        <f t="shared" si="139"/>
        <v>0.05</v>
      </c>
      <c r="N1870" s="475">
        <f t="shared" si="140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38"/>
        <v>-388986515.92551285</v>
      </c>
      <c r="J1871" s="455">
        <f t="array" ref="J1871">IFERROR(INDEX('Retirement Calculator'!J:J,MATCH('Isaac 401k'!N1871,'Retirement Calculator'!A:A,0),0),0)</f>
        <v>0</v>
      </c>
      <c r="K1871" s="455">
        <f t="shared" ca="1" si="136"/>
        <v>-1620777.1496896369</v>
      </c>
      <c r="L1871" s="455">
        <f t="shared" ca="1" si="137"/>
        <v>-390607293.07520247</v>
      </c>
      <c r="M1871" s="471">
        <f t="shared" si="139"/>
        <v>0.05</v>
      </c>
      <c r="N1871" s="475">
        <f t="shared" si="140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38"/>
        <v>-390607293.07520247</v>
      </c>
      <c r="J1872" s="455">
        <f t="array" ref="J1872">IFERROR(INDEX('Retirement Calculator'!J:J,MATCH('Isaac 401k'!N1872,'Retirement Calculator'!A:A,0),0),0)</f>
        <v>0</v>
      </c>
      <c r="K1872" s="455">
        <f t="shared" ca="1" si="136"/>
        <v>-1627530.3878133437</v>
      </c>
      <c r="L1872" s="455">
        <f t="shared" ca="1" si="137"/>
        <v>-392234823.46301579</v>
      </c>
      <c r="M1872" s="471">
        <f t="shared" si="139"/>
        <v>0.05</v>
      </c>
      <c r="N1872" s="475">
        <f t="shared" si="140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38"/>
        <v>-392234823.46301579</v>
      </c>
      <c r="J1873" s="455">
        <f t="array" ref="J1873">IFERROR(INDEX('Retirement Calculator'!J:J,MATCH('Isaac 401k'!N1873,'Retirement Calculator'!A:A,0),0),0)</f>
        <v>0</v>
      </c>
      <c r="K1873" s="455">
        <f t="shared" ca="1" si="136"/>
        <v>-1634311.7644292326</v>
      </c>
      <c r="L1873" s="455">
        <f t="shared" ca="1" si="137"/>
        <v>-393869135.22744501</v>
      </c>
      <c r="M1873" s="471">
        <f t="shared" si="139"/>
        <v>0.05</v>
      </c>
      <c r="N1873" s="475">
        <f t="shared" si="140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38"/>
        <v>-393869135.22744501</v>
      </c>
      <c r="J1874" s="455">
        <f t="array" ref="J1874">IFERROR(INDEX('Retirement Calculator'!J:J,MATCH('Isaac 401k'!N1874,'Retirement Calculator'!A:A,0),0),0)</f>
        <v>0</v>
      </c>
      <c r="K1874" s="455">
        <f t="shared" ca="1" si="136"/>
        <v>-1641121.3967810208</v>
      </c>
      <c r="L1874" s="455">
        <f t="shared" ca="1" si="137"/>
        <v>-395510256.62422603</v>
      </c>
      <c r="M1874" s="471">
        <f t="shared" si="139"/>
        <v>0.05</v>
      </c>
      <c r="N1874" s="475">
        <f t="shared" si="140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38"/>
        <v>-395510256.62422603</v>
      </c>
      <c r="J1875" s="455">
        <f t="array" ref="J1875">IFERROR(INDEX('Retirement Calculator'!J:J,MATCH('Isaac 401k'!N1875,'Retirement Calculator'!A:A,0),0),0)</f>
        <v>0</v>
      </c>
      <c r="K1875" s="455">
        <f t="shared" ca="1" si="136"/>
        <v>-1647959.4026009417</v>
      </c>
      <c r="L1875" s="455">
        <f t="shared" ca="1" si="137"/>
        <v>-397158216.02682698</v>
      </c>
      <c r="M1875" s="471">
        <f t="shared" si="139"/>
        <v>0.05</v>
      </c>
      <c r="N1875" s="475">
        <f t="shared" si="140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38"/>
        <v>-397158216.02682698</v>
      </c>
      <c r="J1876" s="455">
        <f t="array" ref="J1876">IFERROR(INDEX('Retirement Calculator'!J:J,MATCH('Isaac 401k'!N1876,'Retirement Calculator'!A:A,0),0),0)</f>
        <v>0</v>
      </c>
      <c r="K1876" s="455">
        <f t="shared" ca="1" si="136"/>
        <v>-1654825.9001117791</v>
      </c>
      <c r="L1876" s="455">
        <f t="shared" ca="1" si="137"/>
        <v>-398813041.92693877</v>
      </c>
      <c r="M1876" s="471">
        <f t="shared" si="139"/>
        <v>0.05</v>
      </c>
      <c r="N1876" s="475">
        <f t="shared" si="140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38"/>
        <v>-398813041.92693877</v>
      </c>
      <c r="J1877" s="455">
        <f t="array" ref="J1877">IFERROR(INDEX('Retirement Calculator'!J:J,MATCH('Isaac 401k'!N1877,'Retirement Calculator'!A:A,0),0),0)</f>
        <v>0</v>
      </c>
      <c r="K1877" s="455">
        <f t="shared" ca="1" si="136"/>
        <v>-1661721.0080289114</v>
      </c>
      <c r="L1877" s="455">
        <f t="shared" ca="1" si="137"/>
        <v>-400474762.9349677</v>
      </c>
      <c r="M1877" s="471">
        <f t="shared" si="139"/>
        <v>0.05</v>
      </c>
      <c r="N1877" s="475">
        <f t="shared" si="140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38"/>
        <v>-400474762.9349677</v>
      </c>
      <c r="J1878" s="455">
        <f t="array" ref="J1878">IFERROR(INDEX('Retirement Calculator'!J:J,MATCH('Isaac 401k'!N1878,'Retirement Calculator'!A:A,0),0),0)</f>
        <v>0</v>
      </c>
      <c r="K1878" s="455">
        <f t="shared" ca="1" si="136"/>
        <v>-1668644.8455623654</v>
      </c>
      <c r="L1878" s="455">
        <f t="shared" ca="1" si="137"/>
        <v>-402143407.78053004</v>
      </c>
      <c r="M1878" s="471">
        <f t="shared" si="139"/>
        <v>0.05</v>
      </c>
      <c r="N1878" s="475">
        <f t="shared" si="140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38"/>
        <v>-402143407.78053004</v>
      </c>
      <c r="J1879" s="455">
        <f t="array" ref="J1879">IFERROR(INDEX('Retirement Calculator'!J:J,MATCH('Isaac 401k'!N1879,'Retirement Calculator'!A:A,0),0),0)</f>
        <v>0</v>
      </c>
      <c r="K1879" s="455">
        <f t="shared" ca="1" si="136"/>
        <v>-1675597.532418875</v>
      </c>
      <c r="L1879" s="455">
        <f t="shared" ca="1" si="137"/>
        <v>-403819005.31294888</v>
      </c>
      <c r="M1879" s="471">
        <f t="shared" si="139"/>
        <v>0.05</v>
      </c>
      <c r="N1879" s="475">
        <f t="shared" si="140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38"/>
        <v>-403819005.31294888</v>
      </c>
      <c r="J1880" s="455">
        <f t="array" ref="J1880">IFERROR(INDEX('Retirement Calculator'!J:J,MATCH('Isaac 401k'!N1880,'Retirement Calculator'!A:A,0),0),0)</f>
        <v>0</v>
      </c>
      <c r="K1880" s="455">
        <f t="shared" ca="1" si="136"/>
        <v>-1682579.1888039536</v>
      </c>
      <c r="L1880" s="455">
        <f t="shared" ca="1" si="137"/>
        <v>-405501584.50175285</v>
      </c>
      <c r="M1880" s="471">
        <f t="shared" si="139"/>
        <v>0.05</v>
      </c>
      <c r="N1880" s="475">
        <f t="shared" si="140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38"/>
        <v>-405501584.50175285</v>
      </c>
      <c r="J1881" s="455">
        <f t="array" ref="J1881">IFERROR(INDEX('Retirement Calculator'!J:J,MATCH('Isaac 401k'!N1881,'Retirement Calculator'!A:A,0),0),0)</f>
        <v>0</v>
      </c>
      <c r="K1881" s="455">
        <f t="shared" ca="1" si="136"/>
        <v>-1689589.9354239702</v>
      </c>
      <c r="L1881" s="455">
        <f t="shared" ca="1" si="137"/>
        <v>-407191174.43717682</v>
      </c>
      <c r="M1881" s="471">
        <f t="shared" si="139"/>
        <v>0.05</v>
      </c>
      <c r="N1881" s="475">
        <f t="shared" si="140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38"/>
        <v>-407191174.43717682</v>
      </c>
      <c r="J1882" s="455">
        <f t="array" ref="J1882">IFERROR(INDEX('Retirement Calculator'!J:J,MATCH('Isaac 401k'!N1882,'Retirement Calculator'!A:A,0),0),0)</f>
        <v>0</v>
      </c>
      <c r="K1882" s="455">
        <f t="shared" ca="1" si="136"/>
        <v>-1696629.8934882367</v>
      </c>
      <c r="L1882" s="455">
        <f t="shared" ca="1" si="137"/>
        <v>-408887804.33066505</v>
      </c>
      <c r="M1882" s="471">
        <f t="shared" si="139"/>
        <v>0.05</v>
      </c>
      <c r="N1882" s="475">
        <f t="shared" si="140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38"/>
        <v>-408887804.33066505</v>
      </c>
      <c r="J1883" s="455">
        <f t="array" ref="J1883">IFERROR(INDEX('Retirement Calculator'!J:J,MATCH('Isaac 401k'!N1883,'Retirement Calculator'!A:A,0),0),0)</f>
        <v>0</v>
      </c>
      <c r="K1883" s="455">
        <f t="shared" ca="1" si="136"/>
        <v>-1703699.1847111043</v>
      </c>
      <c r="L1883" s="455">
        <f t="shared" ca="1" si="137"/>
        <v>-410591503.51537615</v>
      </c>
      <c r="M1883" s="471">
        <f t="shared" si="139"/>
        <v>0.05</v>
      </c>
      <c r="N1883" s="475">
        <f t="shared" si="140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38"/>
        <v>-410591503.51537615</v>
      </c>
      <c r="J1884" s="455">
        <f t="array" ref="J1884">IFERROR(INDEX('Retirement Calculator'!J:J,MATCH('Isaac 401k'!N1884,'Retirement Calculator'!A:A,0),0),0)</f>
        <v>0</v>
      </c>
      <c r="K1884" s="455">
        <f t="shared" ca="1" si="136"/>
        <v>-1710797.9313140672</v>
      </c>
      <c r="L1884" s="455">
        <f t="shared" ca="1" si="137"/>
        <v>-412302301.4466902</v>
      </c>
      <c r="M1884" s="471">
        <f t="shared" si="139"/>
        <v>0.05</v>
      </c>
      <c r="N1884" s="475">
        <f t="shared" si="140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38"/>
        <v>-412302301.4466902</v>
      </c>
      <c r="J1885" s="455">
        <f t="array" ref="J1885">IFERROR(INDEX('Retirement Calculator'!J:J,MATCH('Isaac 401k'!N1885,'Retirement Calculator'!A:A,0),0),0)</f>
        <v>0</v>
      </c>
      <c r="K1885" s="455">
        <f t="shared" ca="1" si="136"/>
        <v>-1717926.2560278757</v>
      </c>
      <c r="L1885" s="455">
        <f t="shared" ca="1" si="137"/>
        <v>-414020227.70271808</v>
      </c>
      <c r="M1885" s="471">
        <f t="shared" si="139"/>
        <v>0.05</v>
      </c>
      <c r="N1885" s="475">
        <f t="shared" si="140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38"/>
        <v>-414020227.70271808</v>
      </c>
      <c r="J1886" s="455">
        <f t="array" ref="J1886">IFERROR(INDEX('Retirement Calculator'!J:J,MATCH('Isaac 401k'!N1886,'Retirement Calculator'!A:A,0),0),0)</f>
        <v>0</v>
      </c>
      <c r="K1886" s="455">
        <f t="shared" ca="1" si="136"/>
        <v>-1725084.2820946586</v>
      </c>
      <c r="L1886" s="455">
        <f t="shared" ca="1" si="137"/>
        <v>-415745311.98481274</v>
      </c>
      <c r="M1886" s="471">
        <f t="shared" si="139"/>
        <v>0.05</v>
      </c>
      <c r="N1886" s="475">
        <f t="shared" si="140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38"/>
        <v>-415745311.98481274</v>
      </c>
      <c r="J1887" s="455">
        <f t="array" ref="J1887">IFERROR(INDEX('Retirement Calculator'!J:J,MATCH('Isaac 401k'!N1887,'Retirement Calculator'!A:A,0),0),0)</f>
        <v>0</v>
      </c>
      <c r="K1887" s="455">
        <f t="shared" ca="1" si="136"/>
        <v>-1732272.133270053</v>
      </c>
      <c r="L1887" s="455">
        <f t="shared" ca="1" si="137"/>
        <v>-417477584.11808276</v>
      </c>
      <c r="M1887" s="471">
        <f t="shared" si="139"/>
        <v>0.05</v>
      </c>
      <c r="N1887" s="475">
        <f t="shared" si="140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38"/>
        <v>-417477584.11808276</v>
      </c>
      <c r="J1888" s="455">
        <f t="array" ref="J1888">IFERROR(INDEX('Retirement Calculator'!J:J,MATCH('Isaac 401k'!N1888,'Retirement Calculator'!A:A,0),0),0)</f>
        <v>0</v>
      </c>
      <c r="K1888" s="455">
        <f t="shared" ca="1" si="136"/>
        <v>-1739489.9338253448</v>
      </c>
      <c r="L1888" s="455">
        <f t="shared" ca="1" si="137"/>
        <v>-419217074.05190814</v>
      </c>
      <c r="M1888" s="471">
        <f t="shared" si="139"/>
        <v>0.05</v>
      </c>
      <c r="N1888" s="475">
        <f t="shared" si="140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38"/>
        <v>-419217074.05190814</v>
      </c>
      <c r="J1889" s="455">
        <f t="array" ref="J1889">IFERROR(INDEX('Retirement Calculator'!J:J,MATCH('Isaac 401k'!N1889,'Retirement Calculator'!A:A,0),0),0)</f>
        <v>0</v>
      </c>
      <c r="K1889" s="455">
        <f t="shared" ca="1" si="136"/>
        <v>-1746737.8085496172</v>
      </c>
      <c r="L1889" s="455">
        <f t="shared" ca="1" si="137"/>
        <v>-420963811.86045778</v>
      </c>
      <c r="M1889" s="471">
        <f t="shared" si="139"/>
        <v>0.05</v>
      </c>
      <c r="N1889" s="475">
        <f t="shared" si="140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38"/>
        <v>-420963811.86045778</v>
      </c>
      <c r="J1890" s="455">
        <f t="array" ref="J1890">IFERROR(INDEX('Retirement Calculator'!J:J,MATCH('Isaac 401k'!N1890,'Retirement Calculator'!A:A,0),0),0)</f>
        <v>0</v>
      </c>
      <c r="K1890" s="455">
        <f t="shared" ca="1" si="136"/>
        <v>-1754015.8827519072</v>
      </c>
      <c r="L1890" s="455">
        <f t="shared" ca="1" si="137"/>
        <v>-422717827.74320966</v>
      </c>
      <c r="M1890" s="471">
        <f t="shared" si="139"/>
        <v>0.05</v>
      </c>
      <c r="N1890" s="475">
        <f t="shared" si="140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38"/>
        <v>-422717827.74320966</v>
      </c>
      <c r="J1891" s="455">
        <f t="array" ref="J1891">IFERROR(INDEX('Retirement Calculator'!J:J,MATCH('Isaac 401k'!N1891,'Retirement Calculator'!A:A,0),0),0)</f>
        <v>0</v>
      </c>
      <c r="K1891" s="455">
        <f t="shared" ca="1" si="136"/>
        <v>-1761324.2822633735</v>
      </c>
      <c r="L1891" s="455">
        <f t="shared" ca="1" si="137"/>
        <v>-424479152.02547306</v>
      </c>
      <c r="M1891" s="471">
        <f t="shared" si="139"/>
        <v>0.05</v>
      </c>
      <c r="N1891" s="475">
        <f t="shared" si="140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38"/>
        <v>-424479152.02547306</v>
      </c>
      <c r="J1892" s="455">
        <f t="array" ref="J1892">IFERROR(INDEX('Retirement Calculator'!J:J,MATCH('Isaac 401k'!N1892,'Retirement Calculator'!A:A,0),0),0)</f>
        <v>0</v>
      </c>
      <c r="K1892" s="455">
        <f t="shared" ca="1" si="136"/>
        <v>-1768663.133439471</v>
      </c>
      <c r="L1892" s="455">
        <f t="shared" ca="1" si="137"/>
        <v>-426247815.15891254</v>
      </c>
      <c r="M1892" s="471">
        <f t="shared" si="139"/>
        <v>0.05</v>
      </c>
      <c r="N1892" s="475">
        <f t="shared" si="140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38"/>
        <v>-426247815.15891254</v>
      </c>
      <c r="J1893" s="455">
        <f t="array" ref="J1893">IFERROR(INDEX('Retirement Calculator'!J:J,MATCH('Isaac 401k'!N1893,'Retirement Calculator'!A:A,0),0),0)</f>
        <v>0</v>
      </c>
      <c r="K1893" s="455">
        <f t="shared" ca="1" si="136"/>
        <v>-1776032.5631621357</v>
      </c>
      <c r="L1893" s="455">
        <f t="shared" ca="1" si="137"/>
        <v>-428023847.72207469</v>
      </c>
      <c r="M1893" s="471">
        <f t="shared" si="139"/>
        <v>0.05</v>
      </c>
      <c r="N1893" s="475">
        <f t="shared" si="140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38"/>
        <v>-428023847.72207469</v>
      </c>
      <c r="J1894" s="455">
        <f t="array" ref="J1894">IFERROR(INDEX('Retirement Calculator'!J:J,MATCH('Isaac 401k'!N1894,'Retirement Calculator'!A:A,0),0),0)</f>
        <v>0</v>
      </c>
      <c r="K1894" s="455">
        <f t="shared" ca="1" si="136"/>
        <v>-1783432.6988419781</v>
      </c>
      <c r="L1894" s="455">
        <f t="shared" ca="1" si="137"/>
        <v>-429807280.42091668</v>
      </c>
      <c r="M1894" s="471">
        <f t="shared" si="139"/>
        <v>0.05</v>
      </c>
      <c r="N1894" s="475">
        <f t="shared" si="140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38"/>
        <v>-429807280.42091668</v>
      </c>
      <c r="J1895" s="455">
        <f t="array" ref="J1895">IFERROR(INDEX('Retirement Calculator'!J:J,MATCH('Isaac 401k'!N1895,'Retirement Calculator'!A:A,0),0),0)</f>
        <v>0</v>
      </c>
      <c r="K1895" s="455">
        <f t="shared" ca="1" si="136"/>
        <v>-1790863.6684204864</v>
      </c>
      <c r="L1895" s="455">
        <f t="shared" ca="1" si="137"/>
        <v>-431598144.08933717</v>
      </c>
      <c r="M1895" s="471">
        <f t="shared" si="139"/>
        <v>0.05</v>
      </c>
      <c r="N1895" s="475">
        <f t="shared" si="140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38"/>
        <v>-431598144.08933717</v>
      </c>
      <c r="J1896" s="455">
        <f t="array" ref="J1896">IFERROR(INDEX('Retirement Calculator'!J:J,MATCH('Isaac 401k'!N1896,'Retirement Calculator'!A:A,0),0),0)</f>
        <v>0</v>
      </c>
      <c r="K1896" s="455">
        <f t="shared" ca="1" si="136"/>
        <v>-1798325.6003722379</v>
      </c>
      <c r="L1896" s="455">
        <f t="shared" ca="1" si="137"/>
        <v>-433396469.68970942</v>
      </c>
      <c r="M1896" s="471">
        <f t="shared" si="139"/>
        <v>0.05</v>
      </c>
      <c r="N1896" s="475">
        <f t="shared" si="140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38"/>
        <v>-433396469.68970942</v>
      </c>
      <c r="J1897" s="455">
        <f t="array" ref="J1897">IFERROR(INDEX('Retirement Calculator'!J:J,MATCH('Isaac 401k'!N1897,'Retirement Calculator'!A:A,0),0),0)</f>
        <v>0</v>
      </c>
      <c r="K1897" s="455">
        <f t="shared" ca="1" si="136"/>
        <v>-1805818.6237071226</v>
      </c>
      <c r="L1897" s="455">
        <f t="shared" ca="1" si="137"/>
        <v>-435202288.31341654</v>
      </c>
      <c r="M1897" s="471">
        <f t="shared" si="139"/>
        <v>0.05</v>
      </c>
      <c r="N1897" s="475">
        <f t="shared" si="140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38"/>
        <v>-435202288.31341654</v>
      </c>
      <c r="J1898" s="455">
        <f t="array" ref="J1898">IFERROR(INDEX('Retirement Calculator'!J:J,MATCH('Isaac 401k'!N1898,'Retirement Calculator'!A:A,0),0),0)</f>
        <v>0</v>
      </c>
      <c r="K1898" s="455">
        <f t="shared" ca="1" si="136"/>
        <v>-1813342.8679725691</v>
      </c>
      <c r="L1898" s="455">
        <f t="shared" ca="1" si="137"/>
        <v>-437015631.18138909</v>
      </c>
      <c r="M1898" s="471">
        <f t="shared" si="139"/>
        <v>0.05</v>
      </c>
      <c r="N1898" s="475">
        <f t="shared" si="140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38"/>
        <v>-437015631.18138909</v>
      </c>
      <c r="J1899" s="455">
        <f t="array" ref="J1899">IFERROR(INDEX('Retirement Calculator'!J:J,MATCH('Isaac 401k'!N1899,'Retirement Calculator'!A:A,0),0),0)</f>
        <v>0</v>
      </c>
      <c r="K1899" s="455">
        <f t="shared" ca="1" si="136"/>
        <v>-1820898.463255788</v>
      </c>
      <c r="L1899" s="455">
        <f t="shared" ca="1" si="137"/>
        <v>-438836529.64464486</v>
      </c>
      <c r="M1899" s="471">
        <f t="shared" si="139"/>
        <v>0.05</v>
      </c>
      <c r="N1899" s="475">
        <f t="shared" si="140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38"/>
        <v>-438836529.64464486</v>
      </c>
      <c r="J1900" s="455">
        <f t="array" ref="J1900">IFERROR(INDEX('Retirement Calculator'!J:J,MATCH('Isaac 401k'!N1900,'Retirement Calculator'!A:A,0),0),0)</f>
        <v>0</v>
      </c>
      <c r="K1900" s="455">
        <f t="shared" ca="1" si="136"/>
        <v>-1828485.5401860198</v>
      </c>
      <c r="L1900" s="455">
        <f t="shared" ca="1" si="137"/>
        <v>-440665015.1848309</v>
      </c>
      <c r="M1900" s="471">
        <f t="shared" si="139"/>
        <v>0.05</v>
      </c>
      <c r="N1900" s="475">
        <f t="shared" si="140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38"/>
        <v>-440665015.1848309</v>
      </c>
      <c r="J1901" s="455">
        <f t="array" ref="J1901">IFERROR(INDEX('Retirement Calculator'!J:J,MATCH('Isaac 401k'!N1901,'Retirement Calculator'!A:A,0),0),0)</f>
        <v>0</v>
      </c>
      <c r="K1901" s="455">
        <f t="shared" ca="1" si="136"/>
        <v>-1836104.2299367953</v>
      </c>
      <c r="L1901" s="455">
        <f t="shared" ca="1" si="137"/>
        <v>-442501119.41476768</v>
      </c>
      <c r="M1901" s="471">
        <f t="shared" si="139"/>
        <v>0.05</v>
      </c>
      <c r="N1901" s="475">
        <f t="shared" si="140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38"/>
        <v>-442501119.41476768</v>
      </c>
      <c r="J1902" s="455">
        <f t="array" ref="J1902">IFERROR(INDEX('Retirement Calculator'!J:J,MATCH('Isaac 401k'!N1902,'Retirement Calculator'!A:A,0),0),0)</f>
        <v>0</v>
      </c>
      <c r="K1902" s="455">
        <f t="shared" ca="1" si="136"/>
        <v>-1843754.6642281984</v>
      </c>
      <c r="L1902" s="455">
        <f t="shared" ca="1" si="137"/>
        <v>-444344874.07899588</v>
      </c>
      <c r="M1902" s="471">
        <f t="shared" si="139"/>
        <v>0.05</v>
      </c>
      <c r="N1902" s="475">
        <f t="shared" si="140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38"/>
        <v>-444344874.07899588</v>
      </c>
      <c r="J1903" s="455">
        <f t="array" ref="J1903">IFERROR(INDEX('Retirement Calculator'!J:J,MATCH('Isaac 401k'!N1903,'Retirement Calculator'!A:A,0),0),0)</f>
        <v>0</v>
      </c>
      <c r="K1903" s="455">
        <f t="shared" ca="1" si="136"/>
        <v>-1851436.9753291495</v>
      </c>
      <c r="L1903" s="455">
        <f t="shared" ca="1" si="137"/>
        <v>-446196311.05432504</v>
      </c>
      <c r="M1903" s="471">
        <f t="shared" si="139"/>
        <v>0.05</v>
      </c>
      <c r="N1903" s="475">
        <f t="shared" si="140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38"/>
        <v>-446196311.05432504</v>
      </c>
      <c r="J1904" s="455">
        <f t="array" ref="J1904">IFERROR(INDEX('Retirement Calculator'!J:J,MATCH('Isaac 401k'!N1904,'Retirement Calculator'!A:A,0),0),0)</f>
        <v>0</v>
      </c>
      <c r="K1904" s="455">
        <f t="shared" ca="1" si="136"/>
        <v>-1859151.2960596879</v>
      </c>
      <c r="L1904" s="455">
        <f t="shared" ca="1" si="137"/>
        <v>-448055462.35038471</v>
      </c>
      <c r="M1904" s="471">
        <f t="shared" si="139"/>
        <v>0.05</v>
      </c>
      <c r="N1904" s="475">
        <f t="shared" si="140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38"/>
        <v>-448055462.35038471</v>
      </c>
      <c r="J1905" s="455">
        <f t="array" ref="J1905">IFERROR(INDEX('Retirement Calculator'!J:J,MATCH('Isaac 401k'!N1905,'Retirement Calculator'!A:A,0),0),0)</f>
        <v>0</v>
      </c>
      <c r="K1905" s="455">
        <f t="shared" ca="1" si="136"/>
        <v>-1866897.7597932699</v>
      </c>
      <c r="L1905" s="455">
        <f t="shared" ca="1" si="137"/>
        <v>-449922360.11017799</v>
      </c>
      <c r="M1905" s="471">
        <f t="shared" si="139"/>
        <v>0.05</v>
      </c>
      <c r="N1905" s="475">
        <f t="shared" si="140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38"/>
        <v>-449922360.11017799</v>
      </c>
      <c r="J1906" s="455">
        <f t="array" ref="J1906">IFERROR(INDEX('Retirement Calculator'!J:J,MATCH('Isaac 401k'!N1906,'Retirement Calculator'!A:A,0),0),0)</f>
        <v>0</v>
      </c>
      <c r="K1906" s="455">
        <f t="shared" ca="1" si="136"/>
        <v>-1874676.500459075</v>
      </c>
      <c r="L1906" s="455">
        <f t="shared" ca="1" si="137"/>
        <v>-451797036.61063707</v>
      </c>
      <c r="M1906" s="471">
        <f t="shared" si="139"/>
        <v>0.05</v>
      </c>
      <c r="N1906" s="475">
        <f t="shared" si="140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38"/>
        <v>-451797036.61063707</v>
      </c>
      <c r="J1907" s="455">
        <f t="array" ref="J1907">IFERROR(INDEX('Retirement Calculator'!J:J,MATCH('Isaac 401k'!N1907,'Retirement Calculator'!A:A,0),0),0)</f>
        <v>0</v>
      </c>
      <c r="K1907" s="455">
        <f t="shared" ca="1" si="136"/>
        <v>-1882487.652544321</v>
      </c>
      <c r="L1907" s="455">
        <f t="shared" ca="1" si="137"/>
        <v>-453679524.26318139</v>
      </c>
      <c r="M1907" s="471">
        <f t="shared" si="139"/>
        <v>0.05</v>
      </c>
      <c r="N1907" s="475">
        <f t="shared" si="140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38"/>
        <v>-453679524.26318139</v>
      </c>
      <c r="J1908" s="455">
        <f t="array" ref="J1908">IFERROR(INDEX('Retirement Calculator'!J:J,MATCH('Isaac 401k'!N1908,'Retirement Calculator'!A:A,0),0),0)</f>
        <v>0</v>
      </c>
      <c r="K1908" s="455">
        <f t="shared" ca="1" si="136"/>
        <v>-1890331.3510965891</v>
      </c>
      <c r="L1908" s="455">
        <f t="shared" ca="1" si="137"/>
        <v>-455569855.61427796</v>
      </c>
      <c r="M1908" s="471">
        <f t="shared" si="139"/>
        <v>0.05</v>
      </c>
      <c r="N1908" s="475">
        <f t="shared" si="140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38"/>
        <v>-455569855.61427796</v>
      </c>
      <c r="J1909" s="455">
        <f t="array" ref="J1909">IFERROR(INDEX('Retirement Calculator'!J:J,MATCH('Isaac 401k'!N1909,'Retirement Calculator'!A:A,0),0),0)</f>
        <v>0</v>
      </c>
      <c r="K1909" s="455">
        <f t="shared" ca="1" si="136"/>
        <v>-1898207.7317261582</v>
      </c>
      <c r="L1909" s="455">
        <f t="shared" ca="1" si="137"/>
        <v>-457468063.34600413</v>
      </c>
      <c r="M1909" s="471">
        <f t="shared" si="139"/>
        <v>0.05</v>
      </c>
      <c r="N1909" s="475">
        <f t="shared" si="140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38"/>
        <v>-457468063.34600413</v>
      </c>
      <c r="J1910" s="455">
        <f t="array" ref="J1910">IFERROR(INDEX('Retirement Calculator'!J:J,MATCH('Isaac 401k'!N1910,'Retirement Calculator'!A:A,0),0),0)</f>
        <v>0</v>
      </c>
      <c r="K1910" s="455">
        <f t="shared" ca="1" si="136"/>
        <v>-1906116.9306083506</v>
      </c>
      <c r="L1910" s="455">
        <f t="shared" ca="1" si="137"/>
        <v>-459374180.27661246</v>
      </c>
      <c r="M1910" s="471">
        <f t="shared" si="139"/>
        <v>0.05</v>
      </c>
      <c r="N1910" s="475">
        <f t="shared" si="140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38"/>
        <v>-459374180.27661246</v>
      </c>
      <c r="J1911" s="455">
        <f t="array" ref="J1911">IFERROR(INDEX('Retirement Calculator'!J:J,MATCH('Isaac 401k'!N1911,'Retirement Calculator'!A:A,0),0),0)</f>
        <v>0</v>
      </c>
      <c r="K1911" s="455">
        <f t="shared" ca="1" si="136"/>
        <v>-1914059.0844858855</v>
      </c>
      <c r="L1911" s="455">
        <f t="shared" ca="1" si="137"/>
        <v>-461288239.36109835</v>
      </c>
      <c r="M1911" s="471">
        <f t="shared" si="139"/>
        <v>0.05</v>
      </c>
      <c r="N1911" s="475">
        <f t="shared" si="140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38"/>
        <v>-461288239.36109835</v>
      </c>
      <c r="J1912" s="455">
        <f t="array" ref="J1912">IFERROR(INDEX('Retirement Calculator'!J:J,MATCH('Isaac 401k'!N1912,'Retirement Calculator'!A:A,0),0),0)</f>
        <v>0</v>
      </c>
      <c r="K1912" s="455">
        <f t="shared" ca="1" si="136"/>
        <v>-1922034.3306712431</v>
      </c>
      <c r="L1912" s="455">
        <f t="shared" ca="1" si="137"/>
        <v>-463210273.6917696</v>
      </c>
      <c r="M1912" s="471">
        <f t="shared" si="139"/>
        <v>0.05</v>
      </c>
      <c r="N1912" s="475">
        <f t="shared" si="140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38"/>
        <v>-463210273.6917696</v>
      </c>
      <c r="J1913" s="455">
        <f t="array" ref="J1913">IFERROR(INDEX('Retirement Calculator'!J:J,MATCH('Isaac 401k'!N1913,'Retirement Calculator'!A:A,0),0),0)</f>
        <v>0</v>
      </c>
      <c r="K1913" s="455">
        <f t="shared" ca="1" si="136"/>
        <v>-1930042.80704904</v>
      </c>
      <c r="L1913" s="455">
        <f t="shared" ca="1" si="137"/>
        <v>-465140316.49881864</v>
      </c>
      <c r="M1913" s="471">
        <f t="shared" si="139"/>
        <v>0.05</v>
      </c>
      <c r="N1913" s="475">
        <f t="shared" si="140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38"/>
        <v>-465140316.49881864</v>
      </c>
      <c r="J1914" s="455">
        <f t="array" ref="J1914">IFERROR(INDEX('Retirement Calculator'!J:J,MATCH('Isaac 401k'!N1914,'Retirement Calculator'!A:A,0),0),0)</f>
        <v>0</v>
      </c>
      <c r="K1914" s="455">
        <f t="shared" ca="1" si="136"/>
        <v>-1938084.6520784108</v>
      </c>
      <c r="L1914" s="455">
        <f t="shared" ca="1" si="137"/>
        <v>-467078401.15089703</v>
      </c>
      <c r="M1914" s="471">
        <f t="shared" si="139"/>
        <v>0.05</v>
      </c>
      <c r="N1914" s="475">
        <f t="shared" si="140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38"/>
        <v>-467078401.15089703</v>
      </c>
      <c r="J1915" s="455">
        <f t="array" ref="J1915">IFERROR(INDEX('Retirement Calculator'!J:J,MATCH('Isaac 401k'!N1915,'Retirement Calculator'!A:A,0),0),0)</f>
        <v>0</v>
      </c>
      <c r="K1915" s="455">
        <f t="shared" ca="1" si="136"/>
        <v>-1946160.0047954042</v>
      </c>
      <c r="L1915" s="455">
        <f t="shared" ca="1" si="137"/>
        <v>-469024561.15569246</v>
      </c>
      <c r="M1915" s="471">
        <f t="shared" si="139"/>
        <v>0.05</v>
      </c>
      <c r="N1915" s="475">
        <f t="shared" si="140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38"/>
        <v>-469024561.15569246</v>
      </c>
      <c r="J1916" s="455">
        <f t="array" ref="J1916">IFERROR(INDEX('Retirement Calculator'!J:J,MATCH('Isaac 401k'!N1916,'Retirement Calculator'!A:A,0),0),0)</f>
        <v>0</v>
      </c>
      <c r="K1916" s="455">
        <f t="shared" ca="1" si="136"/>
        <v>-1954269.0048153852</v>
      </c>
      <c r="L1916" s="455">
        <f t="shared" ca="1" si="137"/>
        <v>-470978830.16050786</v>
      </c>
      <c r="M1916" s="471">
        <f t="shared" si="139"/>
        <v>0.05</v>
      </c>
      <c r="N1916" s="475">
        <f t="shared" si="140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38"/>
        <v>-470978830.16050786</v>
      </c>
      <c r="J1917" s="455">
        <f t="array" ref="J1917">IFERROR(INDEX('Retirement Calculator'!J:J,MATCH('Isaac 401k'!N1917,'Retirement Calculator'!A:A,0),0),0)</f>
        <v>0</v>
      </c>
      <c r="K1917" s="455">
        <f t="shared" ca="1" si="136"/>
        <v>-1962411.7923354495</v>
      </c>
      <c r="L1917" s="455">
        <f t="shared" ca="1" si="137"/>
        <v>-472941241.95284331</v>
      </c>
      <c r="M1917" s="471">
        <f t="shared" si="139"/>
        <v>0.05</v>
      </c>
      <c r="N1917" s="475">
        <f t="shared" si="140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38"/>
        <v>-472941241.95284331</v>
      </c>
      <c r="J1918" s="455">
        <f t="array" ref="J1918">IFERROR(INDEX('Retirement Calculator'!J:J,MATCH('Isaac 401k'!N1918,'Retirement Calculator'!A:A,0),0),0)</f>
        <v>0</v>
      </c>
      <c r="K1918" s="455">
        <f t="shared" ca="1" si="136"/>
        <v>-1970588.5081368471</v>
      </c>
      <c r="L1918" s="455">
        <f t="shared" ca="1" si="137"/>
        <v>-474911830.46098018</v>
      </c>
      <c r="M1918" s="471">
        <f t="shared" si="139"/>
        <v>0.05</v>
      </c>
      <c r="N1918" s="475">
        <f t="shared" si="140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38"/>
        <v>-474911830.46098018</v>
      </c>
      <c r="J1919" s="455">
        <f t="array" ref="J1919">IFERROR(INDEX('Retirement Calculator'!J:J,MATCH('Isaac 401k'!N1919,'Retirement Calculator'!A:A,0),0),0)</f>
        <v>0</v>
      </c>
      <c r="K1919" s="455">
        <f t="shared" ca="1" si="136"/>
        <v>-1978799.2935874173</v>
      </c>
      <c r="L1919" s="455">
        <f t="shared" ca="1" si="137"/>
        <v>-476890629.75456762</v>
      </c>
      <c r="M1919" s="471">
        <f t="shared" si="139"/>
        <v>0.05</v>
      </c>
      <c r="N1919" s="475">
        <f t="shared" si="140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38"/>
        <v>-476890629.75456762</v>
      </c>
      <c r="J1920" s="455">
        <f t="array" ref="J1920">IFERROR(INDEX('Retirement Calculator'!J:J,MATCH('Isaac 401k'!N1920,'Retirement Calculator'!A:A,0),0),0)</f>
        <v>0</v>
      </c>
      <c r="K1920" s="455">
        <f t="shared" ca="1" si="136"/>
        <v>-1987044.2906440315</v>
      </c>
      <c r="L1920" s="455">
        <f t="shared" ca="1" si="137"/>
        <v>-478877674.04521167</v>
      </c>
      <c r="M1920" s="471">
        <f t="shared" si="139"/>
        <v>0.05</v>
      </c>
      <c r="N1920" s="475">
        <f t="shared" si="140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38"/>
        <v>-478877674.04521167</v>
      </c>
      <c r="J1921" s="455">
        <f t="array" ref="J1921">IFERROR(INDEX('Retirement Calculator'!J:J,MATCH('Isaac 401k'!N1921,'Retirement Calculator'!A:A,0),0),0)</f>
        <v>0</v>
      </c>
      <c r="K1921" s="455">
        <f t="shared" ca="1" si="136"/>
        <v>-1995323.6418550487</v>
      </c>
      <c r="L1921" s="455">
        <f t="shared" ca="1" si="137"/>
        <v>-480872997.68706673</v>
      </c>
      <c r="M1921" s="471">
        <f t="shared" si="139"/>
        <v>0.05</v>
      </c>
      <c r="N1921" s="475">
        <f t="shared" si="140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38"/>
        <v>-480872997.68706673</v>
      </c>
      <c r="J1922" s="455">
        <f t="array" ref="J1922">IFERROR(INDEX('Retirement Calculator'!J:J,MATCH('Isaac 401k'!N1922,'Retirement Calculator'!A:A,0),0),0)</f>
        <v>0</v>
      </c>
      <c r="K1922" s="455">
        <f t="shared" ca="1" si="136"/>
        <v>-2003637.4903627781</v>
      </c>
      <c r="L1922" s="455">
        <f t="shared" ca="1" si="137"/>
        <v>-482876635.1774295</v>
      </c>
      <c r="M1922" s="471">
        <f t="shared" si="139"/>
        <v>0.05</v>
      </c>
      <c r="N1922" s="475">
        <f t="shared" si="140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38"/>
        <v>-482876635.1774295</v>
      </c>
      <c r="J1923" s="455">
        <f t="array" ref="J1923">IFERROR(INDEX('Retirement Calculator'!J:J,MATCH('Isaac 401k'!N1923,'Retirement Calculator'!A:A,0),0),0)</f>
        <v>0</v>
      </c>
      <c r="K1923" s="455">
        <f t="shared" ca="1" si="136"/>
        <v>-2011985.9799059562</v>
      </c>
      <c r="L1923" s="455">
        <f t="shared" ca="1" si="137"/>
        <v>-484888621.15733546</v>
      </c>
      <c r="M1923" s="471">
        <f t="shared" si="139"/>
        <v>0.05</v>
      </c>
      <c r="N1923" s="475">
        <f t="shared" si="140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38"/>
        <v>-484888621.15733546</v>
      </c>
      <c r="J1924" s="455">
        <f t="array" ref="J1924">IFERROR(INDEX('Retirement Calculator'!J:J,MATCH('Isaac 401k'!N1924,'Retirement Calculator'!A:A,0),0),0)</f>
        <v>0</v>
      </c>
      <c r="K1924" s="455">
        <f t="shared" ca="1" si="136"/>
        <v>-2020369.2548222311</v>
      </c>
      <c r="L1924" s="455">
        <f t="shared" ca="1" si="137"/>
        <v>-486908990.41215771</v>
      </c>
      <c r="M1924" s="471">
        <f t="shared" si="139"/>
        <v>0.05</v>
      </c>
      <c r="N1924" s="475">
        <f t="shared" si="140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38"/>
        <v>-486908990.41215771</v>
      </c>
      <c r="J1925" s="455">
        <f t="array" ref="J1925">IFERROR(INDEX('Retirement Calculator'!J:J,MATCH('Isaac 401k'!N1925,'Retirement Calculator'!A:A,0),0),0)</f>
        <v>0</v>
      </c>
      <c r="K1925" s="455">
        <f t="shared" ca="1" si="136"/>
        <v>-2028787.4600506572</v>
      </c>
      <c r="L1925" s="455">
        <f t="shared" ca="1" si="137"/>
        <v>-488937777.87220836</v>
      </c>
      <c r="M1925" s="471">
        <f t="shared" si="139"/>
        <v>0.05</v>
      </c>
      <c r="N1925" s="475">
        <f t="shared" si="140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38"/>
        <v>-488937777.87220836</v>
      </c>
      <c r="J1926" s="455">
        <f t="array" ref="J1926">IFERROR(INDEX('Retirement Calculator'!J:J,MATCH('Isaac 401k'!N1926,'Retirement Calculator'!A:A,0),0),0)</f>
        <v>0</v>
      </c>
      <c r="K1926" s="455">
        <f t="shared" ca="1" si="136"/>
        <v>-2037240.7411342012</v>
      </c>
      <c r="L1926" s="455">
        <f t="shared" ca="1" si="137"/>
        <v>-490975018.61334258</v>
      </c>
      <c r="M1926" s="471">
        <f t="shared" si="139"/>
        <v>0.05</v>
      </c>
      <c r="N1926" s="475">
        <f t="shared" si="140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38"/>
        <v>-490975018.61334258</v>
      </c>
      <c r="J1927" s="455">
        <f t="array" ref="J1927">IFERROR(INDEX('Retirement Calculator'!J:J,MATCH('Isaac 401k'!N1927,'Retirement Calculator'!A:A,0),0),0)</f>
        <v>0</v>
      </c>
      <c r="K1927" s="455">
        <f t="shared" ca="1" si="136"/>
        <v>-2045729.2442222608</v>
      </c>
      <c r="L1927" s="455">
        <f t="shared" ca="1" si="137"/>
        <v>-493020747.85756487</v>
      </c>
      <c r="M1927" s="471">
        <f t="shared" si="139"/>
        <v>0.05</v>
      </c>
      <c r="N1927" s="475">
        <f t="shared" si="140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38"/>
        <v>-493020747.85756487</v>
      </c>
      <c r="J1928" s="455">
        <f t="array" ref="J1928">IFERROR(INDEX('Retirement Calculator'!J:J,MATCH('Isaac 401k'!N1928,'Retirement Calculator'!A:A,0),0),0)</f>
        <v>0</v>
      </c>
      <c r="K1928" s="455">
        <f t="shared" ca="1" si="136"/>
        <v>-2054253.116073187</v>
      </c>
      <c r="L1928" s="455">
        <f t="shared" ca="1" si="137"/>
        <v>-495075000.97363806</v>
      </c>
      <c r="M1928" s="471">
        <f t="shared" si="139"/>
        <v>0.05</v>
      </c>
      <c r="N1928" s="475">
        <f t="shared" si="140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38"/>
        <v>-495075000.97363806</v>
      </c>
      <c r="J1929" s="455">
        <f t="array" ref="J1929">IFERROR(INDEX('Retirement Calculator'!J:J,MATCH('Isaac 401k'!N1929,'Retirement Calculator'!A:A,0),0),0)</f>
        <v>0</v>
      </c>
      <c r="K1929" s="455">
        <f t="shared" ca="1" si="136"/>
        <v>-2062812.5040568253</v>
      </c>
      <c r="L1929" s="455">
        <f t="shared" ca="1" si="137"/>
        <v>-497137813.47769487</v>
      </c>
      <c r="M1929" s="471">
        <f t="shared" si="139"/>
        <v>0.05</v>
      </c>
      <c r="N1929" s="475">
        <f t="shared" si="140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38"/>
        <v>-497137813.47769487</v>
      </c>
      <c r="J1930" s="455">
        <f t="array" ref="J1930">IFERROR(INDEX('Retirement Calculator'!J:J,MATCH('Isaac 401k'!N1930,'Retirement Calculator'!A:A,0),0),0)</f>
        <v>0</v>
      </c>
      <c r="K1930" s="455">
        <f t="shared" ca="1" si="136"/>
        <v>-2071407.5561570618</v>
      </c>
      <c r="L1930" s="455">
        <f t="shared" ca="1" si="137"/>
        <v>-499209221.03385192</v>
      </c>
      <c r="M1930" s="471">
        <f t="shared" si="139"/>
        <v>0.05</v>
      </c>
      <c r="N1930" s="475">
        <f t="shared" si="140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38"/>
        <v>-499209221.03385192</v>
      </c>
      <c r="J1931" s="455">
        <f t="array" ref="J1931">IFERROR(INDEX('Retirement Calculator'!J:J,MATCH('Isaac 401k'!N1931,'Retirement Calculator'!A:A,0),0),0)</f>
        <v>0</v>
      </c>
      <c r="K1931" s="455">
        <f t="shared" ca="1" si="136"/>
        <v>-2080038.4209743829</v>
      </c>
      <c r="L1931" s="455">
        <f t="shared" ca="1" si="137"/>
        <v>-501289259.4548263</v>
      </c>
      <c r="M1931" s="471">
        <f t="shared" si="139"/>
        <v>0.05</v>
      </c>
      <c r="N1931" s="475">
        <f t="shared" si="140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38"/>
        <v>-501289259.4548263</v>
      </c>
      <c r="J1932" s="455">
        <f t="array" ref="J1932">IFERROR(INDEX('Retirement Calculator'!J:J,MATCH('Isaac 401k'!N1932,'Retirement Calculator'!A:A,0),0),0)</f>
        <v>0</v>
      </c>
      <c r="K1932" s="455">
        <f t="shared" ca="1" si="136"/>
        <v>-2088705.2477284428</v>
      </c>
      <c r="L1932" s="455">
        <f t="shared" ca="1" si="137"/>
        <v>-503377964.70255476</v>
      </c>
      <c r="M1932" s="471">
        <f t="shared" si="139"/>
        <v>0.05</v>
      </c>
      <c r="N1932" s="475">
        <f t="shared" si="140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38"/>
        <v>-503377964.70255476</v>
      </c>
      <c r="J1933" s="455">
        <f t="array" ref="J1933">IFERROR(INDEX('Retirement Calculator'!J:J,MATCH('Isaac 401k'!N1933,'Retirement Calculator'!A:A,0),0),0)</f>
        <v>0</v>
      </c>
      <c r="K1933" s="455">
        <f t="shared" ca="1" si="136"/>
        <v>-2097408.1862606448</v>
      </c>
      <c r="L1933" s="455">
        <f t="shared" ca="1" si="137"/>
        <v>-505475372.8888154</v>
      </c>
      <c r="M1933" s="471">
        <f t="shared" si="139"/>
        <v>0.05</v>
      </c>
      <c r="N1933" s="475">
        <f t="shared" si="140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38"/>
        <v>-505475372.8888154</v>
      </c>
      <c r="J1934" s="455">
        <f t="array" ref="J1934">IFERROR(INDEX('Retirement Calculator'!J:J,MATCH('Isaac 401k'!N1934,'Retirement Calculator'!A:A,0),0),0)</f>
        <v>0</v>
      </c>
      <c r="K1934" s="455">
        <f t="shared" ca="1" si="136"/>
        <v>-2106147.387036731</v>
      </c>
      <c r="L1934" s="455">
        <f t="shared" ca="1" si="137"/>
        <v>-507581520.27585214</v>
      </c>
      <c r="M1934" s="471">
        <f t="shared" si="139"/>
        <v>0.05</v>
      </c>
      <c r="N1934" s="475">
        <f t="shared" si="140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38"/>
        <v>-507581520.27585214</v>
      </c>
      <c r="J1935" s="455">
        <f t="array" ref="J1935">IFERROR(INDEX('Retirement Calculator'!J:J,MATCH('Isaac 401k'!N1935,'Retirement Calculator'!A:A,0),0),0)</f>
        <v>0</v>
      </c>
      <c r="K1935" s="455">
        <f t="shared" ca="1" si="136"/>
        <v>-2114923.0011493838</v>
      </c>
      <c r="L1935" s="455">
        <f t="shared" ca="1" si="137"/>
        <v>-509696443.2770015</v>
      </c>
      <c r="M1935" s="471">
        <f t="shared" si="139"/>
        <v>0.05</v>
      </c>
      <c r="N1935" s="475">
        <f t="shared" si="140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38"/>
        <v>-509696443.2770015</v>
      </c>
      <c r="J1936" s="455">
        <f t="array" ref="J1936">IFERROR(INDEX('Retirement Calculator'!J:J,MATCH('Isaac 401k'!N1936,'Retirement Calculator'!A:A,0),0),0)</f>
        <v>0</v>
      </c>
      <c r="K1936" s="455">
        <f t="shared" ca="1" si="136"/>
        <v>-2123735.1803208394</v>
      </c>
      <c r="L1936" s="455">
        <f t="shared" ca="1" si="137"/>
        <v>-511820178.45732236</v>
      </c>
      <c r="M1936" s="471">
        <f t="shared" si="139"/>
        <v>0.05</v>
      </c>
      <c r="N1936" s="475">
        <f t="shared" si="140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38"/>
        <v>-511820178.45732236</v>
      </c>
      <c r="J1937" s="455">
        <f t="array" ref="J1937">IFERROR(INDEX('Retirement Calculator'!J:J,MATCH('Isaac 401k'!N1937,'Retirement Calculator'!A:A,0),0),0)</f>
        <v>0</v>
      </c>
      <c r="K1937" s="455">
        <f t="shared" ca="1" si="136"/>
        <v>-2132584.0769055099</v>
      </c>
      <c r="L1937" s="455">
        <f t="shared" ca="1" si="137"/>
        <v>-513952762.53422785</v>
      </c>
      <c r="M1937" s="471">
        <f t="shared" si="139"/>
        <v>0.05</v>
      </c>
      <c r="N1937" s="475">
        <f t="shared" si="140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38"/>
        <v>-513952762.53422785</v>
      </c>
      <c r="J1938" s="455">
        <f t="array" ref="J1938">IFERROR(INDEX('Retirement Calculator'!J:J,MATCH('Isaac 401k'!N1938,'Retirement Calculator'!A:A,0),0),0)</f>
        <v>0</v>
      </c>
      <c r="K1938" s="455">
        <f t="shared" ca="1" si="136"/>
        <v>-2141469.8438926162</v>
      </c>
      <c r="L1938" s="455">
        <f t="shared" ca="1" si="137"/>
        <v>-516094232.37812048</v>
      </c>
      <c r="M1938" s="471">
        <f t="shared" si="139"/>
        <v>0.05</v>
      </c>
      <c r="N1938" s="475">
        <f t="shared" si="140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38"/>
        <v>-516094232.37812048</v>
      </c>
      <c r="J1939" s="455">
        <f t="array" ref="J1939">IFERROR(INDEX('Retirement Calculator'!J:J,MATCH('Isaac 401k'!N1939,'Retirement Calculator'!A:A,0),0),0)</f>
        <v>0</v>
      </c>
      <c r="K1939" s="455">
        <f t="shared" ca="1" si="136"/>
        <v>-2150392.6349088354</v>
      </c>
      <c r="L1939" s="455">
        <f t="shared" ca="1" si="137"/>
        <v>-518244625.01302934</v>
      </c>
      <c r="M1939" s="471">
        <f t="shared" si="139"/>
        <v>0.05</v>
      </c>
      <c r="N1939" s="475">
        <f t="shared" si="140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38"/>
        <v>-518244625.01302934</v>
      </c>
      <c r="J1940" s="455">
        <f t="array" ref="J1940">IFERROR(INDEX('Retirement Calculator'!J:J,MATCH('Isaac 401k'!N1940,'Retirement Calculator'!A:A,0),0),0)</f>
        <v>0</v>
      </c>
      <c r="K1940" s="455">
        <f t="shared" ca="1" si="136"/>
        <v>-2159352.6042209556</v>
      </c>
      <c r="L1940" s="455">
        <f t="shared" ca="1" si="137"/>
        <v>-520403977.61725026</v>
      </c>
      <c r="M1940" s="471">
        <f t="shared" si="139"/>
        <v>0.05</v>
      </c>
      <c r="N1940" s="475">
        <f t="shared" si="140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38"/>
        <v>-520403977.61725026</v>
      </c>
      <c r="J1941" s="455">
        <f t="array" ref="J1941">IFERROR(INDEX('Retirement Calculator'!J:J,MATCH('Isaac 401k'!N1941,'Retirement Calculator'!A:A,0),0),0)</f>
        <v>0</v>
      </c>
      <c r="K1941" s="455">
        <f t="shared" ca="1" si="136"/>
        <v>-2168349.906738543</v>
      </c>
      <c r="L1941" s="455">
        <f t="shared" ca="1" si="137"/>
        <v>-522572327.52398878</v>
      </c>
      <c r="M1941" s="471">
        <f t="shared" si="139"/>
        <v>0.05</v>
      </c>
      <c r="N1941" s="475">
        <f t="shared" si="140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38"/>
        <v>-522572327.52398878</v>
      </c>
      <c r="J1942" s="455">
        <f t="array" ref="J1942">IFERROR(INDEX('Retirement Calculator'!J:J,MATCH('Isaac 401k'!N1942,'Retirement Calculator'!A:A,0),0),0)</f>
        <v>0</v>
      </c>
      <c r="K1942" s="455">
        <f t="shared" ca="1" si="136"/>
        <v>-2177384.6980166198</v>
      </c>
      <c r="L1942" s="455">
        <f t="shared" ca="1" si="137"/>
        <v>-524749712.22200543</v>
      </c>
      <c r="M1942" s="471">
        <f t="shared" si="139"/>
        <v>0.05</v>
      </c>
      <c r="N1942" s="475">
        <f t="shared" si="140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38"/>
        <v>-524749712.22200543</v>
      </c>
      <c r="J1943" s="455">
        <f t="array" ref="J1943">IFERROR(INDEX('Retirement Calculator'!J:J,MATCH('Isaac 401k'!N1943,'Retirement Calculator'!A:A,0),0),0)</f>
        <v>0</v>
      </c>
      <c r="K1943" s="455">
        <f t="shared" ca="1" si="136"/>
        <v>-2186457.1342583559</v>
      </c>
      <c r="L1943" s="455">
        <f t="shared" ca="1" si="137"/>
        <v>-526936169.35626376</v>
      </c>
      <c r="M1943" s="471">
        <f t="shared" si="139"/>
        <v>0.05</v>
      </c>
      <c r="N1943" s="475">
        <f t="shared" si="140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38"/>
        <v>-526936169.35626376</v>
      </c>
      <c r="J1944" s="455">
        <f t="array" ref="J1944">IFERROR(INDEX('Retirement Calculator'!J:J,MATCH('Isaac 401k'!N1944,'Retirement Calculator'!A:A,0),0),0)</f>
        <v>0</v>
      </c>
      <c r="K1944" s="455">
        <f t="shared" ca="1" si="136"/>
        <v>-2195567.3723177658</v>
      </c>
      <c r="L1944" s="455">
        <f t="shared" ca="1" si="137"/>
        <v>-529131736.72858155</v>
      </c>
      <c r="M1944" s="471">
        <f t="shared" si="139"/>
        <v>0.05</v>
      </c>
      <c r="N1944" s="475">
        <f t="shared" si="140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38"/>
        <v>-529131736.72858155</v>
      </c>
      <c r="J1945" s="455">
        <f t="array" ref="J1945">IFERROR(INDEX('Retirement Calculator'!J:J,MATCH('Isaac 401k'!N1945,'Retirement Calculator'!A:A,0),0),0)</f>
        <v>0</v>
      </c>
      <c r="K1945" s="455">
        <f t="shared" ca="1" si="136"/>
        <v>-2204715.5697024232</v>
      </c>
      <c r="L1945" s="455">
        <f t="shared" ca="1" si="137"/>
        <v>-531336452.29828399</v>
      </c>
      <c r="M1945" s="471">
        <f t="shared" si="139"/>
        <v>0.05</v>
      </c>
      <c r="N1945" s="475">
        <f t="shared" si="140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38"/>
        <v>-531336452.29828399</v>
      </c>
      <c r="J1946" s="455">
        <f t="array" ref="J1946">IFERROR(INDEX('Retirement Calculator'!J:J,MATCH('Isaac 401k'!N1946,'Retirement Calculator'!A:A,0),0),0)</f>
        <v>0</v>
      </c>
      <c r="K1946" s="455">
        <f t="shared" ca="1" si="136"/>
        <v>-2213901.8845761837</v>
      </c>
      <c r="L1946" s="455">
        <f t="shared" ca="1" si="137"/>
        <v>-533550354.1828602</v>
      </c>
      <c r="M1946" s="471">
        <f t="shared" si="139"/>
        <v>0.05</v>
      </c>
      <c r="N1946" s="475">
        <f t="shared" si="140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38"/>
        <v>-533550354.1828602</v>
      </c>
      <c r="J1947" s="455">
        <f t="array" ref="J1947">IFERROR(INDEX('Retirement Calculator'!J:J,MATCH('Isaac 401k'!N1947,'Retirement Calculator'!A:A,0),0),0)</f>
        <v>0</v>
      </c>
      <c r="K1947" s="455">
        <f t="shared" ca="1" si="136"/>
        <v>-2223126.4757619174</v>
      </c>
      <c r="L1947" s="455">
        <f t="shared" ca="1" si="137"/>
        <v>-535773480.65862209</v>
      </c>
      <c r="M1947" s="471">
        <f t="shared" si="139"/>
        <v>0.05</v>
      </c>
      <c r="N1947" s="475">
        <f t="shared" si="140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38"/>
        <v>-535773480.65862209</v>
      </c>
      <c r="J1948" s="455">
        <f t="array" ref="J1948">IFERROR(INDEX('Retirement Calculator'!J:J,MATCH('Isaac 401k'!N1948,'Retirement Calculator'!A:A,0),0),0)</f>
        <v>0</v>
      </c>
      <c r="K1948" s="455">
        <f t="shared" ca="1" si="136"/>
        <v>-2232389.5027442588</v>
      </c>
      <c r="L1948" s="455">
        <f t="shared" ca="1" si="137"/>
        <v>-538005870.16136634</v>
      </c>
      <c r="M1948" s="471">
        <f t="shared" si="139"/>
        <v>0.05</v>
      </c>
      <c r="N1948" s="475">
        <f t="shared" si="140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38"/>
        <v>-538005870.16136634</v>
      </c>
      <c r="J1949" s="455">
        <f t="array" ref="J1949">IFERROR(INDEX('Retirement Calculator'!J:J,MATCH('Isaac 401k'!N1949,'Retirement Calculator'!A:A,0),0),0)</f>
        <v>0</v>
      </c>
      <c r="K1949" s="455">
        <f t="shared" ca="1" si="136"/>
        <v>-2241691.12567236</v>
      </c>
      <c r="L1949" s="455">
        <f t="shared" ca="1" si="137"/>
        <v>-540247561.28703868</v>
      </c>
      <c r="M1949" s="471">
        <f t="shared" si="139"/>
        <v>0.05</v>
      </c>
      <c r="N1949" s="475">
        <f t="shared" si="140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38"/>
        <v>-540247561.28703868</v>
      </c>
      <c r="J1950" s="455">
        <f t="array" ref="J1950">IFERROR(INDEX('Retirement Calculator'!J:J,MATCH('Isaac 401k'!N1950,'Retirement Calculator'!A:A,0),0),0)</f>
        <v>0</v>
      </c>
      <c r="K1950" s="455">
        <f t="shared" ca="1" si="136"/>
        <v>-2251031.5053626611</v>
      </c>
      <c r="L1950" s="455">
        <f t="shared" ca="1" si="137"/>
        <v>-542498592.79240131</v>
      </c>
      <c r="M1950" s="471">
        <f t="shared" si="139"/>
        <v>0.05</v>
      </c>
      <c r="N1950" s="475">
        <f t="shared" si="140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38"/>
        <v>-542498592.79240131</v>
      </c>
      <c r="J1951" s="455">
        <f t="array" ref="J1951">IFERROR(INDEX('Retirement Calculator'!J:J,MATCH('Isaac 401k'!N1951,'Retirement Calculator'!A:A,0),0),0)</f>
        <v>0</v>
      </c>
      <c r="K1951" s="455">
        <f t="shared" ca="1" si="136"/>
        <v>-2260410.803301672</v>
      </c>
      <c r="L1951" s="455">
        <f t="shared" ca="1" si="137"/>
        <v>-544759003.59570301</v>
      </c>
      <c r="M1951" s="471">
        <f t="shared" si="139"/>
        <v>0.05</v>
      </c>
      <c r="N1951" s="475">
        <f t="shared" si="140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38"/>
        <v>-544759003.59570301</v>
      </c>
      <c r="J1952" s="455">
        <f t="array" ref="J1952">IFERROR(INDEX('Retirement Calculator'!J:J,MATCH('Isaac 401k'!N1952,'Retirement Calculator'!A:A,0),0),0)</f>
        <v>0</v>
      </c>
      <c r="K1952" s="455">
        <f t="shared" ca="1" si="136"/>
        <v>-2269829.1816487624</v>
      </c>
      <c r="L1952" s="455">
        <f t="shared" ca="1" si="137"/>
        <v>-547028832.77735174</v>
      </c>
      <c r="M1952" s="471">
        <f t="shared" si="139"/>
        <v>0.05</v>
      </c>
      <c r="N1952" s="475">
        <f t="shared" si="140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38"/>
        <v>-547028832.77735174</v>
      </c>
      <c r="J1953" s="455">
        <f t="array" ref="J1953">IFERROR(INDEX('Retirement Calculator'!J:J,MATCH('Isaac 401k'!N1953,'Retirement Calculator'!A:A,0),0),0)</f>
        <v>0</v>
      </c>
      <c r="K1953" s="455">
        <f t="shared" ca="1" si="136"/>
        <v>-2279286.8032389656</v>
      </c>
      <c r="L1953" s="455">
        <f t="shared" ca="1" si="137"/>
        <v>-549308119.58059072</v>
      </c>
      <c r="M1953" s="471">
        <f t="shared" si="139"/>
        <v>0.05</v>
      </c>
      <c r="N1953" s="475">
        <f t="shared" si="140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38"/>
        <v>-549308119.58059072</v>
      </c>
      <c r="J1954" s="455">
        <f t="array" ref="J1954">IFERROR(INDEX('Retirement Calculator'!J:J,MATCH('Isaac 401k'!N1954,'Retirement Calculator'!A:A,0),0),0)</f>
        <v>0</v>
      </c>
      <c r="K1954" s="455">
        <f t="shared" ca="1" si="136"/>
        <v>-2288783.8315857947</v>
      </c>
      <c r="L1954" s="455">
        <f t="shared" ca="1" si="137"/>
        <v>-551596903.41217649</v>
      </c>
      <c r="M1954" s="471">
        <f t="shared" si="139"/>
        <v>0.05</v>
      </c>
      <c r="N1954" s="475">
        <f t="shared" si="140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38"/>
        <v>-551596903.41217649</v>
      </c>
      <c r="J1955" s="455">
        <f t="array" ref="J1955">IFERROR(INDEX('Retirement Calculator'!J:J,MATCH('Isaac 401k'!N1955,'Retirement Calculator'!A:A,0),0),0)</f>
        <v>0</v>
      </c>
      <c r="K1955" s="455">
        <f t="shared" ca="1" si="136"/>
        <v>-2298320.4308840688</v>
      </c>
      <c r="L1955" s="455">
        <f t="shared" ca="1" si="137"/>
        <v>-553895223.84306061</v>
      </c>
      <c r="M1955" s="471">
        <f t="shared" si="139"/>
        <v>0.05</v>
      </c>
      <c r="N1955" s="475">
        <f t="shared" si="140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38"/>
        <v>-553895223.84306061</v>
      </c>
      <c r="J1956" s="455">
        <f t="array" ref="J1956">IFERROR(INDEX('Retirement Calculator'!J:J,MATCH('Isaac 401k'!N1956,'Retirement Calculator'!A:A,0),0),0)</f>
        <v>0</v>
      </c>
      <c r="K1956" s="455">
        <f t="shared" ca="1" si="136"/>
        <v>-2307896.7660127524</v>
      </c>
      <c r="L1956" s="455">
        <f t="shared" ca="1" si="137"/>
        <v>-556203120.6090734</v>
      </c>
      <c r="M1956" s="471">
        <f t="shared" si="139"/>
        <v>0.05</v>
      </c>
      <c r="N1956" s="475">
        <f t="shared" si="140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38"/>
        <v>-556203120.6090734</v>
      </c>
      <c r="J1957" s="455">
        <f t="array" ref="J1957">IFERROR(INDEX('Retirement Calculator'!J:J,MATCH('Isaac 401k'!N1957,'Retirement Calculator'!A:A,0),0),0)</f>
        <v>0</v>
      </c>
      <c r="K1957" s="455">
        <f t="shared" ca="1" si="136"/>
        <v>-2317513.0025378056</v>
      </c>
      <c r="L1957" s="455">
        <f t="shared" ca="1" si="137"/>
        <v>-558520633.61161125</v>
      </c>
      <c r="M1957" s="471">
        <f t="shared" si="139"/>
        <v>0.05</v>
      </c>
      <c r="N1957" s="475">
        <f t="shared" si="140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38"/>
        <v>-558520633.61161125</v>
      </c>
      <c r="J1958" s="455">
        <f t="array" ref="J1958">IFERROR(INDEX('Retirement Calculator'!J:J,MATCH('Isaac 401k'!N1958,'Retirement Calculator'!A:A,0),0),0)</f>
        <v>0</v>
      </c>
      <c r="K1958" s="455">
        <f t="shared" ca="1" si="136"/>
        <v>-2327169.306715047</v>
      </c>
      <c r="L1958" s="455">
        <f t="shared" ca="1" si="137"/>
        <v>-560847802.91832626</v>
      </c>
      <c r="M1958" s="471">
        <f t="shared" si="139"/>
        <v>0.05</v>
      </c>
      <c r="N1958" s="475">
        <f t="shared" si="140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38"/>
        <v>-560847802.91832626</v>
      </c>
      <c r="J1959" s="455">
        <f t="array" ref="J1959">IFERROR(INDEX('Retirement Calculator'!J:J,MATCH('Isaac 401k'!N1959,'Retirement Calculator'!A:A,0),0),0)</f>
        <v>0</v>
      </c>
      <c r="K1959" s="455">
        <f t="shared" ca="1" si="136"/>
        <v>-2336865.8454930261</v>
      </c>
      <c r="L1959" s="455">
        <f t="shared" ca="1" si="137"/>
        <v>-563184668.76381934</v>
      </c>
      <c r="M1959" s="471">
        <f t="shared" si="139"/>
        <v>0.05</v>
      </c>
      <c r="N1959" s="475">
        <f t="shared" si="140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38"/>
        <v>-563184668.76381934</v>
      </c>
      <c r="J1960" s="455">
        <f t="array" ref="J1960">IFERROR(INDEX('Retirement Calculator'!J:J,MATCH('Isaac 401k'!N1960,'Retirement Calculator'!A:A,0),0),0)</f>
        <v>0</v>
      </c>
      <c r="K1960" s="455">
        <f t="shared" ca="1" si="136"/>
        <v>-2346602.7865159139</v>
      </c>
      <c r="L1960" s="455">
        <f t="shared" ca="1" si="137"/>
        <v>-565531271.55033529</v>
      </c>
      <c r="M1960" s="471">
        <f t="shared" si="139"/>
        <v>0.05</v>
      </c>
      <c r="N1960" s="475">
        <f t="shared" si="140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38"/>
        <v>-565531271.55033529</v>
      </c>
      <c r="J1961" s="455">
        <f t="array" ref="J1961">IFERROR(INDEX('Retirement Calculator'!J:J,MATCH('Isaac 401k'!N1961,'Retirement Calculator'!A:A,0),0),0)</f>
        <v>0</v>
      </c>
      <c r="K1961" s="455">
        <f t="shared" ca="1" si="136"/>
        <v>-2356380.2981263972</v>
      </c>
      <c r="L1961" s="455">
        <f t="shared" ca="1" si="137"/>
        <v>-567887651.84846163</v>
      </c>
      <c r="M1961" s="471">
        <f t="shared" si="139"/>
        <v>0.05</v>
      </c>
      <c r="N1961" s="475">
        <f t="shared" si="140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38"/>
        <v>-567887651.84846163</v>
      </c>
      <c r="J1962" s="455">
        <f t="array" ref="J1962">IFERROR(INDEX('Retirement Calculator'!J:J,MATCH('Isaac 401k'!N1962,'Retirement Calculator'!A:A,0),0),0)</f>
        <v>0</v>
      </c>
      <c r="K1962" s="455">
        <f t="shared" ca="1" si="136"/>
        <v>-2366198.5493685901</v>
      </c>
      <c r="L1962" s="455">
        <f t="shared" ca="1" si="137"/>
        <v>-570253850.39783025</v>
      </c>
      <c r="M1962" s="471">
        <f t="shared" si="139"/>
        <v>0.05</v>
      </c>
      <c r="N1962" s="475">
        <f t="shared" si="140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38"/>
        <v>-570253850.39783025</v>
      </c>
      <c r="J1963" s="455">
        <f t="array" ref="J1963">IFERROR(INDEX('Retirement Calculator'!J:J,MATCH('Isaac 401k'!N1963,'Retirement Calculator'!A:A,0),0),0)</f>
        <v>0</v>
      </c>
      <c r="K1963" s="455">
        <f t="shared" ca="1" si="136"/>
        <v>-2376057.7099909591</v>
      </c>
      <c r="L1963" s="455">
        <f t="shared" ca="1" si="137"/>
        <v>-572629908.10782123</v>
      </c>
      <c r="M1963" s="471">
        <f t="shared" si="139"/>
        <v>0.05</v>
      </c>
      <c r="N1963" s="475">
        <f t="shared" si="140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38"/>
        <v>-572629908.10782123</v>
      </c>
      <c r="J1964" s="455">
        <f t="array" ref="J1964">IFERROR(INDEX('Retirement Calculator'!J:J,MATCH('Isaac 401k'!N1964,'Retirement Calculator'!A:A,0),0),0)</f>
        <v>0</v>
      </c>
      <c r="K1964" s="455">
        <f t="shared" ca="1" si="136"/>
        <v>-2385957.9504492553</v>
      </c>
      <c r="L1964" s="455">
        <f t="shared" ca="1" si="137"/>
        <v>-575015866.05827045</v>
      </c>
      <c r="M1964" s="471">
        <f t="shared" si="139"/>
        <v>0.05</v>
      </c>
      <c r="N1964" s="475">
        <f t="shared" si="140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38"/>
        <v>-575015866.05827045</v>
      </c>
      <c r="J1965" s="455">
        <f t="array" ref="J1965">IFERROR(INDEX('Retirement Calculator'!J:J,MATCH('Isaac 401k'!N1965,'Retirement Calculator'!A:A,0),0),0)</f>
        <v>0</v>
      </c>
      <c r="K1965" s="455">
        <f t="shared" ca="1" si="136"/>
        <v>-2395899.4419094604</v>
      </c>
      <c r="L1965" s="455">
        <f t="shared" ca="1" si="137"/>
        <v>-577411765.50017989</v>
      </c>
      <c r="M1965" s="471">
        <f t="shared" si="139"/>
        <v>0.05</v>
      </c>
      <c r="N1965" s="475">
        <f t="shared" si="140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38"/>
        <v>-577411765.50017989</v>
      </c>
      <c r="J1966" s="455">
        <f t="array" ref="J1966">IFERROR(INDEX('Retirement Calculator'!J:J,MATCH('Isaac 401k'!N1966,'Retirement Calculator'!A:A,0),0),0)</f>
        <v>0</v>
      </c>
      <c r="K1966" s="455">
        <f t="shared" ca="1" si="136"/>
        <v>-2405882.3562507494</v>
      </c>
      <c r="L1966" s="455">
        <f t="shared" ca="1" si="137"/>
        <v>-579817647.85643065</v>
      </c>
      <c r="M1966" s="471">
        <f t="shared" si="139"/>
        <v>0.05</v>
      </c>
      <c r="N1966" s="475">
        <f t="shared" si="140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38"/>
        <v>-579817647.85643065</v>
      </c>
      <c r="J1967" s="455">
        <f t="array" ref="J1967">IFERROR(INDEX('Retirement Calculator'!J:J,MATCH('Isaac 401k'!N1967,'Retirement Calculator'!A:A,0),0),0)</f>
        <v>0</v>
      </c>
      <c r="K1967" s="455">
        <f t="shared" ca="1" si="136"/>
        <v>-2415906.866068461</v>
      </c>
      <c r="L1967" s="455">
        <f t="shared" ca="1" si="137"/>
        <v>-582233554.72249913</v>
      </c>
      <c r="M1967" s="471">
        <f t="shared" si="139"/>
        <v>0.05</v>
      </c>
      <c r="N1967" s="475">
        <f t="shared" si="140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38"/>
        <v>-582233554.72249913</v>
      </c>
      <c r="J1968" s="455">
        <f t="array" ref="J1968">IFERROR(INDEX('Retirement Calculator'!J:J,MATCH('Isaac 401k'!N1968,'Retirement Calculator'!A:A,0),0),0)</f>
        <v>0</v>
      </c>
      <c r="K1968" s="455">
        <f t="shared" ca="1" si="136"/>
        <v>-2425973.1446770797</v>
      </c>
      <c r="L1968" s="455">
        <f t="shared" ca="1" si="137"/>
        <v>-584659527.86717618</v>
      </c>
      <c r="M1968" s="471">
        <f t="shared" si="139"/>
        <v>0.05</v>
      </c>
      <c r="N1968" s="475">
        <f t="shared" si="140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38"/>
        <v>-584659527.86717618</v>
      </c>
      <c r="J1969" s="455">
        <f t="array" ref="J1969">IFERROR(INDEX('Retirement Calculator'!J:J,MATCH('Isaac 401k'!N1969,'Retirement Calculator'!A:A,0),0),0)</f>
        <v>0</v>
      </c>
      <c r="K1969" s="455">
        <f t="shared" ca="1" si="136"/>
        <v>-2436081.3661132338</v>
      </c>
      <c r="L1969" s="455">
        <f t="shared" ca="1" si="137"/>
        <v>-587095609.23328936</v>
      </c>
      <c r="M1969" s="471">
        <f t="shared" si="139"/>
        <v>0.05</v>
      </c>
      <c r="N1969" s="475">
        <f t="shared" si="140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38"/>
        <v>-587095609.23328936</v>
      </c>
      <c r="J1970" s="455">
        <f t="array" ref="J1970">IFERROR(INDEX('Retirement Calculator'!J:J,MATCH('Isaac 401k'!N1970,'Retirement Calculator'!A:A,0),0),0)</f>
        <v>0</v>
      </c>
      <c r="K1970" s="455">
        <f t="shared" ca="1" si="136"/>
        <v>-2446231.7051387057</v>
      </c>
      <c r="L1970" s="455">
        <f t="shared" ca="1" si="137"/>
        <v>-589541840.93842804</v>
      </c>
      <c r="M1970" s="471">
        <f t="shared" si="139"/>
        <v>0.05</v>
      </c>
      <c r="N1970" s="475">
        <f t="shared" si="140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38"/>
        <v>-589541840.93842804</v>
      </c>
      <c r="J1971" s="455">
        <f t="array" ref="J1971">IFERROR(INDEX('Retirement Calculator'!J:J,MATCH('Isaac 401k'!N1971,'Retirement Calculator'!A:A,0),0),0)</f>
        <v>0</v>
      </c>
      <c r="K1971" s="455">
        <f t="shared" ca="1" si="136"/>
        <v>-2456424.3372434503</v>
      </c>
      <c r="L1971" s="455">
        <f t="shared" ca="1" si="137"/>
        <v>-591998265.27567148</v>
      </c>
      <c r="M1971" s="471">
        <f t="shared" si="139"/>
        <v>0.05</v>
      </c>
      <c r="N1971" s="475">
        <f t="shared" si="140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38"/>
        <v>-591998265.27567148</v>
      </c>
      <c r="J1972" s="455">
        <f t="array" ref="J1972">IFERROR(INDEX('Retirement Calculator'!J:J,MATCH('Isaac 401k'!N1972,'Retirement Calculator'!A:A,0),0),0)</f>
        <v>0</v>
      </c>
      <c r="K1972" s="455">
        <f t="shared" ca="1" si="136"/>
        <v>-2466659.4386486313</v>
      </c>
      <c r="L1972" s="455">
        <f t="shared" ca="1" si="137"/>
        <v>-594464924.71432006</v>
      </c>
      <c r="M1972" s="471">
        <f t="shared" si="139"/>
        <v>0.05</v>
      </c>
      <c r="N1972" s="475">
        <f t="shared" si="140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38"/>
        <v>-594464924.71432006</v>
      </c>
      <c r="J1973" s="455">
        <f t="array" ref="J1973">IFERROR(INDEX('Retirement Calculator'!J:J,MATCH('Isaac 401k'!N1973,'Retirement Calculator'!A:A,0),0),0)</f>
        <v>0</v>
      </c>
      <c r="K1973" s="455">
        <f t="shared" ca="1" si="136"/>
        <v>-2476937.1863096668</v>
      </c>
      <c r="L1973" s="455">
        <f t="shared" ca="1" si="137"/>
        <v>-596941861.90062976</v>
      </c>
      <c r="M1973" s="471">
        <f t="shared" si="139"/>
        <v>0.05</v>
      </c>
      <c r="N1973" s="475">
        <f t="shared" si="140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38"/>
        <v>-596941861.90062976</v>
      </c>
      <c r="J1974" s="455">
        <f t="array" ref="J1974">IFERROR(INDEX('Retirement Calculator'!J:J,MATCH('Isaac 401k'!N1974,'Retirement Calculator'!A:A,0),0),0)</f>
        <v>0</v>
      </c>
      <c r="K1974" s="455">
        <f t="shared" ca="1" si="136"/>
        <v>-2487257.7579192906</v>
      </c>
      <c r="L1974" s="455">
        <f t="shared" ca="1" si="137"/>
        <v>-599429119.65854907</v>
      </c>
      <c r="M1974" s="471">
        <f t="shared" si="139"/>
        <v>0.05</v>
      </c>
      <c r="N1974" s="475">
        <f t="shared" si="140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38"/>
        <v>-599429119.65854907</v>
      </c>
      <c r="J1975" s="455">
        <f t="array" ref="J1975">IFERROR(INDEX('Retirement Calculator'!J:J,MATCH('Isaac 401k'!N1975,'Retirement Calculator'!A:A,0),0),0)</f>
        <v>0</v>
      </c>
      <c r="K1975" s="455">
        <f t="shared" ca="1" si="136"/>
        <v>-2497621.3319106209</v>
      </c>
      <c r="L1975" s="455">
        <f t="shared" ca="1" si="137"/>
        <v>-601926740.99045968</v>
      </c>
      <c r="M1975" s="471">
        <f t="shared" si="139"/>
        <v>0.05</v>
      </c>
      <c r="N1975" s="475">
        <f t="shared" si="140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38"/>
        <v>-601926740.99045968</v>
      </c>
      <c r="J1976" s="455">
        <f t="array" ref="J1976">IFERROR(INDEX('Retirement Calculator'!J:J,MATCH('Isaac 401k'!N1976,'Retirement Calculator'!A:A,0),0),0)</f>
        <v>0</v>
      </c>
      <c r="K1976" s="455">
        <f t="shared" ca="1" si="136"/>
        <v>-2508028.0874602487</v>
      </c>
      <c r="L1976" s="455">
        <f t="shared" ca="1" si="137"/>
        <v>-604434769.07791996</v>
      </c>
      <c r="M1976" s="471">
        <f t="shared" si="139"/>
        <v>0.05</v>
      </c>
      <c r="N1976" s="475">
        <f t="shared" si="140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38"/>
        <v>-604434769.07791996</v>
      </c>
      <c r="J1977" s="455">
        <f t="array" ref="J1977">IFERROR(INDEX('Retirement Calculator'!J:J,MATCH('Isaac 401k'!N1977,'Retirement Calculator'!A:A,0),0),0)</f>
        <v>0</v>
      </c>
      <c r="K1977" s="455">
        <f t="shared" ca="1" si="136"/>
        <v>-2518478.2044913331</v>
      </c>
      <c r="L1977" s="455">
        <f t="shared" ca="1" si="137"/>
        <v>-606953247.28241134</v>
      </c>
      <c r="M1977" s="471">
        <f t="shared" si="139"/>
        <v>0.05</v>
      </c>
      <c r="N1977" s="475">
        <f t="shared" si="140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38"/>
        <v>-606953247.28241134</v>
      </c>
      <c r="J1978" s="455">
        <f t="array" ref="J1978">IFERROR(INDEX('Retirement Calculator'!J:J,MATCH('Isaac 401k'!N1978,'Retirement Calculator'!A:A,0),0),0)</f>
        <v>0</v>
      </c>
      <c r="K1978" s="455">
        <f t="shared" ca="1" si="136"/>
        <v>-2528971.8636767138</v>
      </c>
      <c r="L1978" s="455">
        <f t="shared" ca="1" si="137"/>
        <v>-609482219.146088</v>
      </c>
      <c r="M1978" s="471">
        <f t="shared" si="139"/>
        <v>0.05</v>
      </c>
      <c r="N1978" s="475">
        <f t="shared" si="140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38"/>
        <v>-609482219.146088</v>
      </c>
      <c r="J1979" s="455">
        <f t="array" ref="J1979">IFERROR(INDEX('Retirement Calculator'!J:J,MATCH('Isaac 401k'!N1979,'Retirement Calculator'!A:A,0),0),0)</f>
        <v>0</v>
      </c>
      <c r="K1979" s="455">
        <f t="shared" ca="1" si="136"/>
        <v>-2539509.2464420334</v>
      </c>
      <c r="L1979" s="455">
        <f t="shared" ca="1" si="137"/>
        <v>-612021728.39253008</v>
      </c>
      <c r="M1979" s="471">
        <f t="shared" si="139"/>
        <v>0.05</v>
      </c>
      <c r="N1979" s="475">
        <f t="shared" si="140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38"/>
        <v>-612021728.39253008</v>
      </c>
      <c r="J1980" s="455">
        <f t="array" ref="J1980">IFERROR(INDEX('Retirement Calculator'!J:J,MATCH('Isaac 401k'!N1980,'Retirement Calculator'!A:A,0),0),0)</f>
        <v>0</v>
      </c>
      <c r="K1980" s="455">
        <f t="shared" ca="1" si="136"/>
        <v>-2550090.5349688753</v>
      </c>
      <c r="L1980" s="455">
        <f t="shared" ca="1" si="137"/>
        <v>-614571818.92749894</v>
      </c>
      <c r="M1980" s="471">
        <f t="shared" si="139"/>
        <v>0.05</v>
      </c>
      <c r="N1980" s="475">
        <f t="shared" si="140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38"/>
        <v>-614571818.92749894</v>
      </c>
      <c r="J1981" s="455">
        <f t="array" ref="J1981">IFERROR(INDEX('Retirement Calculator'!J:J,MATCH('Isaac 401k'!N1981,'Retirement Calculator'!A:A,0),0),0)</f>
        <v>0</v>
      </c>
      <c r="K1981" s="455">
        <f t="shared" ca="1" si="136"/>
        <v>-2560715.9121979121</v>
      </c>
      <c r="L1981" s="455">
        <f t="shared" ca="1" si="137"/>
        <v>-617132534.83969688</v>
      </c>
      <c r="M1981" s="471">
        <f t="shared" si="139"/>
        <v>0.05</v>
      </c>
      <c r="N1981" s="475">
        <f t="shared" si="140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38"/>
        <v>-617132534.83969688</v>
      </c>
      <c r="J1982" s="455">
        <f t="array" ref="J1982">IFERROR(INDEX('Retirement Calculator'!J:J,MATCH('Isaac 401k'!N1982,'Retirement Calculator'!A:A,0),0),0)</f>
        <v>0</v>
      </c>
      <c r="K1982" s="455">
        <f t="shared" ca="1" si="136"/>
        <v>-2571385.5618320704</v>
      </c>
      <c r="L1982" s="455">
        <f t="shared" ca="1" si="137"/>
        <v>-619703920.40152895</v>
      </c>
      <c r="M1982" s="471">
        <f t="shared" si="139"/>
        <v>0.05</v>
      </c>
      <c r="N1982" s="475">
        <f t="shared" si="140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38"/>
        <v>-619703920.40152895</v>
      </c>
      <c r="J1983" s="455">
        <f t="array" ref="J1983">IFERROR(INDEX('Retirement Calculator'!J:J,MATCH('Isaac 401k'!N1983,'Retirement Calculator'!A:A,0),0),0)</f>
        <v>0</v>
      </c>
      <c r="K1983" s="455">
        <f t="shared" ca="1" si="136"/>
        <v>-2582099.6683397042</v>
      </c>
      <c r="L1983" s="455">
        <f t="shared" ca="1" si="137"/>
        <v>-622286020.06986868</v>
      </c>
      <c r="M1983" s="471">
        <f t="shared" si="139"/>
        <v>0.05</v>
      </c>
      <c r="N1983" s="475">
        <f t="shared" si="140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38"/>
        <v>-622286020.06986868</v>
      </c>
      <c r="J1984" s="455">
        <f t="array" ref="J1984">IFERROR(INDEX('Retirement Calculator'!J:J,MATCH('Isaac 401k'!N1984,'Retirement Calculator'!A:A,0),0),0)</f>
        <v>0</v>
      </c>
      <c r="K1984" s="455">
        <f t="shared" ca="1" si="136"/>
        <v>-2592858.4169577863</v>
      </c>
      <c r="L1984" s="455">
        <f t="shared" ca="1" si="137"/>
        <v>-624878878.48682642</v>
      </c>
      <c r="M1984" s="471">
        <f t="shared" si="139"/>
        <v>0.05</v>
      </c>
      <c r="N1984" s="475">
        <f t="shared" si="140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38"/>
        <v>-624878878.48682642</v>
      </c>
      <c r="J1985" s="455">
        <f t="array" ref="J1985">IFERROR(INDEX('Retirement Calculator'!J:J,MATCH('Isaac 401k'!N1985,'Retirement Calculator'!A:A,0),0),0)</f>
        <v>0</v>
      </c>
      <c r="K1985" s="455">
        <f t="shared" ca="1" si="136"/>
        <v>-2603661.9936951101</v>
      </c>
      <c r="L1985" s="455">
        <f t="shared" ca="1" si="137"/>
        <v>-627482540.48052156</v>
      </c>
      <c r="M1985" s="471">
        <f t="shared" si="139"/>
        <v>0.05</v>
      </c>
      <c r="N1985" s="475">
        <f t="shared" si="140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38"/>
        <v>-627482540.48052156</v>
      </c>
      <c r="J1986" s="455">
        <f t="array" ref="J1986">IFERROR(INDEX('Retirement Calculator'!J:J,MATCH('Isaac 401k'!N1986,'Retirement Calculator'!A:A,0),0),0)</f>
        <v>0</v>
      </c>
      <c r="K1986" s="455">
        <f t="shared" ca="1" si="136"/>
        <v>-2614510.5853355066</v>
      </c>
      <c r="L1986" s="455">
        <f t="shared" ca="1" si="137"/>
        <v>-630097051.06585705</v>
      </c>
      <c r="M1986" s="471">
        <f t="shared" si="139"/>
        <v>0.05</v>
      </c>
      <c r="N1986" s="475">
        <f t="shared" si="140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38"/>
        <v>-630097051.06585705</v>
      </c>
      <c r="J1987" s="455">
        <f t="array" ref="J1987">IFERROR(INDEX('Retirement Calculator'!J:J,MATCH('Isaac 401k'!N1987,'Retirement Calculator'!A:A,0),0),0)</f>
        <v>0</v>
      </c>
      <c r="K1987" s="455">
        <f t="shared" ca="1" si="136"/>
        <v>-2625404.3794410708</v>
      </c>
      <c r="L1987" s="455">
        <f t="shared" ca="1" si="137"/>
        <v>-632722455.44529808</v>
      </c>
      <c r="M1987" s="471">
        <f t="shared" si="139"/>
        <v>0.05</v>
      </c>
      <c r="N1987" s="475">
        <f t="shared" si="140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38"/>
        <v>-632722455.44529808</v>
      </c>
      <c r="J1988" s="455">
        <f t="array" ref="J1988">IFERROR(INDEX('Retirement Calculator'!J:J,MATCH('Isaac 401k'!N1988,'Retirement Calculator'!A:A,0),0),0)</f>
        <v>0</v>
      </c>
      <c r="K1988" s="455">
        <f t="shared" ca="1" si="136"/>
        <v>-2636343.5643554088</v>
      </c>
      <c r="L1988" s="455">
        <f t="shared" ca="1" si="137"/>
        <v>-635358799.00965345</v>
      </c>
      <c r="M1988" s="471">
        <f t="shared" si="139"/>
        <v>0.05</v>
      </c>
      <c r="N1988" s="475">
        <f t="shared" si="140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38"/>
        <v>-635358799.00965345</v>
      </c>
      <c r="J1989" s="455">
        <f t="array" ref="J1989">IFERROR(INDEX('Retirement Calculator'!J:J,MATCH('Isaac 401k'!N1989,'Retirement Calculator'!A:A,0),0),0)</f>
        <v>0</v>
      </c>
      <c r="K1989" s="455">
        <f t="shared" ca="1" si="136"/>
        <v>-2647328.3292068895</v>
      </c>
      <c r="L1989" s="455">
        <f t="shared" ca="1" si="137"/>
        <v>-638006127.33886039</v>
      </c>
      <c r="M1989" s="471">
        <f t="shared" si="139"/>
        <v>0.05</v>
      </c>
      <c r="N1989" s="475">
        <f t="shared" si="140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38"/>
        <v>-638006127.33886039</v>
      </c>
      <c r="J1990" s="455">
        <f t="array" ref="J1990">IFERROR(INDEX('Retirement Calculator'!J:J,MATCH('Isaac 401k'!N1990,'Retirement Calculator'!A:A,0),0),0)</f>
        <v>0</v>
      </c>
      <c r="K1990" s="455">
        <f t="shared" ca="1" si="136"/>
        <v>-2658358.8639119184</v>
      </c>
      <c r="L1990" s="455">
        <f t="shared" ca="1" si="137"/>
        <v>-640664486.20277226</v>
      </c>
      <c r="M1990" s="471">
        <f t="shared" si="139"/>
        <v>0.05</v>
      </c>
      <c r="N1990" s="475">
        <f t="shared" si="140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38"/>
        <v>-640664486.20277226</v>
      </c>
      <c r="J1991" s="455">
        <f t="array" ref="J1991">IFERROR(INDEX('Retirement Calculator'!J:J,MATCH('Isaac 401k'!N1991,'Retirement Calculator'!A:A,0),0),0)</f>
        <v>0</v>
      </c>
      <c r="K1991" s="455">
        <f t="shared" ca="1" si="136"/>
        <v>-2669435.3591782176</v>
      </c>
      <c r="L1991" s="455">
        <f t="shared" ca="1" si="137"/>
        <v>-643333921.56195045</v>
      </c>
      <c r="M1991" s="471">
        <f t="shared" si="139"/>
        <v>0.05</v>
      </c>
      <c r="N1991" s="475">
        <f t="shared" si="140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38"/>
        <v>-643333921.56195045</v>
      </c>
      <c r="J1992" s="455">
        <f t="array" ref="J1992">IFERROR(INDEX('Retirement Calculator'!J:J,MATCH('Isaac 401k'!N1992,'Retirement Calculator'!A:A,0),0),0)</f>
        <v>0</v>
      </c>
      <c r="K1992" s="455">
        <f t="shared" ca="1" si="136"/>
        <v>-2680558.0065081269</v>
      </c>
      <c r="L1992" s="455">
        <f t="shared" ca="1" si="137"/>
        <v>-646014479.56845856</v>
      </c>
      <c r="M1992" s="471">
        <f t="shared" si="139"/>
        <v>0.05</v>
      </c>
      <c r="N1992" s="475">
        <f t="shared" si="140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38"/>
        <v>-646014479.56845856</v>
      </c>
      <c r="J1993" s="455">
        <f t="array" ref="J1993">IFERROR(INDEX('Retirement Calculator'!J:J,MATCH('Isaac 401k'!N1993,'Retirement Calculator'!A:A,0),0),0)</f>
        <v>0</v>
      </c>
      <c r="K1993" s="455">
        <f t="shared" ca="1" si="136"/>
        <v>-2691726.9982019104</v>
      </c>
      <c r="L1993" s="455">
        <f t="shared" ca="1" si="137"/>
        <v>-648706206.56666052</v>
      </c>
      <c r="M1993" s="471">
        <f t="shared" si="139"/>
        <v>0.05</v>
      </c>
      <c r="N1993" s="475">
        <f t="shared" si="140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38"/>
        <v>-648706206.56666052</v>
      </c>
      <c r="J1994" s="455">
        <f t="array" ref="J1994">IFERROR(INDEX('Retirement Calculator'!J:J,MATCH('Isaac 401k'!N1994,'Retirement Calculator'!A:A,0),0),0)</f>
        <v>0</v>
      </c>
      <c r="K1994" s="455">
        <f t="shared" ca="1" si="136"/>
        <v>-2702942.5273610856</v>
      </c>
      <c r="L1994" s="455">
        <f t="shared" ca="1" si="137"/>
        <v>-651409149.09402156</v>
      </c>
      <c r="M1994" s="471">
        <f t="shared" si="139"/>
        <v>0.05</v>
      </c>
      <c r="N1994" s="475">
        <f t="shared" si="140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38"/>
        <v>-651409149.09402156</v>
      </c>
      <c r="J1995" s="455">
        <f t="array" ref="J1995">IFERROR(INDEX('Retirement Calculator'!J:J,MATCH('Isaac 401k'!N1995,'Retirement Calculator'!A:A,0),0),0)</f>
        <v>0</v>
      </c>
      <c r="K1995" s="455">
        <f t="shared" ca="1" si="136"/>
        <v>-2714204.7878917563</v>
      </c>
      <c r="L1995" s="455">
        <f t="shared" ca="1" si="137"/>
        <v>-654123353.8819133</v>
      </c>
      <c r="M1995" s="471">
        <f t="shared" si="139"/>
        <v>0.05</v>
      </c>
      <c r="N1995" s="475">
        <f t="shared" si="140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38"/>
        <v>-654123353.8819133</v>
      </c>
      <c r="J1996" s="455">
        <f t="array" ref="J1996">IFERROR(INDEX('Retirement Calculator'!J:J,MATCH('Isaac 401k'!N1996,'Retirement Calculator'!A:A,0),0),0)</f>
        <v>0</v>
      </c>
      <c r="K1996" s="455">
        <f t="shared" ca="1" si="136"/>
        <v>-2725513.9745079721</v>
      </c>
      <c r="L1996" s="455">
        <f t="shared" ca="1" si="137"/>
        <v>-656848867.85642123</v>
      </c>
      <c r="M1996" s="471">
        <f t="shared" si="139"/>
        <v>0.05</v>
      </c>
      <c r="N1996" s="475">
        <f t="shared" si="140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38"/>
        <v>-656848867.85642123</v>
      </c>
      <c r="J1997" s="455">
        <f t="array" ref="J1997">IFERROR(INDEX('Retirement Calculator'!J:J,MATCH('Isaac 401k'!N1997,'Retirement Calculator'!A:A,0),0),0)</f>
        <v>0</v>
      </c>
      <c r="K1997" s="455">
        <f t="shared" ca="1" si="136"/>
        <v>-2736870.2827350884</v>
      </c>
      <c r="L1997" s="455">
        <f t="shared" ca="1" si="137"/>
        <v>-659585738.13915634</v>
      </c>
      <c r="M1997" s="471">
        <f t="shared" si="139"/>
        <v>0.05</v>
      </c>
      <c r="N1997" s="475">
        <f t="shared" si="140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38"/>
        <v>-659585738.13915634</v>
      </c>
      <c r="J1998" s="455">
        <f t="array" ref="J1998">IFERROR(INDEX('Retirement Calculator'!J:J,MATCH('Isaac 401k'!N1998,'Retirement Calculator'!A:A,0),0),0)</f>
        <v>0</v>
      </c>
      <c r="K1998" s="455">
        <f t="shared" ca="1" si="136"/>
        <v>-2748273.9089131514</v>
      </c>
      <c r="L1998" s="455">
        <f t="shared" ca="1" si="137"/>
        <v>-662334012.04806948</v>
      </c>
      <c r="M1998" s="471">
        <f t="shared" si="139"/>
        <v>0.05</v>
      </c>
      <c r="N1998" s="475">
        <f t="shared" si="140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38"/>
        <v>-662334012.04806948</v>
      </c>
      <c r="J1999" s="455">
        <f t="array" ref="J1999">IFERROR(INDEX('Retirement Calculator'!J:J,MATCH('Isaac 401k'!N1999,'Retirement Calculator'!A:A,0),0),0)</f>
        <v>0</v>
      </c>
      <c r="K1999" s="455">
        <f t="shared" ca="1" si="136"/>
        <v>-2759725.0502002896</v>
      </c>
      <c r="L1999" s="455">
        <f t="shared" ca="1" si="137"/>
        <v>-665093737.09826982</v>
      </c>
      <c r="M1999" s="471">
        <f t="shared" si="139"/>
        <v>0.05</v>
      </c>
      <c r="N1999" s="475">
        <f t="shared" si="140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38"/>
        <v>-665093737.09826982</v>
      </c>
      <c r="J2000" s="455">
        <f t="array" ref="J2000">IFERROR(INDEX('Retirement Calculator'!J:J,MATCH('Isaac 401k'!N2000,'Retirement Calculator'!A:A,0),0),0)</f>
        <v>0</v>
      </c>
      <c r="K2000" s="455">
        <f t="shared" ca="1" si="136"/>
        <v>-2771223.9045761242</v>
      </c>
      <c r="L2000" s="455">
        <f t="shared" ca="1" si="137"/>
        <v>-667864961.002846</v>
      </c>
      <c r="M2000" s="471">
        <f t="shared" si="139"/>
        <v>0.05</v>
      </c>
      <c r="N2000" s="475">
        <f t="shared" si="140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38"/>
        <v>-667864961.002846</v>
      </c>
      <c r="J2001" s="455">
        <f t="array" ref="J2001">IFERROR(INDEX('Retirement Calculator'!J:J,MATCH('Isaac 401k'!N2001,'Retirement Calculator'!A:A,0),0),0)</f>
        <v>0</v>
      </c>
      <c r="K2001" s="455">
        <f t="shared" ca="1" si="136"/>
        <v>-2782770.6708451915</v>
      </c>
      <c r="L2001" s="455">
        <f t="shared" ca="1" si="137"/>
        <v>-670647731.67369115</v>
      </c>
      <c r="M2001" s="471">
        <f t="shared" si="139"/>
        <v>0.05</v>
      </c>
      <c r="N2001" s="475">
        <f t="shared" si="140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38"/>
        <v>-670647731.67369115</v>
      </c>
      <c r="J2002" s="455">
        <f t="array" ref="J2002">IFERROR(INDEX('Retirement Calculator'!J:J,MATCH('Isaac 401k'!N2002,'Retirement Calculator'!A:A,0),0),0)</f>
        <v>0</v>
      </c>
      <c r="K2002" s="455">
        <f t="shared" ca="1" si="136"/>
        <v>-2794365.5486403797</v>
      </c>
      <c r="L2002" s="455">
        <f t="shared" ca="1" si="137"/>
        <v>-673442097.22233152</v>
      </c>
      <c r="M2002" s="471">
        <f t="shared" si="139"/>
        <v>0.05</v>
      </c>
      <c r="N2002" s="475">
        <f t="shared" si="140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38"/>
        <v>-673442097.22233152</v>
      </c>
      <c r="J2003" s="455">
        <f t="array" ref="J2003">IFERROR(INDEX('Retirement Calculator'!J:J,MATCH('Isaac 401k'!N2003,'Retirement Calculator'!A:A,0),0),0)</f>
        <v>0</v>
      </c>
      <c r="K2003" s="455">
        <f t="shared" ca="1" si="136"/>
        <v>-2806008.7384263813</v>
      </c>
      <c r="L2003" s="455">
        <f t="shared" ca="1" si="137"/>
        <v>-676248105.96075785</v>
      </c>
      <c r="M2003" s="471">
        <f t="shared" si="139"/>
        <v>0.05</v>
      </c>
      <c r="N2003" s="475">
        <f t="shared" si="140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38"/>
        <v>-676248105.96075785</v>
      </c>
      <c r="J2004" s="455">
        <f t="array" ref="J2004">IFERROR(INDEX('Retirement Calculator'!J:J,MATCH('Isaac 401k'!N2004,'Retirement Calculator'!A:A,0),0),0)</f>
        <v>0</v>
      </c>
      <c r="K2004" s="455">
        <f t="shared" ca="1" si="136"/>
        <v>-2817700.4415031578</v>
      </c>
      <c r="L2004" s="455">
        <f t="shared" ca="1" si="137"/>
        <v>-679065806.40226102</v>
      </c>
      <c r="M2004" s="471">
        <f t="shared" si="139"/>
        <v>0.05</v>
      </c>
      <c r="N2004" s="475">
        <f t="shared" si="140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38"/>
        <v>-679065806.40226102</v>
      </c>
      <c r="J2005" s="455">
        <f t="array" ref="J2005">IFERROR(INDEX('Retirement Calculator'!J:J,MATCH('Isaac 401k'!N2005,'Retirement Calculator'!A:A,0),0),0)</f>
        <v>0</v>
      </c>
      <c r="K2005" s="455">
        <f t="shared" ca="1" si="136"/>
        <v>-2829440.8600094207</v>
      </c>
      <c r="L2005" s="455">
        <f t="shared" ca="1" si="137"/>
        <v>-681895247.26227045</v>
      </c>
      <c r="M2005" s="471">
        <f t="shared" si="139"/>
        <v>0.05</v>
      </c>
      <c r="N2005" s="475">
        <f t="shared" si="140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38"/>
        <v>-681895247.26227045</v>
      </c>
      <c r="J2006" s="455">
        <f t="array" ref="J2006">IFERROR(INDEX('Retirement Calculator'!J:J,MATCH('Isaac 401k'!N2006,'Retirement Calculator'!A:A,0),0),0)</f>
        <v>0</v>
      </c>
      <c r="K2006" s="455">
        <f t="shared" ca="1" si="136"/>
        <v>-2841230.1969261267</v>
      </c>
      <c r="L2006" s="455">
        <f t="shared" ca="1" si="137"/>
        <v>-684736477.45919657</v>
      </c>
      <c r="M2006" s="471">
        <f t="shared" si="139"/>
        <v>0.05</v>
      </c>
      <c r="N2006" s="475">
        <f t="shared" si="140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38"/>
        <v>-684736477.45919657</v>
      </c>
      <c r="J2007" s="455">
        <f t="array" ref="J2007">IFERROR(INDEX('Retirement Calculator'!J:J,MATCH('Isaac 401k'!N2007,'Retirement Calculator'!A:A,0),0),0)</f>
        <v>0</v>
      </c>
      <c r="K2007" s="455">
        <f t="shared" ca="1" si="136"/>
        <v>-2853068.6560799857</v>
      </c>
      <c r="L2007" s="455">
        <f t="shared" ca="1" si="137"/>
        <v>-687589546.11527658</v>
      </c>
      <c r="M2007" s="471">
        <f t="shared" si="139"/>
        <v>0.05</v>
      </c>
      <c r="N2007" s="475">
        <f t="shared" si="140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38"/>
        <v>-687589546.11527658</v>
      </c>
      <c r="J2008" s="455">
        <f t="array" ref="J2008">IFERROR(INDEX('Retirement Calculator'!J:J,MATCH('Isaac 401k'!N2008,'Retirement Calculator'!A:A,0),0),0)</f>
        <v>0</v>
      </c>
      <c r="K2008" s="455">
        <f t="shared" ca="1" si="136"/>
        <v>-2864956.4421469858</v>
      </c>
      <c r="L2008" s="455">
        <f t="shared" ca="1" si="137"/>
        <v>-690454502.55742359</v>
      </c>
      <c r="M2008" s="471">
        <f t="shared" si="139"/>
        <v>0.05</v>
      </c>
      <c r="N2008" s="475">
        <f t="shared" si="140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38"/>
        <v>-690454502.55742359</v>
      </c>
      <c r="J2009" s="455">
        <f t="array" ref="J2009">IFERROR(INDEX('Retirement Calculator'!J:J,MATCH('Isaac 401k'!N2009,'Retirement Calculator'!A:A,0),0),0)</f>
        <v>0</v>
      </c>
      <c r="K2009" s="455">
        <f t="shared" ca="1" si="136"/>
        <v>-2876893.7606559317</v>
      </c>
      <c r="L2009" s="455">
        <f t="shared" ca="1" si="137"/>
        <v>-693331396.31807947</v>
      </c>
      <c r="M2009" s="471">
        <f t="shared" si="139"/>
        <v>0.05</v>
      </c>
      <c r="N2009" s="475">
        <f t="shared" si="140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38"/>
        <v>-693331396.31807947</v>
      </c>
      <c r="J2010" s="455">
        <f t="array" ref="J2010">IFERROR(INDEX('Retirement Calculator'!J:J,MATCH('Isaac 401k'!N2010,'Retirement Calculator'!A:A,0),0),0)</f>
        <v>0</v>
      </c>
      <c r="K2010" s="455">
        <f t="shared" ca="1" si="136"/>
        <v>-2888880.8179919976</v>
      </c>
      <c r="L2010" s="455">
        <f t="shared" ca="1" si="137"/>
        <v>-696220277.13607144</v>
      </c>
      <c r="M2010" s="471">
        <f t="shared" si="139"/>
        <v>0.05</v>
      </c>
      <c r="N2010" s="475">
        <f t="shared" si="140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38"/>
        <v>-696220277.13607144</v>
      </c>
      <c r="J2011" s="455">
        <f t="array" ref="J2011">IFERROR(INDEX('Retirement Calculator'!J:J,MATCH('Isaac 401k'!N2011,'Retirement Calculator'!A:A,0),0),0)</f>
        <v>0</v>
      </c>
      <c r="K2011" s="455">
        <f t="shared" ca="1" si="136"/>
        <v>-2900917.8214002978</v>
      </c>
      <c r="L2011" s="455">
        <f t="shared" ca="1" si="137"/>
        <v>-699121194.95747173</v>
      </c>
      <c r="M2011" s="471">
        <f t="shared" si="139"/>
        <v>0.05</v>
      </c>
      <c r="N2011" s="475">
        <f t="shared" si="140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38"/>
        <v>-699121194.95747173</v>
      </c>
      <c r="J2012" s="455">
        <f t="array" ref="J2012">IFERROR(INDEX('Retirement Calculator'!J:J,MATCH('Isaac 401k'!N2012,'Retirement Calculator'!A:A,0),0),0)</f>
        <v>0</v>
      </c>
      <c r="K2012" s="455">
        <f t="shared" ca="1" si="136"/>
        <v>-2913004.9789894656</v>
      </c>
      <c r="L2012" s="455">
        <f t="shared" ca="1" si="137"/>
        <v>-702034199.93646121</v>
      </c>
      <c r="M2012" s="471">
        <f t="shared" si="139"/>
        <v>0.05</v>
      </c>
      <c r="N2012" s="475">
        <f t="shared" si="140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38"/>
        <v>-702034199.93646121</v>
      </c>
      <c r="J2013" s="455">
        <f t="array" ref="J2013">IFERROR(INDEX('Retirement Calculator'!J:J,MATCH('Isaac 401k'!N2013,'Retirement Calculator'!A:A,0),0),0)</f>
        <v>0</v>
      </c>
      <c r="K2013" s="455">
        <f t="shared" ca="1" si="136"/>
        <v>-2925142.4997352548</v>
      </c>
      <c r="L2013" s="455">
        <f t="shared" ca="1" si="137"/>
        <v>-704959342.43619645</v>
      </c>
      <c r="M2013" s="471">
        <f t="shared" si="139"/>
        <v>0.05</v>
      </c>
      <c r="N2013" s="475">
        <f t="shared" si="140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38"/>
        <v>-704959342.43619645</v>
      </c>
      <c r="J2014" s="455">
        <f t="array" ref="J2014">IFERROR(INDEX('Retirement Calculator'!J:J,MATCH('Isaac 401k'!N2014,'Retirement Calculator'!A:A,0),0),0)</f>
        <v>0</v>
      </c>
      <c r="K2014" s="455">
        <f t="shared" ca="1" si="136"/>
        <v>-2937330.5934841516</v>
      </c>
      <c r="L2014" s="455">
        <f t="shared" ca="1" si="137"/>
        <v>-707896673.02968061</v>
      </c>
      <c r="M2014" s="471">
        <f t="shared" si="139"/>
        <v>0.05</v>
      </c>
      <c r="N2014" s="475">
        <f t="shared" si="140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38"/>
        <v>-707896673.02968061</v>
      </c>
      <c r="J2015" s="455">
        <f t="array" ref="J2015">IFERROR(INDEX('Retirement Calculator'!J:J,MATCH('Isaac 401k'!N2015,'Retirement Calculator'!A:A,0),0),0)</f>
        <v>0</v>
      </c>
      <c r="K2015" s="455">
        <f t="shared" ca="1" si="136"/>
        <v>-2949569.4709570026</v>
      </c>
      <c r="L2015" s="455">
        <f t="shared" ca="1" si="137"/>
        <v>-710846242.50063765</v>
      </c>
      <c r="M2015" s="471">
        <f t="shared" si="139"/>
        <v>0.05</v>
      </c>
      <c r="N2015" s="475">
        <f t="shared" si="140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38"/>
        <v>-710846242.50063765</v>
      </c>
      <c r="J2016" s="455">
        <f t="array" ref="J2016">IFERROR(INDEX('Retirement Calculator'!J:J,MATCH('Isaac 401k'!N2016,'Retirement Calculator'!A:A,0),0),0)</f>
        <v>0</v>
      </c>
      <c r="K2016" s="455">
        <f t="shared" ca="1" si="136"/>
        <v>-2961859.3437526571</v>
      </c>
      <c r="L2016" s="455">
        <f t="shared" ca="1" si="137"/>
        <v>-713808101.84439027</v>
      </c>
      <c r="M2016" s="471">
        <f t="shared" si="139"/>
        <v>0.05</v>
      </c>
      <c r="N2016" s="475">
        <f t="shared" si="140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38"/>
        <v>-713808101.84439027</v>
      </c>
      <c r="J2017" s="455">
        <f t="array" ref="J2017">IFERROR(INDEX('Retirement Calculator'!J:J,MATCH('Isaac 401k'!N2017,'Retirement Calculator'!A:A,0),0),0)</f>
        <v>0</v>
      </c>
      <c r="K2017" s="455">
        <f t="shared" ca="1" si="136"/>
        <v>-2974200.4243516261</v>
      </c>
      <c r="L2017" s="455">
        <f t="shared" ca="1" si="137"/>
        <v>-716782302.26874185</v>
      </c>
      <c r="M2017" s="471">
        <f t="shared" si="139"/>
        <v>0.05</v>
      </c>
      <c r="N2017" s="475">
        <f t="shared" si="140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38"/>
        <v>-716782302.26874185</v>
      </c>
      <c r="J2018" s="455">
        <f t="array" ref="J2018">IFERROR(INDEX('Retirement Calculator'!J:J,MATCH('Isaac 401k'!N2018,'Retirement Calculator'!A:A,0),0),0)</f>
        <v>0</v>
      </c>
      <c r="K2018" s="455">
        <f t="shared" ca="1" si="136"/>
        <v>-2986592.9261197578</v>
      </c>
      <c r="L2018" s="455">
        <f t="shared" ca="1" si="137"/>
        <v>-719768895.19486165</v>
      </c>
      <c r="M2018" s="471">
        <f t="shared" si="139"/>
        <v>0.05</v>
      </c>
      <c r="N2018" s="475">
        <f t="shared" si="140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38"/>
        <v>-719768895.19486165</v>
      </c>
      <c r="J2019" s="455">
        <f t="array" ref="J2019">IFERROR(INDEX('Retirement Calculator'!J:J,MATCH('Isaac 401k'!N2019,'Retirement Calculator'!A:A,0),0),0)</f>
        <v>0</v>
      </c>
      <c r="K2019" s="455">
        <f t="shared" ca="1" si="136"/>
        <v>-2999037.0633119233</v>
      </c>
      <c r="L2019" s="455">
        <f t="shared" ca="1" si="137"/>
        <v>-722767932.25817358</v>
      </c>
      <c r="M2019" s="471">
        <f t="shared" si="139"/>
        <v>0.05</v>
      </c>
      <c r="N2019" s="475">
        <f t="shared" si="140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38"/>
        <v>-722767932.25817358</v>
      </c>
      <c r="J2020" s="455">
        <f t="array" ref="J2020">IFERROR(INDEX('Retirement Calculator'!J:J,MATCH('Isaac 401k'!N2020,'Retirement Calculator'!A:A,0),0),0)</f>
        <v>0</v>
      </c>
      <c r="K2020" s="455">
        <f t="shared" ca="1" si="136"/>
        <v>-3011533.051075723</v>
      </c>
      <c r="L2020" s="455">
        <f t="shared" ca="1" si="137"/>
        <v>-725779465.30924928</v>
      </c>
      <c r="M2020" s="471">
        <f t="shared" si="139"/>
        <v>0.05</v>
      </c>
      <c r="N2020" s="475">
        <f t="shared" si="140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38"/>
        <v>-725779465.30924928</v>
      </c>
      <c r="J2021" s="455">
        <f t="array" ref="J2021">IFERROR(INDEX('Retirement Calculator'!J:J,MATCH('Isaac 401k'!N2021,'Retirement Calculator'!A:A,0),0),0)</f>
        <v>0</v>
      </c>
      <c r="K2021" s="455">
        <f t="shared" ca="1" si="136"/>
        <v>-3024081.1054552053</v>
      </c>
      <c r="L2021" s="455">
        <f t="shared" ca="1" si="137"/>
        <v>-728803546.41470444</v>
      </c>
      <c r="M2021" s="471">
        <f t="shared" si="139"/>
        <v>0.05</v>
      </c>
      <c r="N2021" s="475">
        <f t="shared" si="140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38"/>
        <v>-728803546.41470444</v>
      </c>
      <c r="J2022" s="455">
        <f t="array" ref="J2022">IFERROR(INDEX('Retirement Calculator'!J:J,MATCH('Isaac 401k'!N2022,'Retirement Calculator'!A:A,0),0),0)</f>
        <v>0</v>
      </c>
      <c r="K2022" s="455">
        <f t="shared" ca="1" si="136"/>
        <v>-3036681.4433946018</v>
      </c>
      <c r="L2022" s="455">
        <f t="shared" ca="1" si="137"/>
        <v>-731840227.8580991</v>
      </c>
      <c r="M2022" s="471">
        <f t="shared" si="139"/>
        <v>0.05</v>
      </c>
      <c r="N2022" s="475">
        <f t="shared" si="140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38"/>
        <v>-731840227.8580991</v>
      </c>
      <c r="J2023" s="455">
        <f t="array" ref="J2023">IFERROR(INDEX('Retirement Calculator'!J:J,MATCH('Isaac 401k'!N2023,'Retirement Calculator'!A:A,0),0),0)</f>
        <v>0</v>
      </c>
      <c r="K2023" s="455">
        <f t="shared" ca="1" si="136"/>
        <v>-3049334.2827420793</v>
      </c>
      <c r="L2023" s="455">
        <f t="shared" ca="1" si="137"/>
        <v>-734889562.14084113</v>
      </c>
      <c r="M2023" s="471">
        <f t="shared" si="139"/>
        <v>0.05</v>
      </c>
      <c r="N2023" s="475">
        <f t="shared" si="140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38"/>
        <v>-734889562.14084113</v>
      </c>
      <c r="J2024" s="455">
        <f t="array" ref="J2024">IFERROR(INDEX('Retirement Calculator'!J:J,MATCH('Isaac 401k'!N2024,'Retirement Calculator'!A:A,0),0),0)</f>
        <v>0</v>
      </c>
      <c r="K2024" s="455">
        <f t="shared" ca="1" si="136"/>
        <v>-3062039.8422535048</v>
      </c>
      <c r="L2024" s="455">
        <f t="shared" ca="1" si="137"/>
        <v>-737951601.98309457</v>
      </c>
      <c r="M2024" s="471">
        <f t="shared" si="139"/>
        <v>0.05</v>
      </c>
      <c r="N2024" s="475">
        <f t="shared" si="140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38"/>
        <v>-737951601.98309457</v>
      </c>
      <c r="J2025" s="455">
        <f t="array" ref="J2025">IFERROR(INDEX('Retirement Calculator'!J:J,MATCH('Isaac 401k'!N2025,'Retirement Calculator'!A:A,0),0),0)</f>
        <v>0</v>
      </c>
      <c r="K2025" s="455">
        <f t="shared" ca="1" si="136"/>
        <v>-3074798.3415962271</v>
      </c>
      <c r="L2025" s="455">
        <f t="shared" ca="1" si="137"/>
        <v>-741026400.32469082</v>
      </c>
      <c r="M2025" s="471">
        <f t="shared" si="139"/>
        <v>0.05</v>
      </c>
      <c r="N2025" s="475">
        <f t="shared" si="140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38"/>
        <v>-741026400.32469082</v>
      </c>
      <c r="J2026" s="455">
        <f t="array" ref="J2026">IFERROR(INDEX('Retirement Calculator'!J:J,MATCH('Isaac 401k'!N2026,'Retirement Calculator'!A:A,0),0),0)</f>
        <v>0</v>
      </c>
      <c r="K2026" s="455">
        <f t="shared" ca="1" si="136"/>
        <v>-3087610.0013528783</v>
      </c>
      <c r="L2026" s="455">
        <f t="shared" ca="1" si="137"/>
        <v>-744114010.32604373</v>
      </c>
      <c r="M2026" s="471">
        <f t="shared" si="139"/>
        <v>0.05</v>
      </c>
      <c r="N2026" s="475">
        <f t="shared" si="140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38"/>
        <v>-744114010.32604373</v>
      </c>
      <c r="J2027" s="455">
        <f t="array" ref="J2027">IFERROR(INDEX('Retirement Calculator'!J:J,MATCH('Isaac 401k'!N2027,'Retirement Calculator'!A:A,0),0),0)</f>
        <v>0</v>
      </c>
      <c r="K2027" s="455">
        <f t="shared" ca="1" si="136"/>
        <v>-3100475.0430251821</v>
      </c>
      <c r="L2027" s="455">
        <f t="shared" ca="1" si="137"/>
        <v>-747214485.36906886</v>
      </c>
      <c r="M2027" s="471">
        <f t="shared" si="139"/>
        <v>0.05</v>
      </c>
      <c r="N2027" s="475">
        <f t="shared" si="140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38"/>
        <v>-747214485.36906886</v>
      </c>
      <c r="J2028" s="455">
        <f t="array" ref="J2028">IFERROR(INDEX('Retirement Calculator'!J:J,MATCH('Isaac 401k'!N2028,'Retirement Calculator'!A:A,0),0),0)</f>
        <v>0</v>
      </c>
      <c r="K2028" s="455">
        <f t="shared" ca="1" si="136"/>
        <v>-3113393.6890377868</v>
      </c>
      <c r="L2028" s="455">
        <f t="shared" ca="1" si="137"/>
        <v>-750327879.05810666</v>
      </c>
      <c r="M2028" s="471">
        <f t="shared" si="139"/>
        <v>0.05</v>
      </c>
      <c r="N2028" s="475">
        <f t="shared" si="140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38"/>
        <v>-750327879.05810666</v>
      </c>
      <c r="J2029" s="455">
        <f t="array" ref="J2029">IFERROR(INDEX('Retirement Calculator'!J:J,MATCH('Isaac 401k'!N2029,'Retirement Calculator'!A:A,0),0),0)</f>
        <v>0</v>
      </c>
      <c r="K2029" s="455">
        <f t="shared" ca="1" si="136"/>
        <v>-3126366.1627421109</v>
      </c>
      <c r="L2029" s="455">
        <f t="shared" ca="1" si="137"/>
        <v>-753454245.2208488</v>
      </c>
      <c r="M2029" s="471">
        <f t="shared" si="139"/>
        <v>0.05</v>
      </c>
      <c r="N2029" s="475">
        <f t="shared" si="140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38"/>
        <v>-753454245.2208488</v>
      </c>
      <c r="J2030" s="455">
        <f t="array" ref="J2030">IFERROR(INDEX('Retirement Calculator'!J:J,MATCH('Isaac 401k'!N2030,'Retirement Calculator'!A:A,0),0),0)</f>
        <v>0</v>
      </c>
      <c r="K2030" s="455">
        <f t="shared" ca="1" si="136"/>
        <v>-3139392.6884202035</v>
      </c>
      <c r="L2030" s="455">
        <f t="shared" ca="1" si="137"/>
        <v>-756593637.90926898</v>
      </c>
      <c r="M2030" s="471">
        <f t="shared" si="139"/>
        <v>0.05</v>
      </c>
      <c r="N2030" s="475">
        <f t="shared" si="140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38"/>
        <v>-756593637.90926898</v>
      </c>
      <c r="J2031" s="455">
        <f t="array" ref="J2031">IFERROR(INDEX('Retirement Calculator'!J:J,MATCH('Isaac 401k'!N2031,'Retirement Calculator'!A:A,0),0),0)</f>
        <v>0</v>
      </c>
      <c r="K2031" s="455">
        <f t="shared" ca="1" si="136"/>
        <v>-3152473.4912886205</v>
      </c>
      <c r="L2031" s="455">
        <f t="shared" ca="1" si="137"/>
        <v>-759746111.40055764</v>
      </c>
      <c r="M2031" s="471">
        <f t="shared" si="139"/>
        <v>0.05</v>
      </c>
      <c r="N2031" s="475">
        <f t="shared" si="140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38"/>
        <v>-759746111.40055764</v>
      </c>
      <c r="J2032" s="455">
        <f t="array" ref="J2032">IFERROR(INDEX('Retirement Calculator'!J:J,MATCH('Isaac 401k'!N2032,'Retirement Calculator'!A:A,0),0),0)</f>
        <v>0</v>
      </c>
      <c r="K2032" s="455">
        <f t="shared" ca="1" si="136"/>
        <v>-3165608.7975023235</v>
      </c>
      <c r="L2032" s="455">
        <f t="shared" ca="1" si="137"/>
        <v>-762911720.19805992</v>
      </c>
      <c r="M2032" s="471">
        <f t="shared" si="139"/>
        <v>0.05</v>
      </c>
      <c r="N2032" s="475">
        <f t="shared" si="140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38"/>
        <v>-762911720.19805992</v>
      </c>
      <c r="J2033" s="455">
        <f t="array" ref="J2033">IFERROR(INDEX('Retirement Calculator'!J:J,MATCH('Isaac 401k'!N2033,'Retirement Calculator'!A:A,0),0),0)</f>
        <v>0</v>
      </c>
      <c r="K2033" s="455">
        <f t="shared" ca="1" si="136"/>
        <v>-3178798.8341585831</v>
      </c>
      <c r="L2033" s="455">
        <f t="shared" ca="1" si="137"/>
        <v>-766090519.03221846</v>
      </c>
      <c r="M2033" s="471">
        <f t="shared" si="139"/>
        <v>0.05</v>
      </c>
      <c r="N2033" s="475">
        <f t="shared" si="140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38"/>
        <v>-766090519.03221846</v>
      </c>
      <c r="J2034" s="455">
        <f t="array" ref="J2034">IFERROR(INDEX('Retirement Calculator'!J:J,MATCH('Isaac 401k'!N2034,'Retirement Calculator'!A:A,0),0),0)</f>
        <v>0</v>
      </c>
      <c r="K2034" s="455">
        <f t="shared" ca="1" si="136"/>
        <v>-3192043.8293009102</v>
      </c>
      <c r="L2034" s="455">
        <f t="shared" ca="1" si="137"/>
        <v>-769282562.86151934</v>
      </c>
      <c r="M2034" s="471">
        <f t="shared" si="139"/>
        <v>0.05</v>
      </c>
      <c r="N2034" s="475">
        <f t="shared" si="140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38"/>
        <v>-769282562.86151934</v>
      </c>
      <c r="J2035" s="455">
        <f t="array" ref="J2035">IFERROR(INDEX('Retirement Calculator'!J:J,MATCH('Isaac 401k'!N2035,'Retirement Calculator'!A:A,0),0),0)</f>
        <v>0</v>
      </c>
      <c r="K2035" s="455">
        <f t="shared" ca="1" si="136"/>
        <v>-3205344.0119229974</v>
      </c>
      <c r="L2035" s="455">
        <f t="shared" ca="1" si="137"/>
        <v>-772487906.87344229</v>
      </c>
      <c r="M2035" s="471">
        <f t="shared" si="139"/>
        <v>0.05</v>
      </c>
      <c r="N2035" s="475">
        <f t="shared" si="140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38"/>
        <v>-772487906.87344229</v>
      </c>
      <c r="J2036" s="455">
        <f t="array" ref="J2036">IFERROR(INDEX('Retirement Calculator'!J:J,MATCH('Isaac 401k'!N2036,'Retirement Calculator'!A:A,0),0),0)</f>
        <v>0</v>
      </c>
      <c r="K2036" s="455">
        <f t="shared" ca="1" si="136"/>
        <v>-3218699.6119726761</v>
      </c>
      <c r="L2036" s="455">
        <f t="shared" ca="1" si="137"/>
        <v>-775706606.48541498</v>
      </c>
      <c r="M2036" s="471">
        <f t="shared" si="139"/>
        <v>0.05</v>
      </c>
      <c r="N2036" s="475">
        <f t="shared" si="140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38"/>
        <v>-775706606.48541498</v>
      </c>
      <c r="J2037" s="455">
        <f t="array" ref="J2037">IFERROR(INDEX('Retirement Calculator'!J:J,MATCH('Isaac 401k'!N2037,'Retirement Calculator'!A:A,0),0),0)</f>
        <v>0</v>
      </c>
      <c r="K2037" s="455">
        <f t="shared" ca="1" si="136"/>
        <v>-3232110.8603558959</v>
      </c>
      <c r="L2037" s="455">
        <f t="shared" ca="1" si="137"/>
        <v>-778938717.34577084</v>
      </c>
      <c r="M2037" s="471">
        <f t="shared" si="139"/>
        <v>0.05</v>
      </c>
      <c r="N2037" s="475">
        <f t="shared" si="140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38"/>
        <v>-778938717.34577084</v>
      </c>
      <c r="J2038" s="455">
        <f t="array" ref="J2038">IFERROR(INDEX('Retirement Calculator'!J:J,MATCH('Isaac 401k'!N2038,'Retirement Calculator'!A:A,0),0),0)</f>
        <v>0</v>
      </c>
      <c r="K2038" s="455">
        <f t="shared" ca="1" si="136"/>
        <v>-3245577.9889407116</v>
      </c>
      <c r="L2038" s="455">
        <f t="shared" ca="1" si="137"/>
        <v>-782184295.33471155</v>
      </c>
      <c r="M2038" s="471">
        <f t="shared" si="139"/>
        <v>0.05</v>
      </c>
      <c r="N2038" s="475">
        <f t="shared" si="140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38"/>
        <v>-782184295.33471155</v>
      </c>
      <c r="J2039" s="455">
        <f t="array" ref="J2039">IFERROR(INDEX('Retirement Calculator'!J:J,MATCH('Isaac 401k'!N2039,'Retirement Calculator'!A:A,0),0),0)</f>
        <v>0</v>
      </c>
      <c r="K2039" s="455">
        <f t="shared" ca="1" si="136"/>
        <v>-3259101.2305612983</v>
      </c>
      <c r="L2039" s="455">
        <f t="shared" ca="1" si="137"/>
        <v>-785443396.56527281</v>
      </c>
      <c r="M2039" s="471">
        <f t="shared" si="139"/>
        <v>0.05</v>
      </c>
      <c r="N2039" s="475">
        <f t="shared" si="140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38"/>
        <v>-785443396.56527281</v>
      </c>
      <c r="J2040" s="455">
        <f t="array" ref="J2040">IFERROR(INDEX('Retirement Calculator'!J:J,MATCH('Isaac 401k'!N2040,'Retirement Calculator'!A:A,0),0),0)</f>
        <v>0</v>
      </c>
      <c r="K2040" s="455">
        <f t="shared" ca="1" si="136"/>
        <v>-3272680.81902197</v>
      </c>
      <c r="L2040" s="455">
        <f t="shared" ca="1" si="137"/>
        <v>-788716077.38429475</v>
      </c>
      <c r="M2040" s="471">
        <f t="shared" si="139"/>
        <v>0.05</v>
      </c>
      <c r="N2040" s="475">
        <f t="shared" si="140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38"/>
        <v>-788716077.38429475</v>
      </c>
      <c r="J2041" s="455">
        <f t="array" ref="J2041">IFERROR(INDEX('Retirement Calculator'!J:J,MATCH('Isaac 401k'!N2041,'Retirement Calculator'!A:A,0),0),0)</f>
        <v>0</v>
      </c>
      <c r="K2041" s="455">
        <f t="shared" ca="1" si="136"/>
        <v>-3286316.9891012283</v>
      </c>
      <c r="L2041" s="455">
        <f t="shared" ca="1" si="137"/>
        <v>-792002394.37339592</v>
      </c>
      <c r="M2041" s="471">
        <f t="shared" si="139"/>
        <v>0.05</v>
      </c>
      <c r="N2041" s="475">
        <f t="shared" si="140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38"/>
        <v>-792002394.37339592</v>
      </c>
      <c r="J2042" s="455">
        <f t="array" ref="J2042">IFERROR(INDEX('Retirement Calculator'!J:J,MATCH('Isaac 401k'!N2042,'Retirement Calculator'!A:A,0),0),0)</f>
        <v>0</v>
      </c>
      <c r="K2042" s="455">
        <f t="shared" ca="1" si="136"/>
        <v>-3300009.9765558164</v>
      </c>
      <c r="L2042" s="455">
        <f t="shared" ca="1" si="137"/>
        <v>-795302404.34995174</v>
      </c>
      <c r="M2042" s="471">
        <f t="shared" si="139"/>
        <v>0.05</v>
      </c>
      <c r="N2042" s="475">
        <f t="shared" si="140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38"/>
        <v>-795302404.34995174</v>
      </c>
      <c r="J2043" s="455">
        <f t="array" ref="J2043">IFERROR(INDEX('Retirement Calculator'!J:J,MATCH('Isaac 401k'!N2043,'Retirement Calculator'!A:A,0),0),0)</f>
        <v>0</v>
      </c>
      <c r="K2043" s="455">
        <f t="shared" ca="1" si="136"/>
        <v>-3313760.0181247988</v>
      </c>
      <c r="L2043" s="455">
        <f t="shared" ca="1" si="137"/>
        <v>-798616164.36807656</v>
      </c>
      <c r="M2043" s="471">
        <f t="shared" si="139"/>
        <v>0.05</v>
      </c>
      <c r="N2043" s="475">
        <f t="shared" si="140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38"/>
        <v>-798616164.36807656</v>
      </c>
      <c r="J2044" s="455">
        <f t="array" ref="J2044">IFERROR(INDEX('Retirement Calculator'!J:J,MATCH('Isaac 401k'!N2044,'Retirement Calculator'!A:A,0),0),0)</f>
        <v>0</v>
      </c>
      <c r="K2044" s="455">
        <f t="shared" ca="1" si="136"/>
        <v>-3327567.3515336523</v>
      </c>
      <c r="L2044" s="455">
        <f t="shared" ca="1" si="137"/>
        <v>-801943731.71961021</v>
      </c>
      <c r="M2044" s="471">
        <f t="shared" si="139"/>
        <v>0.05</v>
      </c>
      <c r="N2044" s="475">
        <f t="shared" si="140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38"/>
        <v>-801943731.71961021</v>
      </c>
      <c r="J2045" s="455">
        <f t="array" ref="J2045">IFERROR(INDEX('Retirement Calculator'!J:J,MATCH('Isaac 401k'!N2045,'Retirement Calculator'!A:A,0),0),0)</f>
        <v>0</v>
      </c>
      <c r="K2045" s="455">
        <f t="shared" ca="1" si="136"/>
        <v>-3341432.2154983757</v>
      </c>
      <c r="L2045" s="455">
        <f t="shared" ca="1" si="137"/>
        <v>-805285163.93510854</v>
      </c>
      <c r="M2045" s="471">
        <f t="shared" si="139"/>
        <v>0.05</v>
      </c>
      <c r="N2045" s="475">
        <f t="shared" si="140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38"/>
        <v>-805285163.93510854</v>
      </c>
      <c r="J2046" s="455">
        <f t="array" ref="J2046">IFERROR(INDEX('Retirement Calculator'!J:J,MATCH('Isaac 401k'!N2046,'Retirement Calculator'!A:A,0),0),0)</f>
        <v>0</v>
      </c>
      <c r="K2046" s="455">
        <f t="shared" ca="1" si="136"/>
        <v>-3355354.849729619</v>
      </c>
      <c r="L2046" s="455">
        <f t="shared" ca="1" si="137"/>
        <v>-808640518.7848382</v>
      </c>
      <c r="M2046" s="471">
        <f t="shared" si="139"/>
        <v>0.05</v>
      </c>
      <c r="N2046" s="475">
        <f t="shared" si="140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38"/>
        <v>-808640518.7848382</v>
      </c>
      <c r="J2047" s="455">
        <f t="array" ref="J2047">IFERROR(INDEX('Retirement Calculator'!J:J,MATCH('Isaac 401k'!N2047,'Retirement Calculator'!A:A,0),0),0)</f>
        <v>0</v>
      </c>
      <c r="K2047" s="455">
        <f t="shared" ca="1" si="136"/>
        <v>-3369335.4949368257</v>
      </c>
      <c r="L2047" s="455">
        <f t="shared" ca="1" si="137"/>
        <v>-812009854.27977502</v>
      </c>
      <c r="M2047" s="471">
        <f t="shared" si="139"/>
        <v>0.05</v>
      </c>
      <c r="N2047" s="475">
        <f t="shared" si="140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38"/>
        <v>-812009854.27977502</v>
      </c>
      <c r="J2048" s="455">
        <f t="array" ref="J2048">IFERROR(INDEX('Retirement Calculator'!J:J,MATCH('Isaac 401k'!N2048,'Retirement Calculator'!A:A,0),0),0)</f>
        <v>0</v>
      </c>
      <c r="K2048" s="455">
        <f t="shared" ref="K2048:K2302" ca="1" si="141">IPMT(M2048/12,1,12,-I2048+J2048,,0)</f>
        <v>-3383374.3928323961</v>
      </c>
      <c r="L2048" s="455">
        <f t="shared" ref="L2048:L2302" ca="1" si="142">I2048-J2048+K2048</f>
        <v>-815393228.67260742</v>
      </c>
      <c r="M2048" s="471">
        <f t="shared" si="139"/>
        <v>0.05</v>
      </c>
      <c r="N2048" s="475">
        <f t="shared" si="140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43">L2048</f>
        <v>-815393228.67260742</v>
      </c>
      <c r="J2049" s="455">
        <f t="array" ref="J2049">IFERROR(INDEX('Retirement Calculator'!J:J,MATCH('Isaac 401k'!N2049,'Retirement Calculator'!A:A,0),0),0)</f>
        <v>0</v>
      </c>
      <c r="K2049" s="455">
        <f t="shared" ca="1" si="141"/>
        <v>-3397471.786135864</v>
      </c>
      <c r="L2049" s="455">
        <f t="shared" ca="1" si="142"/>
        <v>-818790700.45874333</v>
      </c>
      <c r="M2049" s="471">
        <f t="shared" ref="M2049:M2303" si="144">M2048</f>
        <v>0.05</v>
      </c>
      <c r="N2049" s="475">
        <f t="shared" ref="N2049:N2303" si="145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43"/>
        <v>-818790700.45874333</v>
      </c>
      <c r="J2050" s="455">
        <f t="array" ref="J2050">IFERROR(INDEX('Retirement Calculator'!J:J,MATCH('Isaac 401k'!N2050,'Retirement Calculator'!A:A,0),0),0)</f>
        <v>0</v>
      </c>
      <c r="K2050" s="455">
        <f t="shared" ca="1" si="141"/>
        <v>-3411627.9185780971</v>
      </c>
      <c r="L2050" s="455">
        <f t="shared" ca="1" si="142"/>
        <v>-822202328.37732148</v>
      </c>
      <c r="M2050" s="471">
        <f t="shared" si="144"/>
        <v>0.05</v>
      </c>
      <c r="N2050" s="475">
        <f t="shared" si="145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43"/>
        <v>-822202328.37732148</v>
      </c>
      <c r="J2051" s="455">
        <f t="array" ref="J2051">IFERROR(INDEX('Retirement Calculator'!J:J,MATCH('Isaac 401k'!N2051,'Retirement Calculator'!A:A,0),0),0)</f>
        <v>0</v>
      </c>
      <c r="K2051" s="455">
        <f t="shared" ca="1" si="141"/>
        <v>-3425843.0349055063</v>
      </c>
      <c r="L2051" s="455">
        <f t="shared" ca="1" si="142"/>
        <v>-825628171.41222703</v>
      </c>
      <c r="M2051" s="471">
        <f t="shared" si="144"/>
        <v>0.05</v>
      </c>
      <c r="N2051" s="475">
        <f t="shared" si="145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43"/>
        <v>-825628171.41222703</v>
      </c>
      <c r="J2052" s="455">
        <f t="array" ref="J2052">IFERROR(INDEX('Retirement Calculator'!J:J,MATCH('Isaac 401k'!N2052,'Retirement Calculator'!A:A,0),0),0)</f>
        <v>0</v>
      </c>
      <c r="K2052" s="455">
        <f t="shared" ca="1" si="141"/>
        <v>-3440117.380884279</v>
      </c>
      <c r="L2052" s="455">
        <f t="shared" ca="1" si="142"/>
        <v>-829068288.79311132</v>
      </c>
      <c r="M2052" s="471">
        <f t="shared" si="144"/>
        <v>0.05</v>
      </c>
      <c r="N2052" s="475">
        <f t="shared" si="145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43"/>
        <v>-829068288.79311132</v>
      </c>
      <c r="J2053" s="455">
        <f t="array" ref="J2053">IFERROR(INDEX('Retirement Calculator'!J:J,MATCH('Isaac 401k'!N2053,'Retirement Calculator'!A:A,0),0),0)</f>
        <v>0</v>
      </c>
      <c r="K2053" s="455">
        <f t="shared" ca="1" si="141"/>
        <v>-3454451.2033046302</v>
      </c>
      <c r="L2053" s="455">
        <f t="shared" ca="1" si="142"/>
        <v>-832522739.99641597</v>
      </c>
      <c r="M2053" s="471">
        <f t="shared" si="144"/>
        <v>0.05</v>
      </c>
      <c r="N2053" s="475">
        <f t="shared" si="145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43"/>
        <v>-832522739.99641597</v>
      </c>
      <c r="J2054" s="455">
        <f t="array" ref="J2054">IFERROR(INDEX('Retirement Calculator'!J:J,MATCH('Isaac 401k'!N2054,'Retirement Calculator'!A:A,0),0),0)</f>
        <v>0</v>
      </c>
      <c r="K2054" s="455">
        <f t="shared" ca="1" si="141"/>
        <v>-3468844.7499850667</v>
      </c>
      <c r="L2054" s="455">
        <f t="shared" ca="1" si="142"/>
        <v>-835991584.74640107</v>
      </c>
      <c r="M2054" s="471">
        <f t="shared" si="144"/>
        <v>0.05</v>
      </c>
      <c r="N2054" s="475">
        <f t="shared" si="145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43"/>
        <v>-835991584.74640107</v>
      </c>
      <c r="J2055" s="455">
        <f t="array" ref="J2055">IFERROR(INDEX('Retirement Calculator'!J:J,MATCH('Isaac 401k'!N2055,'Retirement Calculator'!A:A,0),0),0)</f>
        <v>0</v>
      </c>
      <c r="K2055" s="455">
        <f t="shared" ca="1" si="141"/>
        <v>-3483298.2697766712</v>
      </c>
      <c r="L2055" s="455">
        <f t="shared" ca="1" si="142"/>
        <v>-839474883.01617777</v>
      </c>
      <c r="M2055" s="471">
        <f t="shared" si="144"/>
        <v>0.05</v>
      </c>
      <c r="N2055" s="475">
        <f t="shared" si="145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43"/>
        <v>-839474883.01617777</v>
      </c>
      <c r="J2056" s="455">
        <f t="array" ref="J2056">IFERROR(INDEX('Retirement Calculator'!J:J,MATCH('Isaac 401k'!N2056,'Retirement Calculator'!A:A,0),0),0)</f>
        <v>0</v>
      </c>
      <c r="K2056" s="455">
        <f t="shared" ca="1" si="141"/>
        <v>-3497812.012567407</v>
      </c>
      <c r="L2056" s="455">
        <f t="shared" ca="1" si="142"/>
        <v>-842972695.02874517</v>
      </c>
      <c r="M2056" s="471">
        <f t="shared" si="144"/>
        <v>0.05</v>
      </c>
      <c r="N2056" s="475">
        <f t="shared" si="145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43"/>
        <v>-842972695.02874517</v>
      </c>
      <c r="J2057" s="455">
        <f t="array" ref="J2057">IFERROR(INDEX('Retirement Calculator'!J:J,MATCH('Isaac 401k'!N2057,'Retirement Calculator'!A:A,0),0),0)</f>
        <v>0</v>
      </c>
      <c r="K2057" s="455">
        <f t="shared" ca="1" si="141"/>
        <v>-3512386.2292864383</v>
      </c>
      <c r="L2057" s="455">
        <f t="shared" ca="1" si="142"/>
        <v>-846485081.25803161</v>
      </c>
      <c r="M2057" s="471">
        <f t="shared" si="144"/>
        <v>0.05</v>
      </c>
      <c r="N2057" s="475">
        <f t="shared" si="145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43"/>
        <v>-846485081.25803161</v>
      </c>
      <c r="J2058" s="455">
        <f t="array" ref="J2058">IFERROR(INDEX('Retirement Calculator'!J:J,MATCH('Isaac 401k'!N2058,'Retirement Calculator'!A:A,0),0),0)</f>
        <v>0</v>
      </c>
      <c r="K2058" s="455">
        <f t="shared" ca="1" si="141"/>
        <v>-3527021.1719084647</v>
      </c>
      <c r="L2058" s="455">
        <f t="shared" ca="1" si="142"/>
        <v>-850012102.4299401</v>
      </c>
      <c r="M2058" s="471">
        <f t="shared" si="144"/>
        <v>0.05</v>
      </c>
      <c r="N2058" s="475">
        <f t="shared" si="145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43"/>
        <v>-850012102.4299401</v>
      </c>
      <c r="J2059" s="455">
        <f t="array" ref="J2059">IFERROR(INDEX('Retirement Calculator'!J:J,MATCH('Isaac 401k'!N2059,'Retirement Calculator'!A:A,0),0),0)</f>
        <v>0</v>
      </c>
      <c r="K2059" s="455">
        <f t="shared" ca="1" si="141"/>
        <v>-3541717.0934580839</v>
      </c>
      <c r="L2059" s="455">
        <f t="shared" ca="1" si="142"/>
        <v>-853553819.52339816</v>
      </c>
      <c r="M2059" s="471">
        <f t="shared" si="144"/>
        <v>0.05</v>
      </c>
      <c r="N2059" s="475">
        <f t="shared" si="145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43"/>
        <v>-853553819.52339816</v>
      </c>
      <c r="J2060" s="455">
        <f t="array" ref="J2060">IFERROR(INDEX('Retirement Calculator'!J:J,MATCH('Isaac 401k'!N2060,'Retirement Calculator'!A:A,0),0),0)</f>
        <v>0</v>
      </c>
      <c r="K2060" s="455">
        <f t="shared" ca="1" si="141"/>
        <v>-3556474.2480141586</v>
      </c>
      <c r="L2060" s="455">
        <f t="shared" ca="1" si="142"/>
        <v>-857110293.77141237</v>
      </c>
      <c r="M2060" s="471">
        <f t="shared" si="144"/>
        <v>0.05</v>
      </c>
      <c r="N2060" s="475">
        <f t="shared" si="145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43"/>
        <v>-857110293.77141237</v>
      </c>
      <c r="J2061" s="455">
        <f t="array" ref="J2061">IFERROR(INDEX('Retirement Calculator'!J:J,MATCH('Isaac 401k'!N2061,'Retirement Calculator'!A:A,0),0),0)</f>
        <v>0</v>
      </c>
      <c r="K2061" s="455">
        <f t="shared" ca="1" si="141"/>
        <v>-3571292.8907142184</v>
      </c>
      <c r="L2061" s="455">
        <f t="shared" ca="1" si="142"/>
        <v>-860681586.66212654</v>
      </c>
      <c r="M2061" s="471">
        <f t="shared" si="144"/>
        <v>0.05</v>
      </c>
      <c r="N2061" s="475">
        <f t="shared" si="145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43"/>
        <v>-860681586.66212654</v>
      </c>
      <c r="J2062" s="455">
        <f t="array" ref="J2062">IFERROR(INDEX('Retirement Calculator'!J:J,MATCH('Isaac 401k'!N2062,'Retirement Calculator'!A:A,0),0),0)</f>
        <v>0</v>
      </c>
      <c r="K2062" s="455">
        <f t="shared" ca="1" si="141"/>
        <v>-3586173.2777588605</v>
      </c>
      <c r="L2062" s="455">
        <f t="shared" ca="1" si="142"/>
        <v>-864267759.93988538</v>
      </c>
      <c r="M2062" s="471">
        <f t="shared" si="144"/>
        <v>0.05</v>
      </c>
      <c r="N2062" s="475">
        <f t="shared" si="145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43"/>
        <v>-864267759.93988538</v>
      </c>
      <c r="J2063" s="455">
        <f t="array" ref="J2063">IFERROR(INDEX('Retirement Calculator'!J:J,MATCH('Isaac 401k'!N2063,'Retirement Calculator'!A:A,0),0),0)</f>
        <v>0</v>
      </c>
      <c r="K2063" s="455">
        <f t="shared" ca="1" si="141"/>
        <v>-3601115.6664161896</v>
      </c>
      <c r="L2063" s="455">
        <f t="shared" ca="1" si="142"/>
        <v>-867868875.60630155</v>
      </c>
      <c r="M2063" s="471">
        <f t="shared" si="144"/>
        <v>0.05</v>
      </c>
      <c r="N2063" s="475">
        <f t="shared" si="145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43"/>
        <v>-867868875.60630155</v>
      </c>
      <c r="J2064" s="455">
        <f t="array" ref="J2064">IFERROR(INDEX('Retirement Calculator'!J:J,MATCH('Isaac 401k'!N2064,'Retirement Calculator'!A:A,0),0),0)</f>
        <v>0</v>
      </c>
      <c r="K2064" s="455">
        <f t="shared" ca="1" si="141"/>
        <v>-3616120.3150262558</v>
      </c>
      <c r="L2064" s="455">
        <f t="shared" ca="1" si="142"/>
        <v>-871484995.92132783</v>
      </c>
      <c r="M2064" s="471">
        <f t="shared" si="144"/>
        <v>0.05</v>
      </c>
      <c r="N2064" s="475">
        <f t="shared" si="145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43"/>
        <v>-871484995.92132783</v>
      </c>
      <c r="J2065" s="455">
        <f t="array" ref="J2065">IFERROR(INDEX('Retirement Calculator'!J:J,MATCH('Isaac 401k'!N2065,'Retirement Calculator'!A:A,0),0),0)</f>
        <v>0</v>
      </c>
      <c r="K2065" s="455">
        <f t="shared" ca="1" si="141"/>
        <v>-3631187.4830055325</v>
      </c>
      <c r="L2065" s="455">
        <f t="shared" ca="1" si="142"/>
        <v>-875116183.40433335</v>
      </c>
      <c r="M2065" s="471">
        <f t="shared" si="144"/>
        <v>0.05</v>
      </c>
      <c r="N2065" s="475">
        <f t="shared" si="145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43"/>
        <v>-875116183.40433335</v>
      </c>
      <c r="J2066" s="455">
        <f t="array" ref="J2066">IFERROR(INDEX('Retirement Calculator'!J:J,MATCH('Isaac 401k'!N2066,'Retirement Calculator'!A:A,0),0),0)</f>
        <v>0</v>
      </c>
      <c r="K2066" s="455">
        <f t="shared" ca="1" si="141"/>
        <v>-3646317.4308513892</v>
      </c>
      <c r="L2066" s="455">
        <f t="shared" ca="1" si="142"/>
        <v>-878762500.83518469</v>
      </c>
      <c r="M2066" s="471">
        <f t="shared" si="144"/>
        <v>0.05</v>
      </c>
      <c r="N2066" s="475">
        <f t="shared" si="145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43"/>
        <v>-878762500.83518469</v>
      </c>
      <c r="J2067" s="455">
        <f t="array" ref="J2067">IFERROR(INDEX('Retirement Calculator'!J:J,MATCH('Isaac 401k'!N2067,'Retirement Calculator'!A:A,0),0),0)</f>
        <v>0</v>
      </c>
      <c r="K2067" s="455">
        <f t="shared" ca="1" si="141"/>
        <v>-3661510.4201466027</v>
      </c>
      <c r="L2067" s="455">
        <f t="shared" ca="1" si="142"/>
        <v>-882424011.25533128</v>
      </c>
      <c r="M2067" s="471">
        <f t="shared" si="144"/>
        <v>0.05</v>
      </c>
      <c r="N2067" s="475">
        <f t="shared" si="145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43"/>
        <v>-882424011.25533128</v>
      </c>
      <c r="J2068" s="455">
        <f t="array" ref="J2068">IFERROR(INDEX('Retirement Calculator'!J:J,MATCH('Isaac 401k'!N2068,'Retirement Calculator'!A:A,0),0),0)</f>
        <v>0</v>
      </c>
      <c r="K2068" s="455">
        <f t="shared" ca="1" si="141"/>
        <v>-3676766.7135638809</v>
      </c>
      <c r="L2068" s="455">
        <f t="shared" ca="1" si="142"/>
        <v>-886100777.9688952</v>
      </c>
      <c r="M2068" s="471">
        <f t="shared" si="144"/>
        <v>0.05</v>
      </c>
      <c r="N2068" s="475">
        <f t="shared" si="145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43"/>
        <v>-886100777.9688952</v>
      </c>
      <c r="J2069" s="455">
        <f t="array" ref="J2069">IFERROR(INDEX('Retirement Calculator'!J:J,MATCH('Isaac 401k'!N2069,'Retirement Calculator'!A:A,0),0),0)</f>
        <v>0</v>
      </c>
      <c r="K2069" s="455">
        <f t="shared" ca="1" si="141"/>
        <v>-3692086.5748703969</v>
      </c>
      <c r="L2069" s="455">
        <f t="shared" ca="1" si="142"/>
        <v>-889792864.54376554</v>
      </c>
      <c r="M2069" s="471">
        <f t="shared" si="144"/>
        <v>0.05</v>
      </c>
      <c r="N2069" s="475">
        <f t="shared" si="145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43"/>
        <v>-889792864.54376554</v>
      </c>
      <c r="J2070" s="455">
        <f t="array" ref="J2070">IFERROR(INDEX('Retirement Calculator'!J:J,MATCH('Isaac 401k'!N2070,'Retirement Calculator'!A:A,0),0),0)</f>
        <v>0</v>
      </c>
      <c r="K2070" s="455">
        <f t="shared" ca="1" si="141"/>
        <v>-3707470.2689323565</v>
      </c>
      <c r="L2070" s="455">
        <f t="shared" ca="1" si="142"/>
        <v>-893500334.81269789</v>
      </c>
      <c r="M2070" s="471">
        <f t="shared" si="144"/>
        <v>0.05</v>
      </c>
      <c r="N2070" s="475">
        <f t="shared" si="145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43"/>
        <v>-893500334.81269789</v>
      </c>
      <c r="J2071" s="455">
        <f t="array" ref="J2071">IFERROR(INDEX('Retirement Calculator'!J:J,MATCH('Isaac 401k'!N2071,'Retirement Calculator'!A:A,0),0),0)</f>
        <v>0</v>
      </c>
      <c r="K2071" s="455">
        <f t="shared" ca="1" si="141"/>
        <v>-3722918.061719574</v>
      </c>
      <c r="L2071" s="455">
        <f t="shared" ca="1" si="142"/>
        <v>-897223252.87441742</v>
      </c>
      <c r="M2071" s="471">
        <f t="shared" si="144"/>
        <v>0.05</v>
      </c>
      <c r="N2071" s="475">
        <f t="shared" si="145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43"/>
        <v>-897223252.87441742</v>
      </c>
      <c r="J2072" s="455">
        <f t="array" ref="J2072">IFERROR(INDEX('Retirement Calculator'!J:J,MATCH('Isaac 401k'!N2072,'Retirement Calculator'!A:A,0),0),0)</f>
        <v>0</v>
      </c>
      <c r="K2072" s="455">
        <f t="shared" ca="1" si="141"/>
        <v>-3738430.2203100724</v>
      </c>
      <c r="L2072" s="455">
        <f t="shared" ca="1" si="142"/>
        <v>-900961683.09472752</v>
      </c>
      <c r="M2072" s="471">
        <f t="shared" si="144"/>
        <v>0.05</v>
      </c>
      <c r="N2072" s="475">
        <f t="shared" si="145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43"/>
        <v>-900961683.09472752</v>
      </c>
      <c r="J2073" s="455">
        <f t="array" ref="J2073">IFERROR(INDEX('Retirement Calculator'!J:J,MATCH('Isaac 401k'!N2073,'Retirement Calculator'!A:A,0),0),0)</f>
        <v>0</v>
      </c>
      <c r="K2073" s="455">
        <f t="shared" ca="1" si="141"/>
        <v>-3754007.012894698</v>
      </c>
      <c r="L2073" s="455">
        <f t="shared" ca="1" si="142"/>
        <v>-904715690.10762227</v>
      </c>
      <c r="M2073" s="471">
        <f t="shared" si="144"/>
        <v>0.05</v>
      </c>
      <c r="N2073" s="475">
        <f t="shared" si="145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43"/>
        <v>-904715690.10762227</v>
      </c>
      <c r="J2074" s="455">
        <f t="array" ref="J2074">IFERROR(INDEX('Retirement Calculator'!J:J,MATCH('Isaac 401k'!N2074,'Retirement Calculator'!A:A,0),0),0)</f>
        <v>0</v>
      </c>
      <c r="K2074" s="455">
        <f t="shared" ca="1" si="141"/>
        <v>-3769648.7087817593</v>
      </c>
      <c r="L2074" s="455">
        <f t="shared" ca="1" si="142"/>
        <v>-908485338.81640399</v>
      </c>
      <c r="M2074" s="471">
        <f t="shared" si="144"/>
        <v>0.05</v>
      </c>
      <c r="N2074" s="475">
        <f t="shared" si="145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43"/>
        <v>-908485338.81640399</v>
      </c>
      <c r="J2075" s="455">
        <f t="array" ref="J2075">IFERROR(INDEX('Retirement Calculator'!J:J,MATCH('Isaac 401k'!N2075,'Retirement Calculator'!A:A,0),0),0)</f>
        <v>0</v>
      </c>
      <c r="K2075" s="455">
        <f t="shared" ca="1" si="141"/>
        <v>-3785355.5784016829</v>
      </c>
      <c r="L2075" s="455">
        <f t="shared" ca="1" si="142"/>
        <v>-912270694.39480567</v>
      </c>
      <c r="M2075" s="471">
        <f t="shared" si="144"/>
        <v>0.05</v>
      </c>
      <c r="N2075" s="475">
        <f t="shared" si="145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43"/>
        <v>-912270694.39480567</v>
      </c>
      <c r="J2076" s="455">
        <f t="array" ref="J2076">IFERROR(INDEX('Retirement Calculator'!J:J,MATCH('Isaac 401k'!N2076,'Retirement Calculator'!A:A,0),0),0)</f>
        <v>0</v>
      </c>
      <c r="K2076" s="455">
        <f t="shared" ca="1" si="141"/>
        <v>-3801127.8933116901</v>
      </c>
      <c r="L2076" s="455">
        <f t="shared" ca="1" si="142"/>
        <v>-916071822.28811741</v>
      </c>
      <c r="M2076" s="471">
        <f t="shared" si="144"/>
        <v>0.05</v>
      </c>
      <c r="N2076" s="475">
        <f t="shared" si="145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43"/>
        <v>-916071822.28811741</v>
      </c>
      <c r="J2077" s="455">
        <f t="array" ref="J2077">IFERROR(INDEX('Retirement Calculator'!J:J,MATCH('Isaac 401k'!N2077,'Retirement Calculator'!A:A,0),0),0)</f>
        <v>0</v>
      </c>
      <c r="K2077" s="455">
        <f t="shared" ca="1" si="141"/>
        <v>-3816965.926200489</v>
      </c>
      <c r="L2077" s="455">
        <f t="shared" ca="1" si="142"/>
        <v>-919888788.21431792</v>
      </c>
      <c r="M2077" s="471">
        <f t="shared" si="144"/>
        <v>0.05</v>
      </c>
      <c r="N2077" s="475">
        <f t="shared" si="145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43"/>
        <v>-919888788.21431792</v>
      </c>
      <c r="J2078" s="455">
        <f t="array" ref="J2078">IFERROR(INDEX('Retirement Calculator'!J:J,MATCH('Isaac 401k'!N2078,'Retirement Calculator'!A:A,0),0),0)</f>
        <v>0</v>
      </c>
      <c r="K2078" s="455">
        <f t="shared" ca="1" si="141"/>
        <v>-3832869.9508929919</v>
      </c>
      <c r="L2078" s="455">
        <f t="shared" ca="1" si="142"/>
        <v>-923721658.16521096</v>
      </c>
      <c r="M2078" s="471">
        <f t="shared" si="144"/>
        <v>0.05</v>
      </c>
      <c r="N2078" s="475">
        <f t="shared" si="145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43"/>
        <v>-923721658.16521096</v>
      </c>
      <c r="J2079" s="455">
        <f t="array" ref="J2079">IFERROR(INDEX('Retirement Calculator'!J:J,MATCH('Isaac 401k'!N2079,'Retirement Calculator'!A:A,0),0),0)</f>
        <v>0</v>
      </c>
      <c r="K2079" s="455">
        <f t="shared" ca="1" si="141"/>
        <v>-3848840.2423550454</v>
      </c>
      <c r="L2079" s="455">
        <f t="shared" ca="1" si="142"/>
        <v>-927570498.40756595</v>
      </c>
      <c r="M2079" s="471">
        <f t="shared" si="144"/>
        <v>0.05</v>
      </c>
      <c r="N2079" s="475">
        <f t="shared" si="145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43"/>
        <v>-927570498.40756595</v>
      </c>
      <c r="J2080" s="455">
        <f t="array" ref="J2080">IFERROR(INDEX('Retirement Calculator'!J:J,MATCH('Isaac 401k'!N2080,'Retirement Calculator'!A:A,0),0),0)</f>
        <v>0</v>
      </c>
      <c r="K2080" s="455">
        <f t="shared" ca="1" si="141"/>
        <v>-3864877.0766981915</v>
      </c>
      <c r="L2080" s="455">
        <f t="shared" ca="1" si="142"/>
        <v>-931435375.48426414</v>
      </c>
      <c r="M2080" s="471">
        <f t="shared" si="144"/>
        <v>0.05</v>
      </c>
      <c r="N2080" s="475">
        <f t="shared" si="145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43"/>
        <v>-931435375.48426414</v>
      </c>
      <c r="J2081" s="455">
        <f t="array" ref="J2081">IFERROR(INDEX('Retirement Calculator'!J:J,MATCH('Isaac 401k'!N2081,'Retirement Calculator'!A:A,0),0),0)</f>
        <v>0</v>
      </c>
      <c r="K2081" s="455">
        <f t="shared" ca="1" si="141"/>
        <v>-3880980.7311844341</v>
      </c>
      <c r="L2081" s="455">
        <f t="shared" ca="1" si="142"/>
        <v>-935316356.21544862</v>
      </c>
      <c r="M2081" s="471">
        <f t="shared" si="144"/>
        <v>0.05</v>
      </c>
      <c r="N2081" s="475">
        <f t="shared" si="145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43"/>
        <v>-935316356.21544862</v>
      </c>
      <c r="J2082" s="455">
        <f t="array" ref="J2082">IFERROR(INDEX('Retirement Calculator'!J:J,MATCH('Isaac 401k'!N2082,'Retirement Calculator'!A:A,0),0),0)</f>
        <v>0</v>
      </c>
      <c r="K2082" s="455">
        <f t="shared" ca="1" si="141"/>
        <v>-3897151.4842310352</v>
      </c>
      <c r="L2082" s="455">
        <f t="shared" ca="1" si="142"/>
        <v>-939213507.69967961</v>
      </c>
      <c r="M2082" s="471">
        <f t="shared" si="144"/>
        <v>0.05</v>
      </c>
      <c r="N2082" s="475">
        <f t="shared" si="145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43"/>
        <v>-939213507.69967961</v>
      </c>
      <c r="J2083" s="455">
        <f t="array" ref="J2083">IFERROR(INDEX('Retirement Calculator'!J:J,MATCH('Isaac 401k'!N2083,'Retirement Calculator'!A:A,0),0),0)</f>
        <v>0</v>
      </c>
      <c r="K2083" s="455">
        <f t="shared" ca="1" si="141"/>
        <v>-3913389.6154153324</v>
      </c>
      <c r="L2083" s="455">
        <f t="shared" ca="1" si="142"/>
        <v>-943126897.31509495</v>
      </c>
      <c r="M2083" s="471">
        <f t="shared" si="144"/>
        <v>0.05</v>
      </c>
      <c r="N2083" s="475">
        <f t="shared" si="145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43"/>
        <v>-943126897.31509495</v>
      </c>
      <c r="J2084" s="455">
        <f t="array" ref="J2084">IFERROR(INDEX('Retirement Calculator'!J:J,MATCH('Isaac 401k'!N2084,'Retirement Calculator'!A:A,0),0),0)</f>
        <v>0</v>
      </c>
      <c r="K2084" s="455">
        <f t="shared" ca="1" si="141"/>
        <v>-3929695.405479562</v>
      </c>
      <c r="L2084" s="455">
        <f t="shared" ca="1" si="142"/>
        <v>-947056592.7205745</v>
      </c>
      <c r="M2084" s="471">
        <f t="shared" si="144"/>
        <v>0.05</v>
      </c>
      <c r="N2084" s="475">
        <f t="shared" si="145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43"/>
        <v>-947056592.7205745</v>
      </c>
      <c r="J2085" s="455">
        <f t="array" ref="J2085">IFERROR(INDEX('Retirement Calculator'!J:J,MATCH('Isaac 401k'!N2085,'Retirement Calculator'!A:A,0),0),0)</f>
        <v>0</v>
      </c>
      <c r="K2085" s="455">
        <f t="shared" ca="1" si="141"/>
        <v>-3946069.1363357268</v>
      </c>
      <c r="L2085" s="455">
        <f t="shared" ca="1" si="142"/>
        <v>-951002661.85691023</v>
      </c>
      <c r="M2085" s="471">
        <f t="shared" si="144"/>
        <v>0.05</v>
      </c>
      <c r="N2085" s="475">
        <f t="shared" si="145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43"/>
        <v>-951002661.85691023</v>
      </c>
      <c r="J2086" s="455">
        <f t="array" ref="J2086">IFERROR(INDEX('Retirement Calculator'!J:J,MATCH('Isaac 401k'!N2086,'Retirement Calculator'!A:A,0),0),0)</f>
        <v>0</v>
      </c>
      <c r="K2086" s="455">
        <f t="shared" ca="1" si="141"/>
        <v>-3962511.0910704592</v>
      </c>
      <c r="L2086" s="455">
        <f t="shared" ca="1" si="142"/>
        <v>-954965172.94798064</v>
      </c>
      <c r="M2086" s="471">
        <f t="shared" si="144"/>
        <v>0.05</v>
      </c>
      <c r="N2086" s="475">
        <f t="shared" si="145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43"/>
        <v>-954965172.94798064</v>
      </c>
      <c r="J2087" s="455">
        <f t="array" ref="J2087">IFERROR(INDEX('Retirement Calculator'!J:J,MATCH('Isaac 401k'!N2087,'Retirement Calculator'!A:A,0),0),0)</f>
        <v>0</v>
      </c>
      <c r="K2087" s="455">
        <f t="shared" ca="1" si="141"/>
        <v>-3979021.5539499191</v>
      </c>
      <c r="L2087" s="455">
        <f t="shared" ca="1" si="142"/>
        <v>-958944194.50193059</v>
      </c>
      <c r="M2087" s="471">
        <f t="shared" si="144"/>
        <v>0.05</v>
      </c>
      <c r="N2087" s="475">
        <f t="shared" si="145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43"/>
        <v>-958944194.50193059</v>
      </c>
      <c r="J2088" s="455">
        <f t="array" ref="J2088">IFERROR(INDEX('Retirement Calculator'!J:J,MATCH('Isaac 401k'!N2088,'Retirement Calculator'!A:A,0),0),0)</f>
        <v>0</v>
      </c>
      <c r="K2088" s="455">
        <f t="shared" ca="1" si="141"/>
        <v>-3995600.8104247102</v>
      </c>
      <c r="L2088" s="455">
        <f t="shared" ca="1" si="142"/>
        <v>-962939795.31235528</v>
      </c>
      <c r="M2088" s="471">
        <f t="shared" si="144"/>
        <v>0.05</v>
      </c>
      <c r="N2088" s="475">
        <f t="shared" si="145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43"/>
        <v>-962939795.31235528</v>
      </c>
      <c r="J2089" s="455">
        <f t="array" ref="J2089">IFERROR(INDEX('Retirement Calculator'!J:J,MATCH('Isaac 401k'!N2089,'Retirement Calculator'!A:A,0),0),0)</f>
        <v>0</v>
      </c>
      <c r="K2089" s="455">
        <f t="shared" ca="1" si="141"/>
        <v>-4012249.1471348135</v>
      </c>
      <c r="L2089" s="455">
        <f t="shared" ca="1" si="142"/>
        <v>-966952044.45949006</v>
      </c>
      <c r="M2089" s="471">
        <f t="shared" si="144"/>
        <v>0.05</v>
      </c>
      <c r="N2089" s="475">
        <f t="shared" si="145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43"/>
        <v>-966952044.45949006</v>
      </c>
      <c r="J2090" s="455">
        <f t="array" ref="J2090">IFERROR(INDEX('Retirement Calculator'!J:J,MATCH('Isaac 401k'!N2090,'Retirement Calculator'!A:A,0),0),0)</f>
        <v>0</v>
      </c>
      <c r="K2090" s="455">
        <f t="shared" ca="1" si="141"/>
        <v>-4028966.8519145418</v>
      </c>
      <c r="L2090" s="455">
        <f t="shared" ca="1" si="142"/>
        <v>-970981011.31140459</v>
      </c>
      <c r="M2090" s="471">
        <f t="shared" si="144"/>
        <v>0.05</v>
      </c>
      <c r="N2090" s="475">
        <f t="shared" si="145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43"/>
        <v>-970981011.31140459</v>
      </c>
      <c r="J2091" s="455">
        <f t="array" ref="J2091">IFERROR(INDEX('Retirement Calculator'!J:J,MATCH('Isaac 401k'!N2091,'Retirement Calculator'!A:A,0),0),0)</f>
        <v>0</v>
      </c>
      <c r="K2091" s="455">
        <f t="shared" ca="1" si="141"/>
        <v>-4045754.2137975185</v>
      </c>
      <c r="L2091" s="455">
        <f t="shared" ca="1" si="142"/>
        <v>-975026765.52520216</v>
      </c>
      <c r="M2091" s="471">
        <f t="shared" si="144"/>
        <v>0.05</v>
      </c>
      <c r="N2091" s="475">
        <f t="shared" si="145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43"/>
        <v>-975026765.52520216</v>
      </c>
      <c r="J2092" s="455">
        <f t="array" ref="J2092">IFERROR(INDEX('Retirement Calculator'!J:J,MATCH('Isaac 401k'!N2092,'Retirement Calculator'!A:A,0),0),0)</f>
        <v>0</v>
      </c>
      <c r="K2092" s="455">
        <f t="shared" ca="1" si="141"/>
        <v>-4062611.5230216756</v>
      </c>
      <c r="L2092" s="455">
        <f t="shared" ca="1" si="142"/>
        <v>-979089377.04822385</v>
      </c>
      <c r="M2092" s="471">
        <f t="shared" si="144"/>
        <v>0.05</v>
      </c>
      <c r="N2092" s="475">
        <f t="shared" si="145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43"/>
        <v>-979089377.04822385</v>
      </c>
      <c r="J2093" s="455">
        <f t="array" ref="J2093">IFERROR(INDEX('Retirement Calculator'!J:J,MATCH('Isaac 401k'!N2093,'Retirement Calculator'!A:A,0),0),0)</f>
        <v>0</v>
      </c>
      <c r="K2093" s="455">
        <f t="shared" ca="1" si="141"/>
        <v>-4079539.0710342661</v>
      </c>
      <c r="L2093" s="455">
        <f t="shared" ca="1" si="142"/>
        <v>-983168916.11925817</v>
      </c>
      <c r="M2093" s="471">
        <f t="shared" si="144"/>
        <v>0.05</v>
      </c>
      <c r="N2093" s="475">
        <f t="shared" si="145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43"/>
        <v>-983168916.11925817</v>
      </c>
      <c r="J2094" s="455">
        <f t="array" ref="J2094">IFERROR(INDEX('Retirement Calculator'!J:J,MATCH('Isaac 401k'!N2094,'Retirement Calculator'!A:A,0),0),0)</f>
        <v>0</v>
      </c>
      <c r="K2094" s="455">
        <f t="shared" ca="1" si="141"/>
        <v>-4096537.1504969089</v>
      </c>
      <c r="L2094" s="455">
        <f t="shared" ca="1" si="142"/>
        <v>-987265453.26975513</v>
      </c>
      <c r="M2094" s="471">
        <f t="shared" si="144"/>
        <v>0.05</v>
      </c>
      <c r="N2094" s="475">
        <f t="shared" si="145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43"/>
        <v>-987265453.26975513</v>
      </c>
      <c r="J2095" s="455">
        <f t="array" ref="J2095">IFERROR(INDEX('Retirement Calculator'!J:J,MATCH('Isaac 401k'!N2095,'Retirement Calculator'!A:A,0),0),0)</f>
        <v>0</v>
      </c>
      <c r="K2095" s="455">
        <f t="shared" ca="1" si="141"/>
        <v>-4113606.0552906464</v>
      </c>
      <c r="L2095" s="455">
        <f t="shared" ca="1" si="142"/>
        <v>-991379059.32504582</v>
      </c>
      <c r="M2095" s="471">
        <f t="shared" si="144"/>
        <v>0.05</v>
      </c>
      <c r="N2095" s="475">
        <f t="shared" si="145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43"/>
        <v>-991379059.32504582</v>
      </c>
      <c r="J2096" s="455">
        <f t="array" ref="J2096">IFERROR(INDEX('Retirement Calculator'!J:J,MATCH('Isaac 401k'!N2096,'Retirement Calculator'!A:A,0),0),0)</f>
        <v>0</v>
      </c>
      <c r="K2096" s="455">
        <f t="shared" ca="1" si="141"/>
        <v>-4130746.0805210243</v>
      </c>
      <c r="L2096" s="455">
        <f t="shared" ca="1" si="142"/>
        <v>-995509805.40556681</v>
      </c>
      <c r="M2096" s="471">
        <f t="shared" si="144"/>
        <v>0.05</v>
      </c>
      <c r="N2096" s="475">
        <f t="shared" si="145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43"/>
        <v>-995509805.40556681</v>
      </c>
      <c r="J2097" s="455">
        <f t="array" ref="J2097">IFERROR(INDEX('Retirement Calculator'!J:J,MATCH('Isaac 401k'!N2097,'Retirement Calculator'!A:A,0),0),0)</f>
        <v>0</v>
      </c>
      <c r="K2097" s="455">
        <f t="shared" ca="1" si="141"/>
        <v>-4147957.522523195</v>
      </c>
      <c r="L2097" s="455">
        <f t="shared" ca="1" si="142"/>
        <v>-999657762.92808998</v>
      </c>
      <c r="M2097" s="471">
        <f t="shared" si="144"/>
        <v>0.05</v>
      </c>
      <c r="N2097" s="475">
        <f t="shared" si="145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43"/>
        <v>-999657762.92808998</v>
      </c>
      <c r="J2098" s="455">
        <f t="array" ref="J2098">IFERROR(INDEX('Retirement Calculator'!J:J,MATCH('Isaac 401k'!N2098,'Retirement Calculator'!A:A,0),0),0)</f>
        <v>0</v>
      </c>
      <c r="K2098" s="455">
        <f t="shared" ca="1" si="141"/>
        <v>-4165240.6788670421</v>
      </c>
      <c r="L2098" s="455">
        <f t="shared" ca="1" si="142"/>
        <v>-1003823003.606957</v>
      </c>
      <c r="M2098" s="471">
        <f t="shared" si="144"/>
        <v>0.05</v>
      </c>
      <c r="N2098" s="475">
        <f t="shared" si="145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43"/>
        <v>-1003823003.606957</v>
      </c>
      <c r="J2099" s="455">
        <f t="array" ref="J2099">IFERROR(INDEX('Retirement Calculator'!J:J,MATCH('Isaac 401k'!N2099,'Retirement Calculator'!A:A,0),0),0)</f>
        <v>0</v>
      </c>
      <c r="K2099" s="455">
        <f t="shared" ca="1" si="141"/>
        <v>-4182595.8483623201</v>
      </c>
      <c r="L2099" s="455">
        <f t="shared" ca="1" si="142"/>
        <v>-1008005599.4553193</v>
      </c>
      <c r="M2099" s="471">
        <f t="shared" si="144"/>
        <v>0.05</v>
      </c>
      <c r="N2099" s="475">
        <f t="shared" si="145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43"/>
        <v>-1008005599.4553193</v>
      </c>
      <c r="J2100" s="455">
        <f t="array" ref="J2100">IFERROR(INDEX('Retirement Calculator'!J:J,MATCH('Isaac 401k'!N2100,'Retirement Calculator'!A:A,0),0),0)</f>
        <v>0</v>
      </c>
      <c r="K2100" s="455">
        <f t="shared" ca="1" si="141"/>
        <v>-4200023.3310638303</v>
      </c>
      <c r="L2100" s="455">
        <f t="shared" ca="1" si="142"/>
        <v>-1012205622.7863832</v>
      </c>
      <c r="M2100" s="471">
        <f t="shared" si="144"/>
        <v>0.05</v>
      </c>
      <c r="N2100" s="475">
        <f t="shared" si="145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43"/>
        <v>-1012205622.7863832</v>
      </c>
      <c r="J2101" s="455">
        <f t="array" ref="J2101">IFERROR(INDEX('Retirement Calculator'!J:J,MATCH('Isaac 401k'!N2101,'Retirement Calculator'!A:A,0),0),0)</f>
        <v>0</v>
      </c>
      <c r="K2101" s="455">
        <f t="shared" ca="1" si="141"/>
        <v>-4217523.4282765966</v>
      </c>
      <c r="L2101" s="455">
        <f t="shared" ca="1" si="142"/>
        <v>-1016423146.2146597</v>
      </c>
      <c r="M2101" s="471">
        <f t="shared" si="144"/>
        <v>0.05</v>
      </c>
      <c r="N2101" s="475">
        <f t="shared" si="145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43"/>
        <v>-1016423146.2146597</v>
      </c>
      <c r="J2102" s="455">
        <f t="array" ref="J2102">IFERROR(INDEX('Retirement Calculator'!J:J,MATCH('Isaac 401k'!N2102,'Retirement Calculator'!A:A,0),0),0)</f>
        <v>0</v>
      </c>
      <c r="K2102" s="455">
        <f t="shared" ca="1" si="141"/>
        <v>-4235096.4425610816</v>
      </c>
      <c r="L2102" s="455">
        <f t="shared" ca="1" si="142"/>
        <v>-1020658242.6572207</v>
      </c>
      <c r="M2102" s="471">
        <f t="shared" si="144"/>
        <v>0.05</v>
      </c>
      <c r="N2102" s="475">
        <f t="shared" si="145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43"/>
        <v>-1020658242.6572207</v>
      </c>
      <c r="J2103" s="455">
        <f t="array" ref="J2103">IFERROR(INDEX('Retirement Calculator'!J:J,MATCH('Isaac 401k'!N2103,'Retirement Calculator'!A:A,0),0),0)</f>
        <v>0</v>
      </c>
      <c r="K2103" s="455">
        <f t="shared" ca="1" si="141"/>
        <v>-4252742.6777384197</v>
      </c>
      <c r="L2103" s="455">
        <f t="shared" ca="1" si="142"/>
        <v>-1024910985.3349591</v>
      </c>
      <c r="M2103" s="471">
        <f t="shared" si="144"/>
        <v>0.05</v>
      </c>
      <c r="N2103" s="475">
        <f t="shared" si="145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43"/>
        <v>-1024910985.3349591</v>
      </c>
      <c r="J2104" s="455">
        <f t="array" ref="J2104">IFERROR(INDEX('Retirement Calculator'!J:J,MATCH('Isaac 401k'!N2104,'Retirement Calculator'!A:A,0),0),0)</f>
        <v>0</v>
      </c>
      <c r="K2104" s="455">
        <f t="shared" ca="1" si="141"/>
        <v>-4270462.4388956632</v>
      </c>
      <c r="L2104" s="455">
        <f t="shared" ca="1" si="142"/>
        <v>-1029181447.7738549</v>
      </c>
      <c r="M2104" s="471">
        <f t="shared" si="144"/>
        <v>0.05</v>
      </c>
      <c r="N2104" s="475">
        <f t="shared" si="145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43"/>
        <v>-1029181447.7738549</v>
      </c>
      <c r="J2105" s="455">
        <f t="array" ref="J2105">IFERROR(INDEX('Retirement Calculator'!J:J,MATCH('Isaac 401k'!N2105,'Retirement Calculator'!A:A,0),0),0)</f>
        <v>0</v>
      </c>
      <c r="K2105" s="455">
        <f t="shared" ca="1" si="141"/>
        <v>-4288256.032391062</v>
      </c>
      <c r="L2105" s="455">
        <f t="shared" ca="1" si="142"/>
        <v>-1033469703.8062459</v>
      </c>
      <c r="M2105" s="471">
        <f t="shared" si="144"/>
        <v>0.05</v>
      </c>
      <c r="N2105" s="475">
        <f t="shared" si="145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43"/>
        <v>-1033469703.8062459</v>
      </c>
      <c r="J2106" s="455">
        <f t="array" ref="J2106">IFERROR(INDEX('Retirement Calculator'!J:J,MATCH('Isaac 401k'!N2106,'Retirement Calculator'!A:A,0),0),0)</f>
        <v>0</v>
      </c>
      <c r="K2106" s="455">
        <f t="shared" ca="1" si="141"/>
        <v>-4306123.765859358</v>
      </c>
      <c r="L2106" s="455">
        <f t="shared" ca="1" si="142"/>
        <v>-1037775827.5721053</v>
      </c>
      <c r="M2106" s="471">
        <f t="shared" si="144"/>
        <v>0.05</v>
      </c>
      <c r="N2106" s="475">
        <f t="shared" si="145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43"/>
        <v>-1037775827.5721053</v>
      </c>
      <c r="J2107" s="455">
        <f t="array" ref="J2107">IFERROR(INDEX('Retirement Calculator'!J:J,MATCH('Isaac 401k'!N2107,'Retirement Calculator'!A:A,0),0),0)</f>
        <v>0</v>
      </c>
      <c r="K2107" s="455">
        <f t="shared" ca="1" si="141"/>
        <v>-4324065.9482171051</v>
      </c>
      <c r="L2107" s="455">
        <f t="shared" ca="1" si="142"/>
        <v>-1042099893.5203224</v>
      </c>
      <c r="M2107" s="471">
        <f t="shared" si="144"/>
        <v>0.05</v>
      </c>
      <c r="N2107" s="475">
        <f t="shared" si="145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43"/>
        <v>-1042099893.5203224</v>
      </c>
      <c r="J2108" s="455">
        <f t="array" ref="J2108">IFERROR(INDEX('Retirement Calculator'!J:J,MATCH('Isaac 401k'!N2108,'Retirement Calculator'!A:A,0),0),0)</f>
        <v>0</v>
      </c>
      <c r="K2108" s="455">
        <f t="shared" ca="1" si="141"/>
        <v>-4342082.8896680102</v>
      </c>
      <c r="L2108" s="455">
        <f t="shared" ca="1" si="142"/>
        <v>-1046441976.4099904</v>
      </c>
      <c r="M2108" s="471">
        <f t="shared" si="144"/>
        <v>0.05</v>
      </c>
      <c r="N2108" s="475">
        <f t="shared" si="145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43"/>
        <v>-1046441976.4099904</v>
      </c>
      <c r="J2109" s="455">
        <f t="array" ref="J2109">IFERROR(INDEX('Retirement Calculator'!J:J,MATCH('Isaac 401k'!N2109,'Retirement Calculator'!A:A,0),0),0)</f>
        <v>0</v>
      </c>
      <c r="K2109" s="455">
        <f t="shared" ca="1" si="141"/>
        <v>-4360174.9017082928</v>
      </c>
      <c r="L2109" s="455">
        <f t="shared" ca="1" si="142"/>
        <v>-1050802151.3116987</v>
      </c>
      <c r="M2109" s="471">
        <f t="shared" si="144"/>
        <v>0.05</v>
      </c>
      <c r="N2109" s="475">
        <f t="shared" si="145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43"/>
        <v>-1050802151.3116987</v>
      </c>
      <c r="J2110" s="455">
        <f t="array" ref="J2110">IFERROR(INDEX('Retirement Calculator'!J:J,MATCH('Isaac 401k'!N2110,'Retirement Calculator'!A:A,0),0),0)</f>
        <v>0</v>
      </c>
      <c r="K2110" s="455">
        <f t="shared" ca="1" si="141"/>
        <v>-4378342.2971320776</v>
      </c>
      <c r="L2110" s="455">
        <f t="shared" ca="1" si="142"/>
        <v>-1055180493.6088308</v>
      </c>
      <c r="M2110" s="471">
        <f t="shared" si="144"/>
        <v>0.05</v>
      </c>
      <c r="N2110" s="475">
        <f t="shared" si="145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43"/>
        <v>-1055180493.6088308</v>
      </c>
      <c r="J2111" s="455">
        <f t="array" ref="J2111">IFERROR(INDEX('Retirement Calculator'!J:J,MATCH('Isaac 401k'!N2111,'Retirement Calculator'!A:A,0),0),0)</f>
        <v>0</v>
      </c>
      <c r="K2111" s="455">
        <f t="shared" ca="1" si="141"/>
        <v>-4396585.3900367953</v>
      </c>
      <c r="L2111" s="455">
        <f t="shared" ca="1" si="142"/>
        <v>-1059577078.9988676</v>
      </c>
      <c r="M2111" s="471">
        <f t="shared" si="144"/>
        <v>0.05</v>
      </c>
      <c r="N2111" s="475">
        <f t="shared" si="145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43"/>
        <v>-1059577078.9988676</v>
      </c>
      <c r="J2112" s="455">
        <f t="array" ref="J2112">IFERROR(INDEX('Retirement Calculator'!J:J,MATCH('Isaac 401k'!N2112,'Retirement Calculator'!A:A,0),0),0)</f>
        <v>0</v>
      </c>
      <c r="K2112" s="455">
        <f t="shared" ca="1" si="141"/>
        <v>-4414904.4958286155</v>
      </c>
      <c r="L2112" s="455">
        <f t="shared" ca="1" si="142"/>
        <v>-1063991983.4946963</v>
      </c>
      <c r="M2112" s="471">
        <f t="shared" si="144"/>
        <v>0.05</v>
      </c>
      <c r="N2112" s="475">
        <f t="shared" si="145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43"/>
        <v>-1063991983.4946963</v>
      </c>
      <c r="J2113" s="455">
        <f t="array" ref="J2113">IFERROR(INDEX('Retirement Calculator'!J:J,MATCH('Isaac 401k'!N2113,'Retirement Calculator'!A:A,0),0),0)</f>
        <v>0</v>
      </c>
      <c r="K2113" s="455">
        <f t="shared" ca="1" si="141"/>
        <v>-4433299.931227901</v>
      </c>
      <c r="L2113" s="455">
        <f t="shared" ca="1" si="142"/>
        <v>-1068425283.4259242</v>
      </c>
      <c r="M2113" s="471">
        <f t="shared" si="144"/>
        <v>0.05</v>
      </c>
      <c r="N2113" s="475">
        <f t="shared" si="145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43"/>
        <v>-1068425283.4259242</v>
      </c>
      <c r="J2114" s="455">
        <f t="array" ref="J2114">IFERROR(INDEX('Retirement Calculator'!J:J,MATCH('Isaac 401k'!N2114,'Retirement Calculator'!A:A,0),0),0)</f>
        <v>0</v>
      </c>
      <c r="K2114" s="455">
        <f t="shared" ca="1" si="141"/>
        <v>-4451772.0142746838</v>
      </c>
      <c r="L2114" s="455">
        <f t="shared" ca="1" si="142"/>
        <v>-1072877055.4401989</v>
      </c>
      <c r="M2114" s="471">
        <f t="shared" si="144"/>
        <v>0.05</v>
      </c>
      <c r="N2114" s="475">
        <f t="shared" si="145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43"/>
        <v>-1072877055.4401989</v>
      </c>
      <c r="J2115" s="455">
        <f t="array" ref="J2115">IFERROR(INDEX('Retirement Calculator'!J:J,MATCH('Isaac 401k'!N2115,'Retirement Calculator'!A:A,0),0),0)</f>
        <v>0</v>
      </c>
      <c r="K2115" s="455">
        <f t="shared" ca="1" si="141"/>
        <v>-4470321.0643341625</v>
      </c>
      <c r="L2115" s="455">
        <f t="shared" ca="1" si="142"/>
        <v>-1077347376.5045331</v>
      </c>
      <c r="M2115" s="471">
        <f t="shared" si="144"/>
        <v>0.05</v>
      </c>
      <c r="N2115" s="475">
        <f t="shared" si="145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43"/>
        <v>-1077347376.5045331</v>
      </c>
      <c r="J2116" s="455">
        <f t="array" ref="J2116">IFERROR(INDEX('Retirement Calculator'!J:J,MATCH('Isaac 401k'!N2116,'Retirement Calculator'!A:A,0),0),0)</f>
        <v>0</v>
      </c>
      <c r="K2116" s="455">
        <f t="shared" ca="1" si="141"/>
        <v>-4488947.4021022208</v>
      </c>
      <c r="L2116" s="455">
        <f t="shared" ca="1" si="142"/>
        <v>-1081836323.9066353</v>
      </c>
      <c r="M2116" s="471">
        <f t="shared" si="144"/>
        <v>0.05</v>
      </c>
      <c r="N2116" s="475">
        <f t="shared" si="145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43"/>
        <v>-1081836323.9066353</v>
      </c>
      <c r="J2117" s="455">
        <f t="array" ref="J2117">IFERROR(INDEX('Retirement Calculator'!J:J,MATCH('Isaac 401k'!N2117,'Retirement Calculator'!A:A,0),0),0)</f>
        <v>0</v>
      </c>
      <c r="K2117" s="455">
        <f t="shared" ca="1" si="141"/>
        <v>-4507651.3496109806</v>
      </c>
      <c r="L2117" s="455">
        <f t="shared" ca="1" si="142"/>
        <v>-1086343975.2562463</v>
      </c>
      <c r="M2117" s="471">
        <f t="shared" si="144"/>
        <v>0.05</v>
      </c>
      <c r="N2117" s="475">
        <f t="shared" si="145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43"/>
        <v>-1086343975.2562463</v>
      </c>
      <c r="J2118" s="455">
        <f t="array" ref="J2118">IFERROR(INDEX('Retirement Calculator'!J:J,MATCH('Isaac 401k'!N2118,'Retirement Calculator'!A:A,0),0),0)</f>
        <v>0</v>
      </c>
      <c r="K2118" s="455">
        <f t="shared" ca="1" si="141"/>
        <v>-4526433.2302343594</v>
      </c>
      <c r="L2118" s="455">
        <f t="shared" ca="1" si="142"/>
        <v>-1090870408.4864807</v>
      </c>
      <c r="M2118" s="471">
        <f t="shared" si="144"/>
        <v>0.05</v>
      </c>
      <c r="N2118" s="475">
        <f t="shared" si="145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43"/>
        <v>-1090870408.4864807</v>
      </c>
      <c r="J2119" s="455">
        <f t="array" ref="J2119">IFERROR(INDEX('Retirement Calculator'!J:J,MATCH('Isaac 401k'!N2119,'Retirement Calculator'!A:A,0),0),0)</f>
        <v>0</v>
      </c>
      <c r="K2119" s="455">
        <f t="shared" ca="1" si="141"/>
        <v>-4545293.3686936693</v>
      </c>
      <c r="L2119" s="455">
        <f t="shared" ca="1" si="142"/>
        <v>-1095415701.8551743</v>
      </c>
      <c r="M2119" s="471">
        <f t="shared" si="144"/>
        <v>0.05</v>
      </c>
      <c r="N2119" s="475">
        <f t="shared" si="145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43"/>
        <v>-1095415701.8551743</v>
      </c>
      <c r="J2120" s="455">
        <f t="array" ref="J2120">IFERROR(INDEX('Retirement Calculator'!J:J,MATCH('Isaac 401k'!N2120,'Retirement Calculator'!A:A,0),0),0)</f>
        <v>0</v>
      </c>
      <c r="K2120" s="455">
        <f t="shared" ca="1" si="141"/>
        <v>-4564232.0910632266</v>
      </c>
      <c r="L2120" s="455">
        <f t="shared" ca="1" si="142"/>
        <v>-1099979933.9462376</v>
      </c>
      <c r="M2120" s="471">
        <f t="shared" si="144"/>
        <v>0.05</v>
      </c>
      <c r="N2120" s="475">
        <f t="shared" si="145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43"/>
        <v>-1099979933.9462376</v>
      </c>
      <c r="J2121" s="455">
        <f t="array" ref="J2121">IFERROR(INDEX('Retirement Calculator'!J:J,MATCH('Isaac 401k'!N2121,'Retirement Calculator'!A:A,0),0),0)</f>
        <v>0</v>
      </c>
      <c r="K2121" s="455">
        <f t="shared" ca="1" si="141"/>
        <v>-4583249.7247759895</v>
      </c>
      <c r="L2121" s="455">
        <f t="shared" ca="1" si="142"/>
        <v>-1104563183.6710136</v>
      </c>
      <c r="M2121" s="471">
        <f t="shared" si="144"/>
        <v>0.05</v>
      </c>
      <c r="N2121" s="475">
        <f t="shared" si="145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43"/>
        <v>-1104563183.6710136</v>
      </c>
      <c r="J2122" s="455">
        <f t="array" ref="J2122">IFERROR(INDEX('Retirement Calculator'!J:J,MATCH('Isaac 401k'!N2122,'Retirement Calculator'!A:A,0),0),0)</f>
        <v>0</v>
      </c>
      <c r="K2122" s="455">
        <f t="shared" ca="1" si="141"/>
        <v>-4602346.5986292232</v>
      </c>
      <c r="L2122" s="455">
        <f t="shared" ca="1" si="142"/>
        <v>-1109165530.2696428</v>
      </c>
      <c r="M2122" s="471">
        <f t="shared" si="144"/>
        <v>0.05</v>
      </c>
      <c r="N2122" s="475">
        <f t="shared" si="145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43"/>
        <v>-1109165530.2696428</v>
      </c>
      <c r="J2123" s="455">
        <f t="array" ref="J2123">IFERROR(INDEX('Retirement Calculator'!J:J,MATCH('Isaac 401k'!N2123,'Retirement Calculator'!A:A,0),0),0)</f>
        <v>0</v>
      </c>
      <c r="K2123" s="455">
        <f t="shared" ca="1" si="141"/>
        <v>-4621523.0427901782</v>
      </c>
      <c r="L2123" s="455">
        <f t="shared" ca="1" si="142"/>
        <v>-1113787053.312433</v>
      </c>
      <c r="M2123" s="471">
        <f t="shared" si="144"/>
        <v>0.05</v>
      </c>
      <c r="N2123" s="475">
        <f t="shared" si="145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43"/>
        <v>-1113787053.312433</v>
      </c>
      <c r="J2124" s="455">
        <f t="array" ref="J2124">IFERROR(INDEX('Retirement Calculator'!J:J,MATCH('Isaac 401k'!N2124,'Retirement Calculator'!A:A,0),0),0)</f>
        <v>0</v>
      </c>
      <c r="K2124" s="455">
        <f t="shared" ca="1" si="141"/>
        <v>-4640779.3888018038</v>
      </c>
      <c r="L2124" s="455">
        <f t="shared" ca="1" si="142"/>
        <v>-1118427832.7012348</v>
      </c>
      <c r="M2124" s="471">
        <f t="shared" si="144"/>
        <v>0.05</v>
      </c>
      <c r="N2124" s="475">
        <f t="shared" si="145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43"/>
        <v>-1118427832.7012348</v>
      </c>
      <c r="J2125" s="455">
        <f t="array" ref="J2125">IFERROR(INDEX('Retirement Calculator'!J:J,MATCH('Isaac 401k'!N2125,'Retirement Calculator'!A:A,0),0),0)</f>
        <v>0</v>
      </c>
      <c r="K2125" s="455">
        <f t="shared" ca="1" si="141"/>
        <v>-4660115.9695884781</v>
      </c>
      <c r="L2125" s="455">
        <f t="shared" ca="1" si="142"/>
        <v>-1123087948.6708233</v>
      </c>
      <c r="M2125" s="471">
        <f t="shared" si="144"/>
        <v>0.05</v>
      </c>
      <c r="N2125" s="475">
        <f t="shared" si="145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43"/>
        <v>-1123087948.6708233</v>
      </c>
      <c r="J2126" s="455">
        <f t="array" ref="J2126">IFERROR(INDEX('Retirement Calculator'!J:J,MATCH('Isaac 401k'!N2126,'Retirement Calculator'!A:A,0),0),0)</f>
        <v>0</v>
      </c>
      <c r="K2126" s="455">
        <f t="shared" ca="1" si="141"/>
        <v>-4679533.1194617637</v>
      </c>
      <c r="L2126" s="455">
        <f t="shared" ca="1" si="142"/>
        <v>-1127767481.7902851</v>
      </c>
      <c r="M2126" s="471">
        <f t="shared" si="144"/>
        <v>0.05</v>
      </c>
      <c r="N2126" s="475">
        <f t="shared" si="145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43"/>
        <v>-1127767481.7902851</v>
      </c>
      <c r="J2127" s="455">
        <f t="array" ref="J2127">IFERROR(INDEX('Retirement Calculator'!J:J,MATCH('Isaac 401k'!N2127,'Retirement Calculator'!A:A,0),0),0)</f>
        <v>0</v>
      </c>
      <c r="K2127" s="455">
        <f t="shared" ca="1" si="141"/>
        <v>-4699031.1741261883</v>
      </c>
      <c r="L2127" s="455">
        <f t="shared" ca="1" si="142"/>
        <v>-1132466512.9644113</v>
      </c>
      <c r="M2127" s="471">
        <f t="shared" si="144"/>
        <v>0.05</v>
      </c>
      <c r="N2127" s="475">
        <f t="shared" si="145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43"/>
        <v>-1132466512.9644113</v>
      </c>
      <c r="J2128" s="455">
        <f t="array" ref="J2128">IFERROR(INDEX('Retirement Calculator'!J:J,MATCH('Isaac 401k'!N2128,'Retirement Calculator'!A:A,0),0),0)</f>
        <v>0</v>
      </c>
      <c r="K2128" s="455">
        <f t="shared" ca="1" si="141"/>
        <v>-4718610.4706850471</v>
      </c>
      <c r="L2128" s="455">
        <f t="shared" ca="1" si="142"/>
        <v>-1137185123.4350963</v>
      </c>
      <c r="M2128" s="471">
        <f t="shared" si="144"/>
        <v>0.05</v>
      </c>
      <c r="N2128" s="475">
        <f t="shared" si="145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43"/>
        <v>-1137185123.4350963</v>
      </c>
      <c r="J2129" s="455">
        <f t="array" ref="J2129">IFERROR(INDEX('Retirement Calculator'!J:J,MATCH('Isaac 401k'!N2129,'Retirement Calculator'!A:A,0),0),0)</f>
        <v>0</v>
      </c>
      <c r="K2129" s="455">
        <f t="shared" ca="1" si="141"/>
        <v>-4738271.3476462346</v>
      </c>
      <c r="L2129" s="455">
        <f t="shared" ca="1" si="142"/>
        <v>-1141923394.7827425</v>
      </c>
      <c r="M2129" s="471">
        <f t="shared" si="144"/>
        <v>0.05</v>
      </c>
      <c r="N2129" s="475">
        <f t="shared" si="145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43"/>
        <v>-1141923394.7827425</v>
      </c>
      <c r="J2130" s="455">
        <f t="array" ref="J2130">IFERROR(INDEX('Retirement Calculator'!J:J,MATCH('Isaac 401k'!N2130,'Retirement Calculator'!A:A,0),0),0)</f>
        <v>0</v>
      </c>
      <c r="K2130" s="455">
        <f t="shared" ca="1" si="141"/>
        <v>-4758014.144928094</v>
      </c>
      <c r="L2130" s="455">
        <f t="shared" ca="1" si="142"/>
        <v>-1146681408.9276705</v>
      </c>
      <c r="M2130" s="471">
        <f t="shared" si="144"/>
        <v>0.05</v>
      </c>
      <c r="N2130" s="475">
        <f t="shared" si="145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43"/>
        <v>-1146681408.9276705</v>
      </c>
      <c r="J2131" s="455">
        <f t="array" ref="J2131">IFERROR(INDEX('Retirement Calculator'!J:J,MATCH('Isaac 401k'!N2131,'Retirement Calculator'!A:A,0),0),0)</f>
        <v>0</v>
      </c>
      <c r="K2131" s="455">
        <f t="shared" ca="1" si="141"/>
        <v>-4777839.2038652934</v>
      </c>
      <c r="L2131" s="455">
        <f t="shared" ca="1" si="142"/>
        <v>-1151459248.1315358</v>
      </c>
      <c r="M2131" s="471">
        <f t="shared" si="144"/>
        <v>0.05</v>
      </c>
      <c r="N2131" s="475">
        <f t="shared" si="145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43"/>
        <v>-1151459248.1315358</v>
      </c>
      <c r="J2132" s="455">
        <f t="array" ref="J2132">IFERROR(INDEX('Retirement Calculator'!J:J,MATCH('Isaac 401k'!N2132,'Retirement Calculator'!A:A,0),0),0)</f>
        <v>0</v>
      </c>
      <c r="K2132" s="455">
        <f t="shared" ca="1" si="141"/>
        <v>-4797746.8672147319</v>
      </c>
      <c r="L2132" s="455">
        <f t="shared" ca="1" si="142"/>
        <v>-1156256994.9987504</v>
      </c>
      <c r="M2132" s="471">
        <f t="shared" si="144"/>
        <v>0.05</v>
      </c>
      <c r="N2132" s="475">
        <f t="shared" si="145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43"/>
        <v>-1156256994.9987504</v>
      </c>
      <c r="J2133" s="455">
        <f t="array" ref="J2133">IFERROR(INDEX('Retirement Calculator'!J:J,MATCH('Isaac 401k'!N2133,'Retirement Calculator'!A:A,0),0),0)</f>
        <v>0</v>
      </c>
      <c r="K2133" s="455">
        <f t="shared" ca="1" si="141"/>
        <v>-4817737.47916146</v>
      </c>
      <c r="L2133" s="455">
        <f t="shared" ca="1" si="142"/>
        <v>-1161074732.4779119</v>
      </c>
      <c r="M2133" s="471">
        <f t="shared" si="144"/>
        <v>0.05</v>
      </c>
      <c r="N2133" s="475">
        <f t="shared" si="145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43"/>
        <v>-1161074732.4779119</v>
      </c>
      <c r="J2134" s="455">
        <f t="array" ref="J2134">IFERROR(INDEX('Retirement Calculator'!J:J,MATCH('Isaac 401k'!N2134,'Retirement Calculator'!A:A,0),0),0)</f>
        <v>0</v>
      </c>
      <c r="K2134" s="455">
        <f t="shared" ca="1" si="141"/>
        <v>-4837811.3853246327</v>
      </c>
      <c r="L2134" s="455">
        <f t="shared" ca="1" si="142"/>
        <v>-1165912543.8632367</v>
      </c>
      <c r="M2134" s="471">
        <f t="shared" si="144"/>
        <v>0.05</v>
      </c>
      <c r="N2134" s="475">
        <f t="shared" si="145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43"/>
        <v>-1165912543.8632367</v>
      </c>
      <c r="J2135" s="455">
        <f t="array" ref="J2135">IFERROR(INDEX('Retirement Calculator'!J:J,MATCH('Isaac 401k'!N2135,'Retirement Calculator'!A:A,0),0),0)</f>
        <v>0</v>
      </c>
      <c r="K2135" s="455">
        <f t="shared" ca="1" si="141"/>
        <v>-4857968.9327634862</v>
      </c>
      <c r="L2135" s="455">
        <f t="shared" ca="1" si="142"/>
        <v>-1170770512.7960002</v>
      </c>
      <c r="M2135" s="471">
        <f t="shared" si="144"/>
        <v>0.05</v>
      </c>
      <c r="N2135" s="475">
        <f t="shared" si="145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43"/>
        <v>-1170770512.7960002</v>
      </c>
      <c r="J2136" s="455">
        <f t="array" ref="J2136">IFERROR(INDEX('Retirement Calculator'!J:J,MATCH('Isaac 401k'!N2136,'Retirement Calculator'!A:A,0),0),0)</f>
        <v>0</v>
      </c>
      <c r="K2136" s="455">
        <f t="shared" ca="1" si="141"/>
        <v>-4878210.4699833347</v>
      </c>
      <c r="L2136" s="455">
        <f t="shared" ca="1" si="142"/>
        <v>-1175648723.2659836</v>
      </c>
      <c r="M2136" s="471">
        <f t="shared" si="144"/>
        <v>0.05</v>
      </c>
      <c r="N2136" s="475">
        <f t="shared" si="145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43"/>
        <v>-1175648723.2659836</v>
      </c>
      <c r="J2137" s="455">
        <f t="array" ref="J2137">IFERROR(INDEX('Retirement Calculator'!J:J,MATCH('Isaac 401k'!N2137,'Retirement Calculator'!A:A,0),0),0)</f>
        <v>0</v>
      </c>
      <c r="K2137" s="455">
        <f t="shared" ca="1" si="141"/>
        <v>-4898536.3469415978</v>
      </c>
      <c r="L2137" s="455">
        <f t="shared" ca="1" si="142"/>
        <v>-1180547259.6129253</v>
      </c>
      <c r="M2137" s="471">
        <f t="shared" si="144"/>
        <v>0.05</v>
      </c>
      <c r="N2137" s="475">
        <f t="shared" si="145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43"/>
        <v>-1180547259.6129253</v>
      </c>
      <c r="J2138" s="455">
        <f t="array" ref="J2138">IFERROR(INDEX('Retirement Calculator'!J:J,MATCH('Isaac 401k'!N2138,'Retirement Calculator'!A:A,0),0),0)</f>
        <v>0</v>
      </c>
      <c r="K2138" s="455">
        <f t="shared" ca="1" si="141"/>
        <v>-4918946.9150538556</v>
      </c>
      <c r="L2138" s="455">
        <f t="shared" ca="1" si="142"/>
        <v>-1185466206.5279791</v>
      </c>
      <c r="M2138" s="471">
        <f t="shared" si="144"/>
        <v>0.05</v>
      </c>
      <c r="N2138" s="475">
        <f t="shared" si="145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43"/>
        <v>-1185466206.5279791</v>
      </c>
      <c r="J2139" s="455">
        <f t="array" ref="J2139">IFERROR(INDEX('Retirement Calculator'!J:J,MATCH('Isaac 401k'!N2139,'Retirement Calculator'!A:A,0),0),0)</f>
        <v>0</v>
      </c>
      <c r="K2139" s="455">
        <f t="shared" ca="1" si="141"/>
        <v>-4939442.5271999128</v>
      </c>
      <c r="L2139" s="455">
        <f t="shared" ca="1" si="142"/>
        <v>-1190405649.0551791</v>
      </c>
      <c r="M2139" s="471">
        <f t="shared" si="144"/>
        <v>0.05</v>
      </c>
      <c r="N2139" s="475">
        <f t="shared" si="145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43"/>
        <v>-1190405649.0551791</v>
      </c>
      <c r="J2140" s="455">
        <f t="array" ref="J2140">IFERROR(INDEX('Retirement Calculator'!J:J,MATCH('Isaac 401k'!N2140,'Retirement Calculator'!A:A,0),0),0)</f>
        <v>0</v>
      </c>
      <c r="K2140" s="455">
        <f t="shared" ca="1" si="141"/>
        <v>-4960023.5377299134</v>
      </c>
      <c r="L2140" s="455">
        <f t="shared" ca="1" si="142"/>
        <v>-1195365672.5929091</v>
      </c>
      <c r="M2140" s="471">
        <f t="shared" si="144"/>
        <v>0.05</v>
      </c>
      <c r="N2140" s="475">
        <f t="shared" si="145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43"/>
        <v>-1195365672.5929091</v>
      </c>
      <c r="J2141" s="455">
        <f t="array" ref="J2141">IFERROR(INDEX('Retirement Calculator'!J:J,MATCH('Isaac 401k'!N2141,'Retirement Calculator'!A:A,0),0),0)</f>
        <v>0</v>
      </c>
      <c r="K2141" s="455">
        <f t="shared" ca="1" si="141"/>
        <v>-4980690.3024704549</v>
      </c>
      <c r="L2141" s="455">
        <f t="shared" ca="1" si="142"/>
        <v>-1200346362.8953795</v>
      </c>
      <c r="M2141" s="471">
        <f t="shared" si="144"/>
        <v>0.05</v>
      </c>
      <c r="N2141" s="475">
        <f t="shared" si="145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43"/>
        <v>-1200346362.8953795</v>
      </c>
      <c r="J2142" s="455">
        <f t="array" ref="J2142">IFERROR(INDEX('Retirement Calculator'!J:J,MATCH('Isaac 401k'!N2142,'Retirement Calculator'!A:A,0),0),0)</f>
        <v>0</v>
      </c>
      <c r="K2142" s="455">
        <f t="shared" ca="1" si="141"/>
        <v>-5001443.1787307477</v>
      </c>
      <c r="L2142" s="455">
        <f t="shared" ca="1" si="142"/>
        <v>-1205347806.0741103</v>
      </c>
      <c r="M2142" s="471">
        <f t="shared" si="144"/>
        <v>0.05</v>
      </c>
      <c r="N2142" s="475">
        <f t="shared" si="145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43"/>
        <v>-1205347806.0741103</v>
      </c>
      <c r="J2143" s="455">
        <f t="array" ref="J2143">IFERROR(INDEX('Retirement Calculator'!J:J,MATCH('Isaac 401k'!N2143,'Retirement Calculator'!A:A,0),0),0)</f>
        <v>0</v>
      </c>
      <c r="K2143" s="455">
        <f t="shared" ca="1" si="141"/>
        <v>-5022282.5253087925</v>
      </c>
      <c r="L2143" s="455">
        <f t="shared" ca="1" si="142"/>
        <v>-1210370088.5994191</v>
      </c>
      <c r="M2143" s="471">
        <f t="shared" si="144"/>
        <v>0.05</v>
      </c>
      <c r="N2143" s="475">
        <f t="shared" si="145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43"/>
        <v>-1210370088.5994191</v>
      </c>
      <c r="J2144" s="455">
        <f t="array" ref="J2144">IFERROR(INDEX('Retirement Calculator'!J:J,MATCH('Isaac 401k'!N2144,'Retirement Calculator'!A:A,0),0),0)</f>
        <v>0</v>
      </c>
      <c r="K2144" s="455">
        <f t="shared" ca="1" si="141"/>
        <v>-5043208.7024975792</v>
      </c>
      <c r="L2144" s="455">
        <f t="shared" ca="1" si="142"/>
        <v>-1215413297.3019166</v>
      </c>
      <c r="M2144" s="471">
        <f t="shared" si="144"/>
        <v>0.05</v>
      </c>
      <c r="N2144" s="475">
        <f t="shared" si="145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43"/>
        <v>-1215413297.3019166</v>
      </c>
      <c r="J2145" s="455">
        <f t="array" ref="J2145">IFERROR(INDEX('Retirement Calculator'!J:J,MATCH('Isaac 401k'!N2145,'Retirement Calculator'!A:A,0),0),0)</f>
        <v>0</v>
      </c>
      <c r="K2145" s="455">
        <f t="shared" ca="1" si="141"/>
        <v>-5064222.0720913187</v>
      </c>
      <c r="L2145" s="455">
        <f t="shared" ca="1" si="142"/>
        <v>-1220477519.3740079</v>
      </c>
      <c r="M2145" s="471">
        <f t="shared" si="144"/>
        <v>0.05</v>
      </c>
      <c r="N2145" s="475">
        <f t="shared" si="145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43"/>
        <v>-1220477519.3740079</v>
      </c>
      <c r="J2146" s="455">
        <f t="array" ref="J2146">IFERROR(INDEX('Retirement Calculator'!J:J,MATCH('Isaac 401k'!N2146,'Retirement Calculator'!A:A,0),0),0)</f>
        <v>0</v>
      </c>
      <c r="K2146" s="455">
        <f t="shared" ca="1" si="141"/>
        <v>-5085322.9973916998</v>
      </c>
      <c r="L2146" s="455">
        <f t="shared" ca="1" si="142"/>
        <v>-1225562842.3713996</v>
      </c>
      <c r="M2146" s="471">
        <f t="shared" si="144"/>
        <v>0.05</v>
      </c>
      <c r="N2146" s="475">
        <f t="shared" si="145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43"/>
        <v>-1225562842.3713996</v>
      </c>
      <c r="J2147" s="455">
        <f t="array" ref="J2147">IFERROR(INDEX('Retirement Calculator'!J:J,MATCH('Isaac 401k'!N2147,'Retirement Calculator'!A:A,0),0),0)</f>
        <v>0</v>
      </c>
      <c r="K2147" s="455">
        <f t="shared" ca="1" si="141"/>
        <v>-5106511.8432141654</v>
      </c>
      <c r="L2147" s="455">
        <f t="shared" ca="1" si="142"/>
        <v>-1230669354.2146139</v>
      </c>
      <c r="M2147" s="471">
        <f t="shared" si="144"/>
        <v>0.05</v>
      </c>
      <c r="N2147" s="475">
        <f t="shared" si="145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43"/>
        <v>-1230669354.2146139</v>
      </c>
      <c r="J2148" s="455">
        <f t="array" ref="J2148">IFERROR(INDEX('Retirement Calculator'!J:J,MATCH('Isaac 401k'!N2148,'Retirement Calculator'!A:A,0),0),0)</f>
        <v>0</v>
      </c>
      <c r="K2148" s="455">
        <f t="shared" ca="1" si="141"/>
        <v>-5127788.9758942248</v>
      </c>
      <c r="L2148" s="455">
        <f t="shared" ca="1" si="142"/>
        <v>-1235797143.1905081</v>
      </c>
      <c r="M2148" s="471">
        <f t="shared" si="144"/>
        <v>0.05</v>
      </c>
      <c r="N2148" s="475">
        <f t="shared" si="145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43"/>
        <v>-1235797143.1905081</v>
      </c>
      <c r="J2149" s="455">
        <f t="array" ref="J2149">IFERROR(INDEX('Retirement Calculator'!J:J,MATCH('Isaac 401k'!N2149,'Retirement Calculator'!A:A,0),0),0)</f>
        <v>0</v>
      </c>
      <c r="K2149" s="455">
        <f t="shared" ca="1" si="141"/>
        <v>-5149154.7632937841</v>
      </c>
      <c r="L2149" s="455">
        <f t="shared" ca="1" si="142"/>
        <v>-1240946297.9538019</v>
      </c>
      <c r="M2149" s="471">
        <f t="shared" si="144"/>
        <v>0.05</v>
      </c>
      <c r="N2149" s="475">
        <f t="shared" si="145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43"/>
        <v>-1240946297.9538019</v>
      </c>
      <c r="J2150" s="455">
        <f t="array" ref="J2150">IFERROR(INDEX('Retirement Calculator'!J:J,MATCH('Isaac 401k'!N2150,'Retirement Calculator'!A:A,0),0),0)</f>
        <v>0</v>
      </c>
      <c r="K2150" s="455">
        <f t="shared" ca="1" si="141"/>
        <v>-5170609.5748075079</v>
      </c>
      <c r="L2150" s="455">
        <f t="shared" ca="1" si="142"/>
        <v>-1246116907.5286093</v>
      </c>
      <c r="M2150" s="471">
        <f t="shared" si="144"/>
        <v>0.05</v>
      </c>
      <c r="N2150" s="475">
        <f t="shared" si="145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43"/>
        <v>-1246116907.5286093</v>
      </c>
      <c r="J2151" s="455">
        <f t="array" ref="J2151">IFERROR(INDEX('Retirement Calculator'!J:J,MATCH('Isaac 401k'!N2151,'Retirement Calculator'!A:A,0),0),0)</f>
        <v>0</v>
      </c>
      <c r="K2151" s="455">
        <f t="shared" ca="1" si="141"/>
        <v>-5192153.7813692056</v>
      </c>
      <c r="L2151" s="455">
        <f t="shared" ca="1" si="142"/>
        <v>-1251309061.3099785</v>
      </c>
      <c r="M2151" s="471">
        <f t="shared" si="144"/>
        <v>0.05</v>
      </c>
      <c r="N2151" s="475">
        <f t="shared" si="145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43"/>
        <v>-1251309061.3099785</v>
      </c>
      <c r="J2152" s="455">
        <f t="array" ref="J2152">IFERROR(INDEX('Retirement Calculator'!J:J,MATCH('Isaac 401k'!N2152,'Retirement Calculator'!A:A,0),0),0)</f>
        <v>0</v>
      </c>
      <c r="K2152" s="455">
        <f t="shared" ca="1" si="141"/>
        <v>-5213787.7554582432</v>
      </c>
      <c r="L2152" s="455">
        <f t="shared" ca="1" si="142"/>
        <v>-1256522849.0654368</v>
      </c>
      <c r="M2152" s="471">
        <f t="shared" si="144"/>
        <v>0.05</v>
      </c>
      <c r="N2152" s="475">
        <f t="shared" si="145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43"/>
        <v>-1256522849.0654368</v>
      </c>
      <c r="J2153" s="455">
        <f t="array" ref="J2153">IFERROR(INDEX('Retirement Calculator'!J:J,MATCH('Isaac 401k'!N2153,'Retirement Calculator'!A:A,0),0),0)</f>
        <v>0</v>
      </c>
      <c r="K2153" s="455">
        <f t="shared" ca="1" si="141"/>
        <v>-5235511.8711059866</v>
      </c>
      <c r="L2153" s="455">
        <f t="shared" ca="1" si="142"/>
        <v>-1261758360.9365427</v>
      </c>
      <c r="M2153" s="471">
        <f t="shared" si="144"/>
        <v>0.05</v>
      </c>
      <c r="N2153" s="475">
        <f t="shared" si="145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43"/>
        <v>-1261758360.9365427</v>
      </c>
      <c r="J2154" s="455">
        <f t="array" ref="J2154">IFERROR(INDEX('Retirement Calculator'!J:J,MATCH('Isaac 401k'!N2154,'Retirement Calculator'!A:A,0),0),0)</f>
        <v>0</v>
      </c>
      <c r="K2154" s="455">
        <f t="shared" ca="1" si="141"/>
        <v>-5257326.5039022611</v>
      </c>
      <c r="L2154" s="455">
        <f t="shared" ca="1" si="142"/>
        <v>-1267015687.4404449</v>
      </c>
      <c r="M2154" s="471">
        <f t="shared" si="144"/>
        <v>0.05</v>
      </c>
      <c r="N2154" s="475">
        <f t="shared" si="145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43"/>
        <v>-1267015687.4404449</v>
      </c>
      <c r="J2155" s="455">
        <f t="array" ref="J2155">IFERROR(INDEX('Retirement Calculator'!J:J,MATCH('Isaac 401k'!N2155,'Retirement Calculator'!A:A,0),0),0)</f>
        <v>0</v>
      </c>
      <c r="K2155" s="455">
        <f t="shared" ca="1" si="141"/>
        <v>-5279232.0310018538</v>
      </c>
      <c r="L2155" s="455">
        <f t="shared" ca="1" si="142"/>
        <v>-1272294919.4714468</v>
      </c>
      <c r="M2155" s="471">
        <f t="shared" si="144"/>
        <v>0.05</v>
      </c>
      <c r="N2155" s="475">
        <f t="shared" si="145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43"/>
        <v>-1272294919.4714468</v>
      </c>
      <c r="J2156" s="455">
        <f t="array" ref="J2156">IFERROR(INDEX('Retirement Calculator'!J:J,MATCH('Isaac 401k'!N2156,'Retirement Calculator'!A:A,0),0),0)</f>
        <v>0</v>
      </c>
      <c r="K2156" s="455">
        <f t="shared" ca="1" si="141"/>
        <v>-5301228.831131028</v>
      </c>
      <c r="L2156" s="455">
        <f t="shared" ca="1" si="142"/>
        <v>-1277596148.3025777</v>
      </c>
      <c r="M2156" s="471">
        <f t="shared" si="144"/>
        <v>0.05</v>
      </c>
      <c r="N2156" s="475">
        <f t="shared" si="145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43"/>
        <v>-1277596148.3025777</v>
      </c>
      <c r="J2157" s="455">
        <f t="array" ref="J2157">IFERROR(INDEX('Retirement Calculator'!J:J,MATCH('Isaac 401k'!N2157,'Retirement Calculator'!A:A,0),0),0)</f>
        <v>0</v>
      </c>
      <c r="K2157" s="455">
        <f t="shared" ca="1" si="141"/>
        <v>-5323317.2845940739</v>
      </c>
      <c r="L2157" s="455">
        <f t="shared" ca="1" si="142"/>
        <v>-1282919465.5871718</v>
      </c>
      <c r="M2157" s="471">
        <f t="shared" si="144"/>
        <v>0.05</v>
      </c>
      <c r="N2157" s="475">
        <f t="shared" si="145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43"/>
        <v>-1282919465.5871718</v>
      </c>
      <c r="J2158" s="455">
        <f t="array" ref="J2158">IFERROR(INDEX('Retirement Calculator'!J:J,MATCH('Isaac 401k'!N2158,'Retirement Calculator'!A:A,0),0),0)</f>
        <v>0</v>
      </c>
      <c r="K2158" s="455">
        <f t="shared" ca="1" si="141"/>
        <v>-5345497.773279882</v>
      </c>
      <c r="L2158" s="455">
        <f t="shared" ca="1" si="142"/>
        <v>-1288264963.3604517</v>
      </c>
      <c r="M2158" s="471">
        <f t="shared" si="144"/>
        <v>0.05</v>
      </c>
      <c r="N2158" s="475">
        <f t="shared" si="145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43"/>
        <v>-1288264963.3604517</v>
      </c>
      <c r="J2159" s="455">
        <f t="array" ref="J2159">IFERROR(INDEX('Retirement Calculator'!J:J,MATCH('Isaac 401k'!N2159,'Retirement Calculator'!A:A,0),0),0)</f>
        <v>0</v>
      </c>
      <c r="K2159" s="455">
        <f t="shared" ca="1" si="141"/>
        <v>-5367770.6806685487</v>
      </c>
      <c r="L2159" s="455">
        <f t="shared" ca="1" si="142"/>
        <v>-1293632734.0411203</v>
      </c>
      <c r="M2159" s="471">
        <f t="shared" si="144"/>
        <v>0.05</v>
      </c>
      <c r="N2159" s="475">
        <f t="shared" si="145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43"/>
        <v>-1293632734.0411203</v>
      </c>
      <c r="J2160" s="455">
        <f t="array" ref="J2160">IFERROR(INDEX('Retirement Calculator'!J:J,MATCH('Isaac 401k'!N2160,'Retirement Calculator'!A:A,0),0),0)</f>
        <v>0</v>
      </c>
      <c r="K2160" s="455">
        <f t="shared" ca="1" si="141"/>
        <v>-5390136.3918380011</v>
      </c>
      <c r="L2160" s="455">
        <f t="shared" ca="1" si="142"/>
        <v>-1299022870.4329584</v>
      </c>
      <c r="M2160" s="471">
        <f t="shared" si="144"/>
        <v>0.05</v>
      </c>
      <c r="N2160" s="475">
        <f t="shared" si="145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43"/>
        <v>-1299022870.4329584</v>
      </c>
      <c r="J2161" s="455">
        <f t="array" ref="J2161">IFERROR(INDEX('Retirement Calculator'!J:J,MATCH('Isaac 401k'!N2161,'Retirement Calculator'!A:A,0),0),0)</f>
        <v>0</v>
      </c>
      <c r="K2161" s="455">
        <f t="shared" ca="1" si="141"/>
        <v>-5412595.2934706602</v>
      </c>
      <c r="L2161" s="455">
        <f t="shared" ca="1" si="142"/>
        <v>-1304435465.726429</v>
      </c>
      <c r="M2161" s="471">
        <f t="shared" si="144"/>
        <v>0.05</v>
      </c>
      <c r="N2161" s="475">
        <f t="shared" si="145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43"/>
        <v>-1304435465.726429</v>
      </c>
      <c r="J2162" s="455">
        <f t="array" ref="J2162">IFERROR(INDEX('Retirement Calculator'!J:J,MATCH('Isaac 401k'!N2162,'Retirement Calculator'!A:A,0),0),0)</f>
        <v>0</v>
      </c>
      <c r="K2162" s="455">
        <f t="shared" ca="1" si="141"/>
        <v>-5435147.7738601211</v>
      </c>
      <c r="L2162" s="455">
        <f t="shared" ca="1" si="142"/>
        <v>-1309870613.5002892</v>
      </c>
      <c r="M2162" s="471">
        <f t="shared" si="144"/>
        <v>0.05</v>
      </c>
      <c r="N2162" s="475">
        <f t="shared" si="145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43"/>
        <v>-1309870613.5002892</v>
      </c>
      <c r="J2163" s="455">
        <f t="array" ref="J2163">IFERROR(INDEX('Retirement Calculator'!J:J,MATCH('Isaac 401k'!N2163,'Retirement Calculator'!A:A,0),0),0)</f>
        <v>0</v>
      </c>
      <c r="K2163" s="455">
        <f t="shared" ca="1" si="141"/>
        <v>-5457794.2229178715</v>
      </c>
      <c r="L2163" s="455">
        <f t="shared" ca="1" si="142"/>
        <v>-1315328407.723207</v>
      </c>
      <c r="M2163" s="471">
        <f t="shared" si="144"/>
        <v>0.05</v>
      </c>
      <c r="N2163" s="475">
        <f t="shared" si="145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43"/>
        <v>-1315328407.723207</v>
      </c>
      <c r="J2164" s="455">
        <f t="array" ref="J2164">IFERROR(INDEX('Retirement Calculator'!J:J,MATCH('Isaac 401k'!N2164,'Retirement Calculator'!A:A,0),0),0)</f>
        <v>0</v>
      </c>
      <c r="K2164" s="455">
        <f t="shared" ca="1" si="141"/>
        <v>-5480535.032180029</v>
      </c>
      <c r="L2164" s="455">
        <f t="shared" ca="1" si="142"/>
        <v>-1320808942.7553871</v>
      </c>
      <c r="M2164" s="471">
        <f t="shared" si="144"/>
        <v>0.05</v>
      </c>
      <c r="N2164" s="475">
        <f t="shared" si="145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43"/>
        <v>-1320808942.7553871</v>
      </c>
      <c r="J2165" s="455">
        <f t="array" ref="J2165">IFERROR(INDEX('Retirement Calculator'!J:J,MATCH('Isaac 401k'!N2165,'Retirement Calculator'!A:A,0),0),0)</f>
        <v>0</v>
      </c>
      <c r="K2165" s="455">
        <f t="shared" ca="1" si="141"/>
        <v>-5503370.5948141124</v>
      </c>
      <c r="L2165" s="455">
        <f t="shared" ca="1" si="142"/>
        <v>-1326312313.3502011</v>
      </c>
      <c r="M2165" s="471">
        <f t="shared" si="144"/>
        <v>0.05</v>
      </c>
      <c r="N2165" s="475">
        <f t="shared" si="145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43"/>
        <v>-1326312313.3502011</v>
      </c>
      <c r="J2166" s="455">
        <f t="array" ref="J2166">IFERROR(INDEX('Retirement Calculator'!J:J,MATCH('Isaac 401k'!N2166,'Retirement Calculator'!A:A,0),0),0)</f>
        <v>0</v>
      </c>
      <c r="K2166" s="455">
        <f t="shared" ca="1" si="141"/>
        <v>-5526301.3056258382</v>
      </c>
      <c r="L2166" s="455">
        <f t="shared" ca="1" si="142"/>
        <v>-1331838614.655827</v>
      </c>
      <c r="M2166" s="471">
        <f t="shared" si="144"/>
        <v>0.05</v>
      </c>
      <c r="N2166" s="475">
        <f t="shared" si="145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43"/>
        <v>-1331838614.655827</v>
      </c>
      <c r="J2167" s="455">
        <f t="array" ref="J2167">IFERROR(INDEX('Retirement Calculator'!J:J,MATCH('Isaac 401k'!N2167,'Retirement Calculator'!A:A,0),0),0)</f>
        <v>0</v>
      </c>
      <c r="K2167" s="455">
        <f t="shared" ca="1" si="141"/>
        <v>-5549327.5610659458</v>
      </c>
      <c r="L2167" s="455">
        <f t="shared" ca="1" si="142"/>
        <v>-1337387942.216893</v>
      </c>
      <c r="M2167" s="471">
        <f t="shared" si="144"/>
        <v>0.05</v>
      </c>
      <c r="N2167" s="475">
        <f t="shared" si="145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43"/>
        <v>-1337387942.216893</v>
      </c>
      <c r="J2168" s="455">
        <f t="array" ref="J2168">IFERROR(INDEX('Retirement Calculator'!J:J,MATCH('Isaac 401k'!N2168,'Retirement Calculator'!A:A,0),0),0)</f>
        <v>0</v>
      </c>
      <c r="K2168" s="455">
        <f t="shared" ca="1" si="141"/>
        <v>-5572449.7592370538</v>
      </c>
      <c r="L2168" s="455">
        <f t="shared" ca="1" si="142"/>
        <v>-1342960391.97613</v>
      </c>
      <c r="M2168" s="471">
        <f t="shared" si="144"/>
        <v>0.05</v>
      </c>
      <c r="N2168" s="475">
        <f t="shared" si="145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43"/>
        <v>-1342960391.97613</v>
      </c>
      <c r="J2169" s="455">
        <f t="array" ref="J2169">IFERROR(INDEX('Retirement Calculator'!J:J,MATCH('Isaac 401k'!N2169,'Retirement Calculator'!A:A,0),0),0)</f>
        <v>0</v>
      </c>
      <c r="K2169" s="455">
        <f t="shared" ca="1" si="141"/>
        <v>-5595668.299900542</v>
      </c>
      <c r="L2169" s="455">
        <f t="shared" ca="1" si="142"/>
        <v>-1348556060.2760305</v>
      </c>
      <c r="M2169" s="471">
        <f t="shared" si="144"/>
        <v>0.05</v>
      </c>
      <c r="N2169" s="475">
        <f t="shared" si="145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43"/>
        <v>-1348556060.2760305</v>
      </c>
      <c r="J2170" s="455">
        <f t="array" ref="J2170">IFERROR(INDEX('Retirement Calculator'!J:J,MATCH('Isaac 401k'!N2170,'Retirement Calculator'!A:A,0),0),0)</f>
        <v>0</v>
      </c>
      <c r="K2170" s="455">
        <f t="shared" ca="1" si="141"/>
        <v>-5618983.5844834605</v>
      </c>
      <c r="L2170" s="455">
        <f t="shared" ca="1" si="142"/>
        <v>-1354175043.8605139</v>
      </c>
      <c r="M2170" s="471">
        <f t="shared" si="144"/>
        <v>0.05</v>
      </c>
      <c r="N2170" s="475">
        <f t="shared" si="145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43"/>
        <v>-1354175043.8605139</v>
      </c>
      <c r="J2171" s="455">
        <f t="array" ref="J2171">IFERROR(INDEX('Retirement Calculator'!J:J,MATCH('Isaac 401k'!N2171,'Retirement Calculator'!A:A,0),0),0)</f>
        <v>0</v>
      </c>
      <c r="K2171" s="455">
        <f t="shared" ca="1" si="141"/>
        <v>-5642396.0160854748</v>
      </c>
      <c r="L2171" s="455">
        <f t="shared" ca="1" si="142"/>
        <v>-1359817439.8765993</v>
      </c>
      <c r="M2171" s="471">
        <f t="shared" si="144"/>
        <v>0.05</v>
      </c>
      <c r="N2171" s="475">
        <f t="shared" si="145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43"/>
        <v>-1359817439.8765993</v>
      </c>
      <c r="J2172" s="455">
        <f t="array" ref="J2172">IFERROR(INDEX('Retirement Calculator'!J:J,MATCH('Isaac 401k'!N2172,'Retirement Calculator'!A:A,0),0),0)</f>
        <v>0</v>
      </c>
      <c r="K2172" s="455">
        <f t="shared" ca="1" si="141"/>
        <v>-5665905.9994858308</v>
      </c>
      <c r="L2172" s="455">
        <f t="shared" ca="1" si="142"/>
        <v>-1365483345.876085</v>
      </c>
      <c r="M2172" s="471">
        <f t="shared" si="144"/>
        <v>0.05</v>
      </c>
      <c r="N2172" s="475">
        <f t="shared" si="145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43"/>
        <v>-1365483345.876085</v>
      </c>
      <c r="J2173" s="455">
        <f t="array" ref="J2173">IFERROR(INDEX('Retirement Calculator'!J:J,MATCH('Isaac 401k'!N2173,'Retirement Calculator'!A:A,0),0),0)</f>
        <v>0</v>
      </c>
      <c r="K2173" s="455">
        <f t="shared" ca="1" si="141"/>
        <v>-5689513.9411503542</v>
      </c>
      <c r="L2173" s="455">
        <f t="shared" ca="1" si="142"/>
        <v>-1371172859.8172355</v>
      </c>
      <c r="M2173" s="471">
        <f t="shared" si="144"/>
        <v>0.05</v>
      </c>
      <c r="N2173" s="475">
        <f t="shared" si="145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43"/>
        <v>-1371172859.8172355</v>
      </c>
      <c r="J2174" s="455">
        <f t="array" ref="J2174">IFERROR(INDEX('Retirement Calculator'!J:J,MATCH('Isaac 401k'!N2174,'Retirement Calculator'!A:A,0),0),0)</f>
        <v>0</v>
      </c>
      <c r="K2174" s="455">
        <f t="shared" ca="1" si="141"/>
        <v>-5713220.2492384808</v>
      </c>
      <c r="L2174" s="455">
        <f t="shared" ca="1" si="142"/>
        <v>-1376886080.066474</v>
      </c>
      <c r="M2174" s="471">
        <f t="shared" si="144"/>
        <v>0.05</v>
      </c>
      <c r="N2174" s="475">
        <f t="shared" si="145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43"/>
        <v>-1376886080.066474</v>
      </c>
      <c r="J2175" s="455">
        <f t="array" ref="J2175">IFERROR(INDEX('Retirement Calculator'!J:J,MATCH('Isaac 401k'!N2175,'Retirement Calculator'!A:A,0),0),0)</f>
        <v>0</v>
      </c>
      <c r="K2175" s="455">
        <f t="shared" ca="1" si="141"/>
        <v>-5737025.3336103084</v>
      </c>
      <c r="L2175" s="455">
        <f t="shared" ca="1" si="142"/>
        <v>-1382623105.4000843</v>
      </c>
      <c r="M2175" s="471">
        <f t="shared" si="144"/>
        <v>0.05</v>
      </c>
      <c r="N2175" s="475">
        <f t="shared" si="145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43"/>
        <v>-1382623105.4000843</v>
      </c>
      <c r="J2176" s="455">
        <f t="array" ref="J2176">IFERROR(INDEX('Retirement Calculator'!J:J,MATCH('Isaac 401k'!N2176,'Retirement Calculator'!A:A,0),0),0)</f>
        <v>0</v>
      </c>
      <c r="K2176" s="455">
        <f t="shared" ca="1" si="141"/>
        <v>-5760929.6058336841</v>
      </c>
      <c r="L2176" s="455">
        <f t="shared" ca="1" si="142"/>
        <v>-1388384035.005918</v>
      </c>
      <c r="M2176" s="471">
        <f t="shared" si="144"/>
        <v>0.05</v>
      </c>
      <c r="N2176" s="475">
        <f t="shared" si="145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43"/>
        <v>-1388384035.005918</v>
      </c>
      <c r="J2177" s="455">
        <f t="array" ref="J2177">IFERROR(INDEX('Retirement Calculator'!J:J,MATCH('Isaac 401k'!N2177,'Retirement Calculator'!A:A,0),0),0)</f>
        <v>0</v>
      </c>
      <c r="K2177" s="455">
        <f t="shared" ca="1" si="141"/>
        <v>-5784933.4791913247</v>
      </c>
      <c r="L2177" s="455">
        <f t="shared" ca="1" si="142"/>
        <v>-1394168968.4851093</v>
      </c>
      <c r="M2177" s="471">
        <f t="shared" si="144"/>
        <v>0.05</v>
      </c>
      <c r="N2177" s="475">
        <f t="shared" si="145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43"/>
        <v>-1394168968.4851093</v>
      </c>
      <c r="J2178" s="455">
        <f t="array" ref="J2178">IFERROR(INDEX('Retirement Calculator'!J:J,MATCH('Isaac 401k'!N2178,'Retirement Calculator'!A:A,0),0),0)</f>
        <v>0</v>
      </c>
      <c r="K2178" s="455">
        <f t="shared" ca="1" si="141"/>
        <v>-5809037.3686879557</v>
      </c>
      <c r="L2178" s="455">
        <f t="shared" ca="1" si="142"/>
        <v>-1399978005.8537972</v>
      </c>
      <c r="M2178" s="471">
        <f t="shared" si="144"/>
        <v>0.05</v>
      </c>
      <c r="N2178" s="475">
        <f t="shared" si="145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43"/>
        <v>-1399978005.8537972</v>
      </c>
      <c r="J2179" s="455">
        <f t="array" ref="J2179">IFERROR(INDEX('Retirement Calculator'!J:J,MATCH('Isaac 401k'!N2179,'Retirement Calculator'!A:A,0),0),0)</f>
        <v>0</v>
      </c>
      <c r="K2179" s="455">
        <f t="shared" ca="1" si="141"/>
        <v>-5833241.6910574883</v>
      </c>
      <c r="L2179" s="455">
        <f t="shared" ca="1" si="142"/>
        <v>-1405811247.5448546</v>
      </c>
      <c r="M2179" s="471">
        <f t="shared" si="144"/>
        <v>0.05</v>
      </c>
      <c r="N2179" s="475">
        <f t="shared" si="145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43"/>
        <v>-1405811247.5448546</v>
      </c>
      <c r="J2180" s="455">
        <f t="array" ref="J2180">IFERROR(INDEX('Retirement Calculator'!J:J,MATCH('Isaac 401k'!N2180,'Retirement Calculator'!A:A,0),0),0)</f>
        <v>0</v>
      </c>
      <c r="K2180" s="455">
        <f t="shared" ca="1" si="141"/>
        <v>-5857546.864770228</v>
      </c>
      <c r="L2180" s="455">
        <f t="shared" ca="1" si="142"/>
        <v>-1411668794.4096248</v>
      </c>
      <c r="M2180" s="471">
        <f t="shared" si="144"/>
        <v>0.05</v>
      </c>
      <c r="N2180" s="475">
        <f t="shared" si="145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43"/>
        <v>-1411668794.4096248</v>
      </c>
      <c r="J2181" s="455">
        <f t="array" ref="J2181">IFERROR(INDEX('Retirement Calculator'!J:J,MATCH('Isaac 401k'!N2181,'Retirement Calculator'!A:A,0),0),0)</f>
        <v>0</v>
      </c>
      <c r="K2181" s="455">
        <f t="shared" ca="1" si="141"/>
        <v>-5881953.3100401033</v>
      </c>
      <c r="L2181" s="455">
        <f t="shared" ca="1" si="142"/>
        <v>-1417550747.7196648</v>
      </c>
      <c r="M2181" s="471">
        <f t="shared" si="144"/>
        <v>0.05</v>
      </c>
      <c r="N2181" s="475">
        <f t="shared" si="145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43"/>
        <v>-1417550747.7196648</v>
      </c>
      <c r="J2182" s="455">
        <f t="array" ref="J2182">IFERROR(INDEX('Retirement Calculator'!J:J,MATCH('Isaac 401k'!N2182,'Retirement Calculator'!A:A,0),0),0)</f>
        <v>0</v>
      </c>
      <c r="K2182" s="455">
        <f t="shared" ca="1" si="141"/>
        <v>-5906461.4488319363</v>
      </c>
      <c r="L2182" s="455">
        <f t="shared" ca="1" si="142"/>
        <v>-1423457209.1684968</v>
      </c>
      <c r="M2182" s="471">
        <f t="shared" si="144"/>
        <v>0.05</v>
      </c>
      <c r="N2182" s="475">
        <f t="shared" si="145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43"/>
        <v>-1423457209.1684968</v>
      </c>
      <c r="J2183" s="455">
        <f t="array" ref="J2183">IFERROR(INDEX('Retirement Calculator'!J:J,MATCH('Isaac 401k'!N2183,'Retirement Calculator'!A:A,0),0),0)</f>
        <v>0</v>
      </c>
      <c r="K2183" s="455">
        <f t="shared" ca="1" si="141"/>
        <v>-5931071.7048687367</v>
      </c>
      <c r="L2183" s="455">
        <f t="shared" ca="1" si="142"/>
        <v>-1429388280.8733656</v>
      </c>
      <c r="M2183" s="471">
        <f t="shared" si="144"/>
        <v>0.05</v>
      </c>
      <c r="N2183" s="475">
        <f t="shared" si="145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43"/>
        <v>-1429388280.8733656</v>
      </c>
      <c r="J2184" s="455">
        <f t="array" ref="J2184">IFERROR(INDEX('Retirement Calculator'!J:J,MATCH('Isaac 401k'!N2184,'Retirement Calculator'!A:A,0),0),0)</f>
        <v>0</v>
      </c>
      <c r="K2184" s="455">
        <f t="shared" ca="1" si="141"/>
        <v>-5955784.5036390238</v>
      </c>
      <c r="L2184" s="455">
        <f t="shared" ca="1" si="142"/>
        <v>-1435344065.3770046</v>
      </c>
      <c r="M2184" s="471">
        <f t="shared" si="144"/>
        <v>0.05</v>
      </c>
      <c r="N2184" s="475">
        <f t="shared" si="145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43"/>
        <v>-1435344065.3770046</v>
      </c>
      <c r="J2185" s="455">
        <f t="array" ref="J2185">IFERROR(INDEX('Retirement Calculator'!J:J,MATCH('Isaac 401k'!N2185,'Retirement Calculator'!A:A,0),0),0)</f>
        <v>0</v>
      </c>
      <c r="K2185" s="455">
        <f t="shared" ca="1" si="141"/>
        <v>-5980600.2724041855</v>
      </c>
      <c r="L2185" s="455">
        <f t="shared" ca="1" si="142"/>
        <v>-1441324665.6494088</v>
      </c>
      <c r="M2185" s="471">
        <f t="shared" si="144"/>
        <v>0.05</v>
      </c>
      <c r="N2185" s="475">
        <f t="shared" si="145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43"/>
        <v>-1441324665.6494088</v>
      </c>
      <c r="J2186" s="455">
        <f t="array" ref="J2186">IFERROR(INDEX('Retirement Calculator'!J:J,MATCH('Isaac 401k'!N2186,'Retirement Calculator'!A:A,0),0),0)</f>
        <v>0</v>
      </c>
      <c r="K2186" s="455">
        <f t="shared" ca="1" si="141"/>
        <v>-6005519.4402058702</v>
      </c>
      <c r="L2186" s="455">
        <f t="shared" ca="1" si="142"/>
        <v>-1447330185.0896146</v>
      </c>
      <c r="M2186" s="471">
        <f t="shared" si="144"/>
        <v>0.05</v>
      </c>
      <c r="N2186" s="475">
        <f t="shared" si="145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43"/>
        <v>-1447330185.0896146</v>
      </c>
      <c r="J2187" s="455">
        <f t="array" ref="J2187">IFERROR(INDEX('Retirement Calculator'!J:J,MATCH('Isaac 401k'!N2187,'Retirement Calculator'!A:A,0),0),0)</f>
        <v>0</v>
      </c>
      <c r="K2187" s="455">
        <f t="shared" ca="1" si="141"/>
        <v>-6030542.4378733942</v>
      </c>
      <c r="L2187" s="455">
        <f t="shared" ca="1" si="142"/>
        <v>-1453360727.527488</v>
      </c>
      <c r="M2187" s="471">
        <f t="shared" si="144"/>
        <v>0.05</v>
      </c>
      <c r="N2187" s="475">
        <f t="shared" si="145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43"/>
        <v>-1453360727.527488</v>
      </c>
      <c r="J2188" s="455">
        <f t="array" ref="J2188">IFERROR(INDEX('Retirement Calculator'!J:J,MATCH('Isaac 401k'!N2188,'Retirement Calculator'!A:A,0),0),0)</f>
        <v>0</v>
      </c>
      <c r="K2188" s="455">
        <f t="shared" ca="1" si="141"/>
        <v>-6055669.6980312001</v>
      </c>
      <c r="L2188" s="455">
        <f t="shared" ca="1" si="142"/>
        <v>-1459416397.2255192</v>
      </c>
      <c r="M2188" s="471">
        <f t="shared" si="144"/>
        <v>0.05</v>
      </c>
      <c r="N2188" s="475">
        <f t="shared" si="145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43"/>
        <v>-1459416397.2255192</v>
      </c>
      <c r="J2189" s="455">
        <f t="array" ref="J2189">IFERROR(INDEX('Retirement Calculator'!J:J,MATCH('Isaac 401k'!N2189,'Retirement Calculator'!A:A,0),0),0)</f>
        <v>0</v>
      </c>
      <c r="K2189" s="455">
        <f t="shared" ca="1" si="141"/>
        <v>-6080901.6551063303</v>
      </c>
      <c r="L2189" s="455">
        <f t="shared" ca="1" si="142"/>
        <v>-1465497298.8806255</v>
      </c>
      <c r="M2189" s="471">
        <f t="shared" si="144"/>
        <v>0.05</v>
      </c>
      <c r="N2189" s="475">
        <f t="shared" si="145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43"/>
        <v>-1465497298.8806255</v>
      </c>
      <c r="J2190" s="455">
        <f t="array" ref="J2190">IFERROR(INDEX('Retirement Calculator'!J:J,MATCH('Isaac 401k'!N2190,'Retirement Calculator'!A:A,0),0),0)</f>
        <v>0</v>
      </c>
      <c r="K2190" s="455">
        <f t="shared" ca="1" si="141"/>
        <v>-6106238.7453359393</v>
      </c>
      <c r="L2190" s="455">
        <f t="shared" ca="1" si="142"/>
        <v>-1471603537.6259615</v>
      </c>
      <c r="M2190" s="471">
        <f t="shared" si="144"/>
        <v>0.05</v>
      </c>
      <c r="N2190" s="475">
        <f t="shared" si="145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43"/>
        <v>-1471603537.6259615</v>
      </c>
      <c r="J2191" s="455">
        <f t="array" ref="J2191">IFERROR(INDEX('Retirement Calculator'!J:J,MATCH('Isaac 401k'!N2191,'Retirement Calculator'!A:A,0),0),0)</f>
        <v>0</v>
      </c>
      <c r="K2191" s="455">
        <f t="shared" ca="1" si="141"/>
        <v>-6131681.4067748394</v>
      </c>
      <c r="L2191" s="455">
        <f t="shared" ca="1" si="142"/>
        <v>-1477735219.0327363</v>
      </c>
      <c r="M2191" s="471">
        <f t="shared" si="144"/>
        <v>0.05</v>
      </c>
      <c r="N2191" s="475">
        <f t="shared" si="145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43"/>
        <v>-1477735219.0327363</v>
      </c>
      <c r="J2192" s="455">
        <f t="array" ref="J2192">IFERROR(INDEX('Retirement Calculator'!J:J,MATCH('Isaac 401k'!N2192,'Retirement Calculator'!A:A,0),0),0)</f>
        <v>0</v>
      </c>
      <c r="K2192" s="455">
        <f t="shared" ca="1" si="141"/>
        <v>-6157230.0793030681</v>
      </c>
      <c r="L2192" s="455">
        <f t="shared" ca="1" si="142"/>
        <v>-1483892449.1120393</v>
      </c>
      <c r="M2192" s="471">
        <f t="shared" si="144"/>
        <v>0.05</v>
      </c>
      <c r="N2192" s="475">
        <f t="shared" si="145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43"/>
        <v>-1483892449.1120393</v>
      </c>
      <c r="J2193" s="455">
        <f t="array" ref="J2193">IFERROR(INDEX('Retirement Calculator'!J:J,MATCH('Isaac 401k'!N2193,'Retirement Calculator'!A:A,0),0),0)</f>
        <v>0</v>
      </c>
      <c r="K2193" s="455">
        <f t="shared" ca="1" si="141"/>
        <v>-6182885.2046334967</v>
      </c>
      <c r="L2193" s="455">
        <f t="shared" ca="1" si="142"/>
        <v>-1490075334.3166728</v>
      </c>
      <c r="M2193" s="471">
        <f t="shared" si="144"/>
        <v>0.05</v>
      </c>
      <c r="N2193" s="475">
        <f t="shared" si="145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43"/>
        <v>-1490075334.3166728</v>
      </c>
      <c r="J2194" s="455">
        <f t="array" ref="J2194">IFERROR(INDEX('Retirement Calculator'!J:J,MATCH('Isaac 401k'!N2194,'Retirement Calculator'!A:A,0),0),0)</f>
        <v>0</v>
      </c>
      <c r="K2194" s="455">
        <f t="shared" ca="1" si="141"/>
        <v>-6208647.2263194695</v>
      </c>
      <c r="L2194" s="455">
        <f t="shared" ca="1" si="142"/>
        <v>-1496283981.5429924</v>
      </c>
      <c r="M2194" s="471">
        <f t="shared" si="144"/>
        <v>0.05</v>
      </c>
      <c r="N2194" s="475">
        <f t="shared" si="145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43"/>
        <v>-1496283981.5429924</v>
      </c>
      <c r="J2195" s="455">
        <f t="array" ref="J2195">IFERROR(INDEX('Retirement Calculator'!J:J,MATCH('Isaac 401k'!N2195,'Retirement Calculator'!A:A,0),0),0)</f>
        <v>0</v>
      </c>
      <c r="K2195" s="455">
        <f t="shared" ca="1" si="141"/>
        <v>-6234516.5897624679</v>
      </c>
      <c r="L2195" s="455">
        <f t="shared" ca="1" si="142"/>
        <v>-1502518498.1327548</v>
      </c>
      <c r="M2195" s="471">
        <f t="shared" si="144"/>
        <v>0.05</v>
      </c>
      <c r="N2195" s="475">
        <f t="shared" si="145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43"/>
        <v>-1502518498.1327548</v>
      </c>
      <c r="J2196" s="455">
        <f t="array" ref="J2196">IFERROR(INDEX('Retirement Calculator'!J:J,MATCH('Isaac 401k'!N2196,'Retirement Calculator'!A:A,0),0),0)</f>
        <v>0</v>
      </c>
      <c r="K2196" s="455">
        <f t="shared" ca="1" si="141"/>
        <v>-6260493.7422198113</v>
      </c>
      <c r="L2196" s="455">
        <f t="shared" ca="1" si="142"/>
        <v>-1508778991.8749747</v>
      </c>
      <c r="M2196" s="471">
        <f t="shared" si="144"/>
        <v>0.05</v>
      </c>
      <c r="N2196" s="475">
        <f t="shared" si="145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43"/>
        <v>-1508778991.8749747</v>
      </c>
      <c r="J2197" s="455">
        <f t="array" ref="J2197">IFERROR(INDEX('Retirement Calculator'!J:J,MATCH('Isaac 401k'!N2197,'Retirement Calculator'!A:A,0),0),0)</f>
        <v>0</v>
      </c>
      <c r="K2197" s="455">
        <f t="shared" ca="1" si="141"/>
        <v>-6286579.1328123948</v>
      </c>
      <c r="L2197" s="455">
        <f t="shared" ca="1" si="142"/>
        <v>-1515065571.0077872</v>
      </c>
      <c r="M2197" s="471">
        <f t="shared" si="144"/>
        <v>0.05</v>
      </c>
      <c r="N2197" s="475">
        <f t="shared" si="145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43"/>
        <v>-1515065571.0077872</v>
      </c>
      <c r="J2198" s="455">
        <f t="array" ref="J2198">IFERROR(INDEX('Retirement Calculator'!J:J,MATCH('Isaac 401k'!N2198,'Retirement Calculator'!A:A,0),0),0)</f>
        <v>0</v>
      </c>
      <c r="K2198" s="455">
        <f t="shared" ca="1" si="141"/>
        <v>-6312773.2125324467</v>
      </c>
      <c r="L2198" s="455">
        <f t="shared" ca="1" si="142"/>
        <v>-1521378344.2203197</v>
      </c>
      <c r="M2198" s="471">
        <f t="shared" si="144"/>
        <v>0.05</v>
      </c>
      <c r="N2198" s="475">
        <f t="shared" si="145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43"/>
        <v>-1521378344.2203197</v>
      </c>
      <c r="J2199" s="455">
        <f t="array" ref="J2199">IFERROR(INDEX('Retirement Calculator'!J:J,MATCH('Isaac 401k'!N2199,'Retirement Calculator'!A:A,0),0),0)</f>
        <v>0</v>
      </c>
      <c r="K2199" s="455">
        <f t="shared" ca="1" si="141"/>
        <v>-6339076.4342513327</v>
      </c>
      <c r="L2199" s="455">
        <f t="shared" ca="1" si="142"/>
        <v>-1527717420.6545711</v>
      </c>
      <c r="M2199" s="471">
        <f t="shared" si="144"/>
        <v>0.05</v>
      </c>
      <c r="N2199" s="475">
        <f t="shared" si="145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43"/>
        <v>-1527717420.6545711</v>
      </c>
      <c r="J2200" s="455">
        <f t="array" ref="J2200">IFERROR(INDEX('Retirement Calculator'!J:J,MATCH('Isaac 401k'!N2200,'Retirement Calculator'!A:A,0),0),0)</f>
        <v>0</v>
      </c>
      <c r="K2200" s="455">
        <f t="shared" ca="1" si="141"/>
        <v>-6365489.2527273791</v>
      </c>
      <c r="L2200" s="455">
        <f t="shared" ca="1" si="142"/>
        <v>-1534082909.9072983</v>
      </c>
      <c r="M2200" s="471">
        <f t="shared" si="144"/>
        <v>0.05</v>
      </c>
      <c r="N2200" s="475">
        <f t="shared" si="145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43"/>
        <v>-1534082909.9072983</v>
      </c>
      <c r="J2201" s="455">
        <f t="array" ref="J2201">IFERROR(INDEX('Retirement Calculator'!J:J,MATCH('Isaac 401k'!N2201,'Retirement Calculator'!A:A,0),0),0)</f>
        <v>0</v>
      </c>
      <c r="K2201" s="455">
        <f t="shared" ca="1" si="141"/>
        <v>-6392012.1246137433</v>
      </c>
      <c r="L2201" s="455">
        <f t="shared" ca="1" si="142"/>
        <v>-1540474922.0319121</v>
      </c>
      <c r="M2201" s="471">
        <f t="shared" si="144"/>
        <v>0.05</v>
      </c>
      <c r="N2201" s="475">
        <f t="shared" si="145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43"/>
        <v>-1540474922.0319121</v>
      </c>
      <c r="J2202" s="455">
        <f t="array" ref="J2202">IFERROR(INDEX('Retirement Calculator'!J:J,MATCH('Isaac 401k'!N2202,'Retirement Calculator'!A:A,0),0),0)</f>
        <v>0</v>
      </c>
      <c r="K2202" s="455">
        <f t="shared" ca="1" si="141"/>
        <v>-6418645.5084663006</v>
      </c>
      <c r="L2202" s="455">
        <f t="shared" ca="1" si="142"/>
        <v>-1546893567.5403783</v>
      </c>
      <c r="M2202" s="471">
        <f t="shared" si="144"/>
        <v>0.05</v>
      </c>
      <c r="N2202" s="475">
        <f t="shared" si="145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43"/>
        <v>-1546893567.5403783</v>
      </c>
      <c r="J2203" s="455">
        <f t="array" ref="J2203">IFERROR(INDEX('Retirement Calculator'!J:J,MATCH('Isaac 401k'!N2203,'Retirement Calculator'!A:A,0),0),0)</f>
        <v>0</v>
      </c>
      <c r="K2203" s="455">
        <f t="shared" ca="1" si="141"/>
        <v>-6445389.8647515764</v>
      </c>
      <c r="L2203" s="455">
        <f t="shared" ca="1" si="142"/>
        <v>-1553338957.4051299</v>
      </c>
      <c r="M2203" s="471">
        <f t="shared" si="144"/>
        <v>0.05</v>
      </c>
      <c r="N2203" s="475">
        <f t="shared" si="145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43"/>
        <v>-1553338957.4051299</v>
      </c>
      <c r="J2204" s="455">
        <f t="array" ref="J2204">IFERROR(INDEX('Retirement Calculator'!J:J,MATCH('Isaac 401k'!N2204,'Retirement Calculator'!A:A,0),0),0)</f>
        <v>0</v>
      </c>
      <c r="K2204" s="455">
        <f t="shared" ca="1" si="141"/>
        <v>-6472245.6558547076</v>
      </c>
      <c r="L2204" s="455">
        <f t="shared" ca="1" si="142"/>
        <v>-1559811203.0609846</v>
      </c>
      <c r="M2204" s="471">
        <f t="shared" si="144"/>
        <v>0.05</v>
      </c>
      <c r="N2204" s="475">
        <f t="shared" si="145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43"/>
        <v>-1559811203.0609846</v>
      </c>
      <c r="J2205" s="455">
        <f t="array" ref="J2205">IFERROR(INDEX('Retirement Calculator'!J:J,MATCH('Isaac 401k'!N2205,'Retirement Calculator'!A:A,0),0),0)</f>
        <v>0</v>
      </c>
      <c r="K2205" s="455">
        <f t="shared" ca="1" si="141"/>
        <v>-6499213.3460874362</v>
      </c>
      <c r="L2205" s="455">
        <f t="shared" ca="1" si="142"/>
        <v>-1566310416.4070721</v>
      </c>
      <c r="M2205" s="471">
        <f t="shared" si="144"/>
        <v>0.05</v>
      </c>
      <c r="N2205" s="475">
        <f t="shared" si="145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43"/>
        <v>-1566310416.4070721</v>
      </c>
      <c r="J2206" s="455">
        <f t="array" ref="J2206">IFERROR(INDEX('Retirement Calculator'!J:J,MATCH('Isaac 401k'!N2206,'Retirement Calculator'!A:A,0),0),0)</f>
        <v>0</v>
      </c>
      <c r="K2206" s="455">
        <f t="shared" ca="1" si="141"/>
        <v>-6526293.4016961334</v>
      </c>
      <c r="L2206" s="455">
        <f t="shared" ca="1" si="142"/>
        <v>-1572836709.8087683</v>
      </c>
      <c r="M2206" s="471">
        <f t="shared" si="144"/>
        <v>0.05</v>
      </c>
      <c r="N2206" s="475">
        <f t="shared" si="145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43"/>
        <v>-1572836709.8087683</v>
      </c>
      <c r="J2207" s="455">
        <f t="array" ref="J2207">IFERROR(INDEX('Retirement Calculator'!J:J,MATCH('Isaac 401k'!N2207,'Retirement Calculator'!A:A,0),0),0)</f>
        <v>0</v>
      </c>
      <c r="K2207" s="455">
        <f t="shared" ca="1" si="141"/>
        <v>-6553486.2908698674</v>
      </c>
      <c r="L2207" s="455">
        <f t="shared" ca="1" si="142"/>
        <v>-1579390196.0996382</v>
      </c>
      <c r="M2207" s="471">
        <f t="shared" si="144"/>
        <v>0.05</v>
      </c>
      <c r="N2207" s="475">
        <f t="shared" si="145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43"/>
        <v>-1579390196.0996382</v>
      </c>
      <c r="J2208" s="455">
        <f t="array" ref="J2208">IFERROR(INDEX('Retirement Calculator'!J:J,MATCH('Isaac 401k'!N2208,'Retirement Calculator'!A:A,0),0),0)</f>
        <v>0</v>
      </c>
      <c r="K2208" s="455">
        <f t="shared" ca="1" si="141"/>
        <v>-6580792.4837484928</v>
      </c>
      <c r="L2208" s="455">
        <f t="shared" ca="1" si="142"/>
        <v>-1585970988.5833867</v>
      </c>
      <c r="M2208" s="471">
        <f t="shared" si="144"/>
        <v>0.05</v>
      </c>
      <c r="N2208" s="475">
        <f t="shared" si="145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43"/>
        <v>-1585970988.5833867</v>
      </c>
      <c r="J2209" s="455">
        <f t="array" ref="J2209">IFERROR(INDEX('Retirement Calculator'!J:J,MATCH('Isaac 401k'!N2209,'Retirement Calculator'!A:A,0),0),0)</f>
        <v>0</v>
      </c>
      <c r="K2209" s="455">
        <f t="shared" ca="1" si="141"/>
        <v>-6608212.4524307773</v>
      </c>
      <c r="L2209" s="455">
        <f t="shared" ca="1" si="142"/>
        <v>-1592579201.0358174</v>
      </c>
      <c r="M2209" s="471">
        <f t="shared" si="144"/>
        <v>0.05</v>
      </c>
      <c r="N2209" s="475">
        <f t="shared" si="145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43"/>
        <v>-1592579201.0358174</v>
      </c>
      <c r="J2210" s="455">
        <f t="array" ref="J2210">IFERROR(INDEX('Retirement Calculator'!J:J,MATCH('Isaac 401k'!N2210,'Retirement Calculator'!A:A,0),0),0)</f>
        <v>0</v>
      </c>
      <c r="K2210" s="455">
        <f t="shared" ca="1" si="141"/>
        <v>-6635746.6709825723</v>
      </c>
      <c r="L2210" s="455">
        <f t="shared" ca="1" si="142"/>
        <v>-1599214947.7068</v>
      </c>
      <c r="M2210" s="471">
        <f t="shared" si="144"/>
        <v>0.05</v>
      </c>
      <c r="N2210" s="475">
        <f t="shared" si="145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43"/>
        <v>-1599214947.7068</v>
      </c>
      <c r="J2211" s="455">
        <f t="array" ref="J2211">IFERROR(INDEX('Retirement Calculator'!J:J,MATCH('Isaac 401k'!N2211,'Retirement Calculator'!A:A,0),0),0)</f>
        <v>0</v>
      </c>
      <c r="K2211" s="455">
        <f t="shared" ca="1" si="141"/>
        <v>-6663395.6154450001</v>
      </c>
      <c r="L2211" s="455">
        <f t="shared" ca="1" si="142"/>
        <v>-1605878343.3222449</v>
      </c>
      <c r="M2211" s="471">
        <f t="shared" si="144"/>
        <v>0.05</v>
      </c>
      <c r="N2211" s="475">
        <f t="shared" si="145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43"/>
        <v>-1605878343.3222449</v>
      </c>
      <c r="J2212" s="455">
        <f t="array" ref="J2212">IFERROR(INDEX('Retirement Calculator'!J:J,MATCH('Isaac 401k'!N2212,'Retirement Calculator'!A:A,0),0),0)</f>
        <v>0</v>
      </c>
      <c r="K2212" s="455">
        <f t="shared" ca="1" si="141"/>
        <v>-6691159.763842687</v>
      </c>
      <c r="L2212" s="455">
        <f t="shared" ca="1" si="142"/>
        <v>-1612569503.0860875</v>
      </c>
      <c r="M2212" s="471">
        <f t="shared" si="144"/>
        <v>0.05</v>
      </c>
      <c r="N2212" s="475">
        <f t="shared" si="145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43"/>
        <v>-1612569503.0860875</v>
      </c>
      <c r="J2213" s="455">
        <f t="array" ref="J2213">IFERROR(INDEX('Retirement Calculator'!J:J,MATCH('Isaac 401k'!N2213,'Retirement Calculator'!A:A,0),0),0)</f>
        <v>0</v>
      </c>
      <c r="K2213" s="455">
        <f t="shared" ca="1" si="141"/>
        <v>-6719039.5961920312</v>
      </c>
      <c r="L2213" s="455">
        <f t="shared" ca="1" si="142"/>
        <v>-1619288542.6822796</v>
      </c>
      <c r="M2213" s="471">
        <f t="shared" si="144"/>
        <v>0.05</v>
      </c>
      <c r="N2213" s="475">
        <f t="shared" si="145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43"/>
        <v>-1619288542.6822796</v>
      </c>
      <c r="J2214" s="455">
        <f t="array" ref="J2214">IFERROR(INDEX('Retirement Calculator'!J:J,MATCH('Isaac 401k'!N2214,'Retirement Calculator'!A:A,0),0),0)</f>
        <v>0</v>
      </c>
      <c r="K2214" s="455">
        <f t="shared" ca="1" si="141"/>
        <v>-6747035.5945094982</v>
      </c>
      <c r="L2214" s="455">
        <f t="shared" ca="1" si="142"/>
        <v>-1626035578.2767892</v>
      </c>
      <c r="M2214" s="471">
        <f t="shared" si="144"/>
        <v>0.05</v>
      </c>
      <c r="N2214" s="475">
        <f t="shared" si="145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43"/>
        <v>-1626035578.2767892</v>
      </c>
      <c r="J2215" s="455">
        <f t="array" ref="J2215">IFERROR(INDEX('Retirement Calculator'!J:J,MATCH('Isaac 401k'!N2215,'Retirement Calculator'!A:A,0),0),0)</f>
        <v>0</v>
      </c>
      <c r="K2215" s="455">
        <f t="shared" ca="1" si="141"/>
        <v>-6775148.2428199546</v>
      </c>
      <c r="L2215" s="455">
        <f t="shared" ca="1" si="142"/>
        <v>-1632810726.5196092</v>
      </c>
      <c r="M2215" s="471">
        <f t="shared" si="144"/>
        <v>0.05</v>
      </c>
      <c r="N2215" s="475">
        <f t="shared" si="145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43"/>
        <v>-1632810726.5196092</v>
      </c>
      <c r="J2216" s="455">
        <f t="array" ref="J2216">IFERROR(INDEX('Retirement Calculator'!J:J,MATCH('Isaac 401k'!N2216,'Retirement Calculator'!A:A,0),0),0)</f>
        <v>0</v>
      </c>
      <c r="K2216" s="455">
        <f t="shared" ca="1" si="141"/>
        <v>-6803378.0271650385</v>
      </c>
      <c r="L2216" s="455">
        <f t="shared" ca="1" si="142"/>
        <v>-1639614104.5467741</v>
      </c>
      <c r="M2216" s="471">
        <f t="shared" si="144"/>
        <v>0.05</v>
      </c>
      <c r="N2216" s="475">
        <f t="shared" si="145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43"/>
        <v>-1639614104.5467741</v>
      </c>
      <c r="J2217" s="455">
        <f t="array" ref="J2217">IFERROR(INDEX('Retirement Calculator'!J:J,MATCH('Isaac 401k'!N2217,'Retirement Calculator'!A:A,0),0),0)</f>
        <v>0</v>
      </c>
      <c r="K2217" s="455">
        <f t="shared" ca="1" si="141"/>
        <v>-6831725.4356115591</v>
      </c>
      <c r="L2217" s="455">
        <f t="shared" ca="1" si="142"/>
        <v>-1646445829.9823856</v>
      </c>
      <c r="M2217" s="471">
        <f t="shared" si="144"/>
        <v>0.05</v>
      </c>
      <c r="N2217" s="475">
        <f t="shared" si="145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43"/>
        <v>-1646445829.9823856</v>
      </c>
      <c r="J2218" s="455">
        <f t="array" ref="J2218">IFERROR(INDEX('Retirement Calculator'!J:J,MATCH('Isaac 401k'!N2218,'Retirement Calculator'!A:A,0),0),0)</f>
        <v>0</v>
      </c>
      <c r="K2218" s="455">
        <f t="shared" ca="1" si="141"/>
        <v>-6860190.9582599401</v>
      </c>
      <c r="L2218" s="455">
        <f t="shared" ca="1" si="142"/>
        <v>-1653306020.9406457</v>
      </c>
      <c r="M2218" s="471">
        <f t="shared" si="144"/>
        <v>0.05</v>
      </c>
      <c r="N2218" s="475">
        <f t="shared" si="145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43"/>
        <v>-1653306020.9406457</v>
      </c>
      <c r="J2219" s="455">
        <f t="array" ref="J2219">IFERROR(INDEX('Retirement Calculator'!J:J,MATCH('Isaac 401k'!N2219,'Retirement Calculator'!A:A,0),0),0)</f>
        <v>0</v>
      </c>
      <c r="K2219" s="455">
        <f t="shared" ca="1" si="141"/>
        <v>-6888775.0872526905</v>
      </c>
      <c r="L2219" s="455">
        <f t="shared" ca="1" si="142"/>
        <v>-1660194796.0278983</v>
      </c>
      <c r="M2219" s="471">
        <f t="shared" si="144"/>
        <v>0.05</v>
      </c>
      <c r="N2219" s="475">
        <f t="shared" si="145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43"/>
        <v>-1660194796.0278983</v>
      </c>
      <c r="J2220" s="455">
        <f t="array" ref="J2220">IFERROR(INDEX('Retirement Calculator'!J:J,MATCH('Isaac 401k'!N2220,'Retirement Calculator'!A:A,0),0),0)</f>
        <v>0</v>
      </c>
      <c r="K2220" s="455">
        <f t="shared" ca="1" si="141"/>
        <v>-6917478.3167829094</v>
      </c>
      <c r="L2220" s="455">
        <f t="shared" ca="1" si="142"/>
        <v>-1667112274.3446813</v>
      </c>
      <c r="M2220" s="471">
        <f t="shared" si="144"/>
        <v>0.05</v>
      </c>
      <c r="N2220" s="475">
        <f t="shared" si="145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43"/>
        <v>-1667112274.3446813</v>
      </c>
      <c r="J2221" s="455">
        <f t="array" ref="J2221">IFERROR(INDEX('Retirement Calculator'!J:J,MATCH('Isaac 401k'!N2221,'Retirement Calculator'!A:A,0),0),0)</f>
        <v>0</v>
      </c>
      <c r="K2221" s="455">
        <f t="shared" ca="1" si="141"/>
        <v>-6946301.1431028387</v>
      </c>
      <c r="L2221" s="455">
        <f t="shared" ca="1" si="142"/>
        <v>-1674058575.4877841</v>
      </c>
      <c r="M2221" s="471">
        <f t="shared" si="144"/>
        <v>0.05</v>
      </c>
      <c r="N2221" s="475">
        <f t="shared" si="145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43"/>
        <v>-1674058575.4877841</v>
      </c>
      <c r="J2222" s="455">
        <f t="array" ref="J2222">IFERROR(INDEX('Retirement Calculator'!J:J,MATCH('Isaac 401k'!N2222,'Retirement Calculator'!A:A,0),0),0)</f>
        <v>0</v>
      </c>
      <c r="K2222" s="455">
        <f t="shared" ca="1" si="141"/>
        <v>-6975244.0645324336</v>
      </c>
      <c r="L2222" s="455">
        <f t="shared" ca="1" si="142"/>
        <v>-1681033819.5523167</v>
      </c>
      <c r="M2222" s="471">
        <f t="shared" si="144"/>
        <v>0.05</v>
      </c>
      <c r="N2222" s="475">
        <f t="shared" si="145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43"/>
        <v>-1681033819.5523167</v>
      </c>
      <c r="J2223" s="455">
        <f t="array" ref="J2223">IFERROR(INDEX('Retirement Calculator'!J:J,MATCH('Isaac 401k'!N2223,'Retirement Calculator'!A:A,0),0),0)</f>
        <v>0</v>
      </c>
      <c r="K2223" s="455">
        <f t="shared" ca="1" si="141"/>
        <v>-7004307.5814679861</v>
      </c>
      <c r="L2223" s="455">
        <f t="shared" ca="1" si="142"/>
        <v>-1688038127.1337848</v>
      </c>
      <c r="M2223" s="471">
        <f t="shared" si="144"/>
        <v>0.05</v>
      </c>
      <c r="N2223" s="475">
        <f t="shared" si="145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43"/>
        <v>-1688038127.1337848</v>
      </c>
      <c r="J2224" s="455">
        <f t="array" ref="J2224">IFERROR(INDEX('Retirement Calculator'!J:J,MATCH('Isaac 401k'!N2224,'Retirement Calculator'!A:A,0),0),0)</f>
        <v>0</v>
      </c>
      <c r="K2224" s="455">
        <f t="shared" ca="1" si="141"/>
        <v>-7033492.1963907694</v>
      </c>
      <c r="L2224" s="455">
        <f t="shared" ca="1" si="142"/>
        <v>-1695071619.3301756</v>
      </c>
      <c r="M2224" s="471">
        <f t="shared" si="144"/>
        <v>0.05</v>
      </c>
      <c r="N2224" s="475">
        <f t="shared" si="145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43"/>
        <v>-1695071619.3301756</v>
      </c>
      <c r="J2225" s="455">
        <f t="array" ref="J2225">IFERROR(INDEX('Retirement Calculator'!J:J,MATCH('Isaac 401k'!N2225,'Retirement Calculator'!A:A,0),0),0)</f>
        <v>0</v>
      </c>
      <c r="K2225" s="455">
        <f t="shared" ca="1" si="141"/>
        <v>-7062798.4138757316</v>
      </c>
      <c r="L2225" s="455">
        <f t="shared" ca="1" si="142"/>
        <v>-1702134417.7440515</v>
      </c>
      <c r="M2225" s="471">
        <f t="shared" si="144"/>
        <v>0.05</v>
      </c>
      <c r="N2225" s="475">
        <f t="shared" si="145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43"/>
        <v>-1702134417.7440515</v>
      </c>
      <c r="J2226" s="455">
        <f t="array" ref="J2226">IFERROR(INDEX('Retirement Calculator'!J:J,MATCH('Isaac 401k'!N2226,'Retirement Calculator'!A:A,0),0),0)</f>
        <v>0</v>
      </c>
      <c r="K2226" s="455">
        <f t="shared" ca="1" si="141"/>
        <v>-7092226.7406002143</v>
      </c>
      <c r="L2226" s="455">
        <f t="shared" ca="1" si="142"/>
        <v>-1709226644.4846516</v>
      </c>
      <c r="M2226" s="471">
        <f t="shared" si="144"/>
        <v>0.05</v>
      </c>
      <c r="N2226" s="475">
        <f t="shared" si="145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43"/>
        <v>-1709226644.4846516</v>
      </c>
      <c r="J2227" s="455">
        <f t="array" ref="J2227">IFERROR(INDEX('Retirement Calculator'!J:J,MATCH('Isaac 401k'!N2227,'Retirement Calculator'!A:A,0),0),0)</f>
        <v>0</v>
      </c>
      <c r="K2227" s="455">
        <f t="shared" ca="1" si="141"/>
        <v>-7121777.6853527147</v>
      </c>
      <c r="L2227" s="455">
        <f t="shared" ca="1" si="142"/>
        <v>-1716348422.1700044</v>
      </c>
      <c r="M2227" s="471">
        <f t="shared" si="144"/>
        <v>0.05</v>
      </c>
      <c r="N2227" s="475">
        <f t="shared" si="145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43"/>
        <v>-1716348422.1700044</v>
      </c>
      <c r="J2228" s="455">
        <f t="array" ref="J2228">IFERROR(INDEX('Retirement Calculator'!J:J,MATCH('Isaac 401k'!N2228,'Retirement Calculator'!A:A,0),0),0)</f>
        <v>0</v>
      </c>
      <c r="K2228" s="455">
        <f t="shared" ca="1" si="141"/>
        <v>-7151451.7590416847</v>
      </c>
      <c r="L2228" s="455">
        <f t="shared" ca="1" si="142"/>
        <v>-1723499873.9290462</v>
      </c>
      <c r="M2228" s="471">
        <f t="shared" si="144"/>
        <v>0.05</v>
      </c>
      <c r="N2228" s="475">
        <f t="shared" si="145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43"/>
        <v>-1723499873.9290462</v>
      </c>
      <c r="J2229" s="455">
        <f t="array" ref="J2229">IFERROR(INDEX('Retirement Calculator'!J:J,MATCH('Isaac 401k'!N2229,'Retirement Calculator'!A:A,0),0),0)</f>
        <v>0</v>
      </c>
      <c r="K2229" s="455">
        <f t="shared" ca="1" si="141"/>
        <v>-7181249.4747043597</v>
      </c>
      <c r="L2229" s="455">
        <f t="shared" ca="1" si="142"/>
        <v>-1730681123.4037504</v>
      </c>
      <c r="M2229" s="471">
        <f t="shared" si="144"/>
        <v>0.05</v>
      </c>
      <c r="N2229" s="475">
        <f t="shared" si="145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43"/>
        <v>-1730681123.4037504</v>
      </c>
      <c r="J2230" s="455">
        <f t="array" ref="J2230">IFERROR(INDEX('Retirement Calculator'!J:J,MATCH('Isaac 401k'!N2230,'Retirement Calculator'!A:A,0),0),0)</f>
        <v>0</v>
      </c>
      <c r="K2230" s="455">
        <f t="shared" ca="1" si="141"/>
        <v>-7211171.3475156268</v>
      </c>
      <c r="L2230" s="455">
        <f t="shared" ca="1" si="142"/>
        <v>-1737892294.751266</v>
      </c>
      <c r="M2230" s="471">
        <f t="shared" si="144"/>
        <v>0.05</v>
      </c>
      <c r="N2230" s="475">
        <f t="shared" si="145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43"/>
        <v>-1737892294.751266</v>
      </c>
      <c r="J2231" s="455">
        <f t="array" ref="J2231">IFERROR(INDEX('Retirement Calculator'!J:J,MATCH('Isaac 401k'!N2231,'Retirement Calculator'!A:A,0),0),0)</f>
        <v>0</v>
      </c>
      <c r="K2231" s="455">
        <f t="shared" ca="1" si="141"/>
        <v>-7241217.8947969405</v>
      </c>
      <c r="L2231" s="455">
        <f t="shared" ca="1" si="142"/>
        <v>-1745133512.6460629</v>
      </c>
      <c r="M2231" s="471">
        <f t="shared" si="144"/>
        <v>0.05</v>
      </c>
      <c r="N2231" s="475">
        <f t="shared" si="145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43"/>
        <v>-1745133512.6460629</v>
      </c>
      <c r="J2232" s="455">
        <f t="array" ref="J2232">IFERROR(INDEX('Retirement Calculator'!J:J,MATCH('Isaac 401k'!N2232,'Retirement Calculator'!A:A,0),0),0)</f>
        <v>0</v>
      </c>
      <c r="K2232" s="455">
        <f t="shared" ca="1" si="141"/>
        <v>-7271389.6360252621</v>
      </c>
      <c r="L2232" s="455">
        <f t="shared" ca="1" si="142"/>
        <v>-1752404902.282088</v>
      </c>
      <c r="M2232" s="471">
        <f t="shared" si="144"/>
        <v>0.05</v>
      </c>
      <c r="N2232" s="475">
        <f t="shared" si="145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43"/>
        <v>-1752404902.282088</v>
      </c>
      <c r="J2233" s="455">
        <f t="array" ref="J2233">IFERROR(INDEX('Retirement Calculator'!J:J,MATCH('Isaac 401k'!N2233,'Retirement Calculator'!A:A,0),0),0)</f>
        <v>0</v>
      </c>
      <c r="K2233" s="455">
        <f t="shared" ca="1" si="141"/>
        <v>-7301687.0928420331</v>
      </c>
      <c r="L2233" s="455">
        <f t="shared" ca="1" si="142"/>
        <v>-1759706589.3749301</v>
      </c>
      <c r="M2233" s="471">
        <f t="shared" si="144"/>
        <v>0.05</v>
      </c>
      <c r="N2233" s="475">
        <f t="shared" si="145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43"/>
        <v>-1759706589.3749301</v>
      </c>
      <c r="J2234" s="455">
        <f t="array" ref="J2234">IFERROR(INDEX('Retirement Calculator'!J:J,MATCH('Isaac 401k'!N2234,'Retirement Calculator'!A:A,0),0),0)</f>
        <v>0</v>
      </c>
      <c r="K2234" s="455">
        <f t="shared" ca="1" si="141"/>
        <v>-7332110.7890622094</v>
      </c>
      <c r="L2234" s="455">
        <f t="shared" ca="1" si="142"/>
        <v>-1767038700.1639924</v>
      </c>
      <c r="M2234" s="471">
        <f t="shared" si="144"/>
        <v>0.05</v>
      </c>
      <c r="N2234" s="475">
        <f t="shared" si="145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43"/>
        <v>-1767038700.1639924</v>
      </c>
      <c r="J2235" s="455">
        <f t="array" ref="J2235">IFERROR(INDEX('Retirement Calculator'!J:J,MATCH('Isaac 401k'!N2235,'Retirement Calculator'!A:A,0),0),0)</f>
        <v>0</v>
      </c>
      <c r="K2235" s="455">
        <f t="shared" ca="1" si="141"/>
        <v>-7362661.2506833011</v>
      </c>
      <c r="L2235" s="455">
        <f t="shared" ca="1" si="142"/>
        <v>-1774401361.4146757</v>
      </c>
      <c r="M2235" s="471">
        <f t="shared" si="144"/>
        <v>0.05</v>
      </c>
      <c r="N2235" s="475">
        <f t="shared" si="145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43"/>
        <v>-1774401361.4146757</v>
      </c>
      <c r="J2236" s="455">
        <f t="array" ref="J2236">IFERROR(INDEX('Retirement Calculator'!J:J,MATCH('Isaac 401k'!N2236,'Retirement Calculator'!A:A,0),0),0)</f>
        <v>0</v>
      </c>
      <c r="K2236" s="455">
        <f t="shared" ca="1" si="141"/>
        <v>-7393339.0058944831</v>
      </c>
      <c r="L2236" s="455">
        <f t="shared" ca="1" si="142"/>
        <v>-1781794700.4205701</v>
      </c>
      <c r="M2236" s="471">
        <f t="shared" si="144"/>
        <v>0.05</v>
      </c>
      <c r="N2236" s="475">
        <f t="shared" si="145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43"/>
        <v>-1781794700.4205701</v>
      </c>
      <c r="J2237" s="455">
        <f t="array" ref="J2237">IFERROR(INDEX('Retirement Calculator'!J:J,MATCH('Isaac 401k'!N2237,'Retirement Calculator'!A:A,0),0),0)</f>
        <v>0</v>
      </c>
      <c r="K2237" s="455">
        <f t="shared" ca="1" si="141"/>
        <v>-7424144.5850857086</v>
      </c>
      <c r="L2237" s="455">
        <f t="shared" ca="1" si="142"/>
        <v>-1789218845.0056558</v>
      </c>
      <c r="M2237" s="471">
        <f t="shared" si="144"/>
        <v>0.05</v>
      </c>
      <c r="N2237" s="475">
        <f t="shared" si="145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43"/>
        <v>-1789218845.0056558</v>
      </c>
      <c r="J2238" s="455">
        <f t="array" ref="J2238">IFERROR(INDEX('Retirement Calculator'!J:J,MATCH('Isaac 401k'!N2238,'Retirement Calculator'!A:A,0),0),0)</f>
        <v>0</v>
      </c>
      <c r="K2238" s="455">
        <f t="shared" ca="1" si="141"/>
        <v>-7455078.5208568983</v>
      </c>
      <c r="L2238" s="455">
        <f t="shared" ca="1" si="142"/>
        <v>-1796673923.5265126</v>
      </c>
      <c r="M2238" s="471">
        <f t="shared" si="144"/>
        <v>0.05</v>
      </c>
      <c r="N2238" s="475">
        <f t="shared" si="145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43"/>
        <v>-1796673923.5265126</v>
      </c>
      <c r="J2239" s="455">
        <f t="array" ref="J2239">IFERROR(INDEX('Retirement Calculator'!J:J,MATCH('Isaac 401k'!N2239,'Retirement Calculator'!A:A,0),0),0)</f>
        <v>0</v>
      </c>
      <c r="K2239" s="455">
        <f t="shared" ca="1" si="141"/>
        <v>-7486141.3480271362</v>
      </c>
      <c r="L2239" s="455">
        <f t="shared" ca="1" si="142"/>
        <v>-1804160064.8745399</v>
      </c>
      <c r="M2239" s="471">
        <f t="shared" si="144"/>
        <v>0.05</v>
      </c>
      <c r="N2239" s="475">
        <f t="shared" si="145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43"/>
        <v>-1804160064.8745399</v>
      </c>
      <c r="J2240" s="455">
        <f t="array" ref="J2240">IFERROR(INDEX('Retirement Calculator'!J:J,MATCH('Isaac 401k'!N2240,'Retirement Calculator'!A:A,0),0),0)</f>
        <v>0</v>
      </c>
      <c r="K2240" s="455">
        <f t="shared" ca="1" si="141"/>
        <v>-7517333.6036439156</v>
      </c>
      <c r="L2240" s="455">
        <f t="shared" ca="1" si="142"/>
        <v>-1811677398.4781837</v>
      </c>
      <c r="M2240" s="471">
        <f t="shared" si="144"/>
        <v>0.05</v>
      </c>
      <c r="N2240" s="475">
        <f t="shared" si="145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43"/>
        <v>-1811677398.4781837</v>
      </c>
      <c r="J2241" s="455">
        <f t="array" ref="J2241">IFERROR(INDEX('Retirement Calculator'!J:J,MATCH('Isaac 401k'!N2241,'Retirement Calculator'!A:A,0),0),0)</f>
        <v>0</v>
      </c>
      <c r="K2241" s="455">
        <f t="shared" ca="1" si="141"/>
        <v>-7548655.8269924307</v>
      </c>
      <c r="L2241" s="455">
        <f t="shared" ca="1" si="142"/>
        <v>-1819226054.3051763</v>
      </c>
      <c r="M2241" s="471">
        <f t="shared" si="144"/>
        <v>0.05</v>
      </c>
      <c r="N2241" s="475">
        <f t="shared" si="145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43"/>
        <v>-1819226054.3051763</v>
      </c>
      <c r="J2242" s="455">
        <f t="array" ref="J2242">IFERROR(INDEX('Retirement Calculator'!J:J,MATCH('Isaac 401k'!N2242,'Retirement Calculator'!A:A,0),0),0)</f>
        <v>0</v>
      </c>
      <c r="K2242" s="455">
        <f t="shared" ca="1" si="141"/>
        <v>-7580108.5596049009</v>
      </c>
      <c r="L2242" s="455">
        <f t="shared" ca="1" si="142"/>
        <v>-1826806162.8647811</v>
      </c>
      <c r="M2242" s="471">
        <f t="shared" si="144"/>
        <v>0.05</v>
      </c>
      <c r="N2242" s="475">
        <f t="shared" si="145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43"/>
        <v>-1826806162.8647811</v>
      </c>
      <c r="J2243" s="455">
        <f t="array" ref="J2243">IFERROR(INDEX('Retirement Calculator'!J:J,MATCH('Isaac 401k'!N2243,'Retirement Calculator'!A:A,0),0),0)</f>
        <v>0</v>
      </c>
      <c r="K2243" s="455">
        <f t="shared" ca="1" si="141"/>
        <v>-7611692.3452699212</v>
      </c>
      <c r="L2243" s="455">
        <f t="shared" ca="1" si="142"/>
        <v>-1834417855.2100511</v>
      </c>
      <c r="M2243" s="471">
        <f t="shared" si="144"/>
        <v>0.05</v>
      </c>
      <c r="N2243" s="475">
        <f t="shared" si="145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43"/>
        <v>-1834417855.2100511</v>
      </c>
      <c r="J2244" s="455">
        <f t="array" ref="J2244">IFERROR(INDEX('Retirement Calculator'!J:J,MATCH('Isaac 401k'!N2244,'Retirement Calculator'!A:A,0),0),0)</f>
        <v>0</v>
      </c>
      <c r="K2244" s="455">
        <f t="shared" ca="1" si="141"/>
        <v>-7643407.7300418792</v>
      </c>
      <c r="L2244" s="455">
        <f t="shared" ca="1" si="142"/>
        <v>-1842061262.940093</v>
      </c>
      <c r="M2244" s="471">
        <f t="shared" si="144"/>
        <v>0.05</v>
      </c>
      <c r="N2244" s="475">
        <f t="shared" si="145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43"/>
        <v>-1842061262.940093</v>
      </c>
      <c r="J2245" s="455">
        <f t="array" ref="J2245">IFERROR(INDEX('Retirement Calculator'!J:J,MATCH('Isaac 401k'!N2245,'Retirement Calculator'!A:A,0),0),0)</f>
        <v>0</v>
      </c>
      <c r="K2245" s="455">
        <f t="shared" ca="1" si="141"/>
        <v>-7675255.262250389</v>
      </c>
      <c r="L2245" s="455">
        <f t="shared" ca="1" si="142"/>
        <v>-1849736518.2023435</v>
      </c>
      <c r="M2245" s="471">
        <f t="shared" si="144"/>
        <v>0.05</v>
      </c>
      <c r="N2245" s="475">
        <f t="shared" si="145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43"/>
        <v>-1849736518.2023435</v>
      </c>
      <c r="J2246" s="455">
        <f t="array" ref="J2246">IFERROR(INDEX('Retirement Calculator'!J:J,MATCH('Isaac 401k'!N2246,'Retirement Calculator'!A:A,0),0),0)</f>
        <v>0</v>
      </c>
      <c r="K2246" s="455">
        <f t="shared" ca="1" si="141"/>
        <v>-7707235.4925097656</v>
      </c>
      <c r="L2246" s="455">
        <f t="shared" ca="1" si="142"/>
        <v>-1857443753.6948533</v>
      </c>
      <c r="M2246" s="471">
        <f t="shared" si="144"/>
        <v>0.05</v>
      </c>
      <c r="N2246" s="475">
        <f t="shared" si="145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43"/>
        <v>-1857443753.6948533</v>
      </c>
      <c r="J2247" s="455">
        <f t="array" ref="J2247">IFERROR(INDEX('Retirement Calculator'!J:J,MATCH('Isaac 401k'!N2247,'Retirement Calculator'!A:A,0),0),0)</f>
        <v>0</v>
      </c>
      <c r="K2247" s="455">
        <f t="shared" ca="1" si="141"/>
        <v>-7739348.9737285562</v>
      </c>
      <c r="L2247" s="455">
        <f t="shared" ca="1" si="142"/>
        <v>-1865183102.668582</v>
      </c>
      <c r="M2247" s="471">
        <f t="shared" si="144"/>
        <v>0.05</v>
      </c>
      <c r="N2247" s="475">
        <f t="shared" si="145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43"/>
        <v>-1865183102.668582</v>
      </c>
      <c r="J2248" s="455">
        <f t="array" ref="J2248">IFERROR(INDEX('Retirement Calculator'!J:J,MATCH('Isaac 401k'!N2248,'Retirement Calculator'!A:A,0),0),0)</f>
        <v>0</v>
      </c>
      <c r="K2248" s="455">
        <f t="shared" ca="1" si="141"/>
        <v>-7771596.261119091</v>
      </c>
      <c r="L2248" s="455">
        <f t="shared" ca="1" si="142"/>
        <v>-1872954698.9297011</v>
      </c>
      <c r="M2248" s="471">
        <f t="shared" si="144"/>
        <v>0.05</v>
      </c>
      <c r="N2248" s="475">
        <f t="shared" si="145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43"/>
        <v>-1872954698.9297011</v>
      </c>
      <c r="J2249" s="455">
        <f t="array" ref="J2249">IFERROR(INDEX('Retirement Calculator'!J:J,MATCH('Isaac 401k'!N2249,'Retirement Calculator'!A:A,0),0),0)</f>
        <v>0</v>
      </c>
      <c r="K2249" s="455">
        <f t="shared" ca="1" si="141"/>
        <v>-7803977.9122070884</v>
      </c>
      <c r="L2249" s="455">
        <f t="shared" ca="1" si="142"/>
        <v>-1880758676.8419082</v>
      </c>
      <c r="M2249" s="471">
        <f t="shared" si="144"/>
        <v>0.05</v>
      </c>
      <c r="N2249" s="475">
        <f t="shared" si="145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43"/>
        <v>-1880758676.8419082</v>
      </c>
      <c r="J2250" s="455">
        <f t="array" ref="J2250">IFERROR(INDEX('Retirement Calculator'!J:J,MATCH('Isaac 401k'!N2250,'Retirement Calculator'!A:A,0),0),0)</f>
        <v>0</v>
      </c>
      <c r="K2250" s="455">
        <f t="shared" ca="1" si="141"/>
        <v>-7836494.4868412828</v>
      </c>
      <c r="L2250" s="455">
        <f t="shared" ca="1" si="142"/>
        <v>-1888595171.3287494</v>
      </c>
      <c r="M2250" s="471">
        <f t="shared" si="144"/>
        <v>0.05</v>
      </c>
      <c r="N2250" s="475">
        <f t="shared" si="145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43"/>
        <v>-1888595171.3287494</v>
      </c>
      <c r="J2251" s="455">
        <f t="array" ref="J2251">IFERROR(INDEX('Retirement Calculator'!J:J,MATCH('Isaac 401k'!N2251,'Retirement Calculator'!A:A,0),0),0)</f>
        <v>0</v>
      </c>
      <c r="K2251" s="455">
        <f t="shared" ca="1" si="141"/>
        <v>-7869146.5472031226</v>
      </c>
      <c r="L2251" s="455">
        <f t="shared" ca="1" si="142"/>
        <v>-1896464317.8759525</v>
      </c>
      <c r="M2251" s="471">
        <f t="shared" si="144"/>
        <v>0.05</v>
      </c>
      <c r="N2251" s="475">
        <f t="shared" si="145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43"/>
        <v>-1896464317.8759525</v>
      </c>
      <c r="J2252" s="455">
        <f t="array" ref="J2252">IFERROR(INDEX('Retirement Calculator'!J:J,MATCH('Isaac 401k'!N2252,'Retirement Calculator'!A:A,0),0),0)</f>
        <v>0</v>
      </c>
      <c r="K2252" s="455">
        <f t="shared" ca="1" si="141"/>
        <v>-7901934.6578164687</v>
      </c>
      <c r="L2252" s="455">
        <f t="shared" ca="1" si="142"/>
        <v>-1904366252.5337689</v>
      </c>
      <c r="M2252" s="471">
        <f t="shared" si="144"/>
        <v>0.05</v>
      </c>
      <c r="N2252" s="475">
        <f t="shared" si="145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43"/>
        <v>-1904366252.5337689</v>
      </c>
      <c r="J2253" s="455">
        <f t="array" ref="J2253">IFERROR(INDEX('Retirement Calculator'!J:J,MATCH('Isaac 401k'!N2253,'Retirement Calculator'!A:A,0),0),0)</f>
        <v>0</v>
      </c>
      <c r="K2253" s="455">
        <f t="shared" ca="1" si="141"/>
        <v>-7934859.3855573703</v>
      </c>
      <c r="L2253" s="455">
        <f t="shared" ca="1" si="142"/>
        <v>-1912301111.9193263</v>
      </c>
      <c r="M2253" s="471">
        <f t="shared" si="144"/>
        <v>0.05</v>
      </c>
      <c r="N2253" s="475">
        <f t="shared" si="145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43"/>
        <v>-1912301111.9193263</v>
      </c>
      <c r="J2254" s="455">
        <f t="array" ref="J2254">IFERROR(INDEX('Retirement Calculator'!J:J,MATCH('Isaac 401k'!N2254,'Retirement Calculator'!A:A,0),0),0)</f>
        <v>0</v>
      </c>
      <c r="K2254" s="455">
        <f t="shared" ca="1" si="141"/>
        <v>-7967921.2996638594</v>
      </c>
      <c r="L2254" s="455">
        <f t="shared" ca="1" si="142"/>
        <v>-1920269033.2189901</v>
      </c>
      <c r="M2254" s="471">
        <f t="shared" si="144"/>
        <v>0.05</v>
      </c>
      <c r="N2254" s="475">
        <f t="shared" si="145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43"/>
        <v>-1920269033.2189901</v>
      </c>
      <c r="J2255" s="455">
        <f t="array" ref="J2255">IFERROR(INDEX('Retirement Calculator'!J:J,MATCH('Isaac 401k'!N2255,'Retirement Calculator'!A:A,0),0),0)</f>
        <v>0</v>
      </c>
      <c r="K2255" s="455">
        <f t="shared" ca="1" si="141"/>
        <v>-8001120.9717457918</v>
      </c>
      <c r="L2255" s="455">
        <f t="shared" ca="1" si="142"/>
        <v>-1928270154.1907358</v>
      </c>
      <c r="M2255" s="471">
        <f t="shared" si="144"/>
        <v>0.05</v>
      </c>
      <c r="N2255" s="475">
        <f t="shared" si="145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43"/>
        <v>-1928270154.1907358</v>
      </c>
      <c r="J2256" s="455">
        <f t="array" ref="J2256">IFERROR(INDEX('Retirement Calculator'!J:J,MATCH('Isaac 401k'!N2256,'Retirement Calculator'!A:A,0),0),0)</f>
        <v>0</v>
      </c>
      <c r="K2256" s="455">
        <f t="shared" ca="1" si="141"/>
        <v>-8034458.9757947335</v>
      </c>
      <c r="L2256" s="455">
        <f t="shared" ca="1" si="142"/>
        <v>-1936304613.1665306</v>
      </c>
      <c r="M2256" s="471">
        <f t="shared" si="144"/>
        <v>0.05</v>
      </c>
      <c r="N2256" s="475">
        <f t="shared" si="145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43"/>
        <v>-1936304613.1665306</v>
      </c>
      <c r="J2257" s="455">
        <f t="array" ref="J2257">IFERROR(INDEX('Retirement Calculator'!J:J,MATCH('Isaac 401k'!N2257,'Retirement Calculator'!A:A,0),0),0)</f>
        <v>0</v>
      </c>
      <c r="K2257" s="455">
        <f t="shared" ca="1" si="141"/>
        <v>-8067935.8881938774</v>
      </c>
      <c r="L2257" s="455">
        <f t="shared" ca="1" si="142"/>
        <v>-1944372549.0547245</v>
      </c>
      <c r="M2257" s="471">
        <f t="shared" si="144"/>
        <v>0.05</v>
      </c>
      <c r="N2257" s="475">
        <f t="shared" si="145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43"/>
        <v>-1944372549.0547245</v>
      </c>
      <c r="J2258" s="455">
        <f t="array" ref="J2258">IFERROR(INDEX('Retirement Calculator'!J:J,MATCH('Isaac 401k'!N2258,'Retirement Calculator'!A:A,0),0),0)</f>
        <v>0</v>
      </c>
      <c r="K2258" s="455">
        <f t="shared" ca="1" si="141"/>
        <v>-8101552.2877280172</v>
      </c>
      <c r="L2258" s="455">
        <f t="shared" ca="1" si="142"/>
        <v>-1952474101.3424525</v>
      </c>
      <c r="M2258" s="471">
        <f t="shared" si="144"/>
        <v>0.05</v>
      </c>
      <c r="N2258" s="475">
        <f t="shared" si="145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43"/>
        <v>-1952474101.3424525</v>
      </c>
      <c r="J2259" s="455">
        <f t="array" ref="J2259">IFERROR(INDEX('Retirement Calculator'!J:J,MATCH('Isaac 401k'!N2259,'Retirement Calculator'!A:A,0),0),0)</f>
        <v>0</v>
      </c>
      <c r="K2259" s="455">
        <f t="shared" ca="1" si="141"/>
        <v>-8135308.7555935513</v>
      </c>
      <c r="L2259" s="455">
        <f t="shared" ca="1" si="142"/>
        <v>-1960609410.0980461</v>
      </c>
      <c r="M2259" s="471">
        <f t="shared" si="144"/>
        <v>0.05</v>
      </c>
      <c r="N2259" s="475">
        <f t="shared" si="145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43"/>
        <v>-1960609410.0980461</v>
      </c>
      <c r="J2260" s="455">
        <f t="array" ref="J2260">IFERROR(INDEX('Retirement Calculator'!J:J,MATCH('Isaac 401k'!N2260,'Retirement Calculator'!A:A,0),0),0)</f>
        <v>0</v>
      </c>
      <c r="K2260" s="455">
        <f t="shared" ca="1" si="141"/>
        <v>-8169205.8754085237</v>
      </c>
      <c r="L2260" s="455">
        <f t="shared" ca="1" si="142"/>
        <v>-1968778615.9734545</v>
      </c>
      <c r="M2260" s="471">
        <f t="shared" si="144"/>
        <v>0.05</v>
      </c>
      <c r="N2260" s="475">
        <f t="shared" si="145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43"/>
        <v>-1968778615.9734545</v>
      </c>
      <c r="J2261" s="455">
        <f t="array" ref="J2261">IFERROR(INDEX('Retirement Calculator'!J:J,MATCH('Isaac 401k'!N2261,'Retirement Calculator'!A:A,0),0),0)</f>
        <v>0</v>
      </c>
      <c r="K2261" s="455">
        <f t="shared" ca="1" si="141"/>
        <v>-8203244.2332227277</v>
      </c>
      <c r="L2261" s="455">
        <f t="shared" ca="1" si="142"/>
        <v>-1976981860.2066772</v>
      </c>
      <c r="M2261" s="471">
        <f t="shared" si="144"/>
        <v>0.05</v>
      </c>
      <c r="N2261" s="475">
        <f t="shared" si="145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43"/>
        <v>-1976981860.2066772</v>
      </c>
      <c r="J2262" s="455">
        <f t="array" ref="J2262">IFERROR(INDEX('Retirement Calculator'!J:J,MATCH('Isaac 401k'!N2262,'Retirement Calculator'!A:A,0),0),0)</f>
        <v>0</v>
      </c>
      <c r="K2262" s="455">
        <f t="shared" ca="1" si="141"/>
        <v>-8237424.4175278218</v>
      </c>
      <c r="L2262" s="455">
        <f t="shared" ca="1" si="142"/>
        <v>-1985219284.6242051</v>
      </c>
      <c r="M2262" s="471">
        <f t="shared" si="144"/>
        <v>0.05</v>
      </c>
      <c r="N2262" s="475">
        <f t="shared" si="145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43"/>
        <v>-1985219284.6242051</v>
      </c>
      <c r="J2263" s="455">
        <f t="array" ref="J2263">IFERROR(INDEX('Retirement Calculator'!J:J,MATCH('Isaac 401k'!N2263,'Retirement Calculator'!A:A,0),0),0)</f>
        <v>0</v>
      </c>
      <c r="K2263" s="455">
        <f t="shared" ca="1" si="141"/>
        <v>-8271747.0192675199</v>
      </c>
      <c r="L2263" s="455">
        <f t="shared" ca="1" si="142"/>
        <v>-1993491031.6434727</v>
      </c>
      <c r="M2263" s="471">
        <f t="shared" si="144"/>
        <v>0.05</v>
      </c>
      <c r="N2263" s="475">
        <f t="shared" si="145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43"/>
        <v>-1993491031.6434727</v>
      </c>
      <c r="J2264" s="455">
        <f t="array" ref="J2264">IFERROR(INDEX('Retirement Calculator'!J:J,MATCH('Isaac 401k'!N2264,'Retirement Calculator'!A:A,0),0),0)</f>
        <v>0</v>
      </c>
      <c r="K2264" s="455">
        <f t="shared" ca="1" si="141"/>
        <v>-8306212.6318478025</v>
      </c>
      <c r="L2264" s="455">
        <f t="shared" ca="1" si="142"/>
        <v>-2001797244.2753205</v>
      </c>
      <c r="M2264" s="471">
        <f t="shared" si="144"/>
        <v>0.05</v>
      </c>
      <c r="N2264" s="475">
        <f t="shared" si="145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43"/>
        <v>-2001797244.2753205</v>
      </c>
      <c r="J2265" s="455">
        <f t="array" ref="J2265">IFERROR(INDEX('Retirement Calculator'!J:J,MATCH('Isaac 401k'!N2265,'Retirement Calculator'!A:A,0),0),0)</f>
        <v>0</v>
      </c>
      <c r="K2265" s="455">
        <f t="shared" ca="1" si="141"/>
        <v>-8340821.8511471683</v>
      </c>
      <c r="L2265" s="455">
        <f t="shared" ca="1" si="142"/>
        <v>-2010138066.1264677</v>
      </c>
      <c r="M2265" s="471">
        <f t="shared" si="144"/>
        <v>0.05</v>
      </c>
      <c r="N2265" s="475">
        <f t="shared" si="145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43"/>
        <v>-2010138066.1264677</v>
      </c>
      <c r="J2266" s="455">
        <f t="array" ref="J2266">IFERROR(INDEX('Retirement Calculator'!J:J,MATCH('Isaac 401k'!N2266,'Retirement Calculator'!A:A,0),0),0)</f>
        <v>0</v>
      </c>
      <c r="K2266" s="455">
        <f t="shared" ca="1" si="141"/>
        <v>-8375575.2755269483</v>
      </c>
      <c r="L2266" s="455">
        <f t="shared" ca="1" si="142"/>
        <v>-2018513641.4019947</v>
      </c>
      <c r="M2266" s="471">
        <f t="shared" si="144"/>
        <v>0.05</v>
      </c>
      <c r="N2266" s="475">
        <f t="shared" si="145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43"/>
        <v>-2018513641.4019947</v>
      </c>
      <c r="J2267" s="455">
        <f t="array" ref="J2267">IFERROR(INDEX('Retirement Calculator'!J:J,MATCH('Isaac 401k'!N2267,'Retirement Calculator'!A:A,0),0),0)</f>
        <v>0</v>
      </c>
      <c r="K2267" s="455">
        <f t="shared" ca="1" si="141"/>
        <v>-8410473.5058416426</v>
      </c>
      <c r="L2267" s="455">
        <f t="shared" ca="1" si="142"/>
        <v>-2026924114.9078364</v>
      </c>
      <c r="M2267" s="471">
        <f t="shared" si="144"/>
        <v>0.05</v>
      </c>
      <c r="N2267" s="475">
        <f t="shared" si="145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43"/>
        <v>-2026924114.9078364</v>
      </c>
      <c r="J2268" s="455">
        <f t="array" ref="J2268">IFERROR(INDEX('Retirement Calculator'!J:J,MATCH('Isaac 401k'!N2268,'Retirement Calculator'!A:A,0),0),0)</f>
        <v>0</v>
      </c>
      <c r="K2268" s="455">
        <f t="shared" ca="1" si="141"/>
        <v>-8445517.145449318</v>
      </c>
      <c r="L2268" s="455">
        <f t="shared" ca="1" si="142"/>
        <v>-2035369632.0532858</v>
      </c>
      <c r="M2268" s="471">
        <f t="shared" si="144"/>
        <v>0.05</v>
      </c>
      <c r="N2268" s="475">
        <f t="shared" si="145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43"/>
        <v>-2035369632.0532858</v>
      </c>
      <c r="J2269" s="455">
        <f t="array" ref="J2269">IFERROR(INDEX('Retirement Calculator'!J:J,MATCH('Isaac 401k'!N2269,'Retirement Calculator'!A:A,0),0),0)</f>
        <v>0</v>
      </c>
      <c r="K2269" s="455">
        <f t="shared" ca="1" si="141"/>
        <v>-8480706.8002220225</v>
      </c>
      <c r="L2269" s="455">
        <f t="shared" ca="1" si="142"/>
        <v>-2043850338.8535078</v>
      </c>
      <c r="M2269" s="471">
        <f t="shared" si="144"/>
        <v>0.05</v>
      </c>
      <c r="N2269" s="475">
        <f t="shared" si="145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43"/>
        <v>-2043850338.8535078</v>
      </c>
      <c r="J2270" s="455">
        <f t="array" ref="J2270">IFERROR(INDEX('Retirement Calculator'!J:J,MATCH('Isaac 401k'!N2270,'Retirement Calculator'!A:A,0),0),0)</f>
        <v>0</v>
      </c>
      <c r="K2270" s="455">
        <f t="shared" ca="1" si="141"/>
        <v>-8516043.0785562824</v>
      </c>
      <c r="L2270" s="455">
        <f t="shared" ca="1" si="142"/>
        <v>-2052366381.9320641</v>
      </c>
      <c r="M2270" s="471">
        <f t="shared" si="144"/>
        <v>0.05</v>
      </c>
      <c r="N2270" s="475">
        <f t="shared" si="145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43"/>
        <v>-2052366381.9320641</v>
      </c>
      <c r="J2271" s="455">
        <f t="array" ref="J2271">IFERROR(INDEX('Retirement Calculator'!J:J,MATCH('Isaac 401k'!N2271,'Retirement Calculator'!A:A,0),0),0)</f>
        <v>0</v>
      </c>
      <c r="K2271" s="455">
        <f t="shared" ca="1" si="141"/>
        <v>-8551526.5913835987</v>
      </c>
      <c r="L2271" s="455">
        <f t="shared" ca="1" si="142"/>
        <v>-2060917908.5234478</v>
      </c>
      <c r="M2271" s="471">
        <f t="shared" si="144"/>
        <v>0.05</v>
      </c>
      <c r="N2271" s="475">
        <f t="shared" si="145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43"/>
        <v>-2060917908.5234478</v>
      </c>
      <c r="J2272" s="455">
        <f t="array" ref="J2272">IFERROR(INDEX('Retirement Calculator'!J:J,MATCH('Isaac 401k'!N2272,'Retirement Calculator'!A:A,0),0),0)</f>
        <v>0</v>
      </c>
      <c r="K2272" s="455">
        <f t="shared" ca="1" si="141"/>
        <v>-8587157.9521810338</v>
      </c>
      <c r="L2272" s="455">
        <f t="shared" ca="1" si="142"/>
        <v>-2069505066.4756289</v>
      </c>
      <c r="M2272" s="471">
        <f t="shared" si="144"/>
        <v>0.05</v>
      </c>
      <c r="N2272" s="475">
        <f t="shared" si="145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43"/>
        <v>-2069505066.4756289</v>
      </c>
      <c r="J2273" s="455">
        <f t="array" ref="J2273">IFERROR(INDEX('Retirement Calculator'!J:J,MATCH('Isaac 401k'!N2273,'Retirement Calculator'!A:A,0),0),0)</f>
        <v>0</v>
      </c>
      <c r="K2273" s="455">
        <f t="shared" ca="1" si="141"/>
        <v>-8622937.7769817859</v>
      </c>
      <c r="L2273" s="455">
        <f t="shared" ca="1" si="142"/>
        <v>-2078128004.2526107</v>
      </c>
      <c r="M2273" s="471">
        <f t="shared" si="144"/>
        <v>0.05</v>
      </c>
      <c r="N2273" s="475">
        <f t="shared" si="145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43"/>
        <v>-2078128004.2526107</v>
      </c>
      <c r="J2274" s="455">
        <f t="array" ref="J2274">IFERROR(INDEX('Retirement Calculator'!J:J,MATCH('Isaac 401k'!N2274,'Retirement Calculator'!A:A,0),0),0)</f>
        <v>0</v>
      </c>
      <c r="K2274" s="455">
        <f t="shared" ca="1" si="141"/>
        <v>-8658866.6843858771</v>
      </c>
      <c r="L2274" s="455">
        <f t="shared" ca="1" si="142"/>
        <v>-2086786870.9369965</v>
      </c>
      <c r="M2274" s="471">
        <f t="shared" si="144"/>
        <v>0.05</v>
      </c>
      <c r="N2274" s="475">
        <f t="shared" si="145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43"/>
        <v>-2086786870.9369965</v>
      </c>
      <c r="J2275" s="455">
        <f t="array" ref="J2275">IFERROR(INDEX('Retirement Calculator'!J:J,MATCH('Isaac 401k'!N2275,'Retirement Calculator'!A:A,0),0),0)</f>
        <v>0</v>
      </c>
      <c r="K2275" s="455">
        <f t="shared" ca="1" si="141"/>
        <v>-8694945.2955708187</v>
      </c>
      <c r="L2275" s="455">
        <f t="shared" ca="1" si="142"/>
        <v>-2095481816.2325673</v>
      </c>
      <c r="M2275" s="471">
        <f t="shared" si="144"/>
        <v>0.05</v>
      </c>
      <c r="N2275" s="475">
        <f t="shared" si="145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43"/>
        <v>-2095481816.2325673</v>
      </c>
      <c r="J2276" s="455">
        <f t="array" ref="J2276">IFERROR(INDEX('Retirement Calculator'!J:J,MATCH('Isaac 401k'!N2276,'Retirement Calculator'!A:A,0),0),0)</f>
        <v>0</v>
      </c>
      <c r="K2276" s="455">
        <f t="shared" ca="1" si="141"/>
        <v>-8731174.2343023643</v>
      </c>
      <c r="L2276" s="455">
        <f t="shared" ca="1" si="142"/>
        <v>-2104212990.4668696</v>
      </c>
      <c r="M2276" s="471">
        <f t="shared" si="144"/>
        <v>0.05</v>
      </c>
      <c r="N2276" s="475">
        <f t="shared" si="145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43"/>
        <v>-2104212990.4668696</v>
      </c>
      <c r="J2277" s="455">
        <f t="array" ref="J2277">IFERROR(INDEX('Retirement Calculator'!J:J,MATCH('Isaac 401k'!N2277,'Retirement Calculator'!A:A,0),0),0)</f>
        <v>0</v>
      </c>
      <c r="K2277" s="455">
        <f t="shared" ca="1" si="141"/>
        <v>-8767554.1269452907</v>
      </c>
      <c r="L2277" s="455">
        <f t="shared" ca="1" si="142"/>
        <v>-2112980544.5938148</v>
      </c>
      <c r="M2277" s="471">
        <f t="shared" si="144"/>
        <v>0.05</v>
      </c>
      <c r="N2277" s="475">
        <f t="shared" si="145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43"/>
        <v>-2112980544.5938148</v>
      </c>
      <c r="J2278" s="455">
        <f t="array" ref="J2278">IFERROR(INDEX('Retirement Calculator'!J:J,MATCH('Isaac 401k'!N2278,'Retirement Calculator'!A:A,0),0),0)</f>
        <v>0</v>
      </c>
      <c r="K2278" s="455">
        <f t="shared" ca="1" si="141"/>
        <v>-8804085.6024742275</v>
      </c>
      <c r="L2278" s="455">
        <f t="shared" ca="1" si="142"/>
        <v>-2121784630.1962891</v>
      </c>
      <c r="M2278" s="471">
        <f t="shared" si="144"/>
        <v>0.05</v>
      </c>
      <c r="N2278" s="475">
        <f t="shared" si="145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43"/>
        <v>-2121784630.1962891</v>
      </c>
      <c r="J2279" s="455">
        <f t="array" ref="J2279">IFERROR(INDEX('Retirement Calculator'!J:J,MATCH('Isaac 401k'!N2279,'Retirement Calculator'!A:A,0),0),0)</f>
        <v>0</v>
      </c>
      <c r="K2279" s="455">
        <f t="shared" ca="1" si="141"/>
        <v>-8840769.2924845368</v>
      </c>
      <c r="L2279" s="455">
        <f t="shared" ca="1" si="142"/>
        <v>-2130625399.4887736</v>
      </c>
      <c r="M2279" s="471">
        <f t="shared" si="144"/>
        <v>0.05</v>
      </c>
      <c r="N2279" s="475">
        <f t="shared" si="145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43"/>
        <v>-2130625399.4887736</v>
      </c>
      <c r="J2280" s="455">
        <f t="array" ref="J2280">IFERROR(INDEX('Retirement Calculator'!J:J,MATCH('Isaac 401k'!N2280,'Retirement Calculator'!A:A,0),0),0)</f>
        <v>0</v>
      </c>
      <c r="K2280" s="455">
        <f t="shared" ca="1" si="141"/>
        <v>-8877605.8312032223</v>
      </c>
      <c r="L2280" s="455">
        <f t="shared" ca="1" si="142"/>
        <v>-2139503005.3199768</v>
      </c>
      <c r="M2280" s="471">
        <f t="shared" si="144"/>
        <v>0.05</v>
      </c>
      <c r="N2280" s="475">
        <f t="shared" si="145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43"/>
        <v>-2139503005.3199768</v>
      </c>
      <c r="J2281" s="455">
        <f t="array" ref="J2281">IFERROR(INDEX('Retirement Calculator'!J:J,MATCH('Isaac 401k'!N2281,'Retirement Calculator'!A:A,0),0),0)</f>
        <v>0</v>
      </c>
      <c r="K2281" s="455">
        <f t="shared" ca="1" si="141"/>
        <v>-8914595.8554999027</v>
      </c>
      <c r="L2281" s="455">
        <f t="shared" ca="1" si="142"/>
        <v>-2148417601.1754766</v>
      </c>
      <c r="M2281" s="471">
        <f t="shared" si="144"/>
        <v>0.05</v>
      </c>
      <c r="N2281" s="475">
        <f t="shared" si="145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43"/>
        <v>-2148417601.1754766</v>
      </c>
      <c r="J2282" s="455">
        <f t="array" ref="J2282">IFERROR(INDEX('Retirement Calculator'!J:J,MATCH('Isaac 401k'!N2282,'Retirement Calculator'!A:A,0),0),0)</f>
        <v>0</v>
      </c>
      <c r="K2282" s="455">
        <f t="shared" ca="1" si="141"/>
        <v>-8951740.004897818</v>
      </c>
      <c r="L2282" s="455">
        <f t="shared" ca="1" si="142"/>
        <v>-2157369341.1803741</v>
      </c>
      <c r="M2282" s="471">
        <f t="shared" si="144"/>
        <v>0.05</v>
      </c>
      <c r="N2282" s="475">
        <f t="shared" si="145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43"/>
        <v>-2157369341.1803741</v>
      </c>
      <c r="J2283" s="455">
        <f t="array" ref="J2283">IFERROR(INDEX('Retirement Calculator'!J:J,MATCH('Isaac 401k'!N2283,'Retirement Calculator'!A:A,0),0),0)</f>
        <v>0</v>
      </c>
      <c r="K2283" s="455">
        <f t="shared" ca="1" si="141"/>
        <v>-8989038.921584893</v>
      </c>
      <c r="L2283" s="455">
        <f t="shared" ca="1" si="142"/>
        <v>-2166358380.1019592</v>
      </c>
      <c r="M2283" s="471">
        <f t="shared" si="144"/>
        <v>0.05</v>
      </c>
      <c r="N2283" s="475">
        <f t="shared" si="145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43"/>
        <v>-2166358380.1019592</v>
      </c>
      <c r="J2284" s="455">
        <f t="array" ref="J2284">IFERROR(INDEX('Retirement Calculator'!J:J,MATCH('Isaac 401k'!N2284,'Retirement Calculator'!A:A,0),0),0)</f>
        <v>0</v>
      </c>
      <c r="K2284" s="455">
        <f t="shared" ca="1" si="141"/>
        <v>-9026493.2504248302</v>
      </c>
      <c r="L2284" s="455">
        <f t="shared" ca="1" si="142"/>
        <v>-2175384873.3523841</v>
      </c>
      <c r="M2284" s="471">
        <f t="shared" si="144"/>
        <v>0.05</v>
      </c>
      <c r="N2284" s="475">
        <f t="shared" si="145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43"/>
        <v>-2175384873.3523841</v>
      </c>
      <c r="J2285" s="455">
        <f t="array" ref="J2285">IFERROR(INDEX('Retirement Calculator'!J:J,MATCH('Isaac 401k'!N2285,'Retirement Calculator'!A:A,0),0),0)</f>
        <v>0</v>
      </c>
      <c r="K2285" s="455">
        <f t="shared" ca="1" si="141"/>
        <v>-9064103.6389682665</v>
      </c>
      <c r="L2285" s="455">
        <f t="shared" ca="1" si="142"/>
        <v>-2184448976.9913526</v>
      </c>
      <c r="M2285" s="471">
        <f t="shared" si="144"/>
        <v>0.05</v>
      </c>
      <c r="N2285" s="475">
        <f t="shared" si="145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43"/>
        <v>-2184448976.9913526</v>
      </c>
      <c r="J2286" s="455">
        <f t="array" ref="J2286">IFERROR(INDEX('Retirement Calculator'!J:J,MATCH('Isaac 401k'!N2286,'Retirement Calculator'!A:A,0),0),0)</f>
        <v>0</v>
      </c>
      <c r="K2286" s="455">
        <f t="shared" ca="1" si="141"/>
        <v>-9101870.7374639697</v>
      </c>
      <c r="L2286" s="455">
        <f t="shared" ca="1" si="142"/>
        <v>-2193550847.7288165</v>
      </c>
      <c r="M2286" s="471">
        <f t="shared" si="144"/>
        <v>0.05</v>
      </c>
      <c r="N2286" s="475">
        <f t="shared" si="145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43"/>
        <v>-2193550847.7288165</v>
      </c>
      <c r="J2287" s="455">
        <f t="array" ref="J2287">IFERROR(INDEX('Retirement Calculator'!J:J,MATCH('Isaac 401k'!N2287,'Retirement Calculator'!A:A,0),0),0)</f>
        <v>0</v>
      </c>
      <c r="K2287" s="455">
        <f t="shared" ca="1" si="141"/>
        <v>-9139795.1988700684</v>
      </c>
      <c r="L2287" s="455">
        <f t="shared" ca="1" si="142"/>
        <v>-2202690642.9276867</v>
      </c>
      <c r="M2287" s="471">
        <f t="shared" si="144"/>
        <v>0.05</v>
      </c>
      <c r="N2287" s="475">
        <f t="shared" si="145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43"/>
        <v>-2202690642.9276867</v>
      </c>
      <c r="J2288" s="455">
        <f t="array" ref="J2288">IFERROR(INDEX('Retirement Calculator'!J:J,MATCH('Isaac 401k'!N2288,'Retirement Calculator'!A:A,0),0),0)</f>
        <v>0</v>
      </c>
      <c r="K2288" s="455">
        <f t="shared" ca="1" si="141"/>
        <v>-9177877.678865362</v>
      </c>
      <c r="L2288" s="455">
        <f t="shared" ca="1" si="142"/>
        <v>-2211868520.6065521</v>
      </c>
      <c r="M2288" s="471">
        <f t="shared" si="144"/>
        <v>0.05</v>
      </c>
      <c r="N2288" s="475">
        <f t="shared" si="145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43"/>
        <v>-2211868520.6065521</v>
      </c>
      <c r="J2289" s="455">
        <f t="array" ref="J2289">IFERROR(INDEX('Retirement Calculator'!J:J,MATCH('Isaac 401k'!N2289,'Retirement Calculator'!A:A,0),0),0)</f>
        <v>0</v>
      </c>
      <c r="K2289" s="455">
        <f t="shared" ca="1" si="141"/>
        <v>-9216118.8358606342</v>
      </c>
      <c r="L2289" s="455">
        <f t="shared" ca="1" si="142"/>
        <v>-2221084639.4424129</v>
      </c>
      <c r="M2289" s="471">
        <f t="shared" si="144"/>
        <v>0.05</v>
      </c>
      <c r="N2289" s="475">
        <f t="shared" si="145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43"/>
        <v>-2221084639.4424129</v>
      </c>
      <c r="J2290" s="455">
        <f t="array" ref="J2290">IFERROR(INDEX('Retirement Calculator'!J:J,MATCH('Isaac 401k'!N2290,'Retirement Calculator'!A:A,0),0),0)</f>
        <v>0</v>
      </c>
      <c r="K2290" s="455">
        <f t="shared" ca="1" si="141"/>
        <v>-9254519.3310100529</v>
      </c>
      <c r="L2290" s="455">
        <f t="shared" ca="1" si="142"/>
        <v>-2230339158.7734227</v>
      </c>
      <c r="M2290" s="471">
        <f t="shared" si="144"/>
        <v>0.05</v>
      </c>
      <c r="N2290" s="475">
        <f t="shared" si="145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43"/>
        <v>-2230339158.7734227</v>
      </c>
      <c r="J2291" s="455">
        <f t="array" ref="J2291">IFERROR(INDEX('Retirement Calculator'!J:J,MATCH('Isaac 401k'!N2291,'Retirement Calculator'!A:A,0),0),0)</f>
        <v>0</v>
      </c>
      <c r="K2291" s="455">
        <f t="shared" ca="1" si="141"/>
        <v>-9293079.8282225952</v>
      </c>
      <c r="L2291" s="455">
        <f t="shared" ca="1" si="142"/>
        <v>-2239632238.6016455</v>
      </c>
      <c r="M2291" s="471">
        <f t="shared" si="144"/>
        <v>0.05</v>
      </c>
      <c r="N2291" s="475">
        <f t="shared" si="145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43"/>
        <v>-2239632238.6016455</v>
      </c>
      <c r="J2292" s="455">
        <f t="array" ref="J2292">IFERROR(INDEX('Retirement Calculator'!J:J,MATCH('Isaac 401k'!N2292,'Retirement Calculator'!A:A,0),0),0)</f>
        <v>0</v>
      </c>
      <c r="K2292" s="455">
        <f t="shared" ca="1" si="141"/>
        <v>-9331800.994173523</v>
      </c>
      <c r="L2292" s="455">
        <f t="shared" ca="1" si="142"/>
        <v>-2248964039.595819</v>
      </c>
      <c r="M2292" s="471">
        <f t="shared" si="144"/>
        <v>0.05</v>
      </c>
      <c r="N2292" s="475">
        <f t="shared" si="145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43"/>
        <v>-2248964039.595819</v>
      </c>
      <c r="J2293" s="455">
        <f t="array" ref="J2293">IFERROR(INDEX('Retirement Calculator'!J:J,MATCH('Isaac 401k'!N2293,'Retirement Calculator'!A:A,0),0),0)</f>
        <v>0</v>
      </c>
      <c r="K2293" s="455">
        <f t="shared" ca="1" si="141"/>
        <v>-9370683.4983159117</v>
      </c>
      <c r="L2293" s="455">
        <f t="shared" ca="1" si="142"/>
        <v>-2258334723.0941348</v>
      </c>
      <c r="M2293" s="471">
        <f t="shared" si="144"/>
        <v>0.05</v>
      </c>
      <c r="N2293" s="475">
        <f t="shared" si="145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43"/>
        <v>-2258334723.0941348</v>
      </c>
      <c r="J2294" s="455">
        <f t="array" ref="J2294">IFERROR(INDEX('Retirement Calculator'!J:J,MATCH('Isaac 401k'!N2294,'Retirement Calculator'!A:A,0),0),0)</f>
        <v>0</v>
      </c>
      <c r="K2294" s="455">
        <f t="shared" ca="1" si="141"/>
        <v>-9409728.0128922276</v>
      </c>
      <c r="L2294" s="455">
        <f t="shared" ca="1" si="142"/>
        <v>-2267744451.1070271</v>
      </c>
      <c r="M2294" s="471">
        <f t="shared" si="144"/>
        <v>0.05</v>
      </c>
      <c r="N2294" s="475">
        <f t="shared" si="145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43"/>
        <v>-2267744451.1070271</v>
      </c>
      <c r="J2295" s="455">
        <f t="array" ref="J2295">IFERROR(INDEX('Retirement Calculator'!J:J,MATCH('Isaac 401k'!N2295,'Retirement Calculator'!A:A,0),0),0)</f>
        <v>0</v>
      </c>
      <c r="K2295" s="455">
        <f t="shared" ca="1" si="141"/>
        <v>-9448935.2129459456</v>
      </c>
      <c r="L2295" s="455">
        <f t="shared" ca="1" si="142"/>
        <v>-2277193386.319973</v>
      </c>
      <c r="M2295" s="471">
        <f t="shared" si="144"/>
        <v>0.05</v>
      </c>
      <c r="N2295" s="475">
        <f t="shared" si="145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43"/>
        <v>-2277193386.319973</v>
      </c>
      <c r="J2296" s="455">
        <f t="array" ref="J2296">IFERROR(INDEX('Retirement Calculator'!J:J,MATCH('Isaac 401k'!N2296,'Retirement Calculator'!A:A,0),0),0)</f>
        <v>0</v>
      </c>
      <c r="K2296" s="455">
        <f t="shared" ca="1" si="141"/>
        <v>-9488305.7763332203</v>
      </c>
      <c r="L2296" s="455">
        <f t="shared" ca="1" si="142"/>
        <v>-2286681692.0963063</v>
      </c>
      <c r="M2296" s="471">
        <f t="shared" si="144"/>
        <v>0.05</v>
      </c>
      <c r="N2296" s="475">
        <f t="shared" si="145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43"/>
        <v>-2286681692.0963063</v>
      </c>
      <c r="J2297" s="455">
        <f t="array" ref="J2297">IFERROR(INDEX('Retirement Calculator'!J:J,MATCH('Isaac 401k'!N2297,'Retirement Calculator'!A:A,0),0),0)</f>
        <v>0</v>
      </c>
      <c r="K2297" s="455">
        <f t="shared" ca="1" si="141"/>
        <v>-9527840.3837346099</v>
      </c>
      <c r="L2297" s="455">
        <f t="shared" ca="1" si="142"/>
        <v>-2296209532.480041</v>
      </c>
      <c r="M2297" s="471">
        <f t="shared" si="144"/>
        <v>0.05</v>
      </c>
      <c r="N2297" s="475">
        <f t="shared" si="145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43"/>
        <v>-2296209532.480041</v>
      </c>
      <c r="J2298" s="455">
        <f t="array" ref="J2298">IFERROR(INDEX('Retirement Calculator'!J:J,MATCH('Isaac 401k'!N2298,'Retirement Calculator'!A:A,0),0),0)</f>
        <v>0</v>
      </c>
      <c r="K2298" s="455">
        <f t="shared" ca="1" si="141"/>
        <v>-9567539.7186668366</v>
      </c>
      <c r="L2298" s="455">
        <f t="shared" ca="1" si="142"/>
        <v>-2305777072.1987081</v>
      </c>
      <c r="M2298" s="471">
        <f t="shared" si="144"/>
        <v>0.05</v>
      </c>
      <c r="N2298" s="475">
        <f t="shared" si="145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43"/>
        <v>-2305777072.1987081</v>
      </c>
      <c r="J2299" s="455">
        <f t="array" ref="J2299">IFERROR(INDEX('Retirement Calculator'!J:J,MATCH('Isaac 401k'!N2299,'Retirement Calculator'!A:A,0),0),0)</f>
        <v>0</v>
      </c>
      <c r="K2299" s="455">
        <f t="shared" ca="1" si="141"/>
        <v>-9607404.4674946163</v>
      </c>
      <c r="L2299" s="455">
        <f t="shared" ca="1" si="142"/>
        <v>-2315384476.6662025</v>
      </c>
      <c r="M2299" s="471">
        <f t="shared" si="144"/>
        <v>0.05</v>
      </c>
      <c r="N2299" s="475">
        <f t="shared" si="145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43"/>
        <v>-2315384476.6662025</v>
      </c>
      <c r="J2300" s="455">
        <f t="array" ref="J2300">IFERROR(INDEX('Retirement Calculator'!J:J,MATCH('Isaac 401k'!N2300,'Retirement Calculator'!A:A,0),0),0)</f>
        <v>0</v>
      </c>
      <c r="K2300" s="455">
        <f t="shared" ca="1" si="141"/>
        <v>-9647435.3194425106</v>
      </c>
      <c r="L2300" s="455">
        <f t="shared" ca="1" si="142"/>
        <v>-2325031911.9856453</v>
      </c>
      <c r="M2300" s="471">
        <f t="shared" si="144"/>
        <v>0.05</v>
      </c>
      <c r="N2300" s="475">
        <f t="shared" si="145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43"/>
        <v>-2325031911.9856453</v>
      </c>
      <c r="J2301" s="455">
        <f t="array" ref="J2301">IFERROR(INDEX('Retirement Calculator'!J:J,MATCH('Isaac 401k'!N2301,'Retirement Calculator'!A:A,0),0),0)</f>
        <v>0</v>
      </c>
      <c r="K2301" s="455">
        <f t="shared" ca="1" si="141"/>
        <v>-9687632.9666068554</v>
      </c>
      <c r="L2301" s="455">
        <f t="shared" ca="1" si="142"/>
        <v>-2334719544.9522524</v>
      </c>
      <c r="M2301" s="471">
        <f t="shared" si="144"/>
        <v>0.05</v>
      </c>
      <c r="N2301" s="475">
        <f t="shared" si="145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43"/>
        <v>-2334719544.9522524</v>
      </c>
      <c r="J2302" s="455">
        <f t="array" ref="J2302">IFERROR(INDEX('Retirement Calculator'!J:J,MATCH('Isaac 401k'!N2302,'Retirement Calculator'!A:A,0),0),0)</f>
        <v>0</v>
      </c>
      <c r="K2302" s="455">
        <f t="shared" ca="1" si="141"/>
        <v>-9727998.1039677188</v>
      </c>
      <c r="L2302" s="455">
        <f t="shared" ca="1" si="142"/>
        <v>-2344447543.0562201</v>
      </c>
      <c r="M2302" s="471">
        <f t="shared" si="144"/>
        <v>0.05</v>
      </c>
      <c r="N2302" s="475">
        <f t="shared" si="145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43"/>
        <v>-2344447543.0562201</v>
      </c>
      <c r="J2303" s="455">
        <f t="array" ref="J2303">IFERROR(INDEX('Retirement Calculator'!J:J,MATCH('Isaac 401k'!N2303,'Retirement Calculator'!A:A,0),0),0)</f>
        <v>0</v>
      </c>
      <c r="K2303" s="455">
        <f t="shared" ref="K2303:K2557" ca="1" si="146">IPMT(M2303/12,1,12,-I2303+J2303,,0)</f>
        <v>-9768531.4294009171</v>
      </c>
      <c r="L2303" s="455">
        <f t="shared" ref="L2303:L2557" ca="1" si="147">I2303-J2303+K2303</f>
        <v>-2354216074.485621</v>
      </c>
      <c r="M2303" s="471">
        <f t="shared" si="144"/>
        <v>0.05</v>
      </c>
      <c r="N2303" s="475">
        <f t="shared" si="145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48">L2303</f>
        <v>-2354216074.485621</v>
      </c>
      <c r="J2304" s="455">
        <f t="array" ref="J2304">IFERROR(INDEX('Retirement Calculator'!J:J,MATCH('Isaac 401k'!N2304,'Retirement Calculator'!A:A,0),0),0)</f>
        <v>0</v>
      </c>
      <c r="K2304" s="455">
        <f t="shared" ca="1" si="146"/>
        <v>-9809233.6436900869</v>
      </c>
      <c r="L2304" s="455">
        <f t="shared" ca="1" si="147"/>
        <v>-2364025308.1293111</v>
      </c>
      <c r="M2304" s="471">
        <f t="shared" ref="M2304:M2558" si="149">M2303</f>
        <v>0.05</v>
      </c>
      <c r="N2304" s="475">
        <f t="shared" ref="N2304:N2558" si="150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48"/>
        <v>-2364025308.1293111</v>
      </c>
      <c r="J2305" s="455">
        <f t="array" ref="J2305">IFERROR(INDEX('Retirement Calculator'!J:J,MATCH('Isaac 401k'!N2305,'Retirement Calculator'!A:A,0),0),0)</f>
        <v>0</v>
      </c>
      <c r="K2305" s="455">
        <f t="shared" ca="1" si="146"/>
        <v>-9850105.4505387954</v>
      </c>
      <c r="L2305" s="455">
        <f t="shared" ca="1" si="147"/>
        <v>-2373875413.5798497</v>
      </c>
      <c r="M2305" s="471">
        <f t="shared" si="149"/>
        <v>0.05</v>
      </c>
      <c r="N2305" s="475">
        <f t="shared" si="150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48"/>
        <v>-2373875413.5798497</v>
      </c>
      <c r="J2306" s="455">
        <f t="array" ref="J2306">IFERROR(INDEX('Retirement Calculator'!J:J,MATCH('Isaac 401k'!N2306,'Retirement Calculator'!A:A,0),0),0)</f>
        <v>0</v>
      </c>
      <c r="K2306" s="455">
        <f t="shared" ca="1" si="146"/>
        <v>-9891147.5565827079</v>
      </c>
      <c r="L2306" s="455">
        <f t="shared" ca="1" si="147"/>
        <v>-2383766561.1364326</v>
      </c>
      <c r="M2306" s="471">
        <f t="shared" si="149"/>
        <v>0.05</v>
      </c>
      <c r="N2306" s="475">
        <f t="shared" si="150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48"/>
        <v>-2383766561.1364326</v>
      </c>
      <c r="J2307" s="455">
        <f t="array" ref="J2307">IFERROR(INDEX('Retirement Calculator'!J:J,MATCH('Isaac 401k'!N2307,'Retirement Calculator'!A:A,0),0),0)</f>
        <v>0</v>
      </c>
      <c r="K2307" s="455">
        <f t="shared" ca="1" si="146"/>
        <v>-9932360.6714018025</v>
      </c>
      <c r="L2307" s="455">
        <f t="shared" ca="1" si="147"/>
        <v>-2393698921.8078346</v>
      </c>
      <c r="M2307" s="471">
        <f t="shared" si="149"/>
        <v>0.05</v>
      </c>
      <c r="N2307" s="475">
        <f t="shared" si="150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48"/>
        <v>-2393698921.8078346</v>
      </c>
      <c r="J2308" s="455">
        <f t="array" ref="J2308">IFERROR(INDEX('Retirement Calculator'!J:J,MATCH('Isaac 401k'!N2308,'Retirement Calculator'!A:A,0),0),0)</f>
        <v>0</v>
      </c>
      <c r="K2308" s="455">
        <f t="shared" ca="1" si="146"/>
        <v>-9973745.507532645</v>
      </c>
      <c r="L2308" s="455">
        <f t="shared" ca="1" si="147"/>
        <v>-2403672667.3153672</v>
      </c>
      <c r="M2308" s="471">
        <f t="shared" si="149"/>
        <v>0.05</v>
      </c>
      <c r="N2308" s="475">
        <f t="shared" si="150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48"/>
        <v>-2403672667.3153672</v>
      </c>
      <c r="J2309" s="455">
        <f t="array" ref="J2309">IFERROR(INDEX('Retirement Calculator'!J:J,MATCH('Isaac 401k'!N2309,'Retirement Calculator'!A:A,0),0),0)</f>
        <v>0</v>
      </c>
      <c r="K2309" s="455">
        <f t="shared" ca="1" si="146"/>
        <v>-10015302.780480696</v>
      </c>
      <c r="L2309" s="455">
        <f t="shared" ca="1" si="147"/>
        <v>-2413687970.0958481</v>
      </c>
      <c r="M2309" s="471">
        <f t="shared" si="149"/>
        <v>0.05</v>
      </c>
      <c r="N2309" s="475">
        <f t="shared" si="150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48"/>
        <v>-2413687970.0958481</v>
      </c>
      <c r="J2310" s="455">
        <f t="array" ref="J2310">IFERROR(INDEX('Retirement Calculator'!J:J,MATCH('Isaac 401k'!N2310,'Retirement Calculator'!A:A,0),0),0)</f>
        <v>0</v>
      </c>
      <c r="K2310" s="455">
        <f t="shared" ca="1" si="146"/>
        <v>-10057033.2087327</v>
      </c>
      <c r="L2310" s="455">
        <f t="shared" ca="1" si="147"/>
        <v>-2423745003.3045807</v>
      </c>
      <c r="M2310" s="471">
        <f t="shared" si="149"/>
        <v>0.05</v>
      </c>
      <c r="N2310" s="475">
        <f t="shared" si="150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48"/>
        <v>-2423745003.3045807</v>
      </c>
      <c r="J2311" s="455">
        <f t="array" ref="J2311">IFERROR(INDEX('Retirement Calculator'!J:J,MATCH('Isaac 401k'!N2311,'Retirement Calculator'!A:A,0),0),0)</f>
        <v>0</v>
      </c>
      <c r="K2311" s="455">
        <f t="shared" ca="1" si="146"/>
        <v>-10098937.513769086</v>
      </c>
      <c r="L2311" s="455">
        <f t="shared" ca="1" si="147"/>
        <v>-2433843940.8183498</v>
      </c>
      <c r="M2311" s="471">
        <f t="shared" si="149"/>
        <v>0.05</v>
      </c>
      <c r="N2311" s="475">
        <f t="shared" si="150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48"/>
        <v>-2433843940.8183498</v>
      </c>
      <c r="J2312" s="455">
        <f t="array" ref="J2312">IFERROR(INDEX('Retirement Calculator'!J:J,MATCH('Isaac 401k'!N2312,'Retirement Calculator'!A:A,0),0),0)</f>
        <v>0</v>
      </c>
      <c r="K2312" s="455">
        <f t="shared" ca="1" si="146"/>
        <v>-10141016.420076458</v>
      </c>
      <c r="L2312" s="455">
        <f t="shared" ca="1" si="147"/>
        <v>-2443984957.2384262</v>
      </c>
      <c r="M2312" s="471">
        <f t="shared" si="149"/>
        <v>0.05</v>
      </c>
      <c r="N2312" s="475">
        <f t="shared" si="150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48"/>
        <v>-2443984957.2384262</v>
      </c>
      <c r="J2313" s="455">
        <f t="array" ref="J2313">IFERROR(INDEX('Retirement Calculator'!J:J,MATCH('Isaac 401k'!N2313,'Retirement Calculator'!A:A,0),0),0)</f>
        <v>0</v>
      </c>
      <c r="K2313" s="455">
        <f t="shared" ca="1" si="146"/>
        <v>-10183270.655160109</v>
      </c>
      <c r="L2313" s="455">
        <f t="shared" ca="1" si="147"/>
        <v>-2454168227.8935862</v>
      </c>
      <c r="M2313" s="471">
        <f t="shared" si="149"/>
        <v>0.05</v>
      </c>
      <c r="N2313" s="475">
        <f t="shared" si="150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48"/>
        <v>-2454168227.8935862</v>
      </c>
      <c r="J2314" s="455">
        <f t="array" ref="J2314">IFERROR(INDEX('Retirement Calculator'!J:J,MATCH('Isaac 401k'!N2314,'Retirement Calculator'!A:A,0),0),0)</f>
        <v>0</v>
      </c>
      <c r="K2314" s="455">
        <f t="shared" ca="1" si="146"/>
        <v>-10225700.94955661</v>
      </c>
      <c r="L2314" s="455">
        <f t="shared" ca="1" si="147"/>
        <v>-2464393928.843143</v>
      </c>
      <c r="M2314" s="471">
        <f t="shared" si="149"/>
        <v>0.05</v>
      </c>
      <c r="N2314" s="475">
        <f t="shared" si="150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48"/>
        <v>-2464393928.843143</v>
      </c>
      <c r="J2315" s="455">
        <f t="array" ref="J2315">IFERROR(INDEX('Retirement Calculator'!J:J,MATCH('Isaac 401k'!N2315,'Retirement Calculator'!A:A,0),0),0)</f>
        <v>0</v>
      </c>
      <c r="K2315" s="455">
        <f t="shared" ca="1" si="146"/>
        <v>-10268308.036846429</v>
      </c>
      <c r="L2315" s="455">
        <f t="shared" ca="1" si="147"/>
        <v>-2474662236.8799896</v>
      </c>
      <c r="M2315" s="471">
        <f t="shared" si="149"/>
        <v>0.05</v>
      </c>
      <c r="N2315" s="475">
        <f t="shared" si="150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48"/>
        <v>-2474662236.8799896</v>
      </c>
      <c r="J2316" s="455">
        <f t="array" ref="J2316">IFERROR(INDEX('Retirement Calculator'!J:J,MATCH('Isaac 401k'!N2316,'Retirement Calculator'!A:A,0),0),0)</f>
        <v>0</v>
      </c>
      <c r="K2316" s="455">
        <f t="shared" ca="1" si="146"/>
        <v>-10311092.653666623</v>
      </c>
      <c r="L2316" s="455">
        <f t="shared" ca="1" si="147"/>
        <v>-2484973329.5336561</v>
      </c>
      <c r="M2316" s="471">
        <f t="shared" si="149"/>
        <v>0.05</v>
      </c>
      <c r="N2316" s="475">
        <f t="shared" si="150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48"/>
        <v>-2484973329.5336561</v>
      </c>
      <c r="J2317" s="455">
        <f t="array" ref="J2317">IFERROR(INDEX('Retirement Calculator'!J:J,MATCH('Isaac 401k'!N2317,'Retirement Calculator'!A:A,0),0),0)</f>
        <v>0</v>
      </c>
      <c r="K2317" s="455">
        <f t="shared" ca="1" si="146"/>
        <v>-10354055.539723568</v>
      </c>
      <c r="L2317" s="455">
        <f t="shared" ca="1" si="147"/>
        <v>-2495327385.0733795</v>
      </c>
      <c r="M2317" s="471">
        <f t="shared" si="149"/>
        <v>0.05</v>
      </c>
      <c r="N2317" s="475">
        <f t="shared" si="150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48"/>
        <v>-2495327385.0733795</v>
      </c>
      <c r="J2318" s="455">
        <f t="array" ref="J2318">IFERROR(INDEX('Retirement Calculator'!J:J,MATCH('Isaac 401k'!N2318,'Retirement Calculator'!A:A,0),0),0)</f>
        <v>0</v>
      </c>
      <c r="K2318" s="455">
        <f t="shared" ca="1" si="146"/>
        <v>-10397197.437805748</v>
      </c>
      <c r="L2318" s="455">
        <f t="shared" ca="1" si="147"/>
        <v>-2505724582.5111852</v>
      </c>
      <c r="M2318" s="471">
        <f t="shared" si="149"/>
        <v>0.05</v>
      </c>
      <c r="N2318" s="475">
        <f t="shared" si="150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48"/>
        <v>-2505724582.5111852</v>
      </c>
      <c r="J2319" s="455">
        <f t="array" ref="J2319">IFERROR(INDEX('Retirement Calculator'!J:J,MATCH('Isaac 401k'!N2319,'Retirement Calculator'!A:A,0),0),0)</f>
        <v>0</v>
      </c>
      <c r="K2319" s="455">
        <f t="shared" ca="1" si="146"/>
        <v>-10440519.093796605</v>
      </c>
      <c r="L2319" s="455">
        <f t="shared" ca="1" si="147"/>
        <v>-2516165101.6049819</v>
      </c>
      <c r="M2319" s="471">
        <f t="shared" si="149"/>
        <v>0.05</v>
      </c>
      <c r="N2319" s="475">
        <f t="shared" si="150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48"/>
        <v>-2516165101.6049819</v>
      </c>
      <c r="J2320" s="455">
        <f t="array" ref="J2320">IFERROR(INDEX('Retirement Calculator'!J:J,MATCH('Isaac 401k'!N2320,'Retirement Calculator'!A:A,0),0),0)</f>
        <v>0</v>
      </c>
      <c r="K2320" s="455">
        <f t="shared" ca="1" si="146"/>
        <v>-10484021.256687425</v>
      </c>
      <c r="L2320" s="455">
        <f t="shared" ca="1" si="147"/>
        <v>-2526649122.8616695</v>
      </c>
      <c r="M2320" s="471">
        <f t="shared" si="149"/>
        <v>0.05</v>
      </c>
      <c r="N2320" s="475">
        <f t="shared" si="150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48"/>
        <v>-2526649122.8616695</v>
      </c>
      <c r="J2321" s="455">
        <f t="array" ref="J2321">IFERROR(INDEX('Retirement Calculator'!J:J,MATCH('Isaac 401k'!N2321,'Retirement Calculator'!A:A,0),0),0)</f>
        <v>0</v>
      </c>
      <c r="K2321" s="455">
        <f t="shared" ca="1" si="146"/>
        <v>-10527704.67859029</v>
      </c>
      <c r="L2321" s="455">
        <f t="shared" ca="1" si="147"/>
        <v>-2537176827.5402598</v>
      </c>
      <c r="M2321" s="471">
        <f t="shared" si="149"/>
        <v>0.05</v>
      </c>
      <c r="N2321" s="475">
        <f t="shared" si="150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48"/>
        <v>-2537176827.5402598</v>
      </c>
      <c r="J2322" s="455">
        <f t="array" ref="J2322">IFERROR(INDEX('Retirement Calculator'!J:J,MATCH('Isaac 401k'!N2322,'Retirement Calculator'!A:A,0),0),0)</f>
        <v>0</v>
      </c>
      <c r="K2322" s="455">
        <f t="shared" ca="1" si="146"/>
        <v>-10571570.114751082</v>
      </c>
      <c r="L2322" s="455">
        <f t="shared" ca="1" si="147"/>
        <v>-2547748397.6550107</v>
      </c>
      <c r="M2322" s="471">
        <f t="shared" si="149"/>
        <v>0.05</v>
      </c>
      <c r="N2322" s="475">
        <f t="shared" si="150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48"/>
        <v>-2547748397.6550107</v>
      </c>
      <c r="J2323" s="455">
        <f t="array" ref="J2323">IFERROR(INDEX('Retirement Calculator'!J:J,MATCH('Isaac 401k'!N2323,'Retirement Calculator'!A:A,0),0),0)</f>
        <v>0</v>
      </c>
      <c r="K2323" s="455">
        <f t="shared" ca="1" si="146"/>
        <v>-10615618.323562544</v>
      </c>
      <c r="L2323" s="455">
        <f t="shared" ca="1" si="147"/>
        <v>-2558364015.9785733</v>
      </c>
      <c r="M2323" s="471">
        <f t="shared" si="149"/>
        <v>0.05</v>
      </c>
      <c r="N2323" s="475">
        <f t="shared" si="150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48"/>
        <v>-2558364015.9785733</v>
      </c>
      <c r="J2324" s="455">
        <f t="array" ref="J2324">IFERROR(INDEX('Retirement Calculator'!J:J,MATCH('Isaac 401k'!N2324,'Retirement Calculator'!A:A,0),0),0)</f>
        <v>0</v>
      </c>
      <c r="K2324" s="455">
        <f t="shared" ca="1" si="146"/>
        <v>-10659850.066577388</v>
      </c>
      <c r="L2324" s="455">
        <f t="shared" ca="1" si="147"/>
        <v>-2569023866.0451508</v>
      </c>
      <c r="M2324" s="471">
        <f t="shared" si="149"/>
        <v>0.05</v>
      </c>
      <c r="N2324" s="475">
        <f t="shared" si="150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48"/>
        <v>-2569023866.0451508</v>
      </c>
      <c r="J2325" s="455">
        <f t="array" ref="J2325">IFERROR(INDEX('Retirement Calculator'!J:J,MATCH('Isaac 401k'!N2325,'Retirement Calculator'!A:A,0),0),0)</f>
        <v>0</v>
      </c>
      <c r="K2325" s="455">
        <f t="shared" ca="1" si="146"/>
        <v>-10704266.108521461</v>
      </c>
      <c r="L2325" s="455">
        <f t="shared" ca="1" si="147"/>
        <v>-2579728132.1536722</v>
      </c>
      <c r="M2325" s="471">
        <f t="shared" si="149"/>
        <v>0.05</v>
      </c>
      <c r="N2325" s="475">
        <f t="shared" si="150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48"/>
        <v>-2579728132.1536722</v>
      </c>
      <c r="J2326" s="455">
        <f t="array" ref="J2326">IFERROR(INDEX('Retirement Calculator'!J:J,MATCH('Isaac 401k'!N2326,'Retirement Calculator'!A:A,0),0),0)</f>
        <v>0</v>
      </c>
      <c r="K2326" s="455">
        <f t="shared" ca="1" si="146"/>
        <v>-10748867.217306968</v>
      </c>
      <c r="L2326" s="455">
        <f t="shared" ca="1" si="147"/>
        <v>-2590476999.3709793</v>
      </c>
      <c r="M2326" s="471">
        <f t="shared" si="149"/>
        <v>0.05</v>
      </c>
      <c r="N2326" s="475">
        <f t="shared" si="150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48"/>
        <v>-2590476999.3709793</v>
      </c>
      <c r="J2327" s="455">
        <f t="array" ref="J2327">IFERROR(INDEX('Retirement Calculator'!J:J,MATCH('Isaac 401k'!N2327,'Retirement Calculator'!A:A,0),0),0)</f>
        <v>0</v>
      </c>
      <c r="K2327" s="455">
        <f t="shared" ca="1" si="146"/>
        <v>-10793654.164045747</v>
      </c>
      <c r="L2327" s="455">
        <f t="shared" ca="1" si="147"/>
        <v>-2601270653.5350251</v>
      </c>
      <c r="M2327" s="471">
        <f t="shared" si="149"/>
        <v>0.05</v>
      </c>
      <c r="N2327" s="475">
        <f t="shared" si="150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48"/>
        <v>-2601270653.5350251</v>
      </c>
      <c r="J2328" s="455">
        <f t="array" ref="J2328">IFERROR(INDEX('Retirement Calculator'!J:J,MATCH('Isaac 401k'!N2328,'Retirement Calculator'!A:A,0),0),0)</f>
        <v>0</v>
      </c>
      <c r="K2328" s="455">
        <f t="shared" ca="1" si="146"/>
        <v>-10838627.723062605</v>
      </c>
      <c r="L2328" s="455">
        <f t="shared" ca="1" si="147"/>
        <v>-2612109281.2580876</v>
      </c>
      <c r="M2328" s="471">
        <f t="shared" si="149"/>
        <v>0.05</v>
      </c>
      <c r="N2328" s="475">
        <f t="shared" si="150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48"/>
        <v>-2612109281.2580876</v>
      </c>
      <c r="J2329" s="455">
        <f t="array" ref="J2329">IFERROR(INDEX('Retirement Calculator'!J:J,MATCH('Isaac 401k'!N2329,'Retirement Calculator'!A:A,0),0),0)</f>
        <v>0</v>
      </c>
      <c r="K2329" s="455">
        <f t="shared" ca="1" si="146"/>
        <v>-10883788.671908699</v>
      </c>
      <c r="L2329" s="455">
        <f t="shared" ca="1" si="147"/>
        <v>-2622993069.9299965</v>
      </c>
      <c r="M2329" s="471">
        <f t="shared" si="149"/>
        <v>0.05</v>
      </c>
      <c r="N2329" s="475">
        <f t="shared" si="150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48"/>
        <v>-2622993069.9299965</v>
      </c>
      <c r="J2330" s="455">
        <f t="array" ref="J2330">IFERROR(INDEX('Retirement Calculator'!J:J,MATCH('Isaac 401k'!N2330,'Retirement Calculator'!A:A,0),0),0)</f>
        <v>0</v>
      </c>
      <c r="K2330" s="455">
        <f t="shared" ca="1" si="146"/>
        <v>-10929137.791374985</v>
      </c>
      <c r="L2330" s="455">
        <f t="shared" ca="1" si="147"/>
        <v>-2633922207.7213717</v>
      </c>
      <c r="M2330" s="471">
        <f t="shared" si="149"/>
        <v>0.05</v>
      </c>
      <c r="N2330" s="475">
        <f t="shared" si="150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48"/>
        <v>-2633922207.7213717</v>
      </c>
      <c r="J2331" s="455">
        <f t="array" ref="J2331">IFERROR(INDEX('Retirement Calculator'!J:J,MATCH('Isaac 401k'!N2331,'Retirement Calculator'!A:A,0),0),0)</f>
        <v>0</v>
      </c>
      <c r="K2331" s="455">
        <f t="shared" ca="1" si="146"/>
        <v>-10974675.865505716</v>
      </c>
      <c r="L2331" s="455">
        <f t="shared" ca="1" si="147"/>
        <v>-2644896883.5868773</v>
      </c>
      <c r="M2331" s="471">
        <f t="shared" si="149"/>
        <v>0.05</v>
      </c>
      <c r="N2331" s="475">
        <f t="shared" si="150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48"/>
        <v>-2644896883.5868773</v>
      </c>
      <c r="J2332" s="455">
        <f t="array" ref="J2332">IFERROR(INDEX('Retirement Calculator'!J:J,MATCH('Isaac 401k'!N2332,'Retirement Calculator'!A:A,0),0),0)</f>
        <v>0</v>
      </c>
      <c r="K2332" s="455">
        <f t="shared" ca="1" si="146"/>
        <v>-11020403.681611989</v>
      </c>
      <c r="L2332" s="455">
        <f t="shared" ca="1" si="147"/>
        <v>-2655917287.2684894</v>
      </c>
      <c r="M2332" s="471">
        <f t="shared" si="149"/>
        <v>0.05</v>
      </c>
      <c r="N2332" s="475">
        <f t="shared" si="150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48"/>
        <v>-2655917287.2684894</v>
      </c>
      <c r="J2333" s="455">
        <f t="array" ref="J2333">IFERROR(INDEX('Retirement Calculator'!J:J,MATCH('Isaac 401k'!N2333,'Retirement Calculator'!A:A,0),0),0)</f>
        <v>0</v>
      </c>
      <c r="K2333" s="455">
        <f t="shared" ca="1" si="146"/>
        <v>-11066322.030285371</v>
      </c>
      <c r="L2333" s="455">
        <f t="shared" ca="1" si="147"/>
        <v>-2666983609.2987747</v>
      </c>
      <c r="M2333" s="471">
        <f t="shared" si="149"/>
        <v>0.05</v>
      </c>
      <c r="N2333" s="475">
        <f t="shared" si="150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48"/>
        <v>-2666983609.2987747</v>
      </c>
      <c r="J2334" s="455">
        <f t="array" ref="J2334">IFERROR(INDEX('Retirement Calculator'!J:J,MATCH('Isaac 401k'!N2334,'Retirement Calculator'!A:A,0),0),0)</f>
        <v>0</v>
      </c>
      <c r="K2334" s="455">
        <f t="shared" ca="1" si="146"/>
        <v>-11112431.705411561</v>
      </c>
      <c r="L2334" s="455">
        <f t="shared" ca="1" si="147"/>
        <v>-2678096041.0041862</v>
      </c>
      <c r="M2334" s="471">
        <f t="shared" si="149"/>
        <v>0.05</v>
      </c>
      <c r="N2334" s="475">
        <f t="shared" si="150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48"/>
        <v>-2678096041.0041862</v>
      </c>
      <c r="J2335" s="455">
        <f t="array" ref="J2335">IFERROR(INDEX('Retirement Calculator'!J:J,MATCH('Isaac 401k'!N2335,'Retirement Calculator'!A:A,0),0),0)</f>
        <v>0</v>
      </c>
      <c r="K2335" s="455">
        <f t="shared" ca="1" si="146"/>
        <v>-11158733.504184108</v>
      </c>
      <c r="L2335" s="455">
        <f t="shared" ca="1" si="147"/>
        <v>-2689254774.5083704</v>
      </c>
      <c r="M2335" s="471">
        <f t="shared" si="149"/>
        <v>0.05</v>
      </c>
      <c r="N2335" s="475">
        <f t="shared" si="150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48"/>
        <v>-2689254774.5083704</v>
      </c>
      <c r="J2336" s="455">
        <f t="array" ref="J2336">IFERROR(INDEX('Retirement Calculator'!J:J,MATCH('Isaac 401k'!N2336,'Retirement Calculator'!A:A,0),0),0)</f>
        <v>0</v>
      </c>
      <c r="K2336" s="455">
        <f t="shared" ca="1" si="146"/>
        <v>-11205228.227118209</v>
      </c>
      <c r="L2336" s="455">
        <f t="shared" ca="1" si="147"/>
        <v>-2700460002.7354884</v>
      </c>
      <c r="M2336" s="471">
        <f t="shared" si="149"/>
        <v>0.05</v>
      </c>
      <c r="N2336" s="475">
        <f t="shared" si="150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48"/>
        <v>-2700460002.7354884</v>
      </c>
      <c r="J2337" s="455">
        <f t="array" ref="J2337">IFERROR(INDEX('Retirement Calculator'!J:J,MATCH('Isaac 401k'!N2337,'Retirement Calculator'!A:A,0),0),0)</f>
        <v>0</v>
      </c>
      <c r="K2337" s="455">
        <f t="shared" ca="1" si="146"/>
        <v>-11251916.678064534</v>
      </c>
      <c r="L2337" s="455">
        <f t="shared" ca="1" si="147"/>
        <v>-2711711919.4135528</v>
      </c>
      <c r="M2337" s="471">
        <f t="shared" si="149"/>
        <v>0.05</v>
      </c>
      <c r="N2337" s="475">
        <f t="shared" si="150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48"/>
        <v>-2711711919.4135528</v>
      </c>
      <c r="J2338" s="455">
        <f t="array" ref="J2338">IFERROR(INDEX('Retirement Calculator'!J:J,MATCH('Isaac 401k'!N2338,'Retirement Calculator'!A:A,0),0),0)</f>
        <v>0</v>
      </c>
      <c r="K2338" s="455">
        <f t="shared" ca="1" si="146"/>
        <v>-11298799.664223136</v>
      </c>
      <c r="L2338" s="455">
        <f t="shared" ca="1" si="147"/>
        <v>-2723010719.077776</v>
      </c>
      <c r="M2338" s="471">
        <f t="shared" si="149"/>
        <v>0.05</v>
      </c>
      <c r="N2338" s="475">
        <f t="shared" si="150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48"/>
        <v>-2723010719.077776</v>
      </c>
      <c r="J2339" s="455">
        <f t="array" ref="J2339">IFERROR(INDEX('Retirement Calculator'!J:J,MATCH('Isaac 401k'!N2339,'Retirement Calculator'!A:A,0),0),0)</f>
        <v>0</v>
      </c>
      <c r="K2339" s="455">
        <f t="shared" ca="1" si="146"/>
        <v>-11345877.9961574</v>
      </c>
      <c r="L2339" s="455">
        <f t="shared" ca="1" si="147"/>
        <v>-2734356597.0739331</v>
      </c>
      <c r="M2339" s="471">
        <f t="shared" si="149"/>
        <v>0.05</v>
      </c>
      <c r="N2339" s="475">
        <f t="shared" si="150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48"/>
        <v>-2734356597.0739331</v>
      </c>
      <c r="J2340" s="455">
        <f t="array" ref="J2340">IFERROR(INDEX('Retirement Calculator'!J:J,MATCH('Isaac 401k'!N2340,'Retirement Calculator'!A:A,0),0),0)</f>
        <v>0</v>
      </c>
      <c r="K2340" s="455">
        <f t="shared" ca="1" si="146"/>
        <v>-11393152.487808054</v>
      </c>
      <c r="L2340" s="455">
        <f t="shared" ca="1" si="147"/>
        <v>-2745749749.5617414</v>
      </c>
      <c r="M2340" s="471">
        <f t="shared" si="149"/>
        <v>0.05</v>
      </c>
      <c r="N2340" s="475">
        <f t="shared" si="150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48"/>
        <v>-2745749749.5617414</v>
      </c>
      <c r="J2341" s="455">
        <f t="array" ref="J2341">IFERROR(INDEX('Retirement Calculator'!J:J,MATCH('Isaac 401k'!N2341,'Retirement Calculator'!A:A,0),0),0)</f>
        <v>0</v>
      </c>
      <c r="K2341" s="455">
        <f t="shared" ca="1" si="146"/>
        <v>-11440623.956507256</v>
      </c>
      <c r="L2341" s="455">
        <f t="shared" ca="1" si="147"/>
        <v>-2757190373.5182486</v>
      </c>
      <c r="M2341" s="471">
        <f t="shared" si="149"/>
        <v>0.05</v>
      </c>
      <c r="N2341" s="475">
        <f t="shared" si="150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48"/>
        <v>-2757190373.5182486</v>
      </c>
      <c r="J2342" s="455">
        <f t="array" ref="J2342">IFERROR(INDEX('Retirement Calculator'!J:J,MATCH('Isaac 401k'!N2342,'Retirement Calculator'!A:A,0),0),0)</f>
        <v>0</v>
      </c>
      <c r="K2342" s="455">
        <f t="shared" ca="1" si="146"/>
        <v>-11488293.222992701</v>
      </c>
      <c r="L2342" s="455">
        <f t="shared" ca="1" si="147"/>
        <v>-2768678666.7412415</v>
      </c>
      <c r="M2342" s="471">
        <f t="shared" si="149"/>
        <v>0.05</v>
      </c>
      <c r="N2342" s="475">
        <f t="shared" si="150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48"/>
        <v>-2768678666.7412415</v>
      </c>
      <c r="J2343" s="455">
        <f t="array" ref="J2343">IFERROR(INDEX('Retirement Calculator'!J:J,MATCH('Isaac 401k'!N2343,'Retirement Calculator'!A:A,0),0),0)</f>
        <v>0</v>
      </c>
      <c r="K2343" s="455">
        <f t="shared" ca="1" si="146"/>
        <v>-11536161.111421838</v>
      </c>
      <c r="L2343" s="455">
        <f t="shared" ca="1" si="147"/>
        <v>-2780214827.8526635</v>
      </c>
      <c r="M2343" s="471">
        <f t="shared" si="149"/>
        <v>0.05</v>
      </c>
      <c r="N2343" s="475">
        <f t="shared" si="150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48"/>
        <v>-2780214827.8526635</v>
      </c>
      <c r="J2344" s="455">
        <f t="array" ref="J2344">IFERROR(INDEX('Retirement Calculator'!J:J,MATCH('Isaac 401k'!N2344,'Retirement Calculator'!A:A,0),0),0)</f>
        <v>0</v>
      </c>
      <c r="K2344" s="455">
        <f t="shared" ca="1" si="146"/>
        <v>-11584228.449386097</v>
      </c>
      <c r="L2344" s="455">
        <f t="shared" ca="1" si="147"/>
        <v>-2791799056.3020496</v>
      </c>
      <c r="M2344" s="471">
        <f t="shared" si="149"/>
        <v>0.05</v>
      </c>
      <c r="N2344" s="475">
        <f t="shared" si="150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48"/>
        <v>-2791799056.3020496</v>
      </c>
      <c r="J2345" s="455">
        <f t="array" ref="J2345">IFERROR(INDEX('Retirement Calculator'!J:J,MATCH('Isaac 401k'!N2345,'Retirement Calculator'!A:A,0),0),0)</f>
        <v>0</v>
      </c>
      <c r="K2345" s="455">
        <f t="shared" ca="1" si="146"/>
        <v>-11632496.067925207</v>
      </c>
      <c r="L2345" s="455">
        <f t="shared" ca="1" si="147"/>
        <v>-2803431552.3699746</v>
      </c>
      <c r="M2345" s="471">
        <f t="shared" si="149"/>
        <v>0.05</v>
      </c>
      <c r="N2345" s="475">
        <f t="shared" si="150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48"/>
        <v>-2803431552.3699746</v>
      </c>
      <c r="J2346" s="455">
        <f t="array" ref="J2346">IFERROR(INDEX('Retirement Calculator'!J:J,MATCH('Isaac 401k'!N2346,'Retirement Calculator'!A:A,0),0),0)</f>
        <v>0</v>
      </c>
      <c r="K2346" s="455">
        <f t="shared" ca="1" si="146"/>
        <v>-11680964.801541561</v>
      </c>
      <c r="L2346" s="455">
        <f t="shared" ca="1" si="147"/>
        <v>-2815112517.1715159</v>
      </c>
      <c r="M2346" s="471">
        <f t="shared" si="149"/>
        <v>0.05</v>
      </c>
      <c r="N2346" s="475">
        <f t="shared" si="150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48"/>
        <v>-2815112517.1715159</v>
      </c>
      <c r="J2347" s="455">
        <f t="array" ref="J2347">IFERROR(INDEX('Retirement Calculator'!J:J,MATCH('Isaac 401k'!N2347,'Retirement Calculator'!A:A,0),0),0)</f>
        <v>0</v>
      </c>
      <c r="K2347" s="455">
        <f t="shared" ca="1" si="146"/>
        <v>-11729635.488214649</v>
      </c>
      <c r="L2347" s="455">
        <f t="shared" ca="1" si="147"/>
        <v>-2826842152.6597304</v>
      </c>
      <c r="M2347" s="471">
        <f t="shared" si="149"/>
        <v>0.05</v>
      </c>
      <c r="N2347" s="475">
        <f t="shared" si="150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48"/>
        <v>-2826842152.6597304</v>
      </c>
      <c r="J2348" s="455">
        <f t="array" ref="J2348">IFERROR(INDEX('Retirement Calculator'!J:J,MATCH('Isaac 401k'!N2348,'Retirement Calculator'!A:A,0),0),0)</f>
        <v>0</v>
      </c>
      <c r="K2348" s="455">
        <f t="shared" ca="1" si="146"/>
        <v>-11778508.969415544</v>
      </c>
      <c r="L2348" s="455">
        <f t="shared" ca="1" si="147"/>
        <v>-2838620661.6291461</v>
      </c>
      <c r="M2348" s="471">
        <f t="shared" si="149"/>
        <v>0.05</v>
      </c>
      <c r="N2348" s="475">
        <f t="shared" si="150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48"/>
        <v>-2838620661.6291461</v>
      </c>
      <c r="J2349" s="455">
        <f t="array" ref="J2349">IFERROR(INDEX('Retirement Calculator'!J:J,MATCH('Isaac 401k'!N2349,'Retirement Calculator'!A:A,0),0),0)</f>
        <v>0</v>
      </c>
      <c r="K2349" s="455">
        <f t="shared" ca="1" si="146"/>
        <v>-11827586.090121442</v>
      </c>
      <c r="L2349" s="455">
        <f t="shared" ca="1" si="147"/>
        <v>-2850448247.7192674</v>
      </c>
      <c r="M2349" s="471">
        <f t="shared" si="149"/>
        <v>0.05</v>
      </c>
      <c r="N2349" s="475">
        <f t="shared" si="150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48"/>
        <v>-2850448247.7192674</v>
      </c>
      <c r="J2350" s="455">
        <f t="array" ref="J2350">IFERROR(INDEX('Retirement Calculator'!J:J,MATCH('Isaac 401k'!N2350,'Retirement Calculator'!A:A,0),0),0)</f>
        <v>0</v>
      </c>
      <c r="K2350" s="455">
        <f t="shared" ca="1" si="146"/>
        <v>-11876867.69883028</v>
      </c>
      <c r="L2350" s="455">
        <f t="shared" ca="1" si="147"/>
        <v>-2862325115.4180975</v>
      </c>
      <c r="M2350" s="471">
        <f t="shared" si="149"/>
        <v>0.05</v>
      </c>
      <c r="N2350" s="475">
        <f t="shared" si="150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48"/>
        <v>-2862325115.4180975</v>
      </c>
      <c r="J2351" s="455">
        <f t="array" ref="J2351">IFERROR(INDEX('Retirement Calculator'!J:J,MATCH('Isaac 401k'!N2351,'Retirement Calculator'!A:A,0),0),0)</f>
        <v>0</v>
      </c>
      <c r="K2351" s="455">
        <f t="shared" ca="1" si="146"/>
        <v>-11926354.647575406</v>
      </c>
      <c r="L2351" s="455">
        <f t="shared" ca="1" si="147"/>
        <v>-2874251470.0656729</v>
      </c>
      <c r="M2351" s="471">
        <f t="shared" si="149"/>
        <v>0.05</v>
      </c>
      <c r="N2351" s="475">
        <f t="shared" si="150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48"/>
        <v>-2874251470.0656729</v>
      </c>
      <c r="J2352" s="455">
        <f t="array" ref="J2352">IFERROR(INDEX('Retirement Calculator'!J:J,MATCH('Isaac 401k'!N2352,'Retirement Calculator'!A:A,0),0),0)</f>
        <v>0</v>
      </c>
      <c r="K2352" s="455">
        <f t="shared" ca="1" si="146"/>
        <v>-11976047.791940304</v>
      </c>
      <c r="L2352" s="455">
        <f t="shared" ca="1" si="147"/>
        <v>-2886227517.8576131</v>
      </c>
      <c r="M2352" s="471">
        <f t="shared" si="149"/>
        <v>0.05</v>
      </c>
      <c r="N2352" s="475">
        <f t="shared" si="150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48"/>
        <v>-2886227517.8576131</v>
      </c>
      <c r="J2353" s="455">
        <f t="array" ref="J2353">IFERROR(INDEX('Retirement Calculator'!J:J,MATCH('Isaac 401k'!N2353,'Retirement Calculator'!A:A,0),0),0)</f>
        <v>0</v>
      </c>
      <c r="K2353" s="455">
        <f t="shared" ca="1" si="146"/>
        <v>-12025947.991073389</v>
      </c>
      <c r="L2353" s="455">
        <f t="shared" ca="1" si="147"/>
        <v>-2898253465.8486867</v>
      </c>
      <c r="M2353" s="471">
        <f t="shared" si="149"/>
        <v>0.05</v>
      </c>
      <c r="N2353" s="475">
        <f t="shared" si="150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48"/>
        <v>-2898253465.8486867</v>
      </c>
      <c r="J2354" s="455">
        <f t="array" ref="J2354">IFERROR(INDEX('Retirement Calculator'!J:J,MATCH('Isaac 401k'!N2354,'Retirement Calculator'!A:A,0),0),0)</f>
        <v>0</v>
      </c>
      <c r="K2354" s="455">
        <f t="shared" ca="1" si="146"/>
        <v>-12076056.107702861</v>
      </c>
      <c r="L2354" s="455">
        <f t="shared" ca="1" si="147"/>
        <v>-2910329521.9563894</v>
      </c>
      <c r="M2354" s="471">
        <f t="shared" si="149"/>
        <v>0.05</v>
      </c>
      <c r="N2354" s="475">
        <f t="shared" si="150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48"/>
        <v>-2910329521.9563894</v>
      </c>
      <c r="J2355" s="455">
        <f t="array" ref="J2355">IFERROR(INDEX('Retirement Calculator'!J:J,MATCH('Isaac 401k'!N2355,'Retirement Calculator'!A:A,0),0),0)</f>
        <v>0</v>
      </c>
      <c r="K2355" s="455">
        <f t="shared" ca="1" si="146"/>
        <v>-12126373.008151622</v>
      </c>
      <c r="L2355" s="455">
        <f t="shared" ca="1" si="147"/>
        <v>-2922455894.964541</v>
      </c>
      <c r="M2355" s="471">
        <f t="shared" si="149"/>
        <v>0.05</v>
      </c>
      <c r="N2355" s="475">
        <f t="shared" si="150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48"/>
        <v>-2922455894.964541</v>
      </c>
      <c r="J2356" s="455">
        <f t="array" ref="J2356">IFERROR(INDEX('Retirement Calculator'!J:J,MATCH('Isaac 401k'!N2356,'Retirement Calculator'!A:A,0),0),0)</f>
        <v>0</v>
      </c>
      <c r="K2356" s="455">
        <f t="shared" ca="1" si="146"/>
        <v>-12176899.562352253</v>
      </c>
      <c r="L2356" s="455">
        <f t="shared" ca="1" si="147"/>
        <v>-2934632794.5268931</v>
      </c>
      <c r="M2356" s="471">
        <f t="shared" si="149"/>
        <v>0.05</v>
      </c>
      <c r="N2356" s="475">
        <f t="shared" si="150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48"/>
        <v>-2934632794.5268931</v>
      </c>
      <c r="J2357" s="455">
        <f t="array" ref="J2357">IFERROR(INDEX('Retirement Calculator'!J:J,MATCH('Isaac 401k'!N2357,'Retirement Calculator'!A:A,0),0),0)</f>
        <v>0</v>
      </c>
      <c r="K2357" s="455">
        <f t="shared" ca="1" si="146"/>
        <v>-12227636.643862054</v>
      </c>
      <c r="L2357" s="455">
        <f t="shared" ca="1" si="147"/>
        <v>-2946860431.1707554</v>
      </c>
      <c r="M2357" s="471">
        <f t="shared" si="149"/>
        <v>0.05</v>
      </c>
      <c r="N2357" s="475">
        <f t="shared" si="150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48"/>
        <v>-2946860431.1707554</v>
      </c>
      <c r="J2358" s="455">
        <f t="array" ref="J2358">IFERROR(INDEX('Retirement Calculator'!J:J,MATCH('Isaac 401k'!N2358,'Retirement Calculator'!A:A,0),0),0)</f>
        <v>0</v>
      </c>
      <c r="K2358" s="455">
        <f t="shared" ca="1" si="146"/>
        <v>-12278585.129878147</v>
      </c>
      <c r="L2358" s="455">
        <f t="shared" ca="1" si="147"/>
        <v>-2959139016.3006334</v>
      </c>
      <c r="M2358" s="471">
        <f t="shared" si="149"/>
        <v>0.05</v>
      </c>
      <c r="N2358" s="475">
        <f t="shared" si="150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48"/>
        <v>-2959139016.3006334</v>
      </c>
      <c r="J2359" s="455">
        <f t="array" ref="J2359">IFERROR(INDEX('Retirement Calculator'!J:J,MATCH('Isaac 401k'!N2359,'Retirement Calculator'!A:A,0),0),0)</f>
        <v>0</v>
      </c>
      <c r="K2359" s="455">
        <f t="shared" ca="1" si="146"/>
        <v>-12329745.901252639</v>
      </c>
      <c r="L2359" s="455">
        <f t="shared" ca="1" si="147"/>
        <v>-2971468762.2018862</v>
      </c>
      <c r="M2359" s="471">
        <f t="shared" si="149"/>
        <v>0.05</v>
      </c>
      <c r="N2359" s="475">
        <f t="shared" si="150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48"/>
        <v>-2971468762.2018862</v>
      </c>
      <c r="J2360" s="455">
        <f t="array" ref="J2360">IFERROR(INDEX('Retirement Calculator'!J:J,MATCH('Isaac 401k'!N2360,'Retirement Calculator'!A:A,0),0),0)</f>
        <v>0</v>
      </c>
      <c r="K2360" s="455">
        <f t="shared" ca="1" si="146"/>
        <v>-12381119.84250786</v>
      </c>
      <c r="L2360" s="455">
        <f t="shared" ca="1" si="147"/>
        <v>-2983849882.044394</v>
      </c>
      <c r="M2360" s="471">
        <f t="shared" si="149"/>
        <v>0.05</v>
      </c>
      <c r="N2360" s="475">
        <f t="shared" si="150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48"/>
        <v>-2983849882.044394</v>
      </c>
      <c r="J2361" s="455">
        <f t="array" ref="J2361">IFERROR(INDEX('Retirement Calculator'!J:J,MATCH('Isaac 401k'!N2361,'Retirement Calculator'!A:A,0),0),0)</f>
        <v>0</v>
      </c>
      <c r="K2361" s="455">
        <f t="shared" ca="1" si="146"/>
        <v>-12432707.841851642</v>
      </c>
      <c r="L2361" s="455">
        <f t="shared" ca="1" si="147"/>
        <v>-2996282589.8862457</v>
      </c>
      <c r="M2361" s="471">
        <f t="shared" si="149"/>
        <v>0.05</v>
      </c>
      <c r="N2361" s="475">
        <f t="shared" si="150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48"/>
        <v>-2996282589.8862457</v>
      </c>
      <c r="J2362" s="455">
        <f t="array" ref="J2362">IFERROR(INDEX('Retirement Calculator'!J:J,MATCH('Isaac 401k'!N2362,'Retirement Calculator'!A:A,0),0),0)</f>
        <v>0</v>
      </c>
      <c r="K2362" s="455">
        <f t="shared" ca="1" si="146"/>
        <v>-12484510.79119269</v>
      </c>
      <c r="L2362" s="455">
        <f t="shared" ca="1" si="147"/>
        <v>-3008767100.6774383</v>
      </c>
      <c r="M2362" s="471">
        <f t="shared" si="149"/>
        <v>0.05</v>
      </c>
      <c r="N2362" s="475">
        <f t="shared" si="150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48"/>
        <v>-3008767100.6774383</v>
      </c>
      <c r="J2363" s="455">
        <f t="array" ref="J2363">IFERROR(INDEX('Retirement Calculator'!J:J,MATCH('Isaac 401k'!N2363,'Retirement Calculator'!A:A,0),0),0)</f>
        <v>0</v>
      </c>
      <c r="K2363" s="455">
        <f t="shared" ca="1" si="146"/>
        <v>-12536529.586155992</v>
      </c>
      <c r="L2363" s="455">
        <f t="shared" ca="1" si="147"/>
        <v>-3021303630.2635942</v>
      </c>
      <c r="M2363" s="471">
        <f t="shared" si="149"/>
        <v>0.05</v>
      </c>
      <c r="N2363" s="475">
        <f t="shared" si="150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48"/>
        <v>-3021303630.2635942</v>
      </c>
      <c r="J2364" s="455">
        <f t="array" ref="J2364">IFERROR(INDEX('Retirement Calculator'!J:J,MATCH('Isaac 401k'!N2364,'Retirement Calculator'!A:A,0),0),0)</f>
        <v>0</v>
      </c>
      <c r="K2364" s="455">
        <f t="shared" ca="1" si="146"/>
        <v>-12588765.126098309</v>
      </c>
      <c r="L2364" s="455">
        <f t="shared" ca="1" si="147"/>
        <v>-3033892395.3896923</v>
      </c>
      <c r="M2364" s="471">
        <f t="shared" si="149"/>
        <v>0.05</v>
      </c>
      <c r="N2364" s="475">
        <f t="shared" si="150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48"/>
        <v>-3033892395.3896923</v>
      </c>
      <c r="J2365" s="455">
        <f t="array" ref="J2365">IFERROR(INDEX('Retirement Calculator'!J:J,MATCH('Isaac 401k'!N2365,'Retirement Calculator'!A:A,0),0),0)</f>
        <v>0</v>
      </c>
      <c r="K2365" s="455">
        <f t="shared" ca="1" si="146"/>
        <v>-12641218.314123718</v>
      </c>
      <c r="L2365" s="455">
        <f t="shared" ca="1" si="147"/>
        <v>-3046533613.7038159</v>
      </c>
      <c r="M2365" s="471">
        <f t="shared" si="149"/>
        <v>0.05</v>
      </c>
      <c r="N2365" s="475">
        <f t="shared" si="150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48"/>
        <v>-3046533613.7038159</v>
      </c>
      <c r="J2366" s="455">
        <f t="array" ref="J2366">IFERROR(INDEX('Retirement Calculator'!J:J,MATCH('Isaac 401k'!N2366,'Retirement Calculator'!A:A,0),0),0)</f>
        <v>0</v>
      </c>
      <c r="K2366" s="455">
        <f t="shared" ca="1" si="146"/>
        <v>-12693890.057099232</v>
      </c>
      <c r="L2366" s="455">
        <f t="shared" ca="1" si="147"/>
        <v>-3059227503.7609153</v>
      </c>
      <c r="M2366" s="471">
        <f t="shared" si="149"/>
        <v>0.05</v>
      </c>
      <c r="N2366" s="475">
        <f t="shared" si="150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48"/>
        <v>-3059227503.7609153</v>
      </c>
      <c r="J2367" s="455">
        <f t="array" ref="J2367">IFERROR(INDEX('Retirement Calculator'!J:J,MATCH('Isaac 401k'!N2367,'Retirement Calculator'!A:A,0),0),0)</f>
        <v>0</v>
      </c>
      <c r="K2367" s="455">
        <f t="shared" ca="1" si="146"/>
        <v>-12746781.26567048</v>
      </c>
      <c r="L2367" s="455">
        <f t="shared" ca="1" si="147"/>
        <v>-3071974285.0265856</v>
      </c>
      <c r="M2367" s="471">
        <f t="shared" si="149"/>
        <v>0.05</v>
      </c>
      <c r="N2367" s="475">
        <f t="shared" si="150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48"/>
        <v>-3071974285.0265856</v>
      </c>
      <c r="J2368" s="455">
        <f t="array" ref="J2368">IFERROR(INDEX('Retirement Calculator'!J:J,MATCH('Isaac 401k'!N2368,'Retirement Calculator'!A:A,0),0),0)</f>
        <v>0</v>
      </c>
      <c r="K2368" s="455">
        <f t="shared" ca="1" si="146"/>
        <v>-12799892.854277439</v>
      </c>
      <c r="L2368" s="455">
        <f t="shared" ca="1" si="147"/>
        <v>-3084774177.8808632</v>
      </c>
      <c r="M2368" s="471">
        <f t="shared" si="149"/>
        <v>0.05</v>
      </c>
      <c r="N2368" s="475">
        <f t="shared" si="150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48"/>
        <v>-3084774177.8808632</v>
      </c>
      <c r="J2369" s="455">
        <f t="array" ref="J2369">IFERROR(INDEX('Retirement Calculator'!J:J,MATCH('Isaac 401k'!N2369,'Retirement Calculator'!A:A,0),0),0)</f>
        <v>0</v>
      </c>
      <c r="K2369" s="455">
        <f t="shared" ca="1" si="146"/>
        <v>-12853225.741170263</v>
      </c>
      <c r="L2369" s="455">
        <f t="shared" ca="1" si="147"/>
        <v>-3097627403.6220336</v>
      </c>
      <c r="M2369" s="471">
        <f t="shared" si="149"/>
        <v>0.05</v>
      </c>
      <c r="N2369" s="475">
        <f t="shared" si="150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48"/>
        <v>-3097627403.6220336</v>
      </c>
      <c r="J2370" s="455">
        <f t="array" ref="J2370">IFERROR(INDEX('Retirement Calculator'!J:J,MATCH('Isaac 401k'!N2370,'Retirement Calculator'!A:A,0),0),0)</f>
        <v>0</v>
      </c>
      <c r="K2370" s="455">
        <f t="shared" ca="1" si="146"/>
        <v>-12906780.848425141</v>
      </c>
      <c r="L2370" s="455">
        <f t="shared" ca="1" si="147"/>
        <v>-3110534184.4704585</v>
      </c>
      <c r="M2370" s="471">
        <f t="shared" si="149"/>
        <v>0.05</v>
      </c>
      <c r="N2370" s="475">
        <f t="shared" si="150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48"/>
        <v>-3110534184.4704585</v>
      </c>
      <c r="J2371" s="455">
        <f t="array" ref="J2371">IFERROR(INDEX('Retirement Calculator'!J:J,MATCH('Isaac 401k'!N2371,'Retirement Calculator'!A:A,0),0),0)</f>
        <v>0</v>
      </c>
      <c r="K2371" s="455">
        <f t="shared" ca="1" si="146"/>
        <v>-12960559.101960244</v>
      </c>
      <c r="L2371" s="455">
        <f t="shared" ca="1" si="147"/>
        <v>-3123494743.5724187</v>
      </c>
      <c r="M2371" s="471">
        <f t="shared" si="149"/>
        <v>0.05</v>
      </c>
      <c r="N2371" s="475">
        <f t="shared" si="150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48"/>
        <v>-3123494743.5724187</v>
      </c>
      <c r="J2372" s="455">
        <f t="array" ref="J2372">IFERROR(INDEX('Retirement Calculator'!J:J,MATCH('Isaac 401k'!N2372,'Retirement Calculator'!A:A,0),0),0)</f>
        <v>0</v>
      </c>
      <c r="K2372" s="455">
        <f t="shared" ca="1" si="146"/>
        <v>-13014561.431551745</v>
      </c>
      <c r="L2372" s="455">
        <f t="shared" ca="1" si="147"/>
        <v>-3136509305.0039706</v>
      </c>
      <c r="M2372" s="471">
        <f t="shared" si="149"/>
        <v>0.05</v>
      </c>
      <c r="N2372" s="475">
        <f t="shared" si="150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48"/>
        <v>-3136509305.0039706</v>
      </c>
      <c r="J2373" s="455">
        <f t="array" ref="J2373">IFERROR(INDEX('Retirement Calculator'!J:J,MATCH('Isaac 401k'!N2373,'Retirement Calculator'!A:A,0),0),0)</f>
        <v>0</v>
      </c>
      <c r="K2373" s="455">
        <f t="shared" ca="1" si="146"/>
        <v>-13068788.770849878</v>
      </c>
      <c r="L2373" s="455">
        <f t="shared" ca="1" si="147"/>
        <v>-3149578093.7748203</v>
      </c>
      <c r="M2373" s="471">
        <f t="shared" si="149"/>
        <v>0.05</v>
      </c>
      <c r="N2373" s="475">
        <f t="shared" si="150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48"/>
        <v>-3149578093.7748203</v>
      </c>
      <c r="J2374" s="455">
        <f t="array" ref="J2374">IFERROR(INDEX('Retirement Calculator'!J:J,MATCH('Isaac 401k'!N2374,'Retirement Calculator'!A:A,0),0),0)</f>
        <v>0</v>
      </c>
      <c r="K2374" s="455">
        <f t="shared" ca="1" si="146"/>
        <v>-13123242.057395084</v>
      </c>
      <c r="L2374" s="455">
        <f t="shared" ca="1" si="147"/>
        <v>-3162701335.8322153</v>
      </c>
      <c r="M2374" s="471">
        <f t="shared" si="149"/>
        <v>0.05</v>
      </c>
      <c r="N2374" s="475">
        <f t="shared" si="150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48"/>
        <v>-3162701335.8322153</v>
      </c>
      <c r="J2375" s="455">
        <f t="array" ref="J2375">IFERROR(INDEX('Retirement Calculator'!J:J,MATCH('Isaac 401k'!N2375,'Retirement Calculator'!A:A,0),0),0)</f>
        <v>0</v>
      </c>
      <c r="K2375" s="455">
        <f t="shared" ca="1" si="146"/>
        <v>-13177922.23263423</v>
      </c>
      <c r="L2375" s="455">
        <f t="shared" ca="1" si="147"/>
        <v>-3175879258.0648494</v>
      </c>
      <c r="M2375" s="471">
        <f t="shared" si="149"/>
        <v>0.05</v>
      </c>
      <c r="N2375" s="475">
        <f t="shared" si="150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48"/>
        <v>-3175879258.0648494</v>
      </c>
      <c r="J2376" s="455">
        <f t="array" ref="J2376">IFERROR(INDEX('Retirement Calculator'!J:J,MATCH('Isaac 401k'!N2376,'Retirement Calculator'!A:A,0),0),0)</f>
        <v>0</v>
      </c>
      <c r="K2376" s="455">
        <f t="shared" ca="1" si="146"/>
        <v>-13232830.241936872</v>
      </c>
      <c r="L2376" s="455">
        <f t="shared" ca="1" si="147"/>
        <v>-3189112088.3067861</v>
      </c>
      <c r="M2376" s="471">
        <f t="shared" si="149"/>
        <v>0.05</v>
      </c>
      <c r="N2376" s="475">
        <f t="shared" si="150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48"/>
        <v>-3189112088.3067861</v>
      </c>
      <c r="J2377" s="455">
        <f t="array" ref="J2377">IFERROR(INDEX('Retirement Calculator'!J:J,MATCH('Isaac 401k'!N2377,'Retirement Calculator'!A:A,0),0),0)</f>
        <v>0</v>
      </c>
      <c r="K2377" s="455">
        <f t="shared" ca="1" si="146"/>
        <v>-13287967.034611609</v>
      </c>
      <c r="L2377" s="455">
        <f t="shared" ca="1" si="147"/>
        <v>-3202400055.3413978</v>
      </c>
      <c r="M2377" s="471">
        <f t="shared" si="149"/>
        <v>0.05</v>
      </c>
      <c r="N2377" s="475">
        <f t="shared" si="150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48"/>
        <v>-3202400055.3413978</v>
      </c>
      <c r="J2378" s="455">
        <f t="array" ref="J2378">IFERROR(INDEX('Retirement Calculator'!J:J,MATCH('Isaac 401k'!N2378,'Retirement Calculator'!A:A,0),0),0)</f>
        <v>0</v>
      </c>
      <c r="K2378" s="455">
        <f t="shared" ca="1" si="146"/>
        <v>-13343333.563922491</v>
      </c>
      <c r="L2378" s="455">
        <f t="shared" ca="1" si="147"/>
        <v>-3215743388.9053202</v>
      </c>
      <c r="M2378" s="471">
        <f t="shared" si="149"/>
        <v>0.05</v>
      </c>
      <c r="N2378" s="475">
        <f t="shared" si="150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48"/>
        <v>-3215743388.9053202</v>
      </c>
      <c r="J2379" s="455">
        <f t="array" ref="J2379">IFERROR(INDEX('Retirement Calculator'!J:J,MATCH('Isaac 401k'!N2379,'Retirement Calculator'!A:A,0),0),0)</f>
        <v>0</v>
      </c>
      <c r="K2379" s="455">
        <f t="shared" ca="1" si="146"/>
        <v>-13398930.787105501</v>
      </c>
      <c r="L2379" s="455">
        <f t="shared" ca="1" si="147"/>
        <v>-3229142319.6924257</v>
      </c>
      <c r="M2379" s="471">
        <f t="shared" si="149"/>
        <v>0.05</v>
      </c>
      <c r="N2379" s="475">
        <f t="shared" si="150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48"/>
        <v>-3229142319.6924257</v>
      </c>
      <c r="J2380" s="455">
        <f t="array" ref="J2380">IFERROR(INDEX('Retirement Calculator'!J:J,MATCH('Isaac 401k'!N2380,'Retirement Calculator'!A:A,0),0),0)</f>
        <v>0</v>
      </c>
      <c r="K2380" s="455">
        <f t="shared" ca="1" si="146"/>
        <v>-13454759.665385107</v>
      </c>
      <c r="L2380" s="455">
        <f t="shared" ca="1" si="147"/>
        <v>-3242597079.357811</v>
      </c>
      <c r="M2380" s="471">
        <f t="shared" si="149"/>
        <v>0.05</v>
      </c>
      <c r="N2380" s="475">
        <f t="shared" si="150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48"/>
        <v>-3242597079.357811</v>
      </c>
      <c r="J2381" s="455">
        <f t="array" ref="J2381">IFERROR(INDEX('Retirement Calculator'!J:J,MATCH('Isaac 401k'!N2381,'Retirement Calculator'!A:A,0),0),0)</f>
        <v>0</v>
      </c>
      <c r="K2381" s="455">
        <f t="shared" ca="1" si="146"/>
        <v>-13510821.163990879</v>
      </c>
      <c r="L2381" s="455">
        <f t="shared" ca="1" si="147"/>
        <v>-3256107900.5218019</v>
      </c>
      <c r="M2381" s="471">
        <f t="shared" si="149"/>
        <v>0.05</v>
      </c>
      <c r="N2381" s="475">
        <f t="shared" si="150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48"/>
        <v>-3256107900.5218019</v>
      </c>
      <c r="J2382" s="455">
        <f t="array" ref="J2382">IFERROR(INDEX('Retirement Calculator'!J:J,MATCH('Isaac 401k'!N2382,'Retirement Calculator'!A:A,0),0),0)</f>
        <v>0</v>
      </c>
      <c r="K2382" s="455">
        <f t="shared" ca="1" si="146"/>
        <v>-13567116.252174174</v>
      </c>
      <c r="L2382" s="455">
        <f t="shared" ca="1" si="147"/>
        <v>-3269675016.7739763</v>
      </c>
      <c r="M2382" s="471">
        <f t="shared" si="149"/>
        <v>0.05</v>
      </c>
      <c r="N2382" s="475">
        <f t="shared" si="150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48"/>
        <v>-3269675016.7739763</v>
      </c>
      <c r="J2383" s="455">
        <f t="array" ref="J2383">IFERROR(INDEX('Retirement Calculator'!J:J,MATCH('Isaac 401k'!N2383,'Retirement Calculator'!A:A,0),0),0)</f>
        <v>0</v>
      </c>
      <c r="K2383" s="455">
        <f t="shared" ca="1" si="146"/>
        <v>-13623645.9032249</v>
      </c>
      <c r="L2383" s="455">
        <f t="shared" ca="1" si="147"/>
        <v>-3283298662.6772013</v>
      </c>
      <c r="M2383" s="471">
        <f t="shared" si="149"/>
        <v>0.05</v>
      </c>
      <c r="N2383" s="475">
        <f t="shared" si="150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48"/>
        <v>-3283298662.6772013</v>
      </c>
      <c r="J2384" s="455">
        <f t="array" ref="J2384">IFERROR(INDEX('Retirement Calculator'!J:J,MATCH('Isaac 401k'!N2384,'Retirement Calculator'!A:A,0),0),0)</f>
        <v>0</v>
      </c>
      <c r="K2384" s="455">
        <f t="shared" ca="1" si="146"/>
        <v>-13680411.094488338</v>
      </c>
      <c r="L2384" s="455">
        <f t="shared" ca="1" si="147"/>
        <v>-3296979073.7716894</v>
      </c>
      <c r="M2384" s="471">
        <f t="shared" si="149"/>
        <v>0.05</v>
      </c>
      <c r="N2384" s="475">
        <f t="shared" si="150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48"/>
        <v>-3296979073.7716894</v>
      </c>
      <c r="J2385" s="455">
        <f t="array" ref="J2385">IFERROR(INDEX('Retirement Calculator'!J:J,MATCH('Isaac 401k'!N2385,'Retirement Calculator'!A:A,0),0),0)</f>
        <v>0</v>
      </c>
      <c r="K2385" s="455">
        <f t="shared" ca="1" si="146"/>
        <v>-13737412.80738204</v>
      </c>
      <c r="L2385" s="455">
        <f t="shared" ca="1" si="147"/>
        <v>-3310716486.5790715</v>
      </c>
      <c r="M2385" s="471">
        <f t="shared" si="149"/>
        <v>0.05</v>
      </c>
      <c r="N2385" s="475">
        <f t="shared" si="150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48"/>
        <v>-3310716486.5790715</v>
      </c>
      <c r="J2386" s="455">
        <f t="array" ref="J2386">IFERROR(INDEX('Retirement Calculator'!J:J,MATCH('Isaac 401k'!N2386,'Retirement Calculator'!A:A,0),0),0)</f>
        <v>0</v>
      </c>
      <c r="K2386" s="455">
        <f t="shared" ca="1" si="146"/>
        <v>-13794652.027412798</v>
      </c>
      <c r="L2386" s="455">
        <f t="shared" ca="1" si="147"/>
        <v>-3324511138.6064844</v>
      </c>
      <c r="M2386" s="471">
        <f t="shared" si="149"/>
        <v>0.05</v>
      </c>
      <c r="N2386" s="475">
        <f t="shared" si="150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48"/>
        <v>-3324511138.6064844</v>
      </c>
      <c r="J2387" s="455">
        <f t="array" ref="J2387">IFERROR(INDEX('Retirement Calculator'!J:J,MATCH('Isaac 401k'!N2387,'Retirement Calculator'!A:A,0),0),0)</f>
        <v>0</v>
      </c>
      <c r="K2387" s="455">
        <f t="shared" ca="1" si="146"/>
        <v>-13852129.744193684</v>
      </c>
      <c r="L2387" s="455">
        <f t="shared" ca="1" si="147"/>
        <v>-3338363268.350678</v>
      </c>
      <c r="M2387" s="471">
        <f t="shared" si="149"/>
        <v>0.05</v>
      </c>
      <c r="N2387" s="475">
        <f t="shared" si="150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48"/>
        <v>-3338363268.350678</v>
      </c>
      <c r="J2388" s="455">
        <f t="array" ref="J2388">IFERROR(INDEX('Retirement Calculator'!J:J,MATCH('Isaac 401k'!N2388,'Retirement Calculator'!A:A,0),0),0)</f>
        <v>0</v>
      </c>
      <c r="K2388" s="455">
        <f t="shared" ca="1" si="146"/>
        <v>-13909846.951461159</v>
      </c>
      <c r="L2388" s="455">
        <f t="shared" ca="1" si="147"/>
        <v>-3352273115.3021393</v>
      </c>
      <c r="M2388" s="471">
        <f t="shared" si="149"/>
        <v>0.05</v>
      </c>
      <c r="N2388" s="475">
        <f t="shared" si="150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48"/>
        <v>-3352273115.3021393</v>
      </c>
      <c r="J2389" s="455">
        <f t="array" ref="J2389">IFERROR(INDEX('Retirement Calculator'!J:J,MATCH('Isaac 401k'!N2389,'Retirement Calculator'!A:A,0),0),0)</f>
        <v>0</v>
      </c>
      <c r="K2389" s="455">
        <f t="shared" ca="1" si="146"/>
        <v>-13967804.647092247</v>
      </c>
      <c r="L2389" s="455">
        <f t="shared" ca="1" si="147"/>
        <v>-3366240919.9492316</v>
      </c>
      <c r="M2389" s="471">
        <f t="shared" si="149"/>
        <v>0.05</v>
      </c>
      <c r="N2389" s="475">
        <f t="shared" si="150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48"/>
        <v>-3366240919.9492316</v>
      </c>
      <c r="J2390" s="455">
        <f t="array" ref="J2390">IFERROR(INDEX('Retirement Calculator'!J:J,MATCH('Isaac 401k'!N2390,'Retirement Calculator'!A:A,0),0),0)</f>
        <v>0</v>
      </c>
      <c r="K2390" s="455">
        <f t="shared" ca="1" si="146"/>
        <v>-14026003.833121799</v>
      </c>
      <c r="L2390" s="455">
        <f t="shared" ca="1" si="147"/>
        <v>-3380266923.7823534</v>
      </c>
      <c r="M2390" s="471">
        <f t="shared" si="149"/>
        <v>0.05</v>
      </c>
      <c r="N2390" s="475">
        <f t="shared" si="150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48"/>
        <v>-3380266923.7823534</v>
      </c>
      <c r="J2391" s="455">
        <f t="array" ref="J2391">IFERROR(INDEX('Retirement Calculator'!J:J,MATCH('Isaac 401k'!N2391,'Retirement Calculator'!A:A,0),0),0)</f>
        <v>0</v>
      </c>
      <c r="K2391" s="455">
        <f t="shared" ca="1" si="146"/>
        <v>-14084445.515759805</v>
      </c>
      <c r="L2391" s="455">
        <f t="shared" ca="1" si="147"/>
        <v>-3394351369.2981133</v>
      </c>
      <c r="M2391" s="471">
        <f t="shared" si="149"/>
        <v>0.05</v>
      </c>
      <c r="N2391" s="475">
        <f t="shared" si="150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48"/>
        <v>-3394351369.2981133</v>
      </c>
      <c r="J2392" s="455">
        <f t="array" ref="J2392">IFERROR(INDEX('Retirement Calculator'!J:J,MATCH('Isaac 401k'!N2392,'Retirement Calculator'!A:A,0),0),0)</f>
        <v>0</v>
      </c>
      <c r="K2392" s="455">
        <f t="shared" ca="1" si="146"/>
        <v>-14143130.705408808</v>
      </c>
      <c r="L2392" s="455">
        <f t="shared" ca="1" si="147"/>
        <v>-3408494500.0035219</v>
      </c>
      <c r="M2392" s="471">
        <f t="shared" si="149"/>
        <v>0.05</v>
      </c>
      <c r="N2392" s="475">
        <f t="shared" si="150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48"/>
        <v>-3408494500.0035219</v>
      </c>
      <c r="J2393" s="455">
        <f t="array" ref="J2393">IFERROR(INDEX('Retirement Calculator'!J:J,MATCH('Isaac 401k'!N2393,'Retirement Calculator'!A:A,0),0),0)</f>
        <v>0</v>
      </c>
      <c r="K2393" s="455">
        <f t="shared" ca="1" si="146"/>
        <v>-14202060.416681342</v>
      </c>
      <c r="L2393" s="455">
        <f t="shared" ca="1" si="147"/>
        <v>-3422696560.4202032</v>
      </c>
      <c r="M2393" s="471">
        <f t="shared" si="149"/>
        <v>0.05</v>
      </c>
      <c r="N2393" s="475">
        <f t="shared" si="150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48"/>
        <v>-3422696560.4202032</v>
      </c>
      <c r="J2394" s="455">
        <f t="array" ref="J2394">IFERROR(INDEX('Retirement Calculator'!J:J,MATCH('Isaac 401k'!N2394,'Retirement Calculator'!A:A,0),0),0)</f>
        <v>0</v>
      </c>
      <c r="K2394" s="455">
        <f t="shared" ca="1" si="146"/>
        <v>-14261235.668417513</v>
      </c>
      <c r="L2394" s="455">
        <f t="shared" ca="1" si="147"/>
        <v>-3436957796.0886207</v>
      </c>
      <c r="M2394" s="471">
        <f t="shared" si="149"/>
        <v>0.05</v>
      </c>
      <c r="N2394" s="475">
        <f t="shared" si="150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48"/>
        <v>-3436957796.0886207</v>
      </c>
      <c r="J2395" s="455">
        <f t="array" ref="J2395">IFERROR(INDEX('Retirement Calculator'!J:J,MATCH('Isaac 401k'!N2395,'Retirement Calculator'!A:A,0),0),0)</f>
        <v>0</v>
      </c>
      <c r="K2395" s="455">
        <f t="shared" ca="1" si="146"/>
        <v>-14320657.483702587</v>
      </c>
      <c r="L2395" s="455">
        <f t="shared" ca="1" si="147"/>
        <v>-3451278453.5723233</v>
      </c>
      <c r="M2395" s="471">
        <f t="shared" si="149"/>
        <v>0.05</v>
      </c>
      <c r="N2395" s="475">
        <f t="shared" si="150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48"/>
        <v>-3451278453.5723233</v>
      </c>
      <c r="J2396" s="455">
        <f t="array" ref="J2396">IFERROR(INDEX('Retirement Calculator'!J:J,MATCH('Isaac 401k'!N2396,'Retirement Calculator'!A:A,0),0),0)</f>
        <v>0</v>
      </c>
      <c r="K2396" s="455">
        <f t="shared" ca="1" si="146"/>
        <v>-14380326.889884681</v>
      </c>
      <c r="L2396" s="455">
        <f t="shared" ca="1" si="147"/>
        <v>-3465658780.4622078</v>
      </c>
      <c r="M2396" s="471">
        <f t="shared" si="149"/>
        <v>0.05</v>
      </c>
      <c r="N2396" s="475">
        <f t="shared" si="150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48"/>
        <v>-3465658780.4622078</v>
      </c>
      <c r="J2397" s="455">
        <f t="array" ref="J2397">IFERROR(INDEX('Retirement Calculator'!J:J,MATCH('Isaac 401k'!N2397,'Retirement Calculator'!A:A,0),0),0)</f>
        <v>0</v>
      </c>
      <c r="K2397" s="455">
        <f t="shared" ca="1" si="146"/>
        <v>-14440244.918592533</v>
      </c>
      <c r="L2397" s="455">
        <f t="shared" ca="1" si="147"/>
        <v>-3480099025.3808002</v>
      </c>
      <c r="M2397" s="471">
        <f t="shared" si="149"/>
        <v>0.05</v>
      </c>
      <c r="N2397" s="475">
        <f t="shared" si="150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48"/>
        <v>-3480099025.3808002</v>
      </c>
      <c r="J2398" s="455">
        <f t="array" ref="J2398">IFERROR(INDEX('Retirement Calculator'!J:J,MATCH('Isaac 401k'!N2398,'Retirement Calculator'!A:A,0),0),0)</f>
        <v>0</v>
      </c>
      <c r="K2398" s="455">
        <f t="shared" ca="1" si="146"/>
        <v>-14500412.605753334</v>
      </c>
      <c r="L2398" s="455">
        <f t="shared" ca="1" si="147"/>
        <v>-3494599437.9865537</v>
      </c>
      <c r="M2398" s="471">
        <f t="shared" si="149"/>
        <v>0.05</v>
      </c>
      <c r="N2398" s="475">
        <f t="shared" si="150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48"/>
        <v>-3494599437.9865537</v>
      </c>
      <c r="J2399" s="455">
        <f t="array" ref="J2399">IFERROR(INDEX('Retirement Calculator'!J:J,MATCH('Isaac 401k'!N2399,'Retirement Calculator'!A:A,0),0),0)</f>
        <v>0</v>
      </c>
      <c r="K2399" s="455">
        <f t="shared" ca="1" si="146"/>
        <v>-14560830.991610641</v>
      </c>
      <c r="L2399" s="455">
        <f t="shared" ca="1" si="147"/>
        <v>-3509160268.9781642</v>
      </c>
      <c r="M2399" s="471">
        <f t="shared" si="149"/>
        <v>0.05</v>
      </c>
      <c r="N2399" s="475">
        <f t="shared" si="150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48"/>
        <v>-3509160268.9781642</v>
      </c>
      <c r="J2400" s="455">
        <f t="array" ref="J2400">IFERROR(INDEX('Retirement Calculator'!J:J,MATCH('Isaac 401k'!N2400,'Retirement Calculator'!A:A,0),0),0)</f>
        <v>0</v>
      </c>
      <c r="K2400" s="455">
        <f t="shared" ca="1" si="146"/>
        <v>-14621501.120742351</v>
      </c>
      <c r="L2400" s="455">
        <f t="shared" ca="1" si="147"/>
        <v>-3523781770.0989065</v>
      </c>
      <c r="M2400" s="471">
        <f t="shared" si="149"/>
        <v>0.05</v>
      </c>
      <c r="N2400" s="475">
        <f t="shared" si="150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48"/>
        <v>-3523781770.0989065</v>
      </c>
      <c r="J2401" s="455">
        <f t="array" ref="J2401">IFERROR(INDEX('Retirement Calculator'!J:J,MATCH('Isaac 401k'!N2401,'Retirement Calculator'!A:A,0),0),0)</f>
        <v>0</v>
      </c>
      <c r="K2401" s="455">
        <f t="shared" ca="1" si="146"/>
        <v>-14682424.042078778</v>
      </c>
      <c r="L2401" s="455">
        <f t="shared" ca="1" si="147"/>
        <v>-3538464194.1409855</v>
      </c>
      <c r="M2401" s="471">
        <f t="shared" si="149"/>
        <v>0.05</v>
      </c>
      <c r="N2401" s="475">
        <f t="shared" si="150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48"/>
        <v>-3538464194.1409855</v>
      </c>
      <c r="J2402" s="455">
        <f t="array" ref="J2402">IFERROR(INDEX('Retirement Calculator'!J:J,MATCH('Isaac 401k'!N2402,'Retirement Calculator'!A:A,0),0),0)</f>
        <v>0</v>
      </c>
      <c r="K2402" s="455">
        <f t="shared" ca="1" si="146"/>
        <v>-14743600.808920771</v>
      </c>
      <c r="L2402" s="455">
        <f t="shared" ca="1" si="147"/>
        <v>-3553207794.9499063</v>
      </c>
      <c r="M2402" s="471">
        <f t="shared" si="149"/>
        <v>0.05</v>
      </c>
      <c r="N2402" s="475">
        <f t="shared" si="150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48"/>
        <v>-3553207794.9499063</v>
      </c>
      <c r="J2403" s="455">
        <f t="array" ref="J2403">IFERROR(INDEX('Retirement Calculator'!J:J,MATCH('Isaac 401k'!N2403,'Retirement Calculator'!A:A,0),0),0)</f>
        <v>0</v>
      </c>
      <c r="K2403" s="455">
        <f t="shared" ca="1" si="146"/>
        <v>-14805032.478957945</v>
      </c>
      <c r="L2403" s="455">
        <f t="shared" ca="1" si="147"/>
        <v>-3568012827.4288645</v>
      </c>
      <c r="M2403" s="471">
        <f t="shared" si="149"/>
        <v>0.05</v>
      </c>
      <c r="N2403" s="475">
        <f t="shared" si="150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48"/>
        <v>-3568012827.4288645</v>
      </c>
      <c r="J2404" s="455">
        <f t="array" ref="J2404">IFERROR(INDEX('Retirement Calculator'!J:J,MATCH('Isaac 401k'!N2404,'Retirement Calculator'!A:A,0),0),0)</f>
        <v>0</v>
      </c>
      <c r="K2404" s="455">
        <f t="shared" ca="1" si="146"/>
        <v>-14866720.114286937</v>
      </c>
      <c r="L2404" s="455">
        <f t="shared" ca="1" si="147"/>
        <v>-3582879547.5431514</v>
      </c>
      <c r="M2404" s="471">
        <f t="shared" si="149"/>
        <v>0.05</v>
      </c>
      <c r="N2404" s="475">
        <f t="shared" si="150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48"/>
        <v>-3582879547.5431514</v>
      </c>
      <c r="J2405" s="455">
        <f t="array" ref="J2405">IFERROR(INDEX('Retirement Calculator'!J:J,MATCH('Isaac 401k'!N2405,'Retirement Calculator'!A:A,0),0),0)</f>
        <v>0</v>
      </c>
      <c r="K2405" s="455">
        <f t="shared" ca="1" si="146"/>
        <v>-14928664.781429797</v>
      </c>
      <c r="L2405" s="455">
        <f t="shared" ca="1" si="147"/>
        <v>-3597808212.3245811</v>
      </c>
      <c r="M2405" s="471">
        <f t="shared" si="149"/>
        <v>0.05</v>
      </c>
      <c r="N2405" s="475">
        <f t="shared" si="150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48"/>
        <v>-3597808212.3245811</v>
      </c>
      <c r="J2406" s="455">
        <f t="array" ref="J2406">IFERROR(INDEX('Retirement Calculator'!J:J,MATCH('Isaac 401k'!N2406,'Retirement Calculator'!A:A,0),0),0)</f>
        <v>0</v>
      </c>
      <c r="K2406" s="455">
        <f t="shared" ca="1" si="146"/>
        <v>-14990867.551352423</v>
      </c>
      <c r="L2406" s="455">
        <f t="shared" ca="1" si="147"/>
        <v>-3612799079.8759336</v>
      </c>
      <c r="M2406" s="471">
        <f t="shared" si="149"/>
        <v>0.05</v>
      </c>
      <c r="N2406" s="475">
        <f t="shared" si="150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48"/>
        <v>-3612799079.8759336</v>
      </c>
      <c r="J2407" s="455">
        <f t="array" ref="J2407">IFERROR(INDEX('Retirement Calculator'!J:J,MATCH('Isaac 401k'!N2407,'Retirement Calculator'!A:A,0),0),0)</f>
        <v>0</v>
      </c>
      <c r="K2407" s="455">
        <f t="shared" ca="1" si="146"/>
        <v>-15053329.499483056</v>
      </c>
      <c r="L2407" s="455">
        <f t="shared" ca="1" si="147"/>
        <v>-3627852409.3754168</v>
      </c>
      <c r="M2407" s="471">
        <f t="shared" si="149"/>
        <v>0.05</v>
      </c>
      <c r="N2407" s="475">
        <f t="shared" si="150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48"/>
        <v>-3627852409.3754168</v>
      </c>
      <c r="J2408" s="455">
        <f t="array" ref="J2408">IFERROR(INDEX('Retirement Calculator'!J:J,MATCH('Isaac 401k'!N2408,'Retirement Calculator'!A:A,0),0),0)</f>
        <v>0</v>
      </c>
      <c r="K2408" s="455">
        <f t="shared" ca="1" si="146"/>
        <v>-15116051.705730902</v>
      </c>
      <c r="L2408" s="455">
        <f t="shared" ca="1" si="147"/>
        <v>-3642968461.0811477</v>
      </c>
      <c r="M2408" s="471">
        <f t="shared" si="149"/>
        <v>0.05</v>
      </c>
      <c r="N2408" s="475">
        <f t="shared" si="150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48"/>
        <v>-3642968461.0811477</v>
      </c>
      <c r="J2409" s="455">
        <f t="array" ref="J2409">IFERROR(INDEX('Retirement Calculator'!J:J,MATCH('Isaac 401k'!N2409,'Retirement Calculator'!A:A,0),0),0)</f>
        <v>0</v>
      </c>
      <c r="K2409" s="455">
        <f t="shared" ca="1" si="146"/>
        <v>-15179035.254504783</v>
      </c>
      <c r="L2409" s="455">
        <f t="shared" ca="1" si="147"/>
        <v>-3658147496.3356524</v>
      </c>
      <c r="M2409" s="471">
        <f t="shared" si="149"/>
        <v>0.05</v>
      </c>
      <c r="N2409" s="475">
        <f t="shared" si="150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48"/>
        <v>-3658147496.3356524</v>
      </c>
      <c r="J2410" s="455">
        <f t="array" ref="J2410">IFERROR(INDEX('Retirement Calculator'!J:J,MATCH('Isaac 401k'!N2410,'Retirement Calculator'!A:A,0),0),0)</f>
        <v>0</v>
      </c>
      <c r="K2410" s="455">
        <f t="shared" ca="1" si="146"/>
        <v>-15242281.234731885</v>
      </c>
      <c r="L2410" s="455">
        <f t="shared" ca="1" si="147"/>
        <v>-3673389777.570384</v>
      </c>
      <c r="M2410" s="471">
        <f t="shared" si="149"/>
        <v>0.05</v>
      </c>
      <c r="N2410" s="475">
        <f t="shared" si="150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48"/>
        <v>-3673389777.570384</v>
      </c>
      <c r="J2411" s="455">
        <f t="array" ref="J2411">IFERROR(INDEX('Retirement Calculator'!J:J,MATCH('Isaac 401k'!N2411,'Retirement Calculator'!A:A,0),0),0)</f>
        <v>0</v>
      </c>
      <c r="K2411" s="455">
        <f t="shared" ca="1" si="146"/>
        <v>-15305790.7398766</v>
      </c>
      <c r="L2411" s="455">
        <f t="shared" ca="1" si="147"/>
        <v>-3688695568.3102608</v>
      </c>
      <c r="M2411" s="471">
        <f t="shared" si="149"/>
        <v>0.05</v>
      </c>
      <c r="N2411" s="475">
        <f t="shared" si="150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48"/>
        <v>-3688695568.3102608</v>
      </c>
      <c r="J2412" s="455">
        <f t="array" ref="J2412">IFERROR(INDEX('Retirement Calculator'!J:J,MATCH('Isaac 401k'!N2412,'Retirement Calculator'!A:A,0),0),0)</f>
        <v>0</v>
      </c>
      <c r="K2412" s="455">
        <f t="shared" ca="1" si="146"/>
        <v>-15369564.867959419</v>
      </c>
      <c r="L2412" s="455">
        <f t="shared" ca="1" si="147"/>
        <v>-3704065133.1782203</v>
      </c>
      <c r="M2412" s="471">
        <f t="shared" si="149"/>
        <v>0.05</v>
      </c>
      <c r="N2412" s="475">
        <f t="shared" si="150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48"/>
        <v>-3704065133.1782203</v>
      </c>
      <c r="J2413" s="455">
        <f t="array" ref="J2413">IFERROR(INDEX('Retirement Calculator'!J:J,MATCH('Isaac 401k'!N2413,'Retirement Calculator'!A:A,0),0),0)</f>
        <v>0</v>
      </c>
      <c r="K2413" s="455">
        <f t="shared" ca="1" si="146"/>
        <v>-15433604.721575918</v>
      </c>
      <c r="L2413" s="455">
        <f t="shared" ca="1" si="147"/>
        <v>-3719498737.899796</v>
      </c>
      <c r="M2413" s="471">
        <f t="shared" si="149"/>
        <v>0.05</v>
      </c>
      <c r="N2413" s="475">
        <f t="shared" si="150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48"/>
        <v>-3719498737.899796</v>
      </c>
      <c r="J2414" s="455">
        <f t="array" ref="J2414">IFERROR(INDEX('Retirement Calculator'!J:J,MATCH('Isaac 401k'!N2414,'Retirement Calculator'!A:A,0),0),0)</f>
        <v>0</v>
      </c>
      <c r="K2414" s="455">
        <f t="shared" ca="1" si="146"/>
        <v>-15497911.407915818</v>
      </c>
      <c r="L2414" s="455">
        <f t="shared" ca="1" si="147"/>
        <v>-3734996649.3077116</v>
      </c>
      <c r="M2414" s="471">
        <f t="shared" si="149"/>
        <v>0.05</v>
      </c>
      <c r="N2414" s="475">
        <f t="shared" si="150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48"/>
        <v>-3734996649.3077116</v>
      </c>
      <c r="J2415" s="455">
        <f t="array" ref="J2415">IFERROR(INDEX('Retirement Calculator'!J:J,MATCH('Isaac 401k'!N2415,'Retirement Calculator'!A:A,0),0),0)</f>
        <v>0</v>
      </c>
      <c r="K2415" s="455">
        <f t="shared" ca="1" si="146"/>
        <v>-15562486.038782129</v>
      </c>
      <c r="L2415" s="455">
        <f t="shared" ca="1" si="147"/>
        <v>-3750559135.3464937</v>
      </c>
      <c r="M2415" s="471">
        <f t="shared" si="149"/>
        <v>0.05</v>
      </c>
      <c r="N2415" s="475">
        <f t="shared" si="150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48"/>
        <v>-3750559135.3464937</v>
      </c>
      <c r="J2416" s="455">
        <f t="array" ref="J2416">IFERROR(INDEX('Retirement Calculator'!J:J,MATCH('Isaac 401k'!N2416,'Retirement Calculator'!A:A,0),0),0)</f>
        <v>0</v>
      </c>
      <c r="K2416" s="455">
        <f t="shared" ca="1" si="146"/>
        <v>-15627329.730610391</v>
      </c>
      <c r="L2416" s="455">
        <f t="shared" ca="1" si="147"/>
        <v>-3766186465.0771041</v>
      </c>
      <c r="M2416" s="471">
        <f t="shared" si="149"/>
        <v>0.05</v>
      </c>
      <c r="N2416" s="475">
        <f t="shared" si="150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48"/>
        <v>-3766186465.0771041</v>
      </c>
      <c r="J2417" s="455">
        <f t="array" ref="J2417">IFERROR(INDEX('Retirement Calculator'!J:J,MATCH('Isaac 401k'!N2417,'Retirement Calculator'!A:A,0),0),0)</f>
        <v>0</v>
      </c>
      <c r="K2417" s="455">
        <f t="shared" ca="1" si="146"/>
        <v>-15692443.604487935</v>
      </c>
      <c r="L2417" s="455">
        <f t="shared" ca="1" si="147"/>
        <v>-3781878908.681592</v>
      </c>
      <c r="M2417" s="471">
        <f t="shared" si="149"/>
        <v>0.05</v>
      </c>
      <c r="N2417" s="475">
        <f t="shared" si="150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48"/>
        <v>-3781878908.681592</v>
      </c>
      <c r="J2418" s="455">
        <f t="array" ref="J2418">IFERROR(INDEX('Retirement Calculator'!J:J,MATCH('Isaac 401k'!N2418,'Retirement Calculator'!A:A,0),0),0)</f>
        <v>0</v>
      </c>
      <c r="K2418" s="455">
        <f t="shared" ca="1" si="146"/>
        <v>-15757828.786173299</v>
      </c>
      <c r="L2418" s="455">
        <f t="shared" ca="1" si="147"/>
        <v>-3797636737.4677653</v>
      </c>
      <c r="M2418" s="471">
        <f t="shared" si="149"/>
        <v>0.05</v>
      </c>
      <c r="N2418" s="475">
        <f t="shared" si="150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48"/>
        <v>-3797636737.4677653</v>
      </c>
      <c r="J2419" s="455">
        <f t="array" ref="J2419">IFERROR(INDEX('Retirement Calculator'!J:J,MATCH('Isaac 401k'!N2419,'Retirement Calculator'!A:A,0),0),0)</f>
        <v>0</v>
      </c>
      <c r="K2419" s="455">
        <f t="shared" ca="1" si="146"/>
        <v>-15823486.406115688</v>
      </c>
      <c r="L2419" s="455">
        <f t="shared" ca="1" si="147"/>
        <v>-3813460223.8738809</v>
      </c>
      <c r="M2419" s="471">
        <f t="shared" si="149"/>
        <v>0.05</v>
      </c>
      <c r="N2419" s="475">
        <f t="shared" si="150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48"/>
        <v>-3813460223.8738809</v>
      </c>
      <c r="J2420" s="455">
        <f t="array" ref="J2420">IFERROR(INDEX('Retirement Calculator'!J:J,MATCH('Isaac 401k'!N2420,'Retirement Calculator'!A:A,0),0),0)</f>
        <v>0</v>
      </c>
      <c r="K2420" s="455">
        <f t="shared" ca="1" si="146"/>
        <v>-15889417.599474503</v>
      </c>
      <c r="L2420" s="455">
        <f t="shared" ca="1" si="147"/>
        <v>-3829349641.4733553</v>
      </c>
      <c r="M2420" s="471">
        <f t="shared" si="149"/>
        <v>0.05</v>
      </c>
      <c r="N2420" s="475">
        <f t="shared" si="150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48"/>
        <v>-3829349641.4733553</v>
      </c>
      <c r="J2421" s="455">
        <f t="array" ref="J2421">IFERROR(INDEX('Retirement Calculator'!J:J,MATCH('Isaac 401k'!N2421,'Retirement Calculator'!A:A,0),0),0)</f>
        <v>0</v>
      </c>
      <c r="K2421" s="455">
        <f t="shared" ca="1" si="146"/>
        <v>-15955623.506138979</v>
      </c>
      <c r="L2421" s="455">
        <f t="shared" ca="1" si="147"/>
        <v>-3845305264.9794941</v>
      </c>
      <c r="M2421" s="471">
        <f t="shared" si="149"/>
        <v>0.05</v>
      </c>
      <c r="N2421" s="475">
        <f t="shared" si="150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48"/>
        <v>-3845305264.9794941</v>
      </c>
      <c r="J2422" s="455">
        <f t="array" ref="J2422">IFERROR(INDEX('Retirement Calculator'!J:J,MATCH('Isaac 401k'!N2422,'Retirement Calculator'!A:A,0),0),0)</f>
        <v>0</v>
      </c>
      <c r="K2422" s="455">
        <f t="shared" ca="1" si="146"/>
        <v>-16022105.270747893</v>
      </c>
      <c r="L2422" s="455">
        <f t="shared" ca="1" si="147"/>
        <v>-3861327370.2502418</v>
      </c>
      <c r="M2422" s="471">
        <f t="shared" si="149"/>
        <v>0.05</v>
      </c>
      <c r="N2422" s="475">
        <f t="shared" si="150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48"/>
        <v>-3861327370.2502418</v>
      </c>
      <c r="J2423" s="455">
        <f t="array" ref="J2423">IFERROR(INDEX('Retirement Calculator'!J:J,MATCH('Isaac 401k'!N2423,'Retirement Calculator'!A:A,0),0),0)</f>
        <v>0</v>
      </c>
      <c r="K2423" s="455">
        <f t="shared" ca="1" si="146"/>
        <v>-16088864.042709341</v>
      </c>
      <c r="L2423" s="455">
        <f t="shared" ca="1" si="147"/>
        <v>-3877416234.2929511</v>
      </c>
      <c r="M2423" s="471">
        <f t="shared" si="149"/>
        <v>0.05</v>
      </c>
      <c r="N2423" s="475">
        <f t="shared" si="150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48"/>
        <v>-3877416234.2929511</v>
      </c>
      <c r="J2424" s="455">
        <f t="array" ref="J2424">IFERROR(INDEX('Retirement Calculator'!J:J,MATCH('Isaac 401k'!N2424,'Retirement Calculator'!A:A,0),0),0)</f>
        <v>0</v>
      </c>
      <c r="K2424" s="455">
        <f t="shared" ca="1" si="146"/>
        <v>-16155900.976220628</v>
      </c>
      <c r="L2424" s="455">
        <f t="shared" ca="1" si="147"/>
        <v>-3893572135.2691717</v>
      </c>
      <c r="M2424" s="471">
        <f t="shared" si="149"/>
        <v>0.05</v>
      </c>
      <c r="N2424" s="475">
        <f t="shared" si="150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48"/>
        <v>-3893572135.2691717</v>
      </c>
      <c r="J2425" s="455">
        <f t="array" ref="J2425">IFERROR(INDEX('Retirement Calculator'!J:J,MATCH('Isaac 401k'!N2425,'Retirement Calculator'!A:A,0),0),0)</f>
        <v>0</v>
      </c>
      <c r="K2425" s="455">
        <f t="shared" ca="1" si="146"/>
        <v>-16223217.230288215</v>
      </c>
      <c r="L2425" s="455">
        <f t="shared" ca="1" si="147"/>
        <v>-3909795352.4994597</v>
      </c>
      <c r="M2425" s="471">
        <f t="shared" si="149"/>
        <v>0.05</v>
      </c>
      <c r="N2425" s="475">
        <f t="shared" si="150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48"/>
        <v>-3909795352.4994597</v>
      </c>
      <c r="J2426" s="455">
        <f t="array" ref="J2426">IFERROR(INDEX('Retirement Calculator'!J:J,MATCH('Isaac 401k'!N2426,'Retirement Calculator'!A:A,0),0),0)</f>
        <v>0</v>
      </c>
      <c r="K2426" s="455">
        <f t="shared" ca="1" si="146"/>
        <v>-16290813.968747748</v>
      </c>
      <c r="L2426" s="455">
        <f t="shared" ca="1" si="147"/>
        <v>-3926086166.4682074</v>
      </c>
      <c r="M2426" s="471">
        <f t="shared" si="149"/>
        <v>0.05</v>
      </c>
      <c r="N2426" s="475">
        <f t="shared" si="150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48"/>
        <v>-3926086166.4682074</v>
      </c>
      <c r="J2427" s="455">
        <f t="array" ref="J2427">IFERROR(INDEX('Retirement Calculator'!J:J,MATCH('Isaac 401k'!N2427,'Retirement Calculator'!A:A,0),0),0)</f>
        <v>0</v>
      </c>
      <c r="K2427" s="455">
        <f t="shared" ca="1" si="146"/>
        <v>-16358692.3602842</v>
      </c>
      <c r="L2427" s="455">
        <f t="shared" ca="1" si="147"/>
        <v>-3942444858.8284917</v>
      </c>
      <c r="M2427" s="471">
        <f t="shared" si="149"/>
        <v>0.05</v>
      </c>
      <c r="N2427" s="475">
        <f t="shared" si="150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48"/>
        <v>-3942444858.8284917</v>
      </c>
      <c r="J2428" s="455">
        <f t="array" ref="J2428">IFERROR(INDEX('Retirement Calculator'!J:J,MATCH('Isaac 401k'!N2428,'Retirement Calculator'!A:A,0),0),0)</f>
        <v>0</v>
      </c>
      <c r="K2428" s="455">
        <f t="shared" ca="1" si="146"/>
        <v>-16426853.578452049</v>
      </c>
      <c r="L2428" s="455">
        <f t="shared" ca="1" si="147"/>
        <v>-3958871712.4069438</v>
      </c>
      <c r="M2428" s="471">
        <f t="shared" si="149"/>
        <v>0.05</v>
      </c>
      <c r="N2428" s="475">
        <f t="shared" si="150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48"/>
        <v>-3958871712.4069438</v>
      </c>
      <c r="J2429" s="455">
        <f t="array" ref="J2429">IFERROR(INDEX('Retirement Calculator'!J:J,MATCH('Isaac 401k'!N2429,'Retirement Calculator'!A:A,0),0),0)</f>
        <v>0</v>
      </c>
      <c r="K2429" s="455">
        <f t="shared" ca="1" si="146"/>
        <v>-16495298.801695598</v>
      </c>
      <c r="L2429" s="455">
        <f t="shared" ca="1" si="147"/>
        <v>-3975367011.2086396</v>
      </c>
      <c r="M2429" s="471">
        <f t="shared" si="149"/>
        <v>0.05</v>
      </c>
      <c r="N2429" s="475">
        <f t="shared" si="150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48"/>
        <v>-3975367011.2086396</v>
      </c>
      <c r="J2430" s="455">
        <f t="array" ref="J2430">IFERROR(INDEX('Retirement Calculator'!J:J,MATCH('Isaac 401k'!N2430,'Retirement Calculator'!A:A,0),0),0)</f>
        <v>0</v>
      </c>
      <c r="K2430" s="455">
        <f t="shared" ca="1" si="146"/>
        <v>-16564029.213369334</v>
      </c>
      <c r="L2430" s="455">
        <f t="shared" ca="1" si="147"/>
        <v>-3991931040.422009</v>
      </c>
      <c r="M2430" s="471">
        <f t="shared" si="149"/>
        <v>0.05</v>
      </c>
      <c r="N2430" s="475">
        <f t="shared" si="150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48"/>
        <v>-3991931040.422009</v>
      </c>
      <c r="J2431" s="455">
        <f t="array" ref="J2431">IFERROR(INDEX('Retirement Calculator'!J:J,MATCH('Isaac 401k'!N2431,'Retirement Calculator'!A:A,0),0),0)</f>
        <v>0</v>
      </c>
      <c r="K2431" s="455">
        <f t="shared" ca="1" si="146"/>
        <v>-16633046.001758371</v>
      </c>
      <c r="L2431" s="455">
        <f t="shared" ca="1" si="147"/>
        <v>-4008564086.4237676</v>
      </c>
      <c r="M2431" s="471">
        <f t="shared" si="149"/>
        <v>0.05</v>
      </c>
      <c r="N2431" s="475">
        <f t="shared" si="150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48"/>
        <v>-4008564086.4237676</v>
      </c>
      <c r="J2432" s="455">
        <f t="array" ref="J2432">IFERROR(INDEX('Retirement Calculator'!J:J,MATCH('Isaac 401k'!N2432,'Retirement Calculator'!A:A,0),0),0)</f>
        <v>0</v>
      </c>
      <c r="K2432" s="455">
        <f t="shared" ca="1" si="146"/>
        <v>-16702350.360099031</v>
      </c>
      <c r="L2432" s="455">
        <f t="shared" ca="1" si="147"/>
        <v>-4025266436.7838664</v>
      </c>
      <c r="M2432" s="471">
        <f t="shared" si="149"/>
        <v>0.05</v>
      </c>
      <c r="N2432" s="475">
        <f t="shared" si="150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48"/>
        <v>-4025266436.7838664</v>
      </c>
      <c r="J2433" s="455">
        <f t="array" ref="J2433">IFERROR(INDEX('Retirement Calculator'!J:J,MATCH('Isaac 401k'!N2433,'Retirement Calculator'!A:A,0),0),0)</f>
        <v>0</v>
      </c>
      <c r="K2433" s="455">
        <f t="shared" ca="1" si="146"/>
        <v>-16771943.486599445</v>
      </c>
      <c r="L2433" s="455">
        <f t="shared" ca="1" si="147"/>
        <v>-4042038380.2704659</v>
      </c>
      <c r="M2433" s="471">
        <f t="shared" si="149"/>
        <v>0.05</v>
      </c>
      <c r="N2433" s="475">
        <f t="shared" si="150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48"/>
        <v>-4042038380.2704659</v>
      </c>
      <c r="J2434" s="455">
        <f t="array" ref="J2434">IFERROR(INDEX('Retirement Calculator'!J:J,MATCH('Isaac 401k'!N2434,'Retirement Calculator'!A:A,0),0),0)</f>
        <v>0</v>
      </c>
      <c r="K2434" s="455">
        <f t="shared" ca="1" si="146"/>
        <v>-16841826.584460273</v>
      </c>
      <c r="L2434" s="455">
        <f t="shared" ca="1" si="147"/>
        <v>-4058880206.8549261</v>
      </c>
      <c r="M2434" s="471">
        <f t="shared" si="149"/>
        <v>0.05</v>
      </c>
      <c r="N2434" s="475">
        <f t="shared" si="150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48"/>
        <v>-4058880206.8549261</v>
      </c>
      <c r="J2435" s="455">
        <f t="array" ref="J2435">IFERROR(INDEX('Retirement Calculator'!J:J,MATCH('Isaac 401k'!N2435,'Retirement Calculator'!A:A,0),0),0)</f>
        <v>0</v>
      </c>
      <c r="K2435" s="455">
        <f t="shared" ca="1" si="146"/>
        <v>-16912000.861895524</v>
      </c>
      <c r="L2435" s="455">
        <f t="shared" ca="1" si="147"/>
        <v>-4075792207.7168217</v>
      </c>
      <c r="M2435" s="471">
        <f t="shared" si="149"/>
        <v>0.05</v>
      </c>
      <c r="N2435" s="475">
        <f t="shared" si="150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48"/>
        <v>-4075792207.7168217</v>
      </c>
      <c r="J2436" s="455">
        <f t="array" ref="J2436">IFERROR(INDEX('Retirement Calculator'!J:J,MATCH('Isaac 401k'!N2436,'Retirement Calculator'!A:A,0),0),0)</f>
        <v>0</v>
      </c>
      <c r="K2436" s="455">
        <f t="shared" ca="1" si="146"/>
        <v>-16982467.532153424</v>
      </c>
      <c r="L2436" s="455">
        <f t="shared" ca="1" si="147"/>
        <v>-4092774675.2489753</v>
      </c>
      <c r="M2436" s="471">
        <f t="shared" si="149"/>
        <v>0.05</v>
      </c>
      <c r="N2436" s="475">
        <f t="shared" si="150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48"/>
        <v>-4092774675.2489753</v>
      </c>
      <c r="J2437" s="455">
        <f t="array" ref="J2437">IFERROR(INDEX('Retirement Calculator'!J:J,MATCH('Isaac 401k'!N2437,'Retirement Calculator'!A:A,0),0),0)</f>
        <v>0</v>
      </c>
      <c r="K2437" s="455">
        <f t="shared" ca="1" si="146"/>
        <v>-17053227.813537396</v>
      </c>
      <c r="L2437" s="455">
        <f t="shared" ca="1" si="147"/>
        <v>-4109827903.0625129</v>
      </c>
      <c r="M2437" s="471">
        <f t="shared" si="149"/>
        <v>0.05</v>
      </c>
      <c r="N2437" s="475">
        <f t="shared" si="150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48"/>
        <v>-4109827903.0625129</v>
      </c>
      <c r="J2438" s="455">
        <f t="array" ref="J2438">IFERROR(INDEX('Retirement Calculator'!J:J,MATCH('Isaac 401k'!N2438,'Retirement Calculator'!A:A,0),0),0)</f>
        <v>0</v>
      </c>
      <c r="K2438" s="455">
        <f t="shared" ca="1" si="146"/>
        <v>-17124282.929427139</v>
      </c>
      <c r="L2438" s="455">
        <f t="shared" ca="1" si="147"/>
        <v>-4126952185.99194</v>
      </c>
      <c r="M2438" s="471">
        <f t="shared" si="149"/>
        <v>0.05</v>
      </c>
      <c r="N2438" s="475">
        <f t="shared" si="150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48"/>
        <v>-4126952185.99194</v>
      </c>
      <c r="J2439" s="455">
        <f t="array" ref="J2439">IFERROR(INDEX('Retirement Calculator'!J:J,MATCH('Isaac 401k'!N2439,'Retirement Calculator'!A:A,0),0),0)</f>
        <v>0</v>
      </c>
      <c r="K2439" s="455">
        <f t="shared" ca="1" si="146"/>
        <v>-17195634.108299751</v>
      </c>
      <c r="L2439" s="455">
        <f t="shared" ca="1" si="147"/>
        <v>-4144147820.1002398</v>
      </c>
      <c r="M2439" s="471">
        <f t="shared" si="149"/>
        <v>0.05</v>
      </c>
      <c r="N2439" s="475">
        <f t="shared" si="150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48"/>
        <v>-4144147820.1002398</v>
      </c>
      <c r="J2440" s="455">
        <f t="array" ref="J2440">IFERROR(INDEX('Retirement Calculator'!J:J,MATCH('Isaac 401k'!N2440,'Retirement Calculator'!A:A,0),0),0)</f>
        <v>0</v>
      </c>
      <c r="K2440" s="455">
        <f t="shared" ca="1" si="146"/>
        <v>-17267282.583751</v>
      </c>
      <c r="L2440" s="455">
        <f t="shared" ca="1" si="147"/>
        <v>-4161415102.683991</v>
      </c>
      <c r="M2440" s="471">
        <f t="shared" si="149"/>
        <v>0.05</v>
      </c>
      <c r="N2440" s="475">
        <f t="shared" si="150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48"/>
        <v>-4161415102.683991</v>
      </c>
      <c r="J2441" s="455">
        <f t="array" ref="J2441">IFERROR(INDEX('Retirement Calculator'!J:J,MATCH('Isaac 401k'!N2441,'Retirement Calculator'!A:A,0),0),0)</f>
        <v>0</v>
      </c>
      <c r="K2441" s="455">
        <f t="shared" ca="1" si="146"/>
        <v>-17339229.594516627</v>
      </c>
      <c r="L2441" s="455">
        <f t="shared" ca="1" si="147"/>
        <v>-4178754332.2785077</v>
      </c>
      <c r="M2441" s="471">
        <f t="shared" si="149"/>
        <v>0.05</v>
      </c>
      <c r="N2441" s="475">
        <f t="shared" si="150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48"/>
        <v>-4178754332.2785077</v>
      </c>
      <c r="J2442" s="455">
        <f t="array" ref="J2442">IFERROR(INDEX('Retirement Calculator'!J:J,MATCH('Isaac 401k'!N2442,'Retirement Calculator'!A:A,0),0),0)</f>
        <v>0</v>
      </c>
      <c r="K2442" s="455">
        <f t="shared" ca="1" si="146"/>
        <v>-17411476.384493783</v>
      </c>
      <c r="L2442" s="455">
        <f t="shared" ca="1" si="147"/>
        <v>-4196165808.6630015</v>
      </c>
      <c r="M2442" s="471">
        <f t="shared" si="149"/>
        <v>0.05</v>
      </c>
      <c r="N2442" s="475">
        <f t="shared" si="150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48"/>
        <v>-4196165808.6630015</v>
      </c>
      <c r="J2443" s="455">
        <f t="array" ref="J2443">IFERROR(INDEX('Retirement Calculator'!J:J,MATCH('Isaac 401k'!N2443,'Retirement Calculator'!A:A,0),0),0)</f>
        <v>0</v>
      </c>
      <c r="K2443" s="455">
        <f t="shared" ca="1" si="146"/>
        <v>-17484024.202762507</v>
      </c>
      <c r="L2443" s="455">
        <f t="shared" ca="1" si="147"/>
        <v>-4213649832.8657641</v>
      </c>
      <c r="M2443" s="471">
        <f t="shared" si="149"/>
        <v>0.05</v>
      </c>
      <c r="N2443" s="475">
        <f t="shared" si="150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48"/>
        <v>-4213649832.8657641</v>
      </c>
      <c r="J2444" s="455">
        <f t="array" ref="J2444">IFERROR(INDEX('Retirement Calculator'!J:J,MATCH('Isaac 401k'!N2444,'Retirement Calculator'!A:A,0),0),0)</f>
        <v>0</v>
      </c>
      <c r="K2444" s="455">
        <f t="shared" ca="1" si="146"/>
        <v>-17556874.303607352</v>
      </c>
      <c r="L2444" s="455">
        <f t="shared" ca="1" si="147"/>
        <v>-4231206707.1693716</v>
      </c>
      <c r="M2444" s="471">
        <f t="shared" si="149"/>
        <v>0.05</v>
      </c>
      <c r="N2444" s="475">
        <f t="shared" si="150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48"/>
        <v>-4231206707.1693716</v>
      </c>
      <c r="J2445" s="455">
        <f t="array" ref="J2445">IFERROR(INDEX('Retirement Calculator'!J:J,MATCH('Isaac 401k'!N2445,'Retirement Calculator'!A:A,0),0),0)</f>
        <v>0</v>
      </c>
      <c r="K2445" s="455">
        <f t="shared" ca="1" si="146"/>
        <v>-17630027.946539048</v>
      </c>
      <c r="L2445" s="455">
        <f t="shared" ca="1" si="147"/>
        <v>-4248836735.1159105</v>
      </c>
      <c r="M2445" s="471">
        <f t="shared" si="149"/>
        <v>0.05</v>
      </c>
      <c r="N2445" s="475">
        <f t="shared" si="150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48"/>
        <v>-4248836735.1159105</v>
      </c>
      <c r="J2446" s="455">
        <f t="array" ref="J2446">IFERROR(INDEX('Retirement Calculator'!J:J,MATCH('Isaac 401k'!N2446,'Retirement Calculator'!A:A,0),0),0)</f>
        <v>0</v>
      </c>
      <c r="K2446" s="455">
        <f t="shared" ca="1" si="146"/>
        <v>-17703486.396316297</v>
      </c>
      <c r="L2446" s="455">
        <f t="shared" ca="1" si="147"/>
        <v>-4266540221.5122271</v>
      </c>
      <c r="M2446" s="471">
        <f t="shared" si="149"/>
        <v>0.05</v>
      </c>
      <c r="N2446" s="475">
        <f t="shared" si="150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48"/>
        <v>-4266540221.5122271</v>
      </c>
      <c r="J2447" s="455">
        <f t="array" ref="J2447">IFERROR(INDEX('Retirement Calculator'!J:J,MATCH('Isaac 401k'!N2447,'Retirement Calculator'!A:A,0),0),0)</f>
        <v>0</v>
      </c>
      <c r="K2447" s="455">
        <f t="shared" ca="1" si="146"/>
        <v>-17777250.922967613</v>
      </c>
      <c r="L2447" s="455">
        <f t="shared" ca="1" si="147"/>
        <v>-4284317472.4351945</v>
      </c>
      <c r="M2447" s="471">
        <f t="shared" si="149"/>
        <v>0.05</v>
      </c>
      <c r="N2447" s="475">
        <f t="shared" si="150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48"/>
        <v>-4284317472.4351945</v>
      </c>
      <c r="J2448" s="455">
        <f t="array" ref="J2448">IFERROR(INDEX('Retirement Calculator'!J:J,MATCH('Isaac 401k'!N2448,'Retirement Calculator'!A:A,0),0),0)</f>
        <v>0</v>
      </c>
      <c r="K2448" s="455">
        <f t="shared" ca="1" si="146"/>
        <v>-17851322.801813308</v>
      </c>
      <c r="L2448" s="455">
        <f t="shared" ca="1" si="147"/>
        <v>-4302168795.2370081</v>
      </c>
      <c r="M2448" s="471">
        <f t="shared" si="149"/>
        <v>0.05</v>
      </c>
      <c r="N2448" s="475">
        <f t="shared" si="150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48"/>
        <v>-4302168795.2370081</v>
      </c>
      <c r="J2449" s="455">
        <f t="array" ref="J2449">IFERROR(INDEX('Retirement Calculator'!J:J,MATCH('Isaac 401k'!N2449,'Retirement Calculator'!A:A,0),0),0)</f>
        <v>0</v>
      </c>
      <c r="K2449" s="455">
        <f t="shared" ca="1" si="146"/>
        <v>-17925703.313487533</v>
      </c>
      <c r="L2449" s="455">
        <f t="shared" ca="1" si="147"/>
        <v>-4320094498.5504961</v>
      </c>
      <c r="M2449" s="471">
        <f t="shared" si="149"/>
        <v>0.05</v>
      </c>
      <c r="N2449" s="475">
        <f t="shared" si="150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48"/>
        <v>-4320094498.5504961</v>
      </c>
      <c r="J2450" s="455">
        <f t="array" ref="J2450">IFERROR(INDEX('Retirement Calculator'!J:J,MATCH('Isaac 401k'!N2450,'Retirement Calculator'!A:A,0),0),0)</f>
        <v>0</v>
      </c>
      <c r="K2450" s="455">
        <f t="shared" ca="1" si="146"/>
        <v>-18000393.743960399</v>
      </c>
      <c r="L2450" s="455">
        <f t="shared" ca="1" si="147"/>
        <v>-4338094892.2944565</v>
      </c>
      <c r="M2450" s="471">
        <f t="shared" si="149"/>
        <v>0.05</v>
      </c>
      <c r="N2450" s="475">
        <f t="shared" si="150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48"/>
        <v>-4338094892.2944565</v>
      </c>
      <c r="J2451" s="455">
        <f t="array" ref="J2451">IFERROR(INDEX('Retirement Calculator'!J:J,MATCH('Isaac 401k'!N2451,'Retirement Calculator'!A:A,0),0),0)</f>
        <v>0</v>
      </c>
      <c r="K2451" s="455">
        <f t="shared" ca="1" si="146"/>
        <v>-18075395.384560235</v>
      </c>
      <c r="L2451" s="455">
        <f t="shared" ca="1" si="147"/>
        <v>-4356170287.6790171</v>
      </c>
      <c r="M2451" s="471">
        <f t="shared" si="149"/>
        <v>0.05</v>
      </c>
      <c r="N2451" s="475">
        <f t="shared" si="150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48"/>
        <v>-4356170287.6790171</v>
      </c>
      <c r="J2452" s="455">
        <f t="array" ref="J2452">IFERROR(INDEX('Retirement Calculator'!J:J,MATCH('Isaac 401k'!N2452,'Retirement Calculator'!A:A,0),0),0)</f>
        <v>0</v>
      </c>
      <c r="K2452" s="455">
        <f t="shared" ca="1" si="146"/>
        <v>-18150709.531995904</v>
      </c>
      <c r="L2452" s="455">
        <f t="shared" ca="1" si="147"/>
        <v>-4374320997.2110128</v>
      </c>
      <c r="M2452" s="471">
        <f t="shared" si="149"/>
        <v>0.05</v>
      </c>
      <c r="N2452" s="475">
        <f t="shared" si="150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48"/>
        <v>-4374320997.2110128</v>
      </c>
      <c r="J2453" s="455">
        <f t="array" ref="J2453">IFERROR(INDEX('Retirement Calculator'!J:J,MATCH('Isaac 401k'!N2453,'Retirement Calculator'!A:A,0),0),0)</f>
        <v>0</v>
      </c>
      <c r="K2453" s="455">
        <f t="shared" ca="1" si="146"/>
        <v>-18226337.488379221</v>
      </c>
      <c r="L2453" s="455">
        <f t="shared" ca="1" si="147"/>
        <v>-4392547334.6993923</v>
      </c>
      <c r="M2453" s="471">
        <f t="shared" si="149"/>
        <v>0.05</v>
      </c>
      <c r="N2453" s="475">
        <f t="shared" si="150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48"/>
        <v>-4392547334.6993923</v>
      </c>
      <c r="J2454" s="455">
        <f t="array" ref="J2454">IFERROR(INDEX('Retirement Calculator'!J:J,MATCH('Isaac 401k'!N2454,'Retirement Calculator'!A:A,0),0),0)</f>
        <v>0</v>
      </c>
      <c r="K2454" s="455">
        <f t="shared" ca="1" si="146"/>
        <v>-18302280.561247468</v>
      </c>
      <c r="L2454" s="455">
        <f t="shared" ca="1" si="147"/>
        <v>-4410849615.2606401</v>
      </c>
      <c r="M2454" s="471">
        <f t="shared" si="149"/>
        <v>0.05</v>
      </c>
      <c r="N2454" s="475">
        <f t="shared" si="150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48"/>
        <v>-4410849615.2606401</v>
      </c>
      <c r="J2455" s="455">
        <f t="array" ref="J2455">IFERROR(INDEX('Retirement Calculator'!J:J,MATCH('Isaac 401k'!N2455,'Retirement Calculator'!A:A,0),0),0)</f>
        <v>0</v>
      </c>
      <c r="K2455" s="455">
        <f t="shared" ca="1" si="146"/>
        <v>-18378540.063586</v>
      </c>
      <c r="L2455" s="455">
        <f t="shared" ca="1" si="147"/>
        <v>-4429228155.3242264</v>
      </c>
      <c r="M2455" s="471">
        <f t="shared" si="149"/>
        <v>0.05</v>
      </c>
      <c r="N2455" s="475">
        <f t="shared" si="150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48"/>
        <v>-4429228155.3242264</v>
      </c>
      <c r="J2456" s="455">
        <f t="array" ref="J2456">IFERROR(INDEX('Retirement Calculator'!J:J,MATCH('Isaac 401k'!N2456,'Retirement Calculator'!A:A,0),0),0)</f>
        <v>0</v>
      </c>
      <c r="K2456" s="455">
        <f t="shared" ca="1" si="146"/>
        <v>-18455117.313850943</v>
      </c>
      <c r="L2456" s="455">
        <f t="shared" ca="1" si="147"/>
        <v>-4447683272.6380777</v>
      </c>
      <c r="M2456" s="471">
        <f t="shared" si="149"/>
        <v>0.05</v>
      </c>
      <c r="N2456" s="475">
        <f t="shared" si="150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48"/>
        <v>-4447683272.6380777</v>
      </c>
      <c r="J2457" s="455">
        <f t="array" ref="J2457">IFERROR(INDEX('Retirement Calculator'!J:J,MATCH('Isaac 401k'!N2457,'Retirement Calculator'!A:A,0),0),0)</f>
        <v>0</v>
      </c>
      <c r="K2457" s="455">
        <f t="shared" ca="1" si="146"/>
        <v>-18532013.635991991</v>
      </c>
      <c r="L2457" s="455">
        <f t="shared" ca="1" si="147"/>
        <v>-4466215286.2740698</v>
      </c>
      <c r="M2457" s="471">
        <f t="shared" si="149"/>
        <v>0.05</v>
      </c>
      <c r="N2457" s="475">
        <f t="shared" si="150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48"/>
        <v>-4466215286.2740698</v>
      </c>
      <c r="J2458" s="455">
        <f t="array" ref="J2458">IFERROR(INDEX('Retirement Calculator'!J:J,MATCH('Isaac 401k'!N2458,'Retirement Calculator'!A:A,0),0),0)</f>
        <v>0</v>
      </c>
      <c r="K2458" s="455">
        <f t="shared" ca="1" si="146"/>
        <v>-18609230.359475292</v>
      </c>
      <c r="L2458" s="455">
        <f t="shared" ca="1" si="147"/>
        <v>-4484824516.6335449</v>
      </c>
      <c r="M2458" s="471">
        <f t="shared" si="149"/>
        <v>0.05</v>
      </c>
      <c r="N2458" s="475">
        <f t="shared" si="150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48"/>
        <v>-4484824516.6335449</v>
      </c>
      <c r="J2459" s="455">
        <f t="array" ref="J2459">IFERROR(INDEX('Retirement Calculator'!J:J,MATCH('Isaac 401k'!N2459,'Retirement Calculator'!A:A,0),0),0)</f>
        <v>0</v>
      </c>
      <c r="K2459" s="455">
        <f t="shared" ca="1" si="146"/>
        <v>-18686768.819306437</v>
      </c>
      <c r="L2459" s="455">
        <f t="shared" ca="1" si="147"/>
        <v>-4503511285.4528513</v>
      </c>
      <c r="M2459" s="471">
        <f t="shared" si="149"/>
        <v>0.05</v>
      </c>
      <c r="N2459" s="475">
        <f t="shared" si="150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48"/>
        <v>-4503511285.4528513</v>
      </c>
      <c r="J2460" s="455">
        <f t="array" ref="J2460">IFERROR(INDEX('Retirement Calculator'!J:J,MATCH('Isaac 401k'!N2460,'Retirement Calculator'!A:A,0),0),0)</f>
        <v>0</v>
      </c>
      <c r="K2460" s="455">
        <f t="shared" ca="1" si="146"/>
        <v>-18764630.356053546</v>
      </c>
      <c r="L2460" s="455">
        <f t="shared" ca="1" si="147"/>
        <v>-4522275915.8089046</v>
      </c>
      <c r="M2460" s="471">
        <f t="shared" si="149"/>
        <v>0.05</v>
      </c>
      <c r="N2460" s="475">
        <f t="shared" si="150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48"/>
        <v>-4522275915.8089046</v>
      </c>
      <c r="J2461" s="455">
        <f t="array" ref="J2461">IFERROR(INDEX('Retirement Calculator'!J:J,MATCH('Isaac 401k'!N2461,'Retirement Calculator'!A:A,0),0),0)</f>
        <v>0</v>
      </c>
      <c r="K2461" s="455">
        <f t="shared" ca="1" si="146"/>
        <v>-18842816.315870434</v>
      </c>
      <c r="L2461" s="455">
        <f t="shared" ca="1" si="147"/>
        <v>-4541118732.1247749</v>
      </c>
      <c r="M2461" s="471">
        <f t="shared" si="149"/>
        <v>0.05</v>
      </c>
      <c r="N2461" s="475">
        <f t="shared" si="150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48"/>
        <v>-4541118732.1247749</v>
      </c>
      <c r="J2462" s="455">
        <f t="array" ref="J2462">IFERROR(INDEX('Retirement Calculator'!J:J,MATCH('Isaac 401k'!N2462,'Retirement Calculator'!A:A,0),0),0)</f>
        <v>0</v>
      </c>
      <c r="K2462" s="455">
        <f t="shared" ca="1" si="146"/>
        <v>-18921328.050519895</v>
      </c>
      <c r="L2462" s="455">
        <f t="shared" ca="1" si="147"/>
        <v>-4560040060.1752949</v>
      </c>
      <c r="M2462" s="471">
        <f t="shared" si="149"/>
        <v>0.05</v>
      </c>
      <c r="N2462" s="475">
        <f t="shared" si="150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48"/>
        <v>-4560040060.1752949</v>
      </c>
      <c r="J2463" s="455">
        <f t="array" ref="J2463">IFERROR(INDEX('Retirement Calculator'!J:J,MATCH('Isaac 401k'!N2463,'Retirement Calculator'!A:A,0),0),0)</f>
        <v>0</v>
      </c>
      <c r="K2463" s="455">
        <f t="shared" ca="1" si="146"/>
        <v>-19000166.917397063</v>
      </c>
      <c r="L2463" s="455">
        <f t="shared" ca="1" si="147"/>
        <v>-4579040227.0926924</v>
      </c>
      <c r="M2463" s="471">
        <f t="shared" si="149"/>
        <v>0.05</v>
      </c>
      <c r="N2463" s="475">
        <f t="shared" si="150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48"/>
        <v>-4579040227.0926924</v>
      </c>
      <c r="J2464" s="455">
        <f t="array" ref="J2464">IFERROR(INDEX('Retirement Calculator'!J:J,MATCH('Isaac 401k'!N2464,'Retirement Calculator'!A:A,0),0),0)</f>
        <v>0</v>
      </c>
      <c r="K2464" s="455">
        <f t="shared" ca="1" si="146"/>
        <v>-19079334.279552884</v>
      </c>
      <c r="L2464" s="455">
        <f t="shared" ca="1" si="147"/>
        <v>-4598119561.3722448</v>
      </c>
      <c r="M2464" s="471">
        <f t="shared" si="149"/>
        <v>0.05</v>
      </c>
      <c r="N2464" s="475">
        <f t="shared" si="150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48"/>
        <v>-4598119561.3722448</v>
      </c>
      <c r="J2465" s="455">
        <f t="array" ref="J2465">IFERROR(INDEX('Retirement Calculator'!J:J,MATCH('Isaac 401k'!N2465,'Retirement Calculator'!A:A,0),0),0)</f>
        <v>0</v>
      </c>
      <c r="K2465" s="455">
        <f t="shared" ca="1" si="146"/>
        <v>-19158831.505717687</v>
      </c>
      <c r="L2465" s="455">
        <f t="shared" ca="1" si="147"/>
        <v>-4617278392.8779621</v>
      </c>
      <c r="M2465" s="471">
        <f t="shared" si="149"/>
        <v>0.05</v>
      </c>
      <c r="N2465" s="475">
        <f t="shared" si="150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48"/>
        <v>-4617278392.8779621</v>
      </c>
      <c r="J2466" s="455">
        <f t="array" ref="J2466">IFERROR(INDEX('Retirement Calculator'!J:J,MATCH('Isaac 401k'!N2466,'Retirement Calculator'!A:A,0),0),0)</f>
        <v>0</v>
      </c>
      <c r="K2466" s="455">
        <f t="shared" ca="1" si="146"/>
        <v>-19238659.97032484</v>
      </c>
      <c r="L2466" s="455">
        <f t="shared" ca="1" si="147"/>
        <v>-4636517052.8482866</v>
      </c>
      <c r="M2466" s="471">
        <f t="shared" si="149"/>
        <v>0.05</v>
      </c>
      <c r="N2466" s="475">
        <f t="shared" si="150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48"/>
        <v>-4636517052.8482866</v>
      </c>
      <c r="J2467" s="455">
        <f t="array" ref="J2467">IFERROR(INDEX('Retirement Calculator'!J:J,MATCH('Isaac 401k'!N2467,'Retirement Calculator'!A:A,0),0),0)</f>
        <v>0</v>
      </c>
      <c r="K2467" s="455">
        <f t="shared" ca="1" si="146"/>
        <v>-19318821.053534526</v>
      </c>
      <c r="L2467" s="455">
        <f t="shared" ca="1" si="147"/>
        <v>-4655835873.9018211</v>
      </c>
      <c r="M2467" s="471">
        <f t="shared" si="149"/>
        <v>0.05</v>
      </c>
      <c r="N2467" s="475">
        <f t="shared" si="150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48"/>
        <v>-4655835873.9018211</v>
      </c>
      <c r="J2468" s="455">
        <f t="array" ref="J2468">IFERROR(INDEX('Retirement Calculator'!J:J,MATCH('Isaac 401k'!N2468,'Retirement Calculator'!A:A,0),0),0)</f>
        <v>0</v>
      </c>
      <c r="K2468" s="455">
        <f t="shared" ca="1" si="146"/>
        <v>-19399316.141257588</v>
      </c>
      <c r="L2468" s="455">
        <f t="shared" ca="1" si="147"/>
        <v>-4675235190.0430784</v>
      </c>
      <c r="M2468" s="471">
        <f t="shared" si="149"/>
        <v>0.05</v>
      </c>
      <c r="N2468" s="475">
        <f t="shared" si="150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48"/>
        <v>-4675235190.0430784</v>
      </c>
      <c r="J2469" s="455">
        <f t="array" ref="J2469">IFERROR(INDEX('Retirement Calculator'!J:J,MATCH('Isaac 401k'!N2469,'Retirement Calculator'!A:A,0),0),0)</f>
        <v>0</v>
      </c>
      <c r="K2469" s="455">
        <f t="shared" ca="1" si="146"/>
        <v>-19480146.625179492</v>
      </c>
      <c r="L2469" s="455">
        <f t="shared" ca="1" si="147"/>
        <v>-4694715336.6682577</v>
      </c>
      <c r="M2469" s="471">
        <f t="shared" si="149"/>
        <v>0.05</v>
      </c>
      <c r="N2469" s="475">
        <f t="shared" si="150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48"/>
        <v>-4694715336.6682577</v>
      </c>
      <c r="J2470" s="455">
        <f t="array" ref="J2470">IFERROR(INDEX('Retirement Calculator'!J:J,MATCH('Isaac 401k'!N2470,'Retirement Calculator'!A:A,0),0),0)</f>
        <v>0</v>
      </c>
      <c r="K2470" s="455">
        <f t="shared" ca="1" si="146"/>
        <v>-19561313.902784407</v>
      </c>
      <c r="L2470" s="455">
        <f t="shared" ca="1" si="147"/>
        <v>-4714276650.5710421</v>
      </c>
      <c r="M2470" s="471">
        <f t="shared" si="149"/>
        <v>0.05</v>
      </c>
      <c r="N2470" s="475">
        <f t="shared" si="150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48"/>
        <v>-4714276650.5710421</v>
      </c>
      <c r="J2471" s="455">
        <f t="array" ref="J2471">IFERROR(INDEX('Retirement Calculator'!J:J,MATCH('Isaac 401k'!N2471,'Retirement Calculator'!A:A,0),0),0)</f>
        <v>0</v>
      </c>
      <c r="K2471" s="455">
        <f t="shared" ca="1" si="146"/>
        <v>-19642819.377379343</v>
      </c>
      <c r="L2471" s="455">
        <f t="shared" ca="1" si="147"/>
        <v>-4733919469.9484215</v>
      </c>
      <c r="M2471" s="471">
        <f t="shared" si="149"/>
        <v>0.05</v>
      </c>
      <c r="N2471" s="475">
        <f t="shared" si="150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48"/>
        <v>-4733919469.9484215</v>
      </c>
      <c r="J2472" s="455">
        <f t="array" ref="J2472">IFERROR(INDEX('Retirement Calculator'!J:J,MATCH('Isaac 401k'!N2472,'Retirement Calculator'!A:A,0),0),0)</f>
        <v>0</v>
      </c>
      <c r="K2472" s="455">
        <f t="shared" ca="1" si="146"/>
        <v>-19724664.458118424</v>
      </c>
      <c r="L2472" s="455">
        <f t="shared" ca="1" si="147"/>
        <v>-4753644134.4065399</v>
      </c>
      <c r="M2472" s="471">
        <f t="shared" si="149"/>
        <v>0.05</v>
      </c>
      <c r="N2472" s="475">
        <f t="shared" si="150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48"/>
        <v>-4753644134.4065399</v>
      </c>
      <c r="J2473" s="455">
        <f t="array" ref="J2473">IFERROR(INDEX('Retirement Calculator'!J:J,MATCH('Isaac 401k'!N2473,'Retirement Calculator'!A:A,0),0),0)</f>
        <v>0</v>
      </c>
      <c r="K2473" s="455">
        <f t="shared" ca="1" si="146"/>
        <v>-19806850.560027249</v>
      </c>
      <c r="L2473" s="455">
        <f t="shared" ca="1" si="147"/>
        <v>-4773450984.966567</v>
      </c>
      <c r="M2473" s="471">
        <f t="shared" si="149"/>
        <v>0.05</v>
      </c>
      <c r="N2473" s="475">
        <f t="shared" si="150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48"/>
        <v>-4773450984.966567</v>
      </c>
      <c r="J2474" s="455">
        <f t="array" ref="J2474">IFERROR(INDEX('Retirement Calculator'!J:J,MATCH('Isaac 401k'!N2474,'Retirement Calculator'!A:A,0),0),0)</f>
        <v>0</v>
      </c>
      <c r="K2474" s="455">
        <f t="shared" ca="1" si="146"/>
        <v>-19889379.104027361</v>
      </c>
      <c r="L2474" s="455">
        <f t="shared" ca="1" si="147"/>
        <v>-4793340364.0705948</v>
      </c>
      <c r="M2474" s="471">
        <f t="shared" si="149"/>
        <v>0.05</v>
      </c>
      <c r="N2474" s="475">
        <f t="shared" si="150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48"/>
        <v>-4793340364.0705948</v>
      </c>
      <c r="J2475" s="455">
        <f t="array" ref="J2475">IFERROR(INDEX('Retirement Calculator'!J:J,MATCH('Isaac 401k'!N2475,'Retirement Calculator'!A:A,0),0),0)</f>
        <v>0</v>
      </c>
      <c r="K2475" s="455">
        <f t="shared" ca="1" si="146"/>
        <v>-19972251.516960811</v>
      </c>
      <c r="L2475" s="455">
        <f t="shared" ca="1" si="147"/>
        <v>-4813312615.5875559</v>
      </c>
      <c r="M2475" s="471">
        <f t="shared" si="149"/>
        <v>0.05</v>
      </c>
      <c r="N2475" s="475">
        <f t="shared" si="150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48"/>
        <v>-4813312615.5875559</v>
      </c>
      <c r="J2476" s="455">
        <f t="array" ref="J2476">IFERROR(INDEX('Retirement Calculator'!J:J,MATCH('Isaac 401k'!N2476,'Retirement Calculator'!A:A,0),0),0)</f>
        <v>0</v>
      </c>
      <c r="K2476" s="455">
        <f t="shared" ca="1" si="146"/>
        <v>-20055469.231614817</v>
      </c>
      <c r="L2476" s="455">
        <f t="shared" ca="1" si="147"/>
        <v>-4833368084.819171</v>
      </c>
      <c r="M2476" s="471">
        <f t="shared" si="149"/>
        <v>0.05</v>
      </c>
      <c r="N2476" s="475">
        <f t="shared" si="150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48"/>
        <v>-4833368084.819171</v>
      </c>
      <c r="J2477" s="455">
        <f t="array" ref="J2477">IFERROR(INDEX('Retirement Calculator'!J:J,MATCH('Isaac 401k'!N2477,'Retirement Calculator'!A:A,0),0),0)</f>
        <v>0</v>
      </c>
      <c r="K2477" s="455">
        <f t="shared" ca="1" si="146"/>
        <v>-20139033.686746545</v>
      </c>
      <c r="L2477" s="455">
        <f t="shared" ca="1" si="147"/>
        <v>-4853507118.5059175</v>
      </c>
      <c r="M2477" s="471">
        <f t="shared" si="149"/>
        <v>0.05</v>
      </c>
      <c r="N2477" s="475">
        <f t="shared" si="150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48"/>
        <v>-4853507118.5059175</v>
      </c>
      <c r="J2478" s="455">
        <f t="array" ref="J2478">IFERROR(INDEX('Retirement Calculator'!J:J,MATCH('Isaac 401k'!N2478,'Retirement Calculator'!A:A,0),0),0)</f>
        <v>0</v>
      </c>
      <c r="K2478" s="455">
        <f t="shared" ca="1" si="146"/>
        <v>-20222946.327107988</v>
      </c>
      <c r="L2478" s="455">
        <f t="shared" ca="1" si="147"/>
        <v>-4873730064.8330259</v>
      </c>
      <c r="M2478" s="471">
        <f t="shared" si="149"/>
        <v>0.05</v>
      </c>
      <c r="N2478" s="475">
        <f t="shared" si="150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48"/>
        <v>-4873730064.8330259</v>
      </c>
      <c r="J2479" s="455">
        <f t="array" ref="J2479">IFERROR(INDEX('Retirement Calculator'!J:J,MATCH('Isaac 401k'!N2479,'Retirement Calculator'!A:A,0),0),0)</f>
        <v>0</v>
      </c>
      <c r="K2479" s="455">
        <f t="shared" ca="1" si="146"/>
        <v>-20307208.60347094</v>
      </c>
      <c r="L2479" s="455">
        <f t="shared" ca="1" si="147"/>
        <v>-4894037273.4364967</v>
      </c>
      <c r="M2479" s="471">
        <f t="shared" si="149"/>
        <v>0.05</v>
      </c>
      <c r="N2479" s="475">
        <f t="shared" si="150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48"/>
        <v>-4894037273.4364967</v>
      </c>
      <c r="J2480" s="455">
        <f t="array" ref="J2480">IFERROR(INDEX('Retirement Calculator'!J:J,MATCH('Isaac 401k'!N2480,'Retirement Calculator'!A:A,0),0),0)</f>
        <v>0</v>
      </c>
      <c r="K2480" s="455">
        <f t="shared" ca="1" si="146"/>
        <v>-20391821.97265207</v>
      </c>
      <c r="L2480" s="455">
        <f t="shared" ca="1" si="147"/>
        <v>-4914429095.4091492</v>
      </c>
      <c r="M2480" s="471">
        <f t="shared" si="149"/>
        <v>0.05</v>
      </c>
      <c r="N2480" s="475">
        <f t="shared" si="150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48"/>
        <v>-4914429095.4091492</v>
      </c>
      <c r="J2481" s="455">
        <f t="array" ref="J2481">IFERROR(INDEX('Retirement Calculator'!J:J,MATCH('Isaac 401k'!N2481,'Retirement Calculator'!A:A,0),0),0)</f>
        <v>0</v>
      </c>
      <c r="K2481" s="455">
        <f t="shared" ca="1" si="146"/>
        <v>-20476787.897538122</v>
      </c>
      <c r="L2481" s="455">
        <f t="shared" ca="1" si="147"/>
        <v>-4934905883.3066874</v>
      </c>
      <c r="M2481" s="471">
        <f t="shared" si="149"/>
        <v>0.05</v>
      </c>
      <c r="N2481" s="475">
        <f t="shared" si="150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48"/>
        <v>-4934905883.3066874</v>
      </c>
      <c r="J2482" s="455">
        <f t="array" ref="J2482">IFERROR(INDEX('Retirement Calculator'!J:J,MATCH('Isaac 401k'!N2482,'Retirement Calculator'!A:A,0),0),0)</f>
        <v>0</v>
      </c>
      <c r="K2482" s="455">
        <f t="shared" ca="1" si="146"/>
        <v>-20562107.847111195</v>
      </c>
      <c r="L2482" s="455">
        <f t="shared" ca="1" si="147"/>
        <v>-4955467991.1537981</v>
      </c>
      <c r="M2482" s="471">
        <f t="shared" si="149"/>
        <v>0.05</v>
      </c>
      <c r="N2482" s="475">
        <f t="shared" si="150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48"/>
        <v>-4955467991.1537981</v>
      </c>
      <c r="J2483" s="455">
        <f t="array" ref="J2483">IFERROR(INDEX('Retirement Calculator'!J:J,MATCH('Isaac 401k'!N2483,'Retirement Calculator'!A:A,0),0),0)</f>
        <v>0</v>
      </c>
      <c r="K2483" s="455">
        <f t="shared" ca="1" si="146"/>
        <v>-20647783.296474159</v>
      </c>
      <c r="L2483" s="455">
        <f t="shared" ca="1" si="147"/>
        <v>-4976115774.4502726</v>
      </c>
      <c r="M2483" s="471">
        <f t="shared" si="149"/>
        <v>0.05</v>
      </c>
      <c r="N2483" s="475">
        <f t="shared" si="150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48"/>
        <v>-4976115774.4502726</v>
      </c>
      <c r="J2484" s="455">
        <f t="array" ref="J2484">IFERROR(INDEX('Retirement Calculator'!J:J,MATCH('Isaac 401k'!N2484,'Retirement Calculator'!A:A,0),0),0)</f>
        <v>0</v>
      </c>
      <c r="K2484" s="455">
        <f t="shared" ca="1" si="146"/>
        <v>-20733815.726876136</v>
      </c>
      <c r="L2484" s="455">
        <f t="shared" ca="1" si="147"/>
        <v>-4996849590.1771488</v>
      </c>
      <c r="M2484" s="471">
        <f t="shared" si="149"/>
        <v>0.05</v>
      </c>
      <c r="N2484" s="475">
        <f t="shared" si="150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48"/>
        <v>-4996849590.1771488</v>
      </c>
      <c r="J2485" s="455">
        <f t="array" ref="J2485">IFERROR(INDEX('Retirement Calculator'!J:J,MATCH('Isaac 401k'!N2485,'Retirement Calculator'!A:A,0),0),0)</f>
        <v>0</v>
      </c>
      <c r="K2485" s="455">
        <f t="shared" ca="1" si="146"/>
        <v>-20820206.625738122</v>
      </c>
      <c r="L2485" s="455">
        <f t="shared" ca="1" si="147"/>
        <v>-5017669796.802887</v>
      </c>
      <c r="M2485" s="471">
        <f t="shared" si="149"/>
        <v>0.05</v>
      </c>
      <c r="N2485" s="475">
        <f t="shared" si="150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48"/>
        <v>-5017669796.802887</v>
      </c>
      <c r="J2486" s="455">
        <f t="array" ref="J2486">IFERROR(INDEX('Retirement Calculator'!J:J,MATCH('Isaac 401k'!N2486,'Retirement Calculator'!A:A,0),0),0)</f>
        <v>0</v>
      </c>
      <c r="K2486" s="455">
        <f t="shared" ca="1" si="146"/>
        <v>-20906957.486678697</v>
      </c>
      <c r="L2486" s="455">
        <f t="shared" ca="1" si="147"/>
        <v>-5038576754.289566</v>
      </c>
      <c r="M2486" s="471">
        <f t="shared" si="149"/>
        <v>0.05</v>
      </c>
      <c r="N2486" s="475">
        <f t="shared" si="150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48"/>
        <v>-5038576754.289566</v>
      </c>
      <c r="J2487" s="455">
        <f t="array" ref="J2487">IFERROR(INDEX('Retirement Calculator'!J:J,MATCH('Isaac 401k'!N2487,'Retirement Calculator'!A:A,0),0),0)</f>
        <v>0</v>
      </c>
      <c r="K2487" s="455">
        <f t="shared" ca="1" si="146"/>
        <v>-20994069.809539858</v>
      </c>
      <c r="L2487" s="455">
        <f t="shared" ca="1" si="147"/>
        <v>-5059570824.0991058</v>
      </c>
      <c r="M2487" s="471">
        <f t="shared" si="149"/>
        <v>0.05</v>
      </c>
      <c r="N2487" s="475">
        <f t="shared" si="150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48"/>
        <v>-5059570824.0991058</v>
      </c>
      <c r="J2488" s="455">
        <f t="array" ref="J2488">IFERROR(INDEX('Retirement Calculator'!J:J,MATCH('Isaac 401k'!N2488,'Retirement Calculator'!A:A,0),0),0)</f>
        <v>0</v>
      </c>
      <c r="K2488" s="455">
        <f t="shared" ca="1" si="146"/>
        <v>-21081545.100412942</v>
      </c>
      <c r="L2488" s="455">
        <f t="shared" ca="1" si="147"/>
        <v>-5080652369.1995192</v>
      </c>
      <c r="M2488" s="471">
        <f t="shared" si="149"/>
        <v>0.05</v>
      </c>
      <c r="N2488" s="475">
        <f t="shared" si="150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48"/>
        <v>-5080652369.1995192</v>
      </c>
      <c r="J2489" s="455">
        <f t="array" ref="J2489">IFERROR(INDEX('Retirement Calculator'!J:J,MATCH('Isaac 401k'!N2489,'Retirement Calculator'!A:A,0),0),0)</f>
        <v>0</v>
      </c>
      <c r="K2489" s="455">
        <f t="shared" ca="1" si="146"/>
        <v>-21169384.871664662</v>
      </c>
      <c r="L2489" s="455">
        <f t="shared" ca="1" si="147"/>
        <v>-5101821754.0711842</v>
      </c>
      <c r="M2489" s="471">
        <f t="shared" si="149"/>
        <v>0.05</v>
      </c>
      <c r="N2489" s="475">
        <f t="shared" si="150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48"/>
        <v>-5101821754.0711842</v>
      </c>
      <c r="J2490" s="455">
        <f t="array" ref="J2490">IFERROR(INDEX('Retirement Calculator'!J:J,MATCH('Isaac 401k'!N2490,'Retirement Calculator'!A:A,0),0),0)</f>
        <v>0</v>
      </c>
      <c r="K2490" s="455">
        <f t="shared" ca="1" si="146"/>
        <v>-21257590.641963266</v>
      </c>
      <c r="L2490" s="455">
        <f t="shared" ca="1" si="147"/>
        <v>-5123079344.7131472</v>
      </c>
      <c r="M2490" s="471">
        <f t="shared" si="149"/>
        <v>0.05</v>
      </c>
      <c r="N2490" s="475">
        <f t="shared" si="150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48"/>
        <v>-5123079344.7131472</v>
      </c>
      <c r="J2491" s="455">
        <f t="array" ref="J2491">IFERROR(INDEX('Retirement Calculator'!J:J,MATCH('Isaac 401k'!N2491,'Retirement Calculator'!A:A,0),0),0)</f>
        <v>0</v>
      </c>
      <c r="K2491" s="455">
        <f t="shared" ca="1" si="146"/>
        <v>-21346163.936304778</v>
      </c>
      <c r="L2491" s="455">
        <f t="shared" ca="1" si="147"/>
        <v>-5144425508.6494522</v>
      </c>
      <c r="M2491" s="471">
        <f t="shared" si="149"/>
        <v>0.05</v>
      </c>
      <c r="N2491" s="475">
        <f t="shared" si="150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48"/>
        <v>-5144425508.6494522</v>
      </c>
      <c r="J2492" s="455">
        <f t="array" ref="J2492">IFERROR(INDEX('Retirement Calculator'!J:J,MATCH('Isaac 401k'!N2492,'Retirement Calculator'!A:A,0),0),0)</f>
        <v>0</v>
      </c>
      <c r="K2492" s="455">
        <f t="shared" ca="1" si="146"/>
        <v>-21435106.286039382</v>
      </c>
      <c r="L2492" s="455">
        <f t="shared" ca="1" si="147"/>
        <v>-5165860614.9354916</v>
      </c>
      <c r="M2492" s="471">
        <f t="shared" si="149"/>
        <v>0.05</v>
      </c>
      <c r="N2492" s="475">
        <f t="shared" si="150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48"/>
        <v>-5165860614.9354916</v>
      </c>
      <c r="J2493" s="455">
        <f t="array" ref="J2493">IFERROR(INDEX('Retirement Calculator'!J:J,MATCH('Isaac 401k'!N2493,'Retirement Calculator'!A:A,0),0),0)</f>
        <v>0</v>
      </c>
      <c r="K2493" s="455">
        <f t="shared" ca="1" si="146"/>
        <v>-21524419.228897881</v>
      </c>
      <c r="L2493" s="455">
        <f t="shared" ca="1" si="147"/>
        <v>-5187385034.1643896</v>
      </c>
      <c r="M2493" s="471">
        <f t="shared" si="149"/>
        <v>0.05</v>
      </c>
      <c r="N2493" s="475">
        <f t="shared" si="150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48"/>
        <v>-5187385034.1643896</v>
      </c>
      <c r="J2494" s="455">
        <f t="array" ref="J2494">IFERROR(INDEX('Retirement Calculator'!J:J,MATCH('Isaac 401k'!N2494,'Retirement Calculator'!A:A,0),0),0)</f>
        <v>0</v>
      </c>
      <c r="K2494" s="455">
        <f t="shared" ca="1" si="146"/>
        <v>-21614104.309018292</v>
      </c>
      <c r="L2494" s="455">
        <f t="shared" ca="1" si="147"/>
        <v>-5208999138.4734077</v>
      </c>
      <c r="M2494" s="471">
        <f t="shared" si="149"/>
        <v>0.05</v>
      </c>
      <c r="N2494" s="475">
        <f t="shared" si="150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48"/>
        <v>-5208999138.4734077</v>
      </c>
      <c r="J2495" s="455">
        <f t="array" ref="J2495">IFERROR(INDEX('Retirement Calculator'!J:J,MATCH('Isaac 401k'!N2495,'Retirement Calculator'!A:A,0),0),0)</f>
        <v>0</v>
      </c>
      <c r="K2495" s="455">
        <f t="shared" ca="1" si="146"/>
        <v>-21704163.076972533</v>
      </c>
      <c r="L2495" s="455">
        <f t="shared" ca="1" si="147"/>
        <v>-5230703301.5503807</v>
      </c>
      <c r="M2495" s="471">
        <f t="shared" si="149"/>
        <v>0.05</v>
      </c>
      <c r="N2495" s="475">
        <f t="shared" si="150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48"/>
        <v>-5230703301.5503807</v>
      </c>
      <c r="J2496" s="455">
        <f t="array" ref="J2496">IFERROR(INDEX('Retirement Calculator'!J:J,MATCH('Isaac 401k'!N2496,'Retirement Calculator'!A:A,0),0),0)</f>
        <v>0</v>
      </c>
      <c r="K2496" s="455">
        <f t="shared" ca="1" si="146"/>
        <v>-21794597.089793254</v>
      </c>
      <c r="L2496" s="455">
        <f t="shared" ca="1" si="147"/>
        <v>-5252497898.6401739</v>
      </c>
      <c r="M2496" s="471">
        <f t="shared" si="149"/>
        <v>0.05</v>
      </c>
      <c r="N2496" s="475">
        <f t="shared" si="150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48"/>
        <v>-5252497898.6401739</v>
      </c>
      <c r="J2497" s="455">
        <f t="array" ref="J2497">IFERROR(INDEX('Retirement Calculator'!J:J,MATCH('Isaac 401k'!N2497,'Retirement Calculator'!A:A,0),0),0)</f>
        <v>0</v>
      </c>
      <c r="K2497" s="455">
        <f t="shared" ca="1" si="146"/>
        <v>-21885407.911000725</v>
      </c>
      <c r="L2497" s="455">
        <f t="shared" ca="1" si="147"/>
        <v>-5274383306.5511742</v>
      </c>
      <c r="M2497" s="471">
        <f t="shared" si="149"/>
        <v>0.05</v>
      </c>
      <c r="N2497" s="475">
        <f t="shared" si="150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48"/>
        <v>-5274383306.5511742</v>
      </c>
      <c r="J2498" s="455">
        <f t="array" ref="J2498">IFERROR(INDEX('Retirement Calculator'!J:J,MATCH('Isaac 401k'!N2498,'Retirement Calculator'!A:A,0),0),0)</f>
        <v>0</v>
      </c>
      <c r="K2498" s="455">
        <f t="shared" ca="1" si="146"/>
        <v>-21976597.110629894</v>
      </c>
      <c r="L2498" s="455">
        <f t="shared" ca="1" si="147"/>
        <v>-5296359903.6618042</v>
      </c>
      <c r="M2498" s="471">
        <f t="shared" si="149"/>
        <v>0.05</v>
      </c>
      <c r="N2498" s="475">
        <f t="shared" si="150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48"/>
        <v>-5296359903.6618042</v>
      </c>
      <c r="J2499" s="455">
        <f t="array" ref="J2499">IFERROR(INDEX('Retirement Calculator'!J:J,MATCH('Isaac 401k'!N2499,'Retirement Calculator'!A:A,0),0),0)</f>
        <v>0</v>
      </c>
      <c r="K2499" s="455">
        <f t="shared" ca="1" si="146"/>
        <v>-22068166.265257519</v>
      </c>
      <c r="L2499" s="455">
        <f t="shared" ca="1" si="147"/>
        <v>-5318428069.927062</v>
      </c>
      <c r="M2499" s="471">
        <f t="shared" si="149"/>
        <v>0.05</v>
      </c>
      <c r="N2499" s="475">
        <f t="shared" si="150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48"/>
        <v>-5318428069.927062</v>
      </c>
      <c r="J2500" s="455">
        <f t="array" ref="J2500">IFERROR(INDEX('Retirement Calculator'!J:J,MATCH('Isaac 401k'!N2500,'Retirement Calculator'!A:A,0),0),0)</f>
        <v>0</v>
      </c>
      <c r="K2500" s="455">
        <f t="shared" ca="1" si="146"/>
        <v>-22160116.958029427</v>
      </c>
      <c r="L2500" s="455">
        <f t="shared" ca="1" si="147"/>
        <v>-5340588186.8850918</v>
      </c>
      <c r="M2500" s="471">
        <f t="shared" si="149"/>
        <v>0.05</v>
      </c>
      <c r="N2500" s="475">
        <f t="shared" si="150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48"/>
        <v>-5340588186.8850918</v>
      </c>
      <c r="J2501" s="455">
        <f t="array" ref="J2501">IFERROR(INDEX('Retirement Calculator'!J:J,MATCH('Isaac 401k'!N2501,'Retirement Calculator'!A:A,0),0),0)</f>
        <v>0</v>
      </c>
      <c r="K2501" s="455">
        <f t="shared" ca="1" si="146"/>
        <v>-22252450.778687883</v>
      </c>
      <c r="L2501" s="455">
        <f t="shared" ca="1" si="147"/>
        <v>-5362840637.6637793</v>
      </c>
      <c r="M2501" s="471">
        <f t="shared" si="149"/>
        <v>0.05</v>
      </c>
      <c r="N2501" s="475">
        <f t="shared" si="150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48"/>
        <v>-5362840637.6637793</v>
      </c>
      <c r="J2502" s="455">
        <f t="array" ref="J2502">IFERROR(INDEX('Retirement Calculator'!J:J,MATCH('Isaac 401k'!N2502,'Retirement Calculator'!A:A,0),0),0)</f>
        <v>0</v>
      </c>
      <c r="K2502" s="455">
        <f t="shared" ca="1" si="146"/>
        <v>-22345169.323599081</v>
      </c>
      <c r="L2502" s="455">
        <f t="shared" ca="1" si="147"/>
        <v>-5385185806.9873781</v>
      </c>
      <c r="M2502" s="471">
        <f t="shared" si="149"/>
        <v>0.05</v>
      </c>
      <c r="N2502" s="475">
        <f t="shared" si="150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48"/>
        <v>-5385185806.9873781</v>
      </c>
      <c r="J2503" s="455">
        <f t="array" ref="J2503">IFERROR(INDEX('Retirement Calculator'!J:J,MATCH('Isaac 401k'!N2503,'Retirement Calculator'!A:A,0),0),0)</f>
        <v>0</v>
      </c>
      <c r="K2503" s="455">
        <f t="shared" ca="1" si="146"/>
        <v>-22438274.195780743</v>
      </c>
      <c r="L2503" s="455">
        <f t="shared" ca="1" si="147"/>
        <v>-5407624081.1831589</v>
      </c>
      <c r="M2503" s="471">
        <f t="shared" si="149"/>
        <v>0.05</v>
      </c>
      <c r="N2503" s="475">
        <f t="shared" si="150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48"/>
        <v>-5407624081.1831589</v>
      </c>
      <c r="J2504" s="455">
        <f t="array" ref="J2504">IFERROR(INDEX('Retirement Calculator'!J:J,MATCH('Isaac 401k'!N2504,'Retirement Calculator'!A:A,0),0),0)</f>
        <v>0</v>
      </c>
      <c r="K2504" s="455">
        <f t="shared" ca="1" si="146"/>
        <v>-22531767.004929829</v>
      </c>
      <c r="L2504" s="455">
        <f t="shared" ca="1" si="147"/>
        <v>-5430155848.1880884</v>
      </c>
      <c r="M2504" s="471">
        <f t="shared" si="149"/>
        <v>0.05</v>
      </c>
      <c r="N2504" s="475">
        <f t="shared" si="150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48"/>
        <v>-5430155848.1880884</v>
      </c>
      <c r="J2505" s="455">
        <f t="array" ref="J2505">IFERROR(INDEX('Retirement Calculator'!J:J,MATCH('Isaac 401k'!N2505,'Retirement Calculator'!A:A,0),0),0)</f>
        <v>0</v>
      </c>
      <c r="K2505" s="455">
        <f t="shared" ca="1" si="146"/>
        <v>-22625649.367450368</v>
      </c>
      <c r="L2505" s="455">
        <f t="shared" ca="1" si="147"/>
        <v>-5452781497.5555391</v>
      </c>
      <c r="M2505" s="471">
        <f t="shared" si="149"/>
        <v>0.05</v>
      </c>
      <c r="N2505" s="475">
        <f t="shared" si="150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48"/>
        <v>-5452781497.5555391</v>
      </c>
      <c r="J2506" s="455">
        <f t="array" ref="J2506">IFERROR(INDEX('Retirement Calculator'!J:J,MATCH('Isaac 401k'!N2506,'Retirement Calculator'!A:A,0),0),0)</f>
        <v>0</v>
      </c>
      <c r="K2506" s="455">
        <f t="shared" ca="1" si="146"/>
        <v>-22719922.906481411</v>
      </c>
      <c r="L2506" s="455">
        <f t="shared" ca="1" si="147"/>
        <v>-5475501420.4620209</v>
      </c>
      <c r="M2506" s="471">
        <f t="shared" si="149"/>
        <v>0.05</v>
      </c>
      <c r="N2506" s="475">
        <f t="shared" si="150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48"/>
        <v>-5475501420.4620209</v>
      </c>
      <c r="J2507" s="455">
        <f t="array" ref="J2507">IFERROR(INDEX('Retirement Calculator'!J:J,MATCH('Isaac 401k'!N2507,'Retirement Calculator'!A:A,0),0),0)</f>
        <v>0</v>
      </c>
      <c r="K2507" s="455">
        <f t="shared" ca="1" si="146"/>
        <v>-22814589.251925088</v>
      </c>
      <c r="L2507" s="455">
        <f t="shared" ca="1" si="147"/>
        <v>-5498316009.7139463</v>
      </c>
      <c r="M2507" s="471">
        <f t="shared" si="149"/>
        <v>0.05</v>
      </c>
      <c r="N2507" s="475">
        <f t="shared" si="150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48"/>
        <v>-5498316009.7139463</v>
      </c>
      <c r="J2508" s="455">
        <f t="array" ref="J2508">IFERROR(INDEX('Retirement Calculator'!J:J,MATCH('Isaac 401k'!N2508,'Retirement Calculator'!A:A,0),0),0)</f>
        <v>0</v>
      </c>
      <c r="K2508" s="455">
        <f t="shared" ca="1" si="146"/>
        <v>-22909650.040474776</v>
      </c>
      <c r="L2508" s="455">
        <f t="shared" ca="1" si="147"/>
        <v>-5521225659.7544212</v>
      </c>
      <c r="M2508" s="471">
        <f t="shared" si="149"/>
        <v>0.05</v>
      </c>
      <c r="N2508" s="475">
        <f t="shared" si="150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48"/>
        <v>-5521225659.7544212</v>
      </c>
      <c r="J2509" s="455">
        <f t="array" ref="J2509">IFERROR(INDEX('Retirement Calculator'!J:J,MATCH('Isaac 401k'!N2509,'Retirement Calculator'!A:A,0),0),0)</f>
        <v>0</v>
      </c>
      <c r="K2509" s="455">
        <f t="shared" ca="1" si="146"/>
        <v>-23005106.91564342</v>
      </c>
      <c r="L2509" s="455">
        <f t="shared" ca="1" si="147"/>
        <v>-5544230766.6700649</v>
      </c>
      <c r="M2509" s="471">
        <f t="shared" si="149"/>
        <v>0.05</v>
      </c>
      <c r="N2509" s="475">
        <f t="shared" si="150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48"/>
        <v>-5544230766.6700649</v>
      </c>
      <c r="J2510" s="455">
        <f t="array" ref="J2510">IFERROR(INDEX('Retirement Calculator'!J:J,MATCH('Isaac 401k'!N2510,'Retirement Calculator'!A:A,0),0),0)</f>
        <v>0</v>
      </c>
      <c r="K2510" s="455">
        <f t="shared" ca="1" si="146"/>
        <v>-23100961.527791936</v>
      </c>
      <c r="L2510" s="455">
        <f t="shared" ca="1" si="147"/>
        <v>-5567331728.1978569</v>
      </c>
      <c r="M2510" s="471">
        <f t="shared" si="149"/>
        <v>0.05</v>
      </c>
      <c r="N2510" s="475">
        <f t="shared" si="150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48"/>
        <v>-5567331728.1978569</v>
      </c>
      <c r="J2511" s="455">
        <f t="array" ref="J2511">IFERROR(INDEX('Retirement Calculator'!J:J,MATCH('Isaac 401k'!N2511,'Retirement Calculator'!A:A,0),0),0)</f>
        <v>0</v>
      </c>
      <c r="K2511" s="455">
        <f t="shared" ca="1" si="146"/>
        <v>-23197215.534157738</v>
      </c>
      <c r="L2511" s="455">
        <f t="shared" ca="1" si="147"/>
        <v>-5590528943.7320147</v>
      </c>
      <c r="M2511" s="471">
        <f t="shared" si="149"/>
        <v>0.05</v>
      </c>
      <c r="N2511" s="475">
        <f t="shared" si="150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48"/>
        <v>-5590528943.7320147</v>
      </c>
      <c r="J2512" s="455">
        <f t="array" ref="J2512">IFERROR(INDEX('Retirement Calculator'!J:J,MATCH('Isaac 401k'!N2512,'Retirement Calculator'!A:A,0),0),0)</f>
        <v>0</v>
      </c>
      <c r="K2512" s="455">
        <f t="shared" ca="1" si="146"/>
        <v>-23293870.598883394</v>
      </c>
      <c r="L2512" s="455">
        <f t="shared" ca="1" si="147"/>
        <v>-5613822814.3308983</v>
      </c>
      <c r="M2512" s="471">
        <f t="shared" si="149"/>
        <v>0.05</v>
      </c>
      <c r="N2512" s="475">
        <f t="shared" si="150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48"/>
        <v>-5613822814.3308983</v>
      </c>
      <c r="J2513" s="455">
        <f t="array" ref="J2513">IFERROR(INDEX('Retirement Calculator'!J:J,MATCH('Isaac 401k'!N2513,'Retirement Calculator'!A:A,0),0),0)</f>
        <v>0</v>
      </c>
      <c r="K2513" s="455">
        <f t="shared" ca="1" si="146"/>
        <v>-23390928.393045411</v>
      </c>
      <c r="L2513" s="455">
        <f t="shared" ca="1" si="147"/>
        <v>-5637213742.7239437</v>
      </c>
      <c r="M2513" s="471">
        <f t="shared" si="149"/>
        <v>0.05</v>
      </c>
      <c r="N2513" s="475">
        <f t="shared" si="150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48"/>
        <v>-5637213742.7239437</v>
      </c>
      <c r="J2514" s="455">
        <f t="array" ref="J2514">IFERROR(INDEX('Retirement Calculator'!J:J,MATCH('Isaac 401k'!N2514,'Retirement Calculator'!A:A,0),0),0)</f>
        <v>0</v>
      </c>
      <c r="K2514" s="455">
        <f t="shared" ca="1" si="146"/>
        <v>-23488390.5946831</v>
      </c>
      <c r="L2514" s="455">
        <f t="shared" ca="1" si="147"/>
        <v>-5660702133.3186264</v>
      </c>
      <c r="M2514" s="471">
        <f t="shared" si="149"/>
        <v>0.05</v>
      </c>
      <c r="N2514" s="475">
        <f t="shared" si="150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48"/>
        <v>-5660702133.3186264</v>
      </c>
      <c r="J2515" s="455">
        <f t="array" ref="J2515">IFERROR(INDEX('Retirement Calculator'!J:J,MATCH('Isaac 401k'!N2515,'Retirement Calculator'!A:A,0),0),0)</f>
        <v>0</v>
      </c>
      <c r="K2515" s="455">
        <f t="shared" ca="1" si="146"/>
        <v>-23586258.888827611</v>
      </c>
      <c r="L2515" s="455">
        <f t="shared" ca="1" si="147"/>
        <v>-5684288392.2074537</v>
      </c>
      <c r="M2515" s="471">
        <f t="shared" si="149"/>
        <v>0.05</v>
      </c>
      <c r="N2515" s="475">
        <f t="shared" si="150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48"/>
        <v>-5684288392.2074537</v>
      </c>
      <c r="J2516" s="455">
        <f t="array" ref="J2516">IFERROR(INDEX('Retirement Calculator'!J:J,MATCH('Isaac 401k'!N2516,'Retirement Calculator'!A:A,0),0),0)</f>
        <v>0</v>
      </c>
      <c r="K2516" s="455">
        <f t="shared" ca="1" si="146"/>
        <v>-23684534.967531055</v>
      </c>
      <c r="L2516" s="455">
        <f t="shared" ca="1" si="147"/>
        <v>-5707972927.1749849</v>
      </c>
      <c r="M2516" s="471">
        <f t="shared" si="149"/>
        <v>0.05</v>
      </c>
      <c r="N2516" s="475">
        <f t="shared" si="150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48"/>
        <v>-5707972927.1749849</v>
      </c>
      <c r="J2517" s="455">
        <f t="array" ref="J2517">IFERROR(INDEX('Retirement Calculator'!J:J,MATCH('Isaac 401k'!N2517,'Retirement Calculator'!A:A,0),0),0)</f>
        <v>0</v>
      </c>
      <c r="K2517" s="455">
        <f t="shared" ca="1" si="146"/>
        <v>-23783220.529895771</v>
      </c>
      <c r="L2517" s="455">
        <f t="shared" ca="1" si="147"/>
        <v>-5731756147.7048807</v>
      </c>
      <c r="M2517" s="471">
        <f t="shared" si="149"/>
        <v>0.05</v>
      </c>
      <c r="N2517" s="475">
        <f t="shared" si="150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48"/>
        <v>-5731756147.7048807</v>
      </c>
      <c r="J2518" s="455">
        <f t="array" ref="J2518">IFERROR(INDEX('Retirement Calculator'!J:J,MATCH('Isaac 401k'!N2518,'Retirement Calculator'!A:A,0),0),0)</f>
        <v>0</v>
      </c>
      <c r="K2518" s="455">
        <f t="shared" ca="1" si="146"/>
        <v>-23882317.282103669</v>
      </c>
      <c r="L2518" s="455">
        <f t="shared" ca="1" si="147"/>
        <v>-5755638464.9869843</v>
      </c>
      <c r="M2518" s="471">
        <f t="shared" si="149"/>
        <v>0.05</v>
      </c>
      <c r="N2518" s="475">
        <f t="shared" si="150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48"/>
        <v>-5755638464.9869843</v>
      </c>
      <c r="J2519" s="455">
        <f t="array" ref="J2519">IFERROR(INDEX('Retirement Calculator'!J:J,MATCH('Isaac 401k'!N2519,'Retirement Calculator'!A:A,0),0),0)</f>
        <v>0</v>
      </c>
      <c r="K2519" s="455">
        <f t="shared" ca="1" si="146"/>
        <v>-23981826.937445767</v>
      </c>
      <c r="L2519" s="455">
        <f t="shared" ca="1" si="147"/>
        <v>-5779620291.9244299</v>
      </c>
      <c r="M2519" s="471">
        <f t="shared" si="149"/>
        <v>0.05</v>
      </c>
      <c r="N2519" s="475">
        <f t="shared" si="150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48"/>
        <v>-5779620291.9244299</v>
      </c>
      <c r="J2520" s="455">
        <f t="array" ref="J2520">IFERROR(INDEX('Retirement Calculator'!J:J,MATCH('Isaac 401k'!N2520,'Retirement Calculator'!A:A,0),0),0)</f>
        <v>0</v>
      </c>
      <c r="K2520" s="455">
        <f t="shared" ca="1" si="146"/>
        <v>-24081751.216351792</v>
      </c>
      <c r="L2520" s="455">
        <f t="shared" ca="1" si="147"/>
        <v>-5803702043.1407814</v>
      </c>
      <c r="M2520" s="471">
        <f t="shared" si="149"/>
        <v>0.05</v>
      </c>
      <c r="N2520" s="475">
        <f t="shared" si="150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48"/>
        <v>-5803702043.1407814</v>
      </c>
      <c r="J2521" s="455">
        <f t="array" ref="J2521">IFERROR(INDEX('Retirement Calculator'!J:J,MATCH('Isaac 401k'!N2521,'Retirement Calculator'!A:A,0),0),0)</f>
        <v>0</v>
      </c>
      <c r="K2521" s="455">
        <f t="shared" ca="1" si="146"/>
        <v>-24182091.846419923</v>
      </c>
      <c r="L2521" s="455">
        <f t="shared" ca="1" si="147"/>
        <v>-5827884134.9872017</v>
      </c>
      <c r="M2521" s="471">
        <f t="shared" si="149"/>
        <v>0.05</v>
      </c>
      <c r="N2521" s="475">
        <f t="shared" si="150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48"/>
        <v>-5827884134.9872017</v>
      </c>
      <c r="J2522" s="455">
        <f t="array" ref="J2522">IFERROR(INDEX('Retirement Calculator'!J:J,MATCH('Isaac 401k'!N2522,'Retirement Calculator'!A:A,0),0),0)</f>
        <v>0</v>
      </c>
      <c r="K2522" s="455">
        <f t="shared" ca="1" si="146"/>
        <v>-24282850.562446672</v>
      </c>
      <c r="L2522" s="455">
        <f t="shared" ca="1" si="147"/>
        <v>-5852166985.5496483</v>
      </c>
      <c r="M2522" s="471">
        <f t="shared" si="149"/>
        <v>0.05</v>
      </c>
      <c r="N2522" s="475">
        <f t="shared" si="150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48"/>
        <v>-5852166985.5496483</v>
      </c>
      <c r="J2523" s="455">
        <f t="array" ref="J2523">IFERROR(INDEX('Retirement Calculator'!J:J,MATCH('Isaac 401k'!N2523,'Retirement Calculator'!A:A,0),0),0)</f>
        <v>0</v>
      </c>
      <c r="K2523" s="455">
        <f t="shared" ca="1" si="146"/>
        <v>-24384029.106456868</v>
      </c>
      <c r="L2523" s="455">
        <f t="shared" ca="1" si="147"/>
        <v>-5876551014.656105</v>
      </c>
      <c r="M2523" s="471">
        <f t="shared" si="149"/>
        <v>0.05</v>
      </c>
      <c r="N2523" s="475">
        <f t="shared" si="150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48"/>
        <v>-5876551014.656105</v>
      </c>
      <c r="J2524" s="455">
        <f t="array" ref="J2524">IFERROR(INDEX('Retirement Calculator'!J:J,MATCH('Isaac 401k'!N2524,'Retirement Calculator'!A:A,0),0),0)</f>
        <v>0</v>
      </c>
      <c r="K2524" s="455">
        <f t="shared" ca="1" si="146"/>
        <v>-24485629.227733772</v>
      </c>
      <c r="L2524" s="455">
        <f t="shared" ca="1" si="147"/>
        <v>-5901036643.8838387</v>
      </c>
      <c r="M2524" s="471">
        <f t="shared" si="149"/>
        <v>0.05</v>
      </c>
      <c r="N2524" s="475">
        <f t="shared" si="150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48"/>
        <v>-5901036643.8838387</v>
      </c>
      <c r="J2525" s="455">
        <f t="array" ref="J2525">IFERROR(INDEX('Retirement Calculator'!J:J,MATCH('Isaac 401k'!N2525,'Retirement Calculator'!A:A,0),0),0)</f>
        <v>0</v>
      </c>
      <c r="K2525" s="455">
        <f t="shared" ca="1" si="146"/>
        <v>-24587652.682849329</v>
      </c>
      <c r="L2525" s="455">
        <f t="shared" ca="1" si="147"/>
        <v>-5925624296.5666876</v>
      </c>
      <c r="M2525" s="471">
        <f t="shared" si="149"/>
        <v>0.05</v>
      </c>
      <c r="N2525" s="475">
        <f t="shared" si="150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48"/>
        <v>-5925624296.5666876</v>
      </c>
      <c r="J2526" s="455">
        <f t="array" ref="J2526">IFERROR(INDEX('Retirement Calculator'!J:J,MATCH('Isaac 401k'!N2526,'Retirement Calculator'!A:A,0),0),0)</f>
        <v>0</v>
      </c>
      <c r="K2526" s="455">
        <f t="shared" ca="1" si="146"/>
        <v>-24690101.235694531</v>
      </c>
      <c r="L2526" s="455">
        <f t="shared" ca="1" si="147"/>
        <v>-5950314397.8023825</v>
      </c>
      <c r="M2526" s="471">
        <f t="shared" si="149"/>
        <v>0.05</v>
      </c>
      <c r="N2526" s="475">
        <f t="shared" si="150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48"/>
        <v>-5950314397.8023825</v>
      </c>
      <c r="J2527" s="455">
        <f t="array" ref="J2527">IFERROR(INDEX('Retirement Calculator'!J:J,MATCH('Isaac 401k'!N2527,'Retirement Calculator'!A:A,0),0),0)</f>
        <v>0</v>
      </c>
      <c r="K2527" s="455">
        <f t="shared" ca="1" si="146"/>
        <v>-24792976.657509927</v>
      </c>
      <c r="L2527" s="455">
        <f t="shared" ca="1" si="147"/>
        <v>-5975107374.4598923</v>
      </c>
      <c r="M2527" s="471">
        <f t="shared" si="149"/>
        <v>0.05</v>
      </c>
      <c r="N2527" s="475">
        <f t="shared" si="150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48"/>
        <v>-5975107374.4598923</v>
      </c>
      <c r="J2528" s="455">
        <f t="array" ref="J2528">IFERROR(INDEX('Retirement Calculator'!J:J,MATCH('Isaac 401k'!N2528,'Retirement Calculator'!A:A,0),0),0)</f>
        <v>0</v>
      </c>
      <c r="K2528" s="455">
        <f t="shared" ca="1" si="146"/>
        <v>-24896280.726916216</v>
      </c>
      <c r="L2528" s="455">
        <f t="shared" ca="1" si="147"/>
        <v>-6000003655.1868086</v>
      </c>
      <c r="M2528" s="471">
        <f t="shared" si="149"/>
        <v>0.05</v>
      </c>
      <c r="N2528" s="475">
        <f t="shared" si="150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48"/>
        <v>-6000003655.1868086</v>
      </c>
      <c r="J2529" s="455">
        <f t="array" ref="J2529">IFERROR(INDEX('Retirement Calculator'!J:J,MATCH('Isaac 401k'!N2529,'Retirement Calculator'!A:A,0),0),0)</f>
        <v>0</v>
      </c>
      <c r="K2529" s="455">
        <f t="shared" ca="1" si="146"/>
        <v>-25000015.229945034</v>
      </c>
      <c r="L2529" s="455">
        <f t="shared" ca="1" si="147"/>
        <v>-6025003670.4167538</v>
      </c>
      <c r="M2529" s="471">
        <f t="shared" si="149"/>
        <v>0.05</v>
      </c>
      <c r="N2529" s="475">
        <f t="shared" si="150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48"/>
        <v>-6025003670.4167538</v>
      </c>
      <c r="J2530" s="455">
        <f t="array" ref="J2530">IFERROR(INDEX('Retirement Calculator'!J:J,MATCH('Isaac 401k'!N2530,'Retirement Calculator'!A:A,0),0),0)</f>
        <v>0</v>
      </c>
      <c r="K2530" s="455">
        <f t="shared" ca="1" si="146"/>
        <v>-25104181.960069805</v>
      </c>
      <c r="L2530" s="455">
        <f t="shared" ca="1" si="147"/>
        <v>-6050107852.3768234</v>
      </c>
      <c r="M2530" s="471">
        <f t="shared" si="149"/>
        <v>0.05</v>
      </c>
      <c r="N2530" s="475">
        <f t="shared" si="150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48"/>
        <v>-6050107852.3768234</v>
      </c>
      <c r="J2531" s="455">
        <f t="array" ref="J2531">IFERROR(INDEX('Retirement Calculator'!J:J,MATCH('Isaac 401k'!N2531,'Retirement Calculator'!A:A,0),0),0)</f>
        <v>0</v>
      </c>
      <c r="K2531" s="455">
        <f t="shared" ca="1" si="146"/>
        <v>-25208782.718236763</v>
      </c>
      <c r="L2531" s="455">
        <f t="shared" ca="1" si="147"/>
        <v>-6075316635.0950603</v>
      </c>
      <c r="M2531" s="471">
        <f t="shared" si="149"/>
        <v>0.05</v>
      </c>
      <c r="N2531" s="475">
        <f t="shared" si="150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48"/>
        <v>-6075316635.0950603</v>
      </c>
      <c r="J2532" s="455">
        <f t="array" ref="J2532">IFERROR(INDEX('Retirement Calculator'!J:J,MATCH('Isaac 401k'!N2532,'Retirement Calculator'!A:A,0),0),0)</f>
        <v>0</v>
      </c>
      <c r="K2532" s="455">
        <f t="shared" ca="1" si="146"/>
        <v>-25313819.312896084</v>
      </c>
      <c r="L2532" s="455">
        <f t="shared" ca="1" si="147"/>
        <v>-6100630454.4079561</v>
      </c>
      <c r="M2532" s="471">
        <f t="shared" si="149"/>
        <v>0.05</v>
      </c>
      <c r="N2532" s="475">
        <f t="shared" si="150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48"/>
        <v>-6100630454.4079561</v>
      </c>
      <c r="J2533" s="455">
        <f t="array" ref="J2533">IFERROR(INDEX('Retirement Calculator'!J:J,MATCH('Isaac 401k'!N2533,'Retirement Calculator'!A:A,0),0),0)</f>
        <v>0</v>
      </c>
      <c r="K2533" s="455">
        <f t="shared" ca="1" si="146"/>
        <v>-25419293.56003315</v>
      </c>
      <c r="L2533" s="455">
        <f t="shared" ca="1" si="147"/>
        <v>-6126049747.967989</v>
      </c>
      <c r="M2533" s="471">
        <f t="shared" si="149"/>
        <v>0.05</v>
      </c>
      <c r="N2533" s="475">
        <f t="shared" si="150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48"/>
        <v>-6126049747.967989</v>
      </c>
      <c r="J2534" s="455">
        <f t="array" ref="J2534">IFERROR(INDEX('Retirement Calculator'!J:J,MATCH('Isaac 401k'!N2534,'Retirement Calculator'!A:A,0),0),0)</f>
        <v>0</v>
      </c>
      <c r="K2534" s="455">
        <f t="shared" ca="1" si="146"/>
        <v>-25525207.283199955</v>
      </c>
      <c r="L2534" s="455">
        <f t="shared" ca="1" si="147"/>
        <v>-6151574955.2511892</v>
      </c>
      <c r="M2534" s="471">
        <f t="shared" si="149"/>
        <v>0.05</v>
      </c>
      <c r="N2534" s="475">
        <f t="shared" si="150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48"/>
        <v>-6151574955.2511892</v>
      </c>
      <c r="J2535" s="455">
        <f t="array" ref="J2535">IFERROR(INDEX('Retirement Calculator'!J:J,MATCH('Isaac 401k'!N2535,'Retirement Calculator'!A:A,0),0),0)</f>
        <v>0</v>
      </c>
      <c r="K2535" s="455">
        <f t="shared" ca="1" si="146"/>
        <v>-25631562.31354662</v>
      </c>
      <c r="L2535" s="455">
        <f t="shared" ca="1" si="147"/>
        <v>-6177206517.5647354</v>
      </c>
      <c r="M2535" s="471">
        <f t="shared" si="149"/>
        <v>0.05</v>
      </c>
      <c r="N2535" s="475">
        <f t="shared" si="150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48"/>
        <v>-6177206517.5647354</v>
      </c>
      <c r="J2536" s="455">
        <f t="array" ref="J2536">IFERROR(INDEX('Retirement Calculator'!J:J,MATCH('Isaac 401k'!N2536,'Retirement Calculator'!A:A,0),0),0)</f>
        <v>0</v>
      </c>
      <c r="K2536" s="455">
        <f t="shared" ca="1" si="146"/>
        <v>-25738360.489853065</v>
      </c>
      <c r="L2536" s="455">
        <f t="shared" ca="1" si="147"/>
        <v>-6202944878.0545883</v>
      </c>
      <c r="M2536" s="471">
        <f t="shared" si="149"/>
        <v>0.05</v>
      </c>
      <c r="N2536" s="475">
        <f t="shared" si="150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48"/>
        <v>-6202944878.0545883</v>
      </c>
      <c r="J2537" s="455">
        <f t="array" ref="J2537">IFERROR(INDEX('Retirement Calculator'!J:J,MATCH('Isaac 401k'!N2537,'Retirement Calculator'!A:A,0),0),0)</f>
        <v>0</v>
      </c>
      <c r="K2537" s="455">
        <f t="shared" ca="1" si="146"/>
        <v>-25845603.658560783</v>
      </c>
      <c r="L2537" s="455">
        <f t="shared" ca="1" si="147"/>
        <v>-6228790481.7131491</v>
      </c>
      <c r="M2537" s="471">
        <f t="shared" si="149"/>
        <v>0.05</v>
      </c>
      <c r="N2537" s="475">
        <f t="shared" si="150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48"/>
        <v>-6228790481.7131491</v>
      </c>
      <c r="J2538" s="455">
        <f t="array" ref="J2538">IFERROR(INDEX('Retirement Calculator'!J:J,MATCH('Isaac 401k'!N2538,'Retirement Calculator'!A:A,0),0),0)</f>
        <v>0</v>
      </c>
      <c r="K2538" s="455">
        <f t="shared" ca="1" si="146"/>
        <v>-25953293.673804786</v>
      </c>
      <c r="L2538" s="455">
        <f t="shared" ca="1" si="147"/>
        <v>-6254743775.3869543</v>
      </c>
      <c r="M2538" s="471">
        <f t="shared" si="149"/>
        <v>0.05</v>
      </c>
      <c r="N2538" s="475">
        <f t="shared" si="150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48"/>
        <v>-6254743775.3869543</v>
      </c>
      <c r="J2539" s="455">
        <f t="array" ref="J2539">IFERROR(INDEX('Retirement Calculator'!J:J,MATCH('Isaac 401k'!N2539,'Retirement Calculator'!A:A,0),0),0)</f>
        <v>0</v>
      </c>
      <c r="K2539" s="455">
        <f t="shared" ca="1" si="146"/>
        <v>-26061432.397445641</v>
      </c>
      <c r="L2539" s="455">
        <f t="shared" ca="1" si="147"/>
        <v>-6280805207.7844</v>
      </c>
      <c r="M2539" s="471">
        <f t="shared" si="149"/>
        <v>0.05</v>
      </c>
      <c r="N2539" s="475">
        <f t="shared" si="150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48"/>
        <v>-6280805207.7844</v>
      </c>
      <c r="J2540" s="455">
        <f t="array" ref="J2540">IFERROR(INDEX('Retirement Calculator'!J:J,MATCH('Isaac 401k'!N2540,'Retirement Calculator'!A:A,0),0),0)</f>
        <v>0</v>
      </c>
      <c r="K2540" s="455">
        <f t="shared" ca="1" si="146"/>
        <v>-26170021.699101668</v>
      </c>
      <c r="L2540" s="455">
        <f t="shared" ca="1" si="147"/>
        <v>-6306975229.4835014</v>
      </c>
      <c r="M2540" s="471">
        <f t="shared" si="149"/>
        <v>0.05</v>
      </c>
      <c r="N2540" s="475">
        <f t="shared" si="150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48"/>
        <v>-6306975229.4835014</v>
      </c>
      <c r="J2541" s="455">
        <f t="array" ref="J2541">IFERROR(INDEX('Retirement Calculator'!J:J,MATCH('Isaac 401k'!N2541,'Retirement Calculator'!A:A,0),0),0)</f>
        <v>0</v>
      </c>
      <c r="K2541" s="455">
        <f t="shared" ca="1" si="146"/>
        <v>-26279063.456181254</v>
      </c>
      <c r="L2541" s="455">
        <f t="shared" ca="1" si="147"/>
        <v>-6333254292.939683</v>
      </c>
      <c r="M2541" s="471">
        <f t="shared" si="149"/>
        <v>0.05</v>
      </c>
      <c r="N2541" s="475">
        <f t="shared" si="150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48"/>
        <v>-6333254292.939683</v>
      </c>
      <c r="J2542" s="455">
        <f t="array" ref="J2542">IFERROR(INDEX('Retirement Calculator'!J:J,MATCH('Isaac 401k'!N2542,'Retirement Calculator'!A:A,0),0),0)</f>
        <v>0</v>
      </c>
      <c r="K2542" s="455">
        <f t="shared" ca="1" si="146"/>
        <v>-26388559.553915344</v>
      </c>
      <c r="L2542" s="455">
        <f t="shared" ca="1" si="147"/>
        <v>-6359642852.493598</v>
      </c>
      <c r="M2542" s="471">
        <f t="shared" si="149"/>
        <v>0.05</v>
      </c>
      <c r="N2542" s="475">
        <f t="shared" si="150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48"/>
        <v>-6359642852.493598</v>
      </c>
      <c r="J2543" s="455">
        <f t="array" ref="J2543">IFERROR(INDEX('Retirement Calculator'!J:J,MATCH('Isaac 401k'!N2543,'Retirement Calculator'!A:A,0),0),0)</f>
        <v>0</v>
      </c>
      <c r="K2543" s="455">
        <f t="shared" ca="1" si="146"/>
        <v>-26498511.885389991</v>
      </c>
      <c r="L2543" s="455">
        <f t="shared" ca="1" si="147"/>
        <v>-6386141364.3789883</v>
      </c>
      <c r="M2543" s="471">
        <f t="shared" si="149"/>
        <v>0.05</v>
      </c>
      <c r="N2543" s="475">
        <f t="shared" si="150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48"/>
        <v>-6386141364.3789883</v>
      </c>
      <c r="J2544" s="455">
        <f t="array" ref="J2544">IFERROR(INDEX('Retirement Calculator'!J:J,MATCH('Isaac 401k'!N2544,'Retirement Calculator'!A:A,0),0),0)</f>
        <v>0</v>
      </c>
      <c r="K2544" s="455">
        <f t="shared" ca="1" si="146"/>
        <v>-26608922.351579119</v>
      </c>
      <c r="L2544" s="455">
        <f t="shared" ca="1" si="147"/>
        <v>-6412750286.730567</v>
      </c>
      <c r="M2544" s="471">
        <f t="shared" si="149"/>
        <v>0.05</v>
      </c>
      <c r="N2544" s="475">
        <f t="shared" si="150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48"/>
        <v>-6412750286.730567</v>
      </c>
      <c r="J2545" s="455">
        <f t="array" ref="J2545">IFERROR(INDEX('Retirement Calculator'!J:J,MATCH('Isaac 401k'!N2545,'Retirement Calculator'!A:A,0),0),0)</f>
        <v>0</v>
      </c>
      <c r="K2545" s="455">
        <f t="shared" ca="1" si="146"/>
        <v>-26719792.861377362</v>
      </c>
      <c r="L2545" s="455">
        <f t="shared" ca="1" si="147"/>
        <v>-6439470079.5919447</v>
      </c>
      <c r="M2545" s="471">
        <f t="shared" si="149"/>
        <v>0.05</v>
      </c>
      <c r="N2545" s="475">
        <f t="shared" si="150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48"/>
        <v>-6439470079.5919447</v>
      </c>
      <c r="J2546" s="455">
        <f t="array" ref="J2546">IFERROR(INDEX('Retirement Calculator'!J:J,MATCH('Isaac 401k'!N2546,'Retirement Calculator'!A:A,0),0),0)</f>
        <v>0</v>
      </c>
      <c r="K2546" s="455">
        <f t="shared" ca="1" si="146"/>
        <v>-26831125.331633102</v>
      </c>
      <c r="L2546" s="455">
        <f t="shared" ca="1" si="147"/>
        <v>-6466301204.9235783</v>
      </c>
      <c r="M2546" s="471">
        <f t="shared" si="149"/>
        <v>0.05</v>
      </c>
      <c r="N2546" s="475">
        <f t="shared" si="150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48"/>
        <v>-6466301204.9235783</v>
      </c>
      <c r="J2547" s="455">
        <f t="array" ref="J2547">IFERROR(INDEX('Retirement Calculator'!J:J,MATCH('Isaac 401k'!N2547,'Retirement Calculator'!A:A,0),0),0)</f>
        <v>0</v>
      </c>
      <c r="K2547" s="455">
        <f t="shared" ca="1" si="146"/>
        <v>-26942921.687181577</v>
      </c>
      <c r="L2547" s="455">
        <f t="shared" ca="1" si="147"/>
        <v>-6493244126.6107597</v>
      </c>
      <c r="M2547" s="471">
        <f t="shared" si="149"/>
        <v>0.05</v>
      </c>
      <c r="N2547" s="475">
        <f t="shared" si="150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48"/>
        <v>-6493244126.6107597</v>
      </c>
      <c r="J2548" s="455">
        <f t="array" ref="J2548">IFERROR(INDEX('Retirement Calculator'!J:J,MATCH('Isaac 401k'!N2548,'Retirement Calculator'!A:A,0),0),0)</f>
        <v>0</v>
      </c>
      <c r="K2548" s="455">
        <f t="shared" ca="1" si="146"/>
        <v>-27055183.860878166</v>
      </c>
      <c r="L2548" s="455">
        <f t="shared" ca="1" si="147"/>
        <v>-6520299310.4716377</v>
      </c>
      <c r="M2548" s="471">
        <f t="shared" si="149"/>
        <v>0.05</v>
      </c>
      <c r="N2548" s="475">
        <f t="shared" si="150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48"/>
        <v>-6520299310.4716377</v>
      </c>
      <c r="J2549" s="455">
        <f t="array" ref="J2549">IFERROR(INDEX('Retirement Calculator'!J:J,MATCH('Isaac 401k'!N2549,'Retirement Calculator'!A:A,0),0),0)</f>
        <v>0</v>
      </c>
      <c r="K2549" s="455">
        <f t="shared" ca="1" si="146"/>
        <v>-27167913.793631822</v>
      </c>
      <c r="L2549" s="455">
        <f t="shared" ca="1" si="147"/>
        <v>-6547467224.2652693</v>
      </c>
      <c r="M2549" s="471">
        <f t="shared" si="149"/>
        <v>0.05</v>
      </c>
      <c r="N2549" s="475">
        <f t="shared" si="150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48"/>
        <v>-6547467224.2652693</v>
      </c>
      <c r="J2550" s="455">
        <f t="array" ref="J2550">IFERROR(INDEX('Retirement Calculator'!J:J,MATCH('Isaac 401k'!N2550,'Retirement Calculator'!A:A,0),0),0)</f>
        <v>0</v>
      </c>
      <c r="K2550" s="455">
        <f t="shared" ca="1" si="146"/>
        <v>-27281113.43443862</v>
      </c>
      <c r="L2550" s="455">
        <f t="shared" ca="1" si="147"/>
        <v>-6574748337.699708</v>
      </c>
      <c r="M2550" s="471">
        <f t="shared" si="149"/>
        <v>0.05</v>
      </c>
      <c r="N2550" s="475">
        <f t="shared" si="150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48"/>
        <v>-6574748337.699708</v>
      </c>
      <c r="J2551" s="455">
        <f t="array" ref="J2551">IFERROR(INDEX('Retirement Calculator'!J:J,MATCH('Isaac 401k'!N2551,'Retirement Calculator'!A:A,0),0),0)</f>
        <v>0</v>
      </c>
      <c r="K2551" s="455">
        <f t="shared" ca="1" si="146"/>
        <v>-27394784.74041545</v>
      </c>
      <c r="L2551" s="455">
        <f t="shared" ca="1" si="147"/>
        <v>-6602143122.4401236</v>
      </c>
      <c r="M2551" s="471">
        <f t="shared" si="149"/>
        <v>0.05</v>
      </c>
      <c r="N2551" s="475">
        <f t="shared" si="150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48"/>
        <v>-6602143122.4401236</v>
      </c>
      <c r="J2552" s="455">
        <f t="array" ref="J2552">IFERROR(INDEX('Retirement Calculator'!J:J,MATCH('Isaac 401k'!N2552,'Retirement Calculator'!A:A,0),0),0)</f>
        <v>0</v>
      </c>
      <c r="K2552" s="455">
        <f t="shared" ca="1" si="146"/>
        <v>-27508929.676833849</v>
      </c>
      <c r="L2552" s="455">
        <f t="shared" ca="1" si="147"/>
        <v>-6629652052.1169577</v>
      </c>
      <c r="M2552" s="471">
        <f t="shared" si="149"/>
        <v>0.05</v>
      </c>
      <c r="N2552" s="475">
        <f t="shared" si="150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48"/>
        <v>-6629652052.1169577</v>
      </c>
      <c r="J2553" s="455">
        <f t="array" ref="J2553">IFERROR(INDEX('Retirement Calculator'!J:J,MATCH('Isaac 401k'!N2553,'Retirement Calculator'!A:A,0),0),0)</f>
        <v>0</v>
      </c>
      <c r="K2553" s="455">
        <f t="shared" ca="1" si="146"/>
        <v>-27623550.217153989</v>
      </c>
      <c r="L2553" s="455">
        <f t="shared" ca="1" si="147"/>
        <v>-6657275602.3341112</v>
      </c>
      <c r="M2553" s="471">
        <f t="shared" si="149"/>
        <v>0.05</v>
      </c>
      <c r="N2553" s="475">
        <f t="shared" si="150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48"/>
        <v>-6657275602.3341112</v>
      </c>
      <c r="J2554" s="455">
        <f t="array" ref="J2554">IFERROR(INDEX('Retirement Calculator'!J:J,MATCH('Isaac 401k'!N2554,'Retirement Calculator'!A:A,0),0),0)</f>
        <v>0</v>
      </c>
      <c r="K2554" s="455">
        <f t="shared" ca="1" si="146"/>
        <v>-27738648.343058795</v>
      </c>
      <c r="L2554" s="455">
        <f t="shared" ca="1" si="147"/>
        <v>-6685014250.6771698</v>
      </c>
      <c r="M2554" s="471">
        <f t="shared" si="149"/>
        <v>0.05</v>
      </c>
      <c r="N2554" s="475">
        <f t="shared" si="150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48"/>
        <v>-6685014250.6771698</v>
      </c>
      <c r="J2555" s="455">
        <f t="array" ref="J2555">IFERROR(INDEX('Retirement Calculator'!J:J,MATCH('Isaac 401k'!N2555,'Retirement Calculator'!A:A,0),0),0)</f>
        <v>0</v>
      </c>
      <c r="K2555" s="455">
        <f t="shared" ca="1" si="146"/>
        <v>-27854226.044488207</v>
      </c>
      <c r="L2555" s="455">
        <f t="shared" ca="1" si="147"/>
        <v>-6712868476.7216578</v>
      </c>
      <c r="M2555" s="471">
        <f t="shared" si="149"/>
        <v>0.05</v>
      </c>
      <c r="N2555" s="475">
        <f t="shared" si="150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48"/>
        <v>-6712868476.7216578</v>
      </c>
      <c r="J2556" s="455">
        <f t="array" ref="J2556">IFERROR(INDEX('Retirement Calculator'!J:J,MATCH('Isaac 401k'!N2556,'Retirement Calculator'!A:A,0),0),0)</f>
        <v>0</v>
      </c>
      <c r="K2556" s="455">
        <f t="shared" ca="1" si="146"/>
        <v>-27970285.319673572</v>
      </c>
      <c r="L2556" s="455">
        <f t="shared" ca="1" si="147"/>
        <v>-6740838762.0413313</v>
      </c>
      <c r="M2556" s="471">
        <f t="shared" si="149"/>
        <v>0.05</v>
      </c>
      <c r="N2556" s="475">
        <f t="shared" si="150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48"/>
        <v>-6740838762.0413313</v>
      </c>
      <c r="J2557" s="455">
        <f t="array" ref="J2557">IFERROR(INDEX('Retirement Calculator'!J:J,MATCH('Isaac 401k'!N2557,'Retirement Calculator'!A:A,0),0),0)</f>
        <v>0</v>
      </c>
      <c r="K2557" s="455">
        <f t="shared" ca="1" si="146"/>
        <v>-28086828.175172213</v>
      </c>
      <c r="L2557" s="455">
        <f t="shared" ca="1" si="147"/>
        <v>-6768925590.2165031</v>
      </c>
      <c r="M2557" s="471">
        <f t="shared" si="149"/>
        <v>0.05</v>
      </c>
      <c r="N2557" s="475">
        <f t="shared" si="150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48"/>
        <v>-6768925590.2165031</v>
      </c>
      <c r="J2558" s="455">
        <f t="array" ref="J2558">IFERROR(INDEX('Retirement Calculator'!J:J,MATCH('Isaac 401k'!N2558,'Retirement Calculator'!A:A,0),0),0)</f>
        <v>0</v>
      </c>
      <c r="K2558" s="455">
        <f t="shared" ref="K2558:K2812" ca="1" si="151">IPMT(M2558/12,1,12,-I2558+J2558,,0)</f>
        <v>-28203856.625902098</v>
      </c>
      <c r="L2558" s="455">
        <f t="shared" ref="L2558:L2812" ca="1" si="152">I2558-J2558+K2558</f>
        <v>-6797129446.8424053</v>
      </c>
      <c r="M2558" s="471">
        <f t="shared" si="149"/>
        <v>0.05</v>
      </c>
      <c r="N2558" s="475">
        <f t="shared" si="150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53">L2558</f>
        <v>-6797129446.8424053</v>
      </c>
      <c r="J2559" s="455">
        <f t="array" ref="J2559">IFERROR(INDEX('Retirement Calculator'!J:J,MATCH('Isaac 401k'!N2559,'Retirement Calculator'!A:A,0),0),0)</f>
        <v>0</v>
      </c>
      <c r="K2559" s="455">
        <f t="shared" ca="1" si="151"/>
        <v>-28321372.695176691</v>
      </c>
      <c r="L2559" s="455">
        <f t="shared" ca="1" si="152"/>
        <v>-6825450819.5375824</v>
      </c>
      <c r="M2559" s="471">
        <f t="shared" ref="M2559:M2813" si="154">M2558</f>
        <v>0.05</v>
      </c>
      <c r="N2559" s="475">
        <f t="shared" ref="N2559:N2813" si="155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53"/>
        <v>-6825450819.5375824</v>
      </c>
      <c r="J2560" s="455">
        <f t="array" ref="J2560">IFERROR(INDEX('Retirement Calculator'!J:J,MATCH('Isaac 401k'!N2560,'Retirement Calculator'!A:A,0),0),0)</f>
        <v>0</v>
      </c>
      <c r="K2560" s="455">
        <f t="shared" ca="1" si="151"/>
        <v>-28439378.414739925</v>
      </c>
      <c r="L2560" s="455">
        <f t="shared" ca="1" si="152"/>
        <v>-6853890197.952322</v>
      </c>
      <c r="M2560" s="471">
        <f t="shared" si="154"/>
        <v>0.05</v>
      </c>
      <c r="N2560" s="475">
        <f t="shared" si="155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53"/>
        <v>-6853890197.952322</v>
      </c>
      <c r="J2561" s="455">
        <f t="array" ref="J2561">IFERROR(INDEX('Retirement Calculator'!J:J,MATCH('Isaac 401k'!N2561,'Retirement Calculator'!A:A,0),0),0)</f>
        <v>0</v>
      </c>
      <c r="K2561" s="455">
        <f t="shared" ca="1" si="151"/>
        <v>-28557875.824801341</v>
      </c>
      <c r="L2561" s="455">
        <f t="shared" ca="1" si="152"/>
        <v>-6882448073.7771235</v>
      </c>
      <c r="M2561" s="471">
        <f t="shared" si="154"/>
        <v>0.05</v>
      </c>
      <c r="N2561" s="475">
        <f t="shared" si="155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53"/>
        <v>-6882448073.7771235</v>
      </c>
      <c r="J2562" s="455">
        <f t="array" ref="J2562">IFERROR(INDEX('Retirement Calculator'!J:J,MATCH('Isaac 401k'!N2562,'Retirement Calculator'!A:A,0),0),0)</f>
        <v>0</v>
      </c>
      <c r="K2562" s="455">
        <f t="shared" ca="1" si="151"/>
        <v>-28676866.974071346</v>
      </c>
      <c r="L2562" s="455">
        <f t="shared" ca="1" si="152"/>
        <v>-6911124940.751195</v>
      </c>
      <c r="M2562" s="471">
        <f t="shared" si="154"/>
        <v>0.05</v>
      </c>
      <c r="N2562" s="475">
        <f t="shared" si="155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53"/>
        <v>-6911124940.751195</v>
      </c>
      <c r="J2563" s="455">
        <f t="array" ref="J2563">IFERROR(INDEX('Retirement Calculator'!J:J,MATCH('Isaac 401k'!N2563,'Retirement Calculator'!A:A,0),0),0)</f>
        <v>0</v>
      </c>
      <c r="K2563" s="455">
        <f t="shared" ca="1" si="151"/>
        <v>-28796353.919796646</v>
      </c>
      <c r="L2563" s="455">
        <f t="shared" ca="1" si="152"/>
        <v>-6939921294.6709919</v>
      </c>
      <c r="M2563" s="471">
        <f t="shared" si="154"/>
        <v>0.05</v>
      </c>
      <c r="N2563" s="475">
        <f t="shared" si="155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53"/>
        <v>-6939921294.6709919</v>
      </c>
      <c r="J2564" s="455">
        <f t="array" ref="J2564">IFERROR(INDEX('Retirement Calculator'!J:J,MATCH('Isaac 401k'!N2564,'Retirement Calculator'!A:A,0),0),0)</f>
        <v>0</v>
      </c>
      <c r="K2564" s="455">
        <f t="shared" ca="1" si="151"/>
        <v>-28916338.727795798</v>
      </c>
      <c r="L2564" s="455">
        <f t="shared" ca="1" si="152"/>
        <v>-6968837633.3987875</v>
      </c>
      <c r="M2564" s="471">
        <f t="shared" si="154"/>
        <v>0.05</v>
      </c>
      <c r="N2564" s="475">
        <f t="shared" si="155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53"/>
        <v>-6968837633.3987875</v>
      </c>
      <c r="J2565" s="455">
        <f t="array" ref="J2565">IFERROR(INDEX('Retirement Calculator'!J:J,MATCH('Isaac 401k'!N2565,'Retirement Calculator'!A:A,0),0),0)</f>
        <v>0</v>
      </c>
      <c r="K2565" s="455">
        <f t="shared" ca="1" si="151"/>
        <v>-29036823.472494952</v>
      </c>
      <c r="L2565" s="455">
        <f t="shared" ca="1" si="152"/>
        <v>-6997874456.8712826</v>
      </c>
      <c r="M2565" s="471">
        <f t="shared" si="154"/>
        <v>0.05</v>
      </c>
      <c r="N2565" s="475">
        <f t="shared" si="155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53"/>
        <v>-6997874456.8712826</v>
      </c>
      <c r="J2566" s="455">
        <f t="array" ref="J2566">IFERROR(INDEX('Retirement Calculator'!J:J,MATCH('Isaac 401k'!N2566,'Retirement Calculator'!A:A,0),0),0)</f>
        <v>0</v>
      </c>
      <c r="K2566" s="455">
        <f t="shared" ca="1" si="151"/>
        <v>-29157810.236963678</v>
      </c>
      <c r="L2566" s="455">
        <f t="shared" ca="1" si="152"/>
        <v>-7027032267.1082458</v>
      </c>
      <c r="M2566" s="471">
        <f t="shared" si="154"/>
        <v>0.05</v>
      </c>
      <c r="N2566" s="475">
        <f t="shared" si="155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53"/>
        <v>-7027032267.1082458</v>
      </c>
      <c r="J2567" s="455">
        <f t="array" ref="J2567">IFERROR(INDEX('Retirement Calculator'!J:J,MATCH('Isaac 401k'!N2567,'Retirement Calculator'!A:A,0),0),0)</f>
        <v>0</v>
      </c>
      <c r="K2567" s="455">
        <f t="shared" ca="1" si="151"/>
        <v>-29279301.112951025</v>
      </c>
      <c r="L2567" s="455">
        <f t="shared" ca="1" si="152"/>
        <v>-7056311568.2211971</v>
      </c>
      <c r="M2567" s="471">
        <f t="shared" si="154"/>
        <v>0.05</v>
      </c>
      <c r="N2567" s="475">
        <f t="shared" si="155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53"/>
        <v>-7056311568.2211971</v>
      </c>
      <c r="J2568" s="455">
        <f t="array" ref="J2568">IFERROR(INDEX('Retirement Calculator'!J:J,MATCH('Isaac 401k'!N2568,'Retirement Calculator'!A:A,0),0),0)</f>
        <v>0</v>
      </c>
      <c r="K2568" s="455">
        <f t="shared" ca="1" si="151"/>
        <v>-29401298.200921658</v>
      </c>
      <c r="L2568" s="455">
        <f t="shared" ca="1" si="152"/>
        <v>-7085712866.4221191</v>
      </c>
      <c r="M2568" s="471">
        <f t="shared" si="154"/>
        <v>0.05</v>
      </c>
      <c r="N2568" s="475">
        <f t="shared" si="155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53"/>
        <v>-7085712866.4221191</v>
      </c>
      <c r="J2569" s="455">
        <f t="array" ref="J2569">IFERROR(INDEX('Retirement Calculator'!J:J,MATCH('Isaac 401k'!N2569,'Retirement Calculator'!A:A,0),0),0)</f>
        <v>0</v>
      </c>
      <c r="K2569" s="455">
        <f t="shared" ca="1" si="151"/>
        <v>-29523803.610092167</v>
      </c>
      <c r="L2569" s="455">
        <f t="shared" ca="1" si="152"/>
        <v>-7115236670.0322113</v>
      </c>
      <c r="M2569" s="471">
        <f t="shared" si="154"/>
        <v>0.05</v>
      </c>
      <c r="N2569" s="475">
        <f t="shared" si="155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53"/>
        <v>-7115236670.0322113</v>
      </c>
      <c r="J2570" s="455">
        <f t="array" ref="J2570">IFERROR(INDEX('Retirement Calculator'!J:J,MATCH('Isaac 401k'!N2570,'Retirement Calculator'!A:A,0),0),0)</f>
        <v>0</v>
      </c>
      <c r="K2570" s="455">
        <f t="shared" ca="1" si="151"/>
        <v>-29646819.458467547</v>
      </c>
      <c r="L2570" s="455">
        <f t="shared" ca="1" si="152"/>
        <v>-7144883489.4906788</v>
      </c>
      <c r="M2570" s="471">
        <f t="shared" si="154"/>
        <v>0.05</v>
      </c>
      <c r="N2570" s="475">
        <f t="shared" si="155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53"/>
        <v>-7144883489.4906788</v>
      </c>
      <c r="J2571" s="455">
        <f t="array" ref="J2571">IFERROR(INDEX('Retirement Calculator'!J:J,MATCH('Isaac 401k'!N2571,'Retirement Calculator'!A:A,0),0),0)</f>
        <v>0</v>
      </c>
      <c r="K2571" s="455">
        <f t="shared" ca="1" si="151"/>
        <v>-29770347.872877833</v>
      </c>
      <c r="L2571" s="455">
        <f t="shared" ca="1" si="152"/>
        <v>-7174653837.3635569</v>
      </c>
      <c r="M2571" s="471">
        <f t="shared" si="154"/>
        <v>0.05</v>
      </c>
      <c r="N2571" s="475">
        <f t="shared" si="155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53"/>
        <v>-7174653837.3635569</v>
      </c>
      <c r="J2572" s="455">
        <f t="array" ref="J2572">IFERROR(INDEX('Retirement Calculator'!J:J,MATCH('Isaac 401k'!N2572,'Retirement Calculator'!A:A,0),0),0)</f>
        <v>0</v>
      </c>
      <c r="K2572" s="455">
        <f t="shared" ca="1" si="151"/>
        <v>-29894390.989014816</v>
      </c>
      <c r="L2572" s="455">
        <f t="shared" ca="1" si="152"/>
        <v>-7204548228.3525715</v>
      </c>
      <c r="M2572" s="471">
        <f t="shared" si="154"/>
        <v>0.05</v>
      </c>
      <c r="N2572" s="475">
        <f t="shared" si="155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53"/>
        <v>-7204548228.3525715</v>
      </c>
      <c r="J2573" s="455">
        <f t="array" ref="J2573">IFERROR(INDEX('Retirement Calculator'!J:J,MATCH('Isaac 401k'!N2573,'Retirement Calculator'!A:A,0),0),0)</f>
        <v>0</v>
      </c>
      <c r="K2573" s="455">
        <f t="shared" ca="1" si="151"/>
        <v>-30018950.951469053</v>
      </c>
      <c r="L2573" s="455">
        <f t="shared" ca="1" si="152"/>
        <v>-7234567179.3040409</v>
      </c>
      <c r="M2573" s="471">
        <f t="shared" si="154"/>
        <v>0.05</v>
      </c>
      <c r="N2573" s="475">
        <f t="shared" si="155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53"/>
        <v>-7234567179.3040409</v>
      </c>
      <c r="J2574" s="455">
        <f t="array" ref="J2574">IFERROR(INDEX('Retirement Calculator'!J:J,MATCH('Isaac 401k'!N2574,'Retirement Calculator'!A:A,0),0),0)</f>
        <v>0</v>
      </c>
      <c r="K2574" s="455">
        <f t="shared" ca="1" si="151"/>
        <v>-30144029.913766842</v>
      </c>
      <c r="L2574" s="455">
        <f t="shared" ca="1" si="152"/>
        <v>-7264711209.2178078</v>
      </c>
      <c r="M2574" s="471">
        <f t="shared" si="154"/>
        <v>0.05</v>
      </c>
      <c r="N2574" s="475">
        <f t="shared" si="155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53"/>
        <v>-7264711209.2178078</v>
      </c>
      <c r="J2575" s="455">
        <f t="array" ref="J2575">IFERROR(INDEX('Retirement Calculator'!J:J,MATCH('Isaac 401k'!N2575,'Retirement Calculator'!A:A,0),0),0)</f>
        <v>0</v>
      </c>
      <c r="K2575" s="455">
        <f t="shared" ca="1" si="151"/>
        <v>-30269630.038407534</v>
      </c>
      <c r="L2575" s="455">
        <f t="shared" ca="1" si="152"/>
        <v>-7294980839.2562151</v>
      </c>
      <c r="M2575" s="471">
        <f t="shared" si="154"/>
        <v>0.05</v>
      </c>
      <c r="N2575" s="475">
        <f t="shared" si="155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53"/>
        <v>-7294980839.2562151</v>
      </c>
      <c r="J2576" s="455">
        <f t="array" ref="J2576">IFERROR(INDEX('Retirement Calculator'!J:J,MATCH('Isaac 401k'!N2576,'Retirement Calculator'!A:A,0),0),0)</f>
        <v>0</v>
      </c>
      <c r="K2576" s="455">
        <f t="shared" ca="1" si="151"/>
        <v>-30395753.496900897</v>
      </c>
      <c r="L2576" s="455">
        <f t="shared" ca="1" si="152"/>
        <v>-7325376592.7531157</v>
      </c>
      <c r="M2576" s="471">
        <f t="shared" si="154"/>
        <v>0.05</v>
      </c>
      <c r="N2576" s="475">
        <f t="shared" si="155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53"/>
        <v>-7325376592.7531157</v>
      </c>
      <c r="J2577" s="455">
        <f t="array" ref="J2577">IFERROR(INDEX('Retirement Calculator'!J:J,MATCH('Isaac 401k'!N2577,'Retirement Calculator'!A:A,0),0),0)</f>
        <v>0</v>
      </c>
      <c r="K2577" s="455">
        <f t="shared" ca="1" si="151"/>
        <v>-30522402.469804648</v>
      </c>
      <c r="L2577" s="455">
        <f t="shared" ca="1" si="152"/>
        <v>-7355898995.2229204</v>
      </c>
      <c r="M2577" s="471">
        <f t="shared" si="154"/>
        <v>0.05</v>
      </c>
      <c r="N2577" s="475">
        <f t="shared" si="155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53"/>
        <v>-7355898995.2229204</v>
      </c>
      <c r="J2578" s="455">
        <f t="array" ref="J2578">IFERROR(INDEX('Retirement Calculator'!J:J,MATCH('Isaac 401k'!N2578,'Retirement Calculator'!A:A,0),0),0)</f>
        <v>0</v>
      </c>
      <c r="K2578" s="455">
        <f t="shared" ca="1" si="151"/>
        <v>-30649579.146762166</v>
      </c>
      <c r="L2578" s="455">
        <f t="shared" ca="1" si="152"/>
        <v>-7386548574.3696823</v>
      </c>
      <c r="M2578" s="471">
        <f t="shared" si="154"/>
        <v>0.05</v>
      </c>
      <c r="N2578" s="475">
        <f t="shared" si="155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53"/>
        <v>-7386548574.3696823</v>
      </c>
      <c r="J2579" s="455">
        <f t="array" ref="J2579">IFERROR(INDEX('Retirement Calculator'!J:J,MATCH('Isaac 401k'!N2579,'Retirement Calculator'!A:A,0),0),0)</f>
        <v>0</v>
      </c>
      <c r="K2579" s="455">
        <f t="shared" ca="1" si="151"/>
        <v>-30777285.726540342</v>
      </c>
      <c r="L2579" s="455">
        <f t="shared" ca="1" si="152"/>
        <v>-7417325860.0962229</v>
      </c>
      <c r="M2579" s="471">
        <f t="shared" si="154"/>
        <v>0.05</v>
      </c>
      <c r="N2579" s="475">
        <f t="shared" si="155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53"/>
        <v>-7417325860.0962229</v>
      </c>
      <c r="J2580" s="455">
        <f t="array" ref="J2580">IFERROR(INDEX('Retirement Calculator'!J:J,MATCH('Isaac 401k'!N2580,'Retirement Calculator'!A:A,0),0),0)</f>
        <v>0</v>
      </c>
      <c r="K2580" s="455">
        <f t="shared" ca="1" si="151"/>
        <v>-30905524.417067595</v>
      </c>
      <c r="L2580" s="455">
        <f t="shared" ca="1" si="152"/>
        <v>-7448231384.5132904</v>
      </c>
      <c r="M2580" s="471">
        <f t="shared" si="154"/>
        <v>0.05</v>
      </c>
      <c r="N2580" s="475">
        <f t="shared" si="155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53"/>
        <v>-7448231384.5132904</v>
      </c>
      <c r="J2581" s="455">
        <f t="array" ref="J2581">IFERROR(INDEX('Retirement Calculator'!J:J,MATCH('Isaac 401k'!N2581,'Retirement Calculator'!A:A,0),0),0)</f>
        <v>0</v>
      </c>
      <c r="K2581" s="455">
        <f t="shared" ca="1" si="151"/>
        <v>-31034297.435472041</v>
      </c>
      <c r="L2581" s="455">
        <f t="shared" ca="1" si="152"/>
        <v>-7479265681.9487629</v>
      </c>
      <c r="M2581" s="471">
        <f t="shared" si="154"/>
        <v>0.05</v>
      </c>
      <c r="N2581" s="475">
        <f t="shared" si="155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53"/>
        <v>-7479265681.9487629</v>
      </c>
      <c r="J2582" s="455">
        <f t="array" ref="J2582">IFERROR(INDEX('Retirement Calculator'!J:J,MATCH('Isaac 401k'!N2582,'Retirement Calculator'!A:A,0),0),0)</f>
        <v>0</v>
      </c>
      <c r="K2582" s="455">
        <f t="shared" ca="1" si="151"/>
        <v>-31163607.008119844</v>
      </c>
      <c r="L2582" s="455">
        <f t="shared" ca="1" si="152"/>
        <v>-7510429288.9568825</v>
      </c>
      <c r="M2582" s="471">
        <f t="shared" si="154"/>
        <v>0.05</v>
      </c>
      <c r="N2582" s="475">
        <f t="shared" si="155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53"/>
        <v>-7510429288.9568825</v>
      </c>
      <c r="J2583" s="455">
        <f t="array" ref="J2583">IFERROR(INDEX('Retirement Calculator'!J:J,MATCH('Isaac 401k'!N2583,'Retirement Calculator'!A:A,0),0),0)</f>
        <v>0</v>
      </c>
      <c r="K2583" s="455">
        <f t="shared" ca="1" si="151"/>
        <v>-31293455.370653678</v>
      </c>
      <c r="L2583" s="455">
        <f t="shared" ca="1" si="152"/>
        <v>-7541722744.3275366</v>
      </c>
      <c r="M2583" s="471">
        <f t="shared" si="154"/>
        <v>0.05</v>
      </c>
      <c r="N2583" s="475">
        <f t="shared" si="155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53"/>
        <v>-7541722744.3275366</v>
      </c>
      <c r="J2584" s="455">
        <f t="array" ref="J2584">IFERROR(INDEX('Retirement Calculator'!J:J,MATCH('Isaac 401k'!N2584,'Retirement Calculator'!A:A,0),0),0)</f>
        <v>0</v>
      </c>
      <c r="K2584" s="455">
        <f t="shared" ca="1" si="151"/>
        <v>-31423844.768031403</v>
      </c>
      <c r="L2584" s="455">
        <f t="shared" ca="1" si="152"/>
        <v>-7573146589.0955677</v>
      </c>
      <c r="M2584" s="471">
        <f t="shared" si="154"/>
        <v>0.05</v>
      </c>
      <c r="N2584" s="475">
        <f t="shared" si="155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53"/>
        <v>-7573146589.0955677</v>
      </c>
      <c r="J2585" s="455">
        <f t="array" ref="J2585">IFERROR(INDEX('Retirement Calculator'!J:J,MATCH('Isaac 401k'!N2585,'Retirement Calculator'!A:A,0),0),0)</f>
        <v>0</v>
      </c>
      <c r="K2585" s="455">
        <f t="shared" ca="1" si="151"/>
        <v>-31554777.454564862</v>
      </c>
      <c r="L2585" s="455">
        <f t="shared" ca="1" si="152"/>
        <v>-7604701366.5501328</v>
      </c>
      <c r="M2585" s="471">
        <f t="shared" si="154"/>
        <v>0.05</v>
      </c>
      <c r="N2585" s="475">
        <f t="shared" si="155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53"/>
        <v>-7604701366.5501328</v>
      </c>
      <c r="J2586" s="455">
        <f t="array" ref="J2586">IFERROR(INDEX('Retirement Calculator'!J:J,MATCH('Isaac 401k'!N2586,'Retirement Calculator'!A:A,0),0),0)</f>
        <v>0</v>
      </c>
      <c r="K2586" s="455">
        <f t="shared" ca="1" si="151"/>
        <v>-31686255.693958886</v>
      </c>
      <c r="L2586" s="455">
        <f t="shared" ca="1" si="152"/>
        <v>-7636387622.244092</v>
      </c>
      <c r="M2586" s="471">
        <f t="shared" si="154"/>
        <v>0.05</v>
      </c>
      <c r="N2586" s="475">
        <f t="shared" si="155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53"/>
        <v>-7636387622.244092</v>
      </c>
      <c r="J2587" s="455">
        <f t="array" ref="J2587">IFERROR(INDEX('Retirement Calculator'!J:J,MATCH('Isaac 401k'!N2587,'Retirement Calculator'!A:A,0),0),0)</f>
        <v>0</v>
      </c>
      <c r="K2587" s="455">
        <f t="shared" ca="1" si="151"/>
        <v>-31818281.759350382</v>
      </c>
      <c r="L2587" s="455">
        <f t="shared" ca="1" si="152"/>
        <v>-7668205904.0034428</v>
      </c>
      <c r="M2587" s="471">
        <f t="shared" si="154"/>
        <v>0.05</v>
      </c>
      <c r="N2587" s="475">
        <f t="shared" si="155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53"/>
        <v>-7668205904.0034428</v>
      </c>
      <c r="J2588" s="455">
        <f t="array" ref="J2588">IFERROR(INDEX('Retirement Calculator'!J:J,MATCH('Isaac 401k'!N2588,'Retirement Calculator'!A:A,0),0),0)</f>
        <v>0</v>
      </c>
      <c r="K2588" s="455">
        <f t="shared" ca="1" si="151"/>
        <v>-31950857.933347683</v>
      </c>
      <c r="L2588" s="455">
        <f t="shared" ca="1" si="152"/>
        <v>-7700156761.9367905</v>
      </c>
      <c r="M2588" s="471">
        <f t="shared" si="154"/>
        <v>0.05</v>
      </c>
      <c r="N2588" s="475">
        <f t="shared" si="155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53"/>
        <v>-7700156761.9367905</v>
      </c>
      <c r="J2589" s="455">
        <f t="array" ref="J2589">IFERROR(INDEX('Retirement Calculator'!J:J,MATCH('Isaac 401k'!N2589,'Retirement Calculator'!A:A,0),0),0)</f>
        <v>0</v>
      </c>
      <c r="K2589" s="455">
        <f t="shared" ca="1" si="151"/>
        <v>-32083986.508069962</v>
      </c>
      <c r="L2589" s="455">
        <f t="shared" ca="1" si="152"/>
        <v>-7732240748.4448605</v>
      </c>
      <c r="M2589" s="471">
        <f t="shared" si="154"/>
        <v>0.05</v>
      </c>
      <c r="N2589" s="475">
        <f t="shared" si="155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53"/>
        <v>-7732240748.4448605</v>
      </c>
      <c r="J2590" s="455">
        <f t="array" ref="J2590">IFERROR(INDEX('Retirement Calculator'!J:J,MATCH('Isaac 401k'!N2590,'Retirement Calculator'!A:A,0),0),0)</f>
        <v>0</v>
      </c>
      <c r="K2590" s="455">
        <f t="shared" ca="1" si="151"/>
        <v>-32217669.785186917</v>
      </c>
      <c r="L2590" s="455">
        <f t="shared" ca="1" si="152"/>
        <v>-7764458418.2300472</v>
      </c>
      <c r="M2590" s="471">
        <f t="shared" si="154"/>
        <v>0.05</v>
      </c>
      <c r="N2590" s="475">
        <f t="shared" si="155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53"/>
        <v>-7764458418.2300472</v>
      </c>
      <c r="J2591" s="455">
        <f t="array" ref="J2591">IFERROR(INDEX('Retirement Calculator'!J:J,MATCH('Isaac 401k'!N2591,'Retirement Calculator'!A:A,0),0),0)</f>
        <v>0</v>
      </c>
      <c r="K2591" s="455">
        <f t="shared" ca="1" si="151"/>
        <v>-32351910.075958531</v>
      </c>
      <c r="L2591" s="455">
        <f t="shared" ca="1" si="152"/>
        <v>-7796810328.3060055</v>
      </c>
      <c r="M2591" s="471">
        <f t="shared" si="154"/>
        <v>0.05</v>
      </c>
      <c r="N2591" s="475">
        <f t="shared" si="155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53"/>
        <v>-7796810328.3060055</v>
      </c>
      <c r="J2592" s="455">
        <f t="array" ref="J2592">IFERROR(INDEX('Retirement Calculator'!J:J,MATCH('Isaac 401k'!N2592,'Retirement Calculator'!A:A,0),0),0)</f>
        <v>0</v>
      </c>
      <c r="K2592" s="455">
        <f t="shared" ca="1" si="151"/>
        <v>-32486709.701275025</v>
      </c>
      <c r="L2592" s="455">
        <f t="shared" ca="1" si="152"/>
        <v>-7829297038.0072803</v>
      </c>
      <c r="M2592" s="471">
        <f t="shared" si="154"/>
        <v>0.05</v>
      </c>
      <c r="N2592" s="475">
        <f t="shared" si="155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53"/>
        <v>-7829297038.0072803</v>
      </c>
      <c r="J2593" s="455">
        <f t="array" ref="J2593">IFERROR(INDEX('Retirement Calculator'!J:J,MATCH('Isaac 401k'!N2593,'Retirement Calculator'!A:A,0),0),0)</f>
        <v>0</v>
      </c>
      <c r="K2593" s="455">
        <f t="shared" ca="1" si="151"/>
        <v>-32622070.991697002</v>
      </c>
      <c r="L2593" s="455">
        <f t="shared" ca="1" si="152"/>
        <v>-7861919108.9989777</v>
      </c>
      <c r="M2593" s="471">
        <f t="shared" si="154"/>
        <v>0.05</v>
      </c>
      <c r="N2593" s="475">
        <f t="shared" si="155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53"/>
        <v>-7861919108.9989777</v>
      </c>
      <c r="J2594" s="455">
        <f t="array" ref="J2594">IFERROR(INDEX('Retirement Calculator'!J:J,MATCH('Isaac 401k'!N2594,'Retirement Calculator'!A:A,0),0),0)</f>
        <v>0</v>
      </c>
      <c r="K2594" s="455">
        <f t="shared" ca="1" si="151"/>
        <v>-32757996.28749574</v>
      </c>
      <c r="L2594" s="455">
        <f t="shared" ca="1" si="152"/>
        <v>-7894677105.2864733</v>
      </c>
      <c r="M2594" s="471">
        <f t="shared" si="154"/>
        <v>0.05</v>
      </c>
      <c r="N2594" s="475">
        <f t="shared" si="155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53"/>
        <v>-7894677105.2864733</v>
      </c>
      <c r="J2595" s="455">
        <f t="array" ref="J2595">IFERROR(INDEX('Retirement Calculator'!J:J,MATCH('Isaac 401k'!N2595,'Retirement Calculator'!A:A,0),0),0)</f>
        <v>0</v>
      </c>
      <c r="K2595" s="455">
        <f t="shared" ca="1" si="151"/>
        <v>-32894487.938693643</v>
      </c>
      <c r="L2595" s="455">
        <f t="shared" ca="1" si="152"/>
        <v>-7927571593.2251673</v>
      </c>
      <c r="M2595" s="471">
        <f t="shared" si="154"/>
        <v>0.05</v>
      </c>
      <c r="N2595" s="475">
        <f t="shared" si="155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53"/>
        <v>-7927571593.2251673</v>
      </c>
      <c r="J2596" s="455">
        <f t="array" ref="J2596">IFERROR(INDEX('Retirement Calculator'!J:J,MATCH('Isaac 401k'!N2596,'Retirement Calculator'!A:A,0),0),0)</f>
        <v>0</v>
      </c>
      <c r="K2596" s="455">
        <f t="shared" ca="1" si="151"/>
        <v>-33031548.305104863</v>
      </c>
      <c r="L2596" s="455">
        <f t="shared" ca="1" si="152"/>
        <v>-7960603141.5302725</v>
      </c>
      <c r="M2596" s="471">
        <f t="shared" si="154"/>
        <v>0.05</v>
      </c>
      <c r="N2596" s="475">
        <f t="shared" si="155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53"/>
        <v>-7960603141.5302725</v>
      </c>
      <c r="J2597" s="455">
        <f t="array" ref="J2597">IFERROR(INDEX('Retirement Calculator'!J:J,MATCH('Isaac 401k'!N2597,'Retirement Calculator'!A:A,0),0),0)</f>
        <v>0</v>
      </c>
      <c r="K2597" s="455">
        <f t="shared" ca="1" si="151"/>
        <v>-33169179.756376136</v>
      </c>
      <c r="L2597" s="455">
        <f t="shared" ca="1" si="152"/>
        <v>-7993772321.2866488</v>
      </c>
      <c r="M2597" s="471">
        <f t="shared" si="154"/>
        <v>0.05</v>
      </c>
      <c r="N2597" s="475">
        <f t="shared" si="155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53"/>
        <v>-7993772321.2866488</v>
      </c>
      <c r="J2598" s="455">
        <f t="array" ref="J2598">IFERROR(INDEX('Retirement Calculator'!J:J,MATCH('Isaac 401k'!N2598,'Retirement Calculator'!A:A,0),0),0)</f>
        <v>0</v>
      </c>
      <c r="K2598" s="455">
        <f t="shared" ca="1" si="151"/>
        <v>-33307384.672027703</v>
      </c>
      <c r="L2598" s="455">
        <f t="shared" ca="1" si="152"/>
        <v>-8027079705.9586763</v>
      </c>
      <c r="M2598" s="471">
        <f t="shared" si="154"/>
        <v>0.05</v>
      </c>
      <c r="N2598" s="475">
        <f t="shared" si="155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53"/>
        <v>-8027079705.9586763</v>
      </c>
      <c r="J2599" s="455">
        <f t="array" ref="J2599">IFERROR(INDEX('Retirement Calculator'!J:J,MATCH('Isaac 401k'!N2599,'Retirement Calculator'!A:A,0),0),0)</f>
        <v>0</v>
      </c>
      <c r="K2599" s="455">
        <f t="shared" ca="1" si="151"/>
        <v>-33446165.441494487</v>
      </c>
      <c r="L2599" s="455">
        <f t="shared" ca="1" si="152"/>
        <v>-8060525871.4001713</v>
      </c>
      <c r="M2599" s="471">
        <f t="shared" si="154"/>
        <v>0.05</v>
      </c>
      <c r="N2599" s="475">
        <f t="shared" si="155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53"/>
        <v>-8060525871.4001713</v>
      </c>
      <c r="J2600" s="455">
        <f t="array" ref="J2600">IFERROR(INDEX('Retirement Calculator'!J:J,MATCH('Isaac 401k'!N2600,'Retirement Calculator'!A:A,0),0),0)</f>
        <v>0</v>
      </c>
      <c r="K2600" s="455">
        <f t="shared" ca="1" si="151"/>
        <v>-33585524.464167379</v>
      </c>
      <c r="L2600" s="455">
        <f t="shared" ca="1" si="152"/>
        <v>-8094111395.8643389</v>
      </c>
      <c r="M2600" s="471">
        <f t="shared" si="154"/>
        <v>0.05</v>
      </c>
      <c r="N2600" s="475">
        <f t="shared" si="155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53"/>
        <v>-8094111395.8643389</v>
      </c>
      <c r="J2601" s="455">
        <f t="array" ref="J2601">IFERROR(INDEX('Retirement Calculator'!J:J,MATCH('Isaac 401k'!N2601,'Retirement Calculator'!A:A,0),0),0)</f>
        <v>0</v>
      </c>
      <c r="K2601" s="455">
        <f t="shared" ca="1" si="151"/>
        <v>-33725464.149434745</v>
      </c>
      <c r="L2601" s="455">
        <f t="shared" ca="1" si="152"/>
        <v>-8127836860.0137739</v>
      </c>
      <c r="M2601" s="471">
        <f t="shared" si="154"/>
        <v>0.05</v>
      </c>
      <c r="N2601" s="475">
        <f t="shared" si="155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53"/>
        <v>-8127836860.0137739</v>
      </c>
      <c r="J2602" s="455">
        <f t="array" ref="J2602">IFERROR(INDEX('Retirement Calculator'!J:J,MATCH('Isaac 401k'!N2602,'Retirement Calculator'!A:A,0),0),0)</f>
        <v>0</v>
      </c>
      <c r="K2602" s="455">
        <f t="shared" ca="1" si="151"/>
        <v>-33865986.916724056</v>
      </c>
      <c r="L2602" s="455">
        <f t="shared" ca="1" si="152"/>
        <v>-8161702846.9304981</v>
      </c>
      <c r="M2602" s="471">
        <f t="shared" si="154"/>
        <v>0.05</v>
      </c>
      <c r="N2602" s="475">
        <f t="shared" si="155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53"/>
        <v>-8161702846.9304981</v>
      </c>
      <c r="J2603" s="455">
        <f t="array" ref="J2603">IFERROR(INDEX('Retirement Calculator'!J:J,MATCH('Isaac 401k'!N2603,'Retirement Calculator'!A:A,0),0),0)</f>
        <v>0</v>
      </c>
      <c r="K2603" s="455">
        <f t="shared" ca="1" si="151"/>
        <v>-34007095.195543744</v>
      </c>
      <c r="L2603" s="455">
        <f t="shared" ca="1" si="152"/>
        <v>-8195709942.1260414</v>
      </c>
      <c r="M2603" s="471">
        <f t="shared" si="154"/>
        <v>0.05</v>
      </c>
      <c r="N2603" s="475">
        <f t="shared" si="155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53"/>
        <v>-8195709942.1260414</v>
      </c>
      <c r="J2604" s="455">
        <f t="array" ref="J2604">IFERROR(INDEX('Retirement Calculator'!J:J,MATCH('Isaac 401k'!N2604,'Retirement Calculator'!A:A,0),0),0)</f>
        <v>0</v>
      </c>
      <c r="K2604" s="455">
        <f t="shared" ca="1" si="151"/>
        <v>-34148791.425525174</v>
      </c>
      <c r="L2604" s="455">
        <f t="shared" ca="1" si="152"/>
        <v>-8229858733.5515661</v>
      </c>
      <c r="M2604" s="471">
        <f t="shared" si="154"/>
        <v>0.05</v>
      </c>
      <c r="N2604" s="475">
        <f t="shared" si="155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53"/>
        <v>-8229858733.5515661</v>
      </c>
      <c r="J2605" s="455">
        <f t="array" ref="J2605">IFERROR(INDEX('Retirement Calculator'!J:J,MATCH('Isaac 401k'!N2605,'Retirement Calculator'!A:A,0),0),0)</f>
        <v>0</v>
      </c>
      <c r="K2605" s="455">
        <f t="shared" ca="1" si="151"/>
        <v>-34291078.056464866</v>
      </c>
      <c r="L2605" s="455">
        <f t="shared" ca="1" si="152"/>
        <v>-8264149811.6080313</v>
      </c>
      <c r="M2605" s="471">
        <f t="shared" si="154"/>
        <v>0.05</v>
      </c>
      <c r="N2605" s="475">
        <f t="shared" si="155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53"/>
        <v>-8264149811.6080313</v>
      </c>
      <c r="J2606" s="455">
        <f t="array" ref="J2606">IFERROR(INDEX('Retirement Calculator'!J:J,MATCH('Isaac 401k'!N2606,'Retirement Calculator'!A:A,0),0),0)</f>
        <v>0</v>
      </c>
      <c r="K2606" s="455">
        <f t="shared" ca="1" si="151"/>
        <v>-34433957.5483668</v>
      </c>
      <c r="L2606" s="455">
        <f t="shared" ca="1" si="152"/>
        <v>-8298583769.1563978</v>
      </c>
      <c r="M2606" s="471">
        <f t="shared" si="154"/>
        <v>0.05</v>
      </c>
      <c r="N2606" s="475">
        <f t="shared" si="155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53"/>
        <v>-8298583769.1563978</v>
      </c>
      <c r="J2607" s="455">
        <f t="array" ref="J2607">IFERROR(INDEX('Retirement Calculator'!J:J,MATCH('Isaac 401k'!N2607,'Retirement Calculator'!A:A,0),0),0)</f>
        <v>0</v>
      </c>
      <c r="K2607" s="455">
        <f t="shared" ca="1" si="151"/>
        <v>-34577432.371484987</v>
      </c>
      <c r="L2607" s="455">
        <f t="shared" ca="1" si="152"/>
        <v>-8333161201.5278826</v>
      </c>
      <c r="M2607" s="471">
        <f t="shared" si="154"/>
        <v>0.05</v>
      </c>
      <c r="N2607" s="475">
        <f t="shared" si="155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53"/>
        <v>-8333161201.5278826</v>
      </c>
      <c r="J2608" s="455">
        <f t="array" ref="J2608">IFERROR(INDEX('Retirement Calculator'!J:J,MATCH('Isaac 401k'!N2608,'Retirement Calculator'!A:A,0),0),0)</f>
        <v>0</v>
      </c>
      <c r="K2608" s="455">
        <f t="shared" ca="1" si="151"/>
        <v>-34721505.006366178</v>
      </c>
      <c r="L2608" s="455">
        <f t="shared" ca="1" si="152"/>
        <v>-8367882706.5342484</v>
      </c>
      <c r="M2608" s="471">
        <f t="shared" si="154"/>
        <v>0.05</v>
      </c>
      <c r="N2608" s="475">
        <f t="shared" si="155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53"/>
        <v>-8367882706.5342484</v>
      </c>
      <c r="J2609" s="455">
        <f t="array" ref="J2609">IFERROR(INDEX('Retirement Calculator'!J:J,MATCH('Isaac 401k'!N2609,'Retirement Calculator'!A:A,0),0),0)</f>
        <v>0</v>
      </c>
      <c r="K2609" s="455">
        <f t="shared" ca="1" si="151"/>
        <v>-34866177.943892695</v>
      </c>
      <c r="L2609" s="455">
        <f t="shared" ca="1" si="152"/>
        <v>-8402748884.4781408</v>
      </c>
      <c r="M2609" s="471">
        <f t="shared" si="154"/>
        <v>0.05</v>
      </c>
      <c r="N2609" s="475">
        <f t="shared" si="155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53"/>
        <v>-8402748884.4781408</v>
      </c>
      <c r="J2610" s="455">
        <f t="array" ref="J2610">IFERROR(INDEX('Retirement Calculator'!J:J,MATCH('Isaac 401k'!N2610,'Retirement Calculator'!A:A,0),0),0)</f>
        <v>0</v>
      </c>
      <c r="K2610" s="455">
        <f t="shared" ca="1" si="151"/>
        <v>-35011453.685325585</v>
      </c>
      <c r="L2610" s="455">
        <f t="shared" ca="1" si="152"/>
        <v>-8437760338.1634665</v>
      </c>
      <c r="M2610" s="471">
        <f t="shared" si="154"/>
        <v>0.05</v>
      </c>
      <c r="N2610" s="475">
        <f t="shared" si="155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53"/>
        <v>-8437760338.1634665</v>
      </c>
      <c r="J2611" s="455">
        <f t="array" ref="J2611">IFERROR(INDEX('Retirement Calculator'!J:J,MATCH('Isaac 401k'!N2611,'Retirement Calculator'!A:A,0),0),0)</f>
        <v>0</v>
      </c>
      <c r="K2611" s="455">
        <f t="shared" ca="1" si="151"/>
        <v>-35157334.742347777</v>
      </c>
      <c r="L2611" s="455">
        <f t="shared" ca="1" si="152"/>
        <v>-8472917672.9058142</v>
      </c>
      <c r="M2611" s="471">
        <f t="shared" si="154"/>
        <v>0.05</v>
      </c>
      <c r="N2611" s="475">
        <f t="shared" si="155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53"/>
        <v>-8472917672.9058142</v>
      </c>
      <c r="J2612" s="455">
        <f t="array" ref="J2612">IFERROR(INDEX('Retirement Calculator'!J:J,MATCH('Isaac 401k'!N2612,'Retirement Calculator'!A:A,0),0),0)</f>
        <v>0</v>
      </c>
      <c r="K2612" s="455">
        <f t="shared" ca="1" si="151"/>
        <v>-35303823.637107559</v>
      </c>
      <c r="L2612" s="455">
        <f t="shared" ca="1" si="152"/>
        <v>-8508221496.542922</v>
      </c>
      <c r="M2612" s="471">
        <f t="shared" si="154"/>
        <v>0.05</v>
      </c>
      <c r="N2612" s="475">
        <f t="shared" si="155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53"/>
        <v>-8508221496.542922</v>
      </c>
      <c r="J2613" s="455">
        <f t="array" ref="J2613">IFERROR(INDEX('Retirement Calculator'!J:J,MATCH('Isaac 401k'!N2613,'Retirement Calculator'!A:A,0),0),0)</f>
        <v>0</v>
      </c>
      <c r="K2613" s="455">
        <f t="shared" ca="1" si="151"/>
        <v>-35450922.902262174</v>
      </c>
      <c r="L2613" s="455">
        <f t="shared" ca="1" si="152"/>
        <v>-8543672419.4451838</v>
      </c>
      <c r="M2613" s="471">
        <f t="shared" si="154"/>
        <v>0.05</v>
      </c>
      <c r="N2613" s="475">
        <f t="shared" si="155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53"/>
        <v>-8543672419.4451838</v>
      </c>
      <c r="J2614" s="455">
        <f t="array" ref="J2614">IFERROR(INDEX('Retirement Calculator'!J:J,MATCH('Isaac 401k'!N2614,'Retirement Calculator'!A:A,0),0),0)</f>
        <v>0</v>
      </c>
      <c r="K2614" s="455">
        <f t="shared" ca="1" si="151"/>
        <v>-35598635.081021599</v>
      </c>
      <c r="L2614" s="455">
        <f t="shared" ca="1" si="152"/>
        <v>-8579271054.5262051</v>
      </c>
      <c r="M2614" s="471">
        <f t="shared" si="154"/>
        <v>0.05</v>
      </c>
      <c r="N2614" s="475">
        <f t="shared" si="155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53"/>
        <v>-8579271054.5262051</v>
      </c>
      <c r="J2615" s="455">
        <f t="array" ref="J2615">IFERROR(INDEX('Retirement Calculator'!J:J,MATCH('Isaac 401k'!N2615,'Retirement Calculator'!A:A,0),0),0)</f>
        <v>0</v>
      </c>
      <c r="K2615" s="455">
        <f t="shared" ca="1" si="151"/>
        <v>-35746962.727192521</v>
      </c>
      <c r="L2615" s="455">
        <f t="shared" ca="1" si="152"/>
        <v>-8615018017.253397</v>
      </c>
      <c r="M2615" s="471">
        <f t="shared" si="154"/>
        <v>0.05</v>
      </c>
      <c r="N2615" s="475">
        <f t="shared" si="155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53"/>
        <v>-8615018017.253397</v>
      </c>
      <c r="J2616" s="455">
        <f t="array" ref="J2616">IFERROR(INDEX('Retirement Calculator'!J:J,MATCH('Isaac 401k'!N2616,'Retirement Calculator'!A:A,0),0),0)</f>
        <v>0</v>
      </c>
      <c r="K2616" s="455">
        <f t="shared" ca="1" si="151"/>
        <v>-35895908.40522249</v>
      </c>
      <c r="L2616" s="455">
        <f t="shared" ca="1" si="152"/>
        <v>-8650913925.6586189</v>
      </c>
      <c r="M2616" s="471">
        <f t="shared" si="154"/>
        <v>0.05</v>
      </c>
      <c r="N2616" s="475">
        <f t="shared" si="155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53"/>
        <v>-8650913925.6586189</v>
      </c>
      <c r="J2617" s="455">
        <f t="array" ref="J2617">IFERROR(INDEX('Retirement Calculator'!J:J,MATCH('Isaac 401k'!N2617,'Retirement Calculator'!A:A,0),0),0)</f>
        <v>0</v>
      </c>
      <c r="K2617" s="455">
        <f t="shared" ca="1" si="151"/>
        <v>-36045474.690244243</v>
      </c>
      <c r="L2617" s="455">
        <f t="shared" ca="1" si="152"/>
        <v>-8686959400.3488636</v>
      </c>
      <c r="M2617" s="471">
        <f t="shared" si="154"/>
        <v>0.05</v>
      </c>
      <c r="N2617" s="475">
        <f t="shared" si="155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53"/>
        <v>-8686959400.3488636</v>
      </c>
      <c r="J2618" s="455">
        <f t="array" ref="J2618">IFERROR(INDEX('Retirement Calculator'!J:J,MATCH('Isaac 401k'!N2618,'Retirement Calculator'!A:A,0),0),0)</f>
        <v>0</v>
      </c>
      <c r="K2618" s="455">
        <f t="shared" ca="1" si="151"/>
        <v>-36195664.168120265</v>
      </c>
      <c r="L2618" s="455">
        <f t="shared" ca="1" si="152"/>
        <v>-8723155064.516983</v>
      </c>
      <c r="M2618" s="471">
        <f t="shared" si="154"/>
        <v>0.05</v>
      </c>
      <c r="N2618" s="475">
        <f t="shared" si="155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53"/>
        <v>-8723155064.516983</v>
      </c>
      <c r="J2619" s="455">
        <f t="array" ref="J2619">IFERROR(INDEX('Retirement Calculator'!J:J,MATCH('Isaac 401k'!N2619,'Retirement Calculator'!A:A,0),0),0)</f>
        <v>0</v>
      </c>
      <c r="K2619" s="455">
        <f t="shared" ca="1" si="151"/>
        <v>-36346479.435487427</v>
      </c>
      <c r="L2619" s="455">
        <f t="shared" ca="1" si="152"/>
        <v>-8759501543.9524708</v>
      </c>
      <c r="M2619" s="471">
        <f t="shared" si="154"/>
        <v>0.05</v>
      </c>
      <c r="N2619" s="475">
        <f t="shared" si="155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53"/>
        <v>-8759501543.9524708</v>
      </c>
      <c r="J2620" s="455">
        <f t="array" ref="J2620">IFERROR(INDEX('Retirement Calculator'!J:J,MATCH('Isaac 401k'!N2620,'Retirement Calculator'!A:A,0),0),0)</f>
        <v>0</v>
      </c>
      <c r="K2620" s="455">
        <f t="shared" ca="1" si="151"/>
        <v>-36497923.099801958</v>
      </c>
      <c r="L2620" s="455">
        <f t="shared" ca="1" si="152"/>
        <v>-8795999467.0522728</v>
      </c>
      <c r="M2620" s="471">
        <f t="shared" si="154"/>
        <v>0.05</v>
      </c>
      <c r="N2620" s="475">
        <f t="shared" si="155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53"/>
        <v>-8795999467.0522728</v>
      </c>
      <c r="J2621" s="455">
        <f t="array" ref="J2621">IFERROR(INDEX('Retirement Calculator'!J:J,MATCH('Isaac 401k'!N2621,'Retirement Calculator'!A:A,0),0),0)</f>
        <v>0</v>
      </c>
      <c r="K2621" s="455">
        <f t="shared" ca="1" si="151"/>
        <v>-36649997.779384471</v>
      </c>
      <c r="L2621" s="455">
        <f t="shared" ca="1" si="152"/>
        <v>-8832649464.8316574</v>
      </c>
      <c r="M2621" s="471">
        <f t="shared" si="154"/>
        <v>0.05</v>
      </c>
      <c r="N2621" s="475">
        <f t="shared" si="155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53"/>
        <v>-8832649464.8316574</v>
      </c>
      <c r="J2622" s="455">
        <f t="array" ref="J2622">IFERROR(INDEX('Retirement Calculator'!J:J,MATCH('Isaac 401k'!N2622,'Retirement Calculator'!A:A,0),0),0)</f>
        <v>0</v>
      </c>
      <c r="K2622" s="455">
        <f t="shared" ca="1" si="151"/>
        <v>-36802706.103465237</v>
      </c>
      <c r="L2622" s="455">
        <f t="shared" ca="1" si="152"/>
        <v>-8869452170.9351234</v>
      </c>
      <c r="M2622" s="471">
        <f t="shared" si="154"/>
        <v>0.05</v>
      </c>
      <c r="N2622" s="475">
        <f t="shared" si="155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53"/>
        <v>-8869452170.9351234</v>
      </c>
      <c r="J2623" s="455">
        <f t="array" ref="J2623">IFERROR(INDEX('Retirement Calculator'!J:J,MATCH('Isaac 401k'!N2623,'Retirement Calculator'!A:A,0),0),0)</f>
        <v>0</v>
      </c>
      <c r="K2623" s="455">
        <f t="shared" ca="1" si="151"/>
        <v>-36956050.712229684</v>
      </c>
      <c r="L2623" s="455">
        <f t="shared" ca="1" si="152"/>
        <v>-8906408221.6473522</v>
      </c>
      <c r="M2623" s="471">
        <f t="shared" si="154"/>
        <v>0.05</v>
      </c>
      <c r="N2623" s="475">
        <f t="shared" si="155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53"/>
        <v>-8906408221.6473522</v>
      </c>
      <c r="J2624" s="455">
        <f t="array" ref="J2624">IFERROR(INDEX('Retirement Calculator'!J:J,MATCH('Isaac 401k'!N2624,'Retirement Calculator'!A:A,0),0),0)</f>
        <v>0</v>
      </c>
      <c r="K2624" s="455">
        <f t="shared" ca="1" si="151"/>
        <v>-37110034.256863967</v>
      </c>
      <c r="L2624" s="455">
        <f t="shared" ca="1" si="152"/>
        <v>-8943518255.9042168</v>
      </c>
      <c r="M2624" s="471">
        <f t="shared" si="154"/>
        <v>0.05</v>
      </c>
      <c r="N2624" s="475">
        <f t="shared" si="155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53"/>
        <v>-8943518255.9042168</v>
      </c>
      <c r="J2625" s="455">
        <f t="array" ref="J2625">IFERROR(INDEX('Retirement Calculator'!J:J,MATCH('Isaac 401k'!N2625,'Retirement Calculator'!A:A,0),0),0)</f>
        <v>0</v>
      </c>
      <c r="K2625" s="455">
        <f t="shared" ca="1" si="151"/>
        <v>-37264659.399600901</v>
      </c>
      <c r="L2625" s="455">
        <f t="shared" ca="1" si="152"/>
        <v>-8980782915.3038177</v>
      </c>
      <c r="M2625" s="471">
        <f t="shared" si="154"/>
        <v>0.05</v>
      </c>
      <c r="N2625" s="475">
        <f t="shared" si="155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53"/>
        <v>-8980782915.3038177</v>
      </c>
      <c r="J2626" s="455">
        <f t="array" ref="J2626">IFERROR(INDEX('Retirement Calculator'!J:J,MATCH('Isaac 401k'!N2626,'Retirement Calculator'!A:A,0),0),0)</f>
        <v>0</v>
      </c>
      <c r="K2626" s="455">
        <f t="shared" ca="1" si="151"/>
        <v>-37419928.813765906</v>
      </c>
      <c r="L2626" s="455">
        <f t="shared" ca="1" si="152"/>
        <v>-9018202844.1175842</v>
      </c>
      <c r="M2626" s="471">
        <f t="shared" si="154"/>
        <v>0.05</v>
      </c>
      <c r="N2626" s="475">
        <f t="shared" si="155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53"/>
        <v>-9018202844.1175842</v>
      </c>
      <c r="J2627" s="455">
        <f t="array" ref="J2627">IFERROR(INDEX('Retirement Calculator'!J:J,MATCH('Isaac 401k'!N2627,'Retirement Calculator'!A:A,0),0),0)</f>
        <v>0</v>
      </c>
      <c r="K2627" s="455">
        <f t="shared" ca="1" si="151"/>
        <v>-37575845.183823265</v>
      </c>
      <c r="L2627" s="455">
        <f t="shared" ca="1" si="152"/>
        <v>-9055778689.3014069</v>
      </c>
      <c r="M2627" s="471">
        <f t="shared" si="154"/>
        <v>0.05</v>
      </c>
      <c r="N2627" s="475">
        <f t="shared" si="155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53"/>
        <v>-9055778689.3014069</v>
      </c>
      <c r="J2628" s="455">
        <f t="array" ref="J2628">IFERROR(INDEX('Retirement Calculator'!J:J,MATCH('Isaac 401k'!N2628,'Retirement Calculator'!A:A,0),0),0)</f>
        <v>0</v>
      </c>
      <c r="K2628" s="455">
        <f t="shared" ca="1" si="151"/>
        <v>-37732411.205422528</v>
      </c>
      <c r="L2628" s="455">
        <f t="shared" ca="1" si="152"/>
        <v>-9093511100.5068302</v>
      </c>
      <c r="M2628" s="471">
        <f t="shared" si="154"/>
        <v>0.05</v>
      </c>
      <c r="N2628" s="475">
        <f t="shared" si="155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53"/>
        <v>-9093511100.5068302</v>
      </c>
      <c r="J2629" s="455">
        <f t="array" ref="J2629">IFERROR(INDEX('Retirement Calculator'!J:J,MATCH('Isaac 401k'!N2629,'Retirement Calculator'!A:A,0),0),0)</f>
        <v>0</v>
      </c>
      <c r="K2629" s="455">
        <f t="shared" ca="1" si="151"/>
        <v>-37889629.585445128</v>
      </c>
      <c r="L2629" s="455">
        <f t="shared" ca="1" si="152"/>
        <v>-9131400730.0922756</v>
      </c>
      <c r="M2629" s="471">
        <f t="shared" si="154"/>
        <v>0.05</v>
      </c>
      <c r="N2629" s="475">
        <f t="shared" si="155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53"/>
        <v>-9131400730.0922756</v>
      </c>
      <c r="J2630" s="455">
        <f t="array" ref="J2630">IFERROR(INDEX('Retirement Calculator'!J:J,MATCH('Isaac 401k'!N2630,'Retirement Calculator'!A:A,0),0),0)</f>
        <v>0</v>
      </c>
      <c r="K2630" s="455">
        <f t="shared" ca="1" si="151"/>
        <v>-38047503.042051151</v>
      </c>
      <c r="L2630" s="455">
        <f t="shared" ca="1" si="152"/>
        <v>-9169448233.1343269</v>
      </c>
      <c r="M2630" s="471">
        <f t="shared" si="154"/>
        <v>0.05</v>
      </c>
      <c r="N2630" s="475">
        <f t="shared" si="155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53"/>
        <v>-9169448233.1343269</v>
      </c>
      <c r="J2631" s="455">
        <f t="array" ref="J2631">IFERROR(INDEX('Retirement Calculator'!J:J,MATCH('Isaac 401k'!N2631,'Retirement Calculator'!A:A,0),0),0)</f>
        <v>0</v>
      </c>
      <c r="K2631" s="455">
        <f t="shared" ca="1" si="151"/>
        <v>-38206034.304726362</v>
      </c>
      <c r="L2631" s="455">
        <f t="shared" ca="1" si="152"/>
        <v>-9207654267.4390526</v>
      </c>
      <c r="M2631" s="471">
        <f t="shared" si="154"/>
        <v>0.05</v>
      </c>
      <c r="N2631" s="475">
        <f t="shared" si="155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53"/>
        <v>-9207654267.4390526</v>
      </c>
      <c r="J2632" s="455">
        <f t="array" ref="J2632">IFERROR(INDEX('Retirement Calculator'!J:J,MATCH('Isaac 401k'!N2632,'Retirement Calculator'!A:A,0),0),0)</f>
        <v>0</v>
      </c>
      <c r="K2632" s="455">
        <f t="shared" ca="1" si="151"/>
        <v>-38365226.114329383</v>
      </c>
      <c r="L2632" s="455">
        <f t="shared" ca="1" si="152"/>
        <v>-9246019493.5533829</v>
      </c>
      <c r="M2632" s="471">
        <f t="shared" si="154"/>
        <v>0.05</v>
      </c>
      <c r="N2632" s="475">
        <f t="shared" si="155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53"/>
        <v>-9246019493.5533829</v>
      </c>
      <c r="J2633" s="455">
        <f t="array" ref="J2633">IFERROR(INDEX('Retirement Calculator'!J:J,MATCH('Isaac 401k'!N2633,'Retirement Calculator'!A:A,0),0),0)</f>
        <v>0</v>
      </c>
      <c r="K2633" s="455">
        <f t="shared" ca="1" si="151"/>
        <v>-38525081.223139092</v>
      </c>
      <c r="L2633" s="455">
        <f t="shared" ca="1" si="152"/>
        <v>-9284544574.7765217</v>
      </c>
      <c r="M2633" s="471">
        <f t="shared" si="154"/>
        <v>0.05</v>
      </c>
      <c r="N2633" s="475">
        <f t="shared" si="155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53"/>
        <v>-9284544574.7765217</v>
      </c>
      <c r="J2634" s="455">
        <f t="array" ref="J2634">IFERROR(INDEX('Retirement Calculator'!J:J,MATCH('Isaac 401k'!N2634,'Retirement Calculator'!A:A,0),0),0)</f>
        <v>0</v>
      </c>
      <c r="K2634" s="455">
        <f t="shared" ca="1" si="151"/>
        <v>-38685602.39490217</v>
      </c>
      <c r="L2634" s="455">
        <f t="shared" ca="1" si="152"/>
        <v>-9323230177.171423</v>
      </c>
      <c r="M2634" s="471">
        <f t="shared" si="154"/>
        <v>0.05</v>
      </c>
      <c r="N2634" s="475">
        <f t="shared" si="155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53"/>
        <v>-9323230177.171423</v>
      </c>
      <c r="J2635" s="455">
        <f t="array" ref="J2635">IFERROR(INDEX('Retirement Calculator'!J:J,MATCH('Isaac 401k'!N2635,'Retirement Calculator'!A:A,0),0),0)</f>
        <v>0</v>
      </c>
      <c r="K2635" s="455">
        <f t="shared" ca="1" si="151"/>
        <v>-38846792.404880926</v>
      </c>
      <c r="L2635" s="455">
        <f t="shared" ca="1" si="152"/>
        <v>-9362076969.5763035</v>
      </c>
      <c r="M2635" s="471">
        <f t="shared" si="154"/>
        <v>0.05</v>
      </c>
      <c r="N2635" s="475">
        <f t="shared" si="155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53"/>
        <v>-9362076969.5763035</v>
      </c>
      <c r="J2636" s="455">
        <f t="array" ref="J2636">IFERROR(INDEX('Retirement Calculator'!J:J,MATCH('Isaac 401k'!N2636,'Retirement Calculator'!A:A,0),0),0)</f>
        <v>0</v>
      </c>
      <c r="K2636" s="455">
        <f t="shared" ca="1" si="151"/>
        <v>-39008654.039901264</v>
      </c>
      <c r="L2636" s="455">
        <f t="shared" ca="1" si="152"/>
        <v>-9401085623.6162052</v>
      </c>
      <c r="M2636" s="471">
        <f t="shared" si="154"/>
        <v>0.05</v>
      </c>
      <c r="N2636" s="475">
        <f t="shared" si="155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53"/>
        <v>-9401085623.6162052</v>
      </c>
      <c r="J2637" s="455">
        <f t="array" ref="J2637">IFERROR(INDEX('Retirement Calculator'!J:J,MATCH('Isaac 401k'!N2637,'Retirement Calculator'!A:A,0),0),0)</f>
        <v>0</v>
      </c>
      <c r="K2637" s="455">
        <f t="shared" ca="1" si="151"/>
        <v>-39171190.098400854</v>
      </c>
      <c r="L2637" s="455">
        <f t="shared" ca="1" si="152"/>
        <v>-9440256813.7146053</v>
      </c>
      <c r="M2637" s="471">
        <f t="shared" si="154"/>
        <v>0.05</v>
      </c>
      <c r="N2637" s="475">
        <f t="shared" si="155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53"/>
        <v>-9440256813.7146053</v>
      </c>
      <c r="J2638" s="455">
        <f t="array" ref="J2638">IFERROR(INDEX('Retirement Calculator'!J:J,MATCH('Isaac 401k'!N2638,'Retirement Calculator'!A:A,0),0),0)</f>
        <v>0</v>
      </c>
      <c r="K2638" s="455">
        <f t="shared" ca="1" si="151"/>
        <v>-39334403.390477523</v>
      </c>
      <c r="L2638" s="455">
        <f t="shared" ca="1" si="152"/>
        <v>-9479591217.1050835</v>
      </c>
      <c r="M2638" s="471">
        <f t="shared" si="154"/>
        <v>0.05</v>
      </c>
      <c r="N2638" s="475">
        <f t="shared" si="155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53"/>
        <v>-9479591217.1050835</v>
      </c>
      <c r="J2639" s="455">
        <f t="array" ref="J2639">IFERROR(INDEX('Retirement Calculator'!J:J,MATCH('Isaac 401k'!N2639,'Retirement Calculator'!A:A,0),0),0)</f>
        <v>0</v>
      </c>
      <c r="K2639" s="455">
        <f t="shared" ca="1" si="151"/>
        <v>-39498296.737937845</v>
      </c>
      <c r="L2639" s="455">
        <f t="shared" ca="1" si="152"/>
        <v>-9519089513.8430214</v>
      </c>
      <c r="M2639" s="471">
        <f t="shared" si="154"/>
        <v>0.05</v>
      </c>
      <c r="N2639" s="475">
        <f t="shared" si="155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53"/>
        <v>-9519089513.8430214</v>
      </c>
      <c r="J2640" s="455">
        <f t="array" ref="J2640">IFERROR(INDEX('Retirement Calculator'!J:J,MATCH('Isaac 401k'!N2640,'Retirement Calculator'!A:A,0),0),0)</f>
        <v>0</v>
      </c>
      <c r="K2640" s="455">
        <f t="shared" ca="1" si="151"/>
        <v>-39662872.974345922</v>
      </c>
      <c r="L2640" s="455">
        <f t="shared" ca="1" si="152"/>
        <v>-9558752386.8173676</v>
      </c>
      <c r="M2640" s="471">
        <f t="shared" si="154"/>
        <v>0.05</v>
      </c>
      <c r="N2640" s="475">
        <f t="shared" si="155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53"/>
        <v>-9558752386.8173676</v>
      </c>
      <c r="J2641" s="455">
        <f t="array" ref="J2641">IFERROR(INDEX('Retirement Calculator'!J:J,MATCH('Isaac 401k'!N2641,'Retirement Calculator'!A:A,0),0),0)</f>
        <v>0</v>
      </c>
      <c r="K2641" s="455">
        <f t="shared" ca="1" si="151"/>
        <v>-39828134.945072368</v>
      </c>
      <c r="L2641" s="455">
        <f t="shared" ca="1" si="152"/>
        <v>-9598580521.7624397</v>
      </c>
      <c r="M2641" s="471">
        <f t="shared" si="154"/>
        <v>0.05</v>
      </c>
      <c r="N2641" s="475">
        <f t="shared" si="155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53"/>
        <v>-9598580521.7624397</v>
      </c>
      <c r="J2642" s="455">
        <f t="array" ref="J2642">IFERROR(INDEX('Retirement Calculator'!J:J,MATCH('Isaac 401k'!N2642,'Retirement Calculator'!A:A,0),0),0)</f>
        <v>0</v>
      </c>
      <c r="K2642" s="455">
        <f t="shared" ca="1" si="151"/>
        <v>-39994085.507343501</v>
      </c>
      <c r="L2642" s="455">
        <f t="shared" ca="1" si="152"/>
        <v>-9638574607.269783</v>
      </c>
      <c r="M2642" s="471">
        <f t="shared" si="154"/>
        <v>0.05</v>
      </c>
      <c r="N2642" s="475">
        <f t="shared" si="155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53"/>
        <v>-9638574607.269783</v>
      </c>
      <c r="J2643" s="455">
        <f t="array" ref="J2643">IFERROR(INDEX('Retirement Calculator'!J:J,MATCH('Isaac 401k'!N2643,'Retirement Calculator'!A:A,0),0),0)</f>
        <v>0</v>
      </c>
      <c r="K2643" s="455">
        <f t="shared" ca="1" si="151"/>
        <v>-40160727.53029076</v>
      </c>
      <c r="L2643" s="455">
        <f t="shared" ca="1" si="152"/>
        <v>-9678735334.8000736</v>
      </c>
      <c r="M2643" s="471">
        <f t="shared" si="154"/>
        <v>0.05</v>
      </c>
      <c r="N2643" s="475">
        <f t="shared" si="155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53"/>
        <v>-9678735334.8000736</v>
      </c>
      <c r="J2644" s="455">
        <f t="array" ref="J2644">IFERROR(INDEX('Retirement Calculator'!J:J,MATCH('Isaac 401k'!N2644,'Retirement Calculator'!A:A,0),0),0)</f>
        <v>0</v>
      </c>
      <c r="K2644" s="455">
        <f t="shared" ca="1" si="151"/>
        <v>-40328063.895000309</v>
      </c>
      <c r="L2644" s="455">
        <f t="shared" ca="1" si="152"/>
        <v>-9719063398.6950741</v>
      </c>
      <c r="M2644" s="471">
        <f t="shared" si="154"/>
        <v>0.05</v>
      </c>
      <c r="N2644" s="475">
        <f t="shared" si="155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53"/>
        <v>-9719063398.6950741</v>
      </c>
      <c r="J2645" s="455">
        <f t="array" ref="J2645">IFERROR(INDEX('Retirement Calculator'!J:J,MATCH('Isaac 401k'!N2645,'Retirement Calculator'!A:A,0),0),0)</f>
        <v>0</v>
      </c>
      <c r="K2645" s="455">
        <f t="shared" ca="1" si="151"/>
        <v>-40496097.494562805</v>
      </c>
      <c r="L2645" s="455">
        <f t="shared" ca="1" si="152"/>
        <v>-9759559496.1896362</v>
      </c>
      <c r="M2645" s="471">
        <f t="shared" si="154"/>
        <v>0.05</v>
      </c>
      <c r="N2645" s="475">
        <f t="shared" si="155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53"/>
        <v>-9759559496.1896362</v>
      </c>
      <c r="J2646" s="455">
        <f t="array" ref="J2646">IFERROR(INDEX('Retirement Calculator'!J:J,MATCH('Isaac 401k'!N2646,'Retirement Calculator'!A:A,0),0),0)</f>
        <v>0</v>
      </c>
      <c r="K2646" s="455">
        <f t="shared" ca="1" si="151"/>
        <v>-40664831.234123483</v>
      </c>
      <c r="L2646" s="455">
        <f t="shared" ca="1" si="152"/>
        <v>-9800224327.4237595</v>
      </c>
      <c r="M2646" s="471">
        <f t="shared" si="154"/>
        <v>0.05</v>
      </c>
      <c r="N2646" s="475">
        <f t="shared" si="155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53"/>
        <v>-9800224327.4237595</v>
      </c>
      <c r="J2647" s="455">
        <f t="array" ref="J2647">IFERROR(INDEX('Retirement Calculator'!J:J,MATCH('Isaac 401k'!N2647,'Retirement Calculator'!A:A,0),0),0)</f>
        <v>0</v>
      </c>
      <c r="K2647" s="455">
        <f t="shared" ca="1" si="151"/>
        <v>-40834268.03093233</v>
      </c>
      <c r="L2647" s="455">
        <f t="shared" ca="1" si="152"/>
        <v>-9841058595.4546909</v>
      </c>
      <c r="M2647" s="471">
        <f t="shared" si="154"/>
        <v>0.05</v>
      </c>
      <c r="N2647" s="475">
        <f t="shared" si="155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53"/>
        <v>-9841058595.4546909</v>
      </c>
      <c r="J2648" s="455">
        <f t="array" ref="J2648">IFERROR(INDEX('Retirement Calculator'!J:J,MATCH('Isaac 401k'!N2648,'Retirement Calculator'!A:A,0),0),0)</f>
        <v>0</v>
      </c>
      <c r="K2648" s="455">
        <f t="shared" ca="1" si="151"/>
        <v>-41004410.814394549</v>
      </c>
      <c r="L2648" s="455">
        <f t="shared" ca="1" si="152"/>
        <v>-9882063006.2690849</v>
      </c>
      <c r="M2648" s="471">
        <f t="shared" si="154"/>
        <v>0.05</v>
      </c>
      <c r="N2648" s="475">
        <f t="shared" si="155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53"/>
        <v>-9882063006.2690849</v>
      </c>
      <c r="J2649" s="455">
        <f t="array" ref="J2649">IFERROR(INDEX('Retirement Calculator'!J:J,MATCH('Isaac 401k'!N2649,'Retirement Calculator'!A:A,0),0),0)</f>
        <v>0</v>
      </c>
      <c r="K2649" s="455">
        <f t="shared" ca="1" si="151"/>
        <v>-41175262.526121184</v>
      </c>
      <c r="L2649" s="455">
        <f t="shared" ca="1" si="152"/>
        <v>-9923238268.7952061</v>
      </c>
      <c r="M2649" s="471">
        <f t="shared" si="154"/>
        <v>0.05</v>
      </c>
      <c r="N2649" s="475">
        <f t="shared" si="155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53"/>
        <v>-9923238268.7952061</v>
      </c>
      <c r="J2650" s="455">
        <f t="array" ref="J2650">IFERROR(INDEX('Retirement Calculator'!J:J,MATCH('Isaac 401k'!N2650,'Retirement Calculator'!A:A,0),0),0)</f>
        <v>0</v>
      </c>
      <c r="K2650" s="455">
        <f t="shared" ca="1" si="151"/>
        <v>-41346826.119980022</v>
      </c>
      <c r="L2650" s="455">
        <f t="shared" ca="1" si="152"/>
        <v>-9964585094.9151859</v>
      </c>
      <c r="M2650" s="471">
        <f t="shared" si="154"/>
        <v>0.05</v>
      </c>
      <c r="N2650" s="475">
        <f t="shared" si="155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53"/>
        <v>-9964585094.9151859</v>
      </c>
      <c r="J2651" s="455">
        <f t="array" ref="J2651">IFERROR(INDEX('Retirement Calculator'!J:J,MATCH('Isaac 401k'!N2651,'Retirement Calculator'!A:A,0),0),0)</f>
        <v>0</v>
      </c>
      <c r="K2651" s="455">
        <f t="shared" ca="1" si="151"/>
        <v>-41519104.562146604</v>
      </c>
      <c r="L2651" s="455">
        <f t="shared" ca="1" si="152"/>
        <v>-10006104199.477333</v>
      </c>
      <c r="M2651" s="471">
        <f t="shared" si="154"/>
        <v>0.05</v>
      </c>
      <c r="N2651" s="475">
        <f t="shared" si="155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53"/>
        <v>-10006104199.477333</v>
      </c>
      <c r="J2652" s="455">
        <f t="array" ref="J2652">IFERROR(INDEX('Retirement Calculator'!J:J,MATCH('Isaac 401k'!N2652,'Retirement Calculator'!A:A,0),0),0)</f>
        <v>0</v>
      </c>
      <c r="K2652" s="455">
        <f t="shared" ca="1" si="151"/>
        <v>-41692100.831155553</v>
      </c>
      <c r="L2652" s="455">
        <f t="shared" ca="1" si="152"/>
        <v>-10047796300.308489</v>
      </c>
      <c r="M2652" s="471">
        <f t="shared" si="154"/>
        <v>0.05</v>
      </c>
      <c r="N2652" s="475">
        <f t="shared" si="155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53"/>
        <v>-10047796300.308489</v>
      </c>
      <c r="J2653" s="455">
        <f t="array" ref="J2653">IFERROR(INDEX('Retirement Calculator'!J:J,MATCH('Isaac 401k'!N2653,'Retirement Calculator'!A:A,0),0),0)</f>
        <v>0</v>
      </c>
      <c r="K2653" s="455">
        <f t="shared" ca="1" si="151"/>
        <v>-41865817.917952038</v>
      </c>
      <c r="L2653" s="455">
        <f t="shared" ca="1" si="152"/>
        <v>-10089662118.22644</v>
      </c>
      <c r="M2653" s="471">
        <f t="shared" si="154"/>
        <v>0.05</v>
      </c>
      <c r="N2653" s="475">
        <f t="shared" si="155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53"/>
        <v>-10089662118.22644</v>
      </c>
      <c r="J2654" s="455">
        <f t="array" ref="J2654">IFERROR(INDEX('Retirement Calculator'!J:J,MATCH('Isaac 401k'!N2654,'Retirement Calculator'!A:A,0),0),0)</f>
        <v>0</v>
      </c>
      <c r="K2654" s="455">
        <f t="shared" ca="1" si="151"/>
        <v>-42040258.8259435</v>
      </c>
      <c r="L2654" s="455">
        <f t="shared" ca="1" si="152"/>
        <v>-10131702377.052383</v>
      </c>
      <c r="M2654" s="471">
        <f t="shared" si="154"/>
        <v>0.05</v>
      </c>
      <c r="N2654" s="475">
        <f t="shared" si="155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53"/>
        <v>-10131702377.052383</v>
      </c>
      <c r="J2655" s="455">
        <f t="array" ref="J2655">IFERROR(INDEX('Retirement Calculator'!J:J,MATCH('Isaac 401k'!N2655,'Retirement Calculator'!A:A,0),0),0)</f>
        <v>0</v>
      </c>
      <c r="K2655" s="455">
        <f t="shared" ca="1" si="151"/>
        <v>-42215426.571051598</v>
      </c>
      <c r="L2655" s="455">
        <f t="shared" ca="1" si="152"/>
        <v>-10173917803.623436</v>
      </c>
      <c r="M2655" s="471">
        <f t="shared" si="154"/>
        <v>0.05</v>
      </c>
      <c r="N2655" s="475">
        <f t="shared" si="155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53"/>
        <v>-10173917803.623436</v>
      </c>
      <c r="J2656" s="455">
        <f t="array" ref="J2656">IFERROR(INDEX('Retirement Calculator'!J:J,MATCH('Isaac 401k'!N2656,'Retirement Calculator'!A:A,0),0),0)</f>
        <v>0</v>
      </c>
      <c r="K2656" s="455">
        <f t="shared" ca="1" si="151"/>
        <v>-42391324.18176432</v>
      </c>
      <c r="L2656" s="455">
        <f t="shared" ca="1" si="152"/>
        <v>-10216309127.805201</v>
      </c>
      <c r="M2656" s="471">
        <f t="shared" si="154"/>
        <v>0.05</v>
      </c>
      <c r="N2656" s="475">
        <f t="shared" si="155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53"/>
        <v>-10216309127.805201</v>
      </c>
      <c r="J2657" s="455">
        <f t="array" ref="J2657">IFERROR(INDEX('Retirement Calculator'!J:J,MATCH('Isaac 401k'!N2657,'Retirement Calculator'!A:A,0),0),0)</f>
        <v>0</v>
      </c>
      <c r="K2657" s="455">
        <f t="shared" ca="1" si="151"/>
        <v>-42567954.699188337</v>
      </c>
      <c r="L2657" s="455">
        <f t="shared" ca="1" si="152"/>
        <v>-10258877082.504389</v>
      </c>
      <c r="M2657" s="471">
        <f t="shared" si="154"/>
        <v>0.05</v>
      </c>
      <c r="N2657" s="475">
        <f t="shared" si="155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53"/>
        <v>-10258877082.504389</v>
      </c>
      <c r="J2658" s="455">
        <f t="array" ref="J2658">IFERROR(INDEX('Retirement Calculator'!J:J,MATCH('Isaac 401k'!N2658,'Retirement Calculator'!A:A,0),0),0)</f>
        <v>0</v>
      </c>
      <c r="K2658" s="455">
        <f t="shared" ca="1" si="151"/>
        <v>-42745321.17710162</v>
      </c>
      <c r="L2658" s="455">
        <f t="shared" ca="1" si="152"/>
        <v>-10301622403.68149</v>
      </c>
      <c r="M2658" s="471">
        <f t="shared" si="154"/>
        <v>0.05</v>
      </c>
      <c r="N2658" s="475">
        <f t="shared" si="155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53"/>
        <v>-10301622403.68149</v>
      </c>
      <c r="J2659" s="455">
        <f t="array" ref="J2659">IFERROR(INDEX('Retirement Calculator'!J:J,MATCH('Isaac 401k'!N2659,'Retirement Calculator'!A:A,0),0),0)</f>
        <v>0</v>
      </c>
      <c r="K2659" s="455">
        <f t="shared" ca="1" si="151"/>
        <v>-42923426.68200621</v>
      </c>
      <c r="L2659" s="455">
        <f t="shared" ca="1" si="152"/>
        <v>-10344545830.363497</v>
      </c>
      <c r="M2659" s="471">
        <f t="shared" si="154"/>
        <v>0.05</v>
      </c>
      <c r="N2659" s="475">
        <f t="shared" si="155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53"/>
        <v>-10344545830.363497</v>
      </c>
      <c r="J2660" s="455">
        <f t="array" ref="J2660">IFERROR(INDEX('Retirement Calculator'!J:J,MATCH('Isaac 401k'!N2660,'Retirement Calculator'!A:A,0),0),0)</f>
        <v>0</v>
      </c>
      <c r="K2660" s="455">
        <f t="shared" ca="1" si="151"/>
        <v>-43102274.293181233</v>
      </c>
      <c r="L2660" s="455">
        <f t="shared" ca="1" si="152"/>
        <v>-10387648104.656677</v>
      </c>
      <c r="M2660" s="471">
        <f t="shared" si="154"/>
        <v>0.05</v>
      </c>
      <c r="N2660" s="475">
        <f t="shared" si="155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53"/>
        <v>-10387648104.656677</v>
      </c>
      <c r="J2661" s="455">
        <f t="array" ref="J2661">IFERROR(INDEX('Retirement Calculator'!J:J,MATCH('Isaac 401k'!N2661,'Retirement Calculator'!A:A,0),0),0)</f>
        <v>0</v>
      </c>
      <c r="K2661" s="455">
        <f t="shared" ca="1" si="151"/>
        <v>-43281867.102736153</v>
      </c>
      <c r="L2661" s="455">
        <f t="shared" ca="1" si="152"/>
        <v>-10430929971.759413</v>
      </c>
      <c r="M2661" s="471">
        <f t="shared" si="154"/>
        <v>0.05</v>
      </c>
      <c r="N2661" s="475">
        <f t="shared" si="155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53"/>
        <v>-10430929971.759413</v>
      </c>
      <c r="J2662" s="455">
        <f t="array" ref="J2662">IFERROR(INDEX('Retirement Calculator'!J:J,MATCH('Isaac 401k'!N2662,'Retirement Calculator'!A:A,0),0),0)</f>
        <v>0</v>
      </c>
      <c r="K2662" s="455">
        <f t="shared" ca="1" si="151"/>
        <v>-43462208.215664223</v>
      </c>
      <c r="L2662" s="455">
        <f t="shared" ca="1" si="152"/>
        <v>-10474392179.975077</v>
      </c>
      <c r="M2662" s="471">
        <f t="shared" si="154"/>
        <v>0.05</v>
      </c>
      <c r="N2662" s="475">
        <f t="shared" si="155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53"/>
        <v>-10474392179.975077</v>
      </c>
      <c r="J2663" s="455">
        <f t="array" ref="J2663">IFERROR(INDEX('Retirement Calculator'!J:J,MATCH('Isaac 401k'!N2663,'Retirement Calculator'!A:A,0),0),0)</f>
        <v>0</v>
      </c>
      <c r="K2663" s="455">
        <f t="shared" ca="1" si="151"/>
        <v>-43643300.749896154</v>
      </c>
      <c r="L2663" s="455">
        <f t="shared" ca="1" si="152"/>
        <v>-10518035480.724974</v>
      </c>
      <c r="M2663" s="471">
        <f t="shared" si="154"/>
        <v>0.05</v>
      </c>
      <c r="N2663" s="475">
        <f t="shared" si="155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53"/>
        <v>-10518035480.724974</v>
      </c>
      <c r="J2664" s="455">
        <f t="array" ref="J2664">IFERROR(INDEX('Retirement Calculator'!J:J,MATCH('Isaac 401k'!N2664,'Retirement Calculator'!A:A,0),0),0)</f>
        <v>0</v>
      </c>
      <c r="K2664" s="455">
        <f t="shared" ca="1" si="151"/>
        <v>-43825147.836354055</v>
      </c>
      <c r="L2664" s="455">
        <f t="shared" ca="1" si="152"/>
        <v>-10561860628.561327</v>
      </c>
      <c r="M2664" s="471">
        <f t="shared" si="154"/>
        <v>0.05</v>
      </c>
      <c r="N2664" s="475">
        <f t="shared" si="155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53"/>
        <v>-10561860628.561327</v>
      </c>
      <c r="J2665" s="455">
        <f t="array" ref="J2665">IFERROR(INDEX('Retirement Calculator'!J:J,MATCH('Isaac 401k'!N2665,'Retirement Calculator'!A:A,0),0),0)</f>
        <v>0</v>
      </c>
      <c r="K2665" s="455">
        <f t="shared" ca="1" si="151"/>
        <v>-44007752.619005531</v>
      </c>
      <c r="L2665" s="455">
        <f t="shared" ca="1" si="152"/>
        <v>-10605868381.180332</v>
      </c>
      <c r="M2665" s="471">
        <f t="shared" si="154"/>
        <v>0.05</v>
      </c>
      <c r="N2665" s="475">
        <f t="shared" si="155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53"/>
        <v>-10605868381.180332</v>
      </c>
      <c r="J2666" s="455">
        <f t="array" ref="J2666">IFERROR(INDEX('Retirement Calculator'!J:J,MATCH('Isaac 401k'!N2666,'Retirement Calculator'!A:A,0),0),0)</f>
        <v>0</v>
      </c>
      <c r="K2666" s="455">
        <f t="shared" ca="1" si="151"/>
        <v>-44191118.254918054</v>
      </c>
      <c r="L2666" s="455">
        <f t="shared" ca="1" si="152"/>
        <v>-10650059499.435249</v>
      </c>
      <c r="M2666" s="471">
        <f t="shared" si="154"/>
        <v>0.05</v>
      </c>
      <c r="N2666" s="475">
        <f t="shared" si="155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53"/>
        <v>-10650059499.435249</v>
      </c>
      <c r="J2667" s="455">
        <f t="array" ref="J2667">IFERROR(INDEX('Retirement Calculator'!J:J,MATCH('Isaac 401k'!N2667,'Retirement Calculator'!A:A,0),0),0)</f>
        <v>0</v>
      </c>
      <c r="K2667" s="455">
        <f t="shared" ca="1" si="151"/>
        <v>-44375247.91431354</v>
      </c>
      <c r="L2667" s="455">
        <f t="shared" ca="1" si="152"/>
        <v>-10694434747.349564</v>
      </c>
      <c r="M2667" s="471">
        <f t="shared" si="154"/>
        <v>0.05</v>
      </c>
      <c r="N2667" s="475">
        <f t="shared" si="155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53"/>
        <v>-10694434747.349564</v>
      </c>
      <c r="J2668" s="455">
        <f t="array" ref="J2668">IFERROR(INDEX('Retirement Calculator'!J:J,MATCH('Isaac 401k'!N2668,'Retirement Calculator'!A:A,0),0),0)</f>
        <v>0</v>
      </c>
      <c r="K2668" s="455">
        <f t="shared" ca="1" si="151"/>
        <v>-44560144.780623183</v>
      </c>
      <c r="L2668" s="455">
        <f t="shared" ca="1" si="152"/>
        <v>-10738994892.130186</v>
      </c>
      <c r="M2668" s="471">
        <f t="shared" si="154"/>
        <v>0.05</v>
      </c>
      <c r="N2668" s="475">
        <f t="shared" si="155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53"/>
        <v>-10738994892.130186</v>
      </c>
      <c r="J2669" s="455">
        <f t="array" ref="J2669">IFERROR(INDEX('Retirement Calculator'!J:J,MATCH('Isaac 401k'!N2669,'Retirement Calculator'!A:A,0),0),0)</f>
        <v>0</v>
      </c>
      <c r="K2669" s="455">
        <f t="shared" ca="1" si="151"/>
        <v>-44745812.050542444</v>
      </c>
      <c r="L2669" s="455">
        <f t="shared" ca="1" si="152"/>
        <v>-10783740704.180729</v>
      </c>
      <c r="M2669" s="471">
        <f t="shared" si="154"/>
        <v>0.05</v>
      </c>
      <c r="N2669" s="475">
        <f t="shared" si="155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53"/>
        <v>-10783740704.180729</v>
      </c>
      <c r="J2670" s="455">
        <f t="array" ref="J2670">IFERROR(INDEX('Retirement Calculator'!J:J,MATCH('Isaac 401k'!N2670,'Retirement Calculator'!A:A,0),0),0)</f>
        <v>0</v>
      </c>
      <c r="K2670" s="455">
        <f t="shared" ca="1" si="151"/>
        <v>-44932252.934086367</v>
      </c>
      <c r="L2670" s="455">
        <f t="shared" ca="1" si="152"/>
        <v>-10828672957.114815</v>
      </c>
      <c r="M2670" s="471">
        <f t="shared" si="154"/>
        <v>0.05</v>
      </c>
      <c r="N2670" s="475">
        <f t="shared" si="155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53"/>
        <v>-10828672957.114815</v>
      </c>
      <c r="J2671" s="455">
        <f t="array" ref="J2671">IFERROR(INDEX('Retirement Calculator'!J:J,MATCH('Isaac 401k'!N2671,'Retirement Calculator'!A:A,0),0),0)</f>
        <v>0</v>
      </c>
      <c r="K2671" s="455">
        <f t="shared" ca="1" si="151"/>
        <v>-45119470.654645063</v>
      </c>
      <c r="L2671" s="455">
        <f t="shared" ca="1" si="152"/>
        <v>-10873792427.769461</v>
      </c>
      <c r="M2671" s="471">
        <f t="shared" si="154"/>
        <v>0.05</v>
      </c>
      <c r="N2671" s="475">
        <f t="shared" si="155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53"/>
        <v>-10873792427.769461</v>
      </c>
      <c r="J2672" s="455">
        <f t="array" ref="J2672">IFERROR(INDEX('Retirement Calculator'!J:J,MATCH('Isaac 401k'!N2672,'Retirement Calculator'!A:A,0),0),0)</f>
        <v>0</v>
      </c>
      <c r="K2672" s="455">
        <f t="shared" ca="1" si="151"/>
        <v>-45307468.449039422</v>
      </c>
      <c r="L2672" s="455">
        <f t="shared" ca="1" si="152"/>
        <v>-10919099896.2185</v>
      </c>
      <c r="M2672" s="471">
        <f t="shared" si="154"/>
        <v>0.05</v>
      </c>
      <c r="N2672" s="475">
        <f t="shared" si="155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53"/>
        <v>-10919099896.2185</v>
      </c>
      <c r="J2673" s="455">
        <f t="array" ref="J2673">IFERROR(INDEX('Retirement Calculator'!J:J,MATCH('Isaac 401k'!N2673,'Retirement Calculator'!A:A,0),0),0)</f>
        <v>0</v>
      </c>
      <c r="K2673" s="455">
        <f t="shared" ca="1" si="151"/>
        <v>-45496249.567577086</v>
      </c>
      <c r="L2673" s="455">
        <f t="shared" ca="1" si="152"/>
        <v>-10964596145.786077</v>
      </c>
      <c r="M2673" s="471">
        <f t="shared" si="154"/>
        <v>0.05</v>
      </c>
      <c r="N2673" s="475">
        <f t="shared" si="155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53"/>
        <v>-10964596145.786077</v>
      </c>
      <c r="J2674" s="455">
        <f t="array" ref="J2674">IFERROR(INDEX('Retirement Calculator'!J:J,MATCH('Isaac 401k'!N2674,'Retirement Calculator'!A:A,0),0),0)</f>
        <v>0</v>
      </c>
      <c r="K2674" s="455">
        <f t="shared" ca="1" si="151"/>
        <v>-45685817.274108656</v>
      </c>
      <c r="L2674" s="455">
        <f t="shared" ca="1" si="152"/>
        <v>-11010281963.060186</v>
      </c>
      <c r="M2674" s="471">
        <f t="shared" si="154"/>
        <v>0.05</v>
      </c>
      <c r="N2674" s="475">
        <f t="shared" si="155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53"/>
        <v>-11010281963.060186</v>
      </c>
      <c r="J2675" s="455">
        <f t="array" ref="J2675">IFERROR(INDEX('Retirement Calculator'!J:J,MATCH('Isaac 401k'!N2675,'Retirement Calculator'!A:A,0),0),0)</f>
        <v>0</v>
      </c>
      <c r="K2675" s="455">
        <f t="shared" ca="1" si="151"/>
        <v>-45876174.84608411</v>
      </c>
      <c r="L2675" s="455">
        <f t="shared" ca="1" si="152"/>
        <v>-11056158137.906271</v>
      </c>
      <c r="M2675" s="471">
        <f t="shared" si="154"/>
        <v>0.05</v>
      </c>
      <c r="N2675" s="475">
        <f t="shared" si="155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53"/>
        <v>-11056158137.906271</v>
      </c>
      <c r="J2676" s="455">
        <f t="array" ref="J2676">IFERROR(INDEX('Retirement Calculator'!J:J,MATCH('Isaac 401k'!N2676,'Retirement Calculator'!A:A,0),0),0)</f>
        <v>0</v>
      </c>
      <c r="K2676" s="455">
        <f t="shared" ca="1" si="151"/>
        <v>-46067325.574609458</v>
      </c>
      <c r="L2676" s="455">
        <f t="shared" ca="1" si="152"/>
        <v>-11102225463.480881</v>
      </c>
      <c r="M2676" s="471">
        <f t="shared" si="154"/>
        <v>0.05</v>
      </c>
      <c r="N2676" s="475">
        <f t="shared" si="155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53"/>
        <v>-11102225463.480881</v>
      </c>
      <c r="J2677" s="455">
        <f t="array" ref="J2677">IFERROR(INDEX('Retirement Calculator'!J:J,MATCH('Isaac 401k'!N2677,'Retirement Calculator'!A:A,0),0),0)</f>
        <v>0</v>
      </c>
      <c r="K2677" s="455">
        <f t="shared" ca="1" si="151"/>
        <v>-46259272.764503673</v>
      </c>
      <c r="L2677" s="455">
        <f t="shared" ca="1" si="152"/>
        <v>-11148484736.245384</v>
      </c>
      <c r="M2677" s="471">
        <f t="shared" si="154"/>
        <v>0.05</v>
      </c>
      <c r="N2677" s="475">
        <f t="shared" si="155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53"/>
        <v>-11148484736.245384</v>
      </c>
      <c r="J2678" s="455">
        <f t="array" ref="J2678">IFERROR(INDEX('Retirement Calculator'!J:J,MATCH('Isaac 401k'!N2678,'Retirement Calculator'!A:A,0),0),0)</f>
        <v>0</v>
      </c>
      <c r="K2678" s="455">
        <f t="shared" ca="1" si="151"/>
        <v>-46452019.73435577</v>
      </c>
      <c r="L2678" s="455">
        <f t="shared" ca="1" si="152"/>
        <v>-11194936755.97974</v>
      </c>
      <c r="M2678" s="471">
        <f t="shared" si="154"/>
        <v>0.05</v>
      </c>
      <c r="N2678" s="475">
        <f t="shared" si="155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53"/>
        <v>-11194936755.97974</v>
      </c>
      <c r="J2679" s="455">
        <f t="array" ref="J2679">IFERROR(INDEX('Retirement Calculator'!J:J,MATCH('Isaac 401k'!N2679,'Retirement Calculator'!A:A,0),0),0)</f>
        <v>0</v>
      </c>
      <c r="K2679" s="455">
        <f t="shared" ca="1" si="151"/>
        <v>-46645569.816582248</v>
      </c>
      <c r="L2679" s="455">
        <f t="shared" ca="1" si="152"/>
        <v>-11241582325.796322</v>
      </c>
      <c r="M2679" s="471">
        <f t="shared" si="154"/>
        <v>0.05</v>
      </c>
      <c r="N2679" s="475">
        <f t="shared" si="155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53"/>
        <v>-11241582325.796322</v>
      </c>
      <c r="J2680" s="455">
        <f t="array" ref="J2680">IFERROR(INDEX('Retirement Calculator'!J:J,MATCH('Isaac 401k'!N2680,'Retirement Calculator'!A:A,0),0),0)</f>
        <v>0</v>
      </c>
      <c r="K2680" s="455">
        <f t="shared" ca="1" si="151"/>
        <v>-46839926.357484676</v>
      </c>
      <c r="L2680" s="455">
        <f t="shared" ca="1" si="152"/>
        <v>-11288422252.153807</v>
      </c>
      <c r="M2680" s="471">
        <f t="shared" si="154"/>
        <v>0.05</v>
      </c>
      <c r="N2680" s="475">
        <f t="shared" si="155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53"/>
        <v>-11288422252.153807</v>
      </c>
      <c r="J2681" s="455">
        <f t="array" ref="J2681">IFERROR(INDEX('Retirement Calculator'!J:J,MATCH('Isaac 401k'!N2681,'Retirement Calculator'!A:A,0),0),0)</f>
        <v>0</v>
      </c>
      <c r="K2681" s="455">
        <f t="shared" ca="1" si="151"/>
        <v>-47035092.71730753</v>
      </c>
      <c r="L2681" s="455">
        <f t="shared" ca="1" si="152"/>
        <v>-11335457344.871115</v>
      </c>
      <c r="M2681" s="471">
        <f t="shared" si="154"/>
        <v>0.05</v>
      </c>
      <c r="N2681" s="475">
        <f t="shared" si="155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53"/>
        <v>-11335457344.871115</v>
      </c>
      <c r="J2682" s="455">
        <f t="array" ref="J2682">IFERROR(INDEX('Retirement Calculator'!J:J,MATCH('Isaac 401k'!N2682,'Retirement Calculator'!A:A,0),0),0)</f>
        <v>0</v>
      </c>
      <c r="K2682" s="455">
        <f t="shared" ca="1" si="151"/>
        <v>-47231072.270296313</v>
      </c>
      <c r="L2682" s="455">
        <f t="shared" ca="1" si="152"/>
        <v>-11382688417.141411</v>
      </c>
      <c r="M2682" s="471">
        <f t="shared" si="154"/>
        <v>0.05</v>
      </c>
      <c r="N2682" s="475">
        <f t="shared" si="155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53"/>
        <v>-11382688417.141411</v>
      </c>
      <c r="J2683" s="455">
        <f t="array" ref="J2683">IFERROR(INDEX('Retirement Calculator'!J:J,MATCH('Isaac 401k'!N2683,'Retirement Calculator'!A:A,0),0),0)</f>
        <v>0</v>
      </c>
      <c r="K2683" s="455">
        <f t="shared" ca="1" si="151"/>
        <v>-47427868.404755875</v>
      </c>
      <c r="L2683" s="455">
        <f t="shared" ca="1" si="152"/>
        <v>-11430116285.546167</v>
      </c>
      <c r="M2683" s="471">
        <f t="shared" si="154"/>
        <v>0.05</v>
      </c>
      <c r="N2683" s="475">
        <f t="shared" si="155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53"/>
        <v>-11430116285.546167</v>
      </c>
      <c r="J2684" s="455">
        <f t="array" ref="J2684">IFERROR(INDEX('Retirement Calculator'!J:J,MATCH('Isaac 401k'!N2684,'Retirement Calculator'!A:A,0),0),0)</f>
        <v>0</v>
      </c>
      <c r="K2684" s="455">
        <f t="shared" ca="1" si="151"/>
        <v>-47625484.523109034</v>
      </c>
      <c r="L2684" s="455">
        <f t="shared" ca="1" si="152"/>
        <v>-11477741770.069277</v>
      </c>
      <c r="M2684" s="471">
        <f t="shared" si="154"/>
        <v>0.05</v>
      </c>
      <c r="N2684" s="475">
        <f t="shared" si="155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53"/>
        <v>-11477741770.069277</v>
      </c>
      <c r="J2685" s="455">
        <f t="array" ref="J2685">IFERROR(INDEX('Retirement Calculator'!J:J,MATCH('Isaac 401k'!N2685,'Retirement Calculator'!A:A,0),0),0)</f>
        <v>0</v>
      </c>
      <c r="K2685" s="455">
        <f t="shared" ca="1" si="151"/>
        <v>-47823924.041955322</v>
      </c>
      <c r="L2685" s="455">
        <f t="shared" ca="1" si="152"/>
        <v>-11525565694.111233</v>
      </c>
      <c r="M2685" s="471">
        <f t="shared" si="154"/>
        <v>0.05</v>
      </c>
      <c r="N2685" s="475">
        <f t="shared" si="155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53"/>
        <v>-11525565694.111233</v>
      </c>
      <c r="J2686" s="455">
        <f t="array" ref="J2686">IFERROR(INDEX('Retirement Calculator'!J:J,MATCH('Isaac 401k'!N2686,'Retirement Calculator'!A:A,0),0),0)</f>
        <v>0</v>
      </c>
      <c r="K2686" s="455">
        <f t="shared" ca="1" si="151"/>
        <v>-48023190.392130136</v>
      </c>
      <c r="L2686" s="455">
        <f t="shared" ca="1" si="152"/>
        <v>-11573588884.503363</v>
      </c>
      <c r="M2686" s="471">
        <f t="shared" si="154"/>
        <v>0.05</v>
      </c>
      <c r="N2686" s="475">
        <f t="shared" si="155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53"/>
        <v>-11573588884.503363</v>
      </c>
      <c r="J2687" s="455">
        <f t="array" ref="J2687">IFERROR(INDEX('Retirement Calculator'!J:J,MATCH('Isaac 401k'!N2687,'Retirement Calculator'!A:A,0),0),0)</f>
        <v>0</v>
      </c>
      <c r="K2687" s="455">
        <f t="shared" ca="1" si="151"/>
        <v>-48223287.018764012</v>
      </c>
      <c r="L2687" s="455">
        <f t="shared" ca="1" si="152"/>
        <v>-11621812171.522127</v>
      </c>
      <c r="M2687" s="471">
        <f t="shared" si="154"/>
        <v>0.05</v>
      </c>
      <c r="N2687" s="475">
        <f t="shared" si="155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53"/>
        <v>-11621812171.522127</v>
      </c>
      <c r="J2688" s="455">
        <f t="array" ref="J2688">IFERROR(INDEX('Retirement Calculator'!J:J,MATCH('Isaac 401k'!N2688,'Retirement Calculator'!A:A,0),0),0)</f>
        <v>0</v>
      </c>
      <c r="K2688" s="455">
        <f t="shared" ca="1" si="151"/>
        <v>-48424217.381342195</v>
      </c>
      <c r="L2688" s="455">
        <f t="shared" ca="1" si="152"/>
        <v>-11670236388.903469</v>
      </c>
      <c r="M2688" s="471">
        <f t="shared" si="154"/>
        <v>0.05</v>
      </c>
      <c r="N2688" s="475">
        <f t="shared" si="155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53"/>
        <v>-11670236388.903469</v>
      </c>
      <c r="J2689" s="455">
        <f t="array" ref="J2689">IFERROR(INDEX('Retirement Calculator'!J:J,MATCH('Isaac 401k'!N2689,'Retirement Calculator'!A:A,0),0),0)</f>
        <v>0</v>
      </c>
      <c r="K2689" s="455">
        <f t="shared" ca="1" si="151"/>
        <v>-48625984.953764454</v>
      </c>
      <c r="L2689" s="455">
        <f t="shared" ca="1" si="152"/>
        <v>-11718862373.857233</v>
      </c>
      <c r="M2689" s="471">
        <f t="shared" si="154"/>
        <v>0.05</v>
      </c>
      <c r="N2689" s="475">
        <f t="shared" si="155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53"/>
        <v>-11718862373.857233</v>
      </c>
      <c r="J2690" s="455">
        <f t="array" ref="J2690">IFERROR(INDEX('Retirement Calculator'!J:J,MATCH('Isaac 401k'!N2690,'Retirement Calculator'!A:A,0),0),0)</f>
        <v>0</v>
      </c>
      <c r="K2690" s="455">
        <f t="shared" ca="1" si="151"/>
        <v>-48828593.22440514</v>
      </c>
      <c r="L2690" s="455">
        <f t="shared" ca="1" si="152"/>
        <v>-11767690967.081638</v>
      </c>
      <c r="M2690" s="471">
        <f t="shared" si="154"/>
        <v>0.05</v>
      </c>
      <c r="N2690" s="475">
        <f t="shared" si="155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53"/>
        <v>-11767690967.081638</v>
      </c>
      <c r="J2691" s="455">
        <f t="array" ref="J2691">IFERROR(INDEX('Retirement Calculator'!J:J,MATCH('Isaac 401k'!N2691,'Retirement Calculator'!A:A,0),0),0)</f>
        <v>0</v>
      </c>
      <c r="K2691" s="455">
        <f t="shared" ca="1" si="151"/>
        <v>-49032045.696173489</v>
      </c>
      <c r="L2691" s="455">
        <f t="shared" ca="1" si="152"/>
        <v>-11816723012.777811</v>
      </c>
      <c r="M2691" s="471">
        <f t="shared" si="154"/>
        <v>0.05</v>
      </c>
      <c r="N2691" s="475">
        <f t="shared" si="155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53"/>
        <v>-11816723012.777811</v>
      </c>
      <c r="J2692" s="455">
        <f t="array" ref="J2692">IFERROR(INDEX('Retirement Calculator'!J:J,MATCH('Isaac 401k'!N2692,'Retirement Calculator'!A:A,0),0),0)</f>
        <v>0</v>
      </c>
      <c r="K2692" s="455">
        <f t="shared" ca="1" si="151"/>
        <v>-49236345.886574209</v>
      </c>
      <c r="L2692" s="455">
        <f t="shared" ca="1" si="152"/>
        <v>-11865959358.664385</v>
      </c>
      <c r="M2692" s="471">
        <f t="shared" si="154"/>
        <v>0.05</v>
      </c>
      <c r="N2692" s="475">
        <f t="shared" si="155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53"/>
        <v>-11865959358.664385</v>
      </c>
      <c r="J2693" s="455">
        <f t="array" ref="J2693">IFERROR(INDEX('Retirement Calculator'!J:J,MATCH('Isaac 401k'!N2693,'Retirement Calculator'!A:A,0),0),0)</f>
        <v>0</v>
      </c>
      <c r="K2693" s="455">
        <f t="shared" ca="1" si="151"/>
        <v>-49441497.327768266</v>
      </c>
      <c r="L2693" s="455">
        <f t="shared" ca="1" si="152"/>
        <v>-11915400855.992153</v>
      </c>
      <c r="M2693" s="471">
        <f t="shared" si="154"/>
        <v>0.05</v>
      </c>
      <c r="N2693" s="475">
        <f t="shared" si="155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53"/>
        <v>-11915400855.992153</v>
      </c>
      <c r="J2694" s="455">
        <f t="array" ref="J2694">IFERROR(INDEX('Retirement Calculator'!J:J,MATCH('Isaac 401k'!N2694,'Retirement Calculator'!A:A,0),0),0)</f>
        <v>0</v>
      </c>
      <c r="K2694" s="455">
        <f t="shared" ca="1" si="151"/>
        <v>-49647503.56663397</v>
      </c>
      <c r="L2694" s="455">
        <f t="shared" ca="1" si="152"/>
        <v>-11965048359.558786</v>
      </c>
      <c r="M2694" s="471">
        <f t="shared" si="154"/>
        <v>0.05</v>
      </c>
      <c r="N2694" s="475">
        <f t="shared" si="155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53"/>
        <v>-11965048359.558786</v>
      </c>
      <c r="J2695" s="455">
        <f t="array" ref="J2695">IFERROR(INDEX('Retirement Calculator'!J:J,MATCH('Isaac 401k'!N2695,'Retirement Calculator'!A:A,0),0),0)</f>
        <v>0</v>
      </c>
      <c r="K2695" s="455">
        <f t="shared" ca="1" si="151"/>
        <v>-49854368.164828278</v>
      </c>
      <c r="L2695" s="455">
        <f t="shared" ca="1" si="152"/>
        <v>-12014902727.723614</v>
      </c>
      <c r="M2695" s="471">
        <f t="shared" si="154"/>
        <v>0.05</v>
      </c>
      <c r="N2695" s="475">
        <f t="shared" si="155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53"/>
        <v>-12014902727.723614</v>
      </c>
      <c r="J2696" s="455">
        <f t="array" ref="J2696">IFERROR(INDEX('Retirement Calculator'!J:J,MATCH('Isaac 401k'!N2696,'Retirement Calculator'!A:A,0),0),0)</f>
        <v>0</v>
      </c>
      <c r="K2696" s="455">
        <f t="shared" ca="1" si="151"/>
        <v>-50062094.698848389</v>
      </c>
      <c r="L2696" s="455">
        <f t="shared" ca="1" si="152"/>
        <v>-12064964822.422462</v>
      </c>
      <c r="M2696" s="471">
        <f t="shared" si="154"/>
        <v>0.05</v>
      </c>
      <c r="N2696" s="475">
        <f t="shared" si="155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53"/>
        <v>-12064964822.422462</v>
      </c>
      <c r="J2697" s="455">
        <f t="array" ref="J2697">IFERROR(INDEX('Retirement Calculator'!J:J,MATCH('Isaac 401k'!N2697,'Retirement Calculator'!A:A,0),0),0)</f>
        <v>0</v>
      </c>
      <c r="K2697" s="455">
        <f t="shared" ca="1" si="151"/>
        <v>-50270686.760093592</v>
      </c>
      <c r="L2697" s="455">
        <f t="shared" ca="1" si="152"/>
        <v>-12115235509.182556</v>
      </c>
      <c r="M2697" s="471">
        <f t="shared" si="154"/>
        <v>0.05</v>
      </c>
      <c r="N2697" s="475">
        <f t="shared" si="155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53"/>
        <v>-12115235509.182556</v>
      </c>
      <c r="J2698" s="455">
        <f t="array" ref="J2698">IFERROR(INDEX('Retirement Calculator'!J:J,MATCH('Isaac 401k'!N2698,'Retirement Calculator'!A:A,0),0),0)</f>
        <v>0</v>
      </c>
      <c r="K2698" s="455">
        <f t="shared" ca="1" si="151"/>
        <v>-50480147.954927318</v>
      </c>
      <c r="L2698" s="455">
        <f t="shared" ca="1" si="152"/>
        <v>-12165715657.137484</v>
      </c>
      <c r="M2698" s="471">
        <f t="shared" si="154"/>
        <v>0.05</v>
      </c>
      <c r="N2698" s="475">
        <f t="shared" si="155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53"/>
        <v>-12165715657.137484</v>
      </c>
      <c r="J2699" s="455">
        <f t="array" ref="J2699">IFERROR(INDEX('Retirement Calculator'!J:J,MATCH('Isaac 401k'!N2699,'Retirement Calculator'!A:A,0),0),0)</f>
        <v>0</v>
      </c>
      <c r="K2699" s="455">
        <f t="shared" ca="1" si="151"/>
        <v>-50690481.904739514</v>
      </c>
      <c r="L2699" s="455">
        <f t="shared" ca="1" si="152"/>
        <v>-12216406139.042223</v>
      </c>
      <c r="M2699" s="471">
        <f t="shared" si="154"/>
        <v>0.05</v>
      </c>
      <c r="N2699" s="475">
        <f t="shared" si="155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53"/>
        <v>-12216406139.042223</v>
      </c>
      <c r="J2700" s="455">
        <f t="array" ref="J2700">IFERROR(INDEX('Retirement Calculator'!J:J,MATCH('Isaac 401k'!N2700,'Retirement Calculator'!A:A,0),0),0)</f>
        <v>0</v>
      </c>
      <c r="K2700" s="455">
        <f t="shared" ca="1" si="151"/>
        <v>-50901692.24600926</v>
      </c>
      <c r="L2700" s="455">
        <f t="shared" ca="1" si="152"/>
        <v>-12267307831.288233</v>
      </c>
      <c r="M2700" s="471">
        <f t="shared" si="154"/>
        <v>0.05</v>
      </c>
      <c r="N2700" s="475">
        <f t="shared" si="155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53"/>
        <v>-12267307831.288233</v>
      </c>
      <c r="J2701" s="455">
        <f t="array" ref="J2701">IFERROR(INDEX('Retirement Calculator'!J:J,MATCH('Isaac 401k'!N2701,'Retirement Calculator'!A:A,0),0),0)</f>
        <v>0</v>
      </c>
      <c r="K2701" s="455">
        <f t="shared" ca="1" si="151"/>
        <v>-51113782.630367637</v>
      </c>
      <c r="L2701" s="455">
        <f t="shared" ca="1" si="152"/>
        <v>-12318421613.9186</v>
      </c>
      <c r="M2701" s="471">
        <f t="shared" si="154"/>
        <v>0.05</v>
      </c>
      <c r="N2701" s="475">
        <f t="shared" si="155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53"/>
        <v>-12318421613.9186</v>
      </c>
      <c r="J2702" s="455">
        <f t="array" ref="J2702">IFERROR(INDEX('Retirement Calculator'!J:J,MATCH('Isaac 401k'!N2702,'Retirement Calculator'!A:A,0),0),0)</f>
        <v>0</v>
      </c>
      <c r="K2702" s="455">
        <f t="shared" ca="1" si="151"/>
        <v>-51326756.724660836</v>
      </c>
      <c r="L2702" s="455">
        <f t="shared" ca="1" si="152"/>
        <v>-12369748370.643261</v>
      </c>
      <c r="M2702" s="471">
        <f t="shared" si="154"/>
        <v>0.05</v>
      </c>
      <c r="N2702" s="475">
        <f t="shared" si="155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53"/>
        <v>-12369748370.643261</v>
      </c>
      <c r="J2703" s="455">
        <f t="array" ref="J2703">IFERROR(INDEX('Retirement Calculator'!J:J,MATCH('Isaac 401k'!N2703,'Retirement Calculator'!A:A,0),0),0)</f>
        <v>0</v>
      </c>
      <c r="K2703" s="455">
        <f t="shared" ca="1" si="151"/>
        <v>-51540618.211013585</v>
      </c>
      <c r="L2703" s="455">
        <f t="shared" ca="1" si="152"/>
        <v>-12421288988.854275</v>
      </c>
      <c r="M2703" s="471">
        <f t="shared" si="154"/>
        <v>0.05</v>
      </c>
      <c r="N2703" s="475">
        <f t="shared" si="155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53"/>
        <v>-12421288988.854275</v>
      </c>
      <c r="J2704" s="455">
        <f t="array" ref="J2704">IFERROR(INDEX('Retirement Calculator'!J:J,MATCH('Isaac 401k'!N2704,'Retirement Calculator'!A:A,0),0),0)</f>
        <v>0</v>
      </c>
      <c r="K2704" s="455">
        <f t="shared" ca="1" si="151"/>
        <v>-51755370.786892809</v>
      </c>
      <c r="L2704" s="455">
        <f t="shared" ca="1" si="152"/>
        <v>-12473044359.641167</v>
      </c>
      <c r="M2704" s="471">
        <f t="shared" si="154"/>
        <v>0.05</v>
      </c>
      <c r="N2704" s="475">
        <f t="shared" si="155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53"/>
        <v>-12473044359.641167</v>
      </c>
      <c r="J2705" s="455">
        <f t="array" ref="J2705">IFERROR(INDEX('Retirement Calculator'!J:J,MATCH('Isaac 401k'!N2705,'Retirement Calculator'!A:A,0),0),0)</f>
        <v>0</v>
      </c>
      <c r="K2705" s="455">
        <f t="shared" ca="1" si="151"/>
        <v>-51971018.165171526</v>
      </c>
      <c r="L2705" s="455">
        <f t="shared" ca="1" si="152"/>
        <v>-12525015377.806337</v>
      </c>
      <c r="M2705" s="471">
        <f t="shared" si="154"/>
        <v>0.05</v>
      </c>
      <c r="N2705" s="475">
        <f t="shared" si="155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53"/>
        <v>-12525015377.806337</v>
      </c>
      <c r="J2706" s="455">
        <f t="array" ref="J2706">IFERROR(INDEX('Retirement Calculator'!J:J,MATCH('Isaac 401k'!N2706,'Retirement Calculator'!A:A,0),0),0)</f>
        <v>0</v>
      </c>
      <c r="K2706" s="455">
        <f t="shared" ca="1" si="151"/>
        <v>-52187564.074193075</v>
      </c>
      <c r="L2706" s="455">
        <f t="shared" ca="1" si="152"/>
        <v>-12577202941.880531</v>
      </c>
      <c r="M2706" s="471">
        <f t="shared" si="154"/>
        <v>0.05</v>
      </c>
      <c r="N2706" s="475">
        <f t="shared" si="155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53"/>
        <v>-12577202941.880531</v>
      </c>
      <c r="J2707" s="455">
        <f t="array" ref="J2707">IFERROR(INDEX('Retirement Calculator'!J:J,MATCH('Isaac 401k'!N2707,'Retirement Calculator'!A:A,0),0),0)</f>
        <v>0</v>
      </c>
      <c r="K2707" s="455">
        <f t="shared" ca="1" si="151"/>
        <v>-52405012.257835545</v>
      </c>
      <c r="L2707" s="455">
        <f t="shared" ca="1" si="152"/>
        <v>-12629607954.138367</v>
      </c>
      <c r="M2707" s="471">
        <f t="shared" si="154"/>
        <v>0.05</v>
      </c>
      <c r="N2707" s="475">
        <f t="shared" si="155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53"/>
        <v>-12629607954.138367</v>
      </c>
      <c r="J2708" s="455">
        <f t="array" ref="J2708">IFERROR(INDEX('Retirement Calculator'!J:J,MATCH('Isaac 401k'!N2708,'Retirement Calculator'!A:A,0),0),0)</f>
        <v>0</v>
      </c>
      <c r="K2708" s="455">
        <f t="shared" ca="1" si="151"/>
        <v>-52623366.475576527</v>
      </c>
      <c r="L2708" s="455">
        <f t="shared" ca="1" si="152"/>
        <v>-12682231320.613943</v>
      </c>
      <c r="M2708" s="471">
        <f t="shared" si="154"/>
        <v>0.05</v>
      </c>
      <c r="N2708" s="475">
        <f t="shared" si="155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53"/>
        <v>-12682231320.613943</v>
      </c>
      <c r="J2709" s="455">
        <f t="array" ref="J2709">IFERROR(INDEX('Retirement Calculator'!J:J,MATCH('Isaac 401k'!N2709,'Retirement Calculator'!A:A,0),0),0)</f>
        <v>0</v>
      </c>
      <c r="K2709" s="455">
        <f t="shared" ca="1" si="151"/>
        <v>-52842630.502558097</v>
      </c>
      <c r="L2709" s="455">
        <f t="shared" ca="1" si="152"/>
        <v>-12735073951.116501</v>
      </c>
      <c r="M2709" s="471">
        <f t="shared" si="154"/>
        <v>0.05</v>
      </c>
      <c r="N2709" s="475">
        <f t="shared" si="155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53"/>
        <v>-12735073951.116501</v>
      </c>
      <c r="J2710" s="455">
        <f t="array" ref="J2710">IFERROR(INDEX('Retirement Calculator'!J:J,MATCH('Isaac 401k'!N2710,'Retirement Calculator'!A:A,0),0),0)</f>
        <v>0</v>
      </c>
      <c r="K2710" s="455">
        <f t="shared" ca="1" si="151"/>
        <v>-53062808.129652083</v>
      </c>
      <c r="L2710" s="455">
        <f t="shared" ca="1" si="152"/>
        <v>-12788136759.246153</v>
      </c>
      <c r="M2710" s="471">
        <f t="shared" si="154"/>
        <v>0.05</v>
      </c>
      <c r="N2710" s="475">
        <f t="shared" si="155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53"/>
        <v>-12788136759.246153</v>
      </c>
      <c r="J2711" s="455">
        <f t="array" ref="J2711">IFERROR(INDEX('Retirement Calculator'!J:J,MATCH('Isaac 401k'!N2711,'Retirement Calculator'!A:A,0),0),0)</f>
        <v>0</v>
      </c>
      <c r="K2711" s="455">
        <f t="shared" ca="1" si="151"/>
        <v>-53283903.163525634</v>
      </c>
      <c r="L2711" s="455">
        <f t="shared" ca="1" si="152"/>
        <v>-12841420662.409679</v>
      </c>
      <c r="M2711" s="471">
        <f t="shared" si="154"/>
        <v>0.05</v>
      </c>
      <c r="N2711" s="475">
        <f t="shared" si="155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53"/>
        <v>-12841420662.409679</v>
      </c>
      <c r="J2712" s="455">
        <f t="array" ref="J2712">IFERROR(INDEX('Retirement Calculator'!J:J,MATCH('Isaac 401k'!N2712,'Retirement Calculator'!A:A,0),0),0)</f>
        <v>0</v>
      </c>
      <c r="K2712" s="455">
        <f t="shared" ca="1" si="151"/>
        <v>-53505919.426707</v>
      </c>
      <c r="L2712" s="455">
        <f t="shared" ca="1" si="152"/>
        <v>-12894926581.836386</v>
      </c>
      <c r="M2712" s="471">
        <f t="shared" si="154"/>
        <v>0.05</v>
      </c>
      <c r="N2712" s="475">
        <f t="shared" si="155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53"/>
        <v>-12894926581.836386</v>
      </c>
      <c r="J2713" s="455">
        <f t="array" ref="J2713">IFERROR(INDEX('Retirement Calculator'!J:J,MATCH('Isaac 401k'!N2713,'Retirement Calculator'!A:A,0),0),0)</f>
        <v>0</v>
      </c>
      <c r="K2713" s="455">
        <f t="shared" ca="1" si="151"/>
        <v>-53728860.757651605</v>
      </c>
      <c r="L2713" s="455">
        <f t="shared" ca="1" si="152"/>
        <v>-12948655442.594038</v>
      </c>
      <c r="M2713" s="471">
        <f t="shared" si="154"/>
        <v>0.05</v>
      </c>
      <c r="N2713" s="475">
        <f t="shared" si="155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53"/>
        <v>-12948655442.594038</v>
      </c>
      <c r="J2714" s="455">
        <f t="array" ref="J2714">IFERROR(INDEX('Retirement Calculator'!J:J,MATCH('Isaac 401k'!N2714,'Retirement Calculator'!A:A,0),0),0)</f>
        <v>0</v>
      </c>
      <c r="K2714" s="455">
        <f t="shared" ca="1" si="151"/>
        <v>-53952731.01080849</v>
      </c>
      <c r="L2714" s="455">
        <f t="shared" ca="1" si="152"/>
        <v>-13002608173.604847</v>
      </c>
      <c r="M2714" s="471">
        <f t="shared" si="154"/>
        <v>0.05</v>
      </c>
      <c r="N2714" s="475">
        <f t="shared" si="155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53"/>
        <v>-13002608173.604847</v>
      </c>
      <c r="J2715" s="455">
        <f t="array" ref="J2715">IFERROR(INDEX('Retirement Calculator'!J:J,MATCH('Isaac 401k'!N2715,'Retirement Calculator'!A:A,0),0),0)</f>
        <v>0</v>
      </c>
      <c r="K2715" s="455">
        <f t="shared" ca="1" si="151"/>
        <v>-54177534.056686863</v>
      </c>
      <c r="L2715" s="455">
        <f t="shared" ca="1" si="152"/>
        <v>-13056785707.661533</v>
      </c>
      <c r="M2715" s="471">
        <f t="shared" si="154"/>
        <v>0.05</v>
      </c>
      <c r="N2715" s="475">
        <f t="shared" si="155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53"/>
        <v>-13056785707.661533</v>
      </c>
      <c r="J2716" s="455">
        <f t="array" ref="J2716">IFERROR(INDEX('Retirement Calculator'!J:J,MATCH('Isaac 401k'!N2716,'Retirement Calculator'!A:A,0),0),0)</f>
        <v>0</v>
      </c>
      <c r="K2716" s="455">
        <f t="shared" ca="1" si="151"/>
        <v>-54403273.781923056</v>
      </c>
      <c r="L2716" s="455">
        <f t="shared" ca="1" si="152"/>
        <v>-13111188981.443457</v>
      </c>
      <c r="M2716" s="471">
        <f t="shared" si="154"/>
        <v>0.05</v>
      </c>
      <c r="N2716" s="475">
        <f t="shared" si="155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53"/>
        <v>-13111188981.443457</v>
      </c>
      <c r="J2717" s="455">
        <f t="array" ref="J2717">IFERROR(INDEX('Retirement Calculator'!J:J,MATCH('Isaac 401k'!N2717,'Retirement Calculator'!A:A,0),0),0)</f>
        <v>0</v>
      </c>
      <c r="K2717" s="455">
        <f t="shared" ca="1" si="151"/>
        <v>-54629954.089347735</v>
      </c>
      <c r="L2717" s="455">
        <f t="shared" ca="1" si="152"/>
        <v>-13165818935.532804</v>
      </c>
      <c r="M2717" s="471">
        <f t="shared" si="154"/>
        <v>0.05</v>
      </c>
      <c r="N2717" s="475">
        <f t="shared" si="155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53"/>
        <v>-13165818935.532804</v>
      </c>
      <c r="J2718" s="455">
        <f t="array" ref="J2718">IFERROR(INDEX('Retirement Calculator'!J:J,MATCH('Isaac 401k'!N2718,'Retirement Calculator'!A:A,0),0),0)</f>
        <v>0</v>
      </c>
      <c r="K2718" s="455">
        <f t="shared" ca="1" si="151"/>
        <v>-54857578.898053348</v>
      </c>
      <c r="L2718" s="455">
        <f t="shared" ca="1" si="152"/>
        <v>-13220676514.430859</v>
      </c>
      <c r="M2718" s="471">
        <f t="shared" si="154"/>
        <v>0.05</v>
      </c>
      <c r="N2718" s="475">
        <f t="shared" si="155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53"/>
        <v>-13220676514.430859</v>
      </c>
      <c r="J2719" s="455">
        <f t="array" ref="J2719">IFERROR(INDEX('Retirement Calculator'!J:J,MATCH('Isaac 401k'!N2719,'Retirement Calculator'!A:A,0),0),0)</f>
        <v>0</v>
      </c>
      <c r="K2719" s="455">
        <f t="shared" ca="1" si="151"/>
        <v>-55086152.143461913</v>
      </c>
      <c r="L2719" s="455">
        <f t="shared" ca="1" si="152"/>
        <v>-13275762666.57432</v>
      </c>
      <c r="M2719" s="471">
        <f t="shared" si="154"/>
        <v>0.05</v>
      </c>
      <c r="N2719" s="475">
        <f t="shared" si="155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53"/>
        <v>-13275762666.57432</v>
      </c>
      <c r="J2720" s="455">
        <f t="array" ref="J2720">IFERROR(INDEX('Retirement Calculator'!J:J,MATCH('Isaac 401k'!N2720,'Retirement Calculator'!A:A,0),0),0)</f>
        <v>0</v>
      </c>
      <c r="K2720" s="455">
        <f t="shared" ca="1" si="151"/>
        <v>-55315677.777392998</v>
      </c>
      <c r="L2720" s="455">
        <f t="shared" ca="1" si="152"/>
        <v>-13331078344.351713</v>
      </c>
      <c r="M2720" s="471">
        <f t="shared" si="154"/>
        <v>0.05</v>
      </c>
      <c r="N2720" s="475">
        <f t="shared" si="155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53"/>
        <v>-13331078344.351713</v>
      </c>
      <c r="J2721" s="455">
        <f t="array" ref="J2721">IFERROR(INDEX('Retirement Calculator'!J:J,MATCH('Isaac 401k'!N2721,'Retirement Calculator'!A:A,0),0),0)</f>
        <v>0</v>
      </c>
      <c r="K2721" s="455">
        <f t="shared" ca="1" si="151"/>
        <v>-55546159.768132135</v>
      </c>
      <c r="L2721" s="455">
        <f t="shared" ca="1" si="152"/>
        <v>-13386624504.119844</v>
      </c>
      <c r="M2721" s="471">
        <f t="shared" si="154"/>
        <v>0.05</v>
      </c>
      <c r="N2721" s="475">
        <f t="shared" si="155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53"/>
        <v>-13386624504.119844</v>
      </c>
      <c r="J2722" s="455">
        <f t="array" ref="J2722">IFERROR(INDEX('Retirement Calculator'!J:J,MATCH('Isaac 401k'!N2722,'Retirement Calculator'!A:A,0),0),0)</f>
        <v>0</v>
      </c>
      <c r="K2722" s="455">
        <f t="shared" ca="1" si="151"/>
        <v>-55777602.100499354</v>
      </c>
      <c r="L2722" s="455">
        <f t="shared" ca="1" si="152"/>
        <v>-13442402106.220345</v>
      </c>
      <c r="M2722" s="471">
        <f t="shared" si="154"/>
        <v>0.05</v>
      </c>
      <c r="N2722" s="475">
        <f t="shared" si="155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53"/>
        <v>-13442402106.220345</v>
      </c>
      <c r="J2723" s="455">
        <f t="array" ref="J2723">IFERROR(INDEX('Retirement Calculator'!J:J,MATCH('Isaac 401k'!N2723,'Retirement Calculator'!A:A,0),0),0)</f>
        <v>0</v>
      </c>
      <c r="K2723" s="455">
        <f t="shared" ca="1" si="151"/>
        <v>-56010008.775918104</v>
      </c>
      <c r="L2723" s="455">
        <f t="shared" ca="1" si="152"/>
        <v>-13498412114.996264</v>
      </c>
      <c r="M2723" s="471">
        <f t="shared" si="154"/>
        <v>0.05</v>
      </c>
      <c r="N2723" s="475">
        <f t="shared" si="155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53"/>
        <v>-13498412114.996264</v>
      </c>
      <c r="J2724" s="455">
        <f t="array" ref="J2724">IFERROR(INDEX('Retirement Calculator'!J:J,MATCH('Isaac 401k'!N2724,'Retirement Calculator'!A:A,0),0),0)</f>
        <v>0</v>
      </c>
      <c r="K2724" s="455">
        <f t="shared" ca="1" si="151"/>
        <v>-56243383.812484428</v>
      </c>
      <c r="L2724" s="455">
        <f t="shared" ca="1" si="152"/>
        <v>-13554655498.808748</v>
      </c>
      <c r="M2724" s="471">
        <f t="shared" si="154"/>
        <v>0.05</v>
      </c>
      <c r="N2724" s="475">
        <f t="shared" si="155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53"/>
        <v>-13554655498.808748</v>
      </c>
      <c r="J2725" s="455">
        <f t="array" ref="J2725">IFERROR(INDEX('Retirement Calculator'!J:J,MATCH('Isaac 401k'!N2725,'Retirement Calculator'!A:A,0),0),0)</f>
        <v>0</v>
      </c>
      <c r="K2725" s="455">
        <f t="shared" ca="1" si="151"/>
        <v>-56477731.245036446</v>
      </c>
      <c r="L2725" s="455">
        <f t="shared" ca="1" si="152"/>
        <v>-13611133230.053785</v>
      </c>
      <c r="M2725" s="471">
        <f t="shared" si="154"/>
        <v>0.05</v>
      </c>
      <c r="N2725" s="475">
        <f t="shared" si="155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53"/>
        <v>-13611133230.053785</v>
      </c>
      <c r="J2726" s="455">
        <f t="array" ref="J2726">IFERROR(INDEX('Retirement Calculator'!J:J,MATCH('Isaac 401k'!N2726,'Retirement Calculator'!A:A,0),0),0)</f>
        <v>0</v>
      </c>
      <c r="K2726" s="455">
        <f t="shared" ca="1" si="151"/>
        <v>-56713055.125224106</v>
      </c>
      <c r="L2726" s="455">
        <f t="shared" ca="1" si="152"/>
        <v>-13667846285.179008</v>
      </c>
      <c r="M2726" s="471">
        <f t="shared" si="154"/>
        <v>0.05</v>
      </c>
      <c r="N2726" s="475">
        <f t="shared" si="155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53"/>
        <v>-13667846285.179008</v>
      </c>
      <c r="J2727" s="455">
        <f t="array" ref="J2727">IFERROR(INDEX('Retirement Calculator'!J:J,MATCH('Isaac 401k'!N2727,'Retirement Calculator'!A:A,0),0),0)</f>
        <v>0</v>
      </c>
      <c r="K2727" s="455">
        <f t="shared" ca="1" si="151"/>
        <v>-56949359.521579206</v>
      </c>
      <c r="L2727" s="455">
        <f t="shared" ca="1" si="152"/>
        <v>-13724795644.700588</v>
      </c>
      <c r="M2727" s="471">
        <f t="shared" si="154"/>
        <v>0.05</v>
      </c>
      <c r="N2727" s="475">
        <f t="shared" si="155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53"/>
        <v>-13724795644.700588</v>
      </c>
      <c r="J2728" s="455">
        <f t="array" ref="J2728">IFERROR(INDEX('Retirement Calculator'!J:J,MATCH('Isaac 401k'!N2728,'Retirement Calculator'!A:A,0),0),0)</f>
        <v>0</v>
      </c>
      <c r="K2728" s="455">
        <f t="shared" ca="1" si="151"/>
        <v>-57186648.519585788</v>
      </c>
      <c r="L2728" s="455">
        <f t="shared" ca="1" si="152"/>
        <v>-13781982293.220175</v>
      </c>
      <c r="M2728" s="471">
        <f t="shared" si="154"/>
        <v>0.05</v>
      </c>
      <c r="N2728" s="475">
        <f t="shared" si="155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53"/>
        <v>-13781982293.220175</v>
      </c>
      <c r="J2729" s="455">
        <f t="array" ref="J2729">IFERROR(INDEX('Retirement Calculator'!J:J,MATCH('Isaac 401k'!N2729,'Retirement Calculator'!A:A,0),0),0)</f>
        <v>0</v>
      </c>
      <c r="K2729" s="455">
        <f t="shared" ca="1" si="151"/>
        <v>-57424926.221750721</v>
      </c>
      <c r="L2729" s="455">
        <f t="shared" ca="1" si="152"/>
        <v>-13839407219.441925</v>
      </c>
      <c r="M2729" s="471">
        <f t="shared" si="154"/>
        <v>0.05</v>
      </c>
      <c r="N2729" s="475">
        <f t="shared" si="155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53"/>
        <v>-13839407219.441925</v>
      </c>
      <c r="J2730" s="455">
        <f t="array" ref="J2730">IFERROR(INDEX('Retirement Calculator'!J:J,MATCH('Isaac 401k'!N2730,'Retirement Calculator'!A:A,0),0),0)</f>
        <v>0</v>
      </c>
      <c r="K2730" s="455">
        <f t="shared" ca="1" si="151"/>
        <v>-57664196.747674689</v>
      </c>
      <c r="L2730" s="455">
        <f t="shared" ca="1" si="152"/>
        <v>-13897071416.1896</v>
      </c>
      <c r="M2730" s="471">
        <f t="shared" si="154"/>
        <v>0.05</v>
      </c>
      <c r="N2730" s="475">
        <f t="shared" si="155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53"/>
        <v>-13897071416.1896</v>
      </c>
      <c r="J2731" s="455">
        <f t="array" ref="J2731">IFERROR(INDEX('Retirement Calculator'!J:J,MATCH('Isaac 401k'!N2731,'Retirement Calculator'!A:A,0),0),0)</f>
        <v>0</v>
      </c>
      <c r="K2731" s="455">
        <f t="shared" ca="1" si="151"/>
        <v>-57904464.234123342</v>
      </c>
      <c r="L2731" s="455">
        <f t="shared" ca="1" si="152"/>
        <v>-13954975880.423723</v>
      </c>
      <c r="M2731" s="471">
        <f t="shared" si="154"/>
        <v>0.05</v>
      </c>
      <c r="N2731" s="475">
        <f t="shared" si="155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53"/>
        <v>-13954975880.423723</v>
      </c>
      <c r="J2732" s="455">
        <f t="array" ref="J2732">IFERROR(INDEX('Retirement Calculator'!J:J,MATCH('Isaac 401k'!N2732,'Retirement Calculator'!A:A,0),0),0)</f>
        <v>0</v>
      </c>
      <c r="K2732" s="455">
        <f t="shared" ca="1" si="151"/>
        <v>-58145732.835098848</v>
      </c>
      <c r="L2732" s="455">
        <f t="shared" ca="1" si="152"/>
        <v>-14013121613.258821</v>
      </c>
      <c r="M2732" s="471">
        <f t="shared" si="154"/>
        <v>0.05</v>
      </c>
      <c r="N2732" s="475">
        <f t="shared" si="155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53"/>
        <v>-14013121613.258821</v>
      </c>
      <c r="J2733" s="455">
        <f t="array" ref="J2733">IFERROR(INDEX('Retirement Calculator'!J:J,MATCH('Isaac 401k'!N2733,'Retirement Calculator'!A:A,0),0),0)</f>
        <v>0</v>
      </c>
      <c r="K2733" s="455">
        <f t="shared" ca="1" si="151"/>
        <v>-58388006.721911758</v>
      </c>
      <c r="L2733" s="455">
        <f t="shared" ca="1" si="152"/>
        <v>-14071509619.980734</v>
      </c>
      <c r="M2733" s="471">
        <f t="shared" si="154"/>
        <v>0.05</v>
      </c>
      <c r="N2733" s="475">
        <f t="shared" si="155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53"/>
        <v>-14071509619.980734</v>
      </c>
      <c r="J2734" s="455">
        <f t="array" ref="J2734">IFERROR(INDEX('Retirement Calculator'!J:J,MATCH('Isaac 401k'!N2734,'Retirement Calculator'!A:A,0),0),0)</f>
        <v>0</v>
      </c>
      <c r="K2734" s="455">
        <f t="shared" ca="1" si="151"/>
        <v>-58631290.083253056</v>
      </c>
      <c r="L2734" s="455">
        <f t="shared" ca="1" si="152"/>
        <v>-14130140910.063988</v>
      </c>
      <c r="M2734" s="471">
        <f t="shared" si="154"/>
        <v>0.05</v>
      </c>
      <c r="N2734" s="475">
        <f t="shared" si="155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53"/>
        <v>-14130140910.063988</v>
      </c>
      <c r="J2735" s="455">
        <f t="array" ref="J2735">IFERROR(INDEX('Retirement Calculator'!J:J,MATCH('Isaac 401k'!N2735,'Retirement Calculator'!A:A,0),0),0)</f>
        <v>0</v>
      </c>
      <c r="K2735" s="455">
        <f t="shared" ca="1" si="151"/>
        <v>-58875587.125266612</v>
      </c>
      <c r="L2735" s="455">
        <f t="shared" ca="1" si="152"/>
        <v>-14189016497.189255</v>
      </c>
      <c r="M2735" s="471">
        <f t="shared" si="154"/>
        <v>0.05</v>
      </c>
      <c r="N2735" s="475">
        <f t="shared" si="155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53"/>
        <v>-14189016497.189255</v>
      </c>
      <c r="J2736" s="455">
        <f t="array" ref="J2736">IFERROR(INDEX('Retirement Calculator'!J:J,MATCH('Isaac 401k'!N2736,'Retirement Calculator'!A:A,0),0),0)</f>
        <v>0</v>
      </c>
      <c r="K2736" s="455">
        <f t="shared" ca="1" si="151"/>
        <v>-59120902.071621887</v>
      </c>
      <c r="L2736" s="455">
        <f t="shared" ca="1" si="152"/>
        <v>-14248137399.260876</v>
      </c>
      <c r="M2736" s="471">
        <f t="shared" si="154"/>
        <v>0.05</v>
      </c>
      <c r="N2736" s="475">
        <f t="shared" si="155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53"/>
        <v>-14248137399.260876</v>
      </c>
      <c r="J2737" s="455">
        <f t="array" ref="J2737">IFERROR(INDEX('Retirement Calculator'!J:J,MATCH('Isaac 401k'!N2737,'Retirement Calculator'!A:A,0),0),0)</f>
        <v>0</v>
      </c>
      <c r="K2737" s="455">
        <f t="shared" ca="1" si="151"/>
        <v>-59367239.163586982</v>
      </c>
      <c r="L2737" s="455">
        <f t="shared" ca="1" si="152"/>
        <v>-14307504638.424463</v>
      </c>
      <c r="M2737" s="471">
        <f t="shared" si="154"/>
        <v>0.05</v>
      </c>
      <c r="N2737" s="475">
        <f t="shared" si="155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53"/>
        <v>-14307504638.424463</v>
      </c>
      <c r="J2738" s="455">
        <f t="array" ref="J2738">IFERROR(INDEX('Retirement Calculator'!J:J,MATCH('Isaac 401k'!N2738,'Retirement Calculator'!A:A,0),0),0)</f>
        <v>0</v>
      </c>
      <c r="K2738" s="455">
        <f t="shared" ca="1" si="151"/>
        <v>-59614602.660101928</v>
      </c>
      <c r="L2738" s="455">
        <f t="shared" ca="1" si="152"/>
        <v>-14367119241.084566</v>
      </c>
      <c r="M2738" s="471">
        <f t="shared" si="154"/>
        <v>0.05</v>
      </c>
      <c r="N2738" s="475">
        <f t="shared" si="155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53"/>
        <v>-14367119241.084566</v>
      </c>
      <c r="J2739" s="455">
        <f t="array" ref="J2739">IFERROR(INDEX('Retirement Calculator'!J:J,MATCH('Isaac 401k'!N2739,'Retirement Calculator'!A:A,0),0),0)</f>
        <v>0</v>
      </c>
      <c r="K2739" s="455">
        <f t="shared" ca="1" si="151"/>
        <v>-59862996.837852359</v>
      </c>
      <c r="L2739" s="455">
        <f t="shared" ca="1" si="152"/>
        <v>-14426982237.922419</v>
      </c>
      <c r="M2739" s="471">
        <f t="shared" si="154"/>
        <v>0.05</v>
      </c>
      <c r="N2739" s="475">
        <f t="shared" si="155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53"/>
        <v>-14426982237.922419</v>
      </c>
      <c r="J2740" s="455">
        <f t="array" ref="J2740">IFERROR(INDEX('Retirement Calculator'!J:J,MATCH('Isaac 401k'!N2740,'Retirement Calculator'!A:A,0),0),0)</f>
        <v>0</v>
      </c>
      <c r="K2740" s="455">
        <f t="shared" ca="1" si="151"/>
        <v>-60112425.991343409</v>
      </c>
      <c r="L2740" s="455">
        <f t="shared" ca="1" si="152"/>
        <v>-14487094663.913761</v>
      </c>
      <c r="M2740" s="471">
        <f t="shared" si="154"/>
        <v>0.05</v>
      </c>
      <c r="N2740" s="475">
        <f t="shared" si="155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53"/>
        <v>-14487094663.913761</v>
      </c>
      <c r="J2741" s="455">
        <f t="array" ref="J2741">IFERROR(INDEX('Retirement Calculator'!J:J,MATCH('Isaac 401k'!N2741,'Retirement Calculator'!A:A,0),0),0)</f>
        <v>0</v>
      </c>
      <c r="K2741" s="455">
        <f t="shared" ca="1" si="151"/>
        <v>-60362894.432974003</v>
      </c>
      <c r="L2741" s="455">
        <f t="shared" ca="1" si="152"/>
        <v>-14547457558.346735</v>
      </c>
      <c r="M2741" s="471">
        <f t="shared" si="154"/>
        <v>0.05</v>
      </c>
      <c r="N2741" s="475">
        <f t="shared" si="155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53"/>
        <v>-14547457558.346735</v>
      </c>
      <c r="J2742" s="455">
        <f t="array" ref="J2742">IFERROR(INDEX('Retirement Calculator'!J:J,MATCH('Isaac 401k'!N2742,'Retirement Calculator'!A:A,0),0),0)</f>
        <v>0</v>
      </c>
      <c r="K2742" s="455">
        <f t="shared" ca="1" si="151"/>
        <v>-60614406.493111394</v>
      </c>
      <c r="L2742" s="455">
        <f t="shared" ca="1" si="152"/>
        <v>-14608071964.839846</v>
      </c>
      <c r="M2742" s="471">
        <f t="shared" si="154"/>
        <v>0.05</v>
      </c>
      <c r="N2742" s="475">
        <f t="shared" si="155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53"/>
        <v>-14608071964.839846</v>
      </c>
      <c r="J2743" s="455">
        <f t="array" ref="J2743">IFERROR(INDEX('Retirement Calculator'!J:J,MATCH('Isaac 401k'!N2743,'Retirement Calculator'!A:A,0),0),0)</f>
        <v>0</v>
      </c>
      <c r="K2743" s="455">
        <f t="shared" ca="1" si="151"/>
        <v>-60866966.520166032</v>
      </c>
      <c r="L2743" s="455">
        <f t="shared" ca="1" si="152"/>
        <v>-14668938931.360012</v>
      </c>
      <c r="M2743" s="471">
        <f t="shared" si="154"/>
        <v>0.05</v>
      </c>
      <c r="N2743" s="475">
        <f t="shared" si="155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53"/>
        <v>-14668938931.360012</v>
      </c>
      <c r="J2744" s="455">
        <f t="array" ref="J2744">IFERROR(INDEX('Retirement Calculator'!J:J,MATCH('Isaac 401k'!N2744,'Retirement Calculator'!A:A,0),0),0)</f>
        <v>0</v>
      </c>
      <c r="K2744" s="455">
        <f t="shared" ca="1" si="151"/>
        <v>-61120578.880666718</v>
      </c>
      <c r="L2744" s="455">
        <f t="shared" ca="1" si="152"/>
        <v>-14730059510.240679</v>
      </c>
      <c r="M2744" s="471">
        <f t="shared" si="154"/>
        <v>0.05</v>
      </c>
      <c r="N2744" s="475">
        <f t="shared" si="155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53"/>
        <v>-14730059510.240679</v>
      </c>
      <c r="J2745" s="455">
        <f t="array" ref="J2745">IFERROR(INDEX('Retirement Calculator'!J:J,MATCH('Isaac 401k'!N2745,'Retirement Calculator'!A:A,0),0),0)</f>
        <v>0</v>
      </c>
      <c r="K2745" s="455">
        <f t="shared" ca="1" si="151"/>
        <v>-61375247.959336162</v>
      </c>
      <c r="L2745" s="455">
        <f t="shared" ca="1" si="152"/>
        <v>-14791434758.200014</v>
      </c>
      <c r="M2745" s="471">
        <f t="shared" si="154"/>
        <v>0.05</v>
      </c>
      <c r="N2745" s="475">
        <f t="shared" si="155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53"/>
        <v>-14791434758.200014</v>
      </c>
      <c r="J2746" s="455">
        <f t="array" ref="J2746">IFERROR(INDEX('Retirement Calculator'!J:J,MATCH('Isaac 401k'!N2746,'Retirement Calculator'!A:A,0),0),0)</f>
        <v>0</v>
      </c>
      <c r="K2746" s="455">
        <f t="shared" ca="1" si="151"/>
        <v>-61630978.159166723</v>
      </c>
      <c r="L2746" s="455">
        <f t="shared" ca="1" si="152"/>
        <v>-14853065736.35918</v>
      </c>
      <c r="M2746" s="471">
        <f t="shared" si="154"/>
        <v>0.05</v>
      </c>
      <c r="N2746" s="475">
        <f t="shared" si="155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53"/>
        <v>-14853065736.35918</v>
      </c>
      <c r="J2747" s="455">
        <f t="array" ref="J2747">IFERROR(INDEX('Retirement Calculator'!J:J,MATCH('Isaac 401k'!N2747,'Retirement Calculator'!A:A,0),0),0)</f>
        <v>0</v>
      </c>
      <c r="K2747" s="455">
        <f t="shared" ca="1" si="151"/>
        <v>-61887773.901496589</v>
      </c>
      <c r="L2747" s="455">
        <f t="shared" ca="1" si="152"/>
        <v>-14914953510.260677</v>
      </c>
      <c r="M2747" s="471">
        <f t="shared" si="154"/>
        <v>0.05</v>
      </c>
      <c r="N2747" s="475">
        <f t="shared" si="155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53"/>
        <v>-14914953510.260677</v>
      </c>
      <c r="J2748" s="455">
        <f t="array" ref="J2748">IFERROR(INDEX('Retirement Calculator'!J:J,MATCH('Isaac 401k'!N2748,'Retirement Calculator'!A:A,0),0),0)</f>
        <v>0</v>
      </c>
      <c r="K2748" s="455">
        <f t="shared" ca="1" si="151"/>
        <v>-62145639.626086153</v>
      </c>
      <c r="L2748" s="455">
        <f t="shared" ca="1" si="152"/>
        <v>-14977099149.886763</v>
      </c>
      <c r="M2748" s="471">
        <f t="shared" si="154"/>
        <v>0.05</v>
      </c>
      <c r="N2748" s="475">
        <f t="shared" si="155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53"/>
        <v>-14977099149.886763</v>
      </c>
      <c r="J2749" s="455">
        <f t="array" ref="J2749">IFERROR(INDEX('Retirement Calculator'!J:J,MATCH('Isaac 401k'!N2749,'Retirement Calculator'!A:A,0),0),0)</f>
        <v>0</v>
      </c>
      <c r="K2749" s="455">
        <f t="shared" ca="1" si="151"/>
        <v>-62404579.791194841</v>
      </c>
      <c r="L2749" s="455">
        <f t="shared" ca="1" si="152"/>
        <v>-15039503729.677958</v>
      </c>
      <c r="M2749" s="471">
        <f t="shared" si="154"/>
        <v>0.05</v>
      </c>
      <c r="N2749" s="475">
        <f t="shared" si="155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53"/>
        <v>-15039503729.677958</v>
      </c>
      <c r="J2750" s="455">
        <f t="array" ref="J2750">IFERROR(INDEX('Retirement Calculator'!J:J,MATCH('Isaac 401k'!N2750,'Retirement Calculator'!A:A,0),0),0)</f>
        <v>0</v>
      </c>
      <c r="K2750" s="455">
        <f t="shared" ca="1" si="151"/>
        <v>-62664598.873658158</v>
      </c>
      <c r="L2750" s="455">
        <f t="shared" ca="1" si="152"/>
        <v>-15102168328.551615</v>
      </c>
      <c r="M2750" s="471">
        <f t="shared" si="154"/>
        <v>0.05</v>
      </c>
      <c r="N2750" s="475">
        <f t="shared" si="155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53"/>
        <v>-15102168328.551615</v>
      </c>
      <c r="J2751" s="455">
        <f t="array" ref="J2751">IFERROR(INDEX('Retirement Calculator'!J:J,MATCH('Isaac 401k'!N2751,'Retirement Calculator'!A:A,0),0),0)</f>
        <v>0</v>
      </c>
      <c r="K2751" s="455">
        <f t="shared" ca="1" si="151"/>
        <v>-62925701.368965067</v>
      </c>
      <c r="L2751" s="455">
        <f t="shared" ca="1" si="152"/>
        <v>-15165094029.92058</v>
      </c>
      <c r="M2751" s="471">
        <f t="shared" si="154"/>
        <v>0.05</v>
      </c>
      <c r="N2751" s="475">
        <f t="shared" si="155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53"/>
        <v>-15165094029.92058</v>
      </c>
      <c r="J2752" s="455">
        <f t="array" ref="J2752">IFERROR(INDEX('Retirement Calculator'!J:J,MATCH('Isaac 401k'!N2752,'Retirement Calculator'!A:A,0),0),0)</f>
        <v>0</v>
      </c>
      <c r="K2752" s="455">
        <f t="shared" ca="1" si="151"/>
        <v>-63187891.791335747</v>
      </c>
      <c r="L2752" s="455">
        <f t="shared" ca="1" si="152"/>
        <v>-15228281921.711916</v>
      </c>
      <c r="M2752" s="471">
        <f t="shared" si="154"/>
        <v>0.05</v>
      </c>
      <c r="N2752" s="475">
        <f t="shared" si="155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53"/>
        <v>-15228281921.711916</v>
      </c>
      <c r="J2753" s="455">
        <f t="array" ref="J2753">IFERROR(INDEX('Retirement Calculator'!J:J,MATCH('Isaac 401k'!N2753,'Retirement Calculator'!A:A,0),0),0)</f>
        <v>0</v>
      </c>
      <c r="K2753" s="455">
        <f t="shared" ca="1" si="151"/>
        <v>-63451174.673799649</v>
      </c>
      <c r="L2753" s="455">
        <f t="shared" ca="1" si="152"/>
        <v>-15291733096.385715</v>
      </c>
      <c r="M2753" s="471">
        <f t="shared" si="154"/>
        <v>0.05</v>
      </c>
      <c r="N2753" s="475">
        <f t="shared" si="155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53"/>
        <v>-15291733096.385715</v>
      </c>
      <c r="J2754" s="455">
        <f t="array" ref="J2754">IFERROR(INDEX('Retirement Calculator'!J:J,MATCH('Isaac 401k'!N2754,'Retirement Calculator'!A:A,0),0),0)</f>
        <v>0</v>
      </c>
      <c r="K2754" s="455">
        <f t="shared" ca="1" si="151"/>
        <v>-63715554.568273813</v>
      </c>
      <c r="L2754" s="455">
        <f t="shared" ca="1" si="152"/>
        <v>-15355448650.953989</v>
      </c>
      <c r="M2754" s="471">
        <f t="shared" si="154"/>
        <v>0.05</v>
      </c>
      <c r="N2754" s="475">
        <f t="shared" si="155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53"/>
        <v>-15355448650.953989</v>
      </c>
      <c r="J2755" s="455">
        <f t="array" ref="J2755">IFERROR(INDEX('Retirement Calculator'!J:J,MATCH('Isaac 401k'!N2755,'Retirement Calculator'!A:A,0),0),0)</f>
        <v>0</v>
      </c>
      <c r="K2755" s="455">
        <f t="shared" ca="1" si="151"/>
        <v>-63981036.045641623</v>
      </c>
      <c r="L2755" s="455">
        <f t="shared" ca="1" si="152"/>
        <v>-15419429686.99963</v>
      </c>
      <c r="M2755" s="471">
        <f t="shared" si="154"/>
        <v>0.05</v>
      </c>
      <c r="N2755" s="475">
        <f t="shared" si="155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53"/>
        <v>-15419429686.99963</v>
      </c>
      <c r="J2756" s="455">
        <f t="array" ref="J2756">IFERROR(INDEX('Retirement Calculator'!J:J,MATCH('Isaac 401k'!N2756,'Retirement Calculator'!A:A,0),0),0)</f>
        <v>0</v>
      </c>
      <c r="K2756" s="455">
        <f t="shared" ca="1" si="151"/>
        <v>-64247623.695831791</v>
      </c>
      <c r="L2756" s="455">
        <f t="shared" ca="1" si="152"/>
        <v>-15483677310.695461</v>
      </c>
      <c r="M2756" s="471">
        <f t="shared" si="154"/>
        <v>0.05</v>
      </c>
      <c r="N2756" s="475">
        <f t="shared" si="155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53"/>
        <v>-15483677310.695461</v>
      </c>
      <c r="J2757" s="455">
        <f t="array" ref="J2757">IFERROR(INDEX('Retirement Calculator'!J:J,MATCH('Isaac 401k'!N2757,'Retirement Calculator'!A:A,0),0),0)</f>
        <v>0</v>
      </c>
      <c r="K2757" s="455">
        <f t="shared" ca="1" si="151"/>
        <v>-64515322.127897754</v>
      </c>
      <c r="L2757" s="455">
        <f t="shared" ca="1" si="152"/>
        <v>-15548192632.823359</v>
      </c>
      <c r="M2757" s="471">
        <f t="shared" si="154"/>
        <v>0.05</v>
      </c>
      <c r="N2757" s="475">
        <f t="shared" si="155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53"/>
        <v>-15548192632.823359</v>
      </c>
      <c r="J2758" s="455">
        <f t="array" ref="J2758">IFERROR(INDEX('Retirement Calculator'!J:J,MATCH('Isaac 401k'!N2758,'Retirement Calculator'!A:A,0),0),0)</f>
        <v>0</v>
      </c>
      <c r="K2758" s="455">
        <f t="shared" ca="1" si="151"/>
        <v>-64784135.970097326</v>
      </c>
      <c r="L2758" s="455">
        <f t="shared" ca="1" si="152"/>
        <v>-15612976768.793455</v>
      </c>
      <c r="M2758" s="471">
        <f t="shared" si="154"/>
        <v>0.05</v>
      </c>
      <c r="N2758" s="475">
        <f t="shared" si="155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53"/>
        <v>-15612976768.793455</v>
      </c>
      <c r="J2759" s="455">
        <f t="array" ref="J2759">IFERROR(INDEX('Retirement Calculator'!J:J,MATCH('Isaac 401k'!N2759,'Retirement Calculator'!A:A,0),0),0)</f>
        <v>0</v>
      </c>
      <c r="K2759" s="455">
        <f t="shared" ca="1" si="151"/>
        <v>-65054069.869972728</v>
      </c>
      <c r="L2759" s="455">
        <f t="shared" ca="1" si="152"/>
        <v>-15678030838.663427</v>
      </c>
      <c r="M2759" s="471">
        <f t="shared" si="154"/>
        <v>0.05</v>
      </c>
      <c r="N2759" s="475">
        <f t="shared" si="155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53"/>
        <v>-15678030838.663427</v>
      </c>
      <c r="J2760" s="455">
        <f t="array" ref="J2760">IFERROR(INDEX('Retirement Calculator'!J:J,MATCH('Isaac 401k'!N2760,'Retirement Calculator'!A:A,0),0),0)</f>
        <v>0</v>
      </c>
      <c r="K2760" s="455">
        <f t="shared" ca="1" si="151"/>
        <v>-65325128.494430944</v>
      </c>
      <c r="L2760" s="455">
        <f t="shared" ca="1" si="152"/>
        <v>-15743355967.157858</v>
      </c>
      <c r="M2760" s="471">
        <f t="shared" si="154"/>
        <v>0.05</v>
      </c>
      <c r="N2760" s="475">
        <f t="shared" si="155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53"/>
        <v>-15743355967.157858</v>
      </c>
      <c r="J2761" s="455">
        <f t="array" ref="J2761">IFERROR(INDEX('Retirement Calculator'!J:J,MATCH('Isaac 401k'!N2761,'Retirement Calculator'!A:A,0),0),0)</f>
        <v>0</v>
      </c>
      <c r="K2761" s="455">
        <f t="shared" ca="1" si="151"/>
        <v>-65597316.529824406</v>
      </c>
      <c r="L2761" s="455">
        <f t="shared" ca="1" si="152"/>
        <v>-15808953283.687683</v>
      </c>
      <c r="M2761" s="471">
        <f t="shared" si="154"/>
        <v>0.05</v>
      </c>
      <c r="N2761" s="475">
        <f t="shared" si="155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53"/>
        <v>-15808953283.687683</v>
      </c>
      <c r="J2762" s="455">
        <f t="array" ref="J2762">IFERROR(INDEX('Retirement Calculator'!J:J,MATCH('Isaac 401k'!N2762,'Retirement Calculator'!A:A,0),0),0)</f>
        <v>0</v>
      </c>
      <c r="K2762" s="455">
        <f t="shared" ca="1" si="151"/>
        <v>-65870638.682032011</v>
      </c>
      <c r="L2762" s="455">
        <f t="shared" ca="1" si="152"/>
        <v>-15874823922.369715</v>
      </c>
      <c r="M2762" s="471">
        <f t="shared" si="154"/>
        <v>0.05</v>
      </c>
      <c r="N2762" s="475">
        <f t="shared" si="155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53"/>
        <v>-15874823922.369715</v>
      </c>
      <c r="J2763" s="455">
        <f t="array" ref="J2763">IFERROR(INDEX('Retirement Calculator'!J:J,MATCH('Isaac 401k'!N2763,'Retirement Calculator'!A:A,0),0),0)</f>
        <v>0</v>
      </c>
      <c r="K2763" s="455">
        <f t="shared" ca="1" si="151"/>
        <v>-66145099.676540479</v>
      </c>
      <c r="L2763" s="455">
        <f t="shared" ca="1" si="152"/>
        <v>-15940969022.046255</v>
      </c>
      <c r="M2763" s="471">
        <f t="shared" si="154"/>
        <v>0.05</v>
      </c>
      <c r="N2763" s="475">
        <f t="shared" si="155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53"/>
        <v>-15940969022.046255</v>
      </c>
      <c r="J2764" s="455">
        <f t="array" ref="J2764">IFERROR(INDEX('Retirement Calculator'!J:J,MATCH('Isaac 401k'!N2764,'Retirement Calculator'!A:A,0),0),0)</f>
        <v>0</v>
      </c>
      <c r="K2764" s="455">
        <f t="shared" ca="1" si="151"/>
        <v>-66420704.258526064</v>
      </c>
      <c r="L2764" s="455">
        <f t="shared" ca="1" si="152"/>
        <v>-16007389726.304781</v>
      </c>
      <c r="M2764" s="471">
        <f t="shared" si="154"/>
        <v>0.05</v>
      </c>
      <c r="N2764" s="475">
        <f t="shared" si="155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53"/>
        <v>-16007389726.304781</v>
      </c>
      <c r="J2765" s="455">
        <f t="array" ref="J2765">IFERROR(INDEX('Retirement Calculator'!J:J,MATCH('Isaac 401k'!N2765,'Retirement Calculator'!A:A,0),0),0)</f>
        <v>0</v>
      </c>
      <c r="K2765" s="455">
        <f t="shared" ca="1" si="151"/>
        <v>-66697457.192936577</v>
      </c>
      <c r="L2765" s="455">
        <f t="shared" ca="1" si="152"/>
        <v>-16074087183.497717</v>
      </c>
      <c r="M2765" s="471">
        <f t="shared" si="154"/>
        <v>0.05</v>
      </c>
      <c r="N2765" s="475">
        <f t="shared" si="155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53"/>
        <v>-16074087183.497717</v>
      </c>
      <c r="J2766" s="455">
        <f t="array" ref="J2766">IFERROR(INDEX('Retirement Calculator'!J:J,MATCH('Isaac 401k'!N2766,'Retirement Calculator'!A:A,0),0),0)</f>
        <v>0</v>
      </c>
      <c r="K2766" s="455">
        <f t="shared" ca="1" si="151"/>
        <v>-66975363.26457382</v>
      </c>
      <c r="L2766" s="455">
        <f t="shared" ca="1" si="152"/>
        <v>-16141062546.762291</v>
      </c>
      <c r="M2766" s="471">
        <f t="shared" si="154"/>
        <v>0.05</v>
      </c>
      <c r="N2766" s="475">
        <f t="shared" si="155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53"/>
        <v>-16141062546.762291</v>
      </c>
      <c r="J2767" s="455">
        <f t="array" ref="J2767">IFERROR(INDEX('Retirement Calculator'!J:J,MATCH('Isaac 401k'!N2767,'Retirement Calculator'!A:A,0),0),0)</f>
        <v>0</v>
      </c>
      <c r="K2767" s="455">
        <f t="shared" ca="1" si="151"/>
        <v>-67254427.278176218</v>
      </c>
      <c r="L2767" s="455">
        <f t="shared" ca="1" si="152"/>
        <v>-16208316974.040466</v>
      </c>
      <c r="M2767" s="471">
        <f t="shared" si="154"/>
        <v>0.05</v>
      </c>
      <c r="N2767" s="475">
        <f t="shared" si="155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53"/>
        <v>-16208316974.040466</v>
      </c>
      <c r="J2768" s="455">
        <f t="array" ref="J2768">IFERROR(INDEX('Retirement Calculator'!J:J,MATCH('Isaac 401k'!N2768,'Retirement Calculator'!A:A,0),0),0)</f>
        <v>0</v>
      </c>
      <c r="K2768" s="455">
        <f t="shared" ca="1" si="151"/>
        <v>-67534654.058501929</v>
      </c>
      <c r="L2768" s="455">
        <f t="shared" ca="1" si="152"/>
        <v>-16275851628.098969</v>
      </c>
      <c r="M2768" s="471">
        <f t="shared" si="154"/>
        <v>0.05</v>
      </c>
      <c r="N2768" s="475">
        <f t="shared" si="155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53"/>
        <v>-16275851628.098969</v>
      </c>
      <c r="J2769" s="455">
        <f t="array" ref="J2769">IFERROR(INDEX('Retirement Calculator'!J:J,MATCH('Isaac 401k'!N2769,'Retirement Calculator'!A:A,0),0),0)</f>
        <v>0</v>
      </c>
      <c r="K2769" s="455">
        <f t="shared" ca="1" si="151"/>
        <v>-67816048.450412363</v>
      </c>
      <c r="L2769" s="455">
        <f t="shared" ca="1" si="152"/>
        <v>-16343667676.549381</v>
      </c>
      <c r="M2769" s="471">
        <f t="shared" si="154"/>
        <v>0.05</v>
      </c>
      <c r="N2769" s="475">
        <f t="shared" si="155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53"/>
        <v>-16343667676.549381</v>
      </c>
      <c r="J2770" s="455">
        <f t="array" ref="J2770">IFERROR(INDEX('Retirement Calculator'!J:J,MATCH('Isaac 401k'!N2770,'Retirement Calculator'!A:A,0),0),0)</f>
        <v>0</v>
      </c>
      <c r="K2770" s="455">
        <f t="shared" ca="1" si="151"/>
        <v>-68098615.318955749</v>
      </c>
      <c r="L2770" s="455">
        <f t="shared" ca="1" si="152"/>
        <v>-16411766291.868338</v>
      </c>
      <c r="M2770" s="471">
        <f t="shared" si="154"/>
        <v>0.05</v>
      </c>
      <c r="N2770" s="475">
        <f t="shared" si="155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53"/>
        <v>-16411766291.868338</v>
      </c>
      <c r="J2771" s="455">
        <f t="array" ref="J2771">IFERROR(INDEX('Retirement Calculator'!J:J,MATCH('Isaac 401k'!N2771,'Retirement Calculator'!A:A,0),0),0)</f>
        <v>0</v>
      </c>
      <c r="K2771" s="455">
        <f t="shared" ca="1" si="151"/>
        <v>-68382359.549451411</v>
      </c>
      <c r="L2771" s="455">
        <f t="shared" ca="1" si="152"/>
        <v>-16480148651.417789</v>
      </c>
      <c r="M2771" s="471">
        <f t="shared" si="154"/>
        <v>0.05</v>
      </c>
      <c r="N2771" s="475">
        <f t="shared" si="155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53"/>
        <v>-16480148651.417789</v>
      </c>
      <c r="J2772" s="455">
        <f t="array" ref="J2772">IFERROR(INDEX('Retirement Calculator'!J:J,MATCH('Isaac 401k'!N2772,'Retirement Calculator'!A:A,0),0),0)</f>
        <v>0</v>
      </c>
      <c r="K2772" s="455">
        <f t="shared" ca="1" si="151"/>
        <v>-68667286.047574118</v>
      </c>
      <c r="L2772" s="455">
        <f t="shared" ca="1" si="152"/>
        <v>-16548815937.465364</v>
      </c>
      <c r="M2772" s="471">
        <f t="shared" si="154"/>
        <v>0.05</v>
      </c>
      <c r="N2772" s="475">
        <f t="shared" si="155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53"/>
        <v>-16548815937.465364</v>
      </c>
      <c r="J2773" s="455">
        <f t="array" ref="J2773">IFERROR(INDEX('Retirement Calculator'!J:J,MATCH('Isaac 401k'!N2773,'Retirement Calculator'!A:A,0),0),0)</f>
        <v>0</v>
      </c>
      <c r="K2773" s="455">
        <f t="shared" ca="1" si="151"/>
        <v>-68953399.739439011</v>
      </c>
      <c r="L2773" s="455">
        <f t="shared" ca="1" si="152"/>
        <v>-16617769337.204803</v>
      </c>
      <c r="M2773" s="471">
        <f t="shared" si="154"/>
        <v>0.05</v>
      </c>
      <c r="N2773" s="475">
        <f t="shared" si="155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53"/>
        <v>-16617769337.204803</v>
      </c>
      <c r="J2774" s="455">
        <f t="array" ref="J2774">IFERROR(INDEX('Retirement Calculator'!J:J,MATCH('Isaac 401k'!N2774,'Retirement Calculator'!A:A,0),0),0)</f>
        <v>0</v>
      </c>
      <c r="K2774" s="455">
        <f t="shared" ca="1" si="151"/>
        <v>-69240705.571686685</v>
      </c>
      <c r="L2774" s="455">
        <f t="shared" ca="1" si="152"/>
        <v>-16687010042.776489</v>
      </c>
      <c r="M2774" s="471">
        <f t="shared" si="154"/>
        <v>0.05</v>
      </c>
      <c r="N2774" s="475">
        <f t="shared" si="155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53"/>
        <v>-16687010042.776489</v>
      </c>
      <c r="J2775" s="455">
        <f t="array" ref="J2775">IFERROR(INDEX('Retirement Calculator'!J:J,MATCH('Isaac 401k'!N2775,'Retirement Calculator'!A:A,0),0),0)</f>
        <v>0</v>
      </c>
      <c r="K2775" s="455">
        <f t="shared" ca="1" si="151"/>
        <v>-69529208.51156871</v>
      </c>
      <c r="L2775" s="455">
        <f t="shared" ca="1" si="152"/>
        <v>-16756539251.288057</v>
      </c>
      <c r="M2775" s="471">
        <f t="shared" si="154"/>
        <v>0.05</v>
      </c>
      <c r="N2775" s="475">
        <f t="shared" si="155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53"/>
        <v>-16756539251.288057</v>
      </c>
      <c r="J2776" s="455">
        <f t="array" ref="J2776">IFERROR(INDEX('Retirement Calculator'!J:J,MATCH('Isaac 401k'!N2776,'Retirement Calculator'!A:A,0),0),0)</f>
        <v>0</v>
      </c>
      <c r="K2776" s="455">
        <f t="shared" ca="1" si="151"/>
        <v>-69818913.547033578</v>
      </c>
      <c r="L2776" s="455">
        <f t="shared" ca="1" si="152"/>
        <v>-16826358164.835091</v>
      </c>
      <c r="M2776" s="471">
        <f t="shared" si="154"/>
        <v>0.05</v>
      </c>
      <c r="N2776" s="475">
        <f t="shared" si="155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53"/>
        <v>-16826358164.835091</v>
      </c>
      <c r="J2777" s="455">
        <f t="array" ref="J2777">IFERROR(INDEX('Retirement Calculator'!J:J,MATCH('Isaac 401k'!N2777,'Retirement Calculator'!A:A,0),0),0)</f>
        <v>0</v>
      </c>
      <c r="K2777" s="455">
        <f t="shared" ca="1" si="151"/>
        <v>-70109825.686812863</v>
      </c>
      <c r="L2777" s="455">
        <f t="shared" ca="1" si="152"/>
        <v>-16896467990.521904</v>
      </c>
      <c r="M2777" s="471">
        <f t="shared" si="154"/>
        <v>0.05</v>
      </c>
      <c r="N2777" s="475">
        <f t="shared" si="155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53"/>
        <v>-16896467990.521904</v>
      </c>
      <c r="J2778" s="455">
        <f t="array" ref="J2778">IFERROR(INDEX('Retirement Calculator'!J:J,MATCH('Isaac 401k'!N2778,'Retirement Calculator'!A:A,0),0),0)</f>
        <v>0</v>
      </c>
      <c r="K2778" s="455">
        <f t="shared" ca="1" si="151"/>
        <v>-70401949.960507929</v>
      </c>
      <c r="L2778" s="455">
        <f t="shared" ca="1" si="152"/>
        <v>-16966869940.482412</v>
      </c>
      <c r="M2778" s="471">
        <f t="shared" si="154"/>
        <v>0.05</v>
      </c>
      <c r="N2778" s="475">
        <f t="shared" si="155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53"/>
        <v>-16966869940.482412</v>
      </c>
      <c r="J2779" s="455">
        <f t="array" ref="J2779">IFERROR(INDEX('Retirement Calculator'!J:J,MATCH('Isaac 401k'!N2779,'Retirement Calculator'!A:A,0),0),0)</f>
        <v>0</v>
      </c>
      <c r="K2779" s="455">
        <f t="shared" ca="1" si="151"/>
        <v>-70695291.418676704</v>
      </c>
      <c r="L2779" s="455">
        <f t="shared" ca="1" si="152"/>
        <v>-17037565231.901089</v>
      </c>
      <c r="M2779" s="471">
        <f t="shared" si="154"/>
        <v>0.05</v>
      </c>
      <c r="N2779" s="475">
        <f t="shared" si="155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53"/>
        <v>-17037565231.901089</v>
      </c>
      <c r="J2780" s="455">
        <f t="array" ref="J2780">IFERROR(INDEX('Retirement Calculator'!J:J,MATCH('Isaac 401k'!N2780,'Retirement Calculator'!A:A,0),0),0)</f>
        <v>0</v>
      </c>
      <c r="K2780" s="455">
        <f t="shared" ca="1" si="151"/>
        <v>-70989855.132921189</v>
      </c>
      <c r="L2780" s="455">
        <f t="shared" ca="1" si="152"/>
        <v>-17108555087.03401</v>
      </c>
      <c r="M2780" s="471">
        <f t="shared" si="154"/>
        <v>0.05</v>
      </c>
      <c r="N2780" s="475">
        <f t="shared" si="155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53"/>
        <v>-17108555087.03401</v>
      </c>
      <c r="J2781" s="455">
        <f t="array" ref="J2781">IFERROR(INDEX('Retirement Calculator'!J:J,MATCH('Isaac 401k'!N2781,'Retirement Calculator'!A:A,0),0),0)</f>
        <v>0</v>
      </c>
      <c r="K2781" s="455">
        <f t="shared" ca="1" si="151"/>
        <v>-71285646.195975035</v>
      </c>
      <c r="L2781" s="455">
        <f t="shared" ca="1" si="152"/>
        <v>-17179840733.229984</v>
      </c>
      <c r="M2781" s="471">
        <f t="shared" si="154"/>
        <v>0.05</v>
      </c>
      <c r="N2781" s="475">
        <f t="shared" si="155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53"/>
        <v>-17179840733.229984</v>
      </c>
      <c r="J2782" s="455">
        <f t="array" ref="J2782">IFERROR(INDEX('Retirement Calculator'!J:J,MATCH('Isaac 401k'!N2782,'Retirement Calculator'!A:A,0),0),0)</f>
        <v>0</v>
      </c>
      <c r="K2782" s="455">
        <f t="shared" ca="1" si="151"/>
        <v>-71582669.721791595</v>
      </c>
      <c r="L2782" s="455">
        <f t="shared" ca="1" si="152"/>
        <v>-17251423402.951775</v>
      </c>
      <c r="M2782" s="471">
        <f t="shared" si="154"/>
        <v>0.05</v>
      </c>
      <c r="N2782" s="475">
        <f t="shared" si="155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53"/>
        <v>-17251423402.951775</v>
      </c>
      <c r="J2783" s="455">
        <f t="array" ref="J2783">IFERROR(INDEX('Retirement Calculator'!J:J,MATCH('Isaac 401k'!N2783,'Retirement Calculator'!A:A,0),0),0)</f>
        <v>0</v>
      </c>
      <c r="K2783" s="455">
        <f t="shared" ca="1" si="151"/>
        <v>-71880930.845632389</v>
      </c>
      <c r="L2783" s="455">
        <f t="shared" ca="1" si="152"/>
        <v>-17323304333.797405</v>
      </c>
      <c r="M2783" s="471">
        <f t="shared" si="154"/>
        <v>0.05</v>
      </c>
      <c r="N2783" s="475">
        <f t="shared" si="155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53"/>
        <v>-17323304333.797405</v>
      </c>
      <c r="J2784" s="455">
        <f t="array" ref="J2784">IFERROR(INDEX('Retirement Calculator'!J:J,MATCH('Isaac 401k'!N2784,'Retirement Calculator'!A:A,0),0),0)</f>
        <v>0</v>
      </c>
      <c r="K2784" s="455">
        <f t="shared" ca="1" si="151"/>
        <v>-72180434.724155858</v>
      </c>
      <c r="L2784" s="455">
        <f t="shared" ca="1" si="152"/>
        <v>-17395484768.521561</v>
      </c>
      <c r="M2784" s="471">
        <f t="shared" si="154"/>
        <v>0.05</v>
      </c>
      <c r="N2784" s="475">
        <f t="shared" si="155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53"/>
        <v>-17395484768.521561</v>
      </c>
      <c r="J2785" s="455">
        <f t="array" ref="J2785">IFERROR(INDEX('Retirement Calculator'!J:J,MATCH('Isaac 401k'!N2785,'Retirement Calculator'!A:A,0),0),0)</f>
        <v>0</v>
      </c>
      <c r="K2785" s="455">
        <f t="shared" ca="1" si="151"/>
        <v>-72481186.535506502</v>
      </c>
      <c r="L2785" s="455">
        <f t="shared" ca="1" si="152"/>
        <v>-17467965955.057068</v>
      </c>
      <c r="M2785" s="471">
        <f t="shared" si="154"/>
        <v>0.05</v>
      </c>
      <c r="N2785" s="475">
        <f t="shared" si="155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53"/>
        <v>-17467965955.057068</v>
      </c>
      <c r="J2786" s="455">
        <f t="array" ref="J2786">IFERROR(INDEX('Retirement Calculator'!J:J,MATCH('Isaac 401k'!N2786,'Retirement Calculator'!A:A,0),0),0)</f>
        <v>0</v>
      </c>
      <c r="K2786" s="455">
        <f t="shared" ca="1" si="151"/>
        <v>-72783191.479404449</v>
      </c>
      <c r="L2786" s="455">
        <f t="shared" ca="1" si="152"/>
        <v>-17540749146.536472</v>
      </c>
      <c r="M2786" s="471">
        <f t="shared" si="154"/>
        <v>0.05</v>
      </c>
      <c r="N2786" s="475">
        <f t="shared" si="155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53"/>
        <v>-17540749146.536472</v>
      </c>
      <c r="J2787" s="455">
        <f t="array" ref="J2787">IFERROR(INDEX('Retirement Calculator'!J:J,MATCH('Isaac 401k'!N2787,'Retirement Calculator'!A:A,0),0),0)</f>
        <v>0</v>
      </c>
      <c r="K2787" s="455">
        <f t="shared" ca="1" si="151"/>
        <v>-73086454.777235299</v>
      </c>
      <c r="L2787" s="455">
        <f t="shared" ca="1" si="152"/>
        <v>-17613835601.313709</v>
      </c>
      <c r="M2787" s="471">
        <f t="shared" si="154"/>
        <v>0.05</v>
      </c>
      <c r="N2787" s="475">
        <f t="shared" si="155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53"/>
        <v>-17613835601.313709</v>
      </c>
      <c r="J2788" s="455">
        <f t="array" ref="J2788">IFERROR(INDEX('Retirement Calculator'!J:J,MATCH('Isaac 401k'!N2788,'Retirement Calculator'!A:A,0),0),0)</f>
        <v>0</v>
      </c>
      <c r="K2788" s="455">
        <f t="shared" ca="1" si="151"/>
        <v>-73390981.672140449</v>
      </c>
      <c r="L2788" s="455">
        <f t="shared" ca="1" si="152"/>
        <v>-17687226582.985851</v>
      </c>
      <c r="M2788" s="471">
        <f t="shared" si="154"/>
        <v>0.05</v>
      </c>
      <c r="N2788" s="475">
        <f t="shared" si="155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53"/>
        <v>-17687226582.985851</v>
      </c>
      <c r="J2789" s="455">
        <f t="array" ref="J2789">IFERROR(INDEX('Retirement Calculator'!J:J,MATCH('Isaac 401k'!N2789,'Retirement Calculator'!A:A,0),0),0)</f>
        <v>0</v>
      </c>
      <c r="K2789" s="455">
        <f t="shared" ca="1" si="151"/>
        <v>-73696777.429107711</v>
      </c>
      <c r="L2789" s="455">
        <f t="shared" ca="1" si="152"/>
        <v>-17760923360.414959</v>
      </c>
      <c r="M2789" s="471">
        <f t="shared" si="154"/>
        <v>0.05</v>
      </c>
      <c r="N2789" s="475">
        <f t="shared" si="155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53"/>
        <v>-17760923360.414959</v>
      </c>
      <c r="J2790" s="455">
        <f t="array" ref="J2790">IFERROR(INDEX('Retirement Calculator'!J:J,MATCH('Isaac 401k'!N2790,'Retirement Calculator'!A:A,0),0),0)</f>
        <v>0</v>
      </c>
      <c r="K2790" s="455">
        <f t="shared" ca="1" si="151"/>
        <v>-74003847.335062325</v>
      </c>
      <c r="L2790" s="455">
        <f t="shared" ca="1" si="152"/>
        <v>-17834927207.750023</v>
      </c>
      <c r="M2790" s="471">
        <f t="shared" si="154"/>
        <v>0.05</v>
      </c>
      <c r="N2790" s="475">
        <f t="shared" si="155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53"/>
        <v>-17834927207.750023</v>
      </c>
      <c r="J2791" s="455">
        <f t="array" ref="J2791">IFERROR(INDEX('Retirement Calculator'!J:J,MATCH('Isaac 401k'!N2791,'Retirement Calculator'!A:A,0),0),0)</f>
        <v>0</v>
      </c>
      <c r="K2791" s="455">
        <f t="shared" ca="1" si="151"/>
        <v>-74312196.698958427</v>
      </c>
      <c r="L2791" s="455">
        <f t="shared" ca="1" si="152"/>
        <v>-17909239404.448982</v>
      </c>
      <c r="M2791" s="471">
        <f t="shared" si="154"/>
        <v>0.05</v>
      </c>
      <c r="N2791" s="475">
        <f t="shared" si="155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53"/>
        <v>-17909239404.448982</v>
      </c>
      <c r="J2792" s="455">
        <f t="array" ref="J2792">IFERROR(INDEX('Retirement Calculator'!J:J,MATCH('Isaac 401k'!N2792,'Retirement Calculator'!A:A,0),0),0)</f>
        <v>0</v>
      </c>
      <c r="K2792" s="455">
        <f t="shared" ca="1" si="151"/>
        <v>-74621830.85187076</v>
      </c>
      <c r="L2792" s="455">
        <f t="shared" ca="1" si="152"/>
        <v>-17983861235.300854</v>
      </c>
      <c r="M2792" s="471">
        <f t="shared" si="154"/>
        <v>0.05</v>
      </c>
      <c r="N2792" s="475">
        <f t="shared" si="155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53"/>
        <v>-17983861235.300854</v>
      </c>
      <c r="J2793" s="455">
        <f t="array" ref="J2793">IFERROR(INDEX('Retirement Calculator'!J:J,MATCH('Isaac 401k'!N2793,'Retirement Calculator'!A:A,0),0),0)</f>
        <v>0</v>
      </c>
      <c r="K2793" s="455">
        <f t="shared" ca="1" si="151"/>
        <v>-74932755.147086889</v>
      </c>
      <c r="L2793" s="455">
        <f t="shared" ca="1" si="152"/>
        <v>-18058793990.447941</v>
      </c>
      <c r="M2793" s="471">
        <f t="shared" si="154"/>
        <v>0.05</v>
      </c>
      <c r="N2793" s="475">
        <f t="shared" si="155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53"/>
        <v>-18058793990.447941</v>
      </c>
      <c r="J2794" s="455">
        <f t="array" ref="J2794">IFERROR(INDEX('Retirement Calculator'!J:J,MATCH('Isaac 401k'!N2794,'Retirement Calculator'!A:A,0),0),0)</f>
        <v>0</v>
      </c>
      <c r="K2794" s="455">
        <f t="shared" ca="1" si="151"/>
        <v>-75244974.960199758</v>
      </c>
      <c r="L2794" s="455">
        <f t="shared" ca="1" si="152"/>
        <v>-18134038965.408142</v>
      </c>
      <c r="M2794" s="471">
        <f t="shared" si="154"/>
        <v>0.05</v>
      </c>
      <c r="N2794" s="475">
        <f t="shared" si="155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53"/>
        <v>-18134038965.408142</v>
      </c>
      <c r="J2795" s="455">
        <f t="array" ref="J2795">IFERROR(INDEX('Retirement Calculator'!J:J,MATCH('Isaac 401k'!N2795,'Retirement Calculator'!A:A,0),0),0)</f>
        <v>0</v>
      </c>
      <c r="K2795" s="455">
        <f t="shared" ca="1" si="151"/>
        <v>-75558495.689200595</v>
      </c>
      <c r="L2795" s="455">
        <f t="shared" ca="1" si="152"/>
        <v>-18209597461.097343</v>
      </c>
      <c r="M2795" s="471">
        <f t="shared" si="154"/>
        <v>0.05</v>
      </c>
      <c r="N2795" s="475">
        <f t="shared" si="155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53"/>
        <v>-18209597461.097343</v>
      </c>
      <c r="J2796" s="455">
        <f t="array" ref="J2796">IFERROR(INDEX('Retirement Calculator'!J:J,MATCH('Isaac 401k'!N2796,'Retirement Calculator'!A:A,0),0),0)</f>
        <v>0</v>
      </c>
      <c r="K2796" s="455">
        <f t="shared" ca="1" si="151"/>
        <v>-75873322.754572257</v>
      </c>
      <c r="L2796" s="455">
        <f t="shared" ca="1" si="152"/>
        <v>-18285470783.851917</v>
      </c>
      <c r="M2796" s="471">
        <f t="shared" si="154"/>
        <v>0.05</v>
      </c>
      <c r="N2796" s="475">
        <f t="shared" si="155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53"/>
        <v>-18285470783.851917</v>
      </c>
      <c r="J2797" s="455">
        <f t="array" ref="J2797">IFERROR(INDEX('Retirement Calculator'!J:J,MATCH('Isaac 401k'!N2797,'Retirement Calculator'!A:A,0),0),0)</f>
        <v>0</v>
      </c>
      <c r="K2797" s="455">
        <f t="shared" ca="1" si="151"/>
        <v>-76189461.599382982</v>
      </c>
      <c r="L2797" s="455">
        <f t="shared" ca="1" si="152"/>
        <v>-18361660245.451302</v>
      </c>
      <c r="M2797" s="471">
        <f t="shared" si="154"/>
        <v>0.05</v>
      </c>
      <c r="N2797" s="475">
        <f t="shared" si="155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53"/>
        <v>-18361660245.451302</v>
      </c>
      <c r="J2798" s="455">
        <f t="array" ref="J2798">IFERROR(INDEX('Retirement Calculator'!J:J,MATCH('Isaac 401k'!N2798,'Retirement Calculator'!A:A,0),0),0)</f>
        <v>0</v>
      </c>
      <c r="K2798" s="455">
        <f t="shared" ca="1" si="151"/>
        <v>-76506917.689380422</v>
      </c>
      <c r="L2798" s="455">
        <f t="shared" ca="1" si="152"/>
        <v>-18438167163.140682</v>
      </c>
      <c r="M2798" s="471">
        <f t="shared" si="154"/>
        <v>0.05</v>
      </c>
      <c r="N2798" s="475">
        <f t="shared" si="155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53"/>
        <v>-18438167163.140682</v>
      </c>
      <c r="J2799" s="455">
        <f t="array" ref="J2799">IFERROR(INDEX('Retirement Calculator'!J:J,MATCH('Isaac 401k'!N2799,'Retirement Calculator'!A:A,0),0),0)</f>
        <v>0</v>
      </c>
      <c r="K2799" s="455">
        <f t="shared" ca="1" si="151"/>
        <v>-76825696.51308617</v>
      </c>
      <c r="L2799" s="455">
        <f t="shared" ca="1" si="152"/>
        <v>-18514992859.653767</v>
      </c>
      <c r="M2799" s="471">
        <f t="shared" si="154"/>
        <v>0.05</v>
      </c>
      <c r="N2799" s="475">
        <f t="shared" si="155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53"/>
        <v>-18514992859.653767</v>
      </c>
      <c r="J2800" s="455">
        <f t="array" ref="J2800">IFERROR(INDEX('Retirement Calculator'!J:J,MATCH('Isaac 401k'!N2800,'Retirement Calculator'!A:A,0),0),0)</f>
        <v>0</v>
      </c>
      <c r="K2800" s="455">
        <f t="shared" ca="1" si="151"/>
        <v>-77145803.581890687</v>
      </c>
      <c r="L2800" s="455">
        <f t="shared" ca="1" si="152"/>
        <v>-18592138663.235657</v>
      </c>
      <c r="M2800" s="471">
        <f t="shared" si="154"/>
        <v>0.05</v>
      </c>
      <c r="N2800" s="475">
        <f t="shared" si="155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53"/>
        <v>-18592138663.235657</v>
      </c>
      <c r="J2801" s="455">
        <f t="array" ref="J2801">IFERROR(INDEX('Retirement Calculator'!J:J,MATCH('Isaac 401k'!N2801,'Retirement Calculator'!A:A,0),0),0)</f>
        <v>0</v>
      </c>
      <c r="K2801" s="455">
        <f t="shared" ca="1" si="151"/>
        <v>-77467244.430148572</v>
      </c>
      <c r="L2801" s="455">
        <f t="shared" ca="1" si="152"/>
        <v>-18669605907.665806</v>
      </c>
      <c r="M2801" s="471">
        <f t="shared" si="154"/>
        <v>0.05</v>
      </c>
      <c r="N2801" s="475">
        <f t="shared" si="155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53"/>
        <v>-18669605907.665806</v>
      </c>
      <c r="J2802" s="455">
        <f t="array" ref="J2802">IFERROR(INDEX('Retirement Calculator'!J:J,MATCH('Isaac 401k'!N2802,'Retirement Calculator'!A:A,0),0),0)</f>
        <v>0</v>
      </c>
      <c r="K2802" s="455">
        <f t="shared" ca="1" si="151"/>
        <v>-77790024.615274191</v>
      </c>
      <c r="L2802" s="455">
        <f t="shared" ca="1" si="152"/>
        <v>-18747395932.281078</v>
      </c>
      <c r="M2802" s="471">
        <f t="shared" si="154"/>
        <v>0.05</v>
      </c>
      <c r="N2802" s="475">
        <f t="shared" si="155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53"/>
        <v>-18747395932.281078</v>
      </c>
      <c r="J2803" s="455">
        <f t="array" ref="J2803">IFERROR(INDEX('Retirement Calculator'!J:J,MATCH('Isaac 401k'!N2803,'Retirement Calculator'!A:A,0),0),0)</f>
        <v>0</v>
      </c>
      <c r="K2803" s="455">
        <f t="shared" ca="1" si="151"/>
        <v>-78114149.717837825</v>
      </c>
      <c r="L2803" s="455">
        <f t="shared" ca="1" si="152"/>
        <v>-18825510081.998917</v>
      </c>
      <c r="M2803" s="471">
        <f t="shared" si="154"/>
        <v>0.05</v>
      </c>
      <c r="N2803" s="475">
        <f t="shared" si="155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53"/>
        <v>-18825510081.998917</v>
      </c>
      <c r="J2804" s="455">
        <f t="array" ref="J2804">IFERROR(INDEX('Retirement Calculator'!J:J,MATCH('Isaac 401k'!N2804,'Retirement Calculator'!A:A,0),0),0)</f>
        <v>0</v>
      </c>
      <c r="K2804" s="455">
        <f t="shared" ca="1" si="151"/>
        <v>-78439625.341662154</v>
      </c>
      <c r="L2804" s="455">
        <f t="shared" ca="1" si="152"/>
        <v>-18903949707.34058</v>
      </c>
      <c r="M2804" s="471">
        <f t="shared" si="154"/>
        <v>0.05</v>
      </c>
      <c r="N2804" s="475">
        <f t="shared" si="155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53"/>
        <v>-18903949707.34058</v>
      </c>
      <c r="J2805" s="455">
        <f t="array" ref="J2805">IFERROR(INDEX('Retirement Calculator'!J:J,MATCH('Isaac 401k'!N2805,'Retirement Calculator'!A:A,0),0),0)</f>
        <v>0</v>
      </c>
      <c r="K2805" s="455">
        <f t="shared" ca="1" si="151"/>
        <v>-78766457.113919079</v>
      </c>
      <c r="L2805" s="455">
        <f t="shared" ca="1" si="152"/>
        <v>-18982716164.454498</v>
      </c>
      <c r="M2805" s="471">
        <f t="shared" si="154"/>
        <v>0.05</v>
      </c>
      <c r="N2805" s="475">
        <f t="shared" si="155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53"/>
        <v>-18982716164.454498</v>
      </c>
      <c r="J2806" s="455">
        <f t="array" ref="J2806">IFERROR(INDEX('Retirement Calculator'!J:J,MATCH('Isaac 401k'!N2806,'Retirement Calculator'!A:A,0),0),0)</f>
        <v>0</v>
      </c>
      <c r="K2806" s="455">
        <f t="shared" ca="1" si="151"/>
        <v>-79094650.685227081</v>
      </c>
      <c r="L2806" s="455">
        <f t="shared" ca="1" si="152"/>
        <v>-19061810815.139725</v>
      </c>
      <c r="M2806" s="471">
        <f t="shared" si="154"/>
        <v>0.05</v>
      </c>
      <c r="N2806" s="475">
        <f t="shared" si="155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53"/>
        <v>-19061810815.139725</v>
      </c>
      <c r="J2807" s="455">
        <f t="array" ref="J2807">IFERROR(INDEX('Retirement Calculator'!J:J,MATCH('Isaac 401k'!N2807,'Retirement Calculator'!A:A,0),0),0)</f>
        <v>0</v>
      </c>
      <c r="K2807" s="455">
        <f t="shared" ca="1" si="151"/>
        <v>-79424211.729748845</v>
      </c>
      <c r="L2807" s="455">
        <f t="shared" ca="1" si="152"/>
        <v>-19141235026.869473</v>
      </c>
      <c r="M2807" s="471">
        <f t="shared" si="154"/>
        <v>0.05</v>
      </c>
      <c r="N2807" s="475">
        <f t="shared" si="155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53"/>
        <v>-19141235026.869473</v>
      </c>
      <c r="J2808" s="455">
        <f t="array" ref="J2808">IFERROR(INDEX('Retirement Calculator'!J:J,MATCH('Isaac 401k'!N2808,'Retirement Calculator'!A:A,0),0),0)</f>
        <v>0</v>
      </c>
      <c r="K2808" s="455">
        <f t="shared" ca="1" si="151"/>
        <v>-79755145.945289463</v>
      </c>
      <c r="L2808" s="455">
        <f t="shared" ca="1" si="152"/>
        <v>-19220990172.814762</v>
      </c>
      <c r="M2808" s="471">
        <f t="shared" si="154"/>
        <v>0.05</v>
      </c>
      <c r="N2808" s="475">
        <f t="shared" si="155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53"/>
        <v>-19220990172.814762</v>
      </c>
      <c r="J2809" s="455">
        <f t="array" ref="J2809">IFERROR(INDEX('Retirement Calculator'!J:J,MATCH('Isaac 401k'!N2809,'Retirement Calculator'!A:A,0),0),0)</f>
        <v>0</v>
      </c>
      <c r="K2809" s="455">
        <f t="shared" ca="1" si="151"/>
        <v>-80087459.053394839</v>
      </c>
      <c r="L2809" s="455">
        <f t="shared" ca="1" si="152"/>
        <v>-19301077631.868156</v>
      </c>
      <c r="M2809" s="471">
        <f t="shared" si="154"/>
        <v>0.05</v>
      </c>
      <c r="N2809" s="475">
        <f t="shared" si="155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53"/>
        <v>-19301077631.868156</v>
      </c>
      <c r="J2810" s="455">
        <f t="array" ref="J2810">IFERROR(INDEX('Retirement Calculator'!J:J,MATCH('Isaac 401k'!N2810,'Retirement Calculator'!A:A,0),0),0)</f>
        <v>0</v>
      </c>
      <c r="K2810" s="455">
        <f t="shared" ca="1" si="151"/>
        <v>-80421156.799450651</v>
      </c>
      <c r="L2810" s="455">
        <f t="shared" ca="1" si="152"/>
        <v>-19381498788.667606</v>
      </c>
      <c r="M2810" s="471">
        <f t="shared" si="154"/>
        <v>0.05</v>
      </c>
      <c r="N2810" s="475">
        <f t="shared" si="155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53"/>
        <v>-19381498788.667606</v>
      </c>
      <c r="J2811" s="455">
        <f t="array" ref="J2811">IFERROR(INDEX('Retirement Calculator'!J:J,MATCH('Isaac 401k'!N2811,'Retirement Calculator'!A:A,0),0),0)</f>
        <v>0</v>
      </c>
      <c r="K2811" s="455">
        <f t="shared" ca="1" si="151"/>
        <v>-80756244.952781692</v>
      </c>
      <c r="L2811" s="455">
        <f t="shared" ca="1" si="152"/>
        <v>-19462255033.620388</v>
      </c>
      <c r="M2811" s="471">
        <f t="shared" si="154"/>
        <v>0.05</v>
      </c>
      <c r="N2811" s="475">
        <f t="shared" si="155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53"/>
        <v>-19462255033.620388</v>
      </c>
      <c r="J2812" s="455">
        <f t="array" ref="J2812">IFERROR(INDEX('Retirement Calculator'!J:J,MATCH('Isaac 401k'!N2812,'Retirement Calculator'!A:A,0),0),0)</f>
        <v>0</v>
      </c>
      <c r="K2812" s="455">
        <f t="shared" ca="1" si="151"/>
        <v>-81092729.306751609</v>
      </c>
      <c r="L2812" s="455">
        <f t="shared" ca="1" si="152"/>
        <v>-19543347762.927139</v>
      </c>
      <c r="M2812" s="471">
        <f t="shared" si="154"/>
        <v>0.05</v>
      </c>
      <c r="N2812" s="475">
        <f t="shared" si="155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53"/>
        <v>-19543347762.927139</v>
      </c>
      <c r="J2813" s="455">
        <f t="array" ref="J2813">IFERROR(INDEX('Retirement Calculator'!J:J,MATCH('Isaac 401k'!N2813,'Retirement Calculator'!A:A,0),0),0)</f>
        <v>0</v>
      </c>
      <c r="K2813" s="455">
        <f t="shared" ref="K2813:K3067" ca="1" si="156">IPMT(M2813/12,1,12,-I2813+J2813,,0)</f>
        <v>-81430615.678863078</v>
      </c>
      <c r="L2813" s="455">
        <f t="shared" ref="L2813:L3067" ca="1" si="157">I2813-J2813+K2813</f>
        <v>-19624778378.606003</v>
      </c>
      <c r="M2813" s="471">
        <f t="shared" si="154"/>
        <v>0.05</v>
      </c>
      <c r="N2813" s="475">
        <f t="shared" si="155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58">L2813</f>
        <v>-19624778378.606003</v>
      </c>
      <c r="J2814" s="455">
        <f t="array" ref="J2814">IFERROR(INDEX('Retirement Calculator'!J:J,MATCH('Isaac 401k'!N2814,'Retirement Calculator'!A:A,0),0),0)</f>
        <v>0</v>
      </c>
      <c r="K2814" s="455">
        <f t="shared" ca="1" si="156"/>
        <v>-81769909.910858348</v>
      </c>
      <c r="L2814" s="455">
        <f t="shared" ca="1" si="157"/>
        <v>-19706548288.516861</v>
      </c>
      <c r="M2814" s="471">
        <f t="shared" ref="M2814:M3068" si="159">M2813</f>
        <v>0.05</v>
      </c>
      <c r="N2814" s="475">
        <f t="shared" ref="N2814:N3068" si="160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58"/>
        <v>-19706548288.516861</v>
      </c>
      <c r="J2815" s="455">
        <f t="array" ref="J2815">IFERROR(INDEX('Retirement Calculator'!J:J,MATCH('Isaac 401k'!N2815,'Retirement Calculator'!A:A,0),0),0)</f>
        <v>0</v>
      </c>
      <c r="K2815" s="455">
        <f t="shared" ca="1" si="156"/>
        <v>-82110617.86882025</v>
      </c>
      <c r="L2815" s="455">
        <f t="shared" ca="1" si="157"/>
        <v>-19788658906.385681</v>
      </c>
      <c r="M2815" s="471">
        <f t="shared" si="159"/>
        <v>0.05</v>
      </c>
      <c r="N2815" s="475">
        <f t="shared" si="160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58"/>
        <v>-19788658906.385681</v>
      </c>
      <c r="J2816" s="455">
        <f t="array" ref="J2816">IFERROR(INDEX('Retirement Calculator'!J:J,MATCH('Isaac 401k'!N2816,'Retirement Calculator'!A:A,0),0),0)</f>
        <v>0</v>
      </c>
      <c r="K2816" s="455">
        <f t="shared" ca="1" si="156"/>
        <v>-82452745.443273664</v>
      </c>
      <c r="L2816" s="455">
        <f t="shared" ca="1" si="157"/>
        <v>-19871111651.828957</v>
      </c>
      <c r="M2816" s="471">
        <f t="shared" si="159"/>
        <v>0.05</v>
      </c>
      <c r="N2816" s="475">
        <f t="shared" si="160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58"/>
        <v>-19871111651.828957</v>
      </c>
      <c r="J2817" s="455">
        <f t="array" ref="J2817">IFERROR(INDEX('Retirement Calculator'!J:J,MATCH('Isaac 401k'!N2817,'Retirement Calculator'!A:A,0),0),0)</f>
        <v>0</v>
      </c>
      <c r="K2817" s="455">
        <f t="shared" ca="1" si="156"/>
        <v>-82796298.549287319</v>
      </c>
      <c r="L2817" s="455">
        <f t="shared" ca="1" si="157"/>
        <v>-19953907950.378242</v>
      </c>
      <c r="M2817" s="471">
        <f t="shared" si="159"/>
        <v>0.05</v>
      </c>
      <c r="N2817" s="475">
        <f t="shared" si="160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58"/>
        <v>-19953907950.378242</v>
      </c>
      <c r="J2818" s="455">
        <f t="array" ref="J2818">IFERROR(INDEX('Retirement Calculator'!J:J,MATCH('Isaac 401k'!N2818,'Retirement Calculator'!A:A,0),0),0)</f>
        <v>0</v>
      </c>
      <c r="K2818" s="455">
        <f t="shared" ca="1" si="156"/>
        <v>-83141283.126576006</v>
      </c>
      <c r="L2818" s="455">
        <f t="shared" ca="1" si="157"/>
        <v>-20037049233.504818</v>
      </c>
      <c r="M2818" s="471">
        <f t="shared" si="159"/>
        <v>0.05</v>
      </c>
      <c r="N2818" s="475">
        <f t="shared" si="160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58"/>
        <v>-20037049233.504818</v>
      </c>
      <c r="J2819" s="455">
        <f t="array" ref="J2819">IFERROR(INDEX('Retirement Calculator'!J:J,MATCH('Isaac 401k'!N2819,'Retirement Calculator'!A:A,0),0),0)</f>
        <v>0</v>
      </c>
      <c r="K2819" s="455">
        <f t="shared" ca="1" si="156"/>
        <v>-83487705.139603406</v>
      </c>
      <c r="L2819" s="455">
        <f t="shared" ca="1" si="157"/>
        <v>-20120536938.644421</v>
      </c>
      <c r="M2819" s="471">
        <f t="shared" si="159"/>
        <v>0.05</v>
      </c>
      <c r="N2819" s="475">
        <f t="shared" si="160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58"/>
        <v>-20120536938.644421</v>
      </c>
      <c r="J2820" s="455">
        <f t="array" ref="J2820">IFERROR(INDEX('Retirement Calculator'!J:J,MATCH('Isaac 401k'!N2820,'Retirement Calculator'!A:A,0),0),0)</f>
        <v>0</v>
      </c>
      <c r="K2820" s="455">
        <f t="shared" ca="1" si="156"/>
        <v>-83835570.577685088</v>
      </c>
      <c r="L2820" s="455">
        <f t="shared" ca="1" si="157"/>
        <v>-20204372509.222107</v>
      </c>
      <c r="M2820" s="471">
        <f t="shared" si="159"/>
        <v>0.05</v>
      </c>
      <c r="N2820" s="475">
        <f t="shared" si="160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58"/>
        <v>-20204372509.222107</v>
      </c>
      <c r="J2821" s="455">
        <f t="array" ref="J2821">IFERROR(INDEX('Retirement Calculator'!J:J,MATCH('Isaac 401k'!N2821,'Retirement Calculator'!A:A,0),0),0)</f>
        <v>0</v>
      </c>
      <c r="K2821" s="455">
        <f t="shared" ca="1" si="156"/>
        <v>-84184885.455092117</v>
      </c>
      <c r="L2821" s="455">
        <f t="shared" ca="1" si="157"/>
        <v>-20288557394.6772</v>
      </c>
      <c r="M2821" s="471">
        <f t="shared" si="159"/>
        <v>0.05</v>
      </c>
      <c r="N2821" s="475">
        <f t="shared" si="160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58"/>
        <v>-20288557394.6772</v>
      </c>
      <c r="J2822" s="455">
        <f t="array" ref="J2822">IFERROR(INDEX('Retirement Calculator'!J:J,MATCH('Isaac 401k'!N2822,'Retirement Calculator'!A:A,0),0),0)</f>
        <v>0</v>
      </c>
      <c r="K2822" s="455">
        <f t="shared" ca="1" si="156"/>
        <v>-84535655.811155006</v>
      </c>
      <c r="L2822" s="455">
        <f t="shared" ca="1" si="157"/>
        <v>-20373093050.488354</v>
      </c>
      <c r="M2822" s="471">
        <f t="shared" si="159"/>
        <v>0.05</v>
      </c>
      <c r="N2822" s="475">
        <f t="shared" si="160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58"/>
        <v>-20373093050.488354</v>
      </c>
      <c r="J2823" s="455">
        <f t="array" ref="J2823">IFERROR(INDEX('Retirement Calculator'!J:J,MATCH('Isaac 401k'!N2823,'Retirement Calculator'!A:A,0),0),0)</f>
        <v>0</v>
      </c>
      <c r="K2823" s="455">
        <f t="shared" ca="1" si="156"/>
        <v>-84887887.710368142</v>
      </c>
      <c r="L2823" s="455">
        <f t="shared" ca="1" si="157"/>
        <v>-20457980938.198723</v>
      </c>
      <c r="M2823" s="471">
        <f t="shared" si="159"/>
        <v>0.05</v>
      </c>
      <c r="N2823" s="475">
        <f t="shared" si="160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58"/>
        <v>-20457980938.198723</v>
      </c>
      <c r="J2824" s="455">
        <f t="array" ref="J2824">IFERROR(INDEX('Retirement Calculator'!J:J,MATCH('Isaac 401k'!N2824,'Retirement Calculator'!A:A,0),0),0)</f>
        <v>0</v>
      </c>
      <c r="K2824" s="455">
        <f t="shared" ca="1" si="156"/>
        <v>-85241587.242494673</v>
      </c>
      <c r="L2824" s="455">
        <f t="shared" ca="1" si="157"/>
        <v>-20543222525.441219</v>
      </c>
      <c r="M2824" s="471">
        <f t="shared" si="159"/>
        <v>0.05</v>
      </c>
      <c r="N2824" s="475">
        <f t="shared" si="160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58"/>
        <v>-20543222525.441219</v>
      </c>
      <c r="J2825" s="455">
        <f t="array" ref="J2825">IFERROR(INDEX('Retirement Calculator'!J:J,MATCH('Isaac 401k'!N2825,'Retirement Calculator'!A:A,0),0),0)</f>
        <v>0</v>
      </c>
      <c r="K2825" s="455">
        <f t="shared" ca="1" si="156"/>
        <v>-85596760.522671744</v>
      </c>
      <c r="L2825" s="455">
        <f t="shared" ca="1" si="157"/>
        <v>-20628819285.96389</v>
      </c>
      <c r="M2825" s="471">
        <f t="shared" si="159"/>
        <v>0.05</v>
      </c>
      <c r="N2825" s="475">
        <f t="shared" si="160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58"/>
        <v>-20628819285.96389</v>
      </c>
      <c r="J2826" s="455">
        <f t="array" ref="J2826">IFERROR(INDEX('Retirement Calculator'!J:J,MATCH('Isaac 401k'!N2826,'Retirement Calculator'!A:A,0),0),0)</f>
        <v>0</v>
      </c>
      <c r="K2826" s="455">
        <f t="shared" ca="1" si="156"/>
        <v>-85953413.691516206</v>
      </c>
      <c r="L2826" s="455">
        <f t="shared" ca="1" si="157"/>
        <v>-20714772699.655407</v>
      </c>
      <c r="M2826" s="471">
        <f t="shared" si="159"/>
        <v>0.05</v>
      </c>
      <c r="N2826" s="475">
        <f t="shared" si="160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58"/>
        <v>-20714772699.655407</v>
      </c>
      <c r="J2827" s="455">
        <f t="array" ref="J2827">IFERROR(INDEX('Retirement Calculator'!J:J,MATCH('Isaac 401k'!N2827,'Retirement Calculator'!A:A,0),0),0)</f>
        <v>0</v>
      </c>
      <c r="K2827" s="455">
        <f t="shared" ca="1" si="156"/>
        <v>-86311552.915230855</v>
      </c>
      <c r="L2827" s="455">
        <f t="shared" ca="1" si="157"/>
        <v>-20801084252.570637</v>
      </c>
      <c r="M2827" s="471">
        <f t="shared" si="159"/>
        <v>0.05</v>
      </c>
      <c r="N2827" s="475">
        <f t="shared" si="160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58"/>
        <v>-20801084252.570637</v>
      </c>
      <c r="J2828" s="455">
        <f t="array" ref="J2828">IFERROR(INDEX('Retirement Calculator'!J:J,MATCH('Isaac 401k'!N2828,'Retirement Calculator'!A:A,0),0),0)</f>
        <v>0</v>
      </c>
      <c r="K2828" s="455">
        <f t="shared" ca="1" si="156"/>
        <v>-86671184.385710984</v>
      </c>
      <c r="L2828" s="455">
        <f t="shared" ca="1" si="157"/>
        <v>-20887755436.956348</v>
      </c>
      <c r="M2828" s="471">
        <f t="shared" si="159"/>
        <v>0.05</v>
      </c>
      <c r="N2828" s="475">
        <f t="shared" si="160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58"/>
        <v>-20887755436.956348</v>
      </c>
      <c r="J2829" s="455">
        <f t="array" ref="J2829">IFERROR(INDEX('Retirement Calculator'!J:J,MATCH('Isaac 401k'!N2829,'Retirement Calculator'!A:A,0),0),0)</f>
        <v>0</v>
      </c>
      <c r="K2829" s="455">
        <f t="shared" ca="1" si="156"/>
        <v>-87032314.320651457</v>
      </c>
      <c r="L2829" s="455">
        <f t="shared" ca="1" si="157"/>
        <v>-20974787751.277</v>
      </c>
      <c r="M2829" s="471">
        <f t="shared" si="159"/>
        <v>0.05</v>
      </c>
      <c r="N2829" s="475">
        <f t="shared" si="160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58"/>
        <v>-20974787751.277</v>
      </c>
      <c r="J2830" s="455">
        <f t="array" ref="J2830">IFERROR(INDEX('Retirement Calculator'!J:J,MATCH('Isaac 401k'!N2830,'Retirement Calculator'!A:A,0),0),0)</f>
        <v>0</v>
      </c>
      <c r="K2830" s="455">
        <f t="shared" ca="1" si="156"/>
        <v>-87394948.96365416</v>
      </c>
      <c r="L2830" s="455">
        <f t="shared" ca="1" si="157"/>
        <v>-21062182700.240654</v>
      </c>
      <c r="M2830" s="471">
        <f t="shared" si="159"/>
        <v>0.05</v>
      </c>
      <c r="N2830" s="475">
        <f t="shared" si="160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58"/>
        <v>-21062182700.240654</v>
      </c>
      <c r="J2831" s="455">
        <f t="array" ref="J2831">IFERROR(INDEX('Retirement Calculator'!J:J,MATCH('Isaac 401k'!N2831,'Retirement Calculator'!A:A,0),0),0)</f>
        <v>0</v>
      </c>
      <c r="K2831" s="455">
        <f t="shared" ca="1" si="156"/>
        <v>-87759094.584336057</v>
      </c>
      <c r="L2831" s="455">
        <f t="shared" ca="1" si="157"/>
        <v>-21149941794.824989</v>
      </c>
      <c r="M2831" s="471">
        <f t="shared" si="159"/>
        <v>0.05</v>
      </c>
      <c r="N2831" s="475">
        <f t="shared" si="160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58"/>
        <v>-21149941794.824989</v>
      </c>
      <c r="J2832" s="455">
        <f t="array" ref="J2832">IFERROR(INDEX('Retirement Calculator'!J:J,MATCH('Isaac 401k'!N2832,'Retirement Calculator'!A:A,0),0),0)</f>
        <v>0</v>
      </c>
      <c r="K2832" s="455">
        <f t="shared" ca="1" si="156"/>
        <v>-88124757.478437454</v>
      </c>
      <c r="L2832" s="455">
        <f t="shared" ca="1" si="157"/>
        <v>-21238066552.303429</v>
      </c>
      <c r="M2832" s="471">
        <f t="shared" si="159"/>
        <v>0.05</v>
      </c>
      <c r="N2832" s="475">
        <f t="shared" si="160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58"/>
        <v>-21238066552.303429</v>
      </c>
      <c r="J2833" s="455">
        <f t="array" ref="J2833">IFERROR(INDEX('Retirement Calculator'!J:J,MATCH('Isaac 401k'!N2833,'Retirement Calculator'!A:A,0),0),0)</f>
        <v>0</v>
      </c>
      <c r="K2833" s="455">
        <f t="shared" ca="1" si="156"/>
        <v>-88491943.967930958</v>
      </c>
      <c r="L2833" s="455">
        <f t="shared" ca="1" si="157"/>
        <v>-21326558496.271358</v>
      </c>
      <c r="M2833" s="471">
        <f t="shared" si="159"/>
        <v>0.05</v>
      </c>
      <c r="N2833" s="475">
        <f t="shared" si="160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58"/>
        <v>-21326558496.271358</v>
      </c>
      <c r="J2834" s="455">
        <f t="array" ref="J2834">IFERROR(INDEX('Retirement Calculator'!J:J,MATCH('Isaac 401k'!N2834,'Retirement Calculator'!A:A,0),0),0)</f>
        <v>0</v>
      </c>
      <c r="K2834" s="455">
        <f t="shared" ca="1" si="156"/>
        <v>-88860660.401130661</v>
      </c>
      <c r="L2834" s="455">
        <f t="shared" ca="1" si="157"/>
        <v>-21415419156.672489</v>
      </c>
      <c r="M2834" s="471">
        <f t="shared" si="159"/>
        <v>0.05</v>
      </c>
      <c r="N2834" s="475">
        <f t="shared" si="160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58"/>
        <v>-21415419156.672489</v>
      </c>
      <c r="J2835" s="455">
        <f t="array" ref="J2835">IFERROR(INDEX('Retirement Calculator'!J:J,MATCH('Isaac 401k'!N2835,'Retirement Calculator'!A:A,0),0),0)</f>
        <v>0</v>
      </c>
      <c r="K2835" s="455">
        <f t="shared" ca="1" si="156"/>
        <v>-89230913.152802035</v>
      </c>
      <c r="L2835" s="455">
        <f t="shared" ca="1" si="157"/>
        <v>-21504650069.825291</v>
      </c>
      <c r="M2835" s="471">
        <f t="shared" si="159"/>
        <v>0.05</v>
      </c>
      <c r="N2835" s="475">
        <f t="shared" si="160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58"/>
        <v>-21504650069.825291</v>
      </c>
      <c r="J2836" s="455">
        <f t="array" ref="J2836">IFERROR(INDEX('Retirement Calculator'!J:J,MATCH('Isaac 401k'!N2836,'Retirement Calculator'!A:A,0),0),0)</f>
        <v>0</v>
      </c>
      <c r="K2836" s="455">
        <f t="shared" ca="1" si="156"/>
        <v>-89602708.624272048</v>
      </c>
      <c r="L2836" s="455">
        <f t="shared" ca="1" si="157"/>
        <v>-21594252778.449562</v>
      </c>
      <c r="M2836" s="471">
        <f t="shared" si="159"/>
        <v>0.05</v>
      </c>
      <c r="N2836" s="475">
        <f t="shared" si="160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58"/>
        <v>-21594252778.449562</v>
      </c>
      <c r="J2837" s="455">
        <f t="array" ref="J2837">IFERROR(INDEX('Retirement Calculator'!J:J,MATCH('Isaac 401k'!N2837,'Retirement Calculator'!A:A,0),0),0)</f>
        <v>0</v>
      </c>
      <c r="K2837" s="455">
        <f t="shared" ca="1" si="156"/>
        <v>-89976053.24353984</v>
      </c>
      <c r="L2837" s="455">
        <f t="shared" ca="1" si="157"/>
        <v>-21684228831.693104</v>
      </c>
      <c r="M2837" s="471">
        <f t="shared" si="159"/>
        <v>0.05</v>
      </c>
      <c r="N2837" s="475">
        <f t="shared" si="160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58"/>
        <v>-21684228831.693104</v>
      </c>
      <c r="J2838" s="455">
        <f t="array" ref="J2838">IFERROR(INDEX('Retirement Calculator'!J:J,MATCH('Isaac 401k'!N2838,'Retirement Calculator'!A:A,0),0),0)</f>
        <v>0</v>
      </c>
      <c r="K2838" s="455">
        <f t="shared" ca="1" si="156"/>
        <v>-90350953.465387926</v>
      </c>
      <c r="L2838" s="455">
        <f t="shared" ca="1" si="157"/>
        <v>-21774579785.158493</v>
      </c>
      <c r="M2838" s="471">
        <f t="shared" si="159"/>
        <v>0.05</v>
      </c>
      <c r="N2838" s="475">
        <f t="shared" si="160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58"/>
        <v>-21774579785.158493</v>
      </c>
      <c r="J2839" s="455">
        <f t="array" ref="J2839">IFERROR(INDEX('Retirement Calculator'!J:J,MATCH('Isaac 401k'!N2839,'Retirement Calculator'!A:A,0),0),0)</f>
        <v>0</v>
      </c>
      <c r="K2839" s="455">
        <f t="shared" ca="1" si="156"/>
        <v>-90727415.771493718</v>
      </c>
      <c r="L2839" s="455">
        <f t="shared" ca="1" si="157"/>
        <v>-21865307200.929985</v>
      </c>
      <c r="M2839" s="471">
        <f t="shared" si="159"/>
        <v>0.05</v>
      </c>
      <c r="N2839" s="475">
        <f t="shared" si="160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58"/>
        <v>-21865307200.929985</v>
      </c>
      <c r="J2840" s="455">
        <f t="array" ref="J2840">IFERROR(INDEX('Retirement Calculator'!J:J,MATCH('Isaac 401k'!N2840,'Retirement Calculator'!A:A,0),0),0)</f>
        <v>0</v>
      </c>
      <c r="K2840" s="455">
        <f t="shared" ca="1" si="156"/>
        <v>-91105446.670541599</v>
      </c>
      <c r="L2840" s="455">
        <f t="shared" ca="1" si="157"/>
        <v>-21956412647.600525</v>
      </c>
      <c r="M2840" s="471">
        <f t="shared" si="159"/>
        <v>0.05</v>
      </c>
      <c r="N2840" s="475">
        <f t="shared" si="160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58"/>
        <v>-21956412647.600525</v>
      </c>
      <c r="J2841" s="455">
        <f t="array" ref="J2841">IFERROR(INDEX('Retirement Calculator'!J:J,MATCH('Isaac 401k'!N2841,'Retirement Calculator'!A:A,0),0),0)</f>
        <v>0</v>
      </c>
      <c r="K2841" s="455">
        <f t="shared" ca="1" si="156"/>
        <v>-91485052.698335513</v>
      </c>
      <c r="L2841" s="455">
        <f t="shared" ca="1" si="157"/>
        <v>-22047897700.298859</v>
      </c>
      <c r="M2841" s="471">
        <f t="shared" si="159"/>
        <v>0.05</v>
      </c>
      <c r="N2841" s="475">
        <f t="shared" si="160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58"/>
        <v>-22047897700.298859</v>
      </c>
      <c r="J2842" s="455">
        <f t="array" ref="J2842">IFERROR(INDEX('Retirement Calculator'!J:J,MATCH('Isaac 401k'!N2842,'Retirement Calculator'!A:A,0),0),0)</f>
        <v>0</v>
      </c>
      <c r="K2842" s="455">
        <f t="shared" ca="1" si="156"/>
        <v>-91866240.417911917</v>
      </c>
      <c r="L2842" s="455">
        <f t="shared" ca="1" si="157"/>
        <v>-22139763940.71677</v>
      </c>
      <c r="M2842" s="471">
        <f t="shared" si="159"/>
        <v>0.05</v>
      </c>
      <c r="N2842" s="475">
        <f t="shared" si="160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58"/>
        <v>-22139763940.71677</v>
      </c>
      <c r="J2843" s="455">
        <f t="array" ref="J2843">IFERROR(INDEX('Retirement Calculator'!J:J,MATCH('Isaac 401k'!N2843,'Retirement Calculator'!A:A,0),0),0)</f>
        <v>0</v>
      </c>
      <c r="K2843" s="455">
        <f t="shared" ca="1" si="156"/>
        <v>-92249016.419653207</v>
      </c>
      <c r="L2843" s="455">
        <f t="shared" ca="1" si="157"/>
        <v>-22232012957.136425</v>
      </c>
      <c r="M2843" s="471">
        <f t="shared" si="159"/>
        <v>0.05</v>
      </c>
      <c r="N2843" s="475">
        <f t="shared" si="160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58"/>
        <v>-22232012957.136425</v>
      </c>
      <c r="J2844" s="455">
        <f t="array" ref="J2844">IFERROR(INDEX('Retirement Calculator'!J:J,MATCH('Isaac 401k'!N2844,'Retirement Calculator'!A:A,0),0),0)</f>
        <v>0</v>
      </c>
      <c r="K2844" s="455">
        <f t="shared" ca="1" si="156"/>
        <v>-92633387.321401775</v>
      </c>
      <c r="L2844" s="455">
        <f t="shared" ca="1" si="157"/>
        <v>-22324646344.457829</v>
      </c>
      <c r="M2844" s="471">
        <f t="shared" si="159"/>
        <v>0.05</v>
      </c>
      <c r="N2844" s="475">
        <f t="shared" si="160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58"/>
        <v>-22324646344.457829</v>
      </c>
      <c r="J2845" s="455">
        <f t="array" ref="J2845">IFERROR(INDEX('Retirement Calculator'!J:J,MATCH('Isaac 401k'!N2845,'Retirement Calculator'!A:A,0),0),0)</f>
        <v>0</v>
      </c>
      <c r="K2845" s="455">
        <f t="shared" ca="1" si="156"/>
        <v>-93019359.768574283</v>
      </c>
      <c r="L2845" s="455">
        <f t="shared" ca="1" si="157"/>
        <v>-22417665704.226402</v>
      </c>
      <c r="M2845" s="471">
        <f t="shared" si="159"/>
        <v>0.05</v>
      </c>
      <c r="N2845" s="475">
        <f t="shared" si="160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58"/>
        <v>-22417665704.226402</v>
      </c>
      <c r="J2846" s="455">
        <f t="array" ref="J2846">IFERROR(INDEX('Retirement Calculator'!J:J,MATCH('Isaac 401k'!N2846,'Retirement Calculator'!A:A,0),0),0)</f>
        <v>0</v>
      </c>
      <c r="K2846" s="455">
        <f t="shared" ca="1" si="156"/>
        <v>-93406940.43427667</v>
      </c>
      <c r="L2846" s="455">
        <f t="shared" ca="1" si="157"/>
        <v>-22511072644.660679</v>
      </c>
      <c r="M2846" s="471">
        <f t="shared" si="159"/>
        <v>0.05</v>
      </c>
      <c r="N2846" s="475">
        <f t="shared" si="160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58"/>
        <v>-22511072644.660679</v>
      </c>
      <c r="J2847" s="455">
        <f t="array" ref="J2847">IFERROR(INDEX('Retirement Calculator'!J:J,MATCH('Isaac 401k'!N2847,'Retirement Calculator'!A:A,0),0),0)</f>
        <v>0</v>
      </c>
      <c r="K2847" s="455">
        <f t="shared" ca="1" si="156"/>
        <v>-93796136.019419491</v>
      </c>
      <c r="L2847" s="455">
        <f t="shared" ca="1" si="157"/>
        <v>-22604868780.680099</v>
      </c>
      <c r="M2847" s="471">
        <f t="shared" si="159"/>
        <v>0.05</v>
      </c>
      <c r="N2847" s="475">
        <f t="shared" si="160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58"/>
        <v>-22604868780.680099</v>
      </c>
      <c r="J2848" s="455">
        <f t="array" ref="J2848">IFERROR(INDEX('Retirement Calculator'!J:J,MATCH('Isaac 401k'!N2848,'Retirement Calculator'!A:A,0),0),0)</f>
        <v>0</v>
      </c>
      <c r="K2848" s="455">
        <f t="shared" ca="1" si="156"/>
        <v>-94186953.252833754</v>
      </c>
      <c r="L2848" s="455">
        <f t="shared" ca="1" si="157"/>
        <v>-22699055733.932934</v>
      </c>
      <c r="M2848" s="471">
        <f t="shared" si="159"/>
        <v>0.05</v>
      </c>
      <c r="N2848" s="475">
        <f t="shared" si="160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58"/>
        <v>-22699055733.932934</v>
      </c>
      <c r="J2849" s="455">
        <f t="array" ref="J2849">IFERROR(INDEX('Retirement Calculator'!J:J,MATCH('Isaac 401k'!N2849,'Retirement Calculator'!A:A,0),0),0)</f>
        <v>0</v>
      </c>
      <c r="K2849" s="455">
        <f t="shared" ca="1" si="156"/>
        <v>-94579398.891387224</v>
      </c>
      <c r="L2849" s="455">
        <f t="shared" ca="1" si="157"/>
        <v>-22793635132.824322</v>
      </c>
      <c r="M2849" s="471">
        <f t="shared" si="159"/>
        <v>0.05</v>
      </c>
      <c r="N2849" s="475">
        <f t="shared" si="160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58"/>
        <v>-22793635132.824322</v>
      </c>
      <c r="J2850" s="455">
        <f t="array" ref="J2850">IFERROR(INDEX('Retirement Calculator'!J:J,MATCH('Isaac 401k'!N2850,'Retirement Calculator'!A:A,0),0),0)</f>
        <v>0</v>
      </c>
      <c r="K2850" s="455">
        <f t="shared" ca="1" si="156"/>
        <v>-94973479.720101342</v>
      </c>
      <c r="L2850" s="455">
        <f t="shared" ca="1" si="157"/>
        <v>-22888608612.544422</v>
      </c>
      <c r="M2850" s="471">
        <f t="shared" si="159"/>
        <v>0.05</v>
      </c>
      <c r="N2850" s="475">
        <f t="shared" si="160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58"/>
        <v>-22888608612.544422</v>
      </c>
      <c r="J2851" s="455">
        <f t="array" ref="J2851">IFERROR(INDEX('Retirement Calculator'!J:J,MATCH('Isaac 401k'!N2851,'Retirement Calculator'!A:A,0),0),0)</f>
        <v>0</v>
      </c>
      <c r="K2851" s="455">
        <f t="shared" ca="1" si="156"/>
        <v>-95369202.552268431</v>
      </c>
      <c r="L2851" s="455">
        <f t="shared" ca="1" si="157"/>
        <v>-22983977815.096691</v>
      </c>
      <c r="M2851" s="471">
        <f t="shared" si="159"/>
        <v>0.05</v>
      </c>
      <c r="N2851" s="475">
        <f t="shared" si="160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58"/>
        <v>-22983977815.096691</v>
      </c>
      <c r="J2852" s="455">
        <f t="array" ref="J2852">IFERROR(INDEX('Retirement Calculator'!J:J,MATCH('Isaac 401k'!N2852,'Retirement Calculator'!A:A,0),0),0)</f>
        <v>0</v>
      </c>
      <c r="K2852" s="455">
        <f t="shared" ca="1" si="156"/>
        <v>-95766574.229569539</v>
      </c>
      <c r="L2852" s="455">
        <f t="shared" ca="1" si="157"/>
        <v>-23079744389.32626</v>
      </c>
      <c r="M2852" s="471">
        <f t="shared" si="159"/>
        <v>0.05</v>
      </c>
      <c r="N2852" s="475">
        <f t="shared" si="160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58"/>
        <v>-23079744389.32626</v>
      </c>
      <c r="J2853" s="455">
        <f t="array" ref="J2853">IFERROR(INDEX('Retirement Calculator'!J:J,MATCH('Isaac 401k'!N2853,'Retirement Calculator'!A:A,0),0),0)</f>
        <v>0</v>
      </c>
      <c r="K2853" s="455">
        <f t="shared" ca="1" si="156"/>
        <v>-96165601.62219274</v>
      </c>
      <c r="L2853" s="455">
        <f t="shared" ca="1" si="157"/>
        <v>-23175909990.948452</v>
      </c>
      <c r="M2853" s="471">
        <f t="shared" si="159"/>
        <v>0.05</v>
      </c>
      <c r="N2853" s="475">
        <f t="shared" si="160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58"/>
        <v>-23175909990.948452</v>
      </c>
      <c r="J2854" s="455">
        <f t="array" ref="J2854">IFERROR(INDEX('Retirement Calculator'!J:J,MATCH('Isaac 401k'!N2854,'Retirement Calculator'!A:A,0),0),0)</f>
        <v>0</v>
      </c>
      <c r="K2854" s="455">
        <f t="shared" ca="1" si="156"/>
        <v>-96566291.628951877</v>
      </c>
      <c r="L2854" s="455">
        <f t="shared" ca="1" si="157"/>
        <v>-23272476282.577404</v>
      </c>
      <c r="M2854" s="471">
        <f t="shared" si="159"/>
        <v>0.05</v>
      </c>
      <c r="N2854" s="475">
        <f t="shared" si="160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58"/>
        <v>-23272476282.577404</v>
      </c>
      <c r="J2855" s="455">
        <f t="array" ref="J2855">IFERROR(INDEX('Retirement Calculator'!J:J,MATCH('Isaac 401k'!N2855,'Retirement Calculator'!A:A,0),0),0)</f>
        <v>0</v>
      </c>
      <c r="K2855" s="455">
        <f t="shared" ca="1" si="156"/>
        <v>-96968651.177405849</v>
      </c>
      <c r="L2855" s="455">
        <f t="shared" ca="1" si="157"/>
        <v>-23369444933.75481</v>
      </c>
      <c r="M2855" s="471">
        <f t="shared" si="159"/>
        <v>0.05</v>
      </c>
      <c r="N2855" s="475">
        <f t="shared" si="160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58"/>
        <v>-23369444933.75481</v>
      </c>
      <c r="J2856" s="455">
        <f t="array" ref="J2856">IFERROR(INDEX('Retirement Calculator'!J:J,MATCH('Isaac 401k'!N2856,'Retirement Calculator'!A:A,0),0),0)</f>
        <v>0</v>
      </c>
      <c r="K2856" s="455">
        <f t="shared" ca="1" si="156"/>
        <v>-97372687.22397837</v>
      </c>
      <c r="L2856" s="455">
        <f t="shared" ca="1" si="157"/>
        <v>-23466817620.97879</v>
      </c>
      <c r="M2856" s="471">
        <f t="shared" si="159"/>
        <v>0.05</v>
      </c>
      <c r="N2856" s="475">
        <f t="shared" si="160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58"/>
        <v>-23466817620.97879</v>
      </c>
      <c r="J2857" s="455">
        <f t="array" ref="J2857">IFERROR(INDEX('Retirement Calculator'!J:J,MATCH('Isaac 401k'!N2857,'Retirement Calculator'!A:A,0),0),0)</f>
        <v>0</v>
      </c>
      <c r="K2857" s="455">
        <f t="shared" ca="1" si="156"/>
        <v>-97778406.754078299</v>
      </c>
      <c r="L2857" s="455">
        <f t="shared" ca="1" si="157"/>
        <v>-23564596027.732868</v>
      </c>
      <c r="M2857" s="471">
        <f t="shared" si="159"/>
        <v>0.05</v>
      </c>
      <c r="N2857" s="475">
        <f t="shared" si="160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58"/>
        <v>-23564596027.732868</v>
      </c>
      <c r="J2858" s="455">
        <f t="array" ref="J2858">IFERROR(INDEX('Retirement Calculator'!J:J,MATCH('Isaac 401k'!N2858,'Retirement Calculator'!A:A,0),0),0)</f>
        <v>0</v>
      </c>
      <c r="K2858" s="455">
        <f t="shared" ca="1" si="156"/>
        <v>-98185816.782220289</v>
      </c>
      <c r="L2858" s="455">
        <f t="shared" ca="1" si="157"/>
        <v>-23662781844.515087</v>
      </c>
      <c r="M2858" s="471">
        <f t="shared" si="159"/>
        <v>0.05</v>
      </c>
      <c r="N2858" s="475">
        <f t="shared" si="160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58"/>
        <v>-23662781844.515087</v>
      </c>
      <c r="J2859" s="455">
        <f t="array" ref="J2859">IFERROR(INDEX('Retirement Calculator'!J:J,MATCH('Isaac 401k'!N2859,'Retirement Calculator'!A:A,0),0),0)</f>
        <v>0</v>
      </c>
      <c r="K2859" s="455">
        <f t="shared" ca="1" si="156"/>
        <v>-98594924.352146193</v>
      </c>
      <c r="L2859" s="455">
        <f t="shared" ca="1" si="157"/>
        <v>-23761376768.867233</v>
      </c>
      <c r="M2859" s="471">
        <f t="shared" si="159"/>
        <v>0.05</v>
      </c>
      <c r="N2859" s="475">
        <f t="shared" si="160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58"/>
        <v>-23761376768.867233</v>
      </c>
      <c r="J2860" s="455">
        <f t="array" ref="J2860">IFERROR(INDEX('Retirement Calculator'!J:J,MATCH('Isaac 401k'!N2860,'Retirement Calculator'!A:A,0),0),0)</f>
        <v>0</v>
      </c>
      <c r="K2860" s="455">
        <f t="shared" ca="1" si="156"/>
        <v>-99005736.536946803</v>
      </c>
      <c r="L2860" s="455">
        <f t="shared" ca="1" si="157"/>
        <v>-23860382505.404179</v>
      </c>
      <c r="M2860" s="471">
        <f t="shared" si="159"/>
        <v>0.05</v>
      </c>
      <c r="N2860" s="475">
        <f t="shared" si="160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58"/>
        <v>-23860382505.404179</v>
      </c>
      <c r="J2861" s="455">
        <f t="array" ref="J2861">IFERROR(INDEX('Retirement Calculator'!J:J,MATCH('Isaac 401k'!N2861,'Retirement Calculator'!A:A,0),0),0)</f>
        <v>0</v>
      </c>
      <c r="K2861" s="455">
        <f t="shared" ca="1" si="156"/>
        <v>-99418260.43918407</v>
      </c>
      <c r="L2861" s="455">
        <f t="shared" ca="1" si="157"/>
        <v>-23959800765.843361</v>
      </c>
      <c r="M2861" s="471">
        <f t="shared" si="159"/>
        <v>0.05</v>
      </c>
      <c r="N2861" s="475">
        <f t="shared" si="160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58"/>
        <v>-23959800765.843361</v>
      </c>
      <c r="J2862" s="455">
        <f t="array" ref="J2862">IFERROR(INDEX('Retirement Calculator'!J:J,MATCH('Isaac 401k'!N2862,'Retirement Calculator'!A:A,0),0),0)</f>
        <v>0</v>
      </c>
      <c r="K2862" s="455">
        <f t="shared" ca="1" si="156"/>
        <v>-99832503.191014007</v>
      </c>
      <c r="L2862" s="455">
        <f t="shared" ca="1" si="157"/>
        <v>-24059633269.034374</v>
      </c>
      <c r="M2862" s="471">
        <f t="shared" si="159"/>
        <v>0.05</v>
      </c>
      <c r="N2862" s="475">
        <f t="shared" si="160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58"/>
        <v>-24059633269.034374</v>
      </c>
      <c r="J2863" s="455">
        <f t="array" ref="J2863">IFERROR(INDEX('Retirement Calculator'!J:J,MATCH('Isaac 401k'!N2863,'Retirement Calculator'!A:A,0),0),0)</f>
        <v>0</v>
      </c>
      <c r="K2863" s="455">
        <f t="shared" ca="1" si="156"/>
        <v>-100248471.9543099</v>
      </c>
      <c r="L2863" s="455">
        <f t="shared" ca="1" si="157"/>
        <v>-24159881740.988686</v>
      </c>
      <c r="M2863" s="471">
        <f t="shared" si="159"/>
        <v>0.05</v>
      </c>
      <c r="N2863" s="475">
        <f t="shared" si="160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58"/>
        <v>-24159881740.988686</v>
      </c>
      <c r="J2864" s="455">
        <f t="array" ref="J2864">IFERROR(INDEX('Retirement Calculator'!J:J,MATCH('Isaac 401k'!N2864,'Retirement Calculator'!A:A,0),0),0)</f>
        <v>0</v>
      </c>
      <c r="K2864" s="455">
        <f t="shared" ca="1" si="156"/>
        <v>-100666173.92078619</v>
      </c>
      <c r="L2864" s="455">
        <f t="shared" ca="1" si="157"/>
        <v>-24260547914.909473</v>
      </c>
      <c r="M2864" s="471">
        <f t="shared" si="159"/>
        <v>0.05</v>
      </c>
      <c r="N2864" s="475">
        <f t="shared" si="160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58"/>
        <v>-24260547914.909473</v>
      </c>
      <c r="J2865" s="455">
        <f t="array" ref="J2865">IFERROR(INDEX('Retirement Calculator'!J:J,MATCH('Isaac 401k'!N2865,'Retirement Calculator'!A:A,0),0),0)</f>
        <v>0</v>
      </c>
      <c r="K2865" s="455">
        <f t="shared" ca="1" si="156"/>
        <v>-101085616.31212281</v>
      </c>
      <c r="L2865" s="455">
        <f t="shared" ca="1" si="157"/>
        <v>-24361633531.221596</v>
      </c>
      <c r="M2865" s="471">
        <f t="shared" si="159"/>
        <v>0.05</v>
      </c>
      <c r="N2865" s="475">
        <f t="shared" si="160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58"/>
        <v>-24361633531.221596</v>
      </c>
      <c r="J2866" s="455">
        <f t="array" ref="J2866">IFERROR(INDEX('Retirement Calculator'!J:J,MATCH('Isaac 401k'!N2866,'Retirement Calculator'!A:A,0),0),0)</f>
        <v>0</v>
      </c>
      <c r="K2866" s="455">
        <f t="shared" ca="1" si="156"/>
        <v>-101506806.38008998</v>
      </c>
      <c r="L2866" s="455">
        <f t="shared" ca="1" si="157"/>
        <v>-24463140337.601685</v>
      </c>
      <c r="M2866" s="471">
        <f t="shared" si="159"/>
        <v>0.05</v>
      </c>
      <c r="N2866" s="475">
        <f t="shared" si="160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58"/>
        <v>-24463140337.601685</v>
      </c>
      <c r="J2867" s="455">
        <f t="array" ref="J2867">IFERROR(INDEX('Retirement Calculator'!J:J,MATCH('Isaac 401k'!N2867,'Retirement Calculator'!A:A,0),0),0)</f>
        <v>0</v>
      </c>
      <c r="K2867" s="455">
        <f t="shared" ca="1" si="156"/>
        <v>-101929751.40667368</v>
      </c>
      <c r="L2867" s="455">
        <f t="shared" ca="1" si="157"/>
        <v>-24565070089.008358</v>
      </c>
      <c r="M2867" s="471">
        <f t="shared" si="159"/>
        <v>0.05</v>
      </c>
      <c r="N2867" s="475">
        <f t="shared" si="160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58"/>
        <v>-24565070089.008358</v>
      </c>
      <c r="J2868" s="455">
        <f t="array" ref="J2868">IFERROR(INDEX('Retirement Calculator'!J:J,MATCH('Isaac 401k'!N2868,'Retirement Calculator'!A:A,0),0),0)</f>
        <v>0</v>
      </c>
      <c r="K2868" s="455">
        <f t="shared" ca="1" si="156"/>
        <v>-102354458.70420149</v>
      </c>
      <c r="L2868" s="455">
        <f t="shared" ca="1" si="157"/>
        <v>-24667424547.712559</v>
      </c>
      <c r="M2868" s="471">
        <f t="shared" si="159"/>
        <v>0.05</v>
      </c>
      <c r="N2868" s="475">
        <f t="shared" si="160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58"/>
        <v>-24667424547.712559</v>
      </c>
      <c r="J2869" s="455">
        <f t="array" ref="J2869">IFERROR(INDEX('Retirement Calculator'!J:J,MATCH('Isaac 401k'!N2869,'Retirement Calculator'!A:A,0),0),0)</f>
        <v>0</v>
      </c>
      <c r="K2869" s="455">
        <f t="shared" ca="1" si="156"/>
        <v>-102780935.61546899</v>
      </c>
      <c r="L2869" s="455">
        <f t="shared" ca="1" si="157"/>
        <v>-24770205483.32803</v>
      </c>
      <c r="M2869" s="471">
        <f t="shared" si="159"/>
        <v>0.05</v>
      </c>
      <c r="N2869" s="475">
        <f t="shared" si="160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58"/>
        <v>-24770205483.32803</v>
      </c>
      <c r="J2870" s="455">
        <f t="array" ref="J2870">IFERROR(INDEX('Retirement Calculator'!J:J,MATCH('Isaac 401k'!N2870,'Retirement Calculator'!A:A,0),0),0)</f>
        <v>0</v>
      </c>
      <c r="K2870" s="455">
        <f t="shared" ca="1" si="156"/>
        <v>-103209189.51386678</v>
      </c>
      <c r="L2870" s="455">
        <f t="shared" ca="1" si="157"/>
        <v>-24873414672.841896</v>
      </c>
      <c r="M2870" s="471">
        <f t="shared" si="159"/>
        <v>0.05</v>
      </c>
      <c r="N2870" s="475">
        <f t="shared" si="160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58"/>
        <v>-24873414672.841896</v>
      </c>
      <c r="J2871" s="455">
        <f t="array" ref="J2871">IFERROR(INDEX('Retirement Calculator'!J:J,MATCH('Isaac 401k'!N2871,'Retirement Calculator'!A:A,0),0),0)</f>
        <v>0</v>
      </c>
      <c r="K2871" s="455">
        <f t="shared" ca="1" si="156"/>
        <v>-103639227.80350789</v>
      </c>
      <c r="L2871" s="455">
        <f t="shared" ca="1" si="157"/>
        <v>-24977053900.645405</v>
      </c>
      <c r="M2871" s="471">
        <f t="shared" si="159"/>
        <v>0.05</v>
      </c>
      <c r="N2871" s="475">
        <f t="shared" si="160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58"/>
        <v>-24977053900.645405</v>
      </c>
      <c r="J2872" s="455">
        <f t="array" ref="J2872">IFERROR(INDEX('Retirement Calculator'!J:J,MATCH('Isaac 401k'!N2872,'Retirement Calculator'!A:A,0),0),0)</f>
        <v>0</v>
      </c>
      <c r="K2872" s="455">
        <f t="shared" ca="1" si="156"/>
        <v>-104071057.91935585</v>
      </c>
      <c r="L2872" s="455">
        <f t="shared" ca="1" si="157"/>
        <v>-25081124958.564762</v>
      </c>
      <c r="M2872" s="471">
        <f t="shared" si="159"/>
        <v>0.05</v>
      </c>
      <c r="N2872" s="475">
        <f t="shared" si="160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58"/>
        <v>-25081124958.564762</v>
      </c>
      <c r="J2873" s="455">
        <f t="array" ref="J2873">IFERROR(INDEX('Retirement Calculator'!J:J,MATCH('Isaac 401k'!N2873,'Retirement Calculator'!A:A,0),0),0)</f>
        <v>0</v>
      </c>
      <c r="K2873" s="455">
        <f t="shared" ca="1" si="156"/>
        <v>-104504687.32735318</v>
      </c>
      <c r="L2873" s="455">
        <f t="shared" ca="1" si="157"/>
        <v>-25185629645.892117</v>
      </c>
      <c r="M2873" s="471">
        <f t="shared" si="159"/>
        <v>0.05</v>
      </c>
      <c r="N2873" s="475">
        <f t="shared" si="160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58"/>
        <v>-25185629645.892117</v>
      </c>
      <c r="J2874" s="455">
        <f t="array" ref="J2874">IFERROR(INDEX('Retirement Calculator'!J:J,MATCH('Isaac 401k'!N2874,'Retirement Calculator'!A:A,0),0),0)</f>
        <v>0</v>
      </c>
      <c r="K2874" s="455">
        <f t="shared" ca="1" si="156"/>
        <v>-104940123.52455048</v>
      </c>
      <c r="L2874" s="455">
        <f t="shared" ca="1" si="157"/>
        <v>-25290569769.416668</v>
      </c>
      <c r="M2874" s="471">
        <f t="shared" si="159"/>
        <v>0.05</v>
      </c>
      <c r="N2874" s="475">
        <f t="shared" si="160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58"/>
        <v>-25290569769.416668</v>
      </c>
      <c r="J2875" s="455">
        <f t="array" ref="J2875">IFERROR(INDEX('Retirement Calculator'!J:J,MATCH('Isaac 401k'!N2875,'Retirement Calculator'!A:A,0),0),0)</f>
        <v>0</v>
      </c>
      <c r="K2875" s="455">
        <f t="shared" ca="1" si="156"/>
        <v>-105377374.03923611</v>
      </c>
      <c r="L2875" s="455">
        <f t="shared" ca="1" si="157"/>
        <v>-25395947143.455906</v>
      </c>
      <c r="M2875" s="471">
        <f t="shared" si="159"/>
        <v>0.05</v>
      </c>
      <c r="N2875" s="475">
        <f t="shared" si="160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58"/>
        <v>-25395947143.455906</v>
      </c>
      <c r="J2876" s="455">
        <f t="array" ref="J2876">IFERROR(INDEX('Retirement Calculator'!J:J,MATCH('Isaac 401k'!N2876,'Retirement Calculator'!A:A,0),0),0)</f>
        <v>0</v>
      </c>
      <c r="K2876" s="455">
        <f t="shared" ca="1" si="156"/>
        <v>-105816446.43106627</v>
      </c>
      <c r="L2876" s="455">
        <f t="shared" ca="1" si="157"/>
        <v>-25501763589.886971</v>
      </c>
      <c r="M2876" s="471">
        <f t="shared" si="159"/>
        <v>0.05</v>
      </c>
      <c r="N2876" s="475">
        <f t="shared" si="160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58"/>
        <v>-25501763589.886971</v>
      </c>
      <c r="J2877" s="455">
        <f t="array" ref="J2877">IFERROR(INDEX('Retirement Calculator'!J:J,MATCH('Isaac 401k'!N2877,'Retirement Calculator'!A:A,0),0),0)</f>
        <v>0</v>
      </c>
      <c r="K2877" s="455">
        <f t="shared" ca="1" si="156"/>
        <v>-106257348.29119571</v>
      </c>
      <c r="L2877" s="455">
        <f t="shared" ca="1" si="157"/>
        <v>-25608020938.178165</v>
      </c>
      <c r="M2877" s="471">
        <f t="shared" si="159"/>
        <v>0.05</v>
      </c>
      <c r="N2877" s="475">
        <f t="shared" si="160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58"/>
        <v>-25608020938.178165</v>
      </c>
      <c r="J2878" s="455">
        <f t="array" ref="J2878">IFERROR(INDEX('Retirement Calculator'!J:J,MATCH('Isaac 401k'!N2878,'Retirement Calculator'!A:A,0),0),0)</f>
        <v>0</v>
      </c>
      <c r="K2878" s="455">
        <f t="shared" ca="1" si="156"/>
        <v>-106700087.24240902</v>
      </c>
      <c r="L2878" s="455">
        <f t="shared" ca="1" si="157"/>
        <v>-25714721025.420574</v>
      </c>
      <c r="M2878" s="471">
        <f t="shared" si="159"/>
        <v>0.05</v>
      </c>
      <c r="N2878" s="475">
        <f t="shared" si="160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58"/>
        <v>-25714721025.420574</v>
      </c>
      <c r="J2879" s="455">
        <f t="array" ref="J2879">IFERROR(INDEX('Retirement Calculator'!J:J,MATCH('Isaac 401k'!N2879,'Retirement Calculator'!A:A,0),0),0)</f>
        <v>0</v>
      </c>
      <c r="K2879" s="455">
        <f t="shared" ca="1" si="156"/>
        <v>-107144670.93925239</v>
      </c>
      <c r="L2879" s="455">
        <f t="shared" ca="1" si="157"/>
        <v>-25821865696.359825</v>
      </c>
      <c r="M2879" s="471">
        <f t="shared" si="159"/>
        <v>0.05</v>
      </c>
      <c r="N2879" s="475">
        <f t="shared" si="160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58"/>
        <v>-25821865696.359825</v>
      </c>
      <c r="J2880" s="455">
        <f t="array" ref="J2880">IFERROR(INDEX('Retirement Calculator'!J:J,MATCH('Isaac 401k'!N2880,'Retirement Calculator'!A:A,0),0),0)</f>
        <v>0</v>
      </c>
      <c r="K2880" s="455">
        <f t="shared" ca="1" si="156"/>
        <v>-107591107.06816594</v>
      </c>
      <c r="L2880" s="455">
        <f t="shared" ca="1" si="157"/>
        <v>-25929456803.42799</v>
      </c>
      <c r="M2880" s="471">
        <f t="shared" si="159"/>
        <v>0.05</v>
      </c>
      <c r="N2880" s="475">
        <f t="shared" si="160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58"/>
        <v>-25929456803.42799</v>
      </c>
      <c r="J2881" s="455">
        <f t="array" ref="J2881">IFERROR(INDEX('Retirement Calculator'!J:J,MATCH('Isaac 401k'!N2881,'Retirement Calculator'!A:A,0),0),0)</f>
        <v>0</v>
      </c>
      <c r="K2881" s="455">
        <f t="shared" ca="1" si="156"/>
        <v>-108039403.34761663</v>
      </c>
      <c r="L2881" s="455">
        <f t="shared" ca="1" si="157"/>
        <v>-26037496206.775608</v>
      </c>
      <c r="M2881" s="471">
        <f t="shared" si="159"/>
        <v>0.05</v>
      </c>
      <c r="N2881" s="475">
        <f t="shared" si="160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58"/>
        <v>-26037496206.775608</v>
      </c>
      <c r="J2882" s="455">
        <f t="array" ref="J2882">IFERROR(INDEX('Retirement Calculator'!J:J,MATCH('Isaac 401k'!N2882,'Retirement Calculator'!A:A,0),0),0)</f>
        <v>0</v>
      </c>
      <c r="K2882" s="455">
        <f t="shared" ca="1" si="156"/>
        <v>-108489567.5282317</v>
      </c>
      <c r="L2882" s="455">
        <f t="shared" ca="1" si="157"/>
        <v>-26145985774.303841</v>
      </c>
      <c r="M2882" s="471">
        <f t="shared" si="159"/>
        <v>0.05</v>
      </c>
      <c r="N2882" s="475">
        <f t="shared" si="160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58"/>
        <v>-26145985774.303841</v>
      </c>
      <c r="J2883" s="455">
        <f t="array" ref="J2883">IFERROR(INDEX('Retirement Calculator'!J:J,MATCH('Isaac 401k'!N2883,'Retirement Calculator'!A:A,0),0),0)</f>
        <v>0</v>
      </c>
      <c r="K2883" s="455">
        <f t="shared" ca="1" si="156"/>
        <v>-108941607.39293267</v>
      </c>
      <c r="L2883" s="455">
        <f t="shared" ca="1" si="157"/>
        <v>-26254927381.696774</v>
      </c>
      <c r="M2883" s="471">
        <f t="shared" si="159"/>
        <v>0.05</v>
      </c>
      <c r="N2883" s="475">
        <f t="shared" si="160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58"/>
        <v>-26254927381.696774</v>
      </c>
      <c r="J2884" s="455">
        <f t="array" ref="J2884">IFERROR(INDEX('Retirement Calculator'!J:J,MATCH('Isaac 401k'!N2884,'Retirement Calculator'!A:A,0),0),0)</f>
        <v>0</v>
      </c>
      <c r="K2884" s="455">
        <f t="shared" ca="1" si="156"/>
        <v>-109395530.75706989</v>
      </c>
      <c r="L2884" s="455">
        <f t="shared" ca="1" si="157"/>
        <v>-26364322912.453842</v>
      </c>
      <c r="M2884" s="471">
        <f t="shared" si="159"/>
        <v>0.05</v>
      </c>
      <c r="N2884" s="475">
        <f t="shared" si="160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58"/>
        <v>-26364322912.453842</v>
      </c>
      <c r="J2885" s="455">
        <f t="array" ref="J2885">IFERROR(INDEX('Retirement Calculator'!J:J,MATCH('Isaac 401k'!N2885,'Retirement Calculator'!A:A,0),0),0)</f>
        <v>0</v>
      </c>
      <c r="K2885" s="455">
        <f t="shared" ca="1" si="156"/>
        <v>-109851345.46855767</v>
      </c>
      <c r="L2885" s="455">
        <f t="shared" ca="1" si="157"/>
        <v>-26474174257.922401</v>
      </c>
      <c r="M2885" s="471">
        <f t="shared" si="159"/>
        <v>0.05</v>
      </c>
      <c r="N2885" s="475">
        <f t="shared" si="160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58"/>
        <v>-26474174257.922401</v>
      </c>
      <c r="J2886" s="455">
        <f t="array" ref="J2886">IFERROR(INDEX('Retirement Calculator'!J:J,MATCH('Isaac 401k'!N2886,'Retirement Calculator'!A:A,0),0),0)</f>
        <v>0</v>
      </c>
      <c r="K2886" s="455">
        <f t="shared" ca="1" si="156"/>
        <v>-110309059.40801001</v>
      </c>
      <c r="L2886" s="455">
        <f t="shared" ca="1" si="157"/>
        <v>-26584483317.33041</v>
      </c>
      <c r="M2886" s="471">
        <f t="shared" si="159"/>
        <v>0.05</v>
      </c>
      <c r="N2886" s="475">
        <f t="shared" si="160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58"/>
        <v>-26584483317.33041</v>
      </c>
      <c r="J2887" s="455">
        <f t="array" ref="J2887">IFERROR(INDEX('Retirement Calculator'!J:J,MATCH('Isaac 401k'!N2887,'Retirement Calculator'!A:A,0),0),0)</f>
        <v>0</v>
      </c>
      <c r="K2887" s="455">
        <f t="shared" ca="1" si="156"/>
        <v>-110768680.4888767</v>
      </c>
      <c r="L2887" s="455">
        <f t="shared" ca="1" si="157"/>
        <v>-26695251997.819286</v>
      </c>
      <c r="M2887" s="471">
        <f t="shared" si="159"/>
        <v>0.05</v>
      </c>
      <c r="N2887" s="475">
        <f t="shared" si="160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58"/>
        <v>-26695251997.819286</v>
      </c>
      <c r="J2888" s="455">
        <f t="array" ref="J2888">IFERROR(INDEX('Retirement Calculator'!J:J,MATCH('Isaac 401k'!N2888,'Retirement Calculator'!A:A,0),0),0)</f>
        <v>0</v>
      </c>
      <c r="K2888" s="455">
        <f t="shared" ca="1" si="156"/>
        <v>-111230216.65758036</v>
      </c>
      <c r="L2888" s="455">
        <f t="shared" ca="1" si="157"/>
        <v>-26806482214.476868</v>
      </c>
      <c r="M2888" s="471">
        <f t="shared" si="159"/>
        <v>0.05</v>
      </c>
      <c r="N2888" s="475">
        <f t="shared" si="160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58"/>
        <v>-26806482214.476868</v>
      </c>
      <c r="J2889" s="455">
        <f t="array" ref="J2889">IFERROR(INDEX('Retirement Calculator'!J:J,MATCH('Isaac 401k'!N2889,'Retirement Calculator'!A:A,0),0),0)</f>
        <v>0</v>
      </c>
      <c r="K2889" s="455">
        <f t="shared" ca="1" si="156"/>
        <v>-111693675.8936536</v>
      </c>
      <c r="L2889" s="455">
        <f t="shared" ca="1" si="157"/>
        <v>-26918175890.370522</v>
      </c>
      <c r="M2889" s="471">
        <f t="shared" si="159"/>
        <v>0.05</v>
      </c>
      <c r="N2889" s="475">
        <f t="shared" si="160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58"/>
        <v>-26918175890.370522</v>
      </c>
      <c r="J2890" s="455">
        <f t="array" ref="J2890">IFERROR(INDEX('Retirement Calculator'!J:J,MATCH('Isaac 401k'!N2890,'Retirement Calculator'!A:A,0),0),0)</f>
        <v>0</v>
      </c>
      <c r="K2890" s="455">
        <f t="shared" ca="1" si="156"/>
        <v>-112159066.20987718</v>
      </c>
      <c r="L2890" s="455">
        <f t="shared" ca="1" si="157"/>
        <v>-27030334956.580399</v>
      </c>
      <c r="M2890" s="471">
        <f t="shared" si="159"/>
        <v>0.05</v>
      </c>
      <c r="N2890" s="475">
        <f t="shared" si="160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58"/>
        <v>-27030334956.580399</v>
      </c>
      <c r="J2891" s="455">
        <f t="array" ref="J2891">IFERROR(INDEX('Retirement Calculator'!J:J,MATCH('Isaac 401k'!N2891,'Retirement Calculator'!A:A,0),0),0)</f>
        <v>0</v>
      </c>
      <c r="K2891" s="455">
        <f t="shared" ca="1" si="156"/>
        <v>-112626395.65241833</v>
      </c>
      <c r="L2891" s="455">
        <f t="shared" ca="1" si="157"/>
        <v>-27142961352.232819</v>
      </c>
      <c r="M2891" s="471">
        <f t="shared" si="159"/>
        <v>0.05</v>
      </c>
      <c r="N2891" s="475">
        <f t="shared" si="160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58"/>
        <v>-27142961352.232819</v>
      </c>
      <c r="J2892" s="455">
        <f t="array" ref="J2892">IFERROR(INDEX('Retirement Calculator'!J:J,MATCH('Isaac 401k'!N2892,'Retirement Calculator'!A:A,0),0),0)</f>
        <v>0</v>
      </c>
      <c r="K2892" s="455">
        <f t="shared" ca="1" si="156"/>
        <v>-113095672.30097009</v>
      </c>
      <c r="L2892" s="455">
        <f t="shared" ca="1" si="157"/>
        <v>-27256057024.533791</v>
      </c>
      <c r="M2892" s="471">
        <f t="shared" si="159"/>
        <v>0.05</v>
      </c>
      <c r="N2892" s="475">
        <f t="shared" si="160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58"/>
        <v>-27256057024.533791</v>
      </c>
      <c r="J2893" s="455">
        <f t="array" ref="J2893">IFERROR(INDEX('Retirement Calculator'!J:J,MATCH('Isaac 401k'!N2893,'Retirement Calculator'!A:A,0),0),0)</f>
        <v>0</v>
      </c>
      <c r="K2893" s="455">
        <f t="shared" ca="1" si="156"/>
        <v>-113566904.26889081</v>
      </c>
      <c r="L2893" s="455">
        <f t="shared" ca="1" si="157"/>
        <v>-27369623928.802681</v>
      </c>
      <c r="M2893" s="471">
        <f t="shared" si="159"/>
        <v>0.05</v>
      </c>
      <c r="N2893" s="475">
        <f t="shared" si="160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58"/>
        <v>-27369623928.802681</v>
      </c>
      <c r="J2894" s="455">
        <f t="array" ref="J2894">IFERROR(INDEX('Retirement Calculator'!J:J,MATCH('Isaac 401k'!N2894,'Retirement Calculator'!A:A,0),0),0)</f>
        <v>0</v>
      </c>
      <c r="K2894" s="455">
        <f t="shared" ca="1" si="156"/>
        <v>-114040099.70334451</v>
      </c>
      <c r="L2894" s="455">
        <f t="shared" ca="1" si="157"/>
        <v>-27483664028.506027</v>
      </c>
      <c r="M2894" s="471">
        <f t="shared" si="159"/>
        <v>0.05</v>
      </c>
      <c r="N2894" s="475">
        <f t="shared" si="160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58"/>
        <v>-27483664028.506027</v>
      </c>
      <c r="J2895" s="455">
        <f t="array" ref="J2895">IFERROR(INDEX('Retirement Calculator'!J:J,MATCH('Isaac 401k'!N2895,'Retirement Calculator'!A:A,0),0),0)</f>
        <v>0</v>
      </c>
      <c r="K2895" s="455">
        <f t="shared" ca="1" si="156"/>
        <v>-114515266.78544177</v>
      </c>
      <c r="L2895" s="455">
        <f t="shared" ca="1" si="157"/>
        <v>-27598179295.29147</v>
      </c>
      <c r="M2895" s="471">
        <f t="shared" si="159"/>
        <v>0.05</v>
      </c>
      <c r="N2895" s="475">
        <f t="shared" si="160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58"/>
        <v>-27598179295.29147</v>
      </c>
      <c r="J2896" s="455">
        <f t="array" ref="J2896">IFERROR(INDEX('Retirement Calculator'!J:J,MATCH('Isaac 401k'!N2896,'Retirement Calculator'!A:A,0),0),0)</f>
        <v>0</v>
      </c>
      <c r="K2896" s="455">
        <f t="shared" ca="1" si="156"/>
        <v>-114992413.73038112</v>
      </c>
      <c r="L2896" s="455">
        <f t="shared" ca="1" si="157"/>
        <v>-27713171709.021851</v>
      </c>
      <c r="M2896" s="471">
        <f t="shared" si="159"/>
        <v>0.05</v>
      </c>
      <c r="N2896" s="475">
        <f t="shared" si="160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58"/>
        <v>-27713171709.021851</v>
      </c>
      <c r="J2897" s="455">
        <f t="array" ref="J2897">IFERROR(INDEX('Retirement Calculator'!J:J,MATCH('Isaac 401k'!N2897,'Retirement Calculator'!A:A,0),0),0)</f>
        <v>0</v>
      </c>
      <c r="K2897" s="455">
        <f t="shared" ca="1" si="156"/>
        <v>-115471548.78759104</v>
      </c>
      <c r="L2897" s="455">
        <f t="shared" ca="1" si="157"/>
        <v>-27828643257.809441</v>
      </c>
      <c r="M2897" s="471">
        <f t="shared" si="159"/>
        <v>0.05</v>
      </c>
      <c r="N2897" s="475">
        <f t="shared" si="160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58"/>
        <v>-27828643257.809441</v>
      </c>
      <c r="J2898" s="455">
        <f t="array" ref="J2898">IFERROR(INDEX('Retirement Calculator'!J:J,MATCH('Isaac 401k'!N2898,'Retirement Calculator'!A:A,0),0),0)</f>
        <v>0</v>
      </c>
      <c r="K2898" s="455">
        <f t="shared" ca="1" si="156"/>
        <v>-115952680.24087267</v>
      </c>
      <c r="L2898" s="455">
        <f t="shared" ca="1" si="157"/>
        <v>-27944595938.050312</v>
      </c>
      <c r="M2898" s="471">
        <f t="shared" si="159"/>
        <v>0.05</v>
      </c>
      <c r="N2898" s="475">
        <f t="shared" si="160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58"/>
        <v>-27944595938.050312</v>
      </c>
      <c r="J2899" s="455">
        <f t="array" ref="J2899">IFERROR(INDEX('Retirement Calculator'!J:J,MATCH('Isaac 401k'!N2899,'Retirement Calculator'!A:A,0),0),0)</f>
        <v>0</v>
      </c>
      <c r="K2899" s="455">
        <f t="shared" ca="1" si="156"/>
        <v>-116435816.40854296</v>
      </c>
      <c r="L2899" s="455">
        <f t="shared" ca="1" si="157"/>
        <v>-28061031754.458855</v>
      </c>
      <c r="M2899" s="471">
        <f t="shared" si="159"/>
        <v>0.05</v>
      </c>
      <c r="N2899" s="475">
        <f t="shared" si="160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58"/>
        <v>-28061031754.458855</v>
      </c>
      <c r="J2900" s="455">
        <f t="array" ref="J2900">IFERROR(INDEX('Retirement Calculator'!J:J,MATCH('Isaac 401k'!N2900,'Retirement Calculator'!A:A,0),0),0)</f>
        <v>0</v>
      </c>
      <c r="K2900" s="455">
        <f t="shared" ca="1" si="156"/>
        <v>-116920965.64357857</v>
      </c>
      <c r="L2900" s="455">
        <f t="shared" ca="1" si="157"/>
        <v>-28177952720.102432</v>
      </c>
      <c r="M2900" s="471">
        <f t="shared" si="159"/>
        <v>0.05</v>
      </c>
      <c r="N2900" s="475">
        <f t="shared" si="160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58"/>
        <v>-28177952720.102432</v>
      </c>
      <c r="J2901" s="455">
        <f t="array" ref="J2901">IFERROR(INDEX('Retirement Calculator'!J:J,MATCH('Isaac 401k'!N2901,'Retirement Calculator'!A:A,0),0),0)</f>
        <v>0</v>
      </c>
      <c r="K2901" s="455">
        <f t="shared" ca="1" si="156"/>
        <v>-117408136.33376013</v>
      </c>
      <c r="L2901" s="455">
        <f t="shared" ca="1" si="157"/>
        <v>-28295360856.436192</v>
      </c>
      <c r="M2901" s="471">
        <f t="shared" si="159"/>
        <v>0.05</v>
      </c>
      <c r="N2901" s="475">
        <f t="shared" si="160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58"/>
        <v>-28295360856.436192</v>
      </c>
      <c r="J2902" s="455">
        <f t="array" ref="J2902">IFERROR(INDEX('Retirement Calculator'!J:J,MATCH('Isaac 401k'!N2902,'Retirement Calculator'!A:A,0),0),0)</f>
        <v>0</v>
      </c>
      <c r="K2902" s="455">
        <f t="shared" ca="1" si="156"/>
        <v>-117897336.90181746</v>
      </c>
      <c r="L2902" s="455">
        <f t="shared" ca="1" si="157"/>
        <v>-28413258193.338009</v>
      </c>
      <c r="M2902" s="471">
        <f t="shared" si="159"/>
        <v>0.05</v>
      </c>
      <c r="N2902" s="475">
        <f t="shared" si="160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58"/>
        <v>-28413258193.338009</v>
      </c>
      <c r="J2903" s="455">
        <f t="array" ref="J2903">IFERROR(INDEX('Retirement Calculator'!J:J,MATCH('Isaac 401k'!N2903,'Retirement Calculator'!A:A,0),0),0)</f>
        <v>0</v>
      </c>
      <c r="K2903" s="455">
        <f t="shared" ca="1" si="156"/>
        <v>-118388575.80557501</v>
      </c>
      <c r="L2903" s="455">
        <f t="shared" ca="1" si="157"/>
        <v>-28531646769.143585</v>
      </c>
      <c r="M2903" s="471">
        <f t="shared" si="159"/>
        <v>0.05</v>
      </c>
      <c r="N2903" s="475">
        <f t="shared" si="160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58"/>
        <v>-28531646769.143585</v>
      </c>
      <c r="J2904" s="455">
        <f t="array" ref="J2904">IFERROR(INDEX('Retirement Calculator'!J:J,MATCH('Isaac 401k'!N2904,'Retirement Calculator'!A:A,0),0),0)</f>
        <v>0</v>
      </c>
      <c r="K2904" s="455">
        <f t="shared" ca="1" si="156"/>
        <v>-118881861.53809828</v>
      </c>
      <c r="L2904" s="455">
        <f t="shared" ca="1" si="157"/>
        <v>-28650528630.681683</v>
      </c>
      <c r="M2904" s="471">
        <f t="shared" si="159"/>
        <v>0.05</v>
      </c>
      <c r="N2904" s="475">
        <f t="shared" si="160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58"/>
        <v>-28650528630.681683</v>
      </c>
      <c r="J2905" s="455">
        <f t="array" ref="J2905">IFERROR(INDEX('Retirement Calculator'!J:J,MATCH('Isaac 401k'!N2905,'Retirement Calculator'!A:A,0),0),0)</f>
        <v>0</v>
      </c>
      <c r="K2905" s="455">
        <f t="shared" ca="1" si="156"/>
        <v>-119377202.62784036</v>
      </c>
      <c r="L2905" s="455">
        <f t="shared" ca="1" si="157"/>
        <v>-28769905833.309525</v>
      </c>
      <c r="M2905" s="471">
        <f t="shared" si="159"/>
        <v>0.05</v>
      </c>
      <c r="N2905" s="475">
        <f t="shared" si="160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58"/>
        <v>-28769905833.309525</v>
      </c>
      <c r="J2906" s="455">
        <f t="array" ref="J2906">IFERROR(INDEX('Retirement Calculator'!J:J,MATCH('Isaac 401k'!N2906,'Retirement Calculator'!A:A,0),0),0)</f>
        <v>0</v>
      </c>
      <c r="K2906" s="455">
        <f t="shared" ca="1" si="156"/>
        <v>-119874607.6387897</v>
      </c>
      <c r="L2906" s="455">
        <f t="shared" ca="1" si="157"/>
        <v>-28889780440.948315</v>
      </c>
      <c r="M2906" s="471">
        <f t="shared" si="159"/>
        <v>0.05</v>
      </c>
      <c r="N2906" s="475">
        <f t="shared" si="160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58"/>
        <v>-28889780440.948315</v>
      </c>
      <c r="J2907" s="455">
        <f t="array" ref="J2907">IFERROR(INDEX('Retirement Calculator'!J:J,MATCH('Isaac 401k'!N2907,'Retirement Calculator'!A:A,0),0),0)</f>
        <v>0</v>
      </c>
      <c r="K2907" s="455">
        <f t="shared" ca="1" si="156"/>
        <v>-120374085.17061798</v>
      </c>
      <c r="L2907" s="455">
        <f t="shared" ca="1" si="157"/>
        <v>-29010154526.118931</v>
      </c>
      <c r="M2907" s="471">
        <f t="shared" si="159"/>
        <v>0.05</v>
      </c>
      <c r="N2907" s="475">
        <f t="shared" si="160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58"/>
        <v>-29010154526.118931</v>
      </c>
      <c r="J2908" s="455">
        <f t="array" ref="J2908">IFERROR(INDEX('Retirement Calculator'!J:J,MATCH('Isaac 401k'!N2908,'Retirement Calculator'!A:A,0),0),0)</f>
        <v>0</v>
      </c>
      <c r="K2908" s="455">
        <f t="shared" ca="1" si="156"/>
        <v>-120875643.85882889</v>
      </c>
      <c r="L2908" s="455">
        <f t="shared" ca="1" si="157"/>
        <v>-29131030169.97776</v>
      </c>
      <c r="M2908" s="471">
        <f t="shared" si="159"/>
        <v>0.05</v>
      </c>
      <c r="N2908" s="475">
        <f t="shared" si="160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58"/>
        <v>-29131030169.97776</v>
      </c>
      <c r="J2909" s="455">
        <f t="array" ref="J2909">IFERROR(INDEX('Retirement Calculator'!J:J,MATCH('Isaac 401k'!N2909,'Retirement Calculator'!A:A,0),0),0)</f>
        <v>0</v>
      </c>
      <c r="K2909" s="455">
        <f t="shared" ca="1" si="156"/>
        <v>-121379292.37490731</v>
      </c>
      <c r="L2909" s="455">
        <f t="shared" ca="1" si="157"/>
        <v>-29252409462.352669</v>
      </c>
      <c r="M2909" s="471">
        <f t="shared" si="159"/>
        <v>0.05</v>
      </c>
      <c r="N2909" s="475">
        <f t="shared" si="160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58"/>
        <v>-29252409462.352669</v>
      </c>
      <c r="J2910" s="455">
        <f t="array" ref="J2910">IFERROR(INDEX('Retirement Calculator'!J:J,MATCH('Isaac 401k'!N2910,'Retirement Calculator'!A:A,0),0),0)</f>
        <v>0</v>
      </c>
      <c r="K2910" s="455">
        <f t="shared" ca="1" si="156"/>
        <v>-121885039.42646945</v>
      </c>
      <c r="L2910" s="455">
        <f t="shared" ca="1" si="157"/>
        <v>-29374294501.779137</v>
      </c>
      <c r="M2910" s="471">
        <f t="shared" si="159"/>
        <v>0.05</v>
      </c>
      <c r="N2910" s="475">
        <f t="shared" si="160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58"/>
        <v>-29374294501.779137</v>
      </c>
      <c r="J2911" s="455">
        <f t="array" ref="J2911">IFERROR(INDEX('Retirement Calculator'!J:J,MATCH('Isaac 401k'!N2911,'Retirement Calculator'!A:A,0),0),0)</f>
        <v>0</v>
      </c>
      <c r="K2911" s="455">
        <f t="shared" ca="1" si="156"/>
        <v>-122392893.75741309</v>
      </c>
      <c r="L2911" s="455">
        <f t="shared" ca="1" si="157"/>
        <v>-29496687395.536549</v>
      </c>
      <c r="M2911" s="471">
        <f t="shared" si="159"/>
        <v>0.05</v>
      </c>
      <c r="N2911" s="475">
        <f t="shared" si="160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58"/>
        <v>-29496687395.536549</v>
      </c>
      <c r="J2912" s="455">
        <f t="array" ref="J2912">IFERROR(INDEX('Retirement Calculator'!J:J,MATCH('Isaac 401k'!N2912,'Retirement Calculator'!A:A,0),0),0)</f>
        <v>0</v>
      </c>
      <c r="K2912" s="455">
        <f t="shared" ca="1" si="156"/>
        <v>-122902864.14806896</v>
      </c>
      <c r="L2912" s="455">
        <f t="shared" ca="1" si="157"/>
        <v>-29619590259.684616</v>
      </c>
      <c r="M2912" s="471">
        <f t="shared" si="159"/>
        <v>0.05</v>
      </c>
      <c r="N2912" s="475">
        <f t="shared" si="160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58"/>
        <v>-29619590259.684616</v>
      </c>
      <c r="J2913" s="455">
        <f t="array" ref="J2913">IFERROR(INDEX('Retirement Calculator'!J:J,MATCH('Isaac 401k'!N2913,'Retirement Calculator'!A:A,0),0),0)</f>
        <v>0</v>
      </c>
      <c r="K2913" s="455">
        <f t="shared" ca="1" si="156"/>
        <v>-123414959.41535257</v>
      </c>
      <c r="L2913" s="455">
        <f t="shared" ca="1" si="157"/>
        <v>-29743005219.099968</v>
      </c>
      <c r="M2913" s="471">
        <f t="shared" si="159"/>
        <v>0.05</v>
      </c>
      <c r="N2913" s="475">
        <f t="shared" si="160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58"/>
        <v>-29743005219.099968</v>
      </c>
      <c r="J2914" s="455">
        <f t="array" ref="J2914">IFERROR(INDEX('Retirement Calculator'!J:J,MATCH('Isaac 401k'!N2914,'Retirement Calculator'!A:A,0),0),0)</f>
        <v>0</v>
      </c>
      <c r="K2914" s="455">
        <f t="shared" ca="1" si="156"/>
        <v>-123929188.41291653</v>
      </c>
      <c r="L2914" s="455">
        <f t="shared" ca="1" si="157"/>
        <v>-29866934407.512886</v>
      </c>
      <c r="M2914" s="471">
        <f t="shared" si="159"/>
        <v>0.05</v>
      </c>
      <c r="N2914" s="475">
        <f t="shared" si="160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58"/>
        <v>-29866934407.512886</v>
      </c>
      <c r="J2915" s="455">
        <f t="array" ref="J2915">IFERROR(INDEX('Retirement Calculator'!J:J,MATCH('Isaac 401k'!N2915,'Retirement Calculator'!A:A,0),0),0)</f>
        <v>0</v>
      </c>
      <c r="K2915" s="455">
        <f t="shared" ca="1" si="156"/>
        <v>-124445560.03130369</v>
      </c>
      <c r="L2915" s="455">
        <f t="shared" ca="1" si="157"/>
        <v>-29991379967.544189</v>
      </c>
      <c r="M2915" s="471">
        <f t="shared" si="159"/>
        <v>0.05</v>
      </c>
      <c r="N2915" s="475">
        <f t="shared" si="160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58"/>
        <v>-29991379967.544189</v>
      </c>
      <c r="J2916" s="455">
        <f t="array" ref="J2916">IFERROR(INDEX('Retirement Calculator'!J:J,MATCH('Isaac 401k'!N2916,'Retirement Calculator'!A:A,0),0),0)</f>
        <v>0</v>
      </c>
      <c r="K2916" s="455">
        <f t="shared" ca="1" si="156"/>
        <v>-124964083.19810081</v>
      </c>
      <c r="L2916" s="455">
        <f t="shared" ca="1" si="157"/>
        <v>-30116344050.74229</v>
      </c>
      <c r="M2916" s="471">
        <f t="shared" si="159"/>
        <v>0.05</v>
      </c>
      <c r="N2916" s="475">
        <f t="shared" si="160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58"/>
        <v>-30116344050.74229</v>
      </c>
      <c r="J2917" s="455">
        <f t="array" ref="J2917">IFERROR(INDEX('Retirement Calculator'!J:J,MATCH('Isaac 401k'!N2917,'Retirement Calculator'!A:A,0),0),0)</f>
        <v>0</v>
      </c>
      <c r="K2917" s="455">
        <f t="shared" ca="1" si="156"/>
        <v>-125484766.87809287</v>
      </c>
      <c r="L2917" s="455">
        <f t="shared" ca="1" si="157"/>
        <v>-30241828817.620384</v>
      </c>
      <c r="M2917" s="471">
        <f t="shared" si="159"/>
        <v>0.05</v>
      </c>
      <c r="N2917" s="475">
        <f t="shared" si="160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58"/>
        <v>-30241828817.620384</v>
      </c>
      <c r="J2918" s="455">
        <f t="array" ref="J2918">IFERROR(INDEX('Retirement Calculator'!J:J,MATCH('Isaac 401k'!N2918,'Retirement Calculator'!A:A,0),0),0)</f>
        <v>0</v>
      </c>
      <c r="K2918" s="455">
        <f t="shared" ca="1" si="156"/>
        <v>-126007620.07341824</v>
      </c>
      <c r="L2918" s="455">
        <f t="shared" ca="1" si="157"/>
        <v>-30367836437.693802</v>
      </c>
      <c r="M2918" s="471">
        <f t="shared" si="159"/>
        <v>0.05</v>
      </c>
      <c r="N2918" s="475">
        <f t="shared" si="160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58"/>
        <v>-30367836437.693802</v>
      </c>
      <c r="J2919" s="455">
        <f t="array" ref="J2919">IFERROR(INDEX('Retirement Calculator'!J:J,MATCH('Isaac 401k'!N2919,'Retirement Calculator'!A:A,0),0),0)</f>
        <v>0</v>
      </c>
      <c r="K2919" s="455">
        <f t="shared" ca="1" si="156"/>
        <v>-126532651.82372417</v>
      </c>
      <c r="L2919" s="455">
        <f t="shared" ca="1" si="157"/>
        <v>-30494369089.517525</v>
      </c>
      <c r="M2919" s="471">
        <f t="shared" si="159"/>
        <v>0.05</v>
      </c>
      <c r="N2919" s="475">
        <f t="shared" si="160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58"/>
        <v>-30494369089.517525</v>
      </c>
      <c r="J2920" s="455">
        <f t="array" ref="J2920">IFERROR(INDEX('Retirement Calculator'!J:J,MATCH('Isaac 401k'!N2920,'Retirement Calculator'!A:A,0),0),0)</f>
        <v>0</v>
      </c>
      <c r="K2920" s="455">
        <f t="shared" ca="1" si="156"/>
        <v>-127059871.20632301</v>
      </c>
      <c r="L2920" s="455">
        <f t="shared" ca="1" si="157"/>
        <v>-30621428960.723846</v>
      </c>
      <c r="M2920" s="471">
        <f t="shared" si="159"/>
        <v>0.05</v>
      </c>
      <c r="N2920" s="475">
        <f t="shared" si="160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58"/>
        <v>-30621428960.723846</v>
      </c>
      <c r="J2921" s="455">
        <f t="array" ref="J2921">IFERROR(INDEX('Retirement Calculator'!J:J,MATCH('Isaac 401k'!N2921,'Retirement Calculator'!A:A,0),0),0)</f>
        <v>0</v>
      </c>
      <c r="K2921" s="455">
        <f t="shared" ca="1" si="156"/>
        <v>-127589287.33634934</v>
      </c>
      <c r="L2921" s="455">
        <f t="shared" ca="1" si="157"/>
        <v>-30749018248.060196</v>
      </c>
      <c r="M2921" s="471">
        <f t="shared" si="159"/>
        <v>0.05</v>
      </c>
      <c r="N2921" s="475">
        <f t="shared" si="160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58"/>
        <v>-30749018248.060196</v>
      </c>
      <c r="J2922" s="455">
        <f t="array" ref="J2922">IFERROR(INDEX('Retirement Calculator'!J:J,MATCH('Isaac 401k'!N2922,'Retirement Calculator'!A:A,0),0),0)</f>
        <v>0</v>
      </c>
      <c r="K2922" s="455">
        <f t="shared" ca="1" si="156"/>
        <v>-128120909.36691748</v>
      </c>
      <c r="L2922" s="455">
        <f t="shared" ca="1" si="157"/>
        <v>-30877139157.427113</v>
      </c>
      <c r="M2922" s="471">
        <f t="shared" si="159"/>
        <v>0.05</v>
      </c>
      <c r="N2922" s="475">
        <f t="shared" si="160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58"/>
        <v>-30877139157.427113</v>
      </c>
      <c r="J2923" s="455">
        <f t="array" ref="J2923">IFERROR(INDEX('Retirement Calculator'!J:J,MATCH('Isaac 401k'!N2923,'Retirement Calculator'!A:A,0),0),0)</f>
        <v>0</v>
      </c>
      <c r="K2923" s="455">
        <f t="shared" ca="1" si="156"/>
        <v>-128654746.48927963</v>
      </c>
      <c r="L2923" s="455">
        <f t="shared" ca="1" si="157"/>
        <v>-31005793903.916393</v>
      </c>
      <c r="M2923" s="471">
        <f t="shared" si="159"/>
        <v>0.05</v>
      </c>
      <c r="N2923" s="475">
        <f t="shared" si="160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58"/>
        <v>-31005793903.916393</v>
      </c>
      <c r="J2924" s="455">
        <f t="array" ref="J2924">IFERROR(INDEX('Retirement Calculator'!J:J,MATCH('Isaac 401k'!N2924,'Retirement Calculator'!A:A,0),0),0)</f>
        <v>0</v>
      </c>
      <c r="K2924" s="455">
        <f t="shared" ca="1" si="156"/>
        <v>-129190807.93298496</v>
      </c>
      <c r="L2924" s="455">
        <f t="shared" ca="1" si="157"/>
        <v>-31134984711.849377</v>
      </c>
      <c r="M2924" s="471">
        <f t="shared" si="159"/>
        <v>0.05</v>
      </c>
      <c r="N2924" s="475">
        <f t="shared" si="160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58"/>
        <v>-31134984711.849377</v>
      </c>
      <c r="J2925" s="455">
        <f t="array" ref="J2925">IFERROR(INDEX('Retirement Calculator'!J:J,MATCH('Isaac 401k'!N2925,'Retirement Calculator'!A:A,0),0),0)</f>
        <v>0</v>
      </c>
      <c r="K2925" s="455">
        <f t="shared" ca="1" si="156"/>
        <v>-129729102.96603905</v>
      </c>
      <c r="L2925" s="455">
        <f t="shared" ca="1" si="157"/>
        <v>-31264713814.815414</v>
      </c>
      <c r="M2925" s="471">
        <f t="shared" si="159"/>
        <v>0.05</v>
      </c>
      <c r="N2925" s="475">
        <f t="shared" si="160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58"/>
        <v>-31264713814.815414</v>
      </c>
      <c r="J2926" s="455">
        <f t="array" ref="J2926">IFERROR(INDEX('Retirement Calculator'!J:J,MATCH('Isaac 401k'!N2926,'Retirement Calculator'!A:A,0),0),0)</f>
        <v>0</v>
      </c>
      <c r="K2926" s="455">
        <f t="shared" ca="1" si="156"/>
        <v>-130269640.89506422</v>
      </c>
      <c r="L2926" s="455">
        <f t="shared" ca="1" si="157"/>
        <v>-31394983455.71048</v>
      </c>
      <c r="M2926" s="471">
        <f t="shared" si="159"/>
        <v>0.05</v>
      </c>
      <c r="N2926" s="475">
        <f t="shared" si="160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58"/>
        <v>-31394983455.71048</v>
      </c>
      <c r="J2927" s="455">
        <f t="array" ref="J2927">IFERROR(INDEX('Retirement Calculator'!J:J,MATCH('Isaac 401k'!N2927,'Retirement Calculator'!A:A,0),0),0)</f>
        <v>0</v>
      </c>
      <c r="K2927" s="455">
        <f t="shared" ca="1" si="156"/>
        <v>-130812431.06546031</v>
      </c>
      <c r="L2927" s="455">
        <f t="shared" ca="1" si="157"/>
        <v>-31525795886.77594</v>
      </c>
      <c r="M2927" s="471">
        <f t="shared" si="159"/>
        <v>0.05</v>
      </c>
      <c r="N2927" s="475">
        <f t="shared" si="160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58"/>
        <v>-31525795886.77594</v>
      </c>
      <c r="J2928" s="455">
        <f t="array" ref="J2928">IFERROR(INDEX('Retirement Calculator'!J:J,MATCH('Isaac 401k'!N2928,'Retirement Calculator'!A:A,0),0),0)</f>
        <v>0</v>
      </c>
      <c r="K2928" s="455">
        <f t="shared" ca="1" si="156"/>
        <v>-131357482.86156639</v>
      </c>
      <c r="L2928" s="455">
        <f t="shared" ca="1" si="157"/>
        <v>-31657153369.637505</v>
      </c>
      <c r="M2928" s="471">
        <f t="shared" si="159"/>
        <v>0.05</v>
      </c>
      <c r="N2928" s="475">
        <f t="shared" si="160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58"/>
        <v>-31657153369.637505</v>
      </c>
      <c r="J2929" s="455">
        <f t="array" ref="J2929">IFERROR(INDEX('Retirement Calculator'!J:J,MATCH('Isaac 401k'!N2929,'Retirement Calculator'!A:A,0),0),0)</f>
        <v>0</v>
      </c>
      <c r="K2929" s="455">
        <f t="shared" ca="1" si="156"/>
        <v>-131904805.70682293</v>
      </c>
      <c r="L2929" s="455">
        <f t="shared" ca="1" si="157"/>
        <v>-31789058175.344326</v>
      </c>
      <c r="M2929" s="471">
        <f t="shared" si="159"/>
        <v>0.05</v>
      </c>
      <c r="N2929" s="475">
        <f t="shared" si="160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58"/>
        <v>-31789058175.344326</v>
      </c>
      <c r="J2930" s="455">
        <f t="array" ref="J2930">IFERROR(INDEX('Retirement Calculator'!J:J,MATCH('Isaac 401k'!N2930,'Retirement Calculator'!A:A,0),0),0)</f>
        <v>0</v>
      </c>
      <c r="K2930" s="455">
        <f t="shared" ca="1" si="156"/>
        <v>-132454409.06393468</v>
      </c>
      <c r="L2930" s="455">
        <f t="shared" ca="1" si="157"/>
        <v>-31921512584.40826</v>
      </c>
      <c r="M2930" s="471">
        <f t="shared" si="159"/>
        <v>0.05</v>
      </c>
      <c r="N2930" s="475">
        <f t="shared" si="160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58"/>
        <v>-31921512584.40826</v>
      </c>
      <c r="J2931" s="455">
        <f t="array" ref="J2931">IFERROR(INDEX('Retirement Calculator'!J:J,MATCH('Isaac 401k'!N2931,'Retirement Calculator'!A:A,0),0),0)</f>
        <v>0</v>
      </c>
      <c r="K2931" s="455">
        <f t="shared" ca="1" si="156"/>
        <v>-133006302.43503439</v>
      </c>
      <c r="L2931" s="455">
        <f t="shared" ca="1" si="157"/>
        <v>-32054518886.843296</v>
      </c>
      <c r="M2931" s="471">
        <f t="shared" si="159"/>
        <v>0.05</v>
      </c>
      <c r="N2931" s="475">
        <f t="shared" si="160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58"/>
        <v>-32054518886.843296</v>
      </c>
      <c r="J2932" s="455">
        <f t="array" ref="J2932">IFERROR(INDEX('Retirement Calculator'!J:J,MATCH('Isaac 401k'!N2932,'Retirement Calculator'!A:A,0),0),0)</f>
        <v>0</v>
      </c>
      <c r="K2932" s="455">
        <f t="shared" ca="1" si="156"/>
        <v>-133560495.36184706</v>
      </c>
      <c r="L2932" s="455">
        <f t="shared" ca="1" si="157"/>
        <v>-32188079382.205143</v>
      </c>
      <c r="M2932" s="471">
        <f t="shared" si="159"/>
        <v>0.05</v>
      </c>
      <c r="N2932" s="475">
        <f t="shared" si="160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58"/>
        <v>-32188079382.205143</v>
      </c>
      <c r="J2933" s="455">
        <f t="array" ref="J2933">IFERROR(INDEX('Retirement Calculator'!J:J,MATCH('Isaac 401k'!N2933,'Retirement Calculator'!A:A,0),0),0)</f>
        <v>0</v>
      </c>
      <c r="K2933" s="455">
        <f t="shared" ca="1" si="156"/>
        <v>-134116997.42585476</v>
      </c>
      <c r="L2933" s="455">
        <f t="shared" ca="1" si="157"/>
        <v>-32322196379.630997</v>
      </c>
      <c r="M2933" s="471">
        <f t="shared" si="159"/>
        <v>0.05</v>
      </c>
      <c r="N2933" s="475">
        <f t="shared" si="160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58"/>
        <v>-32322196379.630997</v>
      </c>
      <c r="J2934" s="455">
        <f t="array" ref="J2934">IFERROR(INDEX('Retirement Calculator'!J:J,MATCH('Isaac 401k'!N2934,'Retirement Calculator'!A:A,0),0),0)</f>
        <v>0</v>
      </c>
      <c r="K2934" s="455">
        <f t="shared" ca="1" si="156"/>
        <v>-134675818.24846247</v>
      </c>
      <c r="L2934" s="455">
        <f t="shared" ca="1" si="157"/>
        <v>-32456872197.879459</v>
      </c>
      <c r="M2934" s="471">
        <f t="shared" si="159"/>
        <v>0.05</v>
      </c>
      <c r="N2934" s="475">
        <f t="shared" si="160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58"/>
        <v>-32456872197.879459</v>
      </c>
      <c r="J2935" s="455">
        <f t="array" ref="J2935">IFERROR(INDEX('Retirement Calculator'!J:J,MATCH('Isaac 401k'!N2935,'Retirement Calculator'!A:A,0),0),0)</f>
        <v>0</v>
      </c>
      <c r="K2935" s="455">
        <f t="shared" ca="1" si="156"/>
        <v>-135236967.49116442</v>
      </c>
      <c r="L2935" s="455">
        <f t="shared" ca="1" si="157"/>
        <v>-32592109165.370625</v>
      </c>
      <c r="M2935" s="471">
        <f t="shared" si="159"/>
        <v>0.05</v>
      </c>
      <c r="N2935" s="475">
        <f t="shared" si="160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58"/>
        <v>-32592109165.370625</v>
      </c>
      <c r="J2936" s="455">
        <f t="array" ref="J2936">IFERROR(INDEX('Retirement Calculator'!J:J,MATCH('Isaac 401k'!N2936,'Retirement Calculator'!A:A,0),0),0)</f>
        <v>0</v>
      </c>
      <c r="K2936" s="455">
        <f t="shared" ca="1" si="156"/>
        <v>-135800454.85571092</v>
      </c>
      <c r="L2936" s="455">
        <f t="shared" ca="1" si="157"/>
        <v>-32727909620.226334</v>
      </c>
      <c r="M2936" s="471">
        <f t="shared" si="159"/>
        <v>0.05</v>
      </c>
      <c r="N2936" s="475">
        <f t="shared" si="160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58"/>
        <v>-32727909620.226334</v>
      </c>
      <c r="J2937" s="455">
        <f t="array" ref="J2937">IFERROR(INDEX('Retirement Calculator'!J:J,MATCH('Isaac 401k'!N2937,'Retirement Calculator'!A:A,0),0),0)</f>
        <v>0</v>
      </c>
      <c r="K2937" s="455">
        <f t="shared" ca="1" si="156"/>
        <v>-136366290.08427638</v>
      </c>
      <c r="L2937" s="455">
        <f t="shared" ca="1" si="157"/>
        <v>-32864275910.310612</v>
      </c>
      <c r="M2937" s="471">
        <f t="shared" si="159"/>
        <v>0.05</v>
      </c>
      <c r="N2937" s="475">
        <f t="shared" si="160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58"/>
        <v>-32864275910.310612</v>
      </c>
      <c r="J2938" s="455">
        <f t="array" ref="J2938">IFERROR(INDEX('Retirement Calculator'!J:J,MATCH('Isaac 401k'!N2938,'Retirement Calculator'!A:A,0),0),0)</f>
        <v>0</v>
      </c>
      <c r="K2938" s="455">
        <f t="shared" ca="1" si="156"/>
        <v>-136934482.95962754</v>
      </c>
      <c r="L2938" s="455">
        <f t="shared" ca="1" si="157"/>
        <v>-33001210393.270241</v>
      </c>
      <c r="M2938" s="471">
        <f t="shared" si="159"/>
        <v>0.05</v>
      </c>
      <c r="N2938" s="475">
        <f t="shared" si="160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58"/>
        <v>-33001210393.270241</v>
      </c>
      <c r="J2939" s="455">
        <f t="array" ref="J2939">IFERROR(INDEX('Retirement Calculator'!J:J,MATCH('Isaac 401k'!N2939,'Retirement Calculator'!A:A,0),0),0)</f>
        <v>0</v>
      </c>
      <c r="K2939" s="455">
        <f t="shared" ca="1" si="156"/>
        <v>-137505043.30529267</v>
      </c>
      <c r="L2939" s="455">
        <f t="shared" ca="1" si="157"/>
        <v>-33138715436.575535</v>
      </c>
      <c r="M2939" s="471">
        <f t="shared" si="159"/>
        <v>0.05</v>
      </c>
      <c r="N2939" s="475">
        <f t="shared" si="160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58"/>
        <v>-33138715436.575535</v>
      </c>
      <c r="J2940" s="455">
        <f t="array" ref="J2940">IFERROR(INDEX('Retirement Calculator'!J:J,MATCH('Isaac 401k'!N2940,'Retirement Calculator'!A:A,0),0),0)</f>
        <v>0</v>
      </c>
      <c r="K2940" s="455">
        <f t="shared" ca="1" si="156"/>
        <v>-138077980.98573139</v>
      </c>
      <c r="L2940" s="455">
        <f t="shared" ca="1" si="157"/>
        <v>-33276793417.561268</v>
      </c>
      <c r="M2940" s="471">
        <f t="shared" si="159"/>
        <v>0.05</v>
      </c>
      <c r="N2940" s="475">
        <f t="shared" si="160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58"/>
        <v>-33276793417.561268</v>
      </c>
      <c r="J2941" s="455">
        <f t="array" ref="J2941">IFERROR(INDEX('Retirement Calculator'!J:J,MATCH('Isaac 401k'!N2941,'Retirement Calculator'!A:A,0),0),0)</f>
        <v>0</v>
      </c>
      <c r="K2941" s="455">
        <f t="shared" ca="1" si="156"/>
        <v>-138653305.90650526</v>
      </c>
      <c r="L2941" s="455">
        <f t="shared" ca="1" si="157"/>
        <v>-33415446723.467773</v>
      </c>
      <c r="M2941" s="471">
        <f t="shared" si="159"/>
        <v>0.05</v>
      </c>
      <c r="N2941" s="475">
        <f t="shared" si="160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58"/>
        <v>-33415446723.467773</v>
      </c>
      <c r="J2942" s="455">
        <f t="array" ref="J2942">IFERROR(INDEX('Retirement Calculator'!J:J,MATCH('Isaac 401k'!N2942,'Retirement Calculator'!A:A,0),0),0)</f>
        <v>0</v>
      </c>
      <c r="K2942" s="455">
        <f t="shared" ca="1" si="156"/>
        <v>-139231028.01444906</v>
      </c>
      <c r="L2942" s="455">
        <f t="shared" ca="1" si="157"/>
        <v>-33554677751.482224</v>
      </c>
      <c r="M2942" s="471">
        <f t="shared" si="159"/>
        <v>0.05</v>
      </c>
      <c r="N2942" s="475">
        <f t="shared" si="160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58"/>
        <v>-33554677751.482224</v>
      </c>
      <c r="J2943" s="455">
        <f t="array" ref="J2943">IFERROR(INDEX('Retirement Calculator'!J:J,MATCH('Isaac 401k'!N2943,'Retirement Calculator'!A:A,0),0),0)</f>
        <v>0</v>
      </c>
      <c r="K2943" s="455">
        <f t="shared" ca="1" si="156"/>
        <v>-139811157.29784259</v>
      </c>
      <c r="L2943" s="455">
        <f t="shared" ca="1" si="157"/>
        <v>-33694488908.780067</v>
      </c>
      <c r="M2943" s="471">
        <f t="shared" si="159"/>
        <v>0.05</v>
      </c>
      <c r="N2943" s="475">
        <f t="shared" si="160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58"/>
        <v>-33694488908.780067</v>
      </c>
      <c r="J2944" s="455">
        <f t="array" ref="J2944">IFERROR(INDEX('Retirement Calculator'!J:J,MATCH('Isaac 401k'!N2944,'Retirement Calculator'!A:A,0),0),0)</f>
        <v>0</v>
      </c>
      <c r="K2944" s="455">
        <f t="shared" ca="1" si="156"/>
        <v>-140393703.7865836</v>
      </c>
      <c r="L2944" s="455">
        <f t="shared" ca="1" si="157"/>
        <v>-33834882612.56665</v>
      </c>
      <c r="M2944" s="471">
        <f t="shared" si="159"/>
        <v>0.05</v>
      </c>
      <c r="N2944" s="475">
        <f t="shared" si="160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58"/>
        <v>-33834882612.56665</v>
      </c>
      <c r="J2945" s="455">
        <f t="array" ref="J2945">IFERROR(INDEX('Retirement Calculator'!J:J,MATCH('Isaac 401k'!N2945,'Retirement Calculator'!A:A,0),0),0)</f>
        <v>0</v>
      </c>
      <c r="K2945" s="455">
        <f t="shared" ca="1" si="156"/>
        <v>-140978677.55236101</v>
      </c>
      <c r="L2945" s="455">
        <f t="shared" ca="1" si="157"/>
        <v>-33975861290.119011</v>
      </c>
      <c r="M2945" s="471">
        <f t="shared" si="159"/>
        <v>0.05</v>
      </c>
      <c r="N2945" s="475">
        <f t="shared" si="160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58"/>
        <v>-33975861290.119011</v>
      </c>
      <c r="J2946" s="455">
        <f t="array" ref="J2946">IFERROR(INDEX('Retirement Calculator'!J:J,MATCH('Isaac 401k'!N2946,'Retirement Calculator'!A:A,0),0),0)</f>
        <v>0</v>
      </c>
      <c r="K2946" s="455">
        <f t="shared" ca="1" si="156"/>
        <v>-141566088.70882922</v>
      </c>
      <c r="L2946" s="455">
        <f t="shared" ca="1" si="157"/>
        <v>-34117427378.827839</v>
      </c>
      <c r="M2946" s="471">
        <f t="shared" si="159"/>
        <v>0.05</v>
      </c>
      <c r="N2946" s="475">
        <f t="shared" si="160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58"/>
        <v>-34117427378.827839</v>
      </c>
      <c r="J2947" s="455">
        <f t="array" ref="J2947">IFERROR(INDEX('Retirement Calculator'!J:J,MATCH('Isaac 401k'!N2947,'Retirement Calculator'!A:A,0),0),0)</f>
        <v>0</v>
      </c>
      <c r="K2947" s="455">
        <f t="shared" ca="1" si="156"/>
        <v>-142155947.41178265</v>
      </c>
      <c r="L2947" s="455">
        <f t="shared" ca="1" si="157"/>
        <v>-34259583326.23962</v>
      </c>
      <c r="M2947" s="471">
        <f t="shared" si="159"/>
        <v>0.05</v>
      </c>
      <c r="N2947" s="475">
        <f t="shared" si="160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58"/>
        <v>-34259583326.23962</v>
      </c>
      <c r="J2948" s="455">
        <f t="array" ref="J2948">IFERROR(INDEX('Retirement Calculator'!J:J,MATCH('Isaac 401k'!N2948,'Retirement Calculator'!A:A,0),0),0)</f>
        <v>0</v>
      </c>
      <c r="K2948" s="455">
        <f t="shared" ca="1" si="156"/>
        <v>-142748263.85933176</v>
      </c>
      <c r="L2948" s="455">
        <f t="shared" ca="1" si="157"/>
        <v>-34402331590.098953</v>
      </c>
      <c r="M2948" s="471">
        <f t="shared" si="159"/>
        <v>0.05</v>
      </c>
      <c r="N2948" s="475">
        <f t="shared" si="160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58"/>
        <v>-34402331590.098953</v>
      </c>
      <c r="J2949" s="455">
        <f t="array" ref="J2949">IFERROR(INDEX('Retirement Calculator'!J:J,MATCH('Isaac 401k'!N2949,'Retirement Calculator'!A:A,0),0),0)</f>
        <v>0</v>
      </c>
      <c r="K2949" s="455">
        <f t="shared" ca="1" si="156"/>
        <v>-143343048.29207897</v>
      </c>
      <c r="L2949" s="455">
        <f t="shared" ca="1" si="157"/>
        <v>-34545674638.391029</v>
      </c>
      <c r="M2949" s="471">
        <f t="shared" si="159"/>
        <v>0.05</v>
      </c>
      <c r="N2949" s="475">
        <f t="shared" si="160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58"/>
        <v>-34545674638.391029</v>
      </c>
      <c r="J2950" s="455">
        <f t="array" ref="J2950">IFERROR(INDEX('Retirement Calculator'!J:J,MATCH('Isaac 401k'!N2950,'Retirement Calculator'!A:A,0),0),0)</f>
        <v>0</v>
      </c>
      <c r="K2950" s="455">
        <f t="shared" ca="1" si="156"/>
        <v>-143940310.99329597</v>
      </c>
      <c r="L2950" s="455">
        <f t="shared" ca="1" si="157"/>
        <v>-34689614949.384323</v>
      </c>
      <c r="M2950" s="471">
        <f t="shared" si="159"/>
        <v>0.05</v>
      </c>
      <c r="N2950" s="475">
        <f t="shared" si="160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58"/>
        <v>-34689614949.384323</v>
      </c>
      <c r="J2951" s="455">
        <f t="array" ref="J2951">IFERROR(INDEX('Retirement Calculator'!J:J,MATCH('Isaac 401k'!N2951,'Retirement Calculator'!A:A,0),0),0)</f>
        <v>0</v>
      </c>
      <c r="K2951" s="455">
        <f t="shared" ca="1" si="156"/>
        <v>-144540062.28910133</v>
      </c>
      <c r="L2951" s="455">
        <f t="shared" ca="1" si="157"/>
        <v>-34834155011.673424</v>
      </c>
      <c r="M2951" s="471">
        <f t="shared" si="159"/>
        <v>0.05</v>
      </c>
      <c r="N2951" s="475">
        <f t="shared" si="160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58"/>
        <v>-34834155011.673424</v>
      </c>
      <c r="J2952" s="455">
        <f t="array" ref="J2952">IFERROR(INDEX('Retirement Calculator'!J:J,MATCH('Isaac 401k'!N2952,'Retirement Calculator'!A:A,0),0),0)</f>
        <v>0</v>
      </c>
      <c r="K2952" s="455">
        <f t="shared" ca="1" si="156"/>
        <v>-145142312.54863927</v>
      </c>
      <c r="L2952" s="455">
        <f t="shared" ca="1" si="157"/>
        <v>-34979297324.222061</v>
      </c>
      <c r="M2952" s="471">
        <f t="shared" si="159"/>
        <v>0.05</v>
      </c>
      <c r="N2952" s="475">
        <f t="shared" si="160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58"/>
        <v>-34979297324.222061</v>
      </c>
      <c r="J2953" s="455">
        <f t="array" ref="J2953">IFERROR(INDEX('Retirement Calculator'!J:J,MATCH('Isaac 401k'!N2953,'Retirement Calculator'!A:A,0),0),0)</f>
        <v>0</v>
      </c>
      <c r="K2953" s="455">
        <f t="shared" ca="1" si="156"/>
        <v>-145747072.18425858</v>
      </c>
      <c r="L2953" s="455">
        <f t="shared" ca="1" si="157"/>
        <v>-35125044396.406319</v>
      </c>
      <c r="M2953" s="471">
        <f t="shared" si="159"/>
        <v>0.05</v>
      </c>
      <c r="N2953" s="475">
        <f t="shared" si="160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58"/>
        <v>-35125044396.406319</v>
      </c>
      <c r="J2954" s="455">
        <f t="array" ref="J2954">IFERROR(INDEX('Retirement Calculator'!J:J,MATCH('Isaac 401k'!N2954,'Retirement Calculator'!A:A,0),0),0)</f>
        <v>0</v>
      </c>
      <c r="K2954" s="455">
        <f t="shared" ca="1" si="156"/>
        <v>-146354351.65169299</v>
      </c>
      <c r="L2954" s="455">
        <f t="shared" ca="1" si="157"/>
        <v>-35271398748.058014</v>
      </c>
      <c r="M2954" s="471">
        <f t="shared" si="159"/>
        <v>0.05</v>
      </c>
      <c r="N2954" s="475">
        <f t="shared" si="160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58"/>
        <v>-35271398748.058014</v>
      </c>
      <c r="J2955" s="455">
        <f t="array" ref="J2955">IFERROR(INDEX('Retirement Calculator'!J:J,MATCH('Isaac 401k'!N2955,'Retirement Calculator'!A:A,0),0),0)</f>
        <v>0</v>
      </c>
      <c r="K2955" s="455">
        <f t="shared" ca="1" si="156"/>
        <v>-146964161.45024171</v>
      </c>
      <c r="L2955" s="455">
        <f t="shared" ca="1" si="157"/>
        <v>-35418362909.508255</v>
      </c>
      <c r="M2955" s="471">
        <f t="shared" si="159"/>
        <v>0.05</v>
      </c>
      <c r="N2955" s="475">
        <f t="shared" si="160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58"/>
        <v>-35418362909.508255</v>
      </c>
      <c r="J2956" s="455">
        <f t="array" ref="J2956">IFERROR(INDEX('Retirement Calculator'!J:J,MATCH('Isaac 401k'!N2956,'Retirement Calculator'!A:A,0),0),0)</f>
        <v>0</v>
      </c>
      <c r="K2956" s="455">
        <f t="shared" ca="1" si="156"/>
        <v>-147576512.12295106</v>
      </c>
      <c r="L2956" s="455">
        <f t="shared" ca="1" si="157"/>
        <v>-35565939421.631203</v>
      </c>
      <c r="M2956" s="471">
        <f t="shared" si="159"/>
        <v>0.05</v>
      </c>
      <c r="N2956" s="475">
        <f t="shared" si="160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58"/>
        <v>-35565939421.631203</v>
      </c>
      <c r="J2957" s="455">
        <f t="array" ref="J2957">IFERROR(INDEX('Retirement Calculator'!J:J,MATCH('Isaac 401k'!N2957,'Retirement Calculator'!A:A,0),0),0)</f>
        <v>0</v>
      </c>
      <c r="K2957" s="455">
        <f t="shared" ca="1" si="156"/>
        <v>-148191414.25679669</v>
      </c>
      <c r="L2957" s="455">
        <f t="shared" ca="1" si="157"/>
        <v>-35714130835.888</v>
      </c>
      <c r="M2957" s="471">
        <f t="shared" si="159"/>
        <v>0.05</v>
      </c>
      <c r="N2957" s="475">
        <f t="shared" si="160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58"/>
        <v>-35714130835.888</v>
      </c>
      <c r="J2958" s="455">
        <f t="array" ref="J2958">IFERROR(INDEX('Retirement Calculator'!J:J,MATCH('Isaac 401k'!N2958,'Retirement Calculator'!A:A,0),0),0)</f>
        <v>0</v>
      </c>
      <c r="K2958" s="455">
        <f t="shared" ca="1" si="156"/>
        <v>-148808878.48286667</v>
      </c>
      <c r="L2958" s="455">
        <f t="shared" ca="1" si="157"/>
        <v>-35862939714.370865</v>
      </c>
      <c r="M2958" s="471">
        <f t="shared" si="159"/>
        <v>0.05</v>
      </c>
      <c r="N2958" s="475">
        <f t="shared" si="160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58"/>
        <v>-35862939714.370865</v>
      </c>
      <c r="J2959" s="455">
        <f t="array" ref="J2959">IFERROR(INDEX('Retirement Calculator'!J:J,MATCH('Isaac 401k'!N2959,'Retirement Calculator'!A:A,0),0),0)</f>
        <v>0</v>
      </c>
      <c r="K2959" s="455">
        <f t="shared" ca="1" si="156"/>
        <v>-149428915.47654527</v>
      </c>
      <c r="L2959" s="455">
        <f t="shared" ca="1" si="157"/>
        <v>-36012368629.847412</v>
      </c>
      <c r="M2959" s="471">
        <f t="shared" si="159"/>
        <v>0.05</v>
      </c>
      <c r="N2959" s="475">
        <f t="shared" si="160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58"/>
        <v>-36012368629.847412</v>
      </c>
      <c r="J2960" s="455">
        <f t="array" ref="J2960">IFERROR(INDEX('Retirement Calculator'!J:J,MATCH('Isaac 401k'!N2960,'Retirement Calculator'!A:A,0),0),0)</f>
        <v>0</v>
      </c>
      <c r="K2960" s="455">
        <f t="shared" ca="1" si="156"/>
        <v>-150051535.95769754</v>
      </c>
      <c r="L2960" s="455">
        <f t="shared" ca="1" si="157"/>
        <v>-36162420165.805107</v>
      </c>
      <c r="M2960" s="471">
        <f t="shared" si="159"/>
        <v>0.05</v>
      </c>
      <c r="N2960" s="475">
        <f t="shared" si="160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58"/>
        <v>-36162420165.805107</v>
      </c>
      <c r="J2961" s="455">
        <f t="array" ref="J2961">IFERROR(INDEX('Retirement Calculator'!J:J,MATCH('Isaac 401k'!N2961,'Retirement Calculator'!A:A,0),0),0)</f>
        <v>0</v>
      </c>
      <c r="K2961" s="455">
        <f t="shared" ca="1" si="156"/>
        <v>-150676750.69085461</v>
      </c>
      <c r="L2961" s="455">
        <f t="shared" ca="1" si="157"/>
        <v>-36313096916.495964</v>
      </c>
      <c r="M2961" s="471">
        <f t="shared" si="159"/>
        <v>0.05</v>
      </c>
      <c r="N2961" s="475">
        <f t="shared" si="160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58"/>
        <v>-36313096916.495964</v>
      </c>
      <c r="J2962" s="455">
        <f t="array" ref="J2962">IFERROR(INDEX('Retirement Calculator'!J:J,MATCH('Isaac 401k'!N2962,'Retirement Calculator'!A:A,0),0),0)</f>
        <v>0</v>
      </c>
      <c r="K2962" s="455">
        <f t="shared" ca="1" si="156"/>
        <v>-151304570.48539984</v>
      </c>
      <c r="L2962" s="455">
        <f t="shared" ca="1" si="157"/>
        <v>-36464401486.981361</v>
      </c>
      <c r="M2962" s="471">
        <f t="shared" si="159"/>
        <v>0.05</v>
      </c>
      <c r="N2962" s="475">
        <f t="shared" si="160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58"/>
        <v>-36464401486.981361</v>
      </c>
      <c r="J2963" s="455">
        <f t="array" ref="J2963">IFERROR(INDEX('Retirement Calculator'!J:J,MATCH('Isaac 401k'!N2963,'Retirement Calculator'!A:A,0),0),0)</f>
        <v>0</v>
      </c>
      <c r="K2963" s="455">
        <f t="shared" ca="1" si="156"/>
        <v>-151935006.19575566</v>
      </c>
      <c r="L2963" s="455">
        <f t="shared" ca="1" si="157"/>
        <v>-36616336493.177116</v>
      </c>
      <c r="M2963" s="471">
        <f t="shared" si="159"/>
        <v>0.05</v>
      </c>
      <c r="N2963" s="475">
        <f t="shared" si="160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58"/>
        <v>-36616336493.177116</v>
      </c>
      <c r="J2964" s="455">
        <f t="array" ref="J2964">IFERROR(INDEX('Retirement Calculator'!J:J,MATCH('Isaac 401k'!N2964,'Retirement Calculator'!A:A,0),0),0)</f>
        <v>0</v>
      </c>
      <c r="K2964" s="455">
        <f t="shared" ca="1" si="156"/>
        <v>-152568068.72157133</v>
      </c>
      <c r="L2964" s="455">
        <f t="shared" ca="1" si="157"/>
        <v>-36768904561.898689</v>
      </c>
      <c r="M2964" s="471">
        <f t="shared" si="159"/>
        <v>0.05</v>
      </c>
      <c r="N2964" s="475">
        <f t="shared" si="160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58"/>
        <v>-36768904561.898689</v>
      </c>
      <c r="J2965" s="455">
        <f t="array" ref="J2965">IFERROR(INDEX('Retirement Calculator'!J:J,MATCH('Isaac 401k'!N2965,'Retirement Calculator'!A:A,0),0),0)</f>
        <v>0</v>
      </c>
      <c r="K2965" s="455">
        <f t="shared" ca="1" si="156"/>
        <v>-153203769.00791121</v>
      </c>
      <c r="L2965" s="455">
        <f t="shared" ca="1" si="157"/>
        <v>-36922108330.906601</v>
      </c>
      <c r="M2965" s="471">
        <f t="shared" si="159"/>
        <v>0.05</v>
      </c>
      <c r="N2965" s="475">
        <f t="shared" si="160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58"/>
        <v>-36922108330.906601</v>
      </c>
      <c r="J2966" s="455">
        <f t="array" ref="J2966">IFERROR(INDEX('Retirement Calculator'!J:J,MATCH('Isaac 401k'!N2966,'Retirement Calculator'!A:A,0),0),0)</f>
        <v>0</v>
      </c>
      <c r="K2966" s="455">
        <f t="shared" ca="1" si="156"/>
        <v>-153842118.04544416</v>
      </c>
      <c r="L2966" s="455">
        <f t="shared" ca="1" si="157"/>
        <v>-37075950448.952042</v>
      </c>
      <c r="M2966" s="471">
        <f t="shared" si="159"/>
        <v>0.05</v>
      </c>
      <c r="N2966" s="475">
        <f t="shared" si="160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58"/>
        <v>-37075950448.952042</v>
      </c>
      <c r="J2967" s="455">
        <f t="array" ref="J2967">IFERROR(INDEX('Retirement Calculator'!J:J,MATCH('Isaac 401k'!N2967,'Retirement Calculator'!A:A,0),0),0)</f>
        <v>0</v>
      </c>
      <c r="K2967" s="455">
        <f t="shared" ca="1" si="156"/>
        <v>-154483126.87063351</v>
      </c>
      <c r="L2967" s="455">
        <f t="shared" ca="1" si="157"/>
        <v>-37230433575.822678</v>
      </c>
      <c r="M2967" s="471">
        <f t="shared" si="159"/>
        <v>0.05</v>
      </c>
      <c r="N2967" s="475">
        <f t="shared" si="160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58"/>
        <v>-37230433575.822678</v>
      </c>
      <c r="J2968" s="455">
        <f t="array" ref="J2968">IFERROR(INDEX('Retirement Calculator'!J:J,MATCH('Isaac 401k'!N2968,'Retirement Calculator'!A:A,0),0),0)</f>
        <v>0</v>
      </c>
      <c r="K2968" s="455">
        <f t="shared" ca="1" si="156"/>
        <v>-155126806.56592783</v>
      </c>
      <c r="L2968" s="455">
        <f t="shared" ca="1" si="157"/>
        <v>-37385560382.388603</v>
      </c>
      <c r="M2968" s="471">
        <f t="shared" si="159"/>
        <v>0.05</v>
      </c>
      <c r="N2968" s="475">
        <f t="shared" si="160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58"/>
        <v>-37385560382.388603</v>
      </c>
      <c r="J2969" s="455">
        <f t="array" ref="J2969">IFERROR(INDEX('Retirement Calculator'!J:J,MATCH('Isaac 401k'!N2969,'Retirement Calculator'!A:A,0),0),0)</f>
        <v>0</v>
      </c>
      <c r="K2969" s="455">
        <f t="shared" ca="1" si="156"/>
        <v>-155773168.25995252</v>
      </c>
      <c r="L2969" s="455">
        <f t="shared" ca="1" si="157"/>
        <v>-37541333550.648552</v>
      </c>
      <c r="M2969" s="471">
        <f t="shared" si="159"/>
        <v>0.05</v>
      </c>
      <c r="N2969" s="475">
        <f t="shared" si="160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58"/>
        <v>-37541333550.648552</v>
      </c>
      <c r="J2970" s="455">
        <f t="array" ref="J2970">IFERROR(INDEX('Retirement Calculator'!J:J,MATCH('Isaac 401k'!N2970,'Retirement Calculator'!A:A,0),0),0)</f>
        <v>0</v>
      </c>
      <c r="K2970" s="455">
        <f t="shared" ca="1" si="156"/>
        <v>-156422223.1277023</v>
      </c>
      <c r="L2970" s="455">
        <f t="shared" ca="1" si="157"/>
        <v>-37697755773.776253</v>
      </c>
      <c r="M2970" s="471">
        <f t="shared" si="159"/>
        <v>0.05</v>
      </c>
      <c r="N2970" s="475">
        <f t="shared" si="160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58"/>
        <v>-37697755773.776253</v>
      </c>
      <c r="J2971" s="455">
        <f t="array" ref="J2971">IFERROR(INDEX('Retirement Calculator'!J:J,MATCH('Isaac 401k'!N2971,'Retirement Calculator'!A:A,0),0),0)</f>
        <v>0</v>
      </c>
      <c r="K2971" s="455">
        <f t="shared" ca="1" si="156"/>
        <v>-157073982.39073437</v>
      </c>
      <c r="L2971" s="455">
        <f t="shared" ca="1" si="157"/>
        <v>-37854829756.166985</v>
      </c>
      <c r="M2971" s="471">
        <f t="shared" si="159"/>
        <v>0.05</v>
      </c>
      <c r="N2971" s="475">
        <f t="shared" si="160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58"/>
        <v>-37854829756.166985</v>
      </c>
      <c r="J2972" s="455">
        <f t="array" ref="J2972">IFERROR(INDEX('Retirement Calculator'!J:J,MATCH('Isaac 401k'!N2972,'Retirement Calculator'!A:A,0),0),0)</f>
        <v>0</v>
      </c>
      <c r="K2972" s="455">
        <f t="shared" ca="1" si="156"/>
        <v>-157728457.31736243</v>
      </c>
      <c r="L2972" s="455">
        <f t="shared" ca="1" si="157"/>
        <v>-38012558213.484344</v>
      </c>
      <c r="M2972" s="471">
        <f t="shared" si="159"/>
        <v>0.05</v>
      </c>
      <c r="N2972" s="475">
        <f t="shared" si="160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58"/>
        <v>-38012558213.484344</v>
      </c>
      <c r="J2973" s="455">
        <f t="array" ref="J2973">IFERROR(INDEX('Retirement Calculator'!J:J,MATCH('Isaac 401k'!N2973,'Retirement Calculator'!A:A,0),0),0)</f>
        <v>0</v>
      </c>
      <c r="K2973" s="455">
        <f t="shared" ca="1" si="156"/>
        <v>-158385659.22285143</v>
      </c>
      <c r="L2973" s="455">
        <f t="shared" ca="1" si="157"/>
        <v>-38170943872.707199</v>
      </c>
      <c r="M2973" s="471">
        <f t="shared" si="159"/>
        <v>0.05</v>
      </c>
      <c r="N2973" s="475">
        <f t="shared" si="160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58"/>
        <v>-38170943872.707199</v>
      </c>
      <c r="J2974" s="455">
        <f t="array" ref="J2974">IFERROR(INDEX('Retirement Calculator'!J:J,MATCH('Isaac 401k'!N2974,'Retirement Calculator'!A:A,0),0),0)</f>
        <v>0</v>
      </c>
      <c r="K2974" s="455">
        <f t="shared" ca="1" si="156"/>
        <v>-159045599.46961331</v>
      </c>
      <c r="L2974" s="455">
        <f t="shared" ca="1" si="157"/>
        <v>-38329989472.176811</v>
      </c>
      <c r="M2974" s="471">
        <f t="shared" si="159"/>
        <v>0.05</v>
      </c>
      <c r="N2974" s="475">
        <f t="shared" si="160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58"/>
        <v>-38329989472.176811</v>
      </c>
      <c r="J2975" s="455">
        <f t="array" ref="J2975">IFERROR(INDEX('Retirement Calculator'!J:J,MATCH('Isaac 401k'!N2975,'Retirement Calculator'!A:A,0),0),0)</f>
        <v>0</v>
      </c>
      <c r="K2975" s="455">
        <f t="shared" ca="1" si="156"/>
        <v>-159708289.46740338</v>
      </c>
      <c r="L2975" s="455">
        <f t="shared" ca="1" si="157"/>
        <v>-38489697761.644211</v>
      </c>
      <c r="M2975" s="471">
        <f t="shared" si="159"/>
        <v>0.05</v>
      </c>
      <c r="N2975" s="475">
        <f t="shared" si="160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58"/>
        <v>-38489697761.644211</v>
      </c>
      <c r="J2976" s="455">
        <f t="array" ref="J2976">IFERROR(INDEX('Retirement Calculator'!J:J,MATCH('Isaac 401k'!N2976,'Retirement Calculator'!A:A,0),0),0)</f>
        <v>0</v>
      </c>
      <c r="K2976" s="455">
        <f t="shared" ca="1" si="156"/>
        <v>-160373740.67351755</v>
      </c>
      <c r="L2976" s="455">
        <f t="shared" ca="1" si="157"/>
        <v>-38650071502.317726</v>
      </c>
      <c r="M2976" s="471">
        <f t="shared" si="159"/>
        <v>0.05</v>
      </c>
      <c r="N2976" s="475">
        <f t="shared" si="160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58"/>
        <v>-38650071502.317726</v>
      </c>
      <c r="J2977" s="455">
        <f t="array" ref="J2977">IFERROR(INDEX('Retirement Calculator'!J:J,MATCH('Isaac 401k'!N2977,'Retirement Calculator'!A:A,0),0),0)</f>
        <v>0</v>
      </c>
      <c r="K2977" s="455">
        <f t="shared" ca="1" si="156"/>
        <v>-161041964.59299052</v>
      </c>
      <c r="L2977" s="455">
        <f t="shared" ca="1" si="157"/>
        <v>-38811113466.910713</v>
      </c>
      <c r="M2977" s="471">
        <f t="shared" si="159"/>
        <v>0.05</v>
      </c>
      <c r="N2977" s="475">
        <f t="shared" si="160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58"/>
        <v>-38811113466.910713</v>
      </c>
      <c r="J2978" s="455">
        <f t="array" ref="J2978">IFERROR(INDEX('Retirement Calculator'!J:J,MATCH('Isaac 401k'!N2978,'Retirement Calculator'!A:A,0),0),0)</f>
        <v>0</v>
      </c>
      <c r="K2978" s="455">
        <f t="shared" ca="1" si="156"/>
        <v>-161712972.77879465</v>
      </c>
      <c r="L2978" s="455">
        <f t="shared" ca="1" si="157"/>
        <v>-38972826439.689507</v>
      </c>
      <c r="M2978" s="471">
        <f t="shared" si="159"/>
        <v>0.05</v>
      </c>
      <c r="N2978" s="475">
        <f t="shared" si="160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58"/>
        <v>-38972826439.689507</v>
      </c>
      <c r="J2979" s="455">
        <f t="array" ref="J2979">IFERROR(INDEX('Retirement Calculator'!J:J,MATCH('Isaac 401k'!N2979,'Retirement Calculator'!A:A,0),0),0)</f>
        <v>0</v>
      </c>
      <c r="K2979" s="455">
        <f t="shared" ca="1" si="156"/>
        <v>-162386776.83203959</v>
      </c>
      <c r="L2979" s="455">
        <f t="shared" ca="1" si="157"/>
        <v>-39135213216.521545</v>
      </c>
      <c r="M2979" s="471">
        <f t="shared" si="159"/>
        <v>0.05</v>
      </c>
      <c r="N2979" s="475">
        <f t="shared" si="160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58"/>
        <v>-39135213216.521545</v>
      </c>
      <c r="J2980" s="455">
        <f t="array" ref="J2980">IFERROR(INDEX('Retirement Calculator'!J:J,MATCH('Isaac 401k'!N2980,'Retirement Calculator'!A:A,0),0),0)</f>
        <v>0</v>
      </c>
      <c r="K2980" s="455">
        <f t="shared" ca="1" si="156"/>
        <v>-163063388.4021731</v>
      </c>
      <c r="L2980" s="455">
        <f t="shared" ca="1" si="157"/>
        <v>-39298276604.923721</v>
      </c>
      <c r="M2980" s="471">
        <f t="shared" si="159"/>
        <v>0.05</v>
      </c>
      <c r="N2980" s="475">
        <f t="shared" si="160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58"/>
        <v>-39298276604.923721</v>
      </c>
      <c r="J2981" s="455">
        <f t="array" ref="J2981">IFERROR(INDEX('Retirement Calculator'!J:J,MATCH('Isaac 401k'!N2981,'Retirement Calculator'!A:A,0),0),0)</f>
        <v>0</v>
      </c>
      <c r="K2981" s="455">
        <f t="shared" ca="1" si="156"/>
        <v>-163742819.18718216</v>
      </c>
      <c r="L2981" s="455">
        <f t="shared" ca="1" si="157"/>
        <v>-39462019424.110901</v>
      </c>
      <c r="M2981" s="471">
        <f t="shared" si="159"/>
        <v>0.05</v>
      </c>
      <c r="N2981" s="475">
        <f t="shared" si="160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58"/>
        <v>-39462019424.110901</v>
      </c>
      <c r="J2982" s="455">
        <f t="array" ref="J2982">IFERROR(INDEX('Retirement Calculator'!J:J,MATCH('Isaac 401k'!N2982,'Retirement Calculator'!A:A,0),0),0)</f>
        <v>0</v>
      </c>
      <c r="K2982" s="455">
        <f t="shared" ca="1" si="156"/>
        <v>-164425080.93379542</v>
      </c>
      <c r="L2982" s="455">
        <f t="shared" ca="1" si="157"/>
        <v>-39626444505.044693</v>
      </c>
      <c r="M2982" s="471">
        <f t="shared" si="159"/>
        <v>0.05</v>
      </c>
      <c r="N2982" s="475">
        <f t="shared" si="160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58"/>
        <v>-39626444505.044693</v>
      </c>
      <c r="J2983" s="455">
        <f t="array" ref="J2983">IFERROR(INDEX('Retirement Calculator'!J:J,MATCH('Isaac 401k'!N2983,'Retirement Calculator'!A:A,0),0),0)</f>
        <v>0</v>
      </c>
      <c r="K2983" s="455">
        <f t="shared" ca="1" si="156"/>
        <v>-165110185.4376862</v>
      </c>
      <c r="L2983" s="455">
        <f t="shared" ca="1" si="157"/>
        <v>-39791554690.482376</v>
      </c>
      <c r="M2983" s="471">
        <f t="shared" si="159"/>
        <v>0.05</v>
      </c>
      <c r="N2983" s="475">
        <f t="shared" si="160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58"/>
        <v>-39791554690.482376</v>
      </c>
      <c r="J2984" s="455">
        <f t="array" ref="J2984">IFERROR(INDEX('Retirement Calculator'!J:J,MATCH('Isaac 401k'!N2984,'Retirement Calculator'!A:A,0),0),0)</f>
        <v>0</v>
      </c>
      <c r="K2984" s="455">
        <f t="shared" ca="1" si="156"/>
        <v>-165798144.54367656</v>
      </c>
      <c r="L2984" s="455">
        <f t="shared" ca="1" si="157"/>
        <v>-39957352835.026054</v>
      </c>
      <c r="M2984" s="471">
        <f t="shared" si="159"/>
        <v>0.05</v>
      </c>
      <c r="N2984" s="475">
        <f t="shared" si="160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58"/>
        <v>-39957352835.026054</v>
      </c>
      <c r="J2985" s="455">
        <f t="array" ref="J2985">IFERROR(INDEX('Retirement Calculator'!J:J,MATCH('Isaac 401k'!N2985,'Retirement Calculator'!A:A,0),0),0)</f>
        <v>0</v>
      </c>
      <c r="K2985" s="455">
        <f t="shared" ca="1" si="156"/>
        <v>-166488970.14594188</v>
      </c>
      <c r="L2985" s="455">
        <f t="shared" ca="1" si="157"/>
        <v>-40123841805.171997</v>
      </c>
      <c r="M2985" s="471">
        <f t="shared" si="159"/>
        <v>0.05</v>
      </c>
      <c r="N2985" s="475">
        <f t="shared" si="160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58"/>
        <v>-40123841805.171997</v>
      </c>
      <c r="J2986" s="455">
        <f t="array" ref="J2986">IFERROR(INDEX('Retirement Calculator'!J:J,MATCH('Isaac 401k'!N2986,'Retirement Calculator'!A:A,0),0),0)</f>
        <v>0</v>
      </c>
      <c r="K2986" s="455">
        <f t="shared" ca="1" si="156"/>
        <v>-167182674.18821666</v>
      </c>
      <c r="L2986" s="455">
        <f t="shared" ca="1" si="157"/>
        <v>-40291024479.360214</v>
      </c>
      <c r="M2986" s="471">
        <f t="shared" si="159"/>
        <v>0.05</v>
      </c>
      <c r="N2986" s="475">
        <f t="shared" si="160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58"/>
        <v>-40291024479.360214</v>
      </c>
      <c r="J2987" s="455">
        <f t="array" ref="J2987">IFERROR(INDEX('Retirement Calculator'!J:J,MATCH('Isaac 401k'!N2987,'Retirement Calculator'!A:A,0),0),0)</f>
        <v>0</v>
      </c>
      <c r="K2987" s="455">
        <f t="shared" ca="1" si="156"/>
        <v>-167879268.6640009</v>
      </c>
      <c r="L2987" s="455">
        <f t="shared" ca="1" si="157"/>
        <v>-40458903748.024216</v>
      </c>
      <c r="M2987" s="471">
        <f t="shared" si="159"/>
        <v>0.05</v>
      </c>
      <c r="N2987" s="475">
        <f t="shared" si="160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58"/>
        <v>-40458903748.024216</v>
      </c>
      <c r="J2988" s="455">
        <f t="array" ref="J2988">IFERROR(INDEX('Retirement Calculator'!J:J,MATCH('Isaac 401k'!N2988,'Retirement Calculator'!A:A,0),0),0)</f>
        <v>0</v>
      </c>
      <c r="K2988" s="455">
        <f t="shared" ca="1" si="156"/>
        <v>-168578765.61676756</v>
      </c>
      <c r="L2988" s="455">
        <f t="shared" ca="1" si="157"/>
        <v>-40627482513.640984</v>
      </c>
      <c r="M2988" s="471">
        <f t="shared" si="159"/>
        <v>0.05</v>
      </c>
      <c r="N2988" s="475">
        <f t="shared" si="160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58"/>
        <v>-40627482513.640984</v>
      </c>
      <c r="J2989" s="455">
        <f t="array" ref="J2989">IFERROR(INDEX('Retirement Calculator'!J:J,MATCH('Isaac 401k'!N2989,'Retirement Calculator'!A:A,0),0),0)</f>
        <v>0</v>
      </c>
      <c r="K2989" s="455">
        <f t="shared" ca="1" si="156"/>
        <v>-169281177.14017075</v>
      </c>
      <c r="L2989" s="455">
        <f t="shared" ca="1" si="157"/>
        <v>-40796763690.781151</v>
      </c>
      <c r="M2989" s="471">
        <f t="shared" si="159"/>
        <v>0.05</v>
      </c>
      <c r="N2989" s="475">
        <f t="shared" si="160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58"/>
        <v>-40796763690.781151</v>
      </c>
      <c r="J2990" s="455">
        <f t="array" ref="J2990">IFERROR(INDEX('Retirement Calculator'!J:J,MATCH('Isaac 401k'!N2990,'Retirement Calculator'!A:A,0),0),0)</f>
        <v>0</v>
      </c>
      <c r="K2990" s="455">
        <f t="shared" ca="1" si="156"/>
        <v>-169986515.3782548</v>
      </c>
      <c r="L2990" s="455">
        <f t="shared" ca="1" si="157"/>
        <v>-40966750206.159409</v>
      </c>
      <c r="M2990" s="471">
        <f t="shared" si="159"/>
        <v>0.05</v>
      </c>
      <c r="N2990" s="475">
        <f t="shared" si="160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58"/>
        <v>-40966750206.159409</v>
      </c>
      <c r="J2991" s="455">
        <f t="array" ref="J2991">IFERROR(INDEX('Retirement Calculator'!J:J,MATCH('Isaac 401k'!N2991,'Retirement Calculator'!A:A,0),0),0)</f>
        <v>0</v>
      </c>
      <c r="K2991" s="455">
        <f t="shared" ca="1" si="156"/>
        <v>-170694792.52566421</v>
      </c>
      <c r="L2991" s="455">
        <f t="shared" ca="1" si="157"/>
        <v>-41137444998.685074</v>
      </c>
      <c r="M2991" s="471">
        <f t="shared" si="159"/>
        <v>0.05</v>
      </c>
      <c r="N2991" s="475">
        <f t="shared" si="160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58"/>
        <v>-41137444998.685074</v>
      </c>
      <c r="J2992" s="455">
        <f t="array" ref="J2992">IFERROR(INDEX('Retirement Calculator'!J:J,MATCH('Isaac 401k'!N2992,'Retirement Calculator'!A:A,0),0),0)</f>
        <v>0</v>
      </c>
      <c r="K2992" s="455">
        <f t="shared" ca="1" si="156"/>
        <v>-171406020.82785448</v>
      </c>
      <c r="L2992" s="455">
        <f t="shared" ca="1" si="157"/>
        <v>-41308851019.512932</v>
      </c>
      <c r="M2992" s="471">
        <f t="shared" si="159"/>
        <v>0.05</v>
      </c>
      <c r="N2992" s="475">
        <f t="shared" si="160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58"/>
        <v>-41308851019.512932</v>
      </c>
      <c r="J2993" s="455">
        <f t="array" ref="J2993">IFERROR(INDEX('Retirement Calculator'!J:J,MATCH('Isaac 401k'!N2993,'Retirement Calculator'!A:A,0),0),0)</f>
        <v>0</v>
      </c>
      <c r="K2993" s="455">
        <f t="shared" ca="1" si="156"/>
        <v>-172120212.58130389</v>
      </c>
      <c r="L2993" s="455">
        <f t="shared" ca="1" si="157"/>
        <v>-41480971232.094238</v>
      </c>
      <c r="M2993" s="471">
        <f t="shared" si="159"/>
        <v>0.05</v>
      </c>
      <c r="N2993" s="475">
        <f t="shared" si="160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58"/>
        <v>-41480971232.094238</v>
      </c>
      <c r="J2994" s="455">
        <f t="array" ref="J2994">IFERROR(INDEX('Retirement Calculator'!J:J,MATCH('Isaac 401k'!N2994,'Retirement Calculator'!A:A,0),0),0)</f>
        <v>0</v>
      </c>
      <c r="K2994" s="455">
        <f t="shared" ca="1" si="156"/>
        <v>-172837380.133726</v>
      </c>
      <c r="L2994" s="455">
        <f t="shared" ca="1" si="157"/>
        <v>-41653808612.227966</v>
      </c>
      <c r="M2994" s="471">
        <f t="shared" si="159"/>
        <v>0.05</v>
      </c>
      <c r="N2994" s="475">
        <f t="shared" si="160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58"/>
        <v>-41653808612.227966</v>
      </c>
      <c r="J2995" s="455">
        <f t="array" ref="J2995">IFERROR(INDEX('Retirement Calculator'!J:J,MATCH('Isaac 401k'!N2995,'Retirement Calculator'!A:A,0),0),0)</f>
        <v>0</v>
      </c>
      <c r="K2995" s="455">
        <f t="shared" ca="1" si="156"/>
        <v>-173557535.88428319</v>
      </c>
      <c r="L2995" s="455">
        <f t="shared" ca="1" si="157"/>
        <v>-41827366148.112251</v>
      </c>
      <c r="M2995" s="471">
        <f t="shared" si="159"/>
        <v>0.05</v>
      </c>
      <c r="N2995" s="475">
        <f t="shared" si="160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58"/>
        <v>-41827366148.112251</v>
      </c>
      <c r="J2996" s="455">
        <f t="array" ref="J2996">IFERROR(INDEX('Retirement Calculator'!J:J,MATCH('Isaac 401k'!N2996,'Retirement Calculator'!A:A,0),0),0)</f>
        <v>0</v>
      </c>
      <c r="K2996" s="455">
        <f t="shared" ca="1" si="156"/>
        <v>-174280692.28380105</v>
      </c>
      <c r="L2996" s="455">
        <f t="shared" ca="1" si="157"/>
        <v>-42001646840.396049</v>
      </c>
      <c r="M2996" s="471">
        <f t="shared" si="159"/>
        <v>0.05</v>
      </c>
      <c r="N2996" s="475">
        <f t="shared" si="160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58"/>
        <v>-42001646840.396049</v>
      </c>
      <c r="J2997" s="455">
        <f t="array" ref="J2997">IFERROR(INDEX('Retirement Calculator'!J:J,MATCH('Isaac 401k'!N2997,'Retirement Calculator'!A:A,0),0),0)</f>
        <v>0</v>
      </c>
      <c r="K2997" s="455">
        <f t="shared" ca="1" si="156"/>
        <v>-175006861.83498353</v>
      </c>
      <c r="L2997" s="455">
        <f t="shared" ca="1" si="157"/>
        <v>-42176653702.231033</v>
      </c>
      <c r="M2997" s="471">
        <f t="shared" si="159"/>
        <v>0.05</v>
      </c>
      <c r="N2997" s="475">
        <f t="shared" si="160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58"/>
        <v>-42176653702.231033</v>
      </c>
      <c r="J2998" s="455">
        <f t="array" ref="J2998">IFERROR(INDEX('Retirement Calculator'!J:J,MATCH('Isaac 401k'!N2998,'Retirement Calculator'!A:A,0),0),0)</f>
        <v>0</v>
      </c>
      <c r="K2998" s="455">
        <f t="shared" ca="1" si="156"/>
        <v>-175736057.09262931</v>
      </c>
      <c r="L2998" s="455">
        <f t="shared" ca="1" si="157"/>
        <v>-42352389759.323662</v>
      </c>
      <c r="M2998" s="471">
        <f t="shared" si="159"/>
        <v>0.05</v>
      </c>
      <c r="N2998" s="475">
        <f t="shared" si="160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58"/>
        <v>-42352389759.323662</v>
      </c>
      <c r="J2999" s="455">
        <f t="array" ref="J2999">IFERROR(INDEX('Retirement Calculator'!J:J,MATCH('Isaac 401k'!N2999,'Retirement Calculator'!A:A,0),0),0)</f>
        <v>0</v>
      </c>
      <c r="K2999" s="455">
        <f t="shared" ca="1" si="156"/>
        <v>-176468290.66384858</v>
      </c>
      <c r="L2999" s="455">
        <f t="shared" ca="1" si="157"/>
        <v>-42528858049.987511</v>
      </c>
      <c r="M2999" s="471">
        <f t="shared" si="159"/>
        <v>0.05</v>
      </c>
      <c r="N2999" s="475">
        <f t="shared" si="160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58"/>
        <v>-42528858049.987511</v>
      </c>
      <c r="J3000" s="455">
        <f t="array" ref="J3000">IFERROR(INDEX('Retirement Calculator'!J:J,MATCH('Isaac 401k'!N3000,'Retirement Calculator'!A:A,0),0),0)</f>
        <v>0</v>
      </c>
      <c r="K3000" s="455">
        <f t="shared" ca="1" si="156"/>
        <v>-177203575.20828128</v>
      </c>
      <c r="L3000" s="455">
        <f t="shared" ca="1" si="157"/>
        <v>-42706061625.195793</v>
      </c>
      <c r="M3000" s="471">
        <f t="shared" si="159"/>
        <v>0.05</v>
      </c>
      <c r="N3000" s="475">
        <f t="shared" si="160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58"/>
        <v>-42706061625.195793</v>
      </c>
      <c r="J3001" s="455">
        <f t="array" ref="J3001">IFERROR(INDEX('Retirement Calculator'!J:J,MATCH('Isaac 401k'!N3001,'Retirement Calculator'!A:A,0),0),0)</f>
        <v>0</v>
      </c>
      <c r="K3001" s="455">
        <f t="shared" ca="1" si="156"/>
        <v>-177941923.43831581</v>
      </c>
      <c r="L3001" s="455">
        <f t="shared" ca="1" si="157"/>
        <v>-42884003548.634109</v>
      </c>
      <c r="M3001" s="471">
        <f t="shared" si="159"/>
        <v>0.05</v>
      </c>
      <c r="N3001" s="475">
        <f t="shared" si="160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58"/>
        <v>-42884003548.634109</v>
      </c>
      <c r="J3002" s="455">
        <f t="array" ref="J3002">IFERROR(INDEX('Retirement Calculator'!J:J,MATCH('Isaac 401k'!N3002,'Retirement Calculator'!A:A,0),0),0)</f>
        <v>0</v>
      </c>
      <c r="K3002" s="455">
        <f t="shared" ca="1" si="156"/>
        <v>-178683348.1193088</v>
      </c>
      <c r="L3002" s="455">
        <f t="shared" ca="1" si="157"/>
        <v>-43062686896.753418</v>
      </c>
      <c r="M3002" s="471">
        <f t="shared" si="159"/>
        <v>0.05</v>
      </c>
      <c r="N3002" s="475">
        <f t="shared" si="160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58"/>
        <v>-43062686896.753418</v>
      </c>
      <c r="J3003" s="455">
        <f t="array" ref="J3003">IFERROR(INDEX('Retirement Calculator'!J:J,MATCH('Isaac 401k'!N3003,'Retirement Calculator'!A:A,0),0),0)</f>
        <v>0</v>
      </c>
      <c r="K3003" s="455">
        <f t="shared" ca="1" si="156"/>
        <v>-179427862.06980592</v>
      </c>
      <c r="L3003" s="455">
        <f t="shared" ca="1" si="157"/>
        <v>-43242114758.823227</v>
      </c>
      <c r="M3003" s="471">
        <f t="shared" si="159"/>
        <v>0.05</v>
      </c>
      <c r="N3003" s="475">
        <f t="shared" si="160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58"/>
        <v>-43242114758.823227</v>
      </c>
      <c r="J3004" s="455">
        <f t="array" ref="J3004">IFERROR(INDEX('Retirement Calculator'!J:J,MATCH('Isaac 401k'!N3004,'Retirement Calculator'!A:A,0),0),0)</f>
        <v>0</v>
      </c>
      <c r="K3004" s="455">
        <f t="shared" ca="1" si="156"/>
        <v>-180175478.16176343</v>
      </c>
      <c r="L3004" s="455">
        <f t="shared" ca="1" si="157"/>
        <v>-43422290236.984993</v>
      </c>
      <c r="M3004" s="471">
        <f t="shared" si="159"/>
        <v>0.05</v>
      </c>
      <c r="N3004" s="475">
        <f t="shared" si="160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58"/>
        <v>-43422290236.984993</v>
      </c>
      <c r="J3005" s="455">
        <f t="array" ref="J3005">IFERROR(INDEX('Retirement Calculator'!J:J,MATCH('Isaac 401k'!N3005,'Retirement Calculator'!A:A,0),0),0)</f>
        <v>0</v>
      </c>
      <c r="K3005" s="455">
        <f t="shared" ca="1" si="156"/>
        <v>-180926209.3207708</v>
      </c>
      <c r="L3005" s="455">
        <f t="shared" ca="1" si="157"/>
        <v>-43603216446.305763</v>
      </c>
      <c r="M3005" s="471">
        <f t="shared" si="159"/>
        <v>0.05</v>
      </c>
      <c r="N3005" s="475">
        <f t="shared" si="160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58"/>
        <v>-43603216446.305763</v>
      </c>
      <c r="J3006" s="455">
        <f t="array" ref="J3006">IFERROR(INDEX('Retirement Calculator'!J:J,MATCH('Isaac 401k'!N3006,'Retirement Calculator'!A:A,0),0),0)</f>
        <v>0</v>
      </c>
      <c r="K3006" s="455">
        <f t="shared" ca="1" si="156"/>
        <v>-181680068.52627403</v>
      </c>
      <c r="L3006" s="455">
        <f t="shared" ca="1" si="157"/>
        <v>-43784896514.832039</v>
      </c>
      <c r="M3006" s="471">
        <f t="shared" si="159"/>
        <v>0.05</v>
      </c>
      <c r="N3006" s="475">
        <f t="shared" si="160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58"/>
        <v>-43784896514.832039</v>
      </c>
      <c r="J3007" s="455">
        <f t="array" ref="J3007">IFERROR(INDEX('Retirement Calculator'!J:J,MATCH('Isaac 401k'!N3007,'Retirement Calculator'!A:A,0),0),0)</f>
        <v>0</v>
      </c>
      <c r="K3007" s="455">
        <f t="shared" ca="1" si="156"/>
        <v>-182437068.81180015</v>
      </c>
      <c r="L3007" s="455">
        <f t="shared" ca="1" si="157"/>
        <v>-43967333583.643837</v>
      </c>
      <c r="M3007" s="471">
        <f t="shared" si="159"/>
        <v>0.05</v>
      </c>
      <c r="N3007" s="475">
        <f t="shared" si="160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58"/>
        <v>-43967333583.643837</v>
      </c>
      <c r="J3008" s="455">
        <f t="array" ref="J3008">IFERROR(INDEX('Retirement Calculator'!J:J,MATCH('Isaac 401k'!N3008,'Retirement Calculator'!A:A,0),0),0)</f>
        <v>0</v>
      </c>
      <c r="K3008" s="455">
        <f t="shared" ca="1" si="156"/>
        <v>-183197223.26518264</v>
      </c>
      <c r="L3008" s="455">
        <f t="shared" ca="1" si="157"/>
        <v>-44150530806.909019</v>
      </c>
      <c r="M3008" s="471">
        <f t="shared" si="159"/>
        <v>0.05</v>
      </c>
      <c r="N3008" s="475">
        <f t="shared" si="160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58"/>
        <v>-44150530806.909019</v>
      </c>
      <c r="J3009" s="455">
        <f t="array" ref="J3009">IFERROR(INDEX('Retirement Calculator'!J:J,MATCH('Isaac 401k'!N3009,'Retirement Calculator'!A:A,0),0),0)</f>
        <v>0</v>
      </c>
      <c r="K3009" s="455">
        <f t="shared" ca="1" si="156"/>
        <v>-183960545.02878758</v>
      </c>
      <c r="L3009" s="455">
        <f t="shared" ca="1" si="157"/>
        <v>-44334491351.937805</v>
      </c>
      <c r="M3009" s="471">
        <f t="shared" si="159"/>
        <v>0.05</v>
      </c>
      <c r="N3009" s="475">
        <f t="shared" si="160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58"/>
        <v>-44334491351.937805</v>
      </c>
      <c r="J3010" s="455">
        <f t="array" ref="J3010">IFERROR(INDEX('Retirement Calculator'!J:J,MATCH('Isaac 401k'!N3010,'Retirement Calculator'!A:A,0),0),0)</f>
        <v>0</v>
      </c>
      <c r="K3010" s="455">
        <f t="shared" ca="1" si="156"/>
        <v>-184727047.29974085</v>
      </c>
      <c r="L3010" s="455">
        <f t="shared" ca="1" si="157"/>
        <v>-44519218399.237549</v>
      </c>
      <c r="M3010" s="471">
        <f t="shared" si="159"/>
        <v>0.05</v>
      </c>
      <c r="N3010" s="475">
        <f t="shared" si="160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58"/>
        <v>-44519218399.237549</v>
      </c>
      <c r="J3011" s="455">
        <f t="array" ref="J3011">IFERROR(INDEX('Retirement Calculator'!J:J,MATCH('Isaac 401k'!N3011,'Retirement Calculator'!A:A,0),0),0)</f>
        <v>0</v>
      </c>
      <c r="K3011" s="455">
        <f t="shared" ca="1" si="156"/>
        <v>-185496743.33015645</v>
      </c>
      <c r="L3011" s="455">
        <f t="shared" ca="1" si="157"/>
        <v>-44704715142.567703</v>
      </c>
      <c r="M3011" s="471">
        <f t="shared" si="159"/>
        <v>0.05</v>
      </c>
      <c r="N3011" s="475">
        <f t="shared" si="160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58"/>
        <v>-44704715142.567703</v>
      </c>
      <c r="J3012" s="455">
        <f t="array" ref="J3012">IFERROR(INDEX('Retirement Calculator'!J:J,MATCH('Isaac 401k'!N3012,'Retirement Calculator'!A:A,0),0),0)</f>
        <v>0</v>
      </c>
      <c r="K3012" s="455">
        <f t="shared" ca="1" si="156"/>
        <v>-186269646.42736542</v>
      </c>
      <c r="L3012" s="455">
        <f t="shared" ca="1" si="157"/>
        <v>-44890984788.995071</v>
      </c>
      <c r="M3012" s="471">
        <f t="shared" si="159"/>
        <v>0.05</v>
      </c>
      <c r="N3012" s="475">
        <f t="shared" si="160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58"/>
        <v>-44890984788.995071</v>
      </c>
      <c r="J3013" s="455">
        <f t="array" ref="J3013">IFERROR(INDEX('Retirement Calculator'!J:J,MATCH('Isaac 401k'!N3013,'Retirement Calculator'!A:A,0),0),0)</f>
        <v>0</v>
      </c>
      <c r="K3013" s="455">
        <f t="shared" ca="1" si="156"/>
        <v>-187045769.95414612</v>
      </c>
      <c r="L3013" s="455">
        <f t="shared" ca="1" si="157"/>
        <v>-45078030558.949219</v>
      </c>
      <c r="M3013" s="471">
        <f t="shared" si="159"/>
        <v>0.05</v>
      </c>
      <c r="N3013" s="475">
        <f t="shared" si="160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58"/>
        <v>-45078030558.949219</v>
      </c>
      <c r="J3014" s="455">
        <f t="array" ref="J3014">IFERROR(INDEX('Retirement Calculator'!J:J,MATCH('Isaac 401k'!N3014,'Retirement Calculator'!A:A,0),0),0)</f>
        <v>0</v>
      </c>
      <c r="K3014" s="455">
        <f t="shared" ca="1" si="156"/>
        <v>-187825127.32895508</v>
      </c>
      <c r="L3014" s="455">
        <f t="shared" ca="1" si="157"/>
        <v>-45265855686.278175</v>
      </c>
      <c r="M3014" s="471">
        <f t="shared" si="159"/>
        <v>0.05</v>
      </c>
      <c r="N3014" s="475">
        <f t="shared" si="160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58"/>
        <v>-45265855686.278175</v>
      </c>
      <c r="J3015" s="455">
        <f t="array" ref="J3015">IFERROR(INDEX('Retirement Calculator'!J:J,MATCH('Isaac 401k'!N3015,'Retirement Calculator'!A:A,0),0),0)</f>
        <v>0</v>
      </c>
      <c r="K3015" s="455">
        <f t="shared" ca="1" si="156"/>
        <v>-188607732.02615905</v>
      </c>
      <c r="L3015" s="455">
        <f t="shared" ca="1" si="157"/>
        <v>-45454463418.304337</v>
      </c>
      <c r="M3015" s="471">
        <f t="shared" si="159"/>
        <v>0.05</v>
      </c>
      <c r="N3015" s="475">
        <f t="shared" si="160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58"/>
        <v>-45454463418.304337</v>
      </c>
      <c r="J3016" s="455">
        <f t="array" ref="J3016">IFERROR(INDEX('Retirement Calculator'!J:J,MATCH('Isaac 401k'!N3016,'Retirement Calculator'!A:A,0),0),0)</f>
        <v>0</v>
      </c>
      <c r="K3016" s="455">
        <f t="shared" ca="1" si="156"/>
        <v>-189393597.57626808</v>
      </c>
      <c r="L3016" s="455">
        <f t="shared" ca="1" si="157"/>
        <v>-45643857015.880608</v>
      </c>
      <c r="M3016" s="471">
        <f t="shared" si="159"/>
        <v>0.05</v>
      </c>
      <c r="N3016" s="475">
        <f t="shared" si="160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58"/>
        <v>-45643857015.880608</v>
      </c>
      <c r="J3017" s="455">
        <f t="array" ref="J3017">IFERROR(INDEX('Retirement Calculator'!J:J,MATCH('Isaac 401k'!N3017,'Retirement Calculator'!A:A,0),0),0)</f>
        <v>0</v>
      </c>
      <c r="K3017" s="455">
        <f t="shared" ca="1" si="156"/>
        <v>-190182737.5661692</v>
      </c>
      <c r="L3017" s="455">
        <f t="shared" ca="1" si="157"/>
        <v>-45834039753.446777</v>
      </c>
      <c r="M3017" s="471">
        <f t="shared" si="159"/>
        <v>0.05</v>
      </c>
      <c r="N3017" s="475">
        <f t="shared" si="160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58"/>
        <v>-45834039753.446777</v>
      </c>
      <c r="J3018" s="455">
        <f t="array" ref="J3018">IFERROR(INDEX('Retirement Calculator'!J:J,MATCH('Isaac 401k'!N3018,'Retirement Calculator'!A:A,0),0),0)</f>
        <v>0</v>
      </c>
      <c r="K3018" s="455">
        <f t="shared" ca="1" si="156"/>
        <v>-190975165.63936156</v>
      </c>
      <c r="L3018" s="455">
        <f t="shared" ca="1" si="157"/>
        <v>-46025014919.086136</v>
      </c>
      <c r="M3018" s="471">
        <f t="shared" si="159"/>
        <v>0.05</v>
      </c>
      <c r="N3018" s="475">
        <f t="shared" si="160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58"/>
        <v>-46025014919.086136</v>
      </c>
      <c r="J3019" s="455">
        <f t="array" ref="J3019">IFERROR(INDEX('Retirement Calculator'!J:J,MATCH('Isaac 401k'!N3019,'Retirement Calculator'!A:A,0),0),0)</f>
        <v>0</v>
      </c>
      <c r="K3019" s="455">
        <f t="shared" ca="1" si="156"/>
        <v>-191770895.49619222</v>
      </c>
      <c r="L3019" s="455">
        <f t="shared" ca="1" si="157"/>
        <v>-46216785814.582329</v>
      </c>
      <c r="M3019" s="471">
        <f t="shared" si="159"/>
        <v>0.05</v>
      </c>
      <c r="N3019" s="475">
        <f t="shared" si="160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58"/>
        <v>-46216785814.582329</v>
      </c>
      <c r="J3020" s="455">
        <f t="array" ref="J3020">IFERROR(INDEX('Retirement Calculator'!J:J,MATCH('Isaac 401k'!N3020,'Retirement Calculator'!A:A,0),0),0)</f>
        <v>0</v>
      </c>
      <c r="K3020" s="455">
        <f t="shared" ca="1" si="156"/>
        <v>-192569940.89409304</v>
      </c>
      <c r="L3020" s="455">
        <f t="shared" ca="1" si="157"/>
        <v>-46409355755.476425</v>
      </c>
      <c r="M3020" s="471">
        <f t="shared" si="159"/>
        <v>0.05</v>
      </c>
      <c r="N3020" s="475">
        <f t="shared" si="160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58"/>
        <v>-46409355755.476425</v>
      </c>
      <c r="J3021" s="455">
        <f t="array" ref="J3021">IFERROR(INDEX('Retirement Calculator'!J:J,MATCH('Isaac 401k'!N3021,'Retirement Calculator'!A:A,0),0),0)</f>
        <v>0</v>
      </c>
      <c r="K3021" s="455">
        <f t="shared" ca="1" si="156"/>
        <v>-193372315.64781845</v>
      </c>
      <c r="L3021" s="455">
        <f t="shared" ca="1" si="157"/>
        <v>-46602728071.124245</v>
      </c>
      <c r="M3021" s="471">
        <f t="shared" si="159"/>
        <v>0.05</v>
      </c>
      <c r="N3021" s="475">
        <f t="shared" si="160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58"/>
        <v>-46602728071.124245</v>
      </c>
      <c r="J3022" s="455">
        <f t="array" ref="J3022">IFERROR(INDEX('Retirement Calculator'!J:J,MATCH('Isaac 401k'!N3022,'Retirement Calculator'!A:A,0),0),0)</f>
        <v>0</v>
      </c>
      <c r="K3022" s="455">
        <f t="shared" ca="1" si="156"/>
        <v>-194178033.62968436</v>
      </c>
      <c r="L3022" s="455">
        <f t="shared" ca="1" si="157"/>
        <v>-46796906104.753929</v>
      </c>
      <c r="M3022" s="471">
        <f t="shared" si="159"/>
        <v>0.05</v>
      </c>
      <c r="N3022" s="475">
        <f t="shared" si="160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58"/>
        <v>-46796906104.753929</v>
      </c>
      <c r="J3023" s="455">
        <f t="array" ref="J3023">IFERROR(INDEX('Retirement Calculator'!J:J,MATCH('Isaac 401k'!N3023,'Retirement Calculator'!A:A,0),0),0)</f>
        <v>0</v>
      </c>
      <c r="K3023" s="455">
        <f t="shared" ca="1" si="156"/>
        <v>-194987108.76980802</v>
      </c>
      <c r="L3023" s="455">
        <f t="shared" ca="1" si="157"/>
        <v>-46991893213.523735</v>
      </c>
      <c r="M3023" s="471">
        <f t="shared" si="159"/>
        <v>0.05</v>
      </c>
      <c r="N3023" s="475">
        <f t="shared" si="160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58"/>
        <v>-46991893213.523735</v>
      </c>
      <c r="J3024" s="455">
        <f t="array" ref="J3024">IFERROR(INDEX('Retirement Calculator'!J:J,MATCH('Isaac 401k'!N3024,'Retirement Calculator'!A:A,0),0),0)</f>
        <v>0</v>
      </c>
      <c r="K3024" s="455">
        <f t="shared" ca="1" si="156"/>
        <v>-195799555.05634889</v>
      </c>
      <c r="L3024" s="455">
        <f t="shared" ca="1" si="157"/>
        <v>-47187692768.580086</v>
      </c>
      <c r="M3024" s="471">
        <f t="shared" si="159"/>
        <v>0.05</v>
      </c>
      <c r="N3024" s="475">
        <f t="shared" si="160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58"/>
        <v>-47187692768.580086</v>
      </c>
      <c r="J3025" s="455">
        <f t="array" ref="J3025">IFERROR(INDEX('Retirement Calculator'!J:J,MATCH('Isaac 401k'!N3025,'Retirement Calculator'!A:A,0),0),0)</f>
        <v>0</v>
      </c>
      <c r="K3025" s="455">
        <f t="shared" ca="1" si="156"/>
        <v>-196615386.53575036</v>
      </c>
      <c r="L3025" s="455">
        <f t="shared" ca="1" si="157"/>
        <v>-47384308155.115837</v>
      </c>
      <c r="M3025" s="471">
        <f t="shared" si="159"/>
        <v>0.05</v>
      </c>
      <c r="N3025" s="475">
        <f t="shared" si="160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58"/>
        <v>-47384308155.115837</v>
      </c>
      <c r="J3026" s="455">
        <f t="array" ref="J3026">IFERROR(INDEX('Retirement Calculator'!J:J,MATCH('Isaac 401k'!N3026,'Retirement Calculator'!A:A,0),0),0)</f>
        <v>0</v>
      </c>
      <c r="K3026" s="455">
        <f t="shared" ca="1" si="156"/>
        <v>-197434617.31298265</v>
      </c>
      <c r="L3026" s="455">
        <f t="shared" ca="1" si="157"/>
        <v>-47581742772.428818</v>
      </c>
      <c r="M3026" s="471">
        <f t="shared" si="159"/>
        <v>0.05</v>
      </c>
      <c r="N3026" s="475">
        <f t="shared" si="160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58"/>
        <v>-47581742772.428818</v>
      </c>
      <c r="J3027" s="455">
        <f t="array" ref="J3027">IFERROR(INDEX('Retirement Calculator'!J:J,MATCH('Isaac 401k'!N3027,'Retirement Calculator'!A:A,0),0),0)</f>
        <v>0</v>
      </c>
      <c r="K3027" s="455">
        <f t="shared" ca="1" si="156"/>
        <v>-198257261.55178675</v>
      </c>
      <c r="L3027" s="455">
        <f t="shared" ca="1" si="157"/>
        <v>-47780000033.980606</v>
      </c>
      <c r="M3027" s="471">
        <f t="shared" si="159"/>
        <v>0.05</v>
      </c>
      <c r="N3027" s="475">
        <f t="shared" si="160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58"/>
        <v>-47780000033.980606</v>
      </c>
      <c r="J3028" s="455">
        <f t="array" ref="J3028">IFERROR(INDEX('Retirement Calculator'!J:J,MATCH('Isaac 401k'!N3028,'Retirement Calculator'!A:A,0),0),0)</f>
        <v>0</v>
      </c>
      <c r="K3028" s="455">
        <f t="shared" ca="1" si="156"/>
        <v>-199083333.4749192</v>
      </c>
      <c r="L3028" s="455">
        <f t="shared" ca="1" si="157"/>
        <v>-47979083367.455528</v>
      </c>
      <c r="M3028" s="471">
        <f t="shared" si="159"/>
        <v>0.05</v>
      </c>
      <c r="N3028" s="475">
        <f t="shared" si="160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58"/>
        <v>-47979083367.455528</v>
      </c>
      <c r="J3029" s="455">
        <f t="array" ref="J3029">IFERROR(INDEX('Retirement Calculator'!J:J,MATCH('Isaac 401k'!N3029,'Retirement Calculator'!A:A,0),0),0)</f>
        <v>0</v>
      </c>
      <c r="K3029" s="455">
        <f t="shared" ca="1" si="156"/>
        <v>-199912847.36439803</v>
      </c>
      <c r="L3029" s="455">
        <f t="shared" ca="1" si="157"/>
        <v>-48178996214.819923</v>
      </c>
      <c r="M3029" s="471">
        <f t="shared" si="159"/>
        <v>0.05</v>
      </c>
      <c r="N3029" s="475">
        <f t="shared" si="160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58"/>
        <v>-48178996214.819923</v>
      </c>
      <c r="J3030" s="455">
        <f t="array" ref="J3030">IFERROR(INDEX('Retirement Calculator'!J:J,MATCH('Isaac 401k'!N3030,'Retirement Calculator'!A:A,0),0),0)</f>
        <v>0</v>
      </c>
      <c r="K3030" s="455">
        <f t="shared" ca="1" si="156"/>
        <v>-200745817.56174967</v>
      </c>
      <c r="L3030" s="455">
        <f t="shared" ca="1" si="157"/>
        <v>-48379742032.381676</v>
      </c>
      <c r="M3030" s="471">
        <f t="shared" si="159"/>
        <v>0.05</v>
      </c>
      <c r="N3030" s="475">
        <f t="shared" si="160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58"/>
        <v>-48379742032.381676</v>
      </c>
      <c r="J3031" s="455">
        <f t="array" ref="J3031">IFERROR(INDEX('Retirement Calculator'!J:J,MATCH('Isaac 401k'!N3031,'Retirement Calculator'!A:A,0),0),0)</f>
        <v>0</v>
      </c>
      <c r="K3031" s="455">
        <f t="shared" ca="1" si="156"/>
        <v>-201582258.46825698</v>
      </c>
      <c r="L3031" s="455">
        <f t="shared" ca="1" si="157"/>
        <v>-48581324290.84993</v>
      </c>
      <c r="M3031" s="471">
        <f t="shared" si="159"/>
        <v>0.05</v>
      </c>
      <c r="N3031" s="475">
        <f t="shared" si="160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58"/>
        <v>-48581324290.84993</v>
      </c>
      <c r="J3032" s="455">
        <f t="array" ref="J3032">IFERROR(INDEX('Retirement Calculator'!J:J,MATCH('Isaac 401k'!N3032,'Retirement Calculator'!A:A,0),0),0)</f>
        <v>0</v>
      </c>
      <c r="K3032" s="455">
        <f t="shared" ca="1" si="156"/>
        <v>-202422184.54520804</v>
      </c>
      <c r="L3032" s="455">
        <f t="shared" ca="1" si="157"/>
        <v>-48783746475.395142</v>
      </c>
      <c r="M3032" s="471">
        <f t="shared" si="159"/>
        <v>0.05</v>
      </c>
      <c r="N3032" s="475">
        <f t="shared" si="160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58"/>
        <v>-48783746475.395142</v>
      </c>
      <c r="J3033" s="455">
        <f t="array" ref="J3033">IFERROR(INDEX('Retirement Calculator'!J:J,MATCH('Isaac 401k'!N3033,'Retirement Calculator'!A:A,0),0),0)</f>
        <v>0</v>
      </c>
      <c r="K3033" s="455">
        <f t="shared" ca="1" si="156"/>
        <v>-203265610.31414643</v>
      </c>
      <c r="L3033" s="455">
        <f t="shared" ca="1" si="157"/>
        <v>-48987012085.70929</v>
      </c>
      <c r="M3033" s="471">
        <f t="shared" si="159"/>
        <v>0.05</v>
      </c>
      <c r="N3033" s="475">
        <f t="shared" si="160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58"/>
        <v>-48987012085.70929</v>
      </c>
      <c r="J3034" s="455">
        <f t="array" ref="J3034">IFERROR(INDEX('Retirement Calculator'!J:J,MATCH('Isaac 401k'!N3034,'Retirement Calculator'!A:A,0),0),0)</f>
        <v>0</v>
      </c>
      <c r="K3034" s="455">
        <f t="shared" ca="1" si="156"/>
        <v>-204112550.35712203</v>
      </c>
      <c r="L3034" s="455">
        <f t="shared" ca="1" si="157"/>
        <v>-49191124636.066414</v>
      </c>
      <c r="M3034" s="471">
        <f t="shared" si="159"/>
        <v>0.05</v>
      </c>
      <c r="N3034" s="475">
        <f t="shared" si="160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58"/>
        <v>-49191124636.066414</v>
      </c>
      <c r="J3035" s="455">
        <f t="array" ref="J3035">IFERROR(INDEX('Retirement Calculator'!J:J,MATCH('Isaac 401k'!N3035,'Retirement Calculator'!A:A,0),0),0)</f>
        <v>0</v>
      </c>
      <c r="K3035" s="455">
        <f t="shared" ca="1" si="156"/>
        <v>-204963019.31694338</v>
      </c>
      <c r="L3035" s="455">
        <f t="shared" ca="1" si="157"/>
        <v>-49396087655.383354</v>
      </c>
      <c r="M3035" s="471">
        <f t="shared" si="159"/>
        <v>0.05</v>
      </c>
      <c r="N3035" s="475">
        <f t="shared" si="160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58"/>
        <v>-49396087655.383354</v>
      </c>
      <c r="J3036" s="455">
        <f t="array" ref="J3036">IFERROR(INDEX('Retirement Calculator'!J:J,MATCH('Isaac 401k'!N3036,'Retirement Calculator'!A:A,0),0),0)</f>
        <v>0</v>
      </c>
      <c r="K3036" s="455">
        <f t="shared" ca="1" si="156"/>
        <v>-205817031.89743063</v>
      </c>
      <c r="L3036" s="455">
        <f t="shared" ca="1" si="157"/>
        <v>-49601904687.280785</v>
      </c>
      <c r="M3036" s="471">
        <f t="shared" si="159"/>
        <v>0.05</v>
      </c>
      <c r="N3036" s="475">
        <f t="shared" si="160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58"/>
        <v>-49601904687.280785</v>
      </c>
      <c r="J3037" s="455">
        <f t="array" ref="J3037">IFERROR(INDEX('Retirement Calculator'!J:J,MATCH('Isaac 401k'!N3037,'Retirement Calculator'!A:A,0),0),0)</f>
        <v>0</v>
      </c>
      <c r="K3037" s="455">
        <f t="shared" ca="1" si="156"/>
        <v>-206674602.86366993</v>
      </c>
      <c r="L3037" s="455">
        <f t="shared" ca="1" si="157"/>
        <v>-49808579290.144455</v>
      </c>
      <c r="M3037" s="471">
        <f t="shared" si="159"/>
        <v>0.05</v>
      </c>
      <c r="N3037" s="475">
        <f t="shared" si="160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58"/>
        <v>-49808579290.144455</v>
      </c>
      <c r="J3038" s="455">
        <f t="array" ref="J3038">IFERROR(INDEX('Retirement Calculator'!J:J,MATCH('Isaac 401k'!N3038,'Retirement Calculator'!A:A,0),0),0)</f>
        <v>0</v>
      </c>
      <c r="K3038" s="455">
        <f t="shared" ca="1" si="156"/>
        <v>-207535747.04226857</v>
      </c>
      <c r="L3038" s="455">
        <f t="shared" ca="1" si="157"/>
        <v>-50016115037.186722</v>
      </c>
      <c r="M3038" s="471">
        <f t="shared" si="159"/>
        <v>0.05</v>
      </c>
      <c r="N3038" s="475">
        <f t="shared" si="160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58"/>
        <v>-50016115037.186722</v>
      </c>
      <c r="J3039" s="455">
        <f t="array" ref="J3039">IFERROR(INDEX('Retirement Calculator'!J:J,MATCH('Isaac 401k'!N3039,'Retirement Calculator'!A:A,0),0),0)</f>
        <v>0</v>
      </c>
      <c r="K3039" s="455">
        <f t="shared" ca="1" si="156"/>
        <v>-208400479.32161134</v>
      </c>
      <c r="L3039" s="455">
        <f t="shared" ca="1" si="157"/>
        <v>-50224515516.508331</v>
      </c>
      <c r="M3039" s="471">
        <f t="shared" si="159"/>
        <v>0.05</v>
      </c>
      <c r="N3039" s="475">
        <f t="shared" si="160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58"/>
        <v>-50224515516.508331</v>
      </c>
      <c r="J3040" s="455">
        <f t="array" ref="J3040">IFERROR(INDEX('Retirement Calculator'!J:J,MATCH('Isaac 401k'!N3040,'Retirement Calculator'!A:A,0),0),0)</f>
        <v>0</v>
      </c>
      <c r="K3040" s="455">
        <f t="shared" ca="1" si="156"/>
        <v>-209268814.65211806</v>
      </c>
      <c r="L3040" s="455">
        <f t="shared" ca="1" si="157"/>
        <v>-50433784331.160446</v>
      </c>
      <c r="M3040" s="471">
        <f t="shared" si="159"/>
        <v>0.05</v>
      </c>
      <c r="N3040" s="475">
        <f t="shared" si="160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58"/>
        <v>-50433784331.160446</v>
      </c>
      <c r="J3041" s="455">
        <f t="array" ref="J3041">IFERROR(INDEX('Retirement Calculator'!J:J,MATCH('Isaac 401k'!N3041,'Retirement Calculator'!A:A,0),0),0)</f>
        <v>0</v>
      </c>
      <c r="K3041" s="455">
        <f t="shared" ca="1" si="156"/>
        <v>-210140768.04650185</v>
      </c>
      <c r="L3041" s="455">
        <f t="shared" ca="1" si="157"/>
        <v>-50643925099.206947</v>
      </c>
      <c r="M3041" s="471">
        <f t="shared" si="159"/>
        <v>0.05</v>
      </c>
      <c r="N3041" s="475">
        <f t="shared" si="160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58"/>
        <v>-50643925099.206947</v>
      </c>
      <c r="J3042" s="455">
        <f t="array" ref="J3042">IFERROR(INDEX('Retirement Calculator'!J:J,MATCH('Isaac 401k'!N3042,'Retirement Calculator'!A:A,0),0),0)</f>
        <v>0</v>
      </c>
      <c r="K3042" s="455">
        <f t="shared" ca="1" si="156"/>
        <v>-211016354.58002895</v>
      </c>
      <c r="L3042" s="455">
        <f t="shared" ca="1" si="157"/>
        <v>-50854941453.78698</v>
      </c>
      <c r="M3042" s="471">
        <f t="shared" si="159"/>
        <v>0.05</v>
      </c>
      <c r="N3042" s="475">
        <f t="shared" si="160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58"/>
        <v>-50854941453.78698</v>
      </c>
      <c r="J3043" s="455">
        <f t="array" ref="J3043">IFERROR(INDEX('Retirement Calculator'!J:J,MATCH('Isaac 401k'!N3043,'Retirement Calculator'!A:A,0),0),0)</f>
        <v>0</v>
      </c>
      <c r="K3043" s="455">
        <f t="shared" ca="1" si="156"/>
        <v>-211895589.39077908</v>
      </c>
      <c r="L3043" s="455">
        <f t="shared" ca="1" si="157"/>
        <v>-51066837043.177757</v>
      </c>
      <c r="M3043" s="471">
        <f t="shared" si="159"/>
        <v>0.05</v>
      </c>
      <c r="N3043" s="475">
        <f t="shared" si="160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58"/>
        <v>-51066837043.177757</v>
      </c>
      <c r="J3044" s="455">
        <f t="array" ref="J3044">IFERROR(INDEX('Retirement Calculator'!J:J,MATCH('Isaac 401k'!N3044,'Retirement Calculator'!A:A,0),0),0)</f>
        <v>0</v>
      </c>
      <c r="K3044" s="455">
        <f t="shared" ca="1" si="156"/>
        <v>-212778487.67990732</v>
      </c>
      <c r="L3044" s="455">
        <f t="shared" ca="1" si="157"/>
        <v>-51279615530.857666</v>
      </c>
      <c r="M3044" s="471">
        <f t="shared" si="159"/>
        <v>0.05</v>
      </c>
      <c r="N3044" s="475">
        <f t="shared" si="160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58"/>
        <v>-51279615530.857666</v>
      </c>
      <c r="J3045" s="455">
        <f t="array" ref="J3045">IFERROR(INDEX('Retirement Calculator'!J:J,MATCH('Isaac 401k'!N3045,'Retirement Calculator'!A:A,0),0),0)</f>
        <v>0</v>
      </c>
      <c r="K3045" s="455">
        <f t="shared" ca="1" si="156"/>
        <v>-213665064.71190694</v>
      </c>
      <c r="L3045" s="455">
        <f t="shared" ca="1" si="157"/>
        <v>-51493280595.569572</v>
      </c>
      <c r="M3045" s="471">
        <f t="shared" si="159"/>
        <v>0.05</v>
      </c>
      <c r="N3045" s="475">
        <f t="shared" si="160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58"/>
        <v>-51493280595.569572</v>
      </c>
      <c r="J3046" s="455">
        <f t="array" ref="J3046">IFERROR(INDEX('Retirement Calculator'!J:J,MATCH('Isaac 401k'!N3046,'Retirement Calculator'!A:A,0),0),0)</f>
        <v>0</v>
      </c>
      <c r="K3046" s="455">
        <f t="shared" ca="1" si="156"/>
        <v>-214555335.81487322</v>
      </c>
      <c r="L3046" s="455">
        <f t="shared" ca="1" si="157"/>
        <v>-51707835931.384445</v>
      </c>
      <c r="M3046" s="471">
        <f t="shared" si="159"/>
        <v>0.05</v>
      </c>
      <c r="N3046" s="475">
        <f t="shared" si="160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58"/>
        <v>-51707835931.384445</v>
      </c>
      <c r="J3047" s="455">
        <f t="array" ref="J3047">IFERROR(INDEX('Retirement Calculator'!J:J,MATCH('Isaac 401k'!N3047,'Retirement Calculator'!A:A,0),0),0)</f>
        <v>0</v>
      </c>
      <c r="K3047" s="455">
        <f t="shared" ca="1" si="156"/>
        <v>-215449316.38076851</v>
      </c>
      <c r="L3047" s="455">
        <f t="shared" ca="1" si="157"/>
        <v>-51923285247.765213</v>
      </c>
      <c r="M3047" s="471">
        <f t="shared" si="159"/>
        <v>0.05</v>
      </c>
      <c r="N3047" s="475">
        <f t="shared" si="160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58"/>
        <v>-51923285247.765213</v>
      </c>
      <c r="J3048" s="455">
        <f t="array" ref="J3048">IFERROR(INDEX('Retirement Calculator'!J:J,MATCH('Isaac 401k'!N3048,'Retirement Calculator'!A:A,0),0),0)</f>
        <v>0</v>
      </c>
      <c r="K3048" s="455">
        <f t="shared" ca="1" si="156"/>
        <v>-216347021.86568838</v>
      </c>
      <c r="L3048" s="455">
        <f t="shared" ca="1" si="157"/>
        <v>-52139632269.630905</v>
      </c>
      <c r="M3048" s="471">
        <f t="shared" si="159"/>
        <v>0.05</v>
      </c>
      <c r="N3048" s="475">
        <f t="shared" si="160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58"/>
        <v>-52139632269.630905</v>
      </c>
      <c r="J3049" s="455">
        <f t="array" ref="J3049">IFERROR(INDEX('Retirement Calculator'!J:J,MATCH('Isaac 401k'!N3049,'Retirement Calculator'!A:A,0),0),0)</f>
        <v>0</v>
      </c>
      <c r="K3049" s="455">
        <f t="shared" ca="1" si="156"/>
        <v>-217248467.79012877</v>
      </c>
      <c r="L3049" s="455">
        <f t="shared" ca="1" si="157"/>
        <v>-52356880737.421036</v>
      </c>
      <c r="M3049" s="471">
        <f t="shared" si="159"/>
        <v>0.05</v>
      </c>
      <c r="N3049" s="475">
        <f t="shared" si="160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58"/>
        <v>-52356880737.421036</v>
      </c>
      <c r="J3050" s="455">
        <f t="array" ref="J3050">IFERROR(INDEX('Retirement Calculator'!J:J,MATCH('Isaac 401k'!N3050,'Retirement Calculator'!A:A,0),0),0)</f>
        <v>0</v>
      </c>
      <c r="K3050" s="455">
        <f t="shared" ca="1" si="156"/>
        <v>-218153669.73925433</v>
      </c>
      <c r="L3050" s="455">
        <f t="shared" ca="1" si="157"/>
        <v>-52575034407.160294</v>
      </c>
      <c r="M3050" s="471">
        <f t="shared" si="159"/>
        <v>0.05</v>
      </c>
      <c r="N3050" s="475">
        <f t="shared" si="160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58"/>
        <v>-52575034407.160294</v>
      </c>
      <c r="J3051" s="455">
        <f t="array" ref="J3051">IFERROR(INDEX('Retirement Calculator'!J:J,MATCH('Isaac 401k'!N3051,'Retirement Calculator'!A:A,0),0),0)</f>
        <v>0</v>
      </c>
      <c r="K3051" s="455">
        <f t="shared" ca="1" si="156"/>
        <v>-219062643.36316788</v>
      </c>
      <c r="L3051" s="455">
        <f t="shared" ca="1" si="157"/>
        <v>-52794097050.52346</v>
      </c>
      <c r="M3051" s="471">
        <f t="shared" si="159"/>
        <v>0.05</v>
      </c>
      <c r="N3051" s="475">
        <f t="shared" si="160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58"/>
        <v>-52794097050.52346</v>
      </c>
      <c r="J3052" s="455">
        <f t="array" ref="J3052">IFERROR(INDEX('Retirement Calculator'!J:J,MATCH('Isaac 401k'!N3052,'Retirement Calculator'!A:A,0),0),0)</f>
        <v>0</v>
      </c>
      <c r="K3052" s="455">
        <f t="shared" ca="1" si="156"/>
        <v>-219975404.37718108</v>
      </c>
      <c r="L3052" s="455">
        <f t="shared" ca="1" si="157"/>
        <v>-53014072454.900642</v>
      </c>
      <c r="M3052" s="471">
        <f t="shared" si="159"/>
        <v>0.05</v>
      </c>
      <c r="N3052" s="475">
        <f t="shared" si="160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58"/>
        <v>-53014072454.900642</v>
      </c>
      <c r="J3053" s="455">
        <f t="array" ref="J3053">IFERROR(INDEX('Retirement Calculator'!J:J,MATCH('Isaac 401k'!N3053,'Retirement Calculator'!A:A,0),0),0)</f>
        <v>0</v>
      </c>
      <c r="K3053" s="455">
        <f t="shared" ca="1" si="156"/>
        <v>-220891968.56208602</v>
      </c>
      <c r="L3053" s="455">
        <f t="shared" ca="1" si="157"/>
        <v>-53234964423.46273</v>
      </c>
      <c r="M3053" s="471">
        <f t="shared" si="159"/>
        <v>0.05</v>
      </c>
      <c r="N3053" s="475">
        <f t="shared" si="160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58"/>
        <v>-53234964423.46273</v>
      </c>
      <c r="J3054" s="455">
        <f t="array" ref="J3054">IFERROR(INDEX('Retirement Calculator'!J:J,MATCH('Isaac 401k'!N3054,'Retirement Calculator'!A:A,0),0),0)</f>
        <v>0</v>
      </c>
      <c r="K3054" s="455">
        <f t="shared" ca="1" si="156"/>
        <v>-221812351.76442805</v>
      </c>
      <c r="L3054" s="455">
        <f t="shared" ca="1" si="157"/>
        <v>-53456776775.227158</v>
      </c>
      <c r="M3054" s="471">
        <f t="shared" si="159"/>
        <v>0.05</v>
      </c>
      <c r="N3054" s="475">
        <f t="shared" si="160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58"/>
        <v>-53456776775.227158</v>
      </c>
      <c r="J3055" s="455">
        <f t="array" ref="J3055">IFERROR(INDEX('Retirement Calculator'!J:J,MATCH('Isaac 401k'!N3055,'Retirement Calculator'!A:A,0),0),0)</f>
        <v>0</v>
      </c>
      <c r="K3055" s="455">
        <f t="shared" ca="1" si="156"/>
        <v>-222736569.89677981</v>
      </c>
      <c r="L3055" s="455">
        <f t="shared" ca="1" si="157"/>
        <v>-53679513345.12394</v>
      </c>
      <c r="M3055" s="471">
        <f t="shared" si="159"/>
        <v>0.05</v>
      </c>
      <c r="N3055" s="475">
        <f t="shared" si="160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58"/>
        <v>-53679513345.12394</v>
      </c>
      <c r="J3056" s="455">
        <f t="array" ref="J3056">IFERROR(INDEX('Retirement Calculator'!J:J,MATCH('Isaac 401k'!N3056,'Retirement Calculator'!A:A,0),0),0)</f>
        <v>0</v>
      </c>
      <c r="K3056" s="455">
        <f t="shared" ca="1" si="156"/>
        <v>-223664638.93801641</v>
      </c>
      <c r="L3056" s="455">
        <f t="shared" ca="1" si="157"/>
        <v>-53903177984.061958</v>
      </c>
      <c r="M3056" s="471">
        <f t="shared" si="159"/>
        <v>0.05</v>
      </c>
      <c r="N3056" s="475">
        <f t="shared" si="160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58"/>
        <v>-53903177984.061958</v>
      </c>
      <c r="J3057" s="455">
        <f t="array" ref="J3057">IFERROR(INDEX('Retirement Calculator'!J:J,MATCH('Isaac 401k'!N3057,'Retirement Calculator'!A:A,0),0),0)</f>
        <v>0</v>
      </c>
      <c r="K3057" s="455">
        <f t="shared" ca="1" si="156"/>
        <v>-224596574.93359146</v>
      </c>
      <c r="L3057" s="455">
        <f t="shared" ca="1" si="157"/>
        <v>-54127774558.995552</v>
      </c>
      <c r="M3057" s="471">
        <f t="shared" si="159"/>
        <v>0.05</v>
      </c>
      <c r="N3057" s="475">
        <f t="shared" si="160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58"/>
        <v>-54127774558.995552</v>
      </c>
      <c r="J3058" s="455">
        <f t="array" ref="J3058">IFERROR(INDEX('Retirement Calculator'!J:J,MATCH('Isaac 401k'!N3058,'Retirement Calculator'!A:A,0),0),0)</f>
        <v>0</v>
      </c>
      <c r="K3058" s="455">
        <f t="shared" ca="1" si="156"/>
        <v>-225532393.99581483</v>
      </c>
      <c r="L3058" s="455">
        <f t="shared" ca="1" si="157"/>
        <v>-54353306952.991364</v>
      </c>
      <c r="M3058" s="471">
        <f t="shared" si="159"/>
        <v>0.05</v>
      </c>
      <c r="N3058" s="475">
        <f t="shared" si="160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58"/>
        <v>-54353306952.991364</v>
      </c>
      <c r="J3059" s="455">
        <f t="array" ref="J3059">IFERROR(INDEX('Retirement Calculator'!J:J,MATCH('Isaac 401k'!N3059,'Retirement Calculator'!A:A,0),0),0)</f>
        <v>0</v>
      </c>
      <c r="K3059" s="455">
        <f t="shared" ca="1" si="156"/>
        <v>-226472112.30413067</v>
      </c>
      <c r="L3059" s="455">
        <f t="shared" ca="1" si="157"/>
        <v>-54579779065.295494</v>
      </c>
      <c r="M3059" s="471">
        <f t="shared" si="159"/>
        <v>0.05</v>
      </c>
      <c r="N3059" s="475">
        <f t="shared" si="160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58"/>
        <v>-54579779065.295494</v>
      </c>
      <c r="J3060" s="455">
        <f t="array" ref="J3060">IFERROR(INDEX('Retirement Calculator'!J:J,MATCH('Isaac 401k'!N3060,'Retirement Calculator'!A:A,0),0),0)</f>
        <v>0</v>
      </c>
      <c r="K3060" s="455">
        <f t="shared" ca="1" si="156"/>
        <v>-227415746.10539788</v>
      </c>
      <c r="L3060" s="455">
        <f t="shared" ca="1" si="157"/>
        <v>-54807194811.400894</v>
      </c>
      <c r="M3060" s="471">
        <f t="shared" si="159"/>
        <v>0.05</v>
      </c>
      <c r="N3060" s="475">
        <f t="shared" si="160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58"/>
        <v>-54807194811.400894</v>
      </c>
      <c r="J3061" s="455">
        <f t="array" ref="J3061">IFERROR(INDEX('Retirement Calculator'!J:J,MATCH('Isaac 401k'!N3061,'Retirement Calculator'!A:A,0),0),0)</f>
        <v>0</v>
      </c>
      <c r="K3061" s="455">
        <f t="shared" ca="1" si="156"/>
        <v>-228363311.71417037</v>
      </c>
      <c r="L3061" s="455">
        <f t="shared" ca="1" si="157"/>
        <v>-55035558123.115067</v>
      </c>
      <c r="M3061" s="471">
        <f t="shared" si="159"/>
        <v>0.05</v>
      </c>
      <c r="N3061" s="475">
        <f t="shared" si="160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58"/>
        <v>-55035558123.115067</v>
      </c>
      <c r="J3062" s="455">
        <f t="array" ref="J3062">IFERROR(INDEX('Retirement Calculator'!J:J,MATCH('Isaac 401k'!N3062,'Retirement Calculator'!A:A,0),0),0)</f>
        <v>0</v>
      </c>
      <c r="K3062" s="455">
        <f t="shared" ca="1" si="156"/>
        <v>-229314825.51297945</v>
      </c>
      <c r="L3062" s="455">
        <f t="shared" ca="1" si="157"/>
        <v>-55264872948.628044</v>
      </c>
      <c r="M3062" s="471">
        <f t="shared" si="159"/>
        <v>0.05</v>
      </c>
      <c r="N3062" s="475">
        <f t="shared" si="160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58"/>
        <v>-55264872948.628044</v>
      </c>
      <c r="J3063" s="455">
        <f t="array" ref="J3063">IFERROR(INDEX('Retirement Calculator'!J:J,MATCH('Isaac 401k'!N3063,'Retirement Calculator'!A:A,0),0),0)</f>
        <v>0</v>
      </c>
      <c r="K3063" s="455">
        <f t="shared" ca="1" si="156"/>
        <v>-230270303.95261684</v>
      </c>
      <c r="L3063" s="455">
        <f t="shared" ca="1" si="157"/>
        <v>-55495143252.580658</v>
      </c>
      <c r="M3063" s="471">
        <f t="shared" si="159"/>
        <v>0.05</v>
      </c>
      <c r="N3063" s="475">
        <f t="shared" si="160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58"/>
        <v>-55495143252.580658</v>
      </c>
      <c r="J3064" s="455">
        <f t="array" ref="J3064">IFERROR(INDEX('Retirement Calculator'!J:J,MATCH('Isaac 401k'!N3064,'Retirement Calculator'!A:A,0),0),0)</f>
        <v>0</v>
      </c>
      <c r="K3064" s="455">
        <f t="shared" ca="1" si="156"/>
        <v>-231229763.55241936</v>
      </c>
      <c r="L3064" s="455">
        <f t="shared" ca="1" si="157"/>
        <v>-55726373016.13308</v>
      </c>
      <c r="M3064" s="471">
        <f t="shared" si="159"/>
        <v>0.05</v>
      </c>
      <c r="N3064" s="475">
        <f t="shared" si="160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58"/>
        <v>-55726373016.13308</v>
      </c>
      <c r="J3065" s="455">
        <f t="array" ref="J3065">IFERROR(INDEX('Retirement Calculator'!J:J,MATCH('Isaac 401k'!N3065,'Retirement Calculator'!A:A,0),0),0)</f>
        <v>0</v>
      </c>
      <c r="K3065" s="455">
        <f t="shared" ca="1" si="156"/>
        <v>-232193220.90055445</v>
      </c>
      <c r="L3065" s="455">
        <f t="shared" ca="1" si="157"/>
        <v>-55958566237.03363</v>
      </c>
      <c r="M3065" s="471">
        <f t="shared" si="159"/>
        <v>0.05</v>
      </c>
      <c r="N3065" s="475">
        <f t="shared" si="160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58"/>
        <v>-55958566237.03363</v>
      </c>
      <c r="J3066" s="455">
        <f t="array" ref="J3066">IFERROR(INDEX('Retirement Calculator'!J:J,MATCH('Isaac 401k'!N3066,'Retirement Calculator'!A:A,0),0),0)</f>
        <v>0</v>
      </c>
      <c r="K3066" s="455">
        <f t="shared" ca="1" si="156"/>
        <v>-233160692.6543068</v>
      </c>
      <c r="L3066" s="455">
        <f t="shared" ca="1" si="157"/>
        <v>-56191726929.687935</v>
      </c>
      <c r="M3066" s="471">
        <f t="shared" si="159"/>
        <v>0.05</v>
      </c>
      <c r="N3066" s="475">
        <f t="shared" si="160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58"/>
        <v>-56191726929.687935</v>
      </c>
      <c r="J3067" s="455">
        <f t="array" ref="J3067">IFERROR(INDEX('Retirement Calculator'!J:J,MATCH('Isaac 401k'!N3067,'Retirement Calculator'!A:A,0),0),0)</f>
        <v>0</v>
      </c>
      <c r="K3067" s="455">
        <f t="shared" ca="1" si="156"/>
        <v>-234132195.54036635</v>
      </c>
      <c r="L3067" s="455">
        <f t="shared" ca="1" si="157"/>
        <v>-56425859125.228302</v>
      </c>
      <c r="M3067" s="471">
        <f t="shared" si="159"/>
        <v>0.05</v>
      </c>
      <c r="N3067" s="475">
        <f t="shared" si="160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58"/>
        <v>-56425859125.228302</v>
      </c>
      <c r="J3068" s="455">
        <f t="array" ref="J3068">IFERROR(INDEX('Retirement Calculator'!J:J,MATCH('Isaac 401k'!N3068,'Retirement Calculator'!A:A,0),0),0)</f>
        <v>0</v>
      </c>
      <c r="K3068" s="455">
        <f t="shared" ref="K3068:K3322" ca="1" si="161">IPMT(M3068/12,1,12,-I3068+J3068,,0)</f>
        <v>-235107746.35511792</v>
      </c>
      <c r="L3068" s="455">
        <f t="shared" ref="L3068:L3322" ca="1" si="162">I3068-J3068+K3068</f>
        <v>-56660966871.58342</v>
      </c>
      <c r="M3068" s="471">
        <f t="shared" si="159"/>
        <v>0.05</v>
      </c>
      <c r="N3068" s="475">
        <f t="shared" si="160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63">L3068</f>
        <v>-56660966871.58342</v>
      </c>
      <c r="J3069" s="455">
        <f t="array" ref="J3069">IFERROR(INDEX('Retirement Calculator'!J:J,MATCH('Isaac 401k'!N3069,'Retirement Calculator'!A:A,0),0),0)</f>
        <v>0</v>
      </c>
      <c r="K3069" s="455">
        <f t="shared" ca="1" si="161"/>
        <v>-236087361.96493092</v>
      </c>
      <c r="L3069" s="455">
        <f t="shared" ca="1" si="162"/>
        <v>-56897054233.548347</v>
      </c>
      <c r="M3069" s="471">
        <f t="shared" ref="M3069:M3323" si="164">M3068</f>
        <v>0.05</v>
      </c>
      <c r="N3069" s="475">
        <f t="shared" ref="N3069:N3323" si="165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63"/>
        <v>-56897054233.548347</v>
      </c>
      <c r="J3070" s="455">
        <f t="array" ref="J3070">IFERROR(INDEX('Retirement Calculator'!J:J,MATCH('Isaac 401k'!N3070,'Retirement Calculator'!A:A,0),0),0)</f>
        <v>0</v>
      </c>
      <c r="K3070" s="455">
        <f t="shared" ca="1" si="161"/>
        <v>-237071059.30645144</v>
      </c>
      <c r="L3070" s="455">
        <f t="shared" ca="1" si="162"/>
        <v>-57134125292.854797</v>
      </c>
      <c r="M3070" s="471">
        <f t="shared" si="164"/>
        <v>0.05</v>
      </c>
      <c r="N3070" s="475">
        <f t="shared" si="165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63"/>
        <v>-57134125292.854797</v>
      </c>
      <c r="J3071" s="455">
        <f t="array" ref="J3071">IFERROR(INDEX('Retirement Calculator'!J:J,MATCH('Isaac 401k'!N3071,'Retirement Calculator'!A:A,0),0),0)</f>
        <v>0</v>
      </c>
      <c r="K3071" s="455">
        <f t="shared" ca="1" si="161"/>
        <v>-238058855.38689494</v>
      </c>
      <c r="L3071" s="455">
        <f t="shared" ca="1" si="162"/>
        <v>-57372184148.241692</v>
      </c>
      <c r="M3071" s="471">
        <f t="shared" si="164"/>
        <v>0.05</v>
      </c>
      <c r="N3071" s="475">
        <f t="shared" si="165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63"/>
        <v>-57372184148.241692</v>
      </c>
      <c r="J3072" s="455">
        <f t="array" ref="J3072">IFERROR(INDEX('Retirement Calculator'!J:J,MATCH('Isaac 401k'!N3072,'Retirement Calculator'!A:A,0),0),0)</f>
        <v>0</v>
      </c>
      <c r="K3072" s="455">
        <f t="shared" ca="1" si="161"/>
        <v>-239050767.28434035</v>
      </c>
      <c r="L3072" s="455">
        <f t="shared" ca="1" si="162"/>
        <v>-57611234915.526031</v>
      </c>
      <c r="M3072" s="471">
        <f t="shared" si="164"/>
        <v>0.05</v>
      </c>
      <c r="N3072" s="475">
        <f t="shared" si="165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63"/>
        <v>-57611234915.526031</v>
      </c>
      <c r="J3073" s="455">
        <f t="array" ref="J3073">IFERROR(INDEX('Retirement Calculator'!J:J,MATCH('Isaac 401k'!N3073,'Retirement Calculator'!A:A,0),0),0)</f>
        <v>0</v>
      </c>
      <c r="K3073" s="455">
        <f t="shared" ca="1" si="161"/>
        <v>-240046812.14802513</v>
      </c>
      <c r="L3073" s="455">
        <f t="shared" ca="1" si="162"/>
        <v>-57851281727.674057</v>
      </c>
      <c r="M3073" s="471">
        <f t="shared" si="164"/>
        <v>0.05</v>
      </c>
      <c r="N3073" s="475">
        <f t="shared" si="165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63"/>
        <v>-57851281727.674057</v>
      </c>
      <c r="J3074" s="455">
        <f t="array" ref="J3074">IFERROR(INDEX('Retirement Calculator'!J:J,MATCH('Isaac 401k'!N3074,'Retirement Calculator'!A:A,0),0),0)</f>
        <v>0</v>
      </c>
      <c r="K3074" s="455">
        <f t="shared" ca="1" si="161"/>
        <v>-241047007.1986419</v>
      </c>
      <c r="L3074" s="455">
        <f t="shared" ca="1" si="162"/>
        <v>-58092328734.872696</v>
      </c>
      <c r="M3074" s="471">
        <f t="shared" si="164"/>
        <v>0.05</v>
      </c>
      <c r="N3074" s="475">
        <f t="shared" si="165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63"/>
        <v>-58092328734.872696</v>
      </c>
      <c r="J3075" s="455">
        <f t="array" ref="J3075">IFERROR(INDEX('Retirement Calculator'!J:J,MATCH('Isaac 401k'!N3075,'Retirement Calculator'!A:A,0),0),0)</f>
        <v>0</v>
      </c>
      <c r="K3075" s="455">
        <f t="shared" ca="1" si="161"/>
        <v>-242051369.72863621</v>
      </c>
      <c r="L3075" s="455">
        <f t="shared" ca="1" si="162"/>
        <v>-58334380104.601334</v>
      </c>
      <c r="M3075" s="471">
        <f t="shared" si="164"/>
        <v>0.05</v>
      </c>
      <c r="N3075" s="475">
        <f t="shared" si="165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63"/>
        <v>-58334380104.601334</v>
      </c>
      <c r="J3076" s="455">
        <f t="array" ref="J3076">IFERROR(INDEX('Retirement Calculator'!J:J,MATCH('Isaac 401k'!N3076,'Retirement Calculator'!A:A,0),0),0)</f>
        <v>0</v>
      </c>
      <c r="K3076" s="455">
        <f t="shared" ca="1" si="161"/>
        <v>-243059917.10250556</v>
      </c>
      <c r="L3076" s="455">
        <f t="shared" ca="1" si="162"/>
        <v>-58577440021.703842</v>
      </c>
      <c r="M3076" s="471">
        <f t="shared" si="164"/>
        <v>0.05</v>
      </c>
      <c r="N3076" s="475">
        <f t="shared" si="165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63"/>
        <v>-58577440021.703842</v>
      </c>
      <c r="J3077" s="455">
        <f t="array" ref="J3077">IFERROR(INDEX('Retirement Calculator'!J:J,MATCH('Isaac 401k'!N3077,'Retirement Calculator'!A:A,0),0),0)</f>
        <v>0</v>
      </c>
      <c r="K3077" s="455">
        <f t="shared" ca="1" si="161"/>
        <v>-244072666.75709936</v>
      </c>
      <c r="L3077" s="455">
        <f t="shared" ca="1" si="162"/>
        <v>-58821512688.460945</v>
      </c>
      <c r="M3077" s="471">
        <f t="shared" si="164"/>
        <v>0.05</v>
      </c>
      <c r="N3077" s="475">
        <f t="shared" si="165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63"/>
        <v>-58821512688.460945</v>
      </c>
      <c r="J3078" s="455">
        <f t="array" ref="J3078">IFERROR(INDEX('Retirement Calculator'!J:J,MATCH('Isaac 401k'!N3078,'Retirement Calculator'!A:A,0),0),0)</f>
        <v>0</v>
      </c>
      <c r="K3078" s="455">
        <f t="shared" ca="1" si="161"/>
        <v>-245089636.2019206</v>
      </c>
      <c r="L3078" s="455">
        <f t="shared" ca="1" si="162"/>
        <v>-59066602324.662865</v>
      </c>
      <c r="M3078" s="471">
        <f t="shared" si="164"/>
        <v>0.05</v>
      </c>
      <c r="N3078" s="475">
        <f t="shared" si="165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63"/>
        <v>-59066602324.662865</v>
      </c>
      <c r="J3079" s="455">
        <f t="array" ref="J3079">IFERROR(INDEX('Retirement Calculator'!J:J,MATCH('Isaac 401k'!N3079,'Retirement Calculator'!A:A,0),0),0)</f>
        <v>0</v>
      </c>
      <c r="K3079" s="455">
        <f t="shared" ca="1" si="161"/>
        <v>-246110843.01942858</v>
      </c>
      <c r="L3079" s="455">
        <f t="shared" ca="1" si="162"/>
        <v>-59312713167.682297</v>
      </c>
      <c r="M3079" s="471">
        <f t="shared" si="164"/>
        <v>0.05</v>
      </c>
      <c r="N3079" s="475">
        <f t="shared" si="165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63"/>
        <v>-59312713167.682297</v>
      </c>
      <c r="J3080" s="455">
        <f t="array" ref="J3080">IFERROR(INDEX('Retirement Calculator'!J:J,MATCH('Isaac 401k'!N3080,'Retirement Calculator'!A:A,0),0),0)</f>
        <v>0</v>
      </c>
      <c r="K3080" s="455">
        <f t="shared" ca="1" si="161"/>
        <v>-247136304.86534289</v>
      </c>
      <c r="L3080" s="455">
        <f t="shared" ca="1" si="162"/>
        <v>-59559849472.547638</v>
      </c>
      <c r="M3080" s="471">
        <f t="shared" si="164"/>
        <v>0.05</v>
      </c>
      <c r="N3080" s="475">
        <f t="shared" si="165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63"/>
        <v>-59559849472.547638</v>
      </c>
      <c r="J3081" s="455">
        <f t="array" ref="J3081">IFERROR(INDEX('Retirement Calculator'!J:J,MATCH('Isaac 401k'!N3081,'Retirement Calculator'!A:A,0),0),0)</f>
        <v>0</v>
      </c>
      <c r="K3081" s="455">
        <f t="shared" ca="1" si="161"/>
        <v>-248166039.46894848</v>
      </c>
      <c r="L3081" s="455">
        <f t="shared" ca="1" si="162"/>
        <v>-59808015512.016586</v>
      </c>
      <c r="M3081" s="471">
        <f t="shared" si="164"/>
        <v>0.05</v>
      </c>
      <c r="N3081" s="475">
        <f t="shared" si="165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63"/>
        <v>-59808015512.016586</v>
      </c>
      <c r="J3082" s="455">
        <f t="array" ref="J3082">IFERROR(INDEX('Retirement Calculator'!J:J,MATCH('Isaac 401k'!N3082,'Retirement Calculator'!A:A,0),0),0)</f>
        <v>0</v>
      </c>
      <c r="K3082" s="455">
        <f t="shared" ca="1" si="161"/>
        <v>-249200064.63340244</v>
      </c>
      <c r="L3082" s="455">
        <f t="shared" ca="1" si="162"/>
        <v>-60057215576.649986</v>
      </c>
      <c r="M3082" s="471">
        <f t="shared" si="164"/>
        <v>0.05</v>
      </c>
      <c r="N3082" s="475">
        <f t="shared" si="165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63"/>
        <v>-60057215576.649986</v>
      </c>
      <c r="J3083" s="455">
        <f t="array" ref="J3083">IFERROR(INDEX('Retirement Calculator'!J:J,MATCH('Isaac 401k'!N3083,'Retirement Calculator'!A:A,0),0),0)</f>
        <v>0</v>
      </c>
      <c r="K3083" s="455">
        <f t="shared" ca="1" si="161"/>
        <v>-250238398.23604161</v>
      </c>
      <c r="L3083" s="455">
        <f t="shared" ca="1" si="162"/>
        <v>-60307453974.886024</v>
      </c>
      <c r="M3083" s="471">
        <f t="shared" si="164"/>
        <v>0.05</v>
      </c>
      <c r="N3083" s="475">
        <f t="shared" si="165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63"/>
        <v>-60307453974.886024</v>
      </c>
      <c r="J3084" s="455">
        <f t="array" ref="J3084">IFERROR(INDEX('Retirement Calculator'!J:J,MATCH('Isaac 401k'!N3084,'Retirement Calculator'!A:A,0),0),0)</f>
        <v>0</v>
      </c>
      <c r="K3084" s="455">
        <f t="shared" ca="1" si="161"/>
        <v>-251281058.22869179</v>
      </c>
      <c r="L3084" s="455">
        <f t="shared" ca="1" si="162"/>
        <v>-60558735033.114716</v>
      </c>
      <c r="M3084" s="471">
        <f t="shared" si="164"/>
        <v>0.05</v>
      </c>
      <c r="N3084" s="475">
        <f t="shared" si="165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63"/>
        <v>-60558735033.114716</v>
      </c>
      <c r="J3085" s="455">
        <f t="array" ref="J3085">IFERROR(INDEX('Retirement Calculator'!J:J,MATCH('Isaac 401k'!N3085,'Retirement Calculator'!A:A,0),0),0)</f>
        <v>0</v>
      </c>
      <c r="K3085" s="455">
        <f t="shared" ca="1" si="161"/>
        <v>-252328062.63797799</v>
      </c>
      <c r="L3085" s="455">
        <f t="shared" ca="1" si="162"/>
        <v>-60811063095.752693</v>
      </c>
      <c r="M3085" s="471">
        <f t="shared" si="164"/>
        <v>0.05</v>
      </c>
      <c r="N3085" s="475">
        <f t="shared" si="165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63"/>
        <v>-60811063095.752693</v>
      </c>
      <c r="J3086" s="455">
        <f t="array" ref="J3086">IFERROR(INDEX('Retirement Calculator'!J:J,MATCH('Isaac 401k'!N3086,'Retirement Calculator'!A:A,0),0),0)</f>
        <v>0</v>
      </c>
      <c r="K3086" s="455">
        <f t="shared" ca="1" si="161"/>
        <v>-253379429.56563622</v>
      </c>
      <c r="L3086" s="455">
        <f t="shared" ca="1" si="162"/>
        <v>-61064442525.318329</v>
      </c>
      <c r="M3086" s="471">
        <f t="shared" si="164"/>
        <v>0.05</v>
      </c>
      <c r="N3086" s="475">
        <f t="shared" si="165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63"/>
        <v>-61064442525.318329</v>
      </c>
      <c r="J3087" s="455">
        <f t="array" ref="J3087">IFERROR(INDEX('Retirement Calculator'!J:J,MATCH('Isaac 401k'!N3087,'Retirement Calculator'!A:A,0),0),0)</f>
        <v>0</v>
      </c>
      <c r="K3087" s="455">
        <f t="shared" ca="1" si="161"/>
        <v>-254435177.18882632</v>
      </c>
      <c r="L3087" s="455">
        <f t="shared" ca="1" si="162"/>
        <v>-61318877702.507156</v>
      </c>
      <c r="M3087" s="471">
        <f t="shared" si="164"/>
        <v>0.05</v>
      </c>
      <c r="N3087" s="475">
        <f t="shared" si="165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63"/>
        <v>-61318877702.507156</v>
      </c>
      <c r="J3088" s="455">
        <f t="array" ref="J3088">IFERROR(INDEX('Retirement Calculator'!J:J,MATCH('Isaac 401k'!N3088,'Retirement Calculator'!A:A,0),0),0)</f>
        <v>0</v>
      </c>
      <c r="K3088" s="455">
        <f t="shared" ca="1" si="161"/>
        <v>-255495323.76044649</v>
      </c>
      <c r="L3088" s="455">
        <f t="shared" ca="1" si="162"/>
        <v>-61574373026.267601</v>
      </c>
      <c r="M3088" s="471">
        <f t="shared" si="164"/>
        <v>0.05</v>
      </c>
      <c r="N3088" s="475">
        <f t="shared" si="165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63"/>
        <v>-61574373026.267601</v>
      </c>
      <c r="J3089" s="455">
        <f t="array" ref="J3089">IFERROR(INDEX('Retirement Calculator'!J:J,MATCH('Isaac 401k'!N3089,'Retirement Calculator'!A:A,0),0),0)</f>
        <v>0</v>
      </c>
      <c r="K3089" s="455">
        <f t="shared" ca="1" si="161"/>
        <v>-256559887.60944831</v>
      </c>
      <c r="L3089" s="455">
        <f t="shared" ca="1" si="162"/>
        <v>-61830932913.877052</v>
      </c>
      <c r="M3089" s="471">
        <f t="shared" si="164"/>
        <v>0.05</v>
      </c>
      <c r="N3089" s="475">
        <f t="shared" si="165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63"/>
        <v>-61830932913.877052</v>
      </c>
      <c r="J3090" s="455">
        <f t="array" ref="J3090">IFERROR(INDEX('Retirement Calculator'!J:J,MATCH('Isaac 401k'!N3090,'Retirement Calculator'!A:A,0),0),0)</f>
        <v>0</v>
      </c>
      <c r="K3090" s="455">
        <f t="shared" ca="1" si="161"/>
        <v>-257628887.14115438</v>
      </c>
      <c r="L3090" s="455">
        <f t="shared" ca="1" si="162"/>
        <v>-62088561801.018204</v>
      </c>
      <c r="M3090" s="471">
        <f t="shared" si="164"/>
        <v>0.05</v>
      </c>
      <c r="N3090" s="475">
        <f t="shared" si="165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63"/>
        <v>-62088561801.018204</v>
      </c>
      <c r="J3091" s="455">
        <f t="array" ref="J3091">IFERROR(INDEX('Retirement Calculator'!J:J,MATCH('Isaac 401k'!N3091,'Retirement Calculator'!A:A,0),0),0)</f>
        <v>0</v>
      </c>
      <c r="K3091" s="455">
        <f t="shared" ca="1" si="161"/>
        <v>-258702340.83757588</v>
      </c>
      <c r="L3091" s="455">
        <f t="shared" ca="1" si="162"/>
        <v>-62347264141.855782</v>
      </c>
      <c r="M3091" s="471">
        <f t="shared" si="164"/>
        <v>0.05</v>
      </c>
      <c r="N3091" s="475">
        <f t="shared" si="165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63"/>
        <v>-62347264141.855782</v>
      </c>
      <c r="J3092" s="455">
        <f t="array" ref="J3092">IFERROR(INDEX('Retirement Calculator'!J:J,MATCH('Isaac 401k'!N3092,'Retirement Calculator'!A:A,0),0),0)</f>
        <v>0</v>
      </c>
      <c r="K3092" s="455">
        <f t="shared" ca="1" si="161"/>
        <v>-259780267.25773245</v>
      </c>
      <c r="L3092" s="455">
        <f t="shared" ca="1" si="162"/>
        <v>-62607044409.113518</v>
      </c>
      <c r="M3092" s="471">
        <f t="shared" si="164"/>
        <v>0.05</v>
      </c>
      <c r="N3092" s="475">
        <f t="shared" si="165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63"/>
        <v>-62607044409.113518</v>
      </c>
      <c r="J3093" s="455">
        <f t="array" ref="J3093">IFERROR(INDEX('Retirement Calculator'!J:J,MATCH('Isaac 401k'!N3093,'Retirement Calculator'!A:A,0),0),0)</f>
        <v>0</v>
      </c>
      <c r="K3093" s="455">
        <f t="shared" ca="1" si="161"/>
        <v>-260862685.03797302</v>
      </c>
      <c r="L3093" s="455">
        <f t="shared" ca="1" si="162"/>
        <v>-62867907094.151489</v>
      </c>
      <c r="M3093" s="471">
        <f t="shared" si="164"/>
        <v>0.05</v>
      </c>
      <c r="N3093" s="475">
        <f t="shared" si="165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63"/>
        <v>-62867907094.151489</v>
      </c>
      <c r="J3094" s="455">
        <f t="array" ref="J3094">IFERROR(INDEX('Retirement Calculator'!J:J,MATCH('Isaac 401k'!N3094,'Retirement Calculator'!A:A,0),0),0)</f>
        <v>0</v>
      </c>
      <c r="K3094" s="455">
        <f t="shared" ca="1" si="161"/>
        <v>-261949612.89229786</v>
      </c>
      <c r="L3094" s="455">
        <f t="shared" ca="1" si="162"/>
        <v>-63129856707.043785</v>
      </c>
      <c r="M3094" s="471">
        <f t="shared" si="164"/>
        <v>0.05</v>
      </c>
      <c r="N3094" s="475">
        <f t="shared" si="165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63"/>
        <v>-63129856707.043785</v>
      </c>
      <c r="J3095" s="455">
        <f t="array" ref="J3095">IFERROR(INDEX('Retirement Calculator'!J:J,MATCH('Isaac 401k'!N3095,'Retirement Calculator'!A:A,0),0),0)</f>
        <v>0</v>
      </c>
      <c r="K3095" s="455">
        <f t="shared" ca="1" si="161"/>
        <v>-263041069.61268243</v>
      </c>
      <c r="L3095" s="455">
        <f t="shared" ca="1" si="162"/>
        <v>-63392897776.656471</v>
      </c>
      <c r="M3095" s="471">
        <f t="shared" si="164"/>
        <v>0.05</v>
      </c>
      <c r="N3095" s="475">
        <f t="shared" si="165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63"/>
        <v>-63392897776.656471</v>
      </c>
      <c r="J3096" s="455">
        <f t="array" ref="J3096">IFERROR(INDEX('Retirement Calculator'!J:J,MATCH('Isaac 401k'!N3096,'Retirement Calculator'!A:A,0),0),0)</f>
        <v>0</v>
      </c>
      <c r="K3096" s="455">
        <f t="shared" ca="1" si="161"/>
        <v>-264137074.06940195</v>
      </c>
      <c r="L3096" s="455">
        <f t="shared" ca="1" si="162"/>
        <v>-63657034850.725876</v>
      </c>
      <c r="M3096" s="471">
        <f t="shared" si="164"/>
        <v>0.05</v>
      </c>
      <c r="N3096" s="475">
        <f t="shared" si="165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63"/>
        <v>-63657034850.725876</v>
      </c>
      <c r="J3097" s="455">
        <f t="array" ref="J3097">IFERROR(INDEX('Retirement Calculator'!J:J,MATCH('Isaac 401k'!N3097,'Retirement Calculator'!A:A,0),0),0)</f>
        <v>0</v>
      </c>
      <c r="K3097" s="455">
        <f t="shared" ca="1" si="161"/>
        <v>-265237645.2113578</v>
      </c>
      <c r="L3097" s="455">
        <f t="shared" ca="1" si="162"/>
        <v>-63922272495.937233</v>
      </c>
      <c r="M3097" s="471">
        <f t="shared" si="164"/>
        <v>0.05</v>
      </c>
      <c r="N3097" s="475">
        <f t="shared" si="165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63"/>
        <v>-63922272495.937233</v>
      </c>
      <c r="J3098" s="455">
        <f t="array" ref="J3098">IFERROR(INDEX('Retirement Calculator'!J:J,MATCH('Isaac 401k'!N3098,'Retirement Calculator'!A:A,0),0),0)</f>
        <v>0</v>
      </c>
      <c r="K3098" s="455">
        <f t="shared" ca="1" si="161"/>
        <v>-266342802.06640509</v>
      </c>
      <c r="L3098" s="455">
        <f t="shared" ca="1" si="162"/>
        <v>-64188615298.003639</v>
      </c>
      <c r="M3098" s="471">
        <f t="shared" si="164"/>
        <v>0.05</v>
      </c>
      <c r="N3098" s="475">
        <f t="shared" si="165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63"/>
        <v>-64188615298.003639</v>
      </c>
      <c r="J3099" s="455">
        <f t="array" ref="J3099">IFERROR(INDEX('Retirement Calculator'!J:J,MATCH('Isaac 401k'!N3099,'Retirement Calculator'!A:A,0),0),0)</f>
        <v>0</v>
      </c>
      <c r="K3099" s="455">
        <f t="shared" ca="1" si="161"/>
        <v>-267452563.74168181</v>
      </c>
      <c r="L3099" s="455">
        <f t="shared" ca="1" si="162"/>
        <v>-64456067861.745323</v>
      </c>
      <c r="M3099" s="471">
        <f t="shared" si="164"/>
        <v>0.05</v>
      </c>
      <c r="N3099" s="475">
        <f t="shared" si="165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63"/>
        <v>-64456067861.745323</v>
      </c>
      <c r="J3100" s="455">
        <f t="array" ref="J3100">IFERROR(INDEX('Retirement Calculator'!J:J,MATCH('Isaac 401k'!N3100,'Retirement Calculator'!A:A,0),0),0)</f>
        <v>0</v>
      </c>
      <c r="K3100" s="455">
        <f t="shared" ca="1" si="161"/>
        <v>-268566949.42393887</v>
      </c>
      <c r="L3100" s="455">
        <f t="shared" ca="1" si="162"/>
        <v>-64724634811.169266</v>
      </c>
      <c r="M3100" s="471">
        <f t="shared" si="164"/>
        <v>0.05</v>
      </c>
      <c r="N3100" s="475">
        <f t="shared" si="165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63"/>
        <v>-64724634811.169266</v>
      </c>
      <c r="J3101" s="455">
        <f t="array" ref="J3101">IFERROR(INDEX('Retirement Calculator'!J:J,MATCH('Isaac 401k'!N3101,'Retirement Calculator'!A:A,0),0),0)</f>
        <v>0</v>
      </c>
      <c r="K3101" s="455">
        <f t="shared" ca="1" si="161"/>
        <v>-269685978.37987196</v>
      </c>
      <c r="L3101" s="455">
        <f t="shared" ca="1" si="162"/>
        <v>-64994320789.549141</v>
      </c>
      <c r="M3101" s="471">
        <f t="shared" si="164"/>
        <v>0.05</v>
      </c>
      <c r="N3101" s="475">
        <f t="shared" si="165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63"/>
        <v>-64994320789.549141</v>
      </c>
      <c r="J3102" s="455">
        <f t="array" ref="J3102">IFERROR(INDEX('Retirement Calculator'!J:J,MATCH('Isaac 401k'!N3102,'Retirement Calculator'!A:A,0),0),0)</f>
        <v>0</v>
      </c>
      <c r="K3102" s="455">
        <f t="shared" ca="1" si="161"/>
        <v>-270809669.95645469</v>
      </c>
      <c r="L3102" s="455">
        <f t="shared" ca="1" si="162"/>
        <v>-65265130459.505592</v>
      </c>
      <c r="M3102" s="471">
        <f t="shared" si="164"/>
        <v>0.05</v>
      </c>
      <c r="N3102" s="475">
        <f t="shared" si="165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63"/>
        <v>-65265130459.505592</v>
      </c>
      <c r="J3103" s="455">
        <f t="array" ref="J3103">IFERROR(INDEX('Retirement Calculator'!J:J,MATCH('Isaac 401k'!N3103,'Retirement Calculator'!A:A,0),0),0)</f>
        <v>0</v>
      </c>
      <c r="K3103" s="455">
        <f t="shared" ca="1" si="161"/>
        <v>-271938043.58127332</v>
      </c>
      <c r="L3103" s="455">
        <f t="shared" ca="1" si="162"/>
        <v>-65537068503.086868</v>
      </c>
      <c r="M3103" s="471">
        <f t="shared" si="164"/>
        <v>0.05</v>
      </c>
      <c r="N3103" s="475">
        <f t="shared" si="165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63"/>
        <v>-65537068503.086868</v>
      </c>
      <c r="J3104" s="455">
        <f t="array" ref="J3104">IFERROR(INDEX('Retirement Calculator'!J:J,MATCH('Isaac 401k'!N3104,'Retirement Calculator'!A:A,0),0),0)</f>
        <v>0</v>
      </c>
      <c r="K3104" s="455">
        <f t="shared" ca="1" si="161"/>
        <v>-273071118.76286197</v>
      </c>
      <c r="L3104" s="455">
        <f t="shared" ca="1" si="162"/>
        <v>-65810139621.849731</v>
      </c>
      <c r="M3104" s="471">
        <f t="shared" si="164"/>
        <v>0.05</v>
      </c>
      <c r="N3104" s="475">
        <f t="shared" si="165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63"/>
        <v>-65810139621.849731</v>
      </c>
      <c r="J3105" s="455">
        <f t="array" ref="J3105">IFERROR(INDEX('Retirement Calculator'!J:J,MATCH('Isaac 401k'!N3105,'Retirement Calculator'!A:A,0),0),0)</f>
        <v>0</v>
      </c>
      <c r="K3105" s="455">
        <f t="shared" ca="1" si="161"/>
        <v>-274208915.09104055</v>
      </c>
      <c r="L3105" s="455">
        <f t="shared" ca="1" si="162"/>
        <v>-66084348536.940773</v>
      </c>
      <c r="M3105" s="471">
        <f t="shared" si="164"/>
        <v>0.05</v>
      </c>
      <c r="N3105" s="475">
        <f t="shared" si="165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63"/>
        <v>-66084348536.940773</v>
      </c>
      <c r="J3106" s="455">
        <f t="array" ref="J3106">IFERROR(INDEX('Retirement Calculator'!J:J,MATCH('Isaac 401k'!N3106,'Retirement Calculator'!A:A,0),0),0)</f>
        <v>0</v>
      </c>
      <c r="K3106" s="455">
        <f t="shared" ca="1" si="161"/>
        <v>-275351452.23725319</v>
      </c>
      <c r="L3106" s="455">
        <f t="shared" ca="1" si="162"/>
        <v>-66359699989.178024</v>
      </c>
      <c r="M3106" s="471">
        <f t="shared" si="164"/>
        <v>0.05</v>
      </c>
      <c r="N3106" s="475">
        <f t="shared" si="165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63"/>
        <v>-66359699989.178024</v>
      </c>
      <c r="J3107" s="455">
        <f t="array" ref="J3107">IFERROR(INDEX('Retirement Calculator'!J:J,MATCH('Isaac 401k'!N3107,'Retirement Calculator'!A:A,0),0),0)</f>
        <v>0</v>
      </c>
      <c r="K3107" s="455">
        <f t="shared" ca="1" si="161"/>
        <v>-276498749.95490849</v>
      </c>
      <c r="L3107" s="455">
        <f t="shared" ca="1" si="162"/>
        <v>-66636198739.132935</v>
      </c>
      <c r="M3107" s="471">
        <f t="shared" si="164"/>
        <v>0.05</v>
      </c>
      <c r="N3107" s="475">
        <f t="shared" si="165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63"/>
        <v>-66636198739.132935</v>
      </c>
      <c r="J3108" s="455">
        <f t="array" ref="J3108">IFERROR(INDEX('Retirement Calculator'!J:J,MATCH('Isaac 401k'!N3108,'Retirement Calculator'!A:A,0),0),0)</f>
        <v>0</v>
      </c>
      <c r="K3108" s="455">
        <f t="shared" ca="1" si="161"/>
        <v>-277650828.07972062</v>
      </c>
      <c r="L3108" s="455">
        <f t="shared" ca="1" si="162"/>
        <v>-66913849567.212654</v>
      </c>
      <c r="M3108" s="471">
        <f t="shared" si="164"/>
        <v>0.05</v>
      </c>
      <c r="N3108" s="475">
        <f t="shared" si="165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63"/>
        <v>-66913849567.212654</v>
      </c>
      <c r="J3109" s="455">
        <f t="array" ref="J3109">IFERROR(INDEX('Retirement Calculator'!J:J,MATCH('Isaac 401k'!N3109,'Retirement Calculator'!A:A,0),0),0)</f>
        <v>0</v>
      </c>
      <c r="K3109" s="455">
        <f t="shared" ca="1" si="161"/>
        <v>-278807706.53005272</v>
      </c>
      <c r="L3109" s="455">
        <f t="shared" ca="1" si="162"/>
        <v>-67192657273.742706</v>
      </c>
      <c r="M3109" s="471">
        <f t="shared" si="164"/>
        <v>0.05</v>
      </c>
      <c r="N3109" s="475">
        <f t="shared" si="165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63"/>
        <v>-67192657273.742706</v>
      </c>
      <c r="J3110" s="455">
        <f t="array" ref="J3110">IFERROR(INDEX('Retirement Calculator'!J:J,MATCH('Isaac 401k'!N3110,'Retirement Calculator'!A:A,0),0),0)</f>
        <v>0</v>
      </c>
      <c r="K3110" s="455">
        <f t="shared" ca="1" si="161"/>
        <v>-279969405.30726123</v>
      </c>
      <c r="L3110" s="455">
        <f t="shared" ca="1" si="162"/>
        <v>-67472626679.049965</v>
      </c>
      <c r="M3110" s="471">
        <f t="shared" si="164"/>
        <v>0.05</v>
      </c>
      <c r="N3110" s="475">
        <f t="shared" si="165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63"/>
        <v>-67472626679.049965</v>
      </c>
      <c r="J3111" s="455">
        <f t="array" ref="J3111">IFERROR(INDEX('Retirement Calculator'!J:J,MATCH('Isaac 401k'!N3111,'Retirement Calculator'!A:A,0),0),0)</f>
        <v>0</v>
      </c>
      <c r="K3111" s="455">
        <f t="shared" ca="1" si="161"/>
        <v>-281135944.49604148</v>
      </c>
      <c r="L3111" s="455">
        <f t="shared" ca="1" si="162"/>
        <v>-67753762623.546005</v>
      </c>
      <c r="M3111" s="471">
        <f t="shared" si="164"/>
        <v>0.05</v>
      </c>
      <c r="N3111" s="475">
        <f t="shared" si="165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63"/>
        <v>-67753762623.546005</v>
      </c>
      <c r="J3112" s="455">
        <f t="array" ref="J3112">IFERROR(INDEX('Retirement Calculator'!J:J,MATCH('Isaac 401k'!N3112,'Retirement Calculator'!A:A,0),0),0)</f>
        <v>0</v>
      </c>
      <c r="K3112" s="455">
        <f t="shared" ca="1" si="161"/>
        <v>-282307344.26477504</v>
      </c>
      <c r="L3112" s="455">
        <f t="shared" ca="1" si="162"/>
        <v>-68036069967.810783</v>
      </c>
      <c r="M3112" s="471">
        <f t="shared" si="164"/>
        <v>0.05</v>
      </c>
      <c r="N3112" s="475">
        <f t="shared" si="165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63"/>
        <v>-68036069967.810783</v>
      </c>
      <c r="J3113" s="455">
        <f t="array" ref="J3113">IFERROR(INDEX('Retirement Calculator'!J:J,MATCH('Isaac 401k'!N3113,'Retirement Calculator'!A:A,0),0),0)</f>
        <v>0</v>
      </c>
      <c r="K3113" s="455">
        <f t="shared" ca="1" si="161"/>
        <v>-283483624.86587828</v>
      </c>
      <c r="L3113" s="455">
        <f t="shared" ca="1" si="162"/>
        <v>-68319553592.676659</v>
      </c>
      <c r="M3113" s="471">
        <f t="shared" si="164"/>
        <v>0.05</v>
      </c>
      <c r="N3113" s="475">
        <f t="shared" si="165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63"/>
        <v>-68319553592.676659</v>
      </c>
      <c r="J3114" s="455">
        <f t="array" ref="J3114">IFERROR(INDEX('Retirement Calculator'!J:J,MATCH('Isaac 401k'!N3114,'Retirement Calculator'!A:A,0),0),0)</f>
        <v>0</v>
      </c>
      <c r="K3114" s="455">
        <f t="shared" ca="1" si="161"/>
        <v>-284664806.63615274</v>
      </c>
      <c r="L3114" s="455">
        <f t="shared" ca="1" si="162"/>
        <v>-68604218399.312813</v>
      </c>
      <c r="M3114" s="471">
        <f t="shared" si="164"/>
        <v>0.05</v>
      </c>
      <c r="N3114" s="475">
        <f t="shared" si="165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63"/>
        <v>-68604218399.312813</v>
      </c>
      <c r="J3115" s="455">
        <f t="array" ref="J3115">IFERROR(INDEX('Retirement Calculator'!J:J,MATCH('Isaac 401k'!N3115,'Retirement Calculator'!A:A,0),0),0)</f>
        <v>0</v>
      </c>
      <c r="K3115" s="455">
        <f t="shared" ca="1" si="161"/>
        <v>-285850909.99713671</v>
      </c>
      <c r="L3115" s="455">
        <f t="shared" ca="1" si="162"/>
        <v>-68890069309.309952</v>
      </c>
      <c r="M3115" s="471">
        <f t="shared" si="164"/>
        <v>0.05</v>
      </c>
      <c r="N3115" s="475">
        <f t="shared" si="165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63"/>
        <v>-68890069309.309952</v>
      </c>
      <c r="J3116" s="455">
        <f t="array" ref="J3116">IFERROR(INDEX('Retirement Calculator'!J:J,MATCH('Isaac 401k'!N3116,'Retirement Calculator'!A:A,0),0),0)</f>
        <v>0</v>
      </c>
      <c r="K3116" s="455">
        <f t="shared" ca="1" si="161"/>
        <v>-287041955.4554581</v>
      </c>
      <c r="L3116" s="455">
        <f t="shared" ca="1" si="162"/>
        <v>-69177111264.765411</v>
      </c>
      <c r="M3116" s="471">
        <f t="shared" si="164"/>
        <v>0.05</v>
      </c>
      <c r="N3116" s="475">
        <f t="shared" si="165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63"/>
        <v>-69177111264.765411</v>
      </c>
      <c r="J3117" s="455">
        <f t="array" ref="J3117">IFERROR(INDEX('Retirement Calculator'!J:J,MATCH('Isaac 401k'!N3117,'Retirement Calculator'!A:A,0),0),0)</f>
        <v>0</v>
      </c>
      <c r="K3117" s="455">
        <f t="shared" ca="1" si="161"/>
        <v>-288237963.60318923</v>
      </c>
      <c r="L3117" s="455">
        <f t="shared" ca="1" si="162"/>
        <v>-69465349228.368607</v>
      </c>
      <c r="M3117" s="471">
        <f t="shared" si="164"/>
        <v>0.05</v>
      </c>
      <c r="N3117" s="475">
        <f t="shared" si="165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63"/>
        <v>-69465349228.368607</v>
      </c>
      <c r="J3118" s="455">
        <f t="array" ref="J3118">IFERROR(INDEX('Retirement Calculator'!J:J,MATCH('Isaac 401k'!N3118,'Retirement Calculator'!A:A,0),0),0)</f>
        <v>0</v>
      </c>
      <c r="K3118" s="455">
        <f t="shared" ca="1" si="161"/>
        <v>-289438955.11820251</v>
      </c>
      <c r="L3118" s="455">
        <f t="shared" ca="1" si="162"/>
        <v>-69754788183.486816</v>
      </c>
      <c r="M3118" s="471">
        <f t="shared" si="164"/>
        <v>0.05</v>
      </c>
      <c r="N3118" s="475">
        <f t="shared" si="165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63"/>
        <v>-69754788183.486816</v>
      </c>
      <c r="J3119" s="455">
        <f t="array" ref="J3119">IFERROR(INDEX('Retirement Calculator'!J:J,MATCH('Isaac 401k'!N3119,'Retirement Calculator'!A:A,0),0),0)</f>
        <v>0</v>
      </c>
      <c r="K3119" s="455">
        <f t="shared" ca="1" si="161"/>
        <v>-290644950.76452839</v>
      </c>
      <c r="L3119" s="455">
        <f t="shared" ca="1" si="162"/>
        <v>-70045433134.251343</v>
      </c>
      <c r="M3119" s="471">
        <f t="shared" si="164"/>
        <v>0.05</v>
      </c>
      <c r="N3119" s="475">
        <f t="shared" si="165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63"/>
        <v>-70045433134.251343</v>
      </c>
      <c r="J3120" s="455">
        <f t="array" ref="J3120">IFERROR(INDEX('Retirement Calculator'!J:J,MATCH('Isaac 401k'!N3120,'Retirement Calculator'!A:A,0),0),0)</f>
        <v>0</v>
      </c>
      <c r="K3120" s="455">
        <f t="shared" ca="1" si="161"/>
        <v>-291855971.3927139</v>
      </c>
      <c r="L3120" s="455">
        <f t="shared" ca="1" si="162"/>
        <v>-70337289105.644058</v>
      </c>
      <c r="M3120" s="471">
        <f t="shared" si="164"/>
        <v>0.05</v>
      </c>
      <c r="N3120" s="475">
        <f t="shared" si="165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63"/>
        <v>-70337289105.644058</v>
      </c>
      <c r="J3121" s="455">
        <f t="array" ref="J3121">IFERROR(INDEX('Retirement Calculator'!J:J,MATCH('Isaac 401k'!N3121,'Retirement Calculator'!A:A,0),0),0)</f>
        <v>0</v>
      </c>
      <c r="K3121" s="455">
        <f t="shared" ca="1" si="161"/>
        <v>-293072037.94018358</v>
      </c>
      <c r="L3121" s="455">
        <f t="shared" ca="1" si="162"/>
        <v>-70630361143.584244</v>
      </c>
      <c r="M3121" s="471">
        <f t="shared" si="164"/>
        <v>0.05</v>
      </c>
      <c r="N3121" s="475">
        <f t="shared" si="165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63"/>
        <v>-70630361143.584244</v>
      </c>
      <c r="J3122" s="455">
        <f t="array" ref="J3122">IFERROR(INDEX('Retirement Calculator'!J:J,MATCH('Isaac 401k'!N3122,'Retirement Calculator'!A:A,0),0),0)</f>
        <v>0</v>
      </c>
      <c r="K3122" s="455">
        <f t="shared" ca="1" si="161"/>
        <v>-294293171.43160099</v>
      </c>
      <c r="L3122" s="455">
        <f t="shared" ca="1" si="162"/>
        <v>-70924654315.015839</v>
      </c>
      <c r="M3122" s="471">
        <f t="shared" si="164"/>
        <v>0.05</v>
      </c>
      <c r="N3122" s="475">
        <f t="shared" si="165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63"/>
        <v>-70924654315.015839</v>
      </c>
      <c r="J3123" s="455">
        <f t="array" ref="J3123">IFERROR(INDEX('Retirement Calculator'!J:J,MATCH('Isaac 401k'!N3123,'Retirement Calculator'!A:A,0),0),0)</f>
        <v>0</v>
      </c>
      <c r="K3123" s="455">
        <f t="shared" ca="1" si="161"/>
        <v>-295519392.97923267</v>
      </c>
      <c r="L3123" s="455">
        <f t="shared" ca="1" si="162"/>
        <v>-71220173707.995071</v>
      </c>
      <c r="M3123" s="471">
        <f t="shared" si="164"/>
        <v>0.05</v>
      </c>
      <c r="N3123" s="475">
        <f t="shared" si="165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63"/>
        <v>-71220173707.995071</v>
      </c>
      <c r="J3124" s="455">
        <f t="array" ref="J3124">IFERROR(INDEX('Retirement Calculator'!J:J,MATCH('Isaac 401k'!N3124,'Retirement Calculator'!A:A,0),0),0)</f>
        <v>0</v>
      </c>
      <c r="K3124" s="455">
        <f t="shared" ca="1" si="161"/>
        <v>-296750723.7833128</v>
      </c>
      <c r="L3124" s="455">
        <f t="shared" ca="1" si="162"/>
        <v>-71516924431.778381</v>
      </c>
      <c r="M3124" s="471">
        <f t="shared" si="164"/>
        <v>0.05</v>
      </c>
      <c r="N3124" s="475">
        <f t="shared" si="165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63"/>
        <v>-71516924431.778381</v>
      </c>
      <c r="J3125" s="455">
        <f t="array" ref="J3125">IFERROR(INDEX('Retirement Calculator'!J:J,MATCH('Isaac 401k'!N3125,'Retirement Calculator'!A:A,0),0),0)</f>
        <v>0</v>
      </c>
      <c r="K3125" s="455">
        <f t="shared" ca="1" si="161"/>
        <v>-297987185.13240993</v>
      </c>
      <c r="L3125" s="455">
        <f t="shared" ca="1" si="162"/>
        <v>-71814911616.910797</v>
      </c>
      <c r="M3125" s="471">
        <f t="shared" si="164"/>
        <v>0.05</v>
      </c>
      <c r="N3125" s="475">
        <f t="shared" si="165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63"/>
        <v>-71814911616.910797</v>
      </c>
      <c r="J3126" s="455">
        <f t="array" ref="J3126">IFERROR(INDEX('Retirement Calculator'!J:J,MATCH('Isaac 401k'!N3126,'Retirement Calculator'!A:A,0),0),0)</f>
        <v>0</v>
      </c>
      <c r="K3126" s="455">
        <f t="shared" ca="1" si="161"/>
        <v>-299228798.403795</v>
      </c>
      <c r="L3126" s="455">
        <f t="shared" ca="1" si="162"/>
        <v>-72114140415.31459</v>
      </c>
      <c r="M3126" s="471">
        <f t="shared" si="164"/>
        <v>0.05</v>
      </c>
      <c r="N3126" s="475">
        <f t="shared" si="165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63"/>
        <v>-72114140415.31459</v>
      </c>
      <c r="J3127" s="455">
        <f t="array" ref="J3127">IFERROR(INDEX('Retirement Calculator'!J:J,MATCH('Isaac 401k'!N3127,'Retirement Calculator'!A:A,0),0),0)</f>
        <v>0</v>
      </c>
      <c r="K3127" s="455">
        <f t="shared" ca="1" si="161"/>
        <v>-300475585.06381077</v>
      </c>
      <c r="L3127" s="455">
        <f t="shared" ca="1" si="162"/>
        <v>-72414616000.378403</v>
      </c>
      <c r="M3127" s="471">
        <f t="shared" si="164"/>
        <v>0.05</v>
      </c>
      <c r="N3127" s="475">
        <f t="shared" si="165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63"/>
        <v>-72414616000.378403</v>
      </c>
      <c r="J3128" s="455">
        <f t="array" ref="J3128">IFERROR(INDEX('Retirement Calculator'!J:J,MATCH('Isaac 401k'!N3128,'Retirement Calculator'!A:A,0),0),0)</f>
        <v>0</v>
      </c>
      <c r="K3128" s="455">
        <f t="shared" ca="1" si="161"/>
        <v>-301727566.66824335</v>
      </c>
      <c r="L3128" s="455">
        <f t="shared" ca="1" si="162"/>
        <v>-72716343567.046646</v>
      </c>
      <c r="M3128" s="471">
        <f t="shared" si="164"/>
        <v>0.05</v>
      </c>
      <c r="N3128" s="475">
        <f t="shared" si="165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63"/>
        <v>-72716343567.046646</v>
      </c>
      <c r="J3129" s="455">
        <f t="array" ref="J3129">IFERROR(INDEX('Retirement Calculator'!J:J,MATCH('Isaac 401k'!N3129,'Retirement Calculator'!A:A,0),0),0)</f>
        <v>0</v>
      </c>
      <c r="K3129" s="455">
        <f t="shared" ca="1" si="161"/>
        <v>-302984764.86269438</v>
      </c>
      <c r="L3129" s="455">
        <f t="shared" ca="1" si="162"/>
        <v>-73019328331.909348</v>
      </c>
      <c r="M3129" s="471">
        <f t="shared" si="164"/>
        <v>0.05</v>
      </c>
      <c r="N3129" s="475">
        <f t="shared" si="165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63"/>
        <v>-73019328331.909348</v>
      </c>
      <c r="J3130" s="455">
        <f t="array" ref="J3130">IFERROR(INDEX('Retirement Calculator'!J:J,MATCH('Isaac 401k'!N3130,'Retirement Calculator'!A:A,0),0),0)</f>
        <v>0</v>
      </c>
      <c r="K3130" s="455">
        <f t="shared" ca="1" si="161"/>
        <v>-304247201.38295561</v>
      </c>
      <c r="L3130" s="455">
        <f t="shared" ca="1" si="162"/>
        <v>-73323575533.292297</v>
      </c>
      <c r="M3130" s="471">
        <f t="shared" si="164"/>
        <v>0.05</v>
      </c>
      <c r="N3130" s="475">
        <f t="shared" si="165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63"/>
        <v>-73323575533.292297</v>
      </c>
      <c r="J3131" s="455">
        <f t="array" ref="J3131">IFERROR(INDEX('Retirement Calculator'!J:J,MATCH('Isaac 401k'!N3131,'Retirement Calculator'!A:A,0),0),0)</f>
        <v>0</v>
      </c>
      <c r="K3131" s="455">
        <f t="shared" ca="1" si="161"/>
        <v>-305514898.05538458</v>
      </c>
      <c r="L3131" s="455">
        <f t="shared" ca="1" si="162"/>
        <v>-73629090431.347687</v>
      </c>
      <c r="M3131" s="471">
        <f t="shared" si="164"/>
        <v>0.05</v>
      </c>
      <c r="N3131" s="475">
        <f t="shared" si="165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63"/>
        <v>-73629090431.347687</v>
      </c>
      <c r="J3132" s="455">
        <f t="array" ref="J3132">IFERROR(INDEX('Retirement Calculator'!J:J,MATCH('Isaac 401k'!N3132,'Retirement Calculator'!A:A,0),0),0)</f>
        <v>0</v>
      </c>
      <c r="K3132" s="455">
        <f t="shared" ca="1" si="161"/>
        <v>-306787876.79728204</v>
      </c>
      <c r="L3132" s="455">
        <f t="shared" ca="1" si="162"/>
        <v>-73935878308.144974</v>
      </c>
      <c r="M3132" s="471">
        <f t="shared" si="164"/>
        <v>0.05</v>
      </c>
      <c r="N3132" s="475">
        <f t="shared" si="165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63"/>
        <v>-73935878308.144974</v>
      </c>
      <c r="J3133" s="455">
        <f t="array" ref="J3133">IFERROR(INDEX('Retirement Calculator'!J:J,MATCH('Isaac 401k'!N3133,'Retirement Calculator'!A:A,0),0),0)</f>
        <v>0</v>
      </c>
      <c r="K3133" s="455">
        <f t="shared" ca="1" si="161"/>
        <v>-308066159.61727071</v>
      </c>
      <c r="L3133" s="455">
        <f t="shared" ca="1" si="162"/>
        <v>-74243944467.762238</v>
      </c>
      <c r="M3133" s="471">
        <f t="shared" si="164"/>
        <v>0.05</v>
      </c>
      <c r="N3133" s="475">
        <f t="shared" si="165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63"/>
        <v>-74243944467.762238</v>
      </c>
      <c r="J3134" s="455">
        <f t="array" ref="J3134">IFERROR(INDEX('Retirement Calculator'!J:J,MATCH('Isaac 401k'!N3134,'Retirement Calculator'!A:A,0),0),0)</f>
        <v>0</v>
      </c>
      <c r="K3134" s="455">
        <f t="shared" ca="1" si="161"/>
        <v>-309349768.61567599</v>
      </c>
      <c r="L3134" s="455">
        <f t="shared" ca="1" si="162"/>
        <v>-74553294236.377914</v>
      </c>
      <c r="M3134" s="471">
        <f t="shared" si="164"/>
        <v>0.05</v>
      </c>
      <c r="N3134" s="475">
        <f t="shared" si="165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63"/>
        <v>-74553294236.377914</v>
      </c>
      <c r="J3135" s="455">
        <f t="array" ref="J3135">IFERROR(INDEX('Retirement Calculator'!J:J,MATCH('Isaac 401k'!N3135,'Retirement Calculator'!A:A,0),0),0)</f>
        <v>0</v>
      </c>
      <c r="K3135" s="455">
        <f t="shared" ca="1" si="161"/>
        <v>-310638725.98490798</v>
      </c>
      <c r="L3135" s="455">
        <f t="shared" ca="1" si="162"/>
        <v>-74863932962.362823</v>
      </c>
      <c r="M3135" s="471">
        <f t="shared" si="164"/>
        <v>0.05</v>
      </c>
      <c r="N3135" s="475">
        <f t="shared" si="165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63"/>
        <v>-74863932962.362823</v>
      </c>
      <c r="J3136" s="455">
        <f t="array" ref="J3136">IFERROR(INDEX('Retirement Calculator'!J:J,MATCH('Isaac 401k'!N3136,'Retirement Calculator'!A:A,0),0),0)</f>
        <v>0</v>
      </c>
      <c r="K3136" s="455">
        <f t="shared" ca="1" si="161"/>
        <v>-311933054.00984508</v>
      </c>
      <c r="L3136" s="455">
        <f t="shared" ca="1" si="162"/>
        <v>-75175866016.372665</v>
      </c>
      <c r="M3136" s="471">
        <f t="shared" si="164"/>
        <v>0.05</v>
      </c>
      <c r="N3136" s="475">
        <f t="shared" si="165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63"/>
        <v>-75175866016.372665</v>
      </c>
      <c r="J3137" s="455">
        <f t="array" ref="J3137">IFERROR(INDEX('Retirement Calculator'!J:J,MATCH('Isaac 401k'!N3137,'Retirement Calculator'!A:A,0),0),0)</f>
        <v>0</v>
      </c>
      <c r="K3137" s="455">
        <f t="shared" ca="1" si="161"/>
        <v>-313232775.06821942</v>
      </c>
      <c r="L3137" s="455">
        <f t="shared" ca="1" si="162"/>
        <v>-75489098791.440887</v>
      </c>
      <c r="M3137" s="471">
        <f t="shared" si="164"/>
        <v>0.05</v>
      </c>
      <c r="N3137" s="475">
        <f t="shared" si="165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63"/>
        <v>-75489098791.440887</v>
      </c>
      <c r="J3138" s="455">
        <f t="array" ref="J3138">IFERROR(INDEX('Retirement Calculator'!J:J,MATCH('Isaac 401k'!N3138,'Retirement Calculator'!A:A,0),0),0)</f>
        <v>0</v>
      </c>
      <c r="K3138" s="455">
        <f t="shared" ca="1" si="161"/>
        <v>-314537911.63100368</v>
      </c>
      <c r="L3138" s="455">
        <f t="shared" ca="1" si="162"/>
        <v>-75803636703.071884</v>
      </c>
      <c r="M3138" s="471">
        <f t="shared" si="164"/>
        <v>0.05</v>
      </c>
      <c r="N3138" s="475">
        <f t="shared" si="165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63"/>
        <v>-75803636703.071884</v>
      </c>
      <c r="J3139" s="455">
        <f t="array" ref="J3139">IFERROR(INDEX('Retirement Calculator'!J:J,MATCH('Isaac 401k'!N3139,'Retirement Calculator'!A:A,0),0),0)</f>
        <v>0</v>
      </c>
      <c r="K3139" s="455">
        <f t="shared" ca="1" si="161"/>
        <v>-315848486.2627995</v>
      </c>
      <c r="L3139" s="455">
        <f t="shared" ca="1" si="162"/>
        <v>-76119485189.334686</v>
      </c>
      <c r="M3139" s="471">
        <f t="shared" si="164"/>
        <v>0.05</v>
      </c>
      <c r="N3139" s="475">
        <f t="shared" si="165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63"/>
        <v>-76119485189.334686</v>
      </c>
      <c r="J3140" s="455">
        <f t="array" ref="J3140">IFERROR(INDEX('Retirement Calculator'!J:J,MATCH('Isaac 401k'!N3140,'Retirement Calculator'!A:A,0),0),0)</f>
        <v>0</v>
      </c>
      <c r="K3140" s="455">
        <f t="shared" ca="1" si="161"/>
        <v>-317164521.62222785</v>
      </c>
      <c r="L3140" s="455">
        <f t="shared" ca="1" si="162"/>
        <v>-76436649710.956909</v>
      </c>
      <c r="M3140" s="471">
        <f t="shared" si="164"/>
        <v>0.05</v>
      </c>
      <c r="N3140" s="475">
        <f t="shared" si="165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63"/>
        <v>-76436649710.956909</v>
      </c>
      <c r="J3141" s="455">
        <f t="array" ref="J3141">IFERROR(INDEX('Retirement Calculator'!J:J,MATCH('Isaac 401k'!N3141,'Retirement Calculator'!A:A,0),0),0)</f>
        <v>0</v>
      </c>
      <c r="K3141" s="455">
        <f t="shared" ca="1" si="161"/>
        <v>-318486040.46232045</v>
      </c>
      <c r="L3141" s="455">
        <f t="shared" ca="1" si="162"/>
        <v>-76755135751.419235</v>
      </c>
      <c r="M3141" s="471">
        <f t="shared" si="164"/>
        <v>0.05</v>
      </c>
      <c r="N3141" s="475">
        <f t="shared" si="165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63"/>
        <v>-76755135751.419235</v>
      </c>
      <c r="J3142" s="455">
        <f t="array" ref="J3142">IFERROR(INDEX('Retirement Calculator'!J:J,MATCH('Isaac 401k'!N3142,'Retirement Calculator'!A:A,0),0),0)</f>
        <v>0</v>
      </c>
      <c r="K3142" s="455">
        <f t="shared" ca="1" si="161"/>
        <v>-319813065.6309135</v>
      </c>
      <c r="L3142" s="455">
        <f t="shared" ca="1" si="162"/>
        <v>-77074948817.050156</v>
      </c>
      <c r="M3142" s="471">
        <f t="shared" si="164"/>
        <v>0.05</v>
      </c>
      <c r="N3142" s="475">
        <f t="shared" si="165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63"/>
        <v>-77074948817.050156</v>
      </c>
      <c r="J3143" s="455">
        <f t="array" ref="J3143">IFERROR(INDEX('Retirement Calculator'!J:J,MATCH('Isaac 401k'!N3143,'Retirement Calculator'!A:A,0),0),0)</f>
        <v>0</v>
      </c>
      <c r="K3143" s="455">
        <f t="shared" ca="1" si="161"/>
        <v>-321145620.0710423</v>
      </c>
      <c r="L3143" s="455">
        <f t="shared" ca="1" si="162"/>
        <v>-77396094437.121201</v>
      </c>
      <c r="M3143" s="471">
        <f t="shared" si="164"/>
        <v>0.05</v>
      </c>
      <c r="N3143" s="475">
        <f t="shared" si="165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63"/>
        <v>-77396094437.121201</v>
      </c>
      <c r="J3144" s="455">
        <f t="array" ref="J3144">IFERROR(INDEX('Retirement Calculator'!J:J,MATCH('Isaac 401k'!N3144,'Retirement Calculator'!A:A,0),0),0)</f>
        <v>0</v>
      </c>
      <c r="K3144" s="455">
        <f t="shared" ca="1" si="161"/>
        <v>-322483726.82133836</v>
      </c>
      <c r="L3144" s="455">
        <f t="shared" ca="1" si="162"/>
        <v>-77718578163.942535</v>
      </c>
      <c r="M3144" s="471">
        <f t="shared" si="164"/>
        <v>0.05</v>
      </c>
      <c r="N3144" s="475">
        <f t="shared" si="165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63"/>
        <v>-77718578163.942535</v>
      </c>
      <c r="J3145" s="455">
        <f t="array" ref="J3145">IFERROR(INDEX('Retirement Calculator'!J:J,MATCH('Isaac 401k'!N3145,'Retirement Calculator'!A:A,0),0),0)</f>
        <v>0</v>
      </c>
      <c r="K3145" s="455">
        <f t="shared" ca="1" si="161"/>
        <v>-323827409.01642722</v>
      </c>
      <c r="L3145" s="455">
        <f t="shared" ca="1" si="162"/>
        <v>-78042405572.958969</v>
      </c>
      <c r="M3145" s="471">
        <f t="shared" si="164"/>
        <v>0.05</v>
      </c>
      <c r="N3145" s="475">
        <f t="shared" si="165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63"/>
        <v>-78042405572.958969</v>
      </c>
      <c r="J3146" s="455">
        <f t="array" ref="J3146">IFERROR(INDEX('Retirement Calculator'!J:J,MATCH('Isaac 401k'!N3146,'Retirement Calculator'!A:A,0),0),0)</f>
        <v>0</v>
      </c>
      <c r="K3146" s="455">
        <f t="shared" ca="1" si="161"/>
        <v>-325176689.88732904</v>
      </c>
      <c r="L3146" s="455">
        <f t="shared" ca="1" si="162"/>
        <v>-78367582262.846298</v>
      </c>
      <c r="M3146" s="471">
        <f t="shared" si="164"/>
        <v>0.05</v>
      </c>
      <c r="N3146" s="475">
        <f t="shared" si="165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63"/>
        <v>-78367582262.846298</v>
      </c>
      <c r="J3147" s="455">
        <f t="array" ref="J3147">IFERROR(INDEX('Retirement Calculator'!J:J,MATCH('Isaac 401k'!N3147,'Retirement Calculator'!A:A,0),0),0)</f>
        <v>0</v>
      </c>
      <c r="K3147" s="455">
        <f t="shared" ca="1" si="161"/>
        <v>-326531592.7618596</v>
      </c>
      <c r="L3147" s="455">
        <f t="shared" ca="1" si="162"/>
        <v>-78694113855.608154</v>
      </c>
      <c r="M3147" s="471">
        <f t="shared" si="164"/>
        <v>0.05</v>
      </c>
      <c r="N3147" s="475">
        <f t="shared" si="165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63"/>
        <v>-78694113855.608154</v>
      </c>
      <c r="J3148" s="455">
        <f t="array" ref="J3148">IFERROR(INDEX('Retirement Calculator'!J:J,MATCH('Isaac 401k'!N3148,'Retirement Calculator'!A:A,0),0),0)</f>
        <v>0</v>
      </c>
      <c r="K3148" s="455">
        <f t="shared" ca="1" si="161"/>
        <v>-327892141.06503397</v>
      </c>
      <c r="L3148" s="455">
        <f t="shared" ca="1" si="162"/>
        <v>-79022005996.673187</v>
      </c>
      <c r="M3148" s="471">
        <f t="shared" si="164"/>
        <v>0.05</v>
      </c>
      <c r="N3148" s="475">
        <f t="shared" si="165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63"/>
        <v>-79022005996.673187</v>
      </c>
      <c r="J3149" s="455">
        <f t="array" ref="J3149">IFERROR(INDEX('Retirement Calculator'!J:J,MATCH('Isaac 401k'!N3149,'Retirement Calculator'!A:A,0),0),0)</f>
        <v>0</v>
      </c>
      <c r="K3149" s="455">
        <f t="shared" ca="1" si="161"/>
        <v>-329258358.3194716</v>
      </c>
      <c r="L3149" s="455">
        <f t="shared" ca="1" si="162"/>
        <v>-79351264354.992661</v>
      </c>
      <c r="M3149" s="471">
        <f t="shared" si="164"/>
        <v>0.05</v>
      </c>
      <c r="N3149" s="475">
        <f t="shared" si="165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63"/>
        <v>-79351264354.992661</v>
      </c>
      <c r="J3150" s="455">
        <f t="array" ref="J3150">IFERROR(INDEX('Retirement Calculator'!J:J,MATCH('Isaac 401k'!N3150,'Retirement Calculator'!A:A,0),0),0)</f>
        <v>0</v>
      </c>
      <c r="K3150" s="455">
        <f t="shared" ca="1" si="161"/>
        <v>-330630268.14580274</v>
      </c>
      <c r="L3150" s="455">
        <f t="shared" ca="1" si="162"/>
        <v>-79681894623.138458</v>
      </c>
      <c r="M3150" s="471">
        <f t="shared" si="164"/>
        <v>0.05</v>
      </c>
      <c r="N3150" s="475">
        <f t="shared" si="165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63"/>
        <v>-79681894623.138458</v>
      </c>
      <c r="J3151" s="455">
        <f t="array" ref="J3151">IFERROR(INDEX('Retirement Calculator'!J:J,MATCH('Isaac 401k'!N3151,'Retirement Calculator'!A:A,0),0),0)</f>
        <v>0</v>
      </c>
      <c r="K3151" s="455">
        <f t="shared" ca="1" si="161"/>
        <v>-332007894.2630769</v>
      </c>
      <c r="L3151" s="455">
        <f t="shared" ca="1" si="162"/>
        <v>-80013902517.401535</v>
      </c>
      <c r="M3151" s="471">
        <f t="shared" si="164"/>
        <v>0.05</v>
      </c>
      <c r="N3151" s="475">
        <f t="shared" si="165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63"/>
        <v>-80013902517.401535</v>
      </c>
      <c r="J3152" s="455">
        <f t="array" ref="J3152">IFERROR(INDEX('Retirement Calculator'!J:J,MATCH('Isaac 401k'!N3152,'Retirement Calculator'!A:A,0),0),0)</f>
        <v>0</v>
      </c>
      <c r="K3152" s="455">
        <f t="shared" ca="1" si="161"/>
        <v>-333391260.48917305</v>
      </c>
      <c r="L3152" s="455">
        <f t="shared" ca="1" si="162"/>
        <v>-80347293777.890701</v>
      </c>
      <c r="M3152" s="471">
        <f t="shared" si="164"/>
        <v>0.05</v>
      </c>
      <c r="N3152" s="475">
        <f t="shared" si="165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63"/>
        <v>-80347293777.890701</v>
      </c>
      <c r="J3153" s="455">
        <f t="array" ref="J3153">IFERROR(INDEX('Retirement Calculator'!J:J,MATCH('Isaac 401k'!N3153,'Retirement Calculator'!A:A,0),0),0)</f>
        <v>0</v>
      </c>
      <c r="K3153" s="455">
        <f t="shared" ca="1" si="161"/>
        <v>-334780390.74121124</v>
      </c>
      <c r="L3153" s="455">
        <f t="shared" ca="1" si="162"/>
        <v>-80682074168.631912</v>
      </c>
      <c r="M3153" s="471">
        <f t="shared" si="164"/>
        <v>0.05</v>
      </c>
      <c r="N3153" s="475">
        <f t="shared" si="165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63"/>
        <v>-80682074168.631912</v>
      </c>
      <c r="J3154" s="455">
        <f t="array" ref="J3154">IFERROR(INDEX('Retirement Calculator'!J:J,MATCH('Isaac 401k'!N3154,'Retirement Calculator'!A:A,0),0),0)</f>
        <v>0</v>
      </c>
      <c r="K3154" s="455">
        <f t="shared" ca="1" si="161"/>
        <v>-336175309.03596628</v>
      </c>
      <c r="L3154" s="455">
        <f t="shared" ca="1" si="162"/>
        <v>-81018249477.667877</v>
      </c>
      <c r="M3154" s="471">
        <f t="shared" si="164"/>
        <v>0.05</v>
      </c>
      <c r="N3154" s="475">
        <f t="shared" si="165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63"/>
        <v>-81018249477.667877</v>
      </c>
      <c r="J3155" s="455">
        <f t="array" ref="J3155">IFERROR(INDEX('Retirement Calculator'!J:J,MATCH('Isaac 401k'!N3155,'Retirement Calculator'!A:A,0),0),0)</f>
        <v>0</v>
      </c>
      <c r="K3155" s="455">
        <f t="shared" ca="1" si="161"/>
        <v>-337576039.49028283</v>
      </c>
      <c r="L3155" s="455">
        <f t="shared" ca="1" si="162"/>
        <v>-81355825517.158157</v>
      </c>
      <c r="M3155" s="471">
        <f t="shared" si="164"/>
        <v>0.05</v>
      </c>
      <c r="N3155" s="475">
        <f t="shared" si="165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63"/>
        <v>-81355825517.158157</v>
      </c>
      <c r="J3156" s="455">
        <f t="array" ref="J3156">IFERROR(INDEX('Retirement Calculator'!J:J,MATCH('Isaac 401k'!N3156,'Retirement Calculator'!A:A,0),0),0)</f>
        <v>0</v>
      </c>
      <c r="K3156" s="455">
        <f t="shared" ca="1" si="161"/>
        <v>-338982606.32149231</v>
      </c>
      <c r="L3156" s="455">
        <f t="shared" ca="1" si="162"/>
        <v>-81694808123.479645</v>
      </c>
      <c r="M3156" s="471">
        <f t="shared" si="164"/>
        <v>0.05</v>
      </c>
      <c r="N3156" s="475">
        <f t="shared" si="165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63"/>
        <v>-81694808123.479645</v>
      </c>
      <c r="J3157" s="455">
        <f t="array" ref="J3157">IFERROR(INDEX('Retirement Calculator'!J:J,MATCH('Isaac 401k'!N3157,'Retirement Calculator'!A:A,0),0),0)</f>
        <v>0</v>
      </c>
      <c r="K3157" s="455">
        <f t="shared" ca="1" si="161"/>
        <v>-340395033.84783185</v>
      </c>
      <c r="L3157" s="455">
        <f t="shared" ca="1" si="162"/>
        <v>-82035203157.327484</v>
      </c>
      <c r="M3157" s="471">
        <f t="shared" si="164"/>
        <v>0.05</v>
      </c>
      <c r="N3157" s="475">
        <f t="shared" si="165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63"/>
        <v>-82035203157.327484</v>
      </c>
      <c r="J3158" s="455">
        <f t="array" ref="J3158">IFERROR(INDEX('Retirement Calculator'!J:J,MATCH('Isaac 401k'!N3158,'Retirement Calculator'!A:A,0),0),0)</f>
        <v>0</v>
      </c>
      <c r="K3158" s="455">
        <f t="shared" ca="1" si="161"/>
        <v>-341813346.48886454</v>
      </c>
      <c r="L3158" s="455">
        <f t="shared" ca="1" si="162"/>
        <v>-82377016503.816345</v>
      </c>
      <c r="M3158" s="471">
        <f t="shared" si="164"/>
        <v>0.05</v>
      </c>
      <c r="N3158" s="475">
        <f t="shared" si="165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63"/>
        <v>-82377016503.816345</v>
      </c>
      <c r="J3159" s="455">
        <f t="array" ref="J3159">IFERROR(INDEX('Retirement Calculator'!J:J,MATCH('Isaac 401k'!N3159,'Retirement Calculator'!A:A,0),0),0)</f>
        <v>0</v>
      </c>
      <c r="K3159" s="455">
        <f t="shared" ca="1" si="161"/>
        <v>-343237568.76590145</v>
      </c>
      <c r="L3159" s="455">
        <f t="shared" ca="1" si="162"/>
        <v>-82720254072.582245</v>
      </c>
      <c r="M3159" s="471">
        <f t="shared" si="164"/>
        <v>0.05</v>
      </c>
      <c r="N3159" s="475">
        <f t="shared" si="165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63"/>
        <v>-82720254072.582245</v>
      </c>
      <c r="J3160" s="455">
        <f t="array" ref="J3160">IFERROR(INDEX('Retirement Calculator'!J:J,MATCH('Isaac 401k'!N3160,'Retirement Calculator'!A:A,0),0),0)</f>
        <v>0</v>
      </c>
      <c r="K3160" s="455">
        <f t="shared" ca="1" si="161"/>
        <v>-344667725.30242604</v>
      </c>
      <c r="L3160" s="455">
        <f t="shared" ca="1" si="162"/>
        <v>-83064921797.884674</v>
      </c>
      <c r="M3160" s="471">
        <f t="shared" si="164"/>
        <v>0.05</v>
      </c>
      <c r="N3160" s="475">
        <f t="shared" si="165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63"/>
        <v>-83064921797.884674</v>
      </c>
      <c r="J3161" s="455">
        <f t="array" ref="J3161">IFERROR(INDEX('Retirement Calculator'!J:J,MATCH('Isaac 401k'!N3161,'Retirement Calculator'!A:A,0),0),0)</f>
        <v>0</v>
      </c>
      <c r="K3161" s="455">
        <f t="shared" ca="1" si="161"/>
        <v>-346103840.82451946</v>
      </c>
      <c r="L3161" s="455">
        <f t="shared" ca="1" si="162"/>
        <v>-83411025638.709198</v>
      </c>
      <c r="M3161" s="471">
        <f t="shared" si="164"/>
        <v>0.05</v>
      </c>
      <c r="N3161" s="475">
        <f t="shared" si="165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63"/>
        <v>-83411025638.709198</v>
      </c>
      <c r="J3162" s="455">
        <f t="array" ref="J3162">IFERROR(INDEX('Retirement Calculator'!J:J,MATCH('Isaac 401k'!N3162,'Retirement Calculator'!A:A,0),0),0)</f>
        <v>0</v>
      </c>
      <c r="K3162" s="455">
        <f t="shared" ca="1" si="161"/>
        <v>-347545940.16128832</v>
      </c>
      <c r="L3162" s="455">
        <f t="shared" ca="1" si="162"/>
        <v>-83758571578.870483</v>
      </c>
      <c r="M3162" s="471">
        <f t="shared" si="164"/>
        <v>0.05</v>
      </c>
      <c r="N3162" s="475">
        <f t="shared" si="165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63"/>
        <v>-83758571578.870483</v>
      </c>
      <c r="J3163" s="455">
        <f t="array" ref="J3163">IFERROR(INDEX('Retirement Calculator'!J:J,MATCH('Isaac 401k'!N3163,'Retirement Calculator'!A:A,0),0),0)</f>
        <v>0</v>
      </c>
      <c r="K3163" s="455">
        <f t="shared" ca="1" si="161"/>
        <v>-348994048.24529368</v>
      </c>
      <c r="L3163" s="455">
        <f t="shared" ca="1" si="162"/>
        <v>-84107565627.115784</v>
      </c>
      <c r="M3163" s="471">
        <f t="shared" si="164"/>
        <v>0.05</v>
      </c>
      <c r="N3163" s="475">
        <f t="shared" si="165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63"/>
        <v>-84107565627.115784</v>
      </c>
      <c r="J3164" s="455">
        <f t="array" ref="J3164">IFERROR(INDEX('Retirement Calculator'!J:J,MATCH('Isaac 401k'!N3164,'Retirement Calculator'!A:A,0),0),0)</f>
        <v>0</v>
      </c>
      <c r="K3164" s="455">
        <f t="shared" ca="1" si="161"/>
        <v>-350448190.11298245</v>
      </c>
      <c r="L3164" s="455">
        <f t="shared" ca="1" si="162"/>
        <v>-84458013817.22876</v>
      </c>
      <c r="M3164" s="471">
        <f t="shared" si="164"/>
        <v>0.05</v>
      </c>
      <c r="N3164" s="475">
        <f t="shared" si="165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63"/>
        <v>-84458013817.22876</v>
      </c>
      <c r="J3165" s="455">
        <f t="array" ref="J3165">IFERROR(INDEX('Retirement Calculator'!J:J,MATCH('Isaac 401k'!N3165,'Retirement Calculator'!A:A,0),0),0)</f>
        <v>0</v>
      </c>
      <c r="K3165" s="455">
        <f t="shared" ca="1" si="161"/>
        <v>-351908390.90511984</v>
      </c>
      <c r="L3165" s="455">
        <f t="shared" ca="1" si="162"/>
        <v>-84809922208.133881</v>
      </c>
      <c r="M3165" s="471">
        <f t="shared" si="164"/>
        <v>0.05</v>
      </c>
      <c r="N3165" s="475">
        <f t="shared" si="165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63"/>
        <v>-84809922208.133881</v>
      </c>
      <c r="J3166" s="455">
        <f t="array" ref="J3166">IFERROR(INDEX('Retirement Calculator'!J:J,MATCH('Isaac 401k'!N3166,'Retirement Calculator'!A:A,0),0),0)</f>
        <v>0</v>
      </c>
      <c r="K3166" s="455">
        <f t="shared" ca="1" si="161"/>
        <v>-353374675.86722451</v>
      </c>
      <c r="L3166" s="455">
        <f t="shared" ca="1" si="162"/>
        <v>-85163296884.001099</v>
      </c>
      <c r="M3166" s="471">
        <f t="shared" si="164"/>
        <v>0.05</v>
      </c>
      <c r="N3166" s="475">
        <f t="shared" si="165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63"/>
        <v>-85163296884.001099</v>
      </c>
      <c r="J3167" s="455">
        <f t="array" ref="J3167">IFERROR(INDEX('Retirement Calculator'!J:J,MATCH('Isaac 401k'!N3167,'Retirement Calculator'!A:A,0),0),0)</f>
        <v>0</v>
      </c>
      <c r="K3167" s="455">
        <f t="shared" ca="1" si="161"/>
        <v>-354847070.35000455</v>
      </c>
      <c r="L3167" s="455">
        <f t="shared" ca="1" si="162"/>
        <v>-85518143954.351105</v>
      </c>
      <c r="M3167" s="471">
        <f t="shared" si="164"/>
        <v>0.05</v>
      </c>
      <c r="N3167" s="475">
        <f t="shared" si="165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63"/>
        <v>-85518143954.351105</v>
      </c>
      <c r="J3168" s="455">
        <f t="array" ref="J3168">IFERROR(INDEX('Retirement Calculator'!J:J,MATCH('Isaac 401k'!N3168,'Retirement Calculator'!A:A,0),0),0)</f>
        <v>0</v>
      </c>
      <c r="K3168" s="455">
        <f t="shared" ca="1" si="161"/>
        <v>-356325599.80979627</v>
      </c>
      <c r="L3168" s="455">
        <f t="shared" ca="1" si="162"/>
        <v>-85874469554.160904</v>
      </c>
      <c r="M3168" s="471">
        <f t="shared" si="164"/>
        <v>0.05</v>
      </c>
      <c r="N3168" s="475">
        <f t="shared" si="165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63"/>
        <v>-85874469554.160904</v>
      </c>
      <c r="J3169" s="455">
        <f t="array" ref="J3169">IFERROR(INDEX('Retirement Calculator'!J:J,MATCH('Isaac 401k'!N3169,'Retirement Calculator'!A:A,0),0),0)</f>
        <v>0</v>
      </c>
      <c r="K3169" s="455">
        <f t="shared" ca="1" si="161"/>
        <v>-357810289.80900377</v>
      </c>
      <c r="L3169" s="455">
        <f t="shared" ca="1" si="162"/>
        <v>-86232279843.96991</v>
      </c>
      <c r="M3169" s="471">
        <f t="shared" si="164"/>
        <v>0.05</v>
      </c>
      <c r="N3169" s="475">
        <f t="shared" si="165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63"/>
        <v>-86232279843.96991</v>
      </c>
      <c r="J3170" s="455">
        <f t="array" ref="J3170">IFERROR(INDEX('Retirement Calculator'!J:J,MATCH('Isaac 401k'!N3170,'Retirement Calculator'!A:A,0),0),0)</f>
        <v>0</v>
      </c>
      <c r="K3170" s="455">
        <f t="shared" ca="1" si="161"/>
        <v>-359301166.0165413</v>
      </c>
      <c r="L3170" s="455">
        <f t="shared" ca="1" si="162"/>
        <v>-86591581009.98645</v>
      </c>
      <c r="M3170" s="471">
        <f t="shared" si="164"/>
        <v>0.05</v>
      </c>
      <c r="N3170" s="475">
        <f t="shared" si="165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63"/>
        <v>-86591581009.98645</v>
      </c>
      <c r="J3171" s="455">
        <f t="array" ref="J3171">IFERROR(INDEX('Retirement Calculator'!J:J,MATCH('Isaac 401k'!N3171,'Retirement Calculator'!A:A,0),0),0)</f>
        <v>0</v>
      </c>
      <c r="K3171" s="455">
        <f t="shared" ca="1" si="161"/>
        <v>-360798254.20827687</v>
      </c>
      <c r="L3171" s="455">
        <f t="shared" ca="1" si="162"/>
        <v>-86952379264.194733</v>
      </c>
      <c r="M3171" s="471">
        <f t="shared" si="164"/>
        <v>0.05</v>
      </c>
      <c r="N3171" s="475">
        <f t="shared" si="165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63"/>
        <v>-86952379264.194733</v>
      </c>
      <c r="J3172" s="455">
        <f t="array" ref="J3172">IFERROR(INDEX('Retirement Calculator'!J:J,MATCH('Isaac 401k'!N3172,'Retirement Calculator'!A:A,0),0),0)</f>
        <v>0</v>
      </c>
      <c r="K3172" s="455">
        <f t="shared" ca="1" si="161"/>
        <v>-362301580.26747805</v>
      </c>
      <c r="L3172" s="455">
        <f t="shared" ca="1" si="162"/>
        <v>-87314680844.462204</v>
      </c>
      <c r="M3172" s="471">
        <f t="shared" si="164"/>
        <v>0.05</v>
      </c>
      <c r="N3172" s="475">
        <f t="shared" si="165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63"/>
        <v>-87314680844.462204</v>
      </c>
      <c r="J3173" s="455">
        <f t="array" ref="J3173">IFERROR(INDEX('Retirement Calculator'!J:J,MATCH('Isaac 401k'!N3173,'Retirement Calculator'!A:A,0),0),0)</f>
        <v>0</v>
      </c>
      <c r="K3173" s="455">
        <f t="shared" ca="1" si="161"/>
        <v>-363811170.18525916</v>
      </c>
      <c r="L3173" s="455">
        <f t="shared" ca="1" si="162"/>
        <v>-87678492014.647461</v>
      </c>
      <c r="M3173" s="471">
        <f t="shared" si="164"/>
        <v>0.05</v>
      </c>
      <c r="N3173" s="475">
        <f t="shared" si="165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63"/>
        <v>-87678492014.647461</v>
      </c>
      <c r="J3174" s="455">
        <f t="array" ref="J3174">IFERROR(INDEX('Retirement Calculator'!J:J,MATCH('Isaac 401k'!N3174,'Retirement Calculator'!A:A,0),0),0)</f>
        <v>0</v>
      </c>
      <c r="K3174" s="455">
        <f t="shared" ca="1" si="161"/>
        <v>-365327050.0610311</v>
      </c>
      <c r="L3174" s="455">
        <f t="shared" ca="1" si="162"/>
        <v>-88043819064.708496</v>
      </c>
      <c r="M3174" s="471">
        <f t="shared" si="164"/>
        <v>0.05</v>
      </c>
      <c r="N3174" s="475">
        <f t="shared" si="165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63"/>
        <v>-88043819064.708496</v>
      </c>
      <c r="J3175" s="455">
        <f t="array" ref="J3175">IFERROR(INDEX('Retirement Calculator'!J:J,MATCH('Isaac 401k'!N3175,'Retirement Calculator'!A:A,0),0),0)</f>
        <v>0</v>
      </c>
      <c r="K3175" s="455">
        <f t="shared" ca="1" si="161"/>
        <v>-366849246.10295206</v>
      </c>
      <c r="L3175" s="455">
        <f t="shared" ca="1" si="162"/>
        <v>-88410668310.811447</v>
      </c>
      <c r="M3175" s="471">
        <f t="shared" si="164"/>
        <v>0.05</v>
      </c>
      <c r="N3175" s="475">
        <f t="shared" si="165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63"/>
        <v>-88410668310.811447</v>
      </c>
      <c r="J3176" s="455">
        <f t="array" ref="J3176">IFERROR(INDEX('Retirement Calculator'!J:J,MATCH('Isaac 401k'!N3176,'Retirement Calculator'!A:A,0),0),0)</f>
        <v>0</v>
      </c>
      <c r="K3176" s="455">
        <f t="shared" ca="1" si="161"/>
        <v>-368377784.62838101</v>
      </c>
      <c r="L3176" s="455">
        <f t="shared" ca="1" si="162"/>
        <v>-88779046095.439835</v>
      </c>
      <c r="M3176" s="471">
        <f t="shared" si="164"/>
        <v>0.05</v>
      </c>
      <c r="N3176" s="475">
        <f t="shared" si="165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63"/>
        <v>-88779046095.439835</v>
      </c>
      <c r="J3177" s="455">
        <f t="array" ref="J3177">IFERROR(INDEX('Retirement Calculator'!J:J,MATCH('Isaac 401k'!N3177,'Retirement Calculator'!A:A,0),0),0)</f>
        <v>0</v>
      </c>
      <c r="K3177" s="455">
        <f t="shared" ca="1" si="161"/>
        <v>-369912692.06433266</v>
      </c>
      <c r="L3177" s="455">
        <f t="shared" ca="1" si="162"/>
        <v>-89148958787.504166</v>
      </c>
      <c r="M3177" s="471">
        <f t="shared" si="164"/>
        <v>0.05</v>
      </c>
      <c r="N3177" s="475">
        <f t="shared" si="165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63"/>
        <v>-89148958787.504166</v>
      </c>
      <c r="J3178" s="455">
        <f t="array" ref="J3178">IFERROR(INDEX('Retirement Calculator'!J:J,MATCH('Isaac 401k'!N3178,'Retirement Calculator'!A:A,0),0),0)</f>
        <v>0</v>
      </c>
      <c r="K3178" s="455">
        <f t="shared" ca="1" si="161"/>
        <v>-371453994.94793403</v>
      </c>
      <c r="L3178" s="455">
        <f t="shared" ca="1" si="162"/>
        <v>-89520412782.452103</v>
      </c>
      <c r="M3178" s="471">
        <f t="shared" si="164"/>
        <v>0.05</v>
      </c>
      <c r="N3178" s="475">
        <f t="shared" si="165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63"/>
        <v>-89520412782.452103</v>
      </c>
      <c r="J3179" s="455">
        <f t="array" ref="J3179">IFERROR(INDEX('Retirement Calculator'!J:J,MATCH('Isaac 401k'!N3179,'Retirement Calculator'!A:A,0),0),0)</f>
        <v>0</v>
      </c>
      <c r="K3179" s="455">
        <f t="shared" ca="1" si="161"/>
        <v>-373001719.92688376</v>
      </c>
      <c r="L3179" s="455">
        <f t="shared" ca="1" si="162"/>
        <v>-89893414502.378983</v>
      </c>
      <c r="M3179" s="471">
        <f t="shared" si="164"/>
        <v>0.05</v>
      </c>
      <c r="N3179" s="475">
        <f t="shared" si="165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63"/>
        <v>-89893414502.378983</v>
      </c>
      <c r="J3180" s="455">
        <f t="array" ref="J3180">IFERROR(INDEX('Retirement Calculator'!J:J,MATCH('Isaac 401k'!N3180,'Retirement Calculator'!A:A,0),0),0)</f>
        <v>0</v>
      </c>
      <c r="K3180" s="455">
        <f t="shared" ca="1" si="161"/>
        <v>-374555893.75991243</v>
      </c>
      <c r="L3180" s="455">
        <f t="shared" ca="1" si="162"/>
        <v>-90267970396.138901</v>
      </c>
      <c r="M3180" s="471">
        <f t="shared" si="164"/>
        <v>0.05</v>
      </c>
      <c r="N3180" s="475">
        <f t="shared" si="165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63"/>
        <v>-90267970396.138901</v>
      </c>
      <c r="J3181" s="455">
        <f t="array" ref="J3181">IFERROR(INDEX('Retirement Calculator'!J:J,MATCH('Isaac 401k'!N3181,'Retirement Calculator'!A:A,0),0),0)</f>
        <v>0</v>
      </c>
      <c r="K3181" s="455">
        <f t="shared" ca="1" si="161"/>
        <v>-376116543.31724542</v>
      </c>
      <c r="L3181" s="455">
        <f t="shared" ca="1" si="162"/>
        <v>-90644086939.456146</v>
      </c>
      <c r="M3181" s="471">
        <f t="shared" si="164"/>
        <v>0.05</v>
      </c>
      <c r="N3181" s="475">
        <f t="shared" si="165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63"/>
        <v>-90644086939.456146</v>
      </c>
      <c r="J3182" s="455">
        <f t="array" ref="J3182">IFERROR(INDEX('Retirement Calculator'!J:J,MATCH('Isaac 401k'!N3182,'Retirement Calculator'!A:A,0),0),0)</f>
        <v>0</v>
      </c>
      <c r="K3182" s="455">
        <f t="shared" ca="1" si="161"/>
        <v>-377683695.58106726</v>
      </c>
      <c r="L3182" s="455">
        <f t="shared" ca="1" si="162"/>
        <v>-91021770635.037216</v>
      </c>
      <c r="M3182" s="471">
        <f t="shared" si="164"/>
        <v>0.05</v>
      </c>
      <c r="N3182" s="475">
        <f t="shared" si="165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63"/>
        <v>-91021770635.037216</v>
      </c>
      <c r="J3183" s="455">
        <f t="array" ref="J3183">IFERROR(INDEX('Retirement Calculator'!J:J,MATCH('Isaac 401k'!N3183,'Retirement Calculator'!A:A,0),0),0)</f>
        <v>0</v>
      </c>
      <c r="K3183" s="455">
        <f t="shared" ca="1" si="161"/>
        <v>-379257377.6459884</v>
      </c>
      <c r="L3183" s="455">
        <f t="shared" ca="1" si="162"/>
        <v>-91401028012.683197</v>
      </c>
      <c r="M3183" s="471">
        <f t="shared" si="164"/>
        <v>0.05</v>
      </c>
      <c r="N3183" s="475">
        <f t="shared" si="165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63"/>
        <v>-91401028012.683197</v>
      </c>
      <c r="J3184" s="455">
        <f t="array" ref="J3184">IFERROR(INDEX('Retirement Calculator'!J:J,MATCH('Isaac 401k'!N3184,'Retirement Calculator'!A:A,0),0),0)</f>
        <v>0</v>
      </c>
      <c r="K3184" s="455">
        <f t="shared" ca="1" si="161"/>
        <v>-380837616.7195133</v>
      </c>
      <c r="L3184" s="455">
        <f t="shared" ca="1" si="162"/>
        <v>-91781865629.40271</v>
      </c>
      <c r="M3184" s="471">
        <f t="shared" si="164"/>
        <v>0.05</v>
      </c>
      <c r="N3184" s="475">
        <f t="shared" si="165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63"/>
        <v>-91781865629.40271</v>
      </c>
      <c r="J3185" s="455">
        <f t="array" ref="J3185">IFERROR(INDEX('Retirement Calculator'!J:J,MATCH('Isaac 401k'!N3185,'Retirement Calculator'!A:A,0),0),0)</f>
        <v>0</v>
      </c>
      <c r="K3185" s="455">
        <f t="shared" ca="1" si="161"/>
        <v>-382424440.12251127</v>
      </c>
      <c r="L3185" s="455">
        <f t="shared" ca="1" si="162"/>
        <v>-92164290069.525223</v>
      </c>
      <c r="M3185" s="471">
        <f t="shared" si="164"/>
        <v>0.05</v>
      </c>
      <c r="N3185" s="475">
        <f t="shared" si="165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63"/>
        <v>-92164290069.525223</v>
      </c>
      <c r="J3186" s="455">
        <f t="array" ref="J3186">IFERROR(INDEX('Retirement Calculator'!J:J,MATCH('Isaac 401k'!N3186,'Retirement Calculator'!A:A,0),0),0)</f>
        <v>0</v>
      </c>
      <c r="K3186" s="455">
        <f t="shared" ca="1" si="161"/>
        <v>-384017875.28968841</v>
      </c>
      <c r="L3186" s="455">
        <f t="shared" ca="1" si="162"/>
        <v>-92548307944.814911</v>
      </c>
      <c r="M3186" s="471">
        <f t="shared" si="164"/>
        <v>0.05</v>
      </c>
      <c r="N3186" s="475">
        <f t="shared" si="165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63"/>
        <v>-92548307944.814911</v>
      </c>
      <c r="J3187" s="455">
        <f t="array" ref="J3187">IFERROR(INDEX('Retirement Calculator'!J:J,MATCH('Isaac 401k'!N3187,'Retirement Calculator'!A:A,0),0),0)</f>
        <v>0</v>
      </c>
      <c r="K3187" s="455">
        <f t="shared" ca="1" si="161"/>
        <v>-385617949.77006215</v>
      </c>
      <c r="L3187" s="455">
        <f t="shared" ca="1" si="162"/>
        <v>-92933925894.584976</v>
      </c>
      <c r="M3187" s="471">
        <f t="shared" si="164"/>
        <v>0.05</v>
      </c>
      <c r="N3187" s="475">
        <f t="shared" si="165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63"/>
        <v>-92933925894.584976</v>
      </c>
      <c r="J3188" s="455">
        <f t="array" ref="J3188">IFERROR(INDEX('Retirement Calculator'!J:J,MATCH('Isaac 401k'!N3188,'Retirement Calculator'!A:A,0),0),0)</f>
        <v>0</v>
      </c>
      <c r="K3188" s="455">
        <f t="shared" ca="1" si="161"/>
        <v>-387224691.22743738</v>
      </c>
      <c r="L3188" s="455">
        <f t="shared" ca="1" si="162"/>
        <v>-93321150585.812408</v>
      </c>
      <c r="M3188" s="471">
        <f t="shared" si="164"/>
        <v>0.05</v>
      </c>
      <c r="N3188" s="475">
        <f t="shared" si="165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63"/>
        <v>-93321150585.812408</v>
      </c>
      <c r="J3189" s="455">
        <f t="array" ref="J3189">IFERROR(INDEX('Retirement Calculator'!J:J,MATCH('Isaac 401k'!N3189,'Retirement Calculator'!A:A,0),0),0)</f>
        <v>0</v>
      </c>
      <c r="K3189" s="455">
        <f t="shared" ca="1" si="161"/>
        <v>-388838127.44088501</v>
      </c>
      <c r="L3189" s="455">
        <f t="shared" ca="1" si="162"/>
        <v>-93709988713.253296</v>
      </c>
      <c r="M3189" s="471">
        <f t="shared" si="164"/>
        <v>0.05</v>
      </c>
      <c r="N3189" s="475">
        <f t="shared" si="165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63"/>
        <v>-93709988713.253296</v>
      </c>
      <c r="J3190" s="455">
        <f t="array" ref="J3190">IFERROR(INDEX('Retirement Calculator'!J:J,MATCH('Isaac 401k'!N3190,'Retirement Calculator'!A:A,0),0),0)</f>
        <v>0</v>
      </c>
      <c r="K3190" s="455">
        <f t="shared" ca="1" si="161"/>
        <v>-390458286.30522203</v>
      </c>
      <c r="L3190" s="455">
        <f t="shared" ca="1" si="162"/>
        <v>-94100446999.558517</v>
      </c>
      <c r="M3190" s="471">
        <f t="shared" si="164"/>
        <v>0.05</v>
      </c>
      <c r="N3190" s="475">
        <f t="shared" si="165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63"/>
        <v>-94100446999.558517</v>
      </c>
      <c r="J3191" s="455">
        <f t="array" ref="J3191">IFERROR(INDEX('Retirement Calculator'!J:J,MATCH('Isaac 401k'!N3191,'Retirement Calculator'!A:A,0),0),0)</f>
        <v>0</v>
      </c>
      <c r="K3191" s="455">
        <f t="shared" ca="1" si="161"/>
        <v>-392085195.83149379</v>
      </c>
      <c r="L3191" s="455">
        <f t="shared" ca="1" si="162"/>
        <v>-94492532195.390015</v>
      </c>
      <c r="M3191" s="471">
        <f t="shared" si="164"/>
        <v>0.05</v>
      </c>
      <c r="N3191" s="475">
        <f t="shared" si="165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63"/>
        <v>-94492532195.390015</v>
      </c>
      <c r="J3192" s="455">
        <f t="array" ref="J3192">IFERROR(INDEX('Retirement Calculator'!J:J,MATCH('Isaac 401k'!N3192,'Retirement Calculator'!A:A,0),0),0)</f>
        <v>0</v>
      </c>
      <c r="K3192" s="455">
        <f t="shared" ca="1" si="161"/>
        <v>-393718884.14745837</v>
      </c>
      <c r="L3192" s="455">
        <f t="shared" ca="1" si="162"/>
        <v>-94886251079.537476</v>
      </c>
      <c r="M3192" s="471">
        <f t="shared" si="164"/>
        <v>0.05</v>
      </c>
      <c r="N3192" s="475">
        <f t="shared" si="165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63"/>
        <v>-94886251079.537476</v>
      </c>
      <c r="J3193" s="455">
        <f t="array" ref="J3193">IFERROR(INDEX('Retirement Calculator'!J:J,MATCH('Isaac 401k'!N3193,'Retirement Calculator'!A:A,0),0),0)</f>
        <v>0</v>
      </c>
      <c r="K3193" s="455">
        <f t="shared" ca="1" si="161"/>
        <v>-395359379.4980728</v>
      </c>
      <c r="L3193" s="455">
        <f t="shared" ca="1" si="162"/>
        <v>-95281610459.035553</v>
      </c>
      <c r="M3193" s="471">
        <f t="shared" si="164"/>
        <v>0.05</v>
      </c>
      <c r="N3193" s="475">
        <f t="shared" si="165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63"/>
        <v>-95281610459.035553</v>
      </c>
      <c r="J3194" s="455">
        <f t="array" ref="J3194">IFERROR(INDEX('Retirement Calculator'!J:J,MATCH('Isaac 401k'!N3194,'Retirement Calculator'!A:A,0),0),0)</f>
        <v>0</v>
      </c>
      <c r="K3194" s="455">
        <f t="shared" ca="1" si="161"/>
        <v>-397006710.24598145</v>
      </c>
      <c r="L3194" s="455">
        <f t="shared" ca="1" si="162"/>
        <v>-95678617169.28154</v>
      </c>
      <c r="M3194" s="471">
        <f t="shared" si="164"/>
        <v>0.05</v>
      </c>
      <c r="N3194" s="475">
        <f t="shared" si="165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63"/>
        <v>-95678617169.28154</v>
      </c>
      <c r="J3195" s="455">
        <f t="array" ref="J3195">IFERROR(INDEX('Retirement Calculator'!J:J,MATCH('Isaac 401k'!N3195,'Retirement Calculator'!A:A,0),0),0)</f>
        <v>0</v>
      </c>
      <c r="K3195" s="455">
        <f t="shared" ca="1" si="161"/>
        <v>-398660904.87200642</v>
      </c>
      <c r="L3195" s="455">
        <f t="shared" ca="1" si="162"/>
        <v>-96077278074.153549</v>
      </c>
      <c r="M3195" s="471">
        <f t="shared" si="164"/>
        <v>0.05</v>
      </c>
      <c r="N3195" s="475">
        <f t="shared" si="165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63"/>
        <v>-96077278074.153549</v>
      </c>
      <c r="J3196" s="455">
        <f t="array" ref="J3196">IFERROR(INDEX('Retirement Calculator'!J:J,MATCH('Isaac 401k'!N3196,'Retirement Calculator'!A:A,0),0),0)</f>
        <v>0</v>
      </c>
      <c r="K3196" s="455">
        <f t="shared" ca="1" si="161"/>
        <v>-400321991.97563976</v>
      </c>
      <c r="L3196" s="455">
        <f t="shared" ca="1" si="162"/>
        <v>-96477600066.129196</v>
      </c>
      <c r="M3196" s="471">
        <f t="shared" si="164"/>
        <v>0.05</v>
      </c>
      <c r="N3196" s="475">
        <f t="shared" si="165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63"/>
        <v>-96477600066.129196</v>
      </c>
      <c r="J3197" s="455">
        <f t="array" ref="J3197">IFERROR(INDEX('Retirement Calculator'!J:J,MATCH('Isaac 401k'!N3197,'Retirement Calculator'!A:A,0),0),0)</f>
        <v>0</v>
      </c>
      <c r="K3197" s="455">
        <f t="shared" ca="1" si="161"/>
        <v>-401990000.27553833</v>
      </c>
      <c r="L3197" s="455">
        <f t="shared" ca="1" si="162"/>
        <v>-96879590066.404739</v>
      </c>
      <c r="M3197" s="471">
        <f t="shared" si="164"/>
        <v>0.05</v>
      </c>
      <c r="N3197" s="475">
        <f t="shared" si="165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63"/>
        <v>-96879590066.404739</v>
      </c>
      <c r="J3198" s="455">
        <f t="array" ref="J3198">IFERROR(INDEX('Retirement Calculator'!J:J,MATCH('Isaac 401k'!N3198,'Retirement Calculator'!A:A,0),0),0)</f>
        <v>0</v>
      </c>
      <c r="K3198" s="455">
        <f t="shared" ca="1" si="161"/>
        <v>-403664958.61001974</v>
      </c>
      <c r="L3198" s="455">
        <f t="shared" ca="1" si="162"/>
        <v>-97283255025.014755</v>
      </c>
      <c r="M3198" s="471">
        <f t="shared" si="164"/>
        <v>0.05</v>
      </c>
      <c r="N3198" s="475">
        <f t="shared" si="165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63"/>
        <v>-97283255025.014755</v>
      </c>
      <c r="J3199" s="455">
        <f t="array" ref="J3199">IFERROR(INDEX('Retirement Calculator'!J:J,MATCH('Isaac 401k'!N3199,'Retirement Calculator'!A:A,0),0),0)</f>
        <v>0</v>
      </c>
      <c r="K3199" s="455">
        <f t="shared" ca="1" si="161"/>
        <v>-405346895.93756145</v>
      </c>
      <c r="L3199" s="455">
        <f t="shared" ca="1" si="162"/>
        <v>-97688601920.952316</v>
      </c>
      <c r="M3199" s="471">
        <f t="shared" si="164"/>
        <v>0.05</v>
      </c>
      <c r="N3199" s="475">
        <f t="shared" si="165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63"/>
        <v>-97688601920.952316</v>
      </c>
      <c r="J3200" s="455">
        <f t="array" ref="J3200">IFERROR(INDEX('Retirement Calculator'!J:J,MATCH('Isaac 401k'!N3200,'Retirement Calculator'!A:A,0),0),0)</f>
        <v>0</v>
      </c>
      <c r="K3200" s="455">
        <f t="shared" ca="1" si="161"/>
        <v>-407035841.33730131</v>
      </c>
      <c r="L3200" s="455">
        <f t="shared" ca="1" si="162"/>
        <v>-98095637762.289612</v>
      </c>
      <c r="M3200" s="471">
        <f t="shared" si="164"/>
        <v>0.05</v>
      </c>
      <c r="N3200" s="475">
        <f t="shared" si="165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63"/>
        <v>-98095637762.289612</v>
      </c>
      <c r="J3201" s="455">
        <f t="array" ref="J3201">IFERROR(INDEX('Retirement Calculator'!J:J,MATCH('Isaac 401k'!N3201,'Retirement Calculator'!A:A,0),0),0)</f>
        <v>0</v>
      </c>
      <c r="K3201" s="455">
        <f t="shared" ca="1" si="161"/>
        <v>-408731824.00954002</v>
      </c>
      <c r="L3201" s="455">
        <f t="shared" ca="1" si="162"/>
        <v>-98504369586.299149</v>
      </c>
      <c r="M3201" s="471">
        <f t="shared" si="164"/>
        <v>0.05</v>
      </c>
      <c r="N3201" s="475">
        <f t="shared" si="165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63"/>
        <v>-98504369586.299149</v>
      </c>
      <c r="J3202" s="455">
        <f t="array" ref="J3202">IFERROR(INDEX('Retirement Calculator'!J:J,MATCH('Isaac 401k'!N3202,'Retirement Calculator'!A:A,0),0),0)</f>
        <v>0</v>
      </c>
      <c r="K3202" s="455">
        <f t="shared" ca="1" si="161"/>
        <v>-410434873.27624643</v>
      </c>
      <c r="L3202" s="455">
        <f t="shared" ca="1" si="162"/>
        <v>-98914804459.575394</v>
      </c>
      <c r="M3202" s="471">
        <f t="shared" si="164"/>
        <v>0.05</v>
      </c>
      <c r="N3202" s="475">
        <f t="shared" si="165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63"/>
        <v>-98914804459.575394</v>
      </c>
      <c r="J3203" s="455">
        <f t="array" ref="J3203">IFERROR(INDEX('Retirement Calculator'!J:J,MATCH('Isaac 401k'!N3203,'Retirement Calculator'!A:A,0),0),0)</f>
        <v>0</v>
      </c>
      <c r="K3203" s="455">
        <f t="shared" ca="1" si="161"/>
        <v>-412145018.58156413</v>
      </c>
      <c r="L3203" s="455">
        <f t="shared" ca="1" si="162"/>
        <v>-99326949478.156952</v>
      </c>
      <c r="M3203" s="471">
        <f t="shared" si="164"/>
        <v>0.05</v>
      </c>
      <c r="N3203" s="475">
        <f t="shared" si="165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63"/>
        <v>-99326949478.156952</v>
      </c>
      <c r="J3204" s="455">
        <f t="array" ref="J3204">IFERROR(INDEX('Retirement Calculator'!J:J,MATCH('Isaac 401k'!N3204,'Retirement Calculator'!A:A,0),0),0)</f>
        <v>0</v>
      </c>
      <c r="K3204" s="455">
        <f t="shared" ca="1" si="161"/>
        <v>-413862289.49232066</v>
      </c>
      <c r="L3204" s="455">
        <f t="shared" ca="1" si="162"/>
        <v>-99740811767.649277</v>
      </c>
      <c r="M3204" s="471">
        <f t="shared" si="164"/>
        <v>0.05</v>
      </c>
      <c r="N3204" s="475">
        <f t="shared" si="165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63"/>
        <v>-99740811767.649277</v>
      </c>
      <c r="J3205" s="455">
        <f t="array" ref="J3205">IFERROR(INDEX('Retirement Calculator'!J:J,MATCH('Isaac 401k'!N3205,'Retirement Calculator'!A:A,0),0),0)</f>
        <v>0</v>
      </c>
      <c r="K3205" s="455">
        <f t="shared" ca="1" si="161"/>
        <v>-415586715.69853866</v>
      </c>
      <c r="L3205" s="455">
        <f t="shared" ca="1" si="162"/>
        <v>-100156398483.34781</v>
      </c>
      <c r="M3205" s="471">
        <f t="shared" si="164"/>
        <v>0.05</v>
      </c>
      <c r="N3205" s="475">
        <f t="shared" si="165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63"/>
        <v>-100156398483.34781</v>
      </c>
      <c r="J3206" s="455">
        <f t="array" ref="J3206">IFERROR(INDEX('Retirement Calculator'!J:J,MATCH('Isaac 401k'!N3206,'Retirement Calculator'!A:A,0),0),0)</f>
        <v>0</v>
      </c>
      <c r="K3206" s="455">
        <f t="shared" ca="1" si="161"/>
        <v>-417318327.01394922</v>
      </c>
      <c r="L3206" s="455">
        <f t="shared" ca="1" si="162"/>
        <v>-100573716810.36176</v>
      </c>
      <c r="M3206" s="471">
        <f t="shared" si="164"/>
        <v>0.05</v>
      </c>
      <c r="N3206" s="475">
        <f t="shared" si="165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63"/>
        <v>-100573716810.36176</v>
      </c>
      <c r="J3207" s="455">
        <f t="array" ref="J3207">IFERROR(INDEX('Retirement Calculator'!J:J,MATCH('Isaac 401k'!N3207,'Retirement Calculator'!A:A,0),0),0)</f>
        <v>0</v>
      </c>
      <c r="K3207" s="455">
        <f t="shared" ca="1" si="161"/>
        <v>-419057153.37650728</v>
      </c>
      <c r="L3207" s="455">
        <f t="shared" ca="1" si="162"/>
        <v>-100992773963.73827</v>
      </c>
      <c r="M3207" s="471">
        <f t="shared" si="164"/>
        <v>0.05</v>
      </c>
      <c r="N3207" s="475">
        <f t="shared" si="165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63"/>
        <v>-100992773963.73827</v>
      </c>
      <c r="J3208" s="455">
        <f t="array" ref="J3208">IFERROR(INDEX('Retirement Calculator'!J:J,MATCH('Isaac 401k'!N3208,'Retirement Calculator'!A:A,0),0),0)</f>
        <v>0</v>
      </c>
      <c r="K3208" s="455">
        <f t="shared" ca="1" si="161"/>
        <v>-420803224.84890944</v>
      </c>
      <c r="L3208" s="455">
        <f t="shared" ca="1" si="162"/>
        <v>-101413577188.58717</v>
      </c>
      <c r="M3208" s="471">
        <f t="shared" si="164"/>
        <v>0.05</v>
      </c>
      <c r="N3208" s="475">
        <f t="shared" si="165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63"/>
        <v>-101413577188.58717</v>
      </c>
      <c r="J3209" s="455">
        <f t="array" ref="J3209">IFERROR(INDEX('Retirement Calculator'!J:J,MATCH('Isaac 401k'!N3209,'Retirement Calculator'!A:A,0),0),0)</f>
        <v>0</v>
      </c>
      <c r="K3209" s="455">
        <f t="shared" ca="1" si="161"/>
        <v>-422556571.61911321</v>
      </c>
      <c r="L3209" s="455">
        <f t="shared" ca="1" si="162"/>
        <v>-101836133760.20628</v>
      </c>
      <c r="M3209" s="471">
        <f t="shared" si="164"/>
        <v>0.05</v>
      </c>
      <c r="N3209" s="475">
        <f t="shared" si="165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63"/>
        <v>-101836133760.20628</v>
      </c>
      <c r="J3210" s="455">
        <f t="array" ref="J3210">IFERROR(INDEX('Retirement Calculator'!J:J,MATCH('Isaac 401k'!N3210,'Retirement Calculator'!A:A,0),0),0)</f>
        <v>0</v>
      </c>
      <c r="K3210" s="455">
        <f t="shared" ca="1" si="161"/>
        <v>-424317224.0008595</v>
      </c>
      <c r="L3210" s="455">
        <f t="shared" ca="1" si="162"/>
        <v>-102260450984.20714</v>
      </c>
      <c r="M3210" s="471">
        <f t="shared" si="164"/>
        <v>0.05</v>
      </c>
      <c r="N3210" s="475">
        <f t="shared" si="165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63"/>
        <v>-102260450984.20714</v>
      </c>
      <c r="J3211" s="455">
        <f t="array" ref="J3211">IFERROR(INDEX('Retirement Calculator'!J:J,MATCH('Isaac 401k'!N3211,'Retirement Calculator'!A:A,0),0),0)</f>
        <v>0</v>
      </c>
      <c r="K3211" s="455">
        <f t="shared" ca="1" si="161"/>
        <v>-426085212.43419641</v>
      </c>
      <c r="L3211" s="455">
        <f t="shared" ca="1" si="162"/>
        <v>-102686536196.64133</v>
      </c>
      <c r="M3211" s="471">
        <f t="shared" si="164"/>
        <v>0.05</v>
      </c>
      <c r="N3211" s="475">
        <f t="shared" si="165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63"/>
        <v>-102686536196.64133</v>
      </c>
      <c r="J3212" s="455">
        <f t="array" ref="J3212">IFERROR(INDEX('Retirement Calculator'!J:J,MATCH('Isaac 401k'!N3212,'Retirement Calculator'!A:A,0),0),0)</f>
        <v>0</v>
      </c>
      <c r="K3212" s="455">
        <f t="shared" ca="1" si="161"/>
        <v>-427860567.48600554</v>
      </c>
      <c r="L3212" s="455">
        <f t="shared" ca="1" si="162"/>
        <v>-103114396764.12733</v>
      </c>
      <c r="M3212" s="471">
        <f t="shared" si="164"/>
        <v>0.05</v>
      </c>
      <c r="N3212" s="475">
        <f t="shared" si="165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63"/>
        <v>-103114396764.12733</v>
      </c>
      <c r="J3213" s="455">
        <f t="array" ref="J3213">IFERROR(INDEX('Retirement Calculator'!J:J,MATCH('Isaac 401k'!N3213,'Retirement Calculator'!A:A,0),0),0)</f>
        <v>0</v>
      </c>
      <c r="K3213" s="455">
        <f t="shared" ca="1" si="161"/>
        <v>-429643319.85053056</v>
      </c>
      <c r="L3213" s="455">
        <f t="shared" ca="1" si="162"/>
        <v>-103544040083.97786</v>
      </c>
      <c r="M3213" s="471">
        <f t="shared" si="164"/>
        <v>0.05</v>
      </c>
      <c r="N3213" s="475">
        <f t="shared" si="165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63"/>
        <v>-103544040083.97786</v>
      </c>
      <c r="J3214" s="455">
        <f t="array" ref="J3214">IFERROR(INDEX('Retirement Calculator'!J:J,MATCH('Isaac 401k'!N3214,'Retirement Calculator'!A:A,0),0),0)</f>
        <v>0</v>
      </c>
      <c r="K3214" s="455">
        <f t="shared" ca="1" si="161"/>
        <v>-431433500.34990776</v>
      </c>
      <c r="L3214" s="455">
        <f t="shared" ca="1" si="162"/>
        <v>-103975473584.32777</v>
      </c>
      <c r="M3214" s="471">
        <f t="shared" si="164"/>
        <v>0.05</v>
      </c>
      <c r="N3214" s="475">
        <f t="shared" si="165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63"/>
        <v>-103975473584.32777</v>
      </c>
      <c r="J3215" s="455">
        <f t="array" ref="J3215">IFERROR(INDEX('Retirement Calculator'!J:J,MATCH('Isaac 401k'!N3215,'Retirement Calculator'!A:A,0),0),0)</f>
        <v>0</v>
      </c>
      <c r="K3215" s="455">
        <f t="shared" ca="1" si="161"/>
        <v>-433231139.93469906</v>
      </c>
      <c r="L3215" s="455">
        <f t="shared" ca="1" si="162"/>
        <v>-104408704724.26247</v>
      </c>
      <c r="M3215" s="471">
        <f t="shared" si="164"/>
        <v>0.05</v>
      </c>
      <c r="N3215" s="475">
        <f t="shared" si="165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63"/>
        <v>-104408704724.26247</v>
      </c>
      <c r="J3216" s="455">
        <f t="array" ref="J3216">IFERROR(INDEX('Retirement Calculator'!J:J,MATCH('Isaac 401k'!N3216,'Retirement Calculator'!A:A,0),0),0)</f>
        <v>0</v>
      </c>
      <c r="K3216" s="455">
        <f t="shared" ca="1" si="161"/>
        <v>-435036269.68442696</v>
      </c>
      <c r="L3216" s="455">
        <f t="shared" ca="1" si="162"/>
        <v>-104843740993.9469</v>
      </c>
      <c r="M3216" s="471">
        <f t="shared" si="164"/>
        <v>0.05</v>
      </c>
      <c r="N3216" s="475">
        <f t="shared" si="165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63"/>
        <v>-104843740993.9469</v>
      </c>
      <c r="J3217" s="455">
        <f t="array" ref="J3217">IFERROR(INDEX('Retirement Calculator'!J:J,MATCH('Isaac 401k'!N3217,'Retirement Calculator'!A:A,0),0),0)</f>
        <v>0</v>
      </c>
      <c r="K3217" s="455">
        <f t="shared" ca="1" si="161"/>
        <v>-436848920.80811208</v>
      </c>
      <c r="L3217" s="455">
        <f t="shared" ca="1" si="162"/>
        <v>-105280589914.755</v>
      </c>
      <c r="M3217" s="471">
        <f t="shared" si="164"/>
        <v>0.05</v>
      </c>
      <c r="N3217" s="475">
        <f t="shared" si="165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63"/>
        <v>-105280589914.755</v>
      </c>
      <c r="J3218" s="455">
        <f t="array" ref="J3218">IFERROR(INDEX('Retirement Calculator'!J:J,MATCH('Isaac 401k'!N3218,'Retirement Calculator'!A:A,0),0),0)</f>
        <v>0</v>
      </c>
      <c r="K3218" s="455">
        <f t="shared" ca="1" si="161"/>
        <v>-438669124.64481252</v>
      </c>
      <c r="L3218" s="455">
        <f t="shared" ca="1" si="162"/>
        <v>-105719259039.39981</v>
      </c>
      <c r="M3218" s="471">
        <f t="shared" si="164"/>
        <v>0.05</v>
      </c>
      <c r="N3218" s="475">
        <f t="shared" si="165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63"/>
        <v>-105719259039.39981</v>
      </c>
      <c r="J3219" s="455">
        <f t="array" ref="J3219">IFERROR(INDEX('Retirement Calculator'!J:J,MATCH('Isaac 401k'!N3219,'Retirement Calculator'!A:A,0),0),0)</f>
        <v>0</v>
      </c>
      <c r="K3219" s="455">
        <f t="shared" ca="1" si="161"/>
        <v>-440496912.66416585</v>
      </c>
      <c r="L3219" s="455">
        <f t="shared" ca="1" si="162"/>
        <v>-106159755952.06398</v>
      </c>
      <c r="M3219" s="471">
        <f t="shared" si="164"/>
        <v>0.05</v>
      </c>
      <c r="N3219" s="475">
        <f t="shared" si="165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63"/>
        <v>-106159755952.06398</v>
      </c>
      <c r="J3220" s="455">
        <f t="array" ref="J3220">IFERROR(INDEX('Retirement Calculator'!J:J,MATCH('Isaac 401k'!N3220,'Retirement Calculator'!A:A,0),0),0)</f>
        <v>0</v>
      </c>
      <c r="K3220" s="455">
        <f t="shared" ca="1" si="161"/>
        <v>-442332316.46693325</v>
      </c>
      <c r="L3220" s="455">
        <f t="shared" ca="1" si="162"/>
        <v>-106602088268.53091</v>
      </c>
      <c r="M3220" s="471">
        <f t="shared" si="164"/>
        <v>0.05</v>
      </c>
      <c r="N3220" s="475">
        <f t="shared" si="165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63"/>
        <v>-106602088268.53091</v>
      </c>
      <c r="J3221" s="455">
        <f t="array" ref="J3221">IFERROR(INDEX('Retirement Calculator'!J:J,MATCH('Isaac 401k'!N3221,'Retirement Calculator'!A:A,0),0),0)</f>
        <v>0</v>
      </c>
      <c r="K3221" s="455">
        <f t="shared" ca="1" si="161"/>
        <v>-444175367.78554547</v>
      </c>
      <c r="L3221" s="455">
        <f t="shared" ca="1" si="162"/>
        <v>-107046263636.31647</v>
      </c>
      <c r="M3221" s="471">
        <f t="shared" si="164"/>
        <v>0.05</v>
      </c>
      <c r="N3221" s="475">
        <f t="shared" si="165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63"/>
        <v>-107046263636.31647</v>
      </c>
      <c r="J3222" s="455">
        <f t="array" ref="J3222">IFERROR(INDEX('Retirement Calculator'!J:J,MATCH('Isaac 401k'!N3222,'Retirement Calculator'!A:A,0),0),0)</f>
        <v>0</v>
      </c>
      <c r="K3222" s="455">
        <f t="shared" ca="1" si="161"/>
        <v>-446026098.48465192</v>
      </c>
      <c r="L3222" s="455">
        <f t="shared" ca="1" si="162"/>
        <v>-107492289734.80112</v>
      </c>
      <c r="M3222" s="471">
        <f t="shared" si="164"/>
        <v>0.05</v>
      </c>
      <c r="N3222" s="475">
        <f t="shared" si="165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63"/>
        <v>-107492289734.80112</v>
      </c>
      <c r="J3223" s="455">
        <f t="array" ref="J3223">IFERROR(INDEX('Retirement Calculator'!J:J,MATCH('Isaac 401k'!N3223,'Retirement Calculator'!A:A,0),0),0)</f>
        <v>0</v>
      </c>
      <c r="K3223" s="455">
        <f t="shared" ca="1" si="161"/>
        <v>-447884540.56167138</v>
      </c>
      <c r="L3223" s="455">
        <f t="shared" ca="1" si="162"/>
        <v>-107940174275.36279</v>
      </c>
      <c r="M3223" s="471">
        <f t="shared" si="164"/>
        <v>0.05</v>
      </c>
      <c r="N3223" s="475">
        <f t="shared" si="165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63"/>
        <v>-107940174275.36279</v>
      </c>
      <c r="J3224" s="455">
        <f t="array" ref="J3224">IFERROR(INDEX('Retirement Calculator'!J:J,MATCH('Isaac 401k'!N3224,'Retirement Calculator'!A:A,0),0),0)</f>
        <v>0</v>
      </c>
      <c r="K3224" s="455">
        <f t="shared" ca="1" si="161"/>
        <v>-449750726.14734495</v>
      </c>
      <c r="L3224" s="455">
        <f t="shared" ca="1" si="162"/>
        <v>-108389925001.51013</v>
      </c>
      <c r="M3224" s="471">
        <f t="shared" si="164"/>
        <v>0.05</v>
      </c>
      <c r="N3224" s="475">
        <f t="shared" si="165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63"/>
        <v>-108389925001.51013</v>
      </c>
      <c r="J3225" s="455">
        <f t="array" ref="J3225">IFERROR(INDEX('Retirement Calculator'!J:J,MATCH('Isaac 401k'!N3225,'Retirement Calculator'!A:A,0),0),0)</f>
        <v>0</v>
      </c>
      <c r="K3225" s="455">
        <f t="shared" ca="1" si="161"/>
        <v>-451624687.50629222</v>
      </c>
      <c r="L3225" s="455">
        <f t="shared" ca="1" si="162"/>
        <v>-108841549689.01642</v>
      </c>
      <c r="M3225" s="471">
        <f t="shared" si="164"/>
        <v>0.05</v>
      </c>
      <c r="N3225" s="475">
        <f t="shared" si="165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63"/>
        <v>-108841549689.01642</v>
      </c>
      <c r="J3226" s="455">
        <f t="array" ref="J3226">IFERROR(INDEX('Retirement Calculator'!J:J,MATCH('Isaac 401k'!N3226,'Retirement Calculator'!A:A,0),0),0)</f>
        <v>0</v>
      </c>
      <c r="K3226" s="455">
        <f t="shared" ca="1" si="161"/>
        <v>-453506457.03756845</v>
      </c>
      <c r="L3226" s="455">
        <f t="shared" ca="1" si="162"/>
        <v>-109295056146.05399</v>
      </c>
      <c r="M3226" s="471">
        <f t="shared" si="164"/>
        <v>0.05</v>
      </c>
      <c r="N3226" s="475">
        <f t="shared" si="165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63"/>
        <v>-109295056146.05399</v>
      </c>
      <c r="J3227" s="455">
        <f t="array" ref="J3227">IFERROR(INDEX('Retirement Calculator'!J:J,MATCH('Isaac 401k'!N3227,'Retirement Calculator'!A:A,0),0),0)</f>
        <v>0</v>
      </c>
      <c r="K3227" s="455">
        <f t="shared" ca="1" si="161"/>
        <v>-455396067.27522486</v>
      </c>
      <c r="L3227" s="455">
        <f t="shared" ca="1" si="162"/>
        <v>-109750452213.32921</v>
      </c>
      <c r="M3227" s="471">
        <f t="shared" si="164"/>
        <v>0.05</v>
      </c>
      <c r="N3227" s="475">
        <f t="shared" si="165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63"/>
        <v>-109750452213.32921</v>
      </c>
      <c r="J3228" s="455">
        <f t="array" ref="J3228">IFERROR(INDEX('Retirement Calculator'!J:J,MATCH('Isaac 401k'!N3228,'Retirement Calculator'!A:A,0),0),0)</f>
        <v>0</v>
      </c>
      <c r="K3228" s="455">
        <f t="shared" ca="1" si="161"/>
        <v>-457293550.88887161</v>
      </c>
      <c r="L3228" s="455">
        <f t="shared" ca="1" si="162"/>
        <v>-110207745764.21808</v>
      </c>
      <c r="M3228" s="471">
        <f t="shared" si="164"/>
        <v>0.05</v>
      </c>
      <c r="N3228" s="475">
        <f t="shared" si="165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63"/>
        <v>-110207745764.21808</v>
      </c>
      <c r="J3229" s="455">
        <f t="array" ref="J3229">IFERROR(INDEX('Retirement Calculator'!J:J,MATCH('Isaac 401k'!N3229,'Retirement Calculator'!A:A,0),0),0)</f>
        <v>0</v>
      </c>
      <c r="K3229" s="455">
        <f t="shared" ca="1" si="161"/>
        <v>-459198940.68424201</v>
      </c>
      <c r="L3229" s="455">
        <f t="shared" ca="1" si="162"/>
        <v>-110666944704.90231</v>
      </c>
      <c r="M3229" s="471">
        <f t="shared" si="164"/>
        <v>0.05</v>
      </c>
      <c r="N3229" s="475">
        <f t="shared" si="165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63"/>
        <v>-110666944704.90231</v>
      </c>
      <c r="J3230" s="455">
        <f t="array" ref="J3230">IFERROR(INDEX('Retirement Calculator'!J:J,MATCH('Isaac 401k'!N3230,'Retirement Calculator'!A:A,0),0),0)</f>
        <v>0</v>
      </c>
      <c r="K3230" s="455">
        <f t="shared" ca="1" si="161"/>
        <v>-461112269.60375965</v>
      </c>
      <c r="L3230" s="455">
        <f t="shared" ca="1" si="162"/>
        <v>-111128056974.50607</v>
      </c>
      <c r="M3230" s="471">
        <f t="shared" si="164"/>
        <v>0.05</v>
      </c>
      <c r="N3230" s="475">
        <f t="shared" si="165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63"/>
        <v>-111128056974.50607</v>
      </c>
      <c r="J3231" s="455">
        <f t="array" ref="J3231">IFERROR(INDEX('Retirement Calculator'!J:J,MATCH('Isaac 401k'!N3231,'Retirement Calculator'!A:A,0),0),0)</f>
        <v>0</v>
      </c>
      <c r="K3231" s="455">
        <f t="shared" ca="1" si="161"/>
        <v>-463033570.72710866</v>
      </c>
      <c r="L3231" s="455">
        <f t="shared" ca="1" si="162"/>
        <v>-111591090545.23318</v>
      </c>
      <c r="M3231" s="471">
        <f t="shared" si="164"/>
        <v>0.05</v>
      </c>
      <c r="N3231" s="475">
        <f t="shared" si="165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63"/>
        <v>-111591090545.23318</v>
      </c>
      <c r="J3232" s="455">
        <f t="array" ref="J3232">IFERROR(INDEX('Retirement Calculator'!J:J,MATCH('Isaac 401k'!N3232,'Retirement Calculator'!A:A,0),0),0)</f>
        <v>0</v>
      </c>
      <c r="K3232" s="455">
        <f t="shared" ca="1" si="161"/>
        <v>-464962877.27180493</v>
      </c>
      <c r="L3232" s="455">
        <f t="shared" ca="1" si="162"/>
        <v>-112056053422.50499</v>
      </c>
      <c r="M3232" s="471">
        <f t="shared" si="164"/>
        <v>0.05</v>
      </c>
      <c r="N3232" s="475">
        <f t="shared" si="165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63"/>
        <v>-112056053422.50499</v>
      </c>
      <c r="J3233" s="455">
        <f t="array" ref="J3233">IFERROR(INDEX('Retirement Calculator'!J:J,MATCH('Isaac 401k'!N3233,'Retirement Calculator'!A:A,0),0),0)</f>
        <v>0</v>
      </c>
      <c r="K3233" s="455">
        <f t="shared" ca="1" si="161"/>
        <v>-466900222.5937708</v>
      </c>
      <c r="L3233" s="455">
        <f t="shared" ca="1" si="162"/>
        <v>-112522953645.09875</v>
      </c>
      <c r="M3233" s="471">
        <f t="shared" si="164"/>
        <v>0.05</v>
      </c>
      <c r="N3233" s="475">
        <f t="shared" si="165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63"/>
        <v>-112522953645.09875</v>
      </c>
      <c r="J3234" s="455">
        <f t="array" ref="J3234">IFERROR(INDEX('Retirement Calculator'!J:J,MATCH('Isaac 401k'!N3234,'Retirement Calculator'!A:A,0),0),0)</f>
        <v>0</v>
      </c>
      <c r="K3234" s="455">
        <f t="shared" ca="1" si="161"/>
        <v>-468845640.18791145</v>
      </c>
      <c r="L3234" s="455">
        <f t="shared" ca="1" si="162"/>
        <v>-112991799285.28667</v>
      </c>
      <c r="M3234" s="471">
        <f t="shared" si="164"/>
        <v>0.05</v>
      </c>
      <c r="N3234" s="475">
        <f t="shared" si="165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63"/>
        <v>-112991799285.28667</v>
      </c>
      <c r="J3235" s="455">
        <f t="array" ref="J3235">IFERROR(INDEX('Retirement Calculator'!J:J,MATCH('Isaac 401k'!N3235,'Retirement Calculator'!A:A,0),0),0)</f>
        <v>0</v>
      </c>
      <c r="K3235" s="455">
        <f t="shared" ca="1" si="161"/>
        <v>-470799163.68869442</v>
      </c>
      <c r="L3235" s="455">
        <f t="shared" ca="1" si="162"/>
        <v>-113462598448.97536</v>
      </c>
      <c r="M3235" s="471">
        <f t="shared" si="164"/>
        <v>0.05</v>
      </c>
      <c r="N3235" s="475">
        <f t="shared" si="165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63"/>
        <v>-113462598448.97536</v>
      </c>
      <c r="J3236" s="455">
        <f t="array" ref="J3236">IFERROR(INDEX('Retirement Calculator'!J:J,MATCH('Isaac 401k'!N3236,'Retirement Calculator'!A:A,0),0),0)</f>
        <v>0</v>
      </c>
      <c r="K3236" s="455">
        <f t="shared" ca="1" si="161"/>
        <v>-472760826.87073064</v>
      </c>
      <c r="L3236" s="455">
        <f t="shared" ca="1" si="162"/>
        <v>-113935359275.84608</v>
      </c>
      <c r="M3236" s="471">
        <f t="shared" si="164"/>
        <v>0.05</v>
      </c>
      <c r="N3236" s="475">
        <f t="shared" si="165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63"/>
        <v>-113935359275.84608</v>
      </c>
      <c r="J3237" s="455">
        <f t="array" ref="J3237">IFERROR(INDEX('Retirement Calculator'!J:J,MATCH('Isaac 401k'!N3237,'Retirement Calculator'!A:A,0),0),0)</f>
        <v>0</v>
      </c>
      <c r="K3237" s="455">
        <f t="shared" ca="1" si="161"/>
        <v>-474730663.64935875</v>
      </c>
      <c r="L3237" s="455">
        <f t="shared" ca="1" si="162"/>
        <v>-114410089939.49544</v>
      </c>
      <c r="M3237" s="471">
        <f t="shared" si="164"/>
        <v>0.05</v>
      </c>
      <c r="N3237" s="475">
        <f t="shared" si="165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63"/>
        <v>-114410089939.49544</v>
      </c>
      <c r="J3238" s="455">
        <f t="array" ref="J3238">IFERROR(INDEX('Retirement Calculator'!J:J,MATCH('Isaac 401k'!N3238,'Retirement Calculator'!A:A,0),0),0)</f>
        <v>0</v>
      </c>
      <c r="K3238" s="455">
        <f t="shared" ca="1" si="161"/>
        <v>-476708708.081231</v>
      </c>
      <c r="L3238" s="455">
        <f t="shared" ca="1" si="162"/>
        <v>-114886798647.57668</v>
      </c>
      <c r="M3238" s="471">
        <f t="shared" si="164"/>
        <v>0.05</v>
      </c>
      <c r="N3238" s="475">
        <f t="shared" si="165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63"/>
        <v>-114886798647.57668</v>
      </c>
      <c r="J3239" s="455">
        <f t="array" ref="J3239">IFERROR(INDEX('Retirement Calculator'!J:J,MATCH('Isaac 401k'!N3239,'Retirement Calculator'!A:A,0),0),0)</f>
        <v>0</v>
      </c>
      <c r="K3239" s="455">
        <f t="shared" ca="1" si="161"/>
        <v>-478694994.36490279</v>
      </c>
      <c r="L3239" s="455">
        <f t="shared" ca="1" si="162"/>
        <v>-115365493641.94157</v>
      </c>
      <c r="M3239" s="471">
        <f t="shared" si="164"/>
        <v>0.05</v>
      </c>
      <c r="N3239" s="475">
        <f t="shared" si="165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63"/>
        <v>-115365493641.94157</v>
      </c>
      <c r="J3240" s="455">
        <f t="array" ref="J3240">IFERROR(INDEX('Retirement Calculator'!J:J,MATCH('Isaac 401k'!N3240,'Retirement Calculator'!A:A,0),0),0)</f>
        <v>0</v>
      </c>
      <c r="K3240" s="455">
        <f t="shared" ca="1" si="161"/>
        <v>-480689556.84142321</v>
      </c>
      <c r="L3240" s="455">
        <f t="shared" ca="1" si="162"/>
        <v>-115846183198.783</v>
      </c>
      <c r="M3240" s="471">
        <f t="shared" si="164"/>
        <v>0.05</v>
      </c>
      <c r="N3240" s="475">
        <f t="shared" si="165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63"/>
        <v>-115846183198.783</v>
      </c>
      <c r="J3241" s="455">
        <f t="array" ref="J3241">IFERROR(INDEX('Retirement Calculator'!J:J,MATCH('Isaac 401k'!N3241,'Retirement Calculator'!A:A,0),0),0)</f>
        <v>0</v>
      </c>
      <c r="K3241" s="455">
        <f t="shared" ca="1" si="161"/>
        <v>-482692429.99492919</v>
      </c>
      <c r="L3241" s="455">
        <f t="shared" ca="1" si="162"/>
        <v>-116328875628.77794</v>
      </c>
      <c r="M3241" s="471">
        <f t="shared" si="164"/>
        <v>0.05</v>
      </c>
      <c r="N3241" s="475">
        <f t="shared" si="165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63"/>
        <v>-116328875628.77794</v>
      </c>
      <c r="J3242" s="455">
        <f t="array" ref="J3242">IFERROR(INDEX('Retirement Calculator'!J:J,MATCH('Isaac 401k'!N3242,'Retirement Calculator'!A:A,0),0),0)</f>
        <v>0</v>
      </c>
      <c r="K3242" s="455">
        <f t="shared" ca="1" si="161"/>
        <v>-484703648.45324135</v>
      </c>
      <c r="L3242" s="455">
        <f t="shared" ca="1" si="162"/>
        <v>-116813579277.23119</v>
      </c>
      <c r="M3242" s="471">
        <f t="shared" si="164"/>
        <v>0.05</v>
      </c>
      <c r="N3242" s="475">
        <f t="shared" si="165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63"/>
        <v>-116813579277.23119</v>
      </c>
      <c r="J3243" s="455">
        <f t="array" ref="J3243">IFERROR(INDEX('Retirement Calculator'!J:J,MATCH('Isaac 401k'!N3243,'Retirement Calculator'!A:A,0),0),0)</f>
        <v>0</v>
      </c>
      <c r="K3243" s="455">
        <f t="shared" ca="1" si="161"/>
        <v>-486723246.98846328</v>
      </c>
      <c r="L3243" s="455">
        <f t="shared" ca="1" si="162"/>
        <v>-117300302524.21965</v>
      </c>
      <c r="M3243" s="471">
        <f t="shared" si="164"/>
        <v>0.05</v>
      </c>
      <c r="N3243" s="475">
        <f t="shared" si="165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63"/>
        <v>-117300302524.21965</v>
      </c>
      <c r="J3244" s="455">
        <f t="array" ref="J3244">IFERROR(INDEX('Retirement Calculator'!J:J,MATCH('Isaac 401k'!N3244,'Retirement Calculator'!A:A,0),0),0)</f>
        <v>0</v>
      </c>
      <c r="K3244" s="455">
        <f t="shared" ca="1" si="161"/>
        <v>-488751260.51758188</v>
      </c>
      <c r="L3244" s="455">
        <f t="shared" ca="1" si="162"/>
        <v>-117789053784.73723</v>
      </c>
      <c r="M3244" s="471">
        <f t="shared" si="164"/>
        <v>0.05</v>
      </c>
      <c r="N3244" s="475">
        <f t="shared" si="165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63"/>
        <v>-117789053784.73723</v>
      </c>
      <c r="J3245" s="455">
        <f t="array" ref="J3245">IFERROR(INDEX('Retirement Calculator'!J:J,MATCH('Isaac 401k'!N3245,'Retirement Calculator'!A:A,0),0),0)</f>
        <v>0</v>
      </c>
      <c r="K3245" s="455">
        <f t="shared" ca="1" si="161"/>
        <v>-490787724.10307175</v>
      </c>
      <c r="L3245" s="455">
        <f t="shared" ca="1" si="162"/>
        <v>-118279841508.8403</v>
      </c>
      <c r="M3245" s="471">
        <f t="shared" si="164"/>
        <v>0.05</v>
      </c>
      <c r="N3245" s="475">
        <f t="shared" si="165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63"/>
        <v>-118279841508.8403</v>
      </c>
      <c r="J3246" s="455">
        <f t="array" ref="J3246">IFERROR(INDEX('Retirement Calculator'!J:J,MATCH('Isaac 401k'!N3246,'Retirement Calculator'!A:A,0),0),0)</f>
        <v>0</v>
      </c>
      <c r="K3246" s="455">
        <f t="shared" ca="1" si="161"/>
        <v>-492832672.95350116</v>
      </c>
      <c r="L3246" s="455">
        <f t="shared" ca="1" si="162"/>
        <v>-118772674181.79381</v>
      </c>
      <c r="M3246" s="471">
        <f t="shared" si="164"/>
        <v>0.05</v>
      </c>
      <c r="N3246" s="475">
        <f t="shared" si="165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63"/>
        <v>-118772674181.79381</v>
      </c>
      <c r="J3247" s="455">
        <f t="array" ref="J3247">IFERROR(INDEX('Retirement Calculator'!J:J,MATCH('Isaac 401k'!N3247,'Retirement Calculator'!A:A,0),0),0)</f>
        <v>0</v>
      </c>
      <c r="K3247" s="455">
        <f t="shared" ca="1" si="161"/>
        <v>-494886142.42414087</v>
      </c>
      <c r="L3247" s="455">
        <f t="shared" ca="1" si="162"/>
        <v>-119267560324.21794</v>
      </c>
      <c r="M3247" s="471">
        <f t="shared" si="164"/>
        <v>0.05</v>
      </c>
      <c r="N3247" s="475">
        <f t="shared" si="165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63"/>
        <v>-119267560324.21794</v>
      </c>
      <c r="J3248" s="455">
        <f t="array" ref="J3248">IFERROR(INDEX('Retirement Calculator'!J:J,MATCH('Isaac 401k'!N3248,'Retirement Calculator'!A:A,0),0),0)</f>
        <v>0</v>
      </c>
      <c r="K3248" s="455">
        <f t="shared" ca="1" si="161"/>
        <v>-496948168.01757473</v>
      </c>
      <c r="L3248" s="455">
        <f t="shared" ca="1" si="162"/>
        <v>-119764508492.23552</v>
      </c>
      <c r="M3248" s="471">
        <f t="shared" si="164"/>
        <v>0.05</v>
      </c>
      <c r="N3248" s="475">
        <f t="shared" si="165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63"/>
        <v>-119764508492.23552</v>
      </c>
      <c r="J3249" s="455">
        <f t="array" ref="J3249">IFERROR(INDEX('Retirement Calculator'!J:J,MATCH('Isaac 401k'!N3249,'Retirement Calculator'!A:A,0),0),0)</f>
        <v>0</v>
      </c>
      <c r="K3249" s="455">
        <f t="shared" ca="1" si="161"/>
        <v>-499018785.38431472</v>
      </c>
      <c r="L3249" s="455">
        <f t="shared" ca="1" si="162"/>
        <v>-120263527277.61983</v>
      </c>
      <c r="M3249" s="471">
        <f t="shared" si="164"/>
        <v>0.05</v>
      </c>
      <c r="N3249" s="475">
        <f t="shared" si="165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63"/>
        <v>-120263527277.61983</v>
      </c>
      <c r="J3250" s="455">
        <f t="array" ref="J3250">IFERROR(INDEX('Retirement Calculator'!J:J,MATCH('Isaac 401k'!N3250,'Retirement Calculator'!A:A,0),0),0)</f>
        <v>0</v>
      </c>
      <c r="K3250" s="455">
        <f t="shared" ca="1" si="161"/>
        <v>-501098030.32341594</v>
      </c>
      <c r="L3250" s="455">
        <f t="shared" ca="1" si="162"/>
        <v>-120764625307.94324</v>
      </c>
      <c r="M3250" s="471">
        <f t="shared" si="164"/>
        <v>0.05</v>
      </c>
      <c r="N3250" s="475">
        <f t="shared" si="165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63"/>
        <v>-120764625307.94324</v>
      </c>
      <c r="J3251" s="455">
        <f t="array" ref="J3251">IFERROR(INDEX('Retirement Calculator'!J:J,MATCH('Isaac 401k'!N3251,'Retirement Calculator'!A:A,0),0),0)</f>
        <v>0</v>
      </c>
      <c r="K3251" s="455">
        <f t="shared" ca="1" si="161"/>
        <v>-503185938.78309685</v>
      </c>
      <c r="L3251" s="455">
        <f t="shared" ca="1" si="162"/>
        <v>-121267811246.72633</v>
      </c>
      <c r="M3251" s="471">
        <f t="shared" si="164"/>
        <v>0.05</v>
      </c>
      <c r="N3251" s="475">
        <f t="shared" si="165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63"/>
        <v>-121267811246.72633</v>
      </c>
      <c r="J3252" s="455">
        <f t="array" ref="J3252">IFERROR(INDEX('Retirement Calculator'!J:J,MATCH('Isaac 401k'!N3252,'Retirement Calculator'!A:A,0),0),0)</f>
        <v>0</v>
      </c>
      <c r="K3252" s="455">
        <f t="shared" ca="1" si="161"/>
        <v>-505282546.86135972</v>
      </c>
      <c r="L3252" s="455">
        <f t="shared" ca="1" si="162"/>
        <v>-121773093793.58769</v>
      </c>
      <c r="M3252" s="471">
        <f t="shared" si="164"/>
        <v>0.05</v>
      </c>
      <c r="N3252" s="475">
        <f t="shared" si="165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63"/>
        <v>-121773093793.58769</v>
      </c>
      <c r="J3253" s="455">
        <f t="array" ref="J3253">IFERROR(INDEX('Retirement Calculator'!J:J,MATCH('Isaac 401k'!N3253,'Retirement Calculator'!A:A,0),0),0)</f>
        <v>0</v>
      </c>
      <c r="K3253" s="455">
        <f t="shared" ca="1" si="161"/>
        <v>-507387890.80661529</v>
      </c>
      <c r="L3253" s="455">
        <f t="shared" ca="1" si="162"/>
        <v>-122280481684.3943</v>
      </c>
      <c r="M3253" s="471">
        <f t="shared" si="164"/>
        <v>0.05</v>
      </c>
      <c r="N3253" s="475">
        <f t="shared" si="165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63"/>
        <v>-122280481684.3943</v>
      </c>
      <c r="J3254" s="455">
        <f t="array" ref="J3254">IFERROR(INDEX('Retirement Calculator'!J:J,MATCH('Isaac 401k'!N3254,'Retirement Calculator'!A:A,0),0),0)</f>
        <v>0</v>
      </c>
      <c r="K3254" s="455">
        <f t="shared" ca="1" si="161"/>
        <v>-509502007.01830953</v>
      </c>
      <c r="L3254" s="455">
        <f t="shared" ca="1" si="162"/>
        <v>-122789983691.41261</v>
      </c>
      <c r="M3254" s="471">
        <f t="shared" si="164"/>
        <v>0.05</v>
      </c>
      <c r="N3254" s="475">
        <f t="shared" si="165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63"/>
        <v>-122789983691.41261</v>
      </c>
      <c r="J3255" s="455">
        <f t="array" ref="J3255">IFERROR(INDEX('Retirement Calculator'!J:J,MATCH('Isaac 401k'!N3255,'Retirement Calculator'!A:A,0),0),0)</f>
        <v>0</v>
      </c>
      <c r="K3255" s="455">
        <f t="shared" ca="1" si="161"/>
        <v>-511624932.04755253</v>
      </c>
      <c r="L3255" s="455">
        <f t="shared" ca="1" si="162"/>
        <v>-123301608623.46016</v>
      </c>
      <c r="M3255" s="471">
        <f t="shared" si="164"/>
        <v>0.05</v>
      </c>
      <c r="N3255" s="475">
        <f t="shared" si="165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63"/>
        <v>-123301608623.46016</v>
      </c>
      <c r="J3256" s="455">
        <f t="array" ref="J3256">IFERROR(INDEX('Retirement Calculator'!J:J,MATCH('Isaac 401k'!N3256,'Retirement Calculator'!A:A,0),0),0)</f>
        <v>0</v>
      </c>
      <c r="K3256" s="455">
        <f t="shared" ca="1" si="161"/>
        <v>-513756702.59775066</v>
      </c>
      <c r="L3256" s="455">
        <f t="shared" ca="1" si="162"/>
        <v>-123815365326.05791</v>
      </c>
      <c r="M3256" s="471">
        <f t="shared" si="164"/>
        <v>0.05</v>
      </c>
      <c r="N3256" s="475">
        <f t="shared" si="165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63"/>
        <v>-123815365326.05791</v>
      </c>
      <c r="J3257" s="455">
        <f t="array" ref="J3257">IFERROR(INDEX('Retirement Calculator'!J:J,MATCH('Isaac 401k'!N3257,'Retirement Calculator'!A:A,0),0),0)</f>
        <v>0</v>
      </c>
      <c r="K3257" s="455">
        <f t="shared" ca="1" si="161"/>
        <v>-515897355.5252412</v>
      </c>
      <c r="L3257" s="455">
        <f t="shared" ca="1" si="162"/>
        <v>-124331262681.58315</v>
      </c>
      <c r="M3257" s="471">
        <f t="shared" si="164"/>
        <v>0.05</v>
      </c>
      <c r="N3257" s="475">
        <f t="shared" si="165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63"/>
        <v>-124331262681.58315</v>
      </c>
      <c r="J3258" s="455">
        <f t="array" ref="J3258">IFERROR(INDEX('Retirement Calculator'!J:J,MATCH('Isaac 401k'!N3258,'Retirement Calculator'!A:A,0),0),0)</f>
        <v>0</v>
      </c>
      <c r="K3258" s="455">
        <f t="shared" ca="1" si="161"/>
        <v>-518046927.83992982</v>
      </c>
      <c r="L3258" s="455">
        <f t="shared" ca="1" si="162"/>
        <v>-124849309609.42308</v>
      </c>
      <c r="M3258" s="471">
        <f t="shared" si="164"/>
        <v>0.05</v>
      </c>
      <c r="N3258" s="475">
        <f t="shared" si="165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63"/>
        <v>-124849309609.42308</v>
      </c>
      <c r="J3259" s="455">
        <f t="array" ref="J3259">IFERROR(INDEX('Retirement Calculator'!J:J,MATCH('Isaac 401k'!N3259,'Retirement Calculator'!A:A,0),0),0)</f>
        <v>0</v>
      </c>
      <c r="K3259" s="455">
        <f t="shared" ca="1" si="161"/>
        <v>-520205456.70592946</v>
      </c>
      <c r="L3259" s="455">
        <f t="shared" ca="1" si="162"/>
        <v>-125369515066.12901</v>
      </c>
      <c r="M3259" s="471">
        <f t="shared" si="164"/>
        <v>0.05</v>
      </c>
      <c r="N3259" s="475">
        <f t="shared" si="165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63"/>
        <v>-125369515066.12901</v>
      </c>
      <c r="J3260" s="455">
        <f t="array" ref="J3260">IFERROR(INDEX('Retirement Calculator'!J:J,MATCH('Isaac 401k'!N3260,'Retirement Calculator'!A:A,0),0),0)</f>
        <v>0</v>
      </c>
      <c r="K3260" s="455">
        <f t="shared" ca="1" si="161"/>
        <v>-522372979.44220418</v>
      </c>
      <c r="L3260" s="455">
        <f t="shared" ca="1" si="162"/>
        <v>-125891888045.57121</v>
      </c>
      <c r="M3260" s="471">
        <f t="shared" si="164"/>
        <v>0.05</v>
      </c>
      <c r="N3260" s="475">
        <f t="shared" si="165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63"/>
        <v>-125891888045.57121</v>
      </c>
      <c r="J3261" s="455">
        <f t="array" ref="J3261">IFERROR(INDEX('Retirement Calculator'!J:J,MATCH('Isaac 401k'!N3261,'Retirement Calculator'!A:A,0),0),0)</f>
        <v>0</v>
      </c>
      <c r="K3261" s="455">
        <f t="shared" ca="1" si="161"/>
        <v>-524549533.52321333</v>
      </c>
      <c r="L3261" s="455">
        <f t="shared" ca="1" si="162"/>
        <v>-126416437579.09442</v>
      </c>
      <c r="M3261" s="471">
        <f t="shared" si="164"/>
        <v>0.05</v>
      </c>
      <c r="N3261" s="475">
        <f t="shared" si="165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63"/>
        <v>-126416437579.09442</v>
      </c>
      <c r="J3262" s="455">
        <f t="array" ref="J3262">IFERROR(INDEX('Retirement Calculator'!J:J,MATCH('Isaac 401k'!N3262,'Retirement Calculator'!A:A,0),0),0)</f>
        <v>0</v>
      </c>
      <c r="K3262" s="455">
        <f t="shared" ca="1" si="161"/>
        <v>-526735156.57956016</v>
      </c>
      <c r="L3262" s="455">
        <f t="shared" ca="1" si="162"/>
        <v>-126943172735.67398</v>
      </c>
      <c r="M3262" s="471">
        <f t="shared" si="164"/>
        <v>0.05</v>
      </c>
      <c r="N3262" s="475">
        <f t="shared" si="165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63"/>
        <v>-126943172735.67398</v>
      </c>
      <c r="J3263" s="455">
        <f t="array" ref="J3263">IFERROR(INDEX('Retirement Calculator'!J:J,MATCH('Isaac 401k'!N3263,'Retirement Calculator'!A:A,0),0),0)</f>
        <v>0</v>
      </c>
      <c r="K3263" s="455">
        <f t="shared" ca="1" si="161"/>
        <v>-528929886.39864159</v>
      </c>
      <c r="L3263" s="455">
        <f t="shared" ca="1" si="162"/>
        <v>-127472102622.07262</v>
      </c>
      <c r="M3263" s="471">
        <f t="shared" si="164"/>
        <v>0.05</v>
      </c>
      <c r="N3263" s="475">
        <f t="shared" si="165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63"/>
        <v>-127472102622.07262</v>
      </c>
      <c r="J3264" s="455">
        <f t="array" ref="J3264">IFERROR(INDEX('Retirement Calculator'!J:J,MATCH('Isaac 401k'!N3264,'Retirement Calculator'!A:A,0),0),0)</f>
        <v>0</v>
      </c>
      <c r="K3264" s="455">
        <f t="shared" ca="1" si="161"/>
        <v>-531133760.92530262</v>
      </c>
      <c r="L3264" s="455">
        <f t="shared" ca="1" si="162"/>
        <v>-128003236382.99792</v>
      </c>
      <c r="M3264" s="471">
        <f t="shared" si="164"/>
        <v>0.05</v>
      </c>
      <c r="N3264" s="475">
        <f t="shared" si="165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63"/>
        <v>-128003236382.99792</v>
      </c>
      <c r="J3265" s="455">
        <f t="array" ref="J3265">IFERROR(INDEX('Retirement Calculator'!J:J,MATCH('Isaac 401k'!N3265,'Retirement Calculator'!A:A,0),0),0)</f>
        <v>0</v>
      </c>
      <c r="K3265" s="455">
        <f t="shared" ca="1" si="161"/>
        <v>-533346818.26249129</v>
      </c>
      <c r="L3265" s="455">
        <f t="shared" ca="1" si="162"/>
        <v>-128536583201.26042</v>
      </c>
      <c r="M3265" s="471">
        <f t="shared" si="164"/>
        <v>0.05</v>
      </c>
      <c r="N3265" s="475">
        <f t="shared" si="165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63"/>
        <v>-128536583201.26042</v>
      </c>
      <c r="J3266" s="455">
        <f t="array" ref="J3266">IFERROR(INDEX('Retirement Calculator'!J:J,MATCH('Isaac 401k'!N3266,'Retirement Calculator'!A:A,0),0),0)</f>
        <v>0</v>
      </c>
      <c r="K3266" s="455">
        <f t="shared" ca="1" si="161"/>
        <v>-535569096.67191833</v>
      </c>
      <c r="L3266" s="455">
        <f t="shared" ca="1" si="162"/>
        <v>-129072152297.93234</v>
      </c>
      <c r="M3266" s="471">
        <f t="shared" si="164"/>
        <v>0.05</v>
      </c>
      <c r="N3266" s="475">
        <f t="shared" si="165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63"/>
        <v>-129072152297.93234</v>
      </c>
      <c r="J3267" s="455">
        <f t="array" ref="J3267">IFERROR(INDEX('Retirement Calculator'!J:J,MATCH('Isaac 401k'!N3267,'Retirement Calculator'!A:A,0),0),0)</f>
        <v>0</v>
      </c>
      <c r="K3267" s="455">
        <f t="shared" ca="1" si="161"/>
        <v>-537800634.57471812</v>
      </c>
      <c r="L3267" s="455">
        <f t="shared" ca="1" si="162"/>
        <v>-129609952932.50706</v>
      </c>
      <c r="M3267" s="471">
        <f t="shared" si="164"/>
        <v>0.05</v>
      </c>
      <c r="N3267" s="475">
        <f t="shared" si="165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63"/>
        <v>-129609952932.50706</v>
      </c>
      <c r="J3268" s="455">
        <f t="array" ref="J3268">IFERROR(INDEX('Retirement Calculator'!J:J,MATCH('Isaac 401k'!N3268,'Retirement Calculator'!A:A,0),0),0)</f>
        <v>0</v>
      </c>
      <c r="K3268" s="455">
        <f t="shared" ca="1" si="161"/>
        <v>-540041470.5521127</v>
      </c>
      <c r="L3268" s="455">
        <f t="shared" ca="1" si="162"/>
        <v>-130149994403.05917</v>
      </c>
      <c r="M3268" s="471">
        <f t="shared" si="164"/>
        <v>0.05</v>
      </c>
      <c r="N3268" s="475">
        <f t="shared" si="165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63"/>
        <v>-130149994403.05917</v>
      </c>
      <c r="J3269" s="455">
        <f t="array" ref="J3269">IFERROR(INDEX('Retirement Calculator'!J:J,MATCH('Isaac 401k'!N3269,'Retirement Calculator'!A:A,0),0),0)</f>
        <v>0</v>
      </c>
      <c r="K3269" s="455">
        <f t="shared" ca="1" si="161"/>
        <v>-542291643.34607983</v>
      </c>
      <c r="L3269" s="455">
        <f t="shared" ca="1" si="162"/>
        <v>-130692286046.40526</v>
      </c>
      <c r="M3269" s="471">
        <f t="shared" si="164"/>
        <v>0.05</v>
      </c>
      <c r="N3269" s="475">
        <f t="shared" si="165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63"/>
        <v>-130692286046.40526</v>
      </c>
      <c r="J3270" s="455">
        <f t="array" ref="J3270">IFERROR(INDEX('Retirement Calculator'!J:J,MATCH('Isaac 401k'!N3270,'Retirement Calculator'!A:A,0),0),0)</f>
        <v>0</v>
      </c>
      <c r="K3270" s="455">
        <f t="shared" ca="1" si="161"/>
        <v>-544551191.86002195</v>
      </c>
      <c r="L3270" s="455">
        <f t="shared" ca="1" si="162"/>
        <v>-131236837238.26527</v>
      </c>
      <c r="M3270" s="471">
        <f t="shared" si="164"/>
        <v>0.05</v>
      </c>
      <c r="N3270" s="475">
        <f t="shared" si="165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63"/>
        <v>-131236837238.26527</v>
      </c>
      <c r="J3271" s="455">
        <f t="array" ref="J3271">IFERROR(INDEX('Retirement Calculator'!J:J,MATCH('Isaac 401k'!N3271,'Retirement Calculator'!A:A,0),0),0)</f>
        <v>0</v>
      </c>
      <c r="K3271" s="455">
        <f t="shared" ca="1" si="161"/>
        <v>-546820155.15943861</v>
      </c>
      <c r="L3271" s="455">
        <f t="shared" ca="1" si="162"/>
        <v>-131783657393.42471</v>
      </c>
      <c r="M3271" s="471">
        <f t="shared" si="164"/>
        <v>0.05</v>
      </c>
      <c r="N3271" s="475">
        <f t="shared" si="165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63"/>
        <v>-131783657393.42471</v>
      </c>
      <c r="J3272" s="455">
        <f t="array" ref="J3272">IFERROR(INDEX('Retirement Calculator'!J:J,MATCH('Isaac 401k'!N3272,'Retirement Calculator'!A:A,0),0),0)</f>
        <v>0</v>
      </c>
      <c r="K3272" s="455">
        <f t="shared" ca="1" si="161"/>
        <v>-549098572.47260296</v>
      </c>
      <c r="L3272" s="455">
        <f t="shared" ca="1" si="162"/>
        <v>-132332755965.89732</v>
      </c>
      <c r="M3272" s="471">
        <f t="shared" si="164"/>
        <v>0.05</v>
      </c>
      <c r="N3272" s="475">
        <f t="shared" si="165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63"/>
        <v>-132332755965.89732</v>
      </c>
      <c r="J3273" s="455">
        <f t="array" ref="J3273">IFERROR(INDEX('Retirement Calculator'!J:J,MATCH('Isaac 401k'!N3273,'Retirement Calculator'!A:A,0),0),0)</f>
        <v>0</v>
      </c>
      <c r="K3273" s="455">
        <f t="shared" ca="1" si="161"/>
        <v>-551386483.19123876</v>
      </c>
      <c r="L3273" s="455">
        <f t="shared" ca="1" si="162"/>
        <v>-132884142449.08856</v>
      </c>
      <c r="M3273" s="471">
        <f t="shared" si="164"/>
        <v>0.05</v>
      </c>
      <c r="N3273" s="475">
        <f t="shared" si="165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63"/>
        <v>-132884142449.08856</v>
      </c>
      <c r="J3274" s="455">
        <f t="array" ref="J3274">IFERROR(INDEX('Retirement Calculator'!J:J,MATCH('Isaac 401k'!N3274,'Retirement Calculator'!A:A,0),0),0)</f>
        <v>0</v>
      </c>
      <c r="K3274" s="455">
        <f t="shared" ca="1" si="161"/>
        <v>-553683926.87120235</v>
      </c>
      <c r="L3274" s="455">
        <f t="shared" ca="1" si="162"/>
        <v>-133437826375.95976</v>
      </c>
      <c r="M3274" s="471">
        <f t="shared" si="164"/>
        <v>0.05</v>
      </c>
      <c r="N3274" s="475">
        <f t="shared" si="165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63"/>
        <v>-133437826375.95976</v>
      </c>
      <c r="J3275" s="455">
        <f t="array" ref="J3275">IFERROR(INDEX('Retirement Calculator'!J:J,MATCH('Isaac 401k'!N3275,'Retirement Calculator'!A:A,0),0),0)</f>
        <v>0</v>
      </c>
      <c r="K3275" s="455">
        <f t="shared" ca="1" si="161"/>
        <v>-555990943.23316562</v>
      </c>
      <c r="L3275" s="455">
        <f t="shared" ca="1" si="162"/>
        <v>-133993817319.19293</v>
      </c>
      <c r="M3275" s="471">
        <f t="shared" si="164"/>
        <v>0.05</v>
      </c>
      <c r="N3275" s="475">
        <f t="shared" si="165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63"/>
        <v>-133993817319.19293</v>
      </c>
      <c r="J3276" s="455">
        <f t="array" ref="J3276">IFERROR(INDEX('Retirement Calculator'!J:J,MATCH('Isaac 401k'!N3276,'Retirement Calculator'!A:A,0),0),0)</f>
        <v>0</v>
      </c>
      <c r="K3276" s="455">
        <f t="shared" ca="1" si="161"/>
        <v>-558307572.16330397</v>
      </c>
      <c r="L3276" s="455">
        <f t="shared" ca="1" si="162"/>
        <v>-134552124891.35623</v>
      </c>
      <c r="M3276" s="471">
        <f t="shared" si="164"/>
        <v>0.05</v>
      </c>
      <c r="N3276" s="475">
        <f t="shared" si="165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63"/>
        <v>-134552124891.35623</v>
      </c>
      <c r="J3277" s="455">
        <f t="array" ref="J3277">IFERROR(INDEX('Retirement Calculator'!J:J,MATCH('Isaac 401k'!N3277,'Retirement Calculator'!A:A,0),0),0)</f>
        <v>0</v>
      </c>
      <c r="K3277" s="455">
        <f t="shared" ca="1" si="161"/>
        <v>-560633853.71398437</v>
      </c>
      <c r="L3277" s="455">
        <f t="shared" ca="1" si="162"/>
        <v>-135112758745.07022</v>
      </c>
      <c r="M3277" s="471">
        <f t="shared" si="164"/>
        <v>0.05</v>
      </c>
      <c r="N3277" s="475">
        <f t="shared" si="165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63"/>
        <v>-135112758745.07022</v>
      </c>
      <c r="J3278" s="455">
        <f t="array" ref="J3278">IFERROR(INDEX('Retirement Calculator'!J:J,MATCH('Isaac 401k'!N3278,'Retirement Calculator'!A:A,0),0),0)</f>
        <v>0</v>
      </c>
      <c r="K3278" s="455">
        <f t="shared" ca="1" si="161"/>
        <v>-562969828.10445929</v>
      </c>
      <c r="L3278" s="455">
        <f t="shared" ca="1" si="162"/>
        <v>-135675728573.17468</v>
      </c>
      <c r="M3278" s="471">
        <f t="shared" si="164"/>
        <v>0.05</v>
      </c>
      <c r="N3278" s="475">
        <f t="shared" si="165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63"/>
        <v>-135675728573.17468</v>
      </c>
      <c r="J3279" s="455">
        <f t="array" ref="J3279">IFERROR(INDEX('Retirement Calculator'!J:J,MATCH('Isaac 401k'!N3279,'Retirement Calculator'!A:A,0),0),0)</f>
        <v>0</v>
      </c>
      <c r="K3279" s="455">
        <f t="shared" ca="1" si="161"/>
        <v>-565315535.72156119</v>
      </c>
      <c r="L3279" s="455">
        <f t="shared" ca="1" si="162"/>
        <v>-136241044108.89624</v>
      </c>
      <c r="M3279" s="471">
        <f t="shared" si="164"/>
        <v>0.05</v>
      </c>
      <c r="N3279" s="475">
        <f t="shared" si="165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63"/>
        <v>-136241044108.89624</v>
      </c>
      <c r="J3280" s="455">
        <f t="array" ref="J3280">IFERROR(INDEX('Retirement Calculator'!J:J,MATCH('Isaac 401k'!N3280,'Retirement Calculator'!A:A,0),0),0)</f>
        <v>0</v>
      </c>
      <c r="K3280" s="455">
        <f t="shared" ca="1" si="161"/>
        <v>-567671017.12040102</v>
      </c>
      <c r="L3280" s="455">
        <f t="shared" ca="1" si="162"/>
        <v>-136808715126.01665</v>
      </c>
      <c r="M3280" s="471">
        <f t="shared" si="164"/>
        <v>0.05</v>
      </c>
      <c r="N3280" s="475">
        <f t="shared" si="165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63"/>
        <v>-136808715126.01665</v>
      </c>
      <c r="J3281" s="455">
        <f t="array" ref="J3281">IFERROR(INDEX('Retirement Calculator'!J:J,MATCH('Isaac 401k'!N3281,'Retirement Calculator'!A:A,0),0),0)</f>
        <v>0</v>
      </c>
      <c r="K3281" s="455">
        <f t="shared" ca="1" si="161"/>
        <v>-570036313.02506924</v>
      </c>
      <c r="L3281" s="455">
        <f t="shared" ca="1" si="162"/>
        <v>-137378751439.04172</v>
      </c>
      <c r="M3281" s="471">
        <f t="shared" si="164"/>
        <v>0.05</v>
      </c>
      <c r="N3281" s="475">
        <f t="shared" si="165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63"/>
        <v>-137378751439.04172</v>
      </c>
      <c r="J3282" s="455">
        <f t="array" ref="J3282">IFERROR(INDEX('Retirement Calculator'!J:J,MATCH('Isaac 401k'!N3282,'Retirement Calculator'!A:A,0),0),0)</f>
        <v>0</v>
      </c>
      <c r="K3282" s="455">
        <f t="shared" ca="1" si="161"/>
        <v>-572411464.32934046</v>
      </c>
      <c r="L3282" s="455">
        <f t="shared" ca="1" si="162"/>
        <v>-137951162903.37106</v>
      </c>
      <c r="M3282" s="471">
        <f t="shared" si="164"/>
        <v>0.05</v>
      </c>
      <c r="N3282" s="475">
        <f t="shared" si="165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63"/>
        <v>-137951162903.37106</v>
      </c>
      <c r="J3283" s="455">
        <f t="array" ref="J3283">IFERROR(INDEX('Retirement Calculator'!J:J,MATCH('Isaac 401k'!N3283,'Retirement Calculator'!A:A,0),0),0)</f>
        <v>0</v>
      </c>
      <c r="K3283" s="455">
        <f t="shared" ca="1" si="161"/>
        <v>-574796512.09737945</v>
      </c>
      <c r="L3283" s="455">
        <f t="shared" ca="1" si="162"/>
        <v>-138525959415.46844</v>
      </c>
      <c r="M3283" s="471">
        <f t="shared" si="164"/>
        <v>0.05</v>
      </c>
      <c r="N3283" s="475">
        <f t="shared" si="165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63"/>
        <v>-138525959415.46844</v>
      </c>
      <c r="J3284" s="455">
        <f t="array" ref="J3284">IFERROR(INDEX('Retirement Calculator'!J:J,MATCH('Isaac 401k'!N3284,'Retirement Calculator'!A:A,0),0),0)</f>
        <v>0</v>
      </c>
      <c r="K3284" s="455">
        <f t="shared" ca="1" si="161"/>
        <v>-577191497.56445181</v>
      </c>
      <c r="L3284" s="455">
        <f t="shared" ca="1" si="162"/>
        <v>-139103150913.0329</v>
      </c>
      <c r="M3284" s="471">
        <f t="shared" si="164"/>
        <v>0.05</v>
      </c>
      <c r="N3284" s="475">
        <f t="shared" si="165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63"/>
        <v>-139103150913.0329</v>
      </c>
      <c r="J3285" s="455">
        <f t="array" ref="J3285">IFERROR(INDEX('Retirement Calculator'!J:J,MATCH('Isaac 401k'!N3285,'Retirement Calculator'!A:A,0),0),0)</f>
        <v>0</v>
      </c>
      <c r="K3285" s="455">
        <f t="shared" ca="1" si="161"/>
        <v>-579596462.13763702</v>
      </c>
      <c r="L3285" s="455">
        <f t="shared" ca="1" si="162"/>
        <v>-139682747375.17053</v>
      </c>
      <c r="M3285" s="471">
        <f t="shared" si="164"/>
        <v>0.05</v>
      </c>
      <c r="N3285" s="475">
        <f t="shared" si="165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63"/>
        <v>-139682747375.17053</v>
      </c>
      <c r="J3286" s="455">
        <f t="array" ref="J3286">IFERROR(INDEX('Retirement Calculator'!J:J,MATCH('Isaac 401k'!N3286,'Retirement Calculator'!A:A,0),0),0)</f>
        <v>0</v>
      </c>
      <c r="K3286" s="455">
        <f t="shared" ca="1" si="161"/>
        <v>-582011447.39654386</v>
      </c>
      <c r="L3286" s="455">
        <f t="shared" ca="1" si="162"/>
        <v>-140264758822.56708</v>
      </c>
      <c r="M3286" s="471">
        <f t="shared" si="164"/>
        <v>0.05</v>
      </c>
      <c r="N3286" s="475">
        <f t="shared" si="165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63"/>
        <v>-140264758822.56708</v>
      </c>
      <c r="J3287" s="455">
        <f t="array" ref="J3287">IFERROR(INDEX('Retirement Calculator'!J:J,MATCH('Isaac 401k'!N3287,'Retirement Calculator'!A:A,0),0),0)</f>
        <v>0</v>
      </c>
      <c r="K3287" s="455">
        <f t="shared" ca="1" si="161"/>
        <v>-584436495.09402943</v>
      </c>
      <c r="L3287" s="455">
        <f t="shared" ca="1" si="162"/>
        <v>-140849195317.6611</v>
      </c>
      <c r="M3287" s="471">
        <f t="shared" si="164"/>
        <v>0.05</v>
      </c>
      <c r="N3287" s="475">
        <f t="shared" si="165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63"/>
        <v>-140849195317.6611</v>
      </c>
      <c r="J3288" s="455">
        <f t="array" ref="J3288">IFERROR(INDEX('Retirement Calculator'!J:J,MATCH('Isaac 401k'!N3288,'Retirement Calculator'!A:A,0),0),0)</f>
        <v>0</v>
      </c>
      <c r="K3288" s="455">
        <f t="shared" ca="1" si="161"/>
        <v>-586871647.15692127</v>
      </c>
      <c r="L3288" s="455">
        <f t="shared" ca="1" si="162"/>
        <v>-141436066964.81802</v>
      </c>
      <c r="M3288" s="471">
        <f t="shared" si="164"/>
        <v>0.05</v>
      </c>
      <c r="N3288" s="475">
        <f t="shared" si="165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63"/>
        <v>-141436066964.81802</v>
      </c>
      <c r="J3289" s="455">
        <f t="array" ref="J3289">IFERROR(INDEX('Retirement Calculator'!J:J,MATCH('Isaac 401k'!N3289,'Retirement Calculator'!A:A,0),0),0)</f>
        <v>0</v>
      </c>
      <c r="K3289" s="455">
        <f t="shared" ca="1" si="161"/>
        <v>-589316945.68674171</v>
      </c>
      <c r="L3289" s="455">
        <f t="shared" ca="1" si="162"/>
        <v>-142025383910.50476</v>
      </c>
      <c r="M3289" s="471">
        <f t="shared" si="164"/>
        <v>0.05</v>
      </c>
      <c r="N3289" s="475">
        <f t="shared" si="165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63"/>
        <v>-142025383910.50476</v>
      </c>
      <c r="J3290" s="455">
        <f t="array" ref="J3290">IFERROR(INDEX('Retirement Calculator'!J:J,MATCH('Isaac 401k'!N3290,'Retirement Calculator'!A:A,0),0),0)</f>
        <v>0</v>
      </c>
      <c r="K3290" s="455">
        <f t="shared" ca="1" si="161"/>
        <v>-591772432.96043646</v>
      </c>
      <c r="L3290" s="455">
        <f t="shared" ca="1" si="162"/>
        <v>-142617156343.46521</v>
      </c>
      <c r="M3290" s="471">
        <f t="shared" si="164"/>
        <v>0.05</v>
      </c>
      <c r="N3290" s="475">
        <f t="shared" si="165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63"/>
        <v>-142617156343.46521</v>
      </c>
      <c r="J3291" s="455">
        <f t="array" ref="J3291">IFERROR(INDEX('Retirement Calculator'!J:J,MATCH('Isaac 401k'!N3291,'Retirement Calculator'!A:A,0),0),0)</f>
        <v>0</v>
      </c>
      <c r="K3291" s="455">
        <f t="shared" ca="1" si="161"/>
        <v>-594238151.43110502</v>
      </c>
      <c r="L3291" s="455">
        <f t="shared" ca="1" si="162"/>
        <v>-143211394494.8963</v>
      </c>
      <c r="M3291" s="471">
        <f t="shared" si="164"/>
        <v>0.05</v>
      </c>
      <c r="N3291" s="475">
        <f t="shared" si="165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63"/>
        <v>-143211394494.8963</v>
      </c>
      <c r="J3292" s="455">
        <f t="array" ref="J3292">IFERROR(INDEX('Retirement Calculator'!J:J,MATCH('Isaac 401k'!N3292,'Retirement Calculator'!A:A,0),0),0)</f>
        <v>0</v>
      </c>
      <c r="K3292" s="455">
        <f t="shared" ca="1" si="161"/>
        <v>-596714143.72873461</v>
      </c>
      <c r="L3292" s="455">
        <f t="shared" ca="1" si="162"/>
        <v>-143808108638.62503</v>
      </c>
      <c r="M3292" s="471">
        <f t="shared" si="164"/>
        <v>0.05</v>
      </c>
      <c r="N3292" s="475">
        <f t="shared" si="165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63"/>
        <v>-143808108638.62503</v>
      </c>
      <c r="J3293" s="455">
        <f t="array" ref="J3293">IFERROR(INDEX('Retirement Calculator'!J:J,MATCH('Isaac 401k'!N3293,'Retirement Calculator'!A:A,0),0),0)</f>
        <v>0</v>
      </c>
      <c r="K3293" s="455">
        <f t="shared" ca="1" si="161"/>
        <v>-599200452.66093767</v>
      </c>
      <c r="L3293" s="455">
        <f t="shared" ca="1" si="162"/>
        <v>-144407309091.28598</v>
      </c>
      <c r="M3293" s="471">
        <f t="shared" si="164"/>
        <v>0.05</v>
      </c>
      <c r="N3293" s="475">
        <f t="shared" si="165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63"/>
        <v>-144407309091.28598</v>
      </c>
      <c r="J3294" s="455">
        <f t="array" ref="J3294">IFERROR(INDEX('Retirement Calculator'!J:J,MATCH('Isaac 401k'!N3294,'Retirement Calculator'!A:A,0),0),0)</f>
        <v>0</v>
      </c>
      <c r="K3294" s="455">
        <f t="shared" ca="1" si="161"/>
        <v>-601697121.21369159</v>
      </c>
      <c r="L3294" s="455">
        <f t="shared" ca="1" si="162"/>
        <v>-145009006212.49966</v>
      </c>
      <c r="M3294" s="471">
        <f t="shared" si="164"/>
        <v>0.05</v>
      </c>
      <c r="N3294" s="475">
        <f t="shared" si="165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63"/>
        <v>-145009006212.49966</v>
      </c>
      <c r="J3295" s="455">
        <f t="array" ref="J3295">IFERROR(INDEX('Retirement Calculator'!J:J,MATCH('Isaac 401k'!N3295,'Retirement Calculator'!A:A,0),0),0)</f>
        <v>0</v>
      </c>
      <c r="K3295" s="455">
        <f t="shared" ca="1" si="161"/>
        <v>-604204192.55208194</v>
      </c>
      <c r="L3295" s="455">
        <f t="shared" ca="1" si="162"/>
        <v>-145613210405.05176</v>
      </c>
      <c r="M3295" s="471">
        <f t="shared" si="164"/>
        <v>0.05</v>
      </c>
      <c r="N3295" s="475">
        <f t="shared" si="165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63"/>
        <v>-145613210405.05176</v>
      </c>
      <c r="J3296" s="455">
        <f t="array" ref="J3296">IFERROR(INDEX('Retirement Calculator'!J:J,MATCH('Isaac 401k'!N3296,'Retirement Calculator'!A:A,0),0),0)</f>
        <v>0</v>
      </c>
      <c r="K3296" s="455">
        <f t="shared" ca="1" si="161"/>
        <v>-606721710.02104902</v>
      </c>
      <c r="L3296" s="455">
        <f t="shared" ca="1" si="162"/>
        <v>-146219932115.07281</v>
      </c>
      <c r="M3296" s="471">
        <f t="shared" si="164"/>
        <v>0.05</v>
      </c>
      <c r="N3296" s="475">
        <f t="shared" si="165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63"/>
        <v>-146219932115.07281</v>
      </c>
      <c r="J3297" s="455">
        <f t="array" ref="J3297">IFERROR(INDEX('Retirement Calculator'!J:J,MATCH('Isaac 401k'!N3297,'Retirement Calculator'!A:A,0),0),0)</f>
        <v>0</v>
      </c>
      <c r="K3297" s="455">
        <f t="shared" ca="1" si="161"/>
        <v>-609249717.14613676</v>
      </c>
      <c r="L3297" s="455">
        <f t="shared" ca="1" si="162"/>
        <v>-146829181832.21896</v>
      </c>
      <c r="M3297" s="471">
        <f t="shared" si="164"/>
        <v>0.05</v>
      </c>
      <c r="N3297" s="475">
        <f t="shared" si="165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63"/>
        <v>-146829181832.21896</v>
      </c>
      <c r="J3298" s="455">
        <f t="array" ref="J3298">IFERROR(INDEX('Retirement Calculator'!J:J,MATCH('Isaac 401k'!N3298,'Retirement Calculator'!A:A,0),0),0)</f>
        <v>0</v>
      </c>
      <c r="K3298" s="455">
        <f t="shared" ca="1" si="161"/>
        <v>-611788257.63424563</v>
      </c>
      <c r="L3298" s="455">
        <f t="shared" ca="1" si="162"/>
        <v>-147440970089.85321</v>
      </c>
      <c r="M3298" s="471">
        <f t="shared" si="164"/>
        <v>0.05</v>
      </c>
      <c r="N3298" s="475">
        <f t="shared" si="165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63"/>
        <v>-147440970089.85321</v>
      </c>
      <c r="J3299" s="455">
        <f t="array" ref="J3299">IFERROR(INDEX('Retirement Calculator'!J:J,MATCH('Isaac 401k'!N3299,'Retirement Calculator'!A:A,0),0),0)</f>
        <v>0</v>
      </c>
      <c r="K3299" s="455">
        <f t="shared" ca="1" si="161"/>
        <v>-614337375.37438834</v>
      </c>
      <c r="L3299" s="455">
        <f t="shared" ca="1" si="162"/>
        <v>-148055307465.2276</v>
      </c>
      <c r="M3299" s="471">
        <f t="shared" si="164"/>
        <v>0.05</v>
      </c>
      <c r="N3299" s="475">
        <f t="shared" si="165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63"/>
        <v>-148055307465.2276</v>
      </c>
      <c r="J3300" s="455">
        <f t="array" ref="J3300">IFERROR(INDEX('Retirement Calculator'!J:J,MATCH('Isaac 401k'!N3300,'Retirement Calculator'!A:A,0),0),0)</f>
        <v>0</v>
      </c>
      <c r="K3300" s="455">
        <f t="shared" ca="1" si="161"/>
        <v>-616897114.43844831</v>
      </c>
      <c r="L3300" s="455">
        <f t="shared" ca="1" si="162"/>
        <v>-148672204579.66605</v>
      </c>
      <c r="M3300" s="471">
        <f t="shared" si="164"/>
        <v>0.05</v>
      </c>
      <c r="N3300" s="475">
        <f t="shared" si="165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63"/>
        <v>-148672204579.66605</v>
      </c>
      <c r="J3301" s="455">
        <f t="array" ref="J3301">IFERROR(INDEX('Retirement Calculator'!J:J,MATCH('Isaac 401k'!N3301,'Retirement Calculator'!A:A,0),0),0)</f>
        <v>0</v>
      </c>
      <c r="K3301" s="455">
        <f t="shared" ca="1" si="161"/>
        <v>-619467519.08194184</v>
      </c>
      <c r="L3301" s="455">
        <f t="shared" ca="1" si="162"/>
        <v>-149291672098.74799</v>
      </c>
      <c r="M3301" s="471">
        <f t="shared" si="164"/>
        <v>0.05</v>
      </c>
      <c r="N3301" s="475">
        <f t="shared" si="165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63"/>
        <v>-149291672098.74799</v>
      </c>
      <c r="J3302" s="455">
        <f t="array" ref="J3302">IFERROR(INDEX('Retirement Calculator'!J:J,MATCH('Isaac 401k'!N3302,'Retirement Calculator'!A:A,0),0),0)</f>
        <v>0</v>
      </c>
      <c r="K3302" s="455">
        <f t="shared" ca="1" si="161"/>
        <v>-622048633.74478328</v>
      </c>
      <c r="L3302" s="455">
        <f t="shared" ca="1" si="162"/>
        <v>-149913720732.49277</v>
      </c>
      <c r="M3302" s="471">
        <f t="shared" si="164"/>
        <v>0.05</v>
      </c>
      <c r="N3302" s="475">
        <f t="shared" si="165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63"/>
        <v>-149913720732.49277</v>
      </c>
      <c r="J3303" s="455">
        <f t="array" ref="J3303">IFERROR(INDEX('Retirement Calculator'!J:J,MATCH('Isaac 401k'!N3303,'Retirement Calculator'!A:A,0),0),0)</f>
        <v>0</v>
      </c>
      <c r="K3303" s="455">
        <f t="shared" ca="1" si="161"/>
        <v>-624640503.05205321</v>
      </c>
      <c r="L3303" s="455">
        <f t="shared" ca="1" si="162"/>
        <v>-150538361235.54483</v>
      </c>
      <c r="M3303" s="471">
        <f t="shared" si="164"/>
        <v>0.05</v>
      </c>
      <c r="N3303" s="475">
        <f t="shared" si="165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63"/>
        <v>-150538361235.54483</v>
      </c>
      <c r="J3304" s="455">
        <f t="array" ref="J3304">IFERROR(INDEX('Retirement Calculator'!J:J,MATCH('Isaac 401k'!N3304,'Retirement Calculator'!A:A,0),0),0)</f>
        <v>0</v>
      </c>
      <c r="K3304" s="455">
        <f t="shared" ca="1" si="161"/>
        <v>-627243171.8147701</v>
      </c>
      <c r="L3304" s="455">
        <f t="shared" ca="1" si="162"/>
        <v>-151165604407.35959</v>
      </c>
      <c r="M3304" s="471">
        <f t="shared" si="164"/>
        <v>0.05</v>
      </c>
      <c r="N3304" s="475">
        <f t="shared" si="165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63"/>
        <v>-151165604407.35959</v>
      </c>
      <c r="J3305" s="455">
        <f t="array" ref="J3305">IFERROR(INDEX('Retirement Calculator'!J:J,MATCH('Isaac 401k'!N3305,'Retirement Calculator'!A:A,0),0),0)</f>
        <v>0</v>
      </c>
      <c r="K3305" s="455">
        <f t="shared" ca="1" si="161"/>
        <v>-629856685.03066492</v>
      </c>
      <c r="L3305" s="455">
        <f t="shared" ca="1" si="162"/>
        <v>-151795461092.39026</v>
      </c>
      <c r="M3305" s="471">
        <f t="shared" si="164"/>
        <v>0.05</v>
      </c>
      <c r="N3305" s="475">
        <f t="shared" si="165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63"/>
        <v>-151795461092.39026</v>
      </c>
      <c r="J3306" s="455">
        <f t="array" ref="J3306">IFERROR(INDEX('Retirement Calculator'!J:J,MATCH('Isaac 401k'!N3306,'Retirement Calculator'!A:A,0),0),0)</f>
        <v>0</v>
      </c>
      <c r="K3306" s="455">
        <f t="shared" ca="1" si="161"/>
        <v>-632481087.88495946</v>
      </c>
      <c r="L3306" s="455">
        <f t="shared" ca="1" si="162"/>
        <v>-152427942180.27521</v>
      </c>
      <c r="M3306" s="471">
        <f t="shared" si="164"/>
        <v>0.05</v>
      </c>
      <c r="N3306" s="475">
        <f t="shared" si="165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63"/>
        <v>-152427942180.27521</v>
      </c>
      <c r="J3307" s="455">
        <f t="array" ref="J3307">IFERROR(INDEX('Retirement Calculator'!J:J,MATCH('Isaac 401k'!N3307,'Retirement Calculator'!A:A,0),0),0)</f>
        <v>0</v>
      </c>
      <c r="K3307" s="455">
        <f t="shared" ca="1" si="161"/>
        <v>-635116425.75114667</v>
      </c>
      <c r="L3307" s="455">
        <f t="shared" ca="1" si="162"/>
        <v>-153063058606.02637</v>
      </c>
      <c r="M3307" s="471">
        <f t="shared" si="164"/>
        <v>0.05</v>
      </c>
      <c r="N3307" s="475">
        <f t="shared" si="165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63"/>
        <v>-153063058606.02637</v>
      </c>
      <c r="J3308" s="455">
        <f t="array" ref="J3308">IFERROR(INDEX('Retirement Calculator'!J:J,MATCH('Isaac 401k'!N3308,'Retirement Calculator'!A:A,0),0),0)</f>
        <v>0</v>
      </c>
      <c r="K3308" s="455">
        <f t="shared" ca="1" si="161"/>
        <v>-637762744.19177651</v>
      </c>
      <c r="L3308" s="455">
        <f t="shared" ca="1" si="162"/>
        <v>-153700821350.21814</v>
      </c>
      <c r="M3308" s="471">
        <f t="shared" si="164"/>
        <v>0.05</v>
      </c>
      <c r="N3308" s="475">
        <f t="shared" si="165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63"/>
        <v>-153700821350.21814</v>
      </c>
      <c r="J3309" s="455">
        <f t="array" ref="J3309">IFERROR(INDEX('Retirement Calculator'!J:J,MATCH('Isaac 401k'!N3309,'Retirement Calculator'!A:A,0),0),0)</f>
        <v>0</v>
      </c>
      <c r="K3309" s="455">
        <f t="shared" ca="1" si="161"/>
        <v>-640420088.95924222</v>
      </c>
      <c r="L3309" s="455">
        <f t="shared" ca="1" si="162"/>
        <v>-154341241439.17737</v>
      </c>
      <c r="M3309" s="471">
        <f t="shared" si="164"/>
        <v>0.05</v>
      </c>
      <c r="N3309" s="475">
        <f t="shared" si="165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63"/>
        <v>-154341241439.17737</v>
      </c>
      <c r="J3310" s="455">
        <f t="array" ref="J3310">IFERROR(INDEX('Retirement Calculator'!J:J,MATCH('Isaac 401k'!N3310,'Retirement Calculator'!A:A,0),0),0)</f>
        <v>0</v>
      </c>
      <c r="K3310" s="455">
        <f t="shared" ca="1" si="161"/>
        <v>-643088505.99657238</v>
      </c>
      <c r="L3310" s="455">
        <f t="shared" ca="1" si="162"/>
        <v>-154984329945.17395</v>
      </c>
      <c r="M3310" s="471">
        <f t="shared" si="164"/>
        <v>0.05</v>
      </c>
      <c r="N3310" s="475">
        <f t="shared" si="165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63"/>
        <v>-154984329945.17395</v>
      </c>
      <c r="J3311" s="455">
        <f t="array" ref="J3311">IFERROR(INDEX('Retirement Calculator'!J:J,MATCH('Isaac 401k'!N3311,'Retirement Calculator'!A:A,0),0),0)</f>
        <v>0</v>
      </c>
      <c r="K3311" s="455">
        <f t="shared" ca="1" si="161"/>
        <v>-645768041.43822479</v>
      </c>
      <c r="L3311" s="455">
        <f t="shared" ca="1" si="162"/>
        <v>-155630097986.61218</v>
      </c>
      <c r="M3311" s="471">
        <f t="shared" si="164"/>
        <v>0.05</v>
      </c>
      <c r="N3311" s="475">
        <f t="shared" si="165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63"/>
        <v>-155630097986.61218</v>
      </c>
      <c r="J3312" s="455">
        <f t="array" ref="J3312">IFERROR(INDEX('Retirement Calculator'!J:J,MATCH('Isaac 401k'!N3312,'Retirement Calculator'!A:A,0),0),0)</f>
        <v>0</v>
      </c>
      <c r="K3312" s="455">
        <f t="shared" ca="1" si="161"/>
        <v>-648458741.61088407</v>
      </c>
      <c r="L3312" s="455">
        <f t="shared" ca="1" si="162"/>
        <v>-156278556728.22305</v>
      </c>
      <c r="M3312" s="471">
        <f t="shared" si="164"/>
        <v>0.05</v>
      </c>
      <c r="N3312" s="475">
        <f t="shared" si="165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63"/>
        <v>-156278556728.22305</v>
      </c>
      <c r="J3313" s="455">
        <f t="array" ref="J3313">IFERROR(INDEX('Retirement Calculator'!J:J,MATCH('Isaac 401k'!N3313,'Retirement Calculator'!A:A,0),0),0)</f>
        <v>0</v>
      </c>
      <c r="K3313" s="455">
        <f t="shared" ca="1" si="161"/>
        <v>-651160653.03426266</v>
      </c>
      <c r="L3313" s="455">
        <f t="shared" ca="1" si="162"/>
        <v>-156929717381.25732</v>
      </c>
      <c r="M3313" s="471">
        <f t="shared" si="164"/>
        <v>0.05</v>
      </c>
      <c r="N3313" s="475">
        <f t="shared" si="165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63"/>
        <v>-156929717381.25732</v>
      </c>
      <c r="J3314" s="455">
        <f t="array" ref="J3314">IFERROR(INDEX('Retirement Calculator'!J:J,MATCH('Isaac 401k'!N3314,'Retirement Calculator'!A:A,0),0),0)</f>
        <v>0</v>
      </c>
      <c r="K3314" s="455">
        <f t="shared" ca="1" si="161"/>
        <v>-653873822.42190552</v>
      </c>
      <c r="L3314" s="455">
        <f t="shared" ca="1" si="162"/>
        <v>-157583591203.67923</v>
      </c>
      <c r="M3314" s="471">
        <f t="shared" si="164"/>
        <v>0.05</v>
      </c>
      <c r="N3314" s="475">
        <f t="shared" si="165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63"/>
        <v>-157583591203.67923</v>
      </c>
      <c r="J3315" s="455">
        <f t="array" ref="J3315">IFERROR(INDEX('Retirement Calculator'!J:J,MATCH('Isaac 401k'!N3315,'Retirement Calculator'!A:A,0),0),0)</f>
        <v>0</v>
      </c>
      <c r="K3315" s="455">
        <f t="shared" ca="1" si="161"/>
        <v>-656598296.68199682</v>
      </c>
      <c r="L3315" s="455">
        <f t="shared" ca="1" si="162"/>
        <v>-158240189500.36124</v>
      </c>
      <c r="M3315" s="471">
        <f t="shared" si="164"/>
        <v>0.05</v>
      </c>
      <c r="N3315" s="475">
        <f t="shared" si="165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63"/>
        <v>-158240189500.36124</v>
      </c>
      <c r="J3316" s="455">
        <f t="array" ref="J3316">IFERROR(INDEX('Retirement Calculator'!J:J,MATCH('Isaac 401k'!N3316,'Retirement Calculator'!A:A,0),0),0)</f>
        <v>0</v>
      </c>
      <c r="K3316" s="455">
        <f t="shared" ca="1" si="161"/>
        <v>-659334122.91817176</v>
      </c>
      <c r="L3316" s="455">
        <f t="shared" ca="1" si="162"/>
        <v>-158899523623.27942</v>
      </c>
      <c r="M3316" s="471">
        <f t="shared" si="164"/>
        <v>0.05</v>
      </c>
      <c r="N3316" s="475">
        <f t="shared" si="165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63"/>
        <v>-158899523623.27942</v>
      </c>
      <c r="J3317" s="455">
        <f t="array" ref="J3317">IFERROR(INDEX('Retirement Calculator'!J:J,MATCH('Isaac 401k'!N3317,'Retirement Calculator'!A:A,0),0),0)</f>
        <v>0</v>
      </c>
      <c r="K3317" s="455">
        <f t="shared" ca="1" si="161"/>
        <v>-662081348.43033087</v>
      </c>
      <c r="L3317" s="455">
        <f t="shared" ca="1" si="162"/>
        <v>-159561604971.70975</v>
      </c>
      <c r="M3317" s="471">
        <f t="shared" si="164"/>
        <v>0.05</v>
      </c>
      <c r="N3317" s="475">
        <f t="shared" si="165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63"/>
        <v>-159561604971.70975</v>
      </c>
      <c r="J3318" s="455">
        <f t="array" ref="J3318">IFERROR(INDEX('Retirement Calculator'!J:J,MATCH('Isaac 401k'!N3318,'Retirement Calculator'!A:A,0),0),0)</f>
        <v>0</v>
      </c>
      <c r="K3318" s="455">
        <f t="shared" ca="1" si="161"/>
        <v>-664840020.71545732</v>
      </c>
      <c r="L3318" s="455">
        <f t="shared" ca="1" si="162"/>
        <v>-160226444992.4252</v>
      </c>
      <c r="M3318" s="471">
        <f t="shared" si="164"/>
        <v>0.05</v>
      </c>
      <c r="N3318" s="475">
        <f t="shared" si="165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63"/>
        <v>-160226444992.4252</v>
      </c>
      <c r="J3319" s="455">
        <f t="array" ref="J3319">IFERROR(INDEX('Retirement Calculator'!J:J,MATCH('Isaac 401k'!N3319,'Retirement Calculator'!A:A,0),0),0)</f>
        <v>0</v>
      </c>
      <c r="K3319" s="455">
        <f t="shared" ca="1" si="161"/>
        <v>-667610187.46843839</v>
      </c>
      <c r="L3319" s="455">
        <f t="shared" ca="1" si="162"/>
        <v>-160894055179.89365</v>
      </c>
      <c r="M3319" s="471">
        <f t="shared" si="164"/>
        <v>0.05</v>
      </c>
      <c r="N3319" s="475">
        <f t="shared" si="165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63"/>
        <v>-160894055179.89365</v>
      </c>
      <c r="J3320" s="455">
        <f t="array" ref="J3320">IFERROR(INDEX('Retirement Calculator'!J:J,MATCH('Isaac 401k'!N3320,'Retirement Calculator'!A:A,0),0),0)</f>
        <v>0</v>
      </c>
      <c r="K3320" s="455">
        <f t="shared" ca="1" si="161"/>
        <v>-670391896.58289015</v>
      </c>
      <c r="L3320" s="455">
        <f t="shared" ca="1" si="162"/>
        <v>-161564447076.47653</v>
      </c>
      <c r="M3320" s="471">
        <f t="shared" si="164"/>
        <v>0.05</v>
      </c>
      <c r="N3320" s="475">
        <f t="shared" si="165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63"/>
        <v>-161564447076.47653</v>
      </c>
      <c r="J3321" s="455">
        <f t="array" ref="J3321">IFERROR(INDEX('Retirement Calculator'!J:J,MATCH('Isaac 401k'!N3321,'Retirement Calculator'!A:A,0),0),0)</f>
        <v>0</v>
      </c>
      <c r="K3321" s="455">
        <f t="shared" ca="1" si="161"/>
        <v>-673185196.15198553</v>
      </c>
      <c r="L3321" s="455">
        <f t="shared" ca="1" si="162"/>
        <v>-162237632272.62851</v>
      </c>
      <c r="M3321" s="471">
        <f t="shared" si="164"/>
        <v>0.05</v>
      </c>
      <c r="N3321" s="475">
        <f t="shared" si="165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63"/>
        <v>-162237632272.62851</v>
      </c>
      <c r="J3322" s="455">
        <f t="array" ref="J3322">IFERROR(INDEX('Retirement Calculator'!J:J,MATCH('Isaac 401k'!N3322,'Retirement Calculator'!A:A,0),0),0)</f>
        <v>0</v>
      </c>
      <c r="K3322" s="455">
        <f t="shared" ca="1" si="161"/>
        <v>-675990134.46928549</v>
      </c>
      <c r="L3322" s="455">
        <f t="shared" ca="1" si="162"/>
        <v>-162913622407.09781</v>
      </c>
      <c r="M3322" s="471">
        <f t="shared" si="164"/>
        <v>0.05</v>
      </c>
      <c r="N3322" s="475">
        <f t="shared" si="165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63"/>
        <v>-162913622407.09781</v>
      </c>
      <c r="J3323" s="455">
        <f t="array" ref="J3323">IFERROR(INDEX('Retirement Calculator'!J:J,MATCH('Isaac 401k'!N3323,'Retirement Calculator'!A:A,0),0),0)</f>
        <v>0</v>
      </c>
      <c r="K3323" s="455">
        <f t="shared" ref="K3323:K3577" ca="1" si="166">IPMT(M3323/12,1,12,-I3323+J3323,,0)</f>
        <v>-678806760.02957416</v>
      </c>
      <c r="L3323" s="455">
        <f t="shared" ref="L3323:L3577" ca="1" si="167">I3323-J3323+K3323</f>
        <v>-163592429167.12738</v>
      </c>
      <c r="M3323" s="471">
        <f t="shared" si="164"/>
        <v>0.05</v>
      </c>
      <c r="N3323" s="475">
        <f t="shared" si="165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68">L3323</f>
        <v>-163592429167.12738</v>
      </c>
      <c r="J3324" s="455">
        <f t="array" ref="J3324">IFERROR(INDEX('Retirement Calculator'!J:J,MATCH('Isaac 401k'!N3324,'Retirement Calculator'!A:A,0),0),0)</f>
        <v>0</v>
      </c>
      <c r="K3324" s="455">
        <f t="shared" ca="1" si="166"/>
        <v>-681635121.52969742</v>
      </c>
      <c r="L3324" s="455">
        <f t="shared" ca="1" si="167"/>
        <v>-164274064288.65707</v>
      </c>
      <c r="M3324" s="471">
        <f t="shared" ref="M3324:M3578" si="169">M3323</f>
        <v>0.05</v>
      </c>
      <c r="N3324" s="475">
        <f t="shared" ref="N3324:N3578" si="170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68"/>
        <v>-164274064288.65707</v>
      </c>
      <c r="J3325" s="455">
        <f t="array" ref="J3325">IFERROR(INDEX('Retirement Calculator'!J:J,MATCH('Isaac 401k'!N3325,'Retirement Calculator'!A:A,0),0),0)</f>
        <v>0</v>
      </c>
      <c r="K3325" s="455">
        <f t="shared" ca="1" si="166"/>
        <v>-684475267.86940444</v>
      </c>
      <c r="L3325" s="455">
        <f t="shared" ca="1" si="167"/>
        <v>-164958539556.52649</v>
      </c>
      <c r="M3325" s="471">
        <f t="shared" si="169"/>
        <v>0.05</v>
      </c>
      <c r="N3325" s="475">
        <f t="shared" si="170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68"/>
        <v>-164958539556.52649</v>
      </c>
      <c r="J3326" s="455">
        <f t="array" ref="J3326">IFERROR(INDEX('Retirement Calculator'!J:J,MATCH('Isaac 401k'!N3326,'Retirement Calculator'!A:A,0),0),0)</f>
        <v>0</v>
      </c>
      <c r="K3326" s="455">
        <f t="shared" ca="1" si="166"/>
        <v>-687327248.15219367</v>
      </c>
      <c r="L3326" s="455">
        <f t="shared" ca="1" si="167"/>
        <v>-165645866804.67868</v>
      </c>
      <c r="M3326" s="471">
        <f t="shared" si="169"/>
        <v>0.05</v>
      </c>
      <c r="N3326" s="475">
        <f t="shared" si="170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68"/>
        <v>-165645866804.67868</v>
      </c>
      <c r="J3327" s="455">
        <f t="array" ref="J3327">IFERROR(INDEX('Retirement Calculator'!J:J,MATCH('Isaac 401k'!N3327,'Retirement Calculator'!A:A,0),0),0)</f>
        <v>0</v>
      </c>
      <c r="K3327" s="455">
        <f t="shared" ca="1" si="166"/>
        <v>-690191111.68616116</v>
      </c>
      <c r="L3327" s="455">
        <f t="shared" ca="1" si="167"/>
        <v>-166336057916.36484</v>
      </c>
      <c r="M3327" s="471">
        <f t="shared" si="169"/>
        <v>0.05</v>
      </c>
      <c r="N3327" s="475">
        <f t="shared" si="170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68"/>
        <v>-166336057916.36484</v>
      </c>
      <c r="J3328" s="455">
        <f t="array" ref="J3328">IFERROR(INDEX('Retirement Calculator'!J:J,MATCH('Isaac 401k'!N3328,'Retirement Calculator'!A:A,0),0),0)</f>
        <v>0</v>
      </c>
      <c r="K3328" s="455">
        <f t="shared" ca="1" si="166"/>
        <v>-693066907.98485351</v>
      </c>
      <c r="L3328" s="455">
        <f t="shared" ca="1" si="167"/>
        <v>-167029124824.3497</v>
      </c>
      <c r="M3328" s="471">
        <f t="shared" si="169"/>
        <v>0.05</v>
      </c>
      <c r="N3328" s="475">
        <f t="shared" si="170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68"/>
        <v>-167029124824.3497</v>
      </c>
      <c r="J3329" s="455">
        <f t="array" ref="J3329">IFERROR(INDEX('Retirement Calculator'!J:J,MATCH('Isaac 401k'!N3329,'Retirement Calculator'!A:A,0),0),0)</f>
        <v>0</v>
      </c>
      <c r="K3329" s="455">
        <f t="shared" ca="1" si="166"/>
        <v>-695954686.76812375</v>
      </c>
      <c r="L3329" s="455">
        <f t="shared" ca="1" si="167"/>
        <v>-167725079511.11783</v>
      </c>
      <c r="M3329" s="471">
        <f t="shared" si="169"/>
        <v>0.05</v>
      </c>
      <c r="N3329" s="475">
        <f t="shared" si="170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68"/>
        <v>-167725079511.11783</v>
      </c>
      <c r="J3330" s="455">
        <f t="array" ref="J3330">IFERROR(INDEX('Retirement Calculator'!J:J,MATCH('Isaac 401k'!N3330,'Retirement Calculator'!A:A,0),0),0)</f>
        <v>0</v>
      </c>
      <c r="K3330" s="455">
        <f t="shared" ca="1" si="166"/>
        <v>-698854497.962991</v>
      </c>
      <c r="L3330" s="455">
        <f t="shared" ca="1" si="167"/>
        <v>-168423934009.08081</v>
      </c>
      <c r="M3330" s="471">
        <f t="shared" si="169"/>
        <v>0.05</v>
      </c>
      <c r="N3330" s="475">
        <f t="shared" si="170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68"/>
        <v>-168423934009.08081</v>
      </c>
      <c r="J3331" s="455">
        <f t="array" ref="J3331">IFERROR(INDEX('Retirement Calculator'!J:J,MATCH('Isaac 401k'!N3331,'Retirement Calculator'!A:A,0),0),0)</f>
        <v>0</v>
      </c>
      <c r="K3331" s="455">
        <f t="shared" ca="1" si="166"/>
        <v>-701766391.70450342</v>
      </c>
      <c r="L3331" s="455">
        <f t="shared" ca="1" si="167"/>
        <v>-169125700400.78531</v>
      </c>
      <c r="M3331" s="471">
        <f t="shared" si="169"/>
        <v>0.05</v>
      </c>
      <c r="N3331" s="475">
        <f t="shared" si="170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68"/>
        <v>-169125700400.78531</v>
      </c>
      <c r="J3332" s="455">
        <f t="array" ref="J3332">IFERROR(INDEX('Retirement Calculator'!J:J,MATCH('Isaac 401k'!N3332,'Retirement Calculator'!A:A,0),0),0)</f>
        <v>0</v>
      </c>
      <c r="K3332" s="455">
        <f t="shared" ca="1" si="166"/>
        <v>-704690418.33660543</v>
      </c>
      <c r="L3332" s="455">
        <f t="shared" ca="1" si="167"/>
        <v>-169830390819.12192</v>
      </c>
      <c r="M3332" s="471">
        <f t="shared" si="169"/>
        <v>0.05</v>
      </c>
      <c r="N3332" s="475">
        <f t="shared" si="170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68"/>
        <v>-169830390819.12192</v>
      </c>
      <c r="J3333" s="455">
        <f t="array" ref="J3333">IFERROR(INDEX('Retirement Calculator'!J:J,MATCH('Isaac 401k'!N3333,'Retirement Calculator'!A:A,0),0),0)</f>
        <v>0</v>
      </c>
      <c r="K3333" s="455">
        <f t="shared" ca="1" si="166"/>
        <v>-707626628.41300797</v>
      </c>
      <c r="L3333" s="455">
        <f t="shared" ca="1" si="167"/>
        <v>-170538017447.53491</v>
      </c>
      <c r="M3333" s="471">
        <f t="shared" si="169"/>
        <v>0.05</v>
      </c>
      <c r="N3333" s="475">
        <f t="shared" si="170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68"/>
        <v>-170538017447.53491</v>
      </c>
      <c r="J3334" s="455">
        <f t="array" ref="J3334">IFERROR(INDEX('Retirement Calculator'!J:J,MATCH('Isaac 401k'!N3334,'Retirement Calculator'!A:A,0),0),0)</f>
        <v>0</v>
      </c>
      <c r="K3334" s="455">
        <f t="shared" ca="1" si="166"/>
        <v>-710575072.69806218</v>
      </c>
      <c r="L3334" s="455">
        <f t="shared" ca="1" si="167"/>
        <v>-171248592520.23297</v>
      </c>
      <c r="M3334" s="471">
        <f t="shared" si="169"/>
        <v>0.05</v>
      </c>
      <c r="N3334" s="475">
        <f t="shared" si="170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68"/>
        <v>-171248592520.23297</v>
      </c>
      <c r="J3335" s="455">
        <f t="array" ref="J3335">IFERROR(INDEX('Retirement Calculator'!J:J,MATCH('Isaac 401k'!N3335,'Retirement Calculator'!A:A,0),0),0)</f>
        <v>0</v>
      </c>
      <c r="K3335" s="455">
        <f t="shared" ca="1" si="166"/>
        <v>-713535802.16763735</v>
      </c>
      <c r="L3335" s="455">
        <f t="shared" ca="1" si="167"/>
        <v>-171962128322.4006</v>
      </c>
      <c r="M3335" s="471">
        <f t="shared" si="169"/>
        <v>0.05</v>
      </c>
      <c r="N3335" s="475">
        <f t="shared" si="170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68"/>
        <v>-171962128322.4006</v>
      </c>
      <c r="J3336" s="455">
        <f t="array" ref="J3336">IFERROR(INDEX('Retirement Calculator'!J:J,MATCH('Isaac 401k'!N3336,'Retirement Calculator'!A:A,0),0),0)</f>
        <v>0</v>
      </c>
      <c r="K3336" s="455">
        <f t="shared" ca="1" si="166"/>
        <v>-716508868.01000249</v>
      </c>
      <c r="L3336" s="455">
        <f t="shared" ca="1" si="167"/>
        <v>-172678637190.41061</v>
      </c>
      <c r="M3336" s="471">
        <f t="shared" si="169"/>
        <v>0.05</v>
      </c>
      <c r="N3336" s="475">
        <f t="shared" si="170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68"/>
        <v>-172678637190.41061</v>
      </c>
      <c r="J3337" s="455">
        <f t="array" ref="J3337">IFERROR(INDEX('Retirement Calculator'!J:J,MATCH('Isaac 401k'!N3337,'Retirement Calculator'!A:A,0),0),0)</f>
        <v>0</v>
      </c>
      <c r="K3337" s="455">
        <f t="shared" ca="1" si="166"/>
        <v>-719494321.62671089</v>
      </c>
      <c r="L3337" s="455">
        <f t="shared" ca="1" si="167"/>
        <v>-173398131512.03732</v>
      </c>
      <c r="M3337" s="471">
        <f t="shared" si="169"/>
        <v>0.05</v>
      </c>
      <c r="N3337" s="475">
        <f t="shared" si="170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68"/>
        <v>-173398131512.03732</v>
      </c>
      <c r="J3338" s="455">
        <f t="array" ref="J3338">IFERROR(INDEX('Retirement Calculator'!J:J,MATCH('Isaac 401k'!N3338,'Retirement Calculator'!A:A,0),0),0)</f>
        <v>0</v>
      </c>
      <c r="K3338" s="455">
        <f t="shared" ca="1" si="166"/>
        <v>-722492214.63348889</v>
      </c>
      <c r="L3338" s="455">
        <f t="shared" ca="1" si="167"/>
        <v>-174120623726.67081</v>
      </c>
      <c r="M3338" s="471">
        <f t="shared" si="169"/>
        <v>0.05</v>
      </c>
      <c r="N3338" s="475">
        <f t="shared" si="170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68"/>
        <v>-174120623726.67081</v>
      </c>
      <c r="J3339" s="455">
        <f t="array" ref="J3339">IFERROR(INDEX('Retirement Calculator'!J:J,MATCH('Isaac 401k'!N3339,'Retirement Calculator'!A:A,0),0),0)</f>
        <v>0</v>
      </c>
      <c r="K3339" s="455">
        <f t="shared" ca="1" si="166"/>
        <v>-725502598.86112833</v>
      </c>
      <c r="L3339" s="455">
        <f t="shared" ca="1" si="167"/>
        <v>-174846126325.53192</v>
      </c>
      <c r="M3339" s="471">
        <f t="shared" si="169"/>
        <v>0.05</v>
      </c>
      <c r="N3339" s="475">
        <f t="shared" si="170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68"/>
        <v>-174846126325.53192</v>
      </c>
      <c r="J3340" s="455">
        <f t="array" ref="J3340">IFERROR(INDEX('Retirement Calculator'!J:J,MATCH('Isaac 401k'!N3340,'Retirement Calculator'!A:A,0),0),0)</f>
        <v>0</v>
      </c>
      <c r="K3340" s="455">
        <f t="shared" ca="1" si="166"/>
        <v>-728525526.35638297</v>
      </c>
      <c r="L3340" s="455">
        <f t="shared" ca="1" si="167"/>
        <v>-175574651851.88831</v>
      </c>
      <c r="M3340" s="471">
        <f t="shared" si="169"/>
        <v>0.05</v>
      </c>
      <c r="N3340" s="475">
        <f t="shared" si="170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68"/>
        <v>-175574651851.88831</v>
      </c>
      <c r="J3341" s="455">
        <f t="array" ref="J3341">IFERROR(INDEX('Retirement Calculator'!J:J,MATCH('Isaac 401k'!N3341,'Retirement Calculator'!A:A,0),0),0)</f>
        <v>0</v>
      </c>
      <c r="K3341" s="455">
        <f t="shared" ca="1" si="166"/>
        <v>-731561049.38286793</v>
      </c>
      <c r="L3341" s="455">
        <f t="shared" ca="1" si="167"/>
        <v>-176306212901.27118</v>
      </c>
      <c r="M3341" s="471">
        <f t="shared" si="169"/>
        <v>0.05</v>
      </c>
      <c r="N3341" s="475">
        <f t="shared" si="170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68"/>
        <v>-176306212901.27118</v>
      </c>
      <c r="J3342" s="455">
        <f t="array" ref="J3342">IFERROR(INDEX('Retirement Calculator'!J:J,MATCH('Isaac 401k'!N3342,'Retirement Calculator'!A:A,0),0),0)</f>
        <v>0</v>
      </c>
      <c r="K3342" s="455">
        <f t="shared" ca="1" si="166"/>
        <v>-734609220.42196321</v>
      </c>
      <c r="L3342" s="455">
        <f t="shared" ca="1" si="167"/>
        <v>-177040822121.69315</v>
      </c>
      <c r="M3342" s="471">
        <f t="shared" si="169"/>
        <v>0.05</v>
      </c>
      <c r="N3342" s="475">
        <f t="shared" si="170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68"/>
        <v>-177040822121.69315</v>
      </c>
      <c r="J3343" s="455">
        <f t="array" ref="J3343">IFERROR(INDEX('Retirement Calculator'!J:J,MATCH('Isaac 401k'!N3343,'Retirement Calculator'!A:A,0),0),0)</f>
        <v>0</v>
      </c>
      <c r="K3343" s="455">
        <f t="shared" ca="1" si="166"/>
        <v>-737670092.17372143</v>
      </c>
      <c r="L3343" s="455">
        <f t="shared" ca="1" si="167"/>
        <v>-177778492213.86688</v>
      </c>
      <c r="M3343" s="471">
        <f t="shared" si="169"/>
        <v>0.05</v>
      </c>
      <c r="N3343" s="475">
        <f t="shared" si="170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68"/>
        <v>-177778492213.86688</v>
      </c>
      <c r="J3344" s="455">
        <f t="array" ref="J3344">IFERROR(INDEX('Retirement Calculator'!J:J,MATCH('Isaac 401k'!N3344,'Retirement Calculator'!A:A,0),0),0)</f>
        <v>0</v>
      </c>
      <c r="K3344" s="455">
        <f t="shared" ca="1" si="166"/>
        <v>-740743717.55777872</v>
      </c>
      <c r="L3344" s="455">
        <f t="shared" ca="1" si="167"/>
        <v>-178519235931.42465</v>
      </c>
      <c r="M3344" s="471">
        <f t="shared" si="169"/>
        <v>0.05</v>
      </c>
      <c r="N3344" s="475">
        <f t="shared" si="170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68"/>
        <v>-178519235931.42465</v>
      </c>
      <c r="J3345" s="455">
        <f t="array" ref="J3345">IFERROR(INDEX('Retirement Calculator'!J:J,MATCH('Isaac 401k'!N3345,'Retirement Calculator'!A:A,0),0),0)</f>
        <v>0</v>
      </c>
      <c r="K3345" s="455">
        <f t="shared" ca="1" si="166"/>
        <v>-743830149.7142694</v>
      </c>
      <c r="L3345" s="455">
        <f t="shared" ca="1" si="167"/>
        <v>-179263066081.13892</v>
      </c>
      <c r="M3345" s="471">
        <f t="shared" si="169"/>
        <v>0.05</v>
      </c>
      <c r="N3345" s="475">
        <f t="shared" si="170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68"/>
        <v>-179263066081.13892</v>
      </c>
      <c r="J3346" s="455">
        <f t="array" ref="J3346">IFERROR(INDEX('Retirement Calculator'!J:J,MATCH('Isaac 401k'!N3346,'Retirement Calculator'!A:A,0),0),0)</f>
        <v>0</v>
      </c>
      <c r="K3346" s="455">
        <f t="shared" ca="1" si="166"/>
        <v>-746929442.00474548</v>
      </c>
      <c r="L3346" s="455">
        <f t="shared" ca="1" si="167"/>
        <v>-180009995523.14368</v>
      </c>
      <c r="M3346" s="471">
        <f t="shared" si="169"/>
        <v>0.05</v>
      </c>
      <c r="N3346" s="475">
        <f t="shared" si="170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68"/>
        <v>-180009995523.14368</v>
      </c>
      <c r="J3347" s="455">
        <f t="array" ref="J3347">IFERROR(INDEX('Retirement Calculator'!J:J,MATCH('Isaac 401k'!N3347,'Retirement Calculator'!A:A,0),0),0)</f>
        <v>0</v>
      </c>
      <c r="K3347" s="455">
        <f t="shared" ca="1" si="166"/>
        <v>-750041648.0130986</v>
      </c>
      <c r="L3347" s="455">
        <f t="shared" ca="1" si="167"/>
        <v>-180760037171.15677</v>
      </c>
      <c r="M3347" s="471">
        <f t="shared" si="169"/>
        <v>0.05</v>
      </c>
      <c r="N3347" s="475">
        <f t="shared" si="170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68"/>
        <v>-180760037171.15677</v>
      </c>
      <c r="J3348" s="455">
        <f t="array" ref="J3348">IFERROR(INDEX('Retirement Calculator'!J:J,MATCH('Isaac 401k'!N3348,'Retirement Calculator'!A:A,0),0),0)</f>
        <v>0</v>
      </c>
      <c r="K3348" s="455">
        <f t="shared" ca="1" si="166"/>
        <v>-753166821.5464865</v>
      </c>
      <c r="L3348" s="455">
        <f t="shared" ca="1" si="167"/>
        <v>-181513203992.70325</v>
      </c>
      <c r="M3348" s="471">
        <f t="shared" si="169"/>
        <v>0.05</v>
      </c>
      <c r="N3348" s="475">
        <f t="shared" si="170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68"/>
        <v>-181513203992.70325</v>
      </c>
      <c r="J3349" s="455">
        <f t="array" ref="J3349">IFERROR(INDEX('Retirement Calculator'!J:J,MATCH('Isaac 401k'!N3349,'Retirement Calculator'!A:A,0),0),0)</f>
        <v>0</v>
      </c>
      <c r="K3349" s="455">
        <f t="shared" ca="1" si="166"/>
        <v>-756305016.63626349</v>
      </c>
      <c r="L3349" s="455">
        <f t="shared" ca="1" si="167"/>
        <v>-182269509009.33951</v>
      </c>
      <c r="M3349" s="471">
        <f t="shared" si="169"/>
        <v>0.05</v>
      </c>
      <c r="N3349" s="475">
        <f t="shared" si="170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68"/>
        <v>-182269509009.33951</v>
      </c>
      <c r="J3350" s="455">
        <f t="array" ref="J3350">IFERROR(INDEX('Retirement Calculator'!J:J,MATCH('Isaac 401k'!N3350,'Retirement Calculator'!A:A,0),0),0)</f>
        <v>0</v>
      </c>
      <c r="K3350" s="455">
        <f t="shared" ca="1" si="166"/>
        <v>-759456287.53891456</v>
      </c>
      <c r="L3350" s="455">
        <f t="shared" ca="1" si="167"/>
        <v>-183028965296.87842</v>
      </c>
      <c r="M3350" s="471">
        <f t="shared" si="169"/>
        <v>0.05</v>
      </c>
      <c r="N3350" s="475">
        <f t="shared" si="170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68"/>
        <v>-183028965296.87842</v>
      </c>
      <c r="J3351" s="455">
        <f t="array" ref="J3351">IFERROR(INDEX('Retirement Calculator'!J:J,MATCH('Isaac 401k'!N3351,'Retirement Calculator'!A:A,0),0),0)</f>
        <v>0</v>
      </c>
      <c r="K3351" s="455">
        <f t="shared" ca="1" si="166"/>
        <v>-762620688.73699343</v>
      </c>
      <c r="L3351" s="455">
        <f t="shared" ca="1" si="167"/>
        <v>-183791585985.61542</v>
      </c>
      <c r="M3351" s="471">
        <f t="shared" si="169"/>
        <v>0.05</v>
      </c>
      <c r="N3351" s="475">
        <f t="shared" si="170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68"/>
        <v>-183791585985.61542</v>
      </c>
      <c r="J3352" s="455">
        <f t="array" ref="J3352">IFERROR(INDEX('Retirement Calculator'!J:J,MATCH('Isaac 401k'!N3352,'Retirement Calculator'!A:A,0),0),0)</f>
        <v>0</v>
      </c>
      <c r="K3352" s="455">
        <f t="shared" ca="1" si="166"/>
        <v>-765798274.94006419</v>
      </c>
      <c r="L3352" s="455">
        <f t="shared" ca="1" si="167"/>
        <v>-184557384260.55548</v>
      </c>
      <c r="M3352" s="471">
        <f t="shared" si="169"/>
        <v>0.05</v>
      </c>
      <c r="N3352" s="475">
        <f t="shared" si="170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68"/>
        <v>-184557384260.55548</v>
      </c>
      <c r="J3353" s="455">
        <f t="array" ref="J3353">IFERROR(INDEX('Retirement Calculator'!J:J,MATCH('Isaac 401k'!N3353,'Retirement Calculator'!A:A,0),0),0)</f>
        <v>0</v>
      </c>
      <c r="K3353" s="455">
        <f t="shared" ca="1" si="166"/>
        <v>-768989101.08564782</v>
      </c>
      <c r="L3353" s="455">
        <f t="shared" ca="1" si="167"/>
        <v>-185326373361.64114</v>
      </c>
      <c r="M3353" s="471">
        <f t="shared" si="169"/>
        <v>0.05</v>
      </c>
      <c r="N3353" s="475">
        <f t="shared" si="170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68"/>
        <v>-185326373361.64114</v>
      </c>
      <c r="J3354" s="455">
        <f t="array" ref="J3354">IFERROR(INDEX('Retirement Calculator'!J:J,MATCH('Isaac 401k'!N3354,'Retirement Calculator'!A:A,0),0),0)</f>
        <v>0</v>
      </c>
      <c r="K3354" s="455">
        <f t="shared" ca="1" si="166"/>
        <v>-772193222.34017146</v>
      </c>
      <c r="L3354" s="455">
        <f t="shared" ca="1" si="167"/>
        <v>-186098566583.98132</v>
      </c>
      <c r="M3354" s="471">
        <f t="shared" si="169"/>
        <v>0.05</v>
      </c>
      <c r="N3354" s="475">
        <f t="shared" si="170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68"/>
        <v>-186098566583.98132</v>
      </c>
      <c r="J3355" s="455">
        <f t="array" ref="J3355">IFERROR(INDEX('Retirement Calculator'!J:J,MATCH('Isaac 401k'!N3355,'Retirement Calculator'!A:A,0),0),0)</f>
        <v>0</v>
      </c>
      <c r="K3355" s="455">
        <f t="shared" ca="1" si="166"/>
        <v>-775410694.09992218</v>
      </c>
      <c r="L3355" s="455">
        <f t="shared" ca="1" si="167"/>
        <v>-186873977278.08124</v>
      </c>
      <c r="M3355" s="471">
        <f t="shared" si="169"/>
        <v>0.05</v>
      </c>
      <c r="N3355" s="475">
        <f t="shared" si="170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68"/>
        <v>-186873977278.08124</v>
      </c>
      <c r="J3356" s="455">
        <f t="array" ref="J3356">IFERROR(INDEX('Retirement Calculator'!J:J,MATCH('Isaac 401k'!N3356,'Retirement Calculator'!A:A,0),0),0)</f>
        <v>0</v>
      </c>
      <c r="K3356" s="455">
        <f t="shared" ca="1" si="166"/>
        <v>-778641571.99200511</v>
      </c>
      <c r="L3356" s="455">
        <f t="shared" ca="1" si="167"/>
        <v>-187652618850.07324</v>
      </c>
      <c r="M3356" s="471">
        <f t="shared" si="169"/>
        <v>0.05</v>
      </c>
      <c r="N3356" s="475">
        <f t="shared" si="170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68"/>
        <v>-187652618850.07324</v>
      </c>
      <c r="J3357" s="455">
        <f t="array" ref="J3357">IFERROR(INDEX('Retirement Calculator'!J:J,MATCH('Isaac 401k'!N3357,'Retirement Calculator'!A:A,0),0),0)</f>
        <v>0</v>
      </c>
      <c r="K3357" s="455">
        <f t="shared" ca="1" si="166"/>
        <v>-781885911.87530518</v>
      </c>
      <c r="L3357" s="455">
        <f t="shared" ca="1" si="167"/>
        <v>-188434504761.94855</v>
      </c>
      <c r="M3357" s="471">
        <f t="shared" si="169"/>
        <v>0.05</v>
      </c>
      <c r="N3357" s="475">
        <f t="shared" si="170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68"/>
        <v>-188434504761.94855</v>
      </c>
      <c r="J3358" s="455">
        <f t="array" ref="J3358">IFERROR(INDEX('Retirement Calculator'!J:J,MATCH('Isaac 401k'!N3358,'Retirement Calculator'!A:A,0),0),0)</f>
        <v>0</v>
      </c>
      <c r="K3358" s="455">
        <f t="shared" ca="1" si="166"/>
        <v>-785143769.84145224</v>
      </c>
      <c r="L3358" s="455">
        <f t="shared" ca="1" si="167"/>
        <v>-189219648531.79001</v>
      </c>
      <c r="M3358" s="471">
        <f t="shared" si="169"/>
        <v>0.05</v>
      </c>
      <c r="N3358" s="475">
        <f t="shared" si="170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68"/>
        <v>-189219648531.79001</v>
      </c>
      <c r="J3359" s="455">
        <f t="array" ref="J3359">IFERROR(INDEX('Retirement Calculator'!J:J,MATCH('Isaac 401k'!N3359,'Retirement Calculator'!A:A,0),0),0)</f>
        <v>0</v>
      </c>
      <c r="K3359" s="455">
        <f t="shared" ca="1" si="166"/>
        <v>-788415202.2157917</v>
      </c>
      <c r="L3359" s="455">
        <f t="shared" ca="1" si="167"/>
        <v>-190008063734.0058</v>
      </c>
      <c r="M3359" s="471">
        <f t="shared" si="169"/>
        <v>0.05</v>
      </c>
      <c r="N3359" s="475">
        <f t="shared" si="170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68"/>
        <v>-190008063734.0058</v>
      </c>
      <c r="J3360" s="455">
        <f t="array" ref="J3360">IFERROR(INDEX('Retirement Calculator'!J:J,MATCH('Isaac 401k'!N3360,'Retirement Calculator'!A:A,0),0),0)</f>
        <v>0</v>
      </c>
      <c r="K3360" s="455">
        <f t="shared" ca="1" si="166"/>
        <v>-791700265.55835748</v>
      </c>
      <c r="L3360" s="455">
        <f t="shared" ca="1" si="167"/>
        <v>-190799763999.56415</v>
      </c>
      <c r="M3360" s="471">
        <f t="shared" si="169"/>
        <v>0.05</v>
      </c>
      <c r="N3360" s="475">
        <f t="shared" si="170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68"/>
        <v>-190799763999.56415</v>
      </c>
      <c r="J3361" s="455">
        <f t="array" ref="J3361">IFERROR(INDEX('Retirement Calculator'!J:J,MATCH('Isaac 401k'!N3361,'Retirement Calculator'!A:A,0),0),0)</f>
        <v>0</v>
      </c>
      <c r="K3361" s="455">
        <f t="shared" ca="1" si="166"/>
        <v>-794999016.66485059</v>
      </c>
      <c r="L3361" s="455">
        <f t="shared" ca="1" si="167"/>
        <v>-191594763016.229</v>
      </c>
      <c r="M3361" s="471">
        <f t="shared" si="169"/>
        <v>0.05</v>
      </c>
      <c r="N3361" s="475">
        <f t="shared" si="170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68"/>
        <v>-191594763016.229</v>
      </c>
      <c r="J3362" s="455">
        <f t="array" ref="J3362">IFERROR(INDEX('Retirement Calculator'!J:J,MATCH('Isaac 401k'!N3362,'Retirement Calculator'!A:A,0),0),0)</f>
        <v>0</v>
      </c>
      <c r="K3362" s="455">
        <f t="shared" ca="1" si="166"/>
        <v>-798311512.56762087</v>
      </c>
      <c r="L3362" s="455">
        <f t="shared" ca="1" si="167"/>
        <v>-192393074528.79663</v>
      </c>
      <c r="M3362" s="471">
        <f t="shared" si="169"/>
        <v>0.05</v>
      </c>
      <c r="N3362" s="475">
        <f t="shared" si="170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68"/>
        <v>-192393074528.79663</v>
      </c>
      <c r="J3363" s="455">
        <f t="array" ref="J3363">IFERROR(INDEX('Retirement Calculator'!J:J,MATCH('Isaac 401k'!N3363,'Retirement Calculator'!A:A,0),0),0)</f>
        <v>0</v>
      </c>
      <c r="K3363" s="455">
        <f t="shared" ca="1" si="166"/>
        <v>-801637810.53665257</v>
      </c>
      <c r="L3363" s="455">
        <f t="shared" ca="1" si="167"/>
        <v>-193194712339.33328</v>
      </c>
      <c r="M3363" s="471">
        <f t="shared" si="169"/>
        <v>0.05</v>
      </c>
      <c r="N3363" s="475">
        <f t="shared" si="170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68"/>
        <v>-193194712339.33328</v>
      </c>
      <c r="J3364" s="455">
        <f t="array" ref="J3364">IFERROR(INDEX('Retirement Calculator'!J:J,MATCH('Isaac 401k'!N3364,'Retirement Calculator'!A:A,0),0),0)</f>
        <v>0</v>
      </c>
      <c r="K3364" s="455">
        <f t="shared" ca="1" si="166"/>
        <v>-804977968.08055532</v>
      </c>
      <c r="L3364" s="455">
        <f t="shared" ca="1" si="167"/>
        <v>-193999690307.41385</v>
      </c>
      <c r="M3364" s="471">
        <f t="shared" si="169"/>
        <v>0.05</v>
      </c>
      <c r="N3364" s="475">
        <f t="shared" si="170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68"/>
        <v>-193999690307.41385</v>
      </c>
      <c r="J3365" s="455">
        <f t="array" ref="J3365">IFERROR(INDEX('Retirement Calculator'!J:J,MATCH('Isaac 401k'!N3365,'Retirement Calculator'!A:A,0),0),0)</f>
        <v>0</v>
      </c>
      <c r="K3365" s="455">
        <f t="shared" ca="1" si="166"/>
        <v>-808332042.94755769</v>
      </c>
      <c r="L3365" s="455">
        <f t="shared" ca="1" si="167"/>
        <v>-194808022350.36142</v>
      </c>
      <c r="M3365" s="471">
        <f t="shared" si="169"/>
        <v>0.05</v>
      </c>
      <c r="N3365" s="475">
        <f t="shared" si="170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68"/>
        <v>-194808022350.36142</v>
      </c>
      <c r="J3366" s="455">
        <f t="array" ref="J3366">IFERROR(INDEX('Retirement Calculator'!J:J,MATCH('Isaac 401k'!N3366,'Retirement Calculator'!A:A,0),0),0)</f>
        <v>0</v>
      </c>
      <c r="K3366" s="455">
        <f t="shared" ca="1" si="166"/>
        <v>-811700093.12650585</v>
      </c>
      <c r="L3366" s="455">
        <f t="shared" ca="1" si="167"/>
        <v>-195619722443.48792</v>
      </c>
      <c r="M3366" s="471">
        <f t="shared" si="169"/>
        <v>0.05</v>
      </c>
      <c r="N3366" s="475">
        <f t="shared" si="170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68"/>
        <v>-195619722443.48792</v>
      </c>
      <c r="J3367" s="455">
        <f t="array" ref="J3367">IFERROR(INDEX('Retirement Calculator'!J:J,MATCH('Isaac 401k'!N3367,'Retirement Calculator'!A:A,0),0),0)</f>
        <v>0</v>
      </c>
      <c r="K3367" s="455">
        <f t="shared" ca="1" si="166"/>
        <v>-815082176.8478663</v>
      </c>
      <c r="L3367" s="455">
        <f t="shared" ca="1" si="167"/>
        <v>-196434804620.33578</v>
      </c>
      <c r="M3367" s="471">
        <f t="shared" si="169"/>
        <v>0.05</v>
      </c>
      <c r="N3367" s="475">
        <f t="shared" si="170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68"/>
        <v>-196434804620.33578</v>
      </c>
      <c r="J3368" s="455">
        <f t="array" ref="J3368">IFERROR(INDEX('Retirement Calculator'!J:J,MATCH('Isaac 401k'!N3368,'Retirement Calculator'!A:A,0),0),0)</f>
        <v>0</v>
      </c>
      <c r="K3368" s="455">
        <f t="shared" ca="1" si="166"/>
        <v>-818478352.58473241</v>
      </c>
      <c r="L3368" s="455">
        <f t="shared" ca="1" si="167"/>
        <v>-197253282972.92053</v>
      </c>
      <c r="M3368" s="471">
        <f t="shared" si="169"/>
        <v>0.05</v>
      </c>
      <c r="N3368" s="475">
        <f t="shared" si="170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68"/>
        <v>-197253282972.92053</v>
      </c>
      <c r="J3369" s="455">
        <f t="array" ref="J3369">IFERROR(INDEX('Retirement Calculator'!J:J,MATCH('Isaac 401k'!N3369,'Retirement Calculator'!A:A,0),0),0)</f>
        <v>0</v>
      </c>
      <c r="K3369" s="455">
        <f t="shared" ca="1" si="166"/>
        <v>-821888679.05383551</v>
      </c>
      <c r="L3369" s="455">
        <f t="shared" ca="1" si="167"/>
        <v>-198075171651.97437</v>
      </c>
      <c r="M3369" s="471">
        <f t="shared" si="169"/>
        <v>0.05</v>
      </c>
      <c r="N3369" s="475">
        <f t="shared" si="170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68"/>
        <v>-198075171651.97437</v>
      </c>
      <c r="J3370" s="455">
        <f t="array" ref="J3370">IFERROR(INDEX('Retirement Calculator'!J:J,MATCH('Isaac 401k'!N3370,'Retirement Calculator'!A:A,0),0),0)</f>
        <v>0</v>
      </c>
      <c r="K3370" s="455">
        <f t="shared" ca="1" si="166"/>
        <v>-825313215.21655989</v>
      </c>
      <c r="L3370" s="455">
        <f t="shared" ca="1" si="167"/>
        <v>-198900484867.19092</v>
      </c>
      <c r="M3370" s="471">
        <f t="shared" si="169"/>
        <v>0.05</v>
      </c>
      <c r="N3370" s="475">
        <f t="shared" si="170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68"/>
        <v>-198900484867.19092</v>
      </c>
      <c r="J3371" s="455">
        <f t="array" ref="J3371">IFERROR(INDEX('Retirement Calculator'!J:J,MATCH('Isaac 401k'!N3371,'Retirement Calculator'!A:A,0),0),0)</f>
        <v>0</v>
      </c>
      <c r="K3371" s="455">
        <f t="shared" ca="1" si="166"/>
        <v>-828752020.27996218</v>
      </c>
      <c r="L3371" s="455">
        <f t="shared" ca="1" si="167"/>
        <v>-199729236887.47089</v>
      </c>
      <c r="M3371" s="471">
        <f t="shared" si="169"/>
        <v>0.05</v>
      </c>
      <c r="N3371" s="475">
        <f t="shared" si="170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68"/>
        <v>-199729236887.47089</v>
      </c>
      <c r="J3372" s="455">
        <f t="array" ref="J3372">IFERROR(INDEX('Retirement Calculator'!J:J,MATCH('Isaac 401k'!N3372,'Retirement Calculator'!A:A,0),0),0)</f>
        <v>0</v>
      </c>
      <c r="K3372" s="455">
        <f t="shared" ca="1" si="166"/>
        <v>-832205153.69779539</v>
      </c>
      <c r="L3372" s="455">
        <f t="shared" ca="1" si="167"/>
        <v>-200561442041.16867</v>
      </c>
      <c r="M3372" s="471">
        <f t="shared" si="169"/>
        <v>0.05</v>
      </c>
      <c r="N3372" s="475">
        <f t="shared" si="170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68"/>
        <v>-200561442041.16867</v>
      </c>
      <c r="J3373" s="455">
        <f t="array" ref="J3373">IFERROR(INDEX('Retirement Calculator'!J:J,MATCH('Isaac 401k'!N3373,'Retirement Calculator'!A:A,0),0),0)</f>
        <v>0</v>
      </c>
      <c r="K3373" s="455">
        <f t="shared" ca="1" si="166"/>
        <v>-835672675.17153609</v>
      </c>
      <c r="L3373" s="455">
        <f t="shared" ca="1" si="167"/>
        <v>-201397114716.34021</v>
      </c>
      <c r="M3373" s="471">
        <f t="shared" si="169"/>
        <v>0.05</v>
      </c>
      <c r="N3373" s="475">
        <f t="shared" si="170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68"/>
        <v>-201397114716.34021</v>
      </c>
      <c r="J3374" s="455">
        <f t="array" ref="J3374">IFERROR(INDEX('Retirement Calculator'!J:J,MATCH('Isaac 401k'!N3374,'Retirement Calculator'!A:A,0),0),0)</f>
        <v>0</v>
      </c>
      <c r="K3374" s="455">
        <f t="shared" ca="1" si="166"/>
        <v>-839154644.65141749</v>
      </c>
      <c r="L3374" s="455">
        <f t="shared" ca="1" si="167"/>
        <v>-202236269360.99164</v>
      </c>
      <c r="M3374" s="471">
        <f t="shared" si="169"/>
        <v>0.05</v>
      </c>
      <c r="N3374" s="475">
        <f t="shared" si="170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68"/>
        <v>-202236269360.99164</v>
      </c>
      <c r="J3375" s="455">
        <f t="array" ref="J3375">IFERROR(INDEX('Retirement Calculator'!J:J,MATCH('Isaac 401k'!N3375,'Retirement Calculator'!A:A,0),0),0)</f>
        <v>0</v>
      </c>
      <c r="K3375" s="455">
        <f t="shared" ca="1" si="166"/>
        <v>-842651122.33746517</v>
      </c>
      <c r="L3375" s="455">
        <f t="shared" ca="1" si="167"/>
        <v>-203078920483.3291</v>
      </c>
      <c r="M3375" s="471">
        <f t="shared" si="169"/>
        <v>0.05</v>
      </c>
      <c r="N3375" s="475">
        <f t="shared" si="170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68"/>
        <v>-203078920483.3291</v>
      </c>
      <c r="J3376" s="455">
        <f t="array" ref="J3376">IFERROR(INDEX('Retirement Calculator'!J:J,MATCH('Isaac 401k'!N3376,'Retirement Calculator'!A:A,0),0),0)</f>
        <v>0</v>
      </c>
      <c r="K3376" s="455">
        <f t="shared" ca="1" si="166"/>
        <v>-846162168.68053794</v>
      </c>
      <c r="L3376" s="455">
        <f t="shared" ca="1" si="167"/>
        <v>-203925082652.00964</v>
      </c>
      <c r="M3376" s="471">
        <f t="shared" si="169"/>
        <v>0.05</v>
      </c>
      <c r="N3376" s="475">
        <f t="shared" si="170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68"/>
        <v>-203925082652.00964</v>
      </c>
      <c r="J3377" s="455">
        <f t="array" ref="J3377">IFERROR(INDEX('Retirement Calculator'!J:J,MATCH('Isaac 401k'!N3377,'Retirement Calculator'!A:A,0),0),0)</f>
        <v>0</v>
      </c>
      <c r="K3377" s="455">
        <f t="shared" ca="1" si="166"/>
        <v>-849687844.3833735</v>
      </c>
      <c r="L3377" s="455">
        <f t="shared" ca="1" si="167"/>
        <v>-204774770496.39301</v>
      </c>
      <c r="M3377" s="471">
        <f t="shared" si="169"/>
        <v>0.05</v>
      </c>
      <c r="N3377" s="475">
        <f t="shared" si="170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68"/>
        <v>-204774770496.39301</v>
      </c>
      <c r="J3378" s="455">
        <f t="array" ref="J3378">IFERROR(INDEX('Retirement Calculator'!J:J,MATCH('Isaac 401k'!N3378,'Retirement Calculator'!A:A,0),0),0)</f>
        <v>0</v>
      </c>
      <c r="K3378" s="455">
        <f t="shared" ca="1" si="166"/>
        <v>-853228210.40163755</v>
      </c>
      <c r="L3378" s="455">
        <f t="shared" ca="1" si="167"/>
        <v>-205627998706.79465</v>
      </c>
      <c r="M3378" s="471">
        <f t="shared" si="169"/>
        <v>0.05</v>
      </c>
      <c r="N3378" s="475">
        <f t="shared" si="170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68"/>
        <v>-205627998706.79465</v>
      </c>
      <c r="J3379" s="455">
        <f t="array" ref="J3379">IFERROR(INDEX('Retirement Calculator'!J:J,MATCH('Isaac 401k'!N3379,'Retirement Calculator'!A:A,0),0),0)</f>
        <v>0</v>
      </c>
      <c r="K3379" s="455">
        <f t="shared" ca="1" si="166"/>
        <v>-856783327.94497764</v>
      </c>
      <c r="L3379" s="455">
        <f t="shared" ca="1" si="167"/>
        <v>-206484782034.73962</v>
      </c>
      <c r="M3379" s="471">
        <f t="shared" si="169"/>
        <v>0.05</v>
      </c>
      <c r="N3379" s="475">
        <f t="shared" si="170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68"/>
        <v>-206484782034.73962</v>
      </c>
      <c r="J3380" s="455">
        <f t="array" ref="J3380">IFERROR(INDEX('Retirement Calculator'!J:J,MATCH('Isaac 401k'!N3380,'Retirement Calculator'!A:A,0),0),0)</f>
        <v>0</v>
      </c>
      <c r="K3380" s="455">
        <f t="shared" ca="1" si="166"/>
        <v>-860353258.4780817</v>
      </c>
      <c r="L3380" s="455">
        <f t="shared" ca="1" si="167"/>
        <v>-207345135293.21771</v>
      </c>
      <c r="M3380" s="471">
        <f t="shared" si="169"/>
        <v>0.05</v>
      </c>
      <c r="N3380" s="475">
        <f t="shared" si="170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68"/>
        <v>-207345135293.21771</v>
      </c>
      <c r="J3381" s="455">
        <f t="array" ref="J3381">IFERROR(INDEX('Retirement Calculator'!J:J,MATCH('Isaac 401k'!N3381,'Retirement Calculator'!A:A,0),0),0)</f>
        <v>0</v>
      </c>
      <c r="K3381" s="455">
        <f t="shared" ca="1" si="166"/>
        <v>-863938063.72174048</v>
      </c>
      <c r="L3381" s="455">
        <f t="shared" ca="1" si="167"/>
        <v>-208209073356.93945</v>
      </c>
      <c r="M3381" s="471">
        <f t="shared" si="169"/>
        <v>0.05</v>
      </c>
      <c r="N3381" s="475">
        <f t="shared" si="170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68"/>
        <v>-208209073356.93945</v>
      </c>
      <c r="J3382" s="455">
        <f t="array" ref="J3382">IFERROR(INDEX('Retirement Calculator'!J:J,MATCH('Isaac 401k'!N3382,'Retirement Calculator'!A:A,0),0),0)</f>
        <v>0</v>
      </c>
      <c r="K3382" s="455">
        <f t="shared" ca="1" si="166"/>
        <v>-867537805.65391433</v>
      </c>
      <c r="L3382" s="455">
        <f t="shared" ca="1" si="167"/>
        <v>-209076611162.59335</v>
      </c>
      <c r="M3382" s="471">
        <f t="shared" si="169"/>
        <v>0.05</v>
      </c>
      <c r="N3382" s="475">
        <f t="shared" si="170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68"/>
        <v>-209076611162.59335</v>
      </c>
      <c r="J3383" s="455">
        <f t="array" ref="J3383">IFERROR(INDEX('Retirement Calculator'!J:J,MATCH('Isaac 401k'!N3383,'Retirement Calculator'!A:A,0),0),0)</f>
        <v>0</v>
      </c>
      <c r="K3383" s="455">
        <f t="shared" ca="1" si="166"/>
        <v>-871152546.51080561</v>
      </c>
      <c r="L3383" s="455">
        <f t="shared" ca="1" si="167"/>
        <v>-209947763709.10416</v>
      </c>
      <c r="M3383" s="471">
        <f t="shared" si="169"/>
        <v>0.05</v>
      </c>
      <c r="N3383" s="475">
        <f t="shared" si="170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68"/>
        <v>-209947763709.10416</v>
      </c>
      <c r="J3384" s="455">
        <f t="array" ref="J3384">IFERROR(INDEX('Retirement Calculator'!J:J,MATCH('Isaac 401k'!N3384,'Retirement Calculator'!A:A,0),0),0)</f>
        <v>0</v>
      </c>
      <c r="K3384" s="455">
        <f t="shared" ca="1" si="166"/>
        <v>-874782348.78793395</v>
      </c>
      <c r="L3384" s="455">
        <f t="shared" ca="1" si="167"/>
        <v>-210822546057.89209</v>
      </c>
      <c r="M3384" s="471">
        <f t="shared" si="169"/>
        <v>0.05</v>
      </c>
      <c r="N3384" s="475">
        <f t="shared" si="170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68"/>
        <v>-210822546057.89209</v>
      </c>
      <c r="J3385" s="455">
        <f t="array" ref="J3385">IFERROR(INDEX('Retirement Calculator'!J:J,MATCH('Isaac 401k'!N3385,'Retirement Calculator'!A:A,0),0),0)</f>
        <v>0</v>
      </c>
      <c r="K3385" s="455">
        <f t="shared" ca="1" si="166"/>
        <v>-878427275.24121702</v>
      </c>
      <c r="L3385" s="455">
        <f t="shared" ca="1" si="167"/>
        <v>-211700973333.1333</v>
      </c>
      <c r="M3385" s="471">
        <f t="shared" si="169"/>
        <v>0.05</v>
      </c>
      <c r="N3385" s="475">
        <f t="shared" si="170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68"/>
        <v>-211700973333.1333</v>
      </c>
      <c r="J3386" s="455">
        <f t="array" ref="J3386">IFERROR(INDEX('Retirement Calculator'!J:J,MATCH('Isaac 401k'!N3386,'Retirement Calculator'!A:A,0),0),0)</f>
        <v>0</v>
      </c>
      <c r="K3386" s="455">
        <f t="shared" ca="1" si="166"/>
        <v>-882087388.88805544</v>
      </c>
      <c r="L3386" s="455">
        <f t="shared" ca="1" si="167"/>
        <v>-212583060722.02136</v>
      </c>
      <c r="M3386" s="471">
        <f t="shared" si="169"/>
        <v>0.05</v>
      </c>
      <c r="N3386" s="475">
        <f t="shared" si="170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68"/>
        <v>-212583060722.02136</v>
      </c>
      <c r="J3387" s="455">
        <f t="array" ref="J3387">IFERROR(INDEX('Retirement Calculator'!J:J,MATCH('Isaac 401k'!N3387,'Retirement Calculator'!A:A,0),0),0)</f>
        <v>0</v>
      </c>
      <c r="K3387" s="455">
        <f t="shared" ca="1" si="166"/>
        <v>-885762753.00842237</v>
      </c>
      <c r="L3387" s="455">
        <f t="shared" ca="1" si="167"/>
        <v>-213468823475.02979</v>
      </c>
      <c r="M3387" s="471">
        <f t="shared" si="169"/>
        <v>0.05</v>
      </c>
      <c r="N3387" s="475">
        <f t="shared" si="170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68"/>
        <v>-213468823475.02979</v>
      </c>
      <c r="J3388" s="455">
        <f t="array" ref="J3388">IFERROR(INDEX('Retirement Calculator'!J:J,MATCH('Isaac 401k'!N3388,'Retirement Calculator'!A:A,0),0),0)</f>
        <v>0</v>
      </c>
      <c r="K3388" s="455">
        <f t="shared" ca="1" si="166"/>
        <v>-889453431.14595747</v>
      </c>
      <c r="L3388" s="455">
        <f t="shared" ca="1" si="167"/>
        <v>-214358276906.17575</v>
      </c>
      <c r="M3388" s="471">
        <f t="shared" si="169"/>
        <v>0.05</v>
      </c>
      <c r="N3388" s="475">
        <f t="shared" si="170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68"/>
        <v>-214358276906.17575</v>
      </c>
      <c r="J3389" s="455">
        <f t="array" ref="J3389">IFERROR(INDEX('Retirement Calculator'!J:J,MATCH('Isaac 401k'!N3389,'Retirement Calculator'!A:A,0),0),0)</f>
        <v>0</v>
      </c>
      <c r="K3389" s="455">
        <f t="shared" ca="1" si="166"/>
        <v>-893159487.10906553</v>
      </c>
      <c r="L3389" s="455">
        <f t="shared" ca="1" si="167"/>
        <v>-215251436393.28482</v>
      </c>
      <c r="M3389" s="471">
        <f t="shared" si="169"/>
        <v>0.05</v>
      </c>
      <c r="N3389" s="475">
        <f t="shared" si="170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68"/>
        <v>-215251436393.28482</v>
      </c>
      <c r="J3390" s="455">
        <f t="array" ref="J3390">IFERROR(INDEX('Retirement Calculator'!J:J,MATCH('Isaac 401k'!N3390,'Retirement Calculator'!A:A,0),0),0)</f>
        <v>0</v>
      </c>
      <c r="K3390" s="455">
        <f t="shared" ca="1" si="166"/>
        <v>-896880984.97202003</v>
      </c>
      <c r="L3390" s="455">
        <f t="shared" ca="1" si="167"/>
        <v>-216148317378.25684</v>
      </c>
      <c r="M3390" s="471">
        <f t="shared" si="169"/>
        <v>0.05</v>
      </c>
      <c r="N3390" s="475">
        <f t="shared" si="170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68"/>
        <v>-216148317378.25684</v>
      </c>
      <c r="J3391" s="455">
        <f t="array" ref="J3391">IFERROR(INDEX('Retirement Calculator'!J:J,MATCH('Isaac 401k'!N3391,'Retirement Calculator'!A:A,0),0),0)</f>
        <v>0</v>
      </c>
      <c r="K3391" s="455">
        <f t="shared" ca="1" si="166"/>
        <v>-900617989.07607019</v>
      </c>
      <c r="L3391" s="455">
        <f t="shared" ca="1" si="167"/>
        <v>-217048935367.33292</v>
      </c>
      <c r="M3391" s="471">
        <f t="shared" si="169"/>
        <v>0.05</v>
      </c>
      <c r="N3391" s="475">
        <f t="shared" si="170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68"/>
        <v>-217048935367.33292</v>
      </c>
      <c r="J3392" s="455">
        <f t="array" ref="J3392">IFERROR(INDEX('Retirement Calculator'!J:J,MATCH('Isaac 401k'!N3392,'Retirement Calculator'!A:A,0),0),0)</f>
        <v>0</v>
      </c>
      <c r="K3392" s="455">
        <f t="shared" ca="1" si="166"/>
        <v>-904370564.03055382</v>
      </c>
      <c r="L3392" s="455">
        <f t="shared" ca="1" si="167"/>
        <v>-217953305931.36346</v>
      </c>
      <c r="M3392" s="471">
        <f t="shared" si="169"/>
        <v>0.05</v>
      </c>
      <c r="N3392" s="475">
        <f t="shared" si="170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68"/>
        <v>-217953305931.36346</v>
      </c>
      <c r="J3393" s="455">
        <f t="array" ref="J3393">IFERROR(INDEX('Retirement Calculator'!J:J,MATCH('Isaac 401k'!N3393,'Retirement Calculator'!A:A,0),0),0)</f>
        <v>0</v>
      </c>
      <c r="K3393" s="455">
        <f t="shared" ca="1" si="166"/>
        <v>-908138774.71401441</v>
      </c>
      <c r="L3393" s="455">
        <f t="shared" ca="1" si="167"/>
        <v>-218861444706.07748</v>
      </c>
      <c r="M3393" s="471">
        <f t="shared" si="169"/>
        <v>0.05</v>
      </c>
      <c r="N3393" s="475">
        <f t="shared" si="170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68"/>
        <v>-218861444706.07748</v>
      </c>
      <c r="J3394" s="455">
        <f t="array" ref="J3394">IFERROR(INDEX('Retirement Calculator'!J:J,MATCH('Isaac 401k'!N3394,'Retirement Calculator'!A:A,0),0),0)</f>
        <v>0</v>
      </c>
      <c r="K3394" s="455">
        <f t="shared" ca="1" si="166"/>
        <v>-911922686.27532268</v>
      </c>
      <c r="L3394" s="455">
        <f t="shared" ca="1" si="167"/>
        <v>-219773367392.35281</v>
      </c>
      <c r="M3394" s="471">
        <f t="shared" si="169"/>
        <v>0.05</v>
      </c>
      <c r="N3394" s="475">
        <f t="shared" si="170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68"/>
        <v>-219773367392.35281</v>
      </c>
      <c r="J3395" s="455">
        <f t="array" ref="J3395">IFERROR(INDEX('Retirement Calculator'!J:J,MATCH('Isaac 401k'!N3395,'Retirement Calculator'!A:A,0),0),0)</f>
        <v>0</v>
      </c>
      <c r="K3395" s="455">
        <f t="shared" ca="1" si="166"/>
        <v>-915722364.13480353</v>
      </c>
      <c r="L3395" s="455">
        <f t="shared" ca="1" si="167"/>
        <v>-220689089756.48761</v>
      </c>
      <c r="M3395" s="471">
        <f t="shared" si="169"/>
        <v>0.05</v>
      </c>
      <c r="N3395" s="475">
        <f t="shared" si="170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68"/>
        <v>-220689089756.48761</v>
      </c>
      <c r="J3396" s="455">
        <f t="array" ref="J3396">IFERROR(INDEX('Retirement Calculator'!J:J,MATCH('Isaac 401k'!N3396,'Retirement Calculator'!A:A,0),0),0)</f>
        <v>0</v>
      </c>
      <c r="K3396" s="455">
        <f t="shared" ca="1" si="166"/>
        <v>-919537873.98536515</v>
      </c>
      <c r="L3396" s="455">
        <f t="shared" ca="1" si="167"/>
        <v>-221608627630.47296</v>
      </c>
      <c r="M3396" s="471">
        <f t="shared" si="169"/>
        <v>0.05</v>
      </c>
      <c r="N3396" s="475">
        <f t="shared" si="170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68"/>
        <v>-221608627630.47296</v>
      </c>
      <c r="J3397" s="455">
        <f t="array" ref="J3397">IFERROR(INDEX('Retirement Calculator'!J:J,MATCH('Isaac 401k'!N3397,'Retirement Calculator'!A:A,0),0),0)</f>
        <v>0</v>
      </c>
      <c r="K3397" s="455">
        <f t="shared" ca="1" si="166"/>
        <v>-923369281.79363728</v>
      </c>
      <c r="L3397" s="455">
        <f t="shared" ca="1" si="167"/>
        <v>-222531996912.2666</v>
      </c>
      <c r="M3397" s="471">
        <f t="shared" si="169"/>
        <v>0.05</v>
      </c>
      <c r="N3397" s="475">
        <f t="shared" si="170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68"/>
        <v>-222531996912.2666</v>
      </c>
      <c r="J3398" s="455">
        <f t="array" ref="J3398">IFERROR(INDEX('Retirement Calculator'!J:J,MATCH('Isaac 401k'!N3398,'Retirement Calculator'!A:A,0),0),0)</f>
        <v>0</v>
      </c>
      <c r="K3398" s="455">
        <f t="shared" ca="1" si="166"/>
        <v>-927216653.80111086</v>
      </c>
      <c r="L3398" s="455">
        <f t="shared" ca="1" si="167"/>
        <v>-223459213566.06772</v>
      </c>
      <c r="M3398" s="471">
        <f t="shared" si="169"/>
        <v>0.05</v>
      </c>
      <c r="N3398" s="475">
        <f t="shared" si="170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68"/>
        <v>-223459213566.06772</v>
      </c>
      <c r="J3399" s="455">
        <f t="array" ref="J3399">IFERROR(INDEX('Retirement Calculator'!J:J,MATCH('Isaac 401k'!N3399,'Retirement Calculator'!A:A,0),0),0)</f>
        <v>0</v>
      </c>
      <c r="K3399" s="455">
        <f t="shared" ca="1" si="166"/>
        <v>-931080056.52528226</v>
      </c>
      <c r="L3399" s="455">
        <f t="shared" ca="1" si="167"/>
        <v>-224390293622.59299</v>
      </c>
      <c r="M3399" s="471">
        <f t="shared" si="169"/>
        <v>0.05</v>
      </c>
      <c r="N3399" s="475">
        <f t="shared" si="170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68"/>
        <v>-224390293622.59299</v>
      </c>
      <c r="J3400" s="455">
        <f t="array" ref="J3400">IFERROR(INDEX('Retirement Calculator'!J:J,MATCH('Isaac 401k'!N3400,'Retirement Calculator'!A:A,0),0),0)</f>
        <v>0</v>
      </c>
      <c r="K3400" s="455">
        <f t="shared" ca="1" si="166"/>
        <v>-934959556.76080394</v>
      </c>
      <c r="L3400" s="455">
        <f t="shared" ca="1" si="167"/>
        <v>-225325253179.35379</v>
      </c>
      <c r="M3400" s="471">
        <f t="shared" si="169"/>
        <v>0.05</v>
      </c>
      <c r="N3400" s="475">
        <f t="shared" si="170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68"/>
        <v>-225325253179.35379</v>
      </c>
      <c r="J3401" s="455">
        <f t="array" ref="J3401">IFERROR(INDEX('Retirement Calculator'!J:J,MATCH('Isaac 401k'!N3401,'Retirement Calculator'!A:A,0),0),0)</f>
        <v>0</v>
      </c>
      <c r="K3401" s="455">
        <f t="shared" ca="1" si="166"/>
        <v>-938855221.58064091</v>
      </c>
      <c r="L3401" s="455">
        <f t="shared" ca="1" si="167"/>
        <v>-226264108400.93442</v>
      </c>
      <c r="M3401" s="471">
        <f t="shared" si="169"/>
        <v>0.05</v>
      </c>
      <c r="N3401" s="475">
        <f t="shared" si="170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68"/>
        <v>-226264108400.93442</v>
      </c>
      <c r="J3402" s="455">
        <f t="array" ref="J3402">IFERROR(INDEX('Retirement Calculator'!J:J,MATCH('Isaac 401k'!N3402,'Retirement Calculator'!A:A,0),0),0)</f>
        <v>0</v>
      </c>
      <c r="K3402" s="455">
        <f t="shared" ca="1" si="166"/>
        <v>-942767118.33722663</v>
      </c>
      <c r="L3402" s="455">
        <f t="shared" ca="1" si="167"/>
        <v>-227206875519.27164</v>
      </c>
      <c r="M3402" s="471">
        <f t="shared" si="169"/>
        <v>0.05</v>
      </c>
      <c r="N3402" s="475">
        <f t="shared" si="170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68"/>
        <v>-227206875519.27164</v>
      </c>
      <c r="J3403" s="455">
        <f t="array" ref="J3403">IFERROR(INDEX('Retirement Calculator'!J:J,MATCH('Isaac 401k'!N3403,'Retirement Calculator'!A:A,0),0),0)</f>
        <v>0</v>
      </c>
      <c r="K3403" s="455">
        <f t="shared" ca="1" si="166"/>
        <v>-946695314.66363192</v>
      </c>
      <c r="L3403" s="455">
        <f t="shared" ca="1" si="167"/>
        <v>-228153570833.93527</v>
      </c>
      <c r="M3403" s="471">
        <f t="shared" si="169"/>
        <v>0.05</v>
      </c>
      <c r="N3403" s="475">
        <f t="shared" si="170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68"/>
        <v>-228153570833.93527</v>
      </c>
      <c r="J3404" s="455">
        <f t="array" ref="J3404">IFERROR(INDEX('Retirement Calculator'!J:J,MATCH('Isaac 401k'!N3404,'Retirement Calculator'!A:A,0),0),0)</f>
        <v>0</v>
      </c>
      <c r="K3404" s="455">
        <f t="shared" ca="1" si="166"/>
        <v>-950639878.47473025</v>
      </c>
      <c r="L3404" s="455">
        <f t="shared" ca="1" si="167"/>
        <v>-229104210712.41</v>
      </c>
      <c r="M3404" s="471">
        <f t="shared" si="169"/>
        <v>0.05</v>
      </c>
      <c r="N3404" s="475">
        <f t="shared" si="170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68"/>
        <v>-229104210712.41</v>
      </c>
      <c r="J3405" s="455">
        <f t="array" ref="J3405">IFERROR(INDEX('Retirement Calculator'!J:J,MATCH('Isaac 401k'!N3405,'Retirement Calculator'!A:A,0),0),0)</f>
        <v>0</v>
      </c>
      <c r="K3405" s="455">
        <f t="shared" ca="1" si="166"/>
        <v>-954600877.96837497</v>
      </c>
      <c r="L3405" s="455">
        <f t="shared" ca="1" si="167"/>
        <v>-230058811590.37839</v>
      </c>
      <c r="M3405" s="471">
        <f t="shared" si="169"/>
        <v>0.05</v>
      </c>
      <c r="N3405" s="475">
        <f t="shared" si="170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68"/>
        <v>-230058811590.37839</v>
      </c>
      <c r="J3406" s="455">
        <f t="array" ref="J3406">IFERROR(INDEX('Retirement Calculator'!J:J,MATCH('Isaac 401k'!N3406,'Retirement Calculator'!A:A,0),0),0)</f>
        <v>0</v>
      </c>
      <c r="K3406" s="455">
        <f t="shared" ca="1" si="166"/>
        <v>-958578381.62657642</v>
      </c>
      <c r="L3406" s="455">
        <f t="shared" ca="1" si="167"/>
        <v>-231017389972.00497</v>
      </c>
      <c r="M3406" s="471">
        <f t="shared" si="169"/>
        <v>0.05</v>
      </c>
      <c r="N3406" s="475">
        <f t="shared" si="170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68"/>
        <v>-231017389972.00497</v>
      </c>
      <c r="J3407" s="455">
        <f t="array" ref="J3407">IFERROR(INDEX('Retirement Calculator'!J:J,MATCH('Isaac 401k'!N3407,'Retirement Calculator'!A:A,0),0),0)</f>
        <v>0</v>
      </c>
      <c r="K3407" s="455">
        <f t="shared" ca="1" si="166"/>
        <v>-962572458.21668732</v>
      </c>
      <c r="L3407" s="455">
        <f t="shared" ca="1" si="167"/>
        <v>-231979962430.22165</v>
      </c>
      <c r="M3407" s="471">
        <f t="shared" si="169"/>
        <v>0.05</v>
      </c>
      <c r="N3407" s="475">
        <f t="shared" si="170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68"/>
        <v>-231979962430.22165</v>
      </c>
      <c r="J3408" s="455">
        <f t="array" ref="J3408">IFERROR(INDEX('Retirement Calculator'!J:J,MATCH('Isaac 401k'!N3408,'Retirement Calculator'!A:A,0),0),0)</f>
        <v>0</v>
      </c>
      <c r="K3408" s="455">
        <f t="shared" ca="1" si="166"/>
        <v>-966583176.79259014</v>
      </c>
      <c r="L3408" s="455">
        <f t="shared" ca="1" si="167"/>
        <v>-232946545607.01425</v>
      </c>
      <c r="M3408" s="471">
        <f t="shared" si="169"/>
        <v>0.05</v>
      </c>
      <c r="N3408" s="475">
        <f t="shared" si="170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68"/>
        <v>-232946545607.01425</v>
      </c>
      <c r="J3409" s="455">
        <f t="array" ref="J3409">IFERROR(INDEX('Retirement Calculator'!J:J,MATCH('Isaac 401k'!N3409,'Retirement Calculator'!A:A,0),0),0)</f>
        <v>0</v>
      </c>
      <c r="K3409" s="455">
        <f t="shared" ca="1" si="166"/>
        <v>-970610606.69589281</v>
      </c>
      <c r="L3409" s="455">
        <f t="shared" ca="1" si="167"/>
        <v>-233917156213.71014</v>
      </c>
      <c r="M3409" s="471">
        <f t="shared" si="169"/>
        <v>0.05</v>
      </c>
      <c r="N3409" s="475">
        <f t="shared" si="170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68"/>
        <v>-233917156213.71014</v>
      </c>
      <c r="J3410" s="455">
        <f t="array" ref="J3410">IFERROR(INDEX('Retirement Calculator'!J:J,MATCH('Isaac 401k'!N3410,'Retirement Calculator'!A:A,0),0),0)</f>
        <v>0</v>
      </c>
      <c r="K3410" s="455">
        <f t="shared" ca="1" si="166"/>
        <v>-974654817.55712557</v>
      </c>
      <c r="L3410" s="455">
        <f t="shared" ca="1" si="167"/>
        <v>-234891811031.26727</v>
      </c>
      <c r="M3410" s="471">
        <f t="shared" si="169"/>
        <v>0.05</v>
      </c>
      <c r="N3410" s="475">
        <f t="shared" si="170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68"/>
        <v>-234891811031.26727</v>
      </c>
      <c r="J3411" s="455">
        <f t="array" ref="J3411">IFERROR(INDEX('Retirement Calculator'!J:J,MATCH('Isaac 401k'!N3411,'Retirement Calculator'!A:A,0),0),0)</f>
        <v>0</v>
      </c>
      <c r="K3411" s="455">
        <f t="shared" ca="1" si="166"/>
        <v>-978715879.296947</v>
      </c>
      <c r="L3411" s="455">
        <f t="shared" ca="1" si="167"/>
        <v>-235870526910.56421</v>
      </c>
      <c r="M3411" s="471">
        <f t="shared" si="169"/>
        <v>0.05</v>
      </c>
      <c r="N3411" s="475">
        <f t="shared" si="170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68"/>
        <v>-235870526910.56421</v>
      </c>
      <c r="J3412" s="455">
        <f t="array" ref="J3412">IFERROR(INDEX('Retirement Calculator'!J:J,MATCH('Isaac 401k'!N3412,'Retirement Calculator'!A:A,0),0),0)</f>
        <v>0</v>
      </c>
      <c r="K3412" s="455">
        <f t="shared" ca="1" si="166"/>
        <v>-982793862.12735081</v>
      </c>
      <c r="L3412" s="455">
        <f t="shared" ca="1" si="167"/>
        <v>-236853320772.69156</v>
      </c>
      <c r="M3412" s="471">
        <f t="shared" si="169"/>
        <v>0.05</v>
      </c>
      <c r="N3412" s="475">
        <f t="shared" si="170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68"/>
        <v>-236853320772.69156</v>
      </c>
      <c r="J3413" s="455">
        <f t="array" ref="J3413">IFERROR(INDEX('Retirement Calculator'!J:J,MATCH('Isaac 401k'!N3413,'Retirement Calculator'!A:A,0),0),0)</f>
        <v>0</v>
      </c>
      <c r="K3413" s="455">
        <f t="shared" ca="1" si="166"/>
        <v>-986888836.5528816</v>
      </c>
      <c r="L3413" s="455">
        <f t="shared" ca="1" si="167"/>
        <v>-237840209609.24445</v>
      </c>
      <c r="M3413" s="471">
        <f t="shared" si="169"/>
        <v>0.05</v>
      </c>
      <c r="N3413" s="475">
        <f t="shared" si="170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68"/>
        <v>-237840209609.24445</v>
      </c>
      <c r="J3414" s="455">
        <f t="array" ref="J3414">IFERROR(INDEX('Retirement Calculator'!J:J,MATCH('Isaac 401k'!N3414,'Retirement Calculator'!A:A,0),0),0)</f>
        <v>0</v>
      </c>
      <c r="K3414" s="455">
        <f t="shared" ca="1" si="166"/>
        <v>-991000873.3718518</v>
      </c>
      <c r="L3414" s="455">
        <f t="shared" ca="1" si="167"/>
        <v>-238831210482.6163</v>
      </c>
      <c r="M3414" s="471">
        <f t="shared" si="169"/>
        <v>0.05</v>
      </c>
      <c r="N3414" s="475">
        <f t="shared" si="170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68"/>
        <v>-238831210482.6163</v>
      </c>
      <c r="J3415" s="455">
        <f t="array" ref="J3415">IFERROR(INDEX('Retirement Calculator'!J:J,MATCH('Isaac 401k'!N3415,'Retirement Calculator'!A:A,0),0),0)</f>
        <v>0</v>
      </c>
      <c r="K3415" s="455">
        <f t="shared" ca="1" si="166"/>
        <v>-995130043.67756796</v>
      </c>
      <c r="L3415" s="455">
        <f t="shared" ca="1" si="167"/>
        <v>-239826340526.29388</v>
      </c>
      <c r="M3415" s="471">
        <f t="shared" si="169"/>
        <v>0.05</v>
      </c>
      <c r="N3415" s="475">
        <f t="shared" si="170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68"/>
        <v>-239826340526.29388</v>
      </c>
      <c r="J3416" s="455">
        <f t="array" ref="J3416">IFERROR(INDEX('Retirement Calculator'!J:J,MATCH('Isaac 401k'!N3416,'Retirement Calculator'!A:A,0),0),0)</f>
        <v>0</v>
      </c>
      <c r="K3416" s="455">
        <f t="shared" ca="1" si="166"/>
        <v>-999276418.85955775</v>
      </c>
      <c r="L3416" s="455">
        <f t="shared" ca="1" si="167"/>
        <v>-240825616945.15344</v>
      </c>
      <c r="M3416" s="471">
        <f t="shared" si="169"/>
        <v>0.05</v>
      </c>
      <c r="N3416" s="475">
        <f t="shared" si="170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68"/>
        <v>-240825616945.15344</v>
      </c>
      <c r="J3417" s="455">
        <f t="array" ref="J3417">IFERROR(INDEX('Retirement Calculator'!J:J,MATCH('Isaac 401k'!N3417,'Retirement Calculator'!A:A,0),0),0)</f>
        <v>0</v>
      </c>
      <c r="K3417" s="455">
        <f t="shared" ca="1" si="166"/>
        <v>-1003440070.6048059</v>
      </c>
      <c r="L3417" s="455">
        <f t="shared" ca="1" si="167"/>
        <v>-241829057015.75824</v>
      </c>
      <c r="M3417" s="471">
        <f t="shared" si="169"/>
        <v>0.05</v>
      </c>
      <c r="N3417" s="475">
        <f t="shared" si="170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68"/>
        <v>-241829057015.75824</v>
      </c>
      <c r="J3418" s="455">
        <f t="array" ref="J3418">IFERROR(INDEX('Retirement Calculator'!J:J,MATCH('Isaac 401k'!N3418,'Retirement Calculator'!A:A,0),0),0)</f>
        <v>0</v>
      </c>
      <c r="K3418" s="455">
        <f t="shared" ca="1" si="166"/>
        <v>-1007621070.8989927</v>
      </c>
      <c r="L3418" s="455">
        <f t="shared" ca="1" si="167"/>
        <v>-242836678086.65723</v>
      </c>
      <c r="M3418" s="471">
        <f t="shared" si="169"/>
        <v>0.05</v>
      </c>
      <c r="N3418" s="475">
        <f t="shared" si="170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68"/>
        <v>-242836678086.65723</v>
      </c>
      <c r="J3419" s="455">
        <f t="array" ref="J3419">IFERROR(INDEX('Retirement Calculator'!J:J,MATCH('Isaac 401k'!N3419,'Retirement Calculator'!A:A,0),0),0)</f>
        <v>0</v>
      </c>
      <c r="K3419" s="455">
        <f t="shared" ca="1" si="166"/>
        <v>-1011819492.0277385</v>
      </c>
      <c r="L3419" s="455">
        <f t="shared" ca="1" si="167"/>
        <v>-243848497578.68497</v>
      </c>
      <c r="M3419" s="471">
        <f t="shared" si="169"/>
        <v>0.05</v>
      </c>
      <c r="N3419" s="475">
        <f t="shared" si="170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68"/>
        <v>-243848497578.68497</v>
      </c>
      <c r="J3420" s="455">
        <f t="array" ref="J3420">IFERROR(INDEX('Retirement Calculator'!J:J,MATCH('Isaac 401k'!N3420,'Retirement Calculator'!A:A,0),0),0)</f>
        <v>0</v>
      </c>
      <c r="K3420" s="455">
        <f t="shared" ca="1" si="166"/>
        <v>-1016035406.577854</v>
      </c>
      <c r="L3420" s="455">
        <f t="shared" ca="1" si="167"/>
        <v>-244864532985.26282</v>
      </c>
      <c r="M3420" s="471">
        <f t="shared" si="169"/>
        <v>0.05</v>
      </c>
      <c r="N3420" s="475">
        <f t="shared" si="170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68"/>
        <v>-244864532985.26282</v>
      </c>
      <c r="J3421" s="455">
        <f t="array" ref="J3421">IFERROR(INDEX('Retirement Calculator'!J:J,MATCH('Isaac 401k'!N3421,'Retirement Calculator'!A:A,0),0),0)</f>
        <v>0</v>
      </c>
      <c r="K3421" s="455">
        <f t="shared" ca="1" si="166"/>
        <v>-1020268887.4385951</v>
      </c>
      <c r="L3421" s="455">
        <f t="shared" ca="1" si="167"/>
        <v>-245884801872.70142</v>
      </c>
      <c r="M3421" s="471">
        <f t="shared" si="169"/>
        <v>0.05</v>
      </c>
      <c r="N3421" s="475">
        <f t="shared" si="170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68"/>
        <v>-245884801872.70142</v>
      </c>
      <c r="J3422" s="455">
        <f t="array" ref="J3422">IFERROR(INDEX('Retirement Calculator'!J:J,MATCH('Isaac 401k'!N3422,'Retirement Calculator'!A:A,0),0),0)</f>
        <v>0</v>
      </c>
      <c r="K3422" s="455">
        <f t="shared" ca="1" si="166"/>
        <v>-1024520007.8029224</v>
      </c>
      <c r="L3422" s="455">
        <f t="shared" ca="1" si="167"/>
        <v>-246909321880.50433</v>
      </c>
      <c r="M3422" s="471">
        <f t="shared" si="169"/>
        <v>0.05</v>
      </c>
      <c r="N3422" s="475">
        <f t="shared" si="170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68"/>
        <v>-246909321880.50433</v>
      </c>
      <c r="J3423" s="455">
        <f t="array" ref="J3423">IFERROR(INDEX('Retirement Calculator'!J:J,MATCH('Isaac 401k'!N3423,'Retirement Calculator'!A:A,0),0),0)</f>
        <v>0</v>
      </c>
      <c r="K3423" s="455">
        <f t="shared" ca="1" si="166"/>
        <v>-1028788841.1687682</v>
      </c>
      <c r="L3423" s="455">
        <f t="shared" ca="1" si="167"/>
        <v>-247938110721.6731</v>
      </c>
      <c r="M3423" s="471">
        <f t="shared" si="169"/>
        <v>0.05</v>
      </c>
      <c r="N3423" s="475">
        <f t="shared" si="170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68"/>
        <v>-247938110721.6731</v>
      </c>
      <c r="J3424" s="455">
        <f t="array" ref="J3424">IFERROR(INDEX('Retirement Calculator'!J:J,MATCH('Isaac 401k'!N3424,'Retirement Calculator'!A:A,0),0),0)</f>
        <v>0</v>
      </c>
      <c r="K3424" s="455">
        <f t="shared" ca="1" si="166"/>
        <v>-1033075461.3403044</v>
      </c>
      <c r="L3424" s="455">
        <f t="shared" ca="1" si="167"/>
        <v>-248971186183.0134</v>
      </c>
      <c r="M3424" s="471">
        <f t="shared" si="169"/>
        <v>0.05</v>
      </c>
      <c r="N3424" s="475">
        <f t="shared" si="170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68"/>
        <v>-248971186183.0134</v>
      </c>
      <c r="J3425" s="455">
        <f t="array" ref="J3425">IFERROR(INDEX('Retirement Calculator'!J:J,MATCH('Isaac 401k'!N3425,'Retirement Calculator'!A:A,0),0),0)</f>
        <v>0</v>
      </c>
      <c r="K3425" s="455">
        <f t="shared" ca="1" si="166"/>
        <v>-1037379942.4292223</v>
      </c>
      <c r="L3425" s="455">
        <f t="shared" ca="1" si="167"/>
        <v>-250008566125.44263</v>
      </c>
      <c r="M3425" s="471">
        <f t="shared" si="169"/>
        <v>0.05</v>
      </c>
      <c r="N3425" s="475">
        <f t="shared" si="170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68"/>
        <v>-250008566125.44263</v>
      </c>
      <c r="J3426" s="455">
        <f t="array" ref="J3426">IFERROR(INDEX('Retirement Calculator'!J:J,MATCH('Isaac 401k'!N3426,'Retirement Calculator'!A:A,0),0),0)</f>
        <v>0</v>
      </c>
      <c r="K3426" s="455">
        <f t="shared" ca="1" si="166"/>
        <v>-1041702358.8560109</v>
      </c>
      <c r="L3426" s="455">
        <f t="shared" ca="1" si="167"/>
        <v>-251050268484.29865</v>
      </c>
      <c r="M3426" s="471">
        <f t="shared" si="169"/>
        <v>0.05</v>
      </c>
      <c r="N3426" s="475">
        <f t="shared" si="170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68"/>
        <v>-251050268484.29865</v>
      </c>
      <c r="J3427" s="455">
        <f t="array" ref="J3427">IFERROR(INDEX('Retirement Calculator'!J:J,MATCH('Isaac 401k'!N3427,'Retirement Calculator'!A:A,0),0),0)</f>
        <v>0</v>
      </c>
      <c r="K3427" s="455">
        <f t="shared" ca="1" si="166"/>
        <v>-1046042785.3512443</v>
      </c>
      <c r="L3427" s="455">
        <f t="shared" ca="1" si="167"/>
        <v>-252096311269.6499</v>
      </c>
      <c r="M3427" s="471">
        <f t="shared" si="169"/>
        <v>0.05</v>
      </c>
      <c r="N3427" s="475">
        <f t="shared" si="170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68"/>
        <v>-252096311269.6499</v>
      </c>
      <c r="J3428" s="455">
        <f t="array" ref="J3428">IFERROR(INDEX('Retirement Calculator'!J:J,MATCH('Isaac 401k'!N3428,'Retirement Calculator'!A:A,0),0),0)</f>
        <v>0</v>
      </c>
      <c r="K3428" s="455">
        <f t="shared" ca="1" si="166"/>
        <v>-1050401296.9568746</v>
      </c>
      <c r="L3428" s="455">
        <f t="shared" ca="1" si="167"/>
        <v>-253146712566.60678</v>
      </c>
      <c r="M3428" s="471">
        <f t="shared" si="169"/>
        <v>0.05</v>
      </c>
      <c r="N3428" s="475">
        <f t="shared" si="170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68"/>
        <v>-253146712566.60678</v>
      </c>
      <c r="J3429" s="455">
        <f t="array" ref="J3429">IFERROR(INDEX('Retirement Calculator'!J:J,MATCH('Isaac 401k'!N3429,'Retirement Calculator'!A:A,0),0),0)</f>
        <v>0</v>
      </c>
      <c r="K3429" s="455">
        <f t="shared" ca="1" si="166"/>
        <v>-1054777969.0275282</v>
      </c>
      <c r="L3429" s="455">
        <f t="shared" ca="1" si="167"/>
        <v>-254201490535.63431</v>
      </c>
      <c r="M3429" s="471">
        <f t="shared" si="169"/>
        <v>0.05</v>
      </c>
      <c r="N3429" s="475">
        <f t="shared" si="170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68"/>
        <v>-254201490535.63431</v>
      </c>
      <c r="J3430" s="455">
        <f t="array" ref="J3430">IFERROR(INDEX('Retirement Calculator'!J:J,MATCH('Isaac 401k'!N3430,'Retirement Calculator'!A:A,0),0),0)</f>
        <v>0</v>
      </c>
      <c r="K3430" s="455">
        <f t="shared" ca="1" si="166"/>
        <v>-1059172877.2318096</v>
      </c>
      <c r="L3430" s="455">
        <f t="shared" ca="1" si="167"/>
        <v>-255260663412.86612</v>
      </c>
      <c r="M3430" s="471">
        <f t="shared" si="169"/>
        <v>0.05</v>
      </c>
      <c r="N3430" s="475">
        <f t="shared" si="170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68"/>
        <v>-255260663412.86612</v>
      </c>
      <c r="J3431" s="455">
        <f t="array" ref="J3431">IFERROR(INDEX('Retirement Calculator'!J:J,MATCH('Isaac 401k'!N3431,'Retirement Calculator'!A:A,0),0),0)</f>
        <v>0</v>
      </c>
      <c r="K3431" s="455">
        <f t="shared" ca="1" si="166"/>
        <v>-1063586097.5536089</v>
      </c>
      <c r="L3431" s="455">
        <f t="shared" ca="1" si="167"/>
        <v>-256324249510.41974</v>
      </c>
      <c r="M3431" s="471">
        <f t="shared" si="169"/>
        <v>0.05</v>
      </c>
      <c r="N3431" s="475">
        <f t="shared" si="170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68"/>
        <v>-256324249510.41974</v>
      </c>
      <c r="J3432" s="455">
        <f t="array" ref="J3432">IFERROR(INDEX('Retirement Calculator'!J:J,MATCH('Isaac 401k'!N3432,'Retirement Calculator'!A:A,0),0),0)</f>
        <v>0</v>
      </c>
      <c r="K3432" s="455">
        <f t="shared" ca="1" si="166"/>
        <v>-1068017706.2934155</v>
      </c>
      <c r="L3432" s="455">
        <f t="shared" ca="1" si="167"/>
        <v>-257392267216.71317</v>
      </c>
      <c r="M3432" s="471">
        <f t="shared" si="169"/>
        <v>0.05</v>
      </c>
      <c r="N3432" s="475">
        <f t="shared" si="170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68"/>
        <v>-257392267216.71317</v>
      </c>
      <c r="J3433" s="455">
        <f t="array" ref="J3433">IFERROR(INDEX('Retirement Calculator'!J:J,MATCH('Isaac 401k'!N3433,'Retirement Calculator'!A:A,0),0),0)</f>
        <v>0</v>
      </c>
      <c r="K3433" s="455">
        <f t="shared" ca="1" si="166"/>
        <v>-1072467780.0696381</v>
      </c>
      <c r="L3433" s="455">
        <f t="shared" ca="1" si="167"/>
        <v>-258464734996.78281</v>
      </c>
      <c r="M3433" s="471">
        <f t="shared" si="169"/>
        <v>0.05</v>
      </c>
      <c r="N3433" s="475">
        <f t="shared" si="170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68"/>
        <v>-258464734996.78281</v>
      </c>
      <c r="J3434" s="455">
        <f t="array" ref="J3434">IFERROR(INDEX('Retirement Calculator'!J:J,MATCH('Isaac 401k'!N3434,'Retirement Calculator'!A:A,0),0),0)</f>
        <v>0</v>
      </c>
      <c r="K3434" s="455">
        <f t="shared" ca="1" si="166"/>
        <v>-1076936395.8199284</v>
      </c>
      <c r="L3434" s="455">
        <f t="shared" ca="1" si="167"/>
        <v>-259541671392.60272</v>
      </c>
      <c r="M3434" s="471">
        <f t="shared" si="169"/>
        <v>0.05</v>
      </c>
      <c r="N3434" s="475">
        <f t="shared" si="170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68"/>
        <v>-259541671392.60272</v>
      </c>
      <c r="J3435" s="455">
        <f t="array" ref="J3435">IFERROR(INDEX('Retirement Calculator'!J:J,MATCH('Isaac 401k'!N3435,'Retirement Calculator'!A:A,0),0),0)</f>
        <v>0</v>
      </c>
      <c r="K3435" s="455">
        <f t="shared" ca="1" si="166"/>
        <v>-1081423630.8025112</v>
      </c>
      <c r="L3435" s="455">
        <f t="shared" ca="1" si="167"/>
        <v>-260623095023.40524</v>
      </c>
      <c r="M3435" s="471">
        <f t="shared" si="169"/>
        <v>0.05</v>
      </c>
      <c r="N3435" s="475">
        <f t="shared" si="170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68"/>
        <v>-260623095023.40524</v>
      </c>
      <c r="J3436" s="455">
        <f t="array" ref="J3436">IFERROR(INDEX('Retirement Calculator'!J:J,MATCH('Isaac 401k'!N3436,'Retirement Calculator'!A:A,0),0),0)</f>
        <v>0</v>
      </c>
      <c r="K3436" s="455">
        <f t="shared" ca="1" si="166"/>
        <v>-1085929562.5975218</v>
      </c>
      <c r="L3436" s="455">
        <f t="shared" ca="1" si="167"/>
        <v>-261709024586.00278</v>
      </c>
      <c r="M3436" s="471">
        <f t="shared" si="169"/>
        <v>0.05</v>
      </c>
      <c r="N3436" s="475">
        <f t="shared" si="170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68"/>
        <v>-261709024586.00278</v>
      </c>
      <c r="J3437" s="455">
        <f t="array" ref="J3437">IFERROR(INDEX('Retirement Calculator'!J:J,MATCH('Isaac 401k'!N3437,'Retirement Calculator'!A:A,0),0),0)</f>
        <v>0</v>
      </c>
      <c r="K3437" s="455">
        <f t="shared" ca="1" si="166"/>
        <v>-1090454269.108345</v>
      </c>
      <c r="L3437" s="455">
        <f t="shared" ca="1" si="167"/>
        <v>-262799478855.11111</v>
      </c>
      <c r="M3437" s="471">
        <f t="shared" si="169"/>
        <v>0.05</v>
      </c>
      <c r="N3437" s="475">
        <f t="shared" si="170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68"/>
        <v>-262799478855.11111</v>
      </c>
      <c r="J3438" s="455">
        <f t="array" ref="J3438">IFERROR(INDEX('Retirement Calculator'!J:J,MATCH('Isaac 401k'!N3438,'Retirement Calculator'!A:A,0),0),0)</f>
        <v>0</v>
      </c>
      <c r="K3438" s="455">
        <f t="shared" ca="1" si="166"/>
        <v>-1094997828.562963</v>
      </c>
      <c r="L3438" s="455">
        <f t="shared" ca="1" si="167"/>
        <v>-263894476683.67407</v>
      </c>
      <c r="M3438" s="471">
        <f t="shared" si="169"/>
        <v>0.05</v>
      </c>
      <c r="N3438" s="475">
        <f t="shared" si="170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68"/>
        <v>-263894476683.67407</v>
      </c>
      <c r="J3439" s="455">
        <f t="array" ref="J3439">IFERROR(INDEX('Retirement Calculator'!J:J,MATCH('Isaac 401k'!N3439,'Retirement Calculator'!A:A,0),0),0)</f>
        <v>0</v>
      </c>
      <c r="K3439" s="455">
        <f t="shared" ca="1" si="166"/>
        <v>-1099560319.5153086</v>
      </c>
      <c r="L3439" s="455">
        <f t="shared" ca="1" si="167"/>
        <v>-264994037003.18939</v>
      </c>
      <c r="M3439" s="471">
        <f t="shared" si="169"/>
        <v>0.05</v>
      </c>
      <c r="N3439" s="475">
        <f t="shared" si="170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68"/>
        <v>-264994037003.18939</v>
      </c>
      <c r="J3440" s="455">
        <f t="array" ref="J3440">IFERROR(INDEX('Retirement Calculator'!J:J,MATCH('Isaac 401k'!N3440,'Retirement Calculator'!A:A,0),0),0)</f>
        <v>0</v>
      </c>
      <c r="K3440" s="455">
        <f t="shared" ca="1" si="166"/>
        <v>-1104141820.8466225</v>
      </c>
      <c r="L3440" s="455">
        <f t="shared" ca="1" si="167"/>
        <v>-266098178824.03601</v>
      </c>
      <c r="M3440" s="471">
        <f t="shared" si="169"/>
        <v>0.05</v>
      </c>
      <c r="N3440" s="475">
        <f t="shared" si="170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68"/>
        <v>-266098178824.03601</v>
      </c>
      <c r="J3441" s="455">
        <f t="array" ref="J3441">IFERROR(INDEX('Retirement Calculator'!J:J,MATCH('Isaac 401k'!N3441,'Retirement Calculator'!A:A,0),0),0)</f>
        <v>0</v>
      </c>
      <c r="K3441" s="455">
        <f t="shared" ca="1" si="166"/>
        <v>-1108742411.7668166</v>
      </c>
      <c r="L3441" s="455">
        <f t="shared" ca="1" si="167"/>
        <v>-267206921235.80283</v>
      </c>
      <c r="M3441" s="471">
        <f t="shared" si="169"/>
        <v>0.05</v>
      </c>
      <c r="N3441" s="475">
        <f t="shared" si="170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68"/>
        <v>-267206921235.80283</v>
      </c>
      <c r="J3442" s="455">
        <f t="array" ref="J3442">IFERROR(INDEX('Retirement Calculator'!J:J,MATCH('Isaac 401k'!N3442,'Retirement Calculator'!A:A,0),0),0)</f>
        <v>0</v>
      </c>
      <c r="K3442" s="455">
        <f t="shared" ca="1" si="166"/>
        <v>-1113362171.815845</v>
      </c>
      <c r="L3442" s="455">
        <f t="shared" ca="1" si="167"/>
        <v>-268320283407.61868</v>
      </c>
      <c r="M3442" s="471">
        <f t="shared" si="169"/>
        <v>0.05</v>
      </c>
      <c r="N3442" s="475">
        <f t="shared" si="170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68"/>
        <v>-268320283407.61868</v>
      </c>
      <c r="J3443" s="455">
        <f t="array" ref="J3443">IFERROR(INDEX('Retirement Calculator'!J:J,MATCH('Isaac 401k'!N3443,'Retirement Calculator'!A:A,0),0),0)</f>
        <v>0</v>
      </c>
      <c r="K3443" s="455">
        <f t="shared" ca="1" si="166"/>
        <v>-1118001180.8650777</v>
      </c>
      <c r="L3443" s="455">
        <f t="shared" ca="1" si="167"/>
        <v>-269438284588.48376</v>
      </c>
      <c r="M3443" s="471">
        <f t="shared" si="169"/>
        <v>0.05</v>
      </c>
      <c r="N3443" s="475">
        <f t="shared" si="170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68"/>
        <v>-269438284588.48376</v>
      </c>
      <c r="J3444" s="455">
        <f t="array" ref="J3444">IFERROR(INDEX('Retirement Calculator'!J:J,MATCH('Isaac 401k'!N3444,'Retirement Calculator'!A:A,0),0),0)</f>
        <v>0</v>
      </c>
      <c r="K3444" s="455">
        <f t="shared" ca="1" si="166"/>
        <v>-1122659519.1186824</v>
      </c>
      <c r="L3444" s="455">
        <f t="shared" ca="1" si="167"/>
        <v>-270560944107.60245</v>
      </c>
      <c r="M3444" s="471">
        <f t="shared" si="169"/>
        <v>0.05</v>
      </c>
      <c r="N3444" s="475">
        <f t="shared" si="170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68"/>
        <v>-270560944107.60245</v>
      </c>
      <c r="J3445" s="455">
        <f t="array" ref="J3445">IFERROR(INDEX('Retirement Calculator'!J:J,MATCH('Isaac 401k'!N3445,'Retirement Calculator'!A:A,0),0),0)</f>
        <v>0</v>
      </c>
      <c r="K3445" s="455">
        <f t="shared" ca="1" si="166"/>
        <v>-1127337267.1150103</v>
      </c>
      <c r="L3445" s="455">
        <f t="shared" ca="1" si="167"/>
        <v>-271688281374.71747</v>
      </c>
      <c r="M3445" s="471">
        <f t="shared" si="169"/>
        <v>0.05</v>
      </c>
      <c r="N3445" s="475">
        <f t="shared" si="170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68"/>
        <v>-271688281374.71747</v>
      </c>
      <c r="J3446" s="455">
        <f t="array" ref="J3446">IFERROR(INDEX('Retirement Calculator'!J:J,MATCH('Isaac 401k'!N3446,'Retirement Calculator'!A:A,0),0),0)</f>
        <v>0</v>
      </c>
      <c r="K3446" s="455">
        <f t="shared" ca="1" si="166"/>
        <v>-1132034505.7279894</v>
      </c>
      <c r="L3446" s="455">
        <f t="shared" ca="1" si="167"/>
        <v>-272820315880.44547</v>
      </c>
      <c r="M3446" s="471">
        <f t="shared" si="169"/>
        <v>0.05</v>
      </c>
      <c r="N3446" s="475">
        <f t="shared" si="170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68"/>
        <v>-272820315880.44547</v>
      </c>
      <c r="J3447" s="455">
        <f t="array" ref="J3447">IFERROR(INDEX('Retirement Calculator'!J:J,MATCH('Isaac 401k'!N3447,'Retirement Calculator'!A:A,0),0),0)</f>
        <v>0</v>
      </c>
      <c r="K3447" s="455">
        <f t="shared" ca="1" si="166"/>
        <v>-1136751316.1685228</v>
      </c>
      <c r="L3447" s="455">
        <f t="shared" ca="1" si="167"/>
        <v>-273957067196.61398</v>
      </c>
      <c r="M3447" s="471">
        <f t="shared" si="169"/>
        <v>0.05</v>
      </c>
      <c r="N3447" s="475">
        <f t="shared" si="170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68"/>
        <v>-273957067196.61398</v>
      </c>
      <c r="J3448" s="455">
        <f t="array" ref="J3448">IFERROR(INDEX('Retirement Calculator'!J:J,MATCH('Isaac 401k'!N3448,'Retirement Calculator'!A:A,0),0),0)</f>
        <v>0</v>
      </c>
      <c r="K3448" s="455">
        <f t="shared" ca="1" si="166"/>
        <v>-1141487779.9858916</v>
      </c>
      <c r="L3448" s="455">
        <f t="shared" ca="1" si="167"/>
        <v>-275098554976.59985</v>
      </c>
      <c r="M3448" s="471">
        <f t="shared" si="169"/>
        <v>0.05</v>
      </c>
      <c r="N3448" s="475">
        <f t="shared" si="170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68"/>
        <v>-275098554976.59985</v>
      </c>
      <c r="J3449" s="455">
        <f t="array" ref="J3449">IFERROR(INDEX('Retirement Calculator'!J:J,MATCH('Isaac 401k'!N3449,'Retirement Calculator'!A:A,0),0),0)</f>
        <v>0</v>
      </c>
      <c r="K3449" s="455">
        <f t="shared" ca="1" si="166"/>
        <v>-1146243979.0691659</v>
      </c>
      <c r="L3449" s="455">
        <f t="shared" ca="1" si="167"/>
        <v>-276244798955.66901</v>
      </c>
      <c r="M3449" s="471">
        <f t="shared" si="169"/>
        <v>0.05</v>
      </c>
      <c r="N3449" s="475">
        <f t="shared" si="170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68"/>
        <v>-276244798955.66901</v>
      </c>
      <c r="J3450" s="455">
        <f t="array" ref="J3450">IFERROR(INDEX('Retirement Calculator'!J:J,MATCH('Isaac 401k'!N3450,'Retirement Calculator'!A:A,0),0),0)</f>
        <v>0</v>
      </c>
      <c r="K3450" s="455">
        <f t="shared" ca="1" si="166"/>
        <v>-1151019995.6486208</v>
      </c>
      <c r="L3450" s="455">
        <f t="shared" ca="1" si="167"/>
        <v>-277395818951.31763</v>
      </c>
      <c r="M3450" s="471">
        <f t="shared" si="169"/>
        <v>0.05</v>
      </c>
      <c r="N3450" s="475">
        <f t="shared" si="170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68"/>
        <v>-277395818951.31763</v>
      </c>
      <c r="J3451" s="455">
        <f t="array" ref="J3451">IFERROR(INDEX('Retirement Calculator'!J:J,MATCH('Isaac 401k'!N3451,'Retirement Calculator'!A:A,0),0),0)</f>
        <v>0</v>
      </c>
      <c r="K3451" s="455">
        <f t="shared" ca="1" si="166"/>
        <v>-1155815912.2971568</v>
      </c>
      <c r="L3451" s="455">
        <f t="shared" ca="1" si="167"/>
        <v>-278551634863.61481</v>
      </c>
      <c r="M3451" s="471">
        <f t="shared" si="169"/>
        <v>0.05</v>
      </c>
      <c r="N3451" s="475">
        <f t="shared" si="170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68"/>
        <v>-278551634863.61481</v>
      </c>
      <c r="J3452" s="455">
        <f t="array" ref="J3452">IFERROR(INDEX('Retirement Calculator'!J:J,MATCH('Isaac 401k'!N3452,'Retirement Calculator'!A:A,0),0),0)</f>
        <v>0</v>
      </c>
      <c r="K3452" s="455">
        <f t="shared" ca="1" si="166"/>
        <v>-1160631811.9317284</v>
      </c>
      <c r="L3452" s="455">
        <f t="shared" ca="1" si="167"/>
        <v>-279712266675.54651</v>
      </c>
      <c r="M3452" s="471">
        <f t="shared" si="169"/>
        <v>0.05</v>
      </c>
      <c r="N3452" s="475">
        <f t="shared" si="170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68"/>
        <v>-279712266675.54651</v>
      </c>
      <c r="J3453" s="455">
        <f t="array" ref="J3453">IFERROR(INDEX('Retirement Calculator'!J:J,MATCH('Isaac 401k'!N3453,'Retirement Calculator'!A:A,0),0),0)</f>
        <v>0</v>
      </c>
      <c r="K3453" s="455">
        <f t="shared" ca="1" si="166"/>
        <v>-1165467777.8147771</v>
      </c>
      <c r="L3453" s="455">
        <f t="shared" ca="1" si="167"/>
        <v>-280877734453.36127</v>
      </c>
      <c r="M3453" s="471">
        <f t="shared" si="169"/>
        <v>0.05</v>
      </c>
      <c r="N3453" s="475">
        <f t="shared" si="170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68"/>
        <v>-280877734453.36127</v>
      </c>
      <c r="J3454" s="455">
        <f t="array" ref="J3454">IFERROR(INDEX('Retirement Calculator'!J:J,MATCH('Isaac 401k'!N3454,'Retirement Calculator'!A:A,0),0),0)</f>
        <v>0</v>
      </c>
      <c r="K3454" s="455">
        <f t="shared" ca="1" si="166"/>
        <v>-1170323893.5556719</v>
      </c>
      <c r="L3454" s="455">
        <f t="shared" ca="1" si="167"/>
        <v>-282048058346.91693</v>
      </c>
      <c r="M3454" s="471">
        <f t="shared" si="169"/>
        <v>0.05</v>
      </c>
      <c r="N3454" s="475">
        <f t="shared" si="170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68"/>
        <v>-282048058346.91693</v>
      </c>
      <c r="J3455" s="455">
        <f t="array" ref="J3455">IFERROR(INDEX('Retirement Calculator'!J:J,MATCH('Isaac 401k'!N3455,'Retirement Calculator'!A:A,0),0),0)</f>
        <v>0</v>
      </c>
      <c r="K3455" s="455">
        <f t="shared" ca="1" si="166"/>
        <v>-1175200243.1121538</v>
      </c>
      <c r="L3455" s="455">
        <f t="shared" ca="1" si="167"/>
        <v>-283223258590.02911</v>
      </c>
      <c r="M3455" s="471">
        <f t="shared" si="169"/>
        <v>0.05</v>
      </c>
      <c r="N3455" s="475">
        <f t="shared" si="170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68"/>
        <v>-283223258590.02911</v>
      </c>
      <c r="J3456" s="455">
        <f t="array" ref="J3456">IFERROR(INDEX('Retirement Calculator'!J:J,MATCH('Isaac 401k'!N3456,'Retirement Calculator'!A:A,0),0),0)</f>
        <v>0</v>
      </c>
      <c r="K3456" s="455">
        <f t="shared" ca="1" si="166"/>
        <v>-1180096910.7917879</v>
      </c>
      <c r="L3456" s="455">
        <f t="shared" ca="1" si="167"/>
        <v>-284403355500.82092</v>
      </c>
      <c r="M3456" s="471">
        <f t="shared" si="169"/>
        <v>0.05</v>
      </c>
      <c r="N3456" s="475">
        <f t="shared" si="170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68"/>
        <v>-284403355500.82092</v>
      </c>
      <c r="J3457" s="455">
        <f t="array" ref="J3457">IFERROR(INDEX('Retirement Calculator'!J:J,MATCH('Isaac 401k'!N3457,'Retirement Calculator'!A:A,0),0),0)</f>
        <v>0</v>
      </c>
      <c r="K3457" s="455">
        <f t="shared" ca="1" si="166"/>
        <v>-1185013981.2534206</v>
      </c>
      <c r="L3457" s="455">
        <f t="shared" ca="1" si="167"/>
        <v>-285588369482.07434</v>
      </c>
      <c r="M3457" s="471">
        <f t="shared" si="169"/>
        <v>0.05</v>
      </c>
      <c r="N3457" s="475">
        <f t="shared" si="170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68"/>
        <v>-285588369482.07434</v>
      </c>
      <c r="J3458" s="455">
        <f t="array" ref="J3458">IFERROR(INDEX('Retirement Calculator'!J:J,MATCH('Isaac 401k'!N3458,'Retirement Calculator'!A:A,0),0),0)</f>
        <v>0</v>
      </c>
      <c r="K3458" s="455">
        <f t="shared" ca="1" si="166"/>
        <v>-1189951539.5086432</v>
      </c>
      <c r="L3458" s="455">
        <f t="shared" ca="1" si="167"/>
        <v>-286778321021.58301</v>
      </c>
      <c r="M3458" s="471">
        <f t="shared" si="169"/>
        <v>0.05</v>
      </c>
      <c r="N3458" s="475">
        <f t="shared" si="170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68"/>
        <v>-286778321021.58301</v>
      </c>
      <c r="J3459" s="455">
        <f t="array" ref="J3459">IFERROR(INDEX('Retirement Calculator'!J:J,MATCH('Isaac 401k'!N3459,'Retirement Calculator'!A:A,0),0),0)</f>
        <v>0</v>
      </c>
      <c r="K3459" s="455">
        <f t="shared" ca="1" si="166"/>
        <v>-1194909670.9232626</v>
      </c>
      <c r="L3459" s="455">
        <f t="shared" ca="1" si="167"/>
        <v>-287973230692.50629</v>
      </c>
      <c r="M3459" s="471">
        <f t="shared" si="169"/>
        <v>0.05</v>
      </c>
      <c r="N3459" s="475">
        <f t="shared" si="170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68"/>
        <v>-287973230692.50629</v>
      </c>
      <c r="J3460" s="455">
        <f t="array" ref="J3460">IFERROR(INDEX('Retirement Calculator'!J:J,MATCH('Isaac 401k'!N3460,'Retirement Calculator'!A:A,0),0),0)</f>
        <v>0</v>
      </c>
      <c r="K3460" s="455">
        <f t="shared" ca="1" si="166"/>
        <v>-1199888461.2187762</v>
      </c>
      <c r="L3460" s="455">
        <f t="shared" ca="1" si="167"/>
        <v>-289173119153.72504</v>
      </c>
      <c r="M3460" s="471">
        <f t="shared" si="169"/>
        <v>0.05</v>
      </c>
      <c r="N3460" s="475">
        <f t="shared" si="170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68"/>
        <v>-289173119153.72504</v>
      </c>
      <c r="J3461" s="455">
        <f t="array" ref="J3461">IFERROR(INDEX('Retirement Calculator'!J:J,MATCH('Isaac 401k'!N3461,'Retirement Calculator'!A:A,0),0),0)</f>
        <v>0</v>
      </c>
      <c r="K3461" s="455">
        <f t="shared" ca="1" si="166"/>
        <v>-1204887996.4738543</v>
      </c>
      <c r="L3461" s="455">
        <f t="shared" ca="1" si="167"/>
        <v>-290378007150.19891</v>
      </c>
      <c r="M3461" s="471">
        <f t="shared" si="169"/>
        <v>0.05</v>
      </c>
      <c r="N3461" s="475">
        <f t="shared" si="170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68"/>
        <v>-290378007150.19891</v>
      </c>
      <c r="J3462" s="455">
        <f t="array" ref="J3462">IFERROR(INDEX('Retirement Calculator'!J:J,MATCH('Isaac 401k'!N3462,'Retirement Calculator'!A:A,0),0),0)</f>
        <v>0</v>
      </c>
      <c r="K3462" s="455">
        <f t="shared" ca="1" si="166"/>
        <v>-1209908363.1258287</v>
      </c>
      <c r="L3462" s="455">
        <f t="shared" ca="1" si="167"/>
        <v>-291587915513.32477</v>
      </c>
      <c r="M3462" s="471">
        <f t="shared" si="169"/>
        <v>0.05</v>
      </c>
      <c r="N3462" s="475">
        <f t="shared" si="170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68"/>
        <v>-291587915513.32477</v>
      </c>
      <c r="J3463" s="455">
        <f t="array" ref="J3463">IFERROR(INDEX('Retirement Calculator'!J:J,MATCH('Isaac 401k'!N3463,'Retirement Calculator'!A:A,0),0),0)</f>
        <v>0</v>
      </c>
      <c r="K3463" s="455">
        <f t="shared" ca="1" si="166"/>
        <v>-1214949647.9721866</v>
      </c>
      <c r="L3463" s="455">
        <f t="shared" ca="1" si="167"/>
        <v>-292802865161.29694</v>
      </c>
      <c r="M3463" s="471">
        <f t="shared" si="169"/>
        <v>0.05</v>
      </c>
      <c r="N3463" s="475">
        <f t="shared" si="170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68"/>
        <v>-292802865161.29694</v>
      </c>
      <c r="J3464" s="455">
        <f t="array" ref="J3464">IFERROR(INDEX('Retirement Calculator'!J:J,MATCH('Isaac 401k'!N3464,'Retirement Calculator'!A:A,0),0),0)</f>
        <v>0</v>
      </c>
      <c r="K3464" s="455">
        <f t="shared" ca="1" si="166"/>
        <v>-1220011938.1720705</v>
      </c>
      <c r="L3464" s="455">
        <f t="shared" ca="1" si="167"/>
        <v>-294022877099.46899</v>
      </c>
      <c r="M3464" s="471">
        <f t="shared" si="169"/>
        <v>0.05</v>
      </c>
      <c r="N3464" s="475">
        <f t="shared" si="170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68"/>
        <v>-294022877099.46899</v>
      </c>
      <c r="J3465" s="455">
        <f t="array" ref="J3465">IFERROR(INDEX('Retirement Calculator'!J:J,MATCH('Isaac 401k'!N3465,'Retirement Calculator'!A:A,0),0),0)</f>
        <v>0</v>
      </c>
      <c r="K3465" s="455">
        <f t="shared" ca="1" si="166"/>
        <v>-1225095321.2477875</v>
      </c>
      <c r="L3465" s="455">
        <f t="shared" ca="1" si="167"/>
        <v>-295247972420.7168</v>
      </c>
      <c r="M3465" s="471">
        <f t="shared" si="169"/>
        <v>0.05</v>
      </c>
      <c r="N3465" s="475">
        <f t="shared" si="170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68"/>
        <v>-295247972420.7168</v>
      </c>
      <c r="J3466" s="455">
        <f t="array" ref="J3466">IFERROR(INDEX('Retirement Calculator'!J:J,MATCH('Isaac 401k'!N3466,'Retirement Calculator'!A:A,0),0),0)</f>
        <v>0</v>
      </c>
      <c r="K3466" s="455">
        <f t="shared" ca="1" si="166"/>
        <v>-1230199885.0863199</v>
      </c>
      <c r="L3466" s="455">
        <f t="shared" ca="1" si="167"/>
        <v>-296478172305.8031</v>
      </c>
      <c r="M3466" s="471">
        <f t="shared" si="169"/>
        <v>0.05</v>
      </c>
      <c r="N3466" s="475">
        <f t="shared" si="170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68"/>
        <v>-296478172305.8031</v>
      </c>
      <c r="J3467" s="455">
        <f t="array" ref="J3467">IFERROR(INDEX('Retirement Calculator'!J:J,MATCH('Isaac 401k'!N3467,'Retirement Calculator'!A:A,0),0),0)</f>
        <v>0</v>
      </c>
      <c r="K3467" s="455">
        <f t="shared" ca="1" si="166"/>
        <v>-1235325717.9408462</v>
      </c>
      <c r="L3467" s="455">
        <f t="shared" ca="1" si="167"/>
        <v>-297713498023.74396</v>
      </c>
      <c r="M3467" s="471">
        <f t="shared" si="169"/>
        <v>0.05</v>
      </c>
      <c r="N3467" s="475">
        <f t="shared" si="170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68"/>
        <v>-297713498023.74396</v>
      </c>
      <c r="J3468" s="455">
        <f t="array" ref="J3468">IFERROR(INDEX('Retirement Calculator'!J:J,MATCH('Isaac 401k'!N3468,'Retirement Calculator'!A:A,0),0),0)</f>
        <v>0</v>
      </c>
      <c r="K3468" s="455">
        <f t="shared" ca="1" si="166"/>
        <v>-1240472908.4322665</v>
      </c>
      <c r="L3468" s="455">
        <f t="shared" ca="1" si="167"/>
        <v>-298953970932.17621</v>
      </c>
      <c r="M3468" s="471">
        <f t="shared" si="169"/>
        <v>0.05</v>
      </c>
      <c r="N3468" s="475">
        <f t="shared" si="170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68"/>
        <v>-298953970932.17621</v>
      </c>
      <c r="J3469" s="455">
        <f t="array" ref="J3469">IFERROR(INDEX('Retirement Calculator'!J:J,MATCH('Isaac 401k'!N3469,'Retirement Calculator'!A:A,0),0),0)</f>
        <v>0</v>
      </c>
      <c r="K3469" s="455">
        <f t="shared" ca="1" si="166"/>
        <v>-1245641545.5507343</v>
      </c>
      <c r="L3469" s="455">
        <f t="shared" ca="1" si="167"/>
        <v>-300199612477.72693</v>
      </c>
      <c r="M3469" s="471">
        <f t="shared" si="169"/>
        <v>0.05</v>
      </c>
      <c r="N3469" s="475">
        <f t="shared" si="170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68"/>
        <v>-300199612477.72693</v>
      </c>
      <c r="J3470" s="455">
        <f t="array" ref="J3470">IFERROR(INDEX('Retirement Calculator'!J:J,MATCH('Isaac 401k'!N3470,'Retirement Calculator'!A:A,0),0),0)</f>
        <v>0</v>
      </c>
      <c r="K3470" s="455">
        <f t="shared" ca="1" si="166"/>
        <v>-1250831718.6571956</v>
      </c>
      <c r="L3470" s="455">
        <f t="shared" ca="1" si="167"/>
        <v>-301450444196.38409</v>
      </c>
      <c r="M3470" s="471">
        <f t="shared" si="169"/>
        <v>0.05</v>
      </c>
      <c r="N3470" s="475">
        <f t="shared" si="170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68"/>
        <v>-301450444196.38409</v>
      </c>
      <c r="J3471" s="455">
        <f t="array" ref="J3471">IFERROR(INDEX('Retirement Calculator'!J:J,MATCH('Isaac 401k'!N3471,'Retirement Calculator'!A:A,0),0),0)</f>
        <v>0</v>
      </c>
      <c r="K3471" s="455">
        <f t="shared" ca="1" si="166"/>
        <v>-1256043517.4849336</v>
      </c>
      <c r="L3471" s="455">
        <f t="shared" ca="1" si="167"/>
        <v>-302706487713.86902</v>
      </c>
      <c r="M3471" s="471">
        <f t="shared" si="169"/>
        <v>0.05</v>
      </c>
      <c r="N3471" s="475">
        <f t="shared" si="170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68"/>
        <v>-302706487713.86902</v>
      </c>
      <c r="J3472" s="455">
        <f t="array" ref="J3472">IFERROR(INDEX('Retirement Calculator'!J:J,MATCH('Isaac 401k'!N3472,'Retirement Calculator'!A:A,0),0),0)</f>
        <v>0</v>
      </c>
      <c r="K3472" s="455">
        <f t="shared" ca="1" si="166"/>
        <v>-1261277032.1411209</v>
      </c>
      <c r="L3472" s="455">
        <f t="shared" ca="1" si="167"/>
        <v>-303967764746.01013</v>
      </c>
      <c r="M3472" s="471">
        <f t="shared" si="169"/>
        <v>0.05</v>
      </c>
      <c r="N3472" s="475">
        <f t="shared" si="170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68"/>
        <v>-303967764746.01013</v>
      </c>
      <c r="J3473" s="455">
        <f t="array" ref="J3473">IFERROR(INDEX('Retirement Calculator'!J:J,MATCH('Isaac 401k'!N3473,'Retirement Calculator'!A:A,0),0),0)</f>
        <v>0</v>
      </c>
      <c r="K3473" s="455">
        <f t="shared" ca="1" si="166"/>
        <v>-1266532353.1083755</v>
      </c>
      <c r="L3473" s="455">
        <f t="shared" ca="1" si="167"/>
        <v>-305234297099.11853</v>
      </c>
      <c r="M3473" s="471">
        <f t="shared" si="169"/>
        <v>0.05</v>
      </c>
      <c r="N3473" s="475">
        <f t="shared" si="170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68"/>
        <v>-305234297099.11853</v>
      </c>
      <c r="J3474" s="455">
        <f t="array" ref="J3474">IFERROR(INDEX('Retirement Calculator'!J:J,MATCH('Isaac 401k'!N3474,'Retirement Calculator'!A:A,0),0),0)</f>
        <v>0</v>
      </c>
      <c r="K3474" s="455">
        <f t="shared" ca="1" si="166"/>
        <v>-1271809571.2463272</v>
      </c>
      <c r="L3474" s="455">
        <f t="shared" ca="1" si="167"/>
        <v>-306506106670.36487</v>
      </c>
      <c r="M3474" s="471">
        <f t="shared" si="169"/>
        <v>0.05</v>
      </c>
      <c r="N3474" s="475">
        <f t="shared" si="170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68"/>
        <v>-306506106670.36487</v>
      </c>
      <c r="J3475" s="455">
        <f t="array" ref="J3475">IFERROR(INDEX('Retirement Calculator'!J:J,MATCH('Isaac 401k'!N3475,'Retirement Calculator'!A:A,0),0),0)</f>
        <v>0</v>
      </c>
      <c r="K3475" s="455">
        <f t="shared" ca="1" si="166"/>
        <v>-1277108777.7931869</v>
      </c>
      <c r="L3475" s="455">
        <f t="shared" ca="1" si="167"/>
        <v>-307783215448.15808</v>
      </c>
      <c r="M3475" s="471">
        <f t="shared" si="169"/>
        <v>0.05</v>
      </c>
      <c r="N3475" s="475">
        <f t="shared" si="170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68"/>
        <v>-307783215448.15808</v>
      </c>
      <c r="J3476" s="455">
        <f t="array" ref="J3476">IFERROR(INDEX('Retirement Calculator'!J:J,MATCH('Isaac 401k'!N3476,'Retirement Calculator'!A:A,0),0),0)</f>
        <v>0</v>
      </c>
      <c r="K3476" s="455">
        <f t="shared" ca="1" si="166"/>
        <v>-1282430064.3673253</v>
      </c>
      <c r="L3476" s="455">
        <f t="shared" ca="1" si="167"/>
        <v>-309065645512.52539</v>
      </c>
      <c r="M3476" s="471">
        <f t="shared" si="169"/>
        <v>0.05</v>
      </c>
      <c r="N3476" s="475">
        <f t="shared" si="170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68"/>
        <v>-309065645512.52539</v>
      </c>
      <c r="J3477" s="455">
        <f t="array" ref="J3477">IFERROR(INDEX('Retirement Calculator'!J:J,MATCH('Isaac 401k'!N3477,'Retirement Calculator'!A:A,0),0),0)</f>
        <v>0</v>
      </c>
      <c r="K3477" s="455">
        <f t="shared" ca="1" si="166"/>
        <v>-1287773522.9688559</v>
      </c>
      <c r="L3477" s="455">
        <f t="shared" ca="1" si="167"/>
        <v>-310353419035.49426</v>
      </c>
      <c r="M3477" s="471">
        <f t="shared" si="169"/>
        <v>0.05</v>
      </c>
      <c r="N3477" s="475">
        <f t="shared" si="170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68"/>
        <v>-310353419035.49426</v>
      </c>
      <c r="J3478" s="455">
        <f t="array" ref="J3478">IFERROR(INDEX('Retirement Calculator'!J:J,MATCH('Isaac 401k'!N3478,'Retirement Calculator'!A:A,0),0),0)</f>
        <v>0</v>
      </c>
      <c r="K3478" s="455">
        <f t="shared" ca="1" si="166"/>
        <v>-1293139245.981226</v>
      </c>
      <c r="L3478" s="455">
        <f t="shared" ca="1" si="167"/>
        <v>-311646558281.47546</v>
      </c>
      <c r="M3478" s="471">
        <f t="shared" si="169"/>
        <v>0.05</v>
      </c>
      <c r="N3478" s="475">
        <f t="shared" si="170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68"/>
        <v>-311646558281.47546</v>
      </c>
      <c r="J3479" s="455">
        <f t="array" ref="J3479">IFERROR(INDEX('Retirement Calculator'!J:J,MATCH('Isaac 401k'!N3479,'Retirement Calculator'!A:A,0),0),0)</f>
        <v>0</v>
      </c>
      <c r="K3479" s="455">
        <f t="shared" ca="1" si="166"/>
        <v>-1298527326.1728144</v>
      </c>
      <c r="L3479" s="455">
        <f t="shared" ca="1" si="167"/>
        <v>-312945085607.64825</v>
      </c>
      <c r="M3479" s="471">
        <f t="shared" si="169"/>
        <v>0.05</v>
      </c>
      <c r="N3479" s="475">
        <f t="shared" si="170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68"/>
        <v>-312945085607.64825</v>
      </c>
      <c r="J3480" s="455">
        <f t="array" ref="J3480">IFERROR(INDEX('Retirement Calculator'!J:J,MATCH('Isaac 401k'!N3480,'Retirement Calculator'!A:A,0),0),0)</f>
        <v>0</v>
      </c>
      <c r="K3480" s="455">
        <f t="shared" ca="1" si="166"/>
        <v>-1303937856.6985345</v>
      </c>
      <c r="L3480" s="455">
        <f t="shared" ca="1" si="167"/>
        <v>-314249023464.3468</v>
      </c>
      <c r="M3480" s="471">
        <f t="shared" si="169"/>
        <v>0.05</v>
      </c>
      <c r="N3480" s="475">
        <f t="shared" si="170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68"/>
        <v>-314249023464.3468</v>
      </c>
      <c r="J3481" s="455">
        <f t="array" ref="J3481">IFERROR(INDEX('Retirement Calculator'!J:J,MATCH('Isaac 401k'!N3481,'Retirement Calculator'!A:A,0),0),0)</f>
        <v>0</v>
      </c>
      <c r="K3481" s="455">
        <f t="shared" ca="1" si="166"/>
        <v>-1309370931.101445</v>
      </c>
      <c r="L3481" s="455">
        <f t="shared" ca="1" si="167"/>
        <v>-315558394395.44824</v>
      </c>
      <c r="M3481" s="471">
        <f t="shared" si="169"/>
        <v>0.05</v>
      </c>
      <c r="N3481" s="475">
        <f t="shared" si="170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68"/>
        <v>-315558394395.44824</v>
      </c>
      <c r="J3482" s="455">
        <f t="array" ref="J3482">IFERROR(INDEX('Retirement Calculator'!J:J,MATCH('Isaac 401k'!N3482,'Retirement Calculator'!A:A,0),0),0)</f>
        <v>0</v>
      </c>
      <c r="K3482" s="455">
        <f t="shared" ca="1" si="166"/>
        <v>-1314826643.3143678</v>
      </c>
      <c r="L3482" s="455">
        <f t="shared" ca="1" si="167"/>
        <v>-316873221038.76263</v>
      </c>
      <c r="M3482" s="471">
        <f t="shared" si="169"/>
        <v>0.05</v>
      </c>
      <c r="N3482" s="475">
        <f t="shared" si="170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68"/>
        <v>-316873221038.76263</v>
      </c>
      <c r="J3483" s="455">
        <f t="array" ref="J3483">IFERROR(INDEX('Retirement Calculator'!J:J,MATCH('Isaac 401k'!N3483,'Retirement Calculator'!A:A,0),0),0)</f>
        <v>0</v>
      </c>
      <c r="K3483" s="455">
        <f t="shared" ca="1" si="166"/>
        <v>-1320305087.6615109</v>
      </c>
      <c r="L3483" s="455">
        <f t="shared" ca="1" si="167"/>
        <v>-318193526126.42413</v>
      </c>
      <c r="M3483" s="471">
        <f t="shared" si="169"/>
        <v>0.05</v>
      </c>
      <c r="N3483" s="475">
        <f t="shared" si="170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68"/>
        <v>-318193526126.42413</v>
      </c>
      <c r="J3484" s="455">
        <f t="array" ref="J3484">IFERROR(INDEX('Retirement Calculator'!J:J,MATCH('Isaac 401k'!N3484,'Retirement Calculator'!A:A,0),0),0)</f>
        <v>0</v>
      </c>
      <c r="K3484" s="455">
        <f t="shared" ca="1" si="166"/>
        <v>-1325806358.8601005</v>
      </c>
      <c r="L3484" s="455">
        <f t="shared" ca="1" si="167"/>
        <v>-319519332485.28424</v>
      </c>
      <c r="M3484" s="471">
        <f t="shared" si="169"/>
        <v>0.05</v>
      </c>
      <c r="N3484" s="475">
        <f t="shared" si="170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68"/>
        <v>-319519332485.28424</v>
      </c>
      <c r="J3485" s="455">
        <f t="array" ref="J3485">IFERROR(INDEX('Retirement Calculator'!J:J,MATCH('Isaac 401k'!N3485,'Retirement Calculator'!A:A,0),0),0)</f>
        <v>0</v>
      </c>
      <c r="K3485" s="455">
        <f t="shared" ca="1" si="166"/>
        <v>-1331330552.0220177</v>
      </c>
      <c r="L3485" s="455">
        <f t="shared" ca="1" si="167"/>
        <v>-320850663037.30627</v>
      </c>
      <c r="M3485" s="471">
        <f t="shared" si="169"/>
        <v>0.05</v>
      </c>
      <c r="N3485" s="475">
        <f t="shared" si="170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68"/>
        <v>-320850663037.30627</v>
      </c>
      <c r="J3486" s="455">
        <f t="array" ref="J3486">IFERROR(INDEX('Retirement Calculator'!J:J,MATCH('Isaac 401k'!N3486,'Retirement Calculator'!A:A,0),0),0)</f>
        <v>0</v>
      </c>
      <c r="K3486" s="455">
        <f t="shared" ca="1" si="166"/>
        <v>-1336877762.6554427</v>
      </c>
      <c r="L3486" s="455">
        <f t="shared" ca="1" si="167"/>
        <v>-322187540799.96173</v>
      </c>
      <c r="M3486" s="471">
        <f t="shared" si="169"/>
        <v>0.05</v>
      </c>
      <c r="N3486" s="475">
        <f t="shared" si="170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68"/>
        <v>-322187540799.96173</v>
      </c>
      <c r="J3487" s="455">
        <f t="array" ref="J3487">IFERROR(INDEX('Retirement Calculator'!J:J,MATCH('Isaac 401k'!N3487,'Retirement Calculator'!A:A,0),0),0)</f>
        <v>0</v>
      </c>
      <c r="K3487" s="455">
        <f t="shared" ca="1" si="166"/>
        <v>-1342448086.6665072</v>
      </c>
      <c r="L3487" s="455">
        <f t="shared" ca="1" si="167"/>
        <v>-323529988886.62823</v>
      </c>
      <c r="M3487" s="471">
        <f t="shared" si="169"/>
        <v>0.05</v>
      </c>
      <c r="N3487" s="475">
        <f t="shared" si="170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68"/>
        <v>-323529988886.62823</v>
      </c>
      <c r="J3488" s="455">
        <f t="array" ref="J3488">IFERROR(INDEX('Retirement Calculator'!J:J,MATCH('Isaac 401k'!N3488,'Retirement Calculator'!A:A,0),0),0)</f>
        <v>0</v>
      </c>
      <c r="K3488" s="455">
        <f t="shared" ca="1" si="166"/>
        <v>-1348041620.3609509</v>
      </c>
      <c r="L3488" s="455">
        <f t="shared" ca="1" si="167"/>
        <v>-324878030506.9892</v>
      </c>
      <c r="M3488" s="471">
        <f t="shared" si="169"/>
        <v>0.05</v>
      </c>
      <c r="N3488" s="475">
        <f t="shared" si="170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68"/>
        <v>-324878030506.9892</v>
      </c>
      <c r="J3489" s="455">
        <f t="array" ref="J3489">IFERROR(INDEX('Retirement Calculator'!J:J,MATCH('Isaac 401k'!N3489,'Retirement Calculator'!A:A,0),0),0)</f>
        <v>0</v>
      </c>
      <c r="K3489" s="455">
        <f t="shared" ca="1" si="166"/>
        <v>-1353658460.4457884</v>
      </c>
      <c r="L3489" s="455">
        <f t="shared" ca="1" si="167"/>
        <v>-326231688967.435</v>
      </c>
      <c r="M3489" s="471">
        <f t="shared" si="169"/>
        <v>0.05</v>
      </c>
      <c r="N3489" s="475">
        <f t="shared" si="170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68"/>
        <v>-326231688967.435</v>
      </c>
      <c r="J3490" s="455">
        <f t="array" ref="J3490">IFERROR(INDEX('Retirement Calculator'!J:J,MATCH('Isaac 401k'!N3490,'Retirement Calculator'!A:A,0),0),0)</f>
        <v>0</v>
      </c>
      <c r="K3490" s="455">
        <f t="shared" ca="1" si="166"/>
        <v>-1359298704.0309792</v>
      </c>
      <c r="L3490" s="455">
        <f t="shared" ca="1" si="167"/>
        <v>-327590987671.466</v>
      </c>
      <c r="M3490" s="471">
        <f t="shared" si="169"/>
        <v>0.05</v>
      </c>
      <c r="N3490" s="475">
        <f t="shared" si="170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68"/>
        <v>-327590987671.466</v>
      </c>
      <c r="J3491" s="455">
        <f t="array" ref="J3491">IFERROR(INDEX('Retirement Calculator'!J:J,MATCH('Isaac 401k'!N3491,'Retirement Calculator'!A:A,0),0),0)</f>
        <v>0</v>
      </c>
      <c r="K3491" s="455">
        <f t="shared" ca="1" si="166"/>
        <v>-1364962448.6311083</v>
      </c>
      <c r="L3491" s="455">
        <f t="shared" ca="1" si="167"/>
        <v>-328955950120.09711</v>
      </c>
      <c r="M3491" s="471">
        <f t="shared" si="169"/>
        <v>0.05</v>
      </c>
      <c r="N3491" s="475">
        <f t="shared" si="170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68"/>
        <v>-328955950120.09711</v>
      </c>
      <c r="J3492" s="455">
        <f t="array" ref="J3492">IFERROR(INDEX('Retirement Calculator'!J:J,MATCH('Isaac 401k'!N3492,'Retirement Calculator'!A:A,0),0),0)</f>
        <v>0</v>
      </c>
      <c r="K3492" s="455">
        <f t="shared" ca="1" si="166"/>
        <v>-1370649792.1670713</v>
      </c>
      <c r="L3492" s="455">
        <f t="shared" ca="1" si="167"/>
        <v>-330326599912.26416</v>
      </c>
      <c r="M3492" s="471">
        <f t="shared" si="169"/>
        <v>0.05</v>
      </c>
      <c r="N3492" s="475">
        <f t="shared" si="170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68"/>
        <v>-330326599912.26416</v>
      </c>
      <c r="J3493" s="455">
        <f t="array" ref="J3493">IFERROR(INDEX('Retirement Calculator'!J:J,MATCH('Isaac 401k'!N3493,'Retirement Calculator'!A:A,0),0),0)</f>
        <v>0</v>
      </c>
      <c r="K3493" s="455">
        <f t="shared" ca="1" si="166"/>
        <v>-1376360832.9677672</v>
      </c>
      <c r="L3493" s="455">
        <f t="shared" ca="1" si="167"/>
        <v>-331702960745.23193</v>
      </c>
      <c r="M3493" s="471">
        <f t="shared" si="169"/>
        <v>0.05</v>
      </c>
      <c r="N3493" s="475">
        <f t="shared" si="170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68"/>
        <v>-331702960745.23193</v>
      </c>
      <c r="J3494" s="455">
        <f t="array" ref="J3494">IFERROR(INDEX('Retirement Calculator'!J:J,MATCH('Isaac 401k'!N3494,'Retirement Calculator'!A:A,0),0),0)</f>
        <v>0</v>
      </c>
      <c r="K3494" s="455">
        <f t="shared" ca="1" si="166"/>
        <v>-1382095669.7717998</v>
      </c>
      <c r="L3494" s="455">
        <f t="shared" ca="1" si="167"/>
        <v>-333085056415.00372</v>
      </c>
      <c r="M3494" s="471">
        <f t="shared" si="169"/>
        <v>0.05</v>
      </c>
      <c r="N3494" s="475">
        <f t="shared" si="170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68"/>
        <v>-333085056415.00372</v>
      </c>
      <c r="J3495" s="455">
        <f t="array" ref="J3495">IFERROR(INDEX('Retirement Calculator'!J:J,MATCH('Isaac 401k'!N3495,'Retirement Calculator'!A:A,0),0),0)</f>
        <v>0</v>
      </c>
      <c r="K3495" s="455">
        <f t="shared" ca="1" si="166"/>
        <v>-1387854401.7291822</v>
      </c>
      <c r="L3495" s="455">
        <f t="shared" ca="1" si="167"/>
        <v>-334472910816.73291</v>
      </c>
      <c r="M3495" s="471">
        <f t="shared" si="169"/>
        <v>0.05</v>
      </c>
      <c r="N3495" s="475">
        <f t="shared" si="170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68"/>
        <v>-334472910816.73291</v>
      </c>
      <c r="J3496" s="455">
        <f t="array" ref="J3496">IFERROR(INDEX('Retirement Calculator'!J:J,MATCH('Isaac 401k'!N3496,'Retirement Calculator'!A:A,0),0),0)</f>
        <v>0</v>
      </c>
      <c r="K3496" s="455">
        <f t="shared" ca="1" si="166"/>
        <v>-1393637128.4030538</v>
      </c>
      <c r="L3496" s="455">
        <f t="shared" ca="1" si="167"/>
        <v>-335866547945.13599</v>
      </c>
      <c r="M3496" s="471">
        <f t="shared" si="169"/>
        <v>0.05</v>
      </c>
      <c r="N3496" s="475">
        <f t="shared" si="170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68"/>
        <v>-335866547945.13599</v>
      </c>
      <c r="J3497" s="455">
        <f t="array" ref="J3497">IFERROR(INDEX('Retirement Calculator'!J:J,MATCH('Isaac 401k'!N3497,'Retirement Calculator'!A:A,0),0),0)</f>
        <v>0</v>
      </c>
      <c r="K3497" s="455">
        <f t="shared" ca="1" si="166"/>
        <v>-1399443949.7714</v>
      </c>
      <c r="L3497" s="455">
        <f t="shared" ca="1" si="167"/>
        <v>-337265991894.90741</v>
      </c>
      <c r="M3497" s="471">
        <f t="shared" si="169"/>
        <v>0.05</v>
      </c>
      <c r="N3497" s="475">
        <f t="shared" si="170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68"/>
        <v>-337265991894.90741</v>
      </c>
      <c r="J3498" s="455">
        <f t="array" ref="J3498">IFERROR(INDEX('Retirement Calculator'!J:J,MATCH('Isaac 401k'!N3498,'Retirement Calculator'!A:A,0),0),0)</f>
        <v>0</v>
      </c>
      <c r="K3498" s="455">
        <f t="shared" ca="1" si="166"/>
        <v>-1405274966.2287807</v>
      </c>
      <c r="L3498" s="455">
        <f t="shared" ca="1" si="167"/>
        <v>-338671266861.13617</v>
      </c>
      <c r="M3498" s="471">
        <f t="shared" si="169"/>
        <v>0.05</v>
      </c>
      <c r="N3498" s="475">
        <f t="shared" si="170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68"/>
        <v>-338671266861.13617</v>
      </c>
      <c r="J3499" s="455">
        <f t="array" ref="J3499">IFERROR(INDEX('Retirement Calculator'!J:J,MATCH('Isaac 401k'!N3499,'Retirement Calculator'!A:A,0),0),0)</f>
        <v>0</v>
      </c>
      <c r="K3499" s="455">
        <f t="shared" ca="1" si="166"/>
        <v>-1411130278.5880673</v>
      </c>
      <c r="L3499" s="455">
        <f t="shared" ca="1" si="167"/>
        <v>-340082397139.72424</v>
      </c>
      <c r="M3499" s="471">
        <f t="shared" si="169"/>
        <v>0.05</v>
      </c>
      <c r="N3499" s="475">
        <f t="shared" si="170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68"/>
        <v>-340082397139.72424</v>
      </c>
      <c r="J3500" s="455">
        <f t="array" ref="J3500">IFERROR(INDEX('Retirement Calculator'!J:J,MATCH('Isaac 401k'!N3500,'Retirement Calculator'!A:A,0),0),0)</f>
        <v>0</v>
      </c>
      <c r="K3500" s="455">
        <f t="shared" ca="1" si="166"/>
        <v>-1417009988.0821843</v>
      </c>
      <c r="L3500" s="455">
        <f t="shared" ca="1" si="167"/>
        <v>-341499407127.80646</v>
      </c>
      <c r="M3500" s="471">
        <f t="shared" si="169"/>
        <v>0.05</v>
      </c>
      <c r="N3500" s="475">
        <f t="shared" si="170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68"/>
        <v>-341499407127.80646</v>
      </c>
      <c r="J3501" s="455">
        <f t="array" ref="J3501">IFERROR(INDEX('Retirement Calculator'!J:J,MATCH('Isaac 401k'!N3501,'Retirement Calculator'!A:A,0),0),0)</f>
        <v>0</v>
      </c>
      <c r="K3501" s="455">
        <f t="shared" ca="1" si="166"/>
        <v>-1422914196.3658602</v>
      </c>
      <c r="L3501" s="455">
        <f t="shared" ca="1" si="167"/>
        <v>-342922321324.1723</v>
      </c>
      <c r="M3501" s="471">
        <f t="shared" si="169"/>
        <v>0.05</v>
      </c>
      <c r="N3501" s="475">
        <f t="shared" si="170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68"/>
        <v>-342922321324.1723</v>
      </c>
      <c r="J3502" s="455">
        <f t="array" ref="J3502">IFERROR(INDEX('Retirement Calculator'!J:J,MATCH('Isaac 401k'!N3502,'Retirement Calculator'!A:A,0),0),0)</f>
        <v>0</v>
      </c>
      <c r="K3502" s="455">
        <f t="shared" ca="1" si="166"/>
        <v>-1428843005.5173845</v>
      </c>
      <c r="L3502" s="455">
        <f t="shared" ca="1" si="167"/>
        <v>-344351164329.6897</v>
      </c>
      <c r="M3502" s="471">
        <f t="shared" si="169"/>
        <v>0.05</v>
      </c>
      <c r="N3502" s="475">
        <f t="shared" si="170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68"/>
        <v>-344351164329.6897</v>
      </c>
      <c r="J3503" s="455">
        <f t="array" ref="J3503">IFERROR(INDEX('Retirement Calculator'!J:J,MATCH('Isaac 401k'!N3503,'Retirement Calculator'!A:A,0),0),0)</f>
        <v>0</v>
      </c>
      <c r="K3503" s="455">
        <f t="shared" ca="1" si="166"/>
        <v>-1434796518.0403738</v>
      </c>
      <c r="L3503" s="455">
        <f t="shared" ca="1" si="167"/>
        <v>-345785960847.73004</v>
      </c>
      <c r="M3503" s="471">
        <f t="shared" si="169"/>
        <v>0.05</v>
      </c>
      <c r="N3503" s="475">
        <f t="shared" si="170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68"/>
        <v>-345785960847.73004</v>
      </c>
      <c r="J3504" s="455">
        <f t="array" ref="J3504">IFERROR(INDEX('Retirement Calculator'!J:J,MATCH('Isaac 401k'!N3504,'Retirement Calculator'!A:A,0),0),0)</f>
        <v>0</v>
      </c>
      <c r="K3504" s="455">
        <f t="shared" ca="1" si="166"/>
        <v>-1440774836.8655419</v>
      </c>
      <c r="L3504" s="455">
        <f t="shared" ca="1" si="167"/>
        <v>-347226735684.59558</v>
      </c>
      <c r="M3504" s="471">
        <f t="shared" si="169"/>
        <v>0.05</v>
      </c>
      <c r="N3504" s="475">
        <f t="shared" si="170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68"/>
        <v>-347226735684.59558</v>
      </c>
      <c r="J3505" s="455">
        <f t="array" ref="J3505">IFERROR(INDEX('Retirement Calculator'!J:J,MATCH('Isaac 401k'!N3505,'Retirement Calculator'!A:A,0),0),0)</f>
        <v>0</v>
      </c>
      <c r="K3505" s="455">
        <f t="shared" ca="1" si="166"/>
        <v>-1446778065.3524816</v>
      </c>
      <c r="L3505" s="455">
        <f t="shared" ca="1" si="167"/>
        <v>-348673513749.94806</v>
      </c>
      <c r="M3505" s="471">
        <f t="shared" si="169"/>
        <v>0.05</v>
      </c>
      <c r="N3505" s="475">
        <f t="shared" si="170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68"/>
        <v>-348673513749.94806</v>
      </c>
      <c r="J3506" s="455">
        <f t="array" ref="J3506">IFERROR(INDEX('Retirement Calculator'!J:J,MATCH('Isaac 401k'!N3506,'Retirement Calculator'!A:A,0),0),0)</f>
        <v>0</v>
      </c>
      <c r="K3506" s="455">
        <f t="shared" ca="1" si="166"/>
        <v>-1452806307.2914503</v>
      </c>
      <c r="L3506" s="455">
        <f t="shared" ca="1" si="167"/>
        <v>-350126320057.2395</v>
      </c>
      <c r="M3506" s="471">
        <f t="shared" si="169"/>
        <v>0.05</v>
      </c>
      <c r="N3506" s="475">
        <f t="shared" si="170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68"/>
        <v>-350126320057.2395</v>
      </c>
      <c r="J3507" s="455">
        <f t="array" ref="J3507">IFERROR(INDEX('Retirement Calculator'!J:J,MATCH('Isaac 401k'!N3507,'Retirement Calculator'!A:A,0),0),0)</f>
        <v>0</v>
      </c>
      <c r="K3507" s="455">
        <f t="shared" ca="1" si="166"/>
        <v>-1458859666.9051645</v>
      </c>
      <c r="L3507" s="455">
        <f t="shared" ca="1" si="167"/>
        <v>-351585179724.14465</v>
      </c>
      <c r="M3507" s="471">
        <f t="shared" si="169"/>
        <v>0.05</v>
      </c>
      <c r="N3507" s="475">
        <f t="shared" si="170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68"/>
        <v>-351585179724.14465</v>
      </c>
      <c r="J3508" s="455">
        <f t="array" ref="J3508">IFERROR(INDEX('Retirement Calculator'!J:J,MATCH('Isaac 401k'!N3508,'Retirement Calculator'!A:A,0),0),0)</f>
        <v>0</v>
      </c>
      <c r="K3508" s="455">
        <f t="shared" ca="1" si="166"/>
        <v>-1464938248.8506026</v>
      </c>
      <c r="L3508" s="455">
        <f t="shared" ca="1" si="167"/>
        <v>-353050117972.99524</v>
      </c>
      <c r="M3508" s="471">
        <f t="shared" si="169"/>
        <v>0.05</v>
      </c>
      <c r="N3508" s="475">
        <f t="shared" si="170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68"/>
        <v>-353050117972.99524</v>
      </c>
      <c r="J3509" s="455">
        <f t="array" ref="J3509">IFERROR(INDEX('Retirement Calculator'!J:J,MATCH('Isaac 401k'!N3509,'Retirement Calculator'!A:A,0),0),0)</f>
        <v>0</v>
      </c>
      <c r="K3509" s="455">
        <f t="shared" ca="1" si="166"/>
        <v>-1471042158.2208135</v>
      </c>
      <c r="L3509" s="455">
        <f t="shared" ca="1" si="167"/>
        <v>-354521160131.21606</v>
      </c>
      <c r="M3509" s="471">
        <f t="shared" si="169"/>
        <v>0.05</v>
      </c>
      <c r="N3509" s="475">
        <f t="shared" si="170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68"/>
        <v>-354521160131.21606</v>
      </c>
      <c r="J3510" s="455">
        <f t="array" ref="J3510">IFERROR(INDEX('Retirement Calculator'!J:J,MATCH('Isaac 401k'!N3510,'Retirement Calculator'!A:A,0),0),0)</f>
        <v>0</v>
      </c>
      <c r="K3510" s="455">
        <f t="shared" ca="1" si="166"/>
        <v>-1477171500.5467336</v>
      </c>
      <c r="L3510" s="455">
        <f t="shared" ca="1" si="167"/>
        <v>-355998331631.76282</v>
      </c>
      <c r="M3510" s="471">
        <f t="shared" si="169"/>
        <v>0.05</v>
      </c>
      <c r="N3510" s="475">
        <f t="shared" si="170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68"/>
        <v>-355998331631.76282</v>
      </c>
      <c r="J3511" s="455">
        <f t="array" ref="J3511">IFERROR(INDEX('Retirement Calculator'!J:J,MATCH('Isaac 401k'!N3511,'Retirement Calculator'!A:A,0),0),0)</f>
        <v>0</v>
      </c>
      <c r="K3511" s="455">
        <f t="shared" ca="1" si="166"/>
        <v>-1483326381.7990117</v>
      </c>
      <c r="L3511" s="455">
        <f t="shared" ca="1" si="167"/>
        <v>-357481658013.56183</v>
      </c>
      <c r="M3511" s="471">
        <f t="shared" si="169"/>
        <v>0.05</v>
      </c>
      <c r="N3511" s="475">
        <f t="shared" si="170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68"/>
        <v>-357481658013.56183</v>
      </c>
      <c r="J3512" s="455">
        <f t="array" ref="J3512">IFERROR(INDEX('Retirement Calculator'!J:J,MATCH('Isaac 401k'!N3512,'Retirement Calculator'!A:A,0),0),0)</f>
        <v>0</v>
      </c>
      <c r="K3512" s="455">
        <f t="shared" ca="1" si="166"/>
        <v>-1489506908.3898408</v>
      </c>
      <c r="L3512" s="455">
        <f t="shared" ca="1" si="167"/>
        <v>-358971164921.95166</v>
      </c>
      <c r="M3512" s="471">
        <f t="shared" si="169"/>
        <v>0.05</v>
      </c>
      <c r="N3512" s="475">
        <f t="shared" si="170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68"/>
        <v>-358971164921.95166</v>
      </c>
      <c r="J3513" s="455">
        <f t="array" ref="J3513">IFERROR(INDEX('Retirement Calculator'!J:J,MATCH('Isaac 401k'!N3513,'Retirement Calculator'!A:A,0),0),0)</f>
        <v>0</v>
      </c>
      <c r="K3513" s="455">
        <f t="shared" ca="1" si="166"/>
        <v>-1495713187.1747985</v>
      </c>
      <c r="L3513" s="455">
        <f t="shared" ca="1" si="167"/>
        <v>-360466878109.12646</v>
      </c>
      <c r="M3513" s="471">
        <f t="shared" si="169"/>
        <v>0.05</v>
      </c>
      <c r="N3513" s="475">
        <f t="shared" si="170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68"/>
        <v>-360466878109.12646</v>
      </c>
      <c r="J3514" s="455">
        <f t="array" ref="J3514">IFERROR(INDEX('Retirement Calculator'!J:J,MATCH('Isaac 401k'!N3514,'Retirement Calculator'!A:A,0),0),0)</f>
        <v>0</v>
      </c>
      <c r="K3514" s="455">
        <f t="shared" ca="1" si="166"/>
        <v>-1501945325.4546936</v>
      </c>
      <c r="L3514" s="455">
        <f t="shared" ca="1" si="167"/>
        <v>-361968823434.58118</v>
      </c>
      <c r="M3514" s="471">
        <f t="shared" si="169"/>
        <v>0.05</v>
      </c>
      <c r="N3514" s="475">
        <f t="shared" si="170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68"/>
        <v>-361968823434.58118</v>
      </c>
      <c r="J3515" s="455">
        <f t="array" ref="J3515">IFERROR(INDEX('Retirement Calculator'!J:J,MATCH('Isaac 401k'!N3515,'Retirement Calculator'!A:A,0),0),0)</f>
        <v>0</v>
      </c>
      <c r="K3515" s="455">
        <f t="shared" ca="1" si="166"/>
        <v>-1508203430.9774215</v>
      </c>
      <c r="L3515" s="455">
        <f t="shared" ca="1" si="167"/>
        <v>-363477026865.55859</v>
      </c>
      <c r="M3515" s="471">
        <f t="shared" si="169"/>
        <v>0.05</v>
      </c>
      <c r="N3515" s="475">
        <f t="shared" si="170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68"/>
        <v>-363477026865.55859</v>
      </c>
      <c r="J3516" s="455">
        <f t="array" ref="J3516">IFERROR(INDEX('Retirement Calculator'!J:J,MATCH('Isaac 401k'!N3516,'Retirement Calculator'!A:A,0),0),0)</f>
        <v>0</v>
      </c>
      <c r="K3516" s="455">
        <f t="shared" ca="1" si="166"/>
        <v>-1514487611.9398274</v>
      </c>
      <c r="L3516" s="455">
        <f t="shared" ca="1" si="167"/>
        <v>-364991514477.49841</v>
      </c>
      <c r="M3516" s="471">
        <f t="shared" si="169"/>
        <v>0.05</v>
      </c>
      <c r="N3516" s="475">
        <f t="shared" si="170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68"/>
        <v>-364991514477.49841</v>
      </c>
      <c r="J3517" s="455">
        <f t="array" ref="J3517">IFERROR(INDEX('Retirement Calculator'!J:J,MATCH('Isaac 401k'!N3517,'Retirement Calculator'!A:A,0),0),0)</f>
        <v>0</v>
      </c>
      <c r="K3517" s="455">
        <f t="shared" ca="1" si="166"/>
        <v>-1520797976.9895768</v>
      </c>
      <c r="L3517" s="455">
        <f t="shared" ca="1" si="167"/>
        <v>-366512312454.48798</v>
      </c>
      <c r="M3517" s="471">
        <f t="shared" si="169"/>
        <v>0.05</v>
      </c>
      <c r="N3517" s="475">
        <f t="shared" si="170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68"/>
        <v>-366512312454.48798</v>
      </c>
      <c r="J3518" s="455">
        <f t="array" ref="J3518">IFERROR(INDEX('Retirement Calculator'!J:J,MATCH('Isaac 401k'!N3518,'Retirement Calculator'!A:A,0),0),0)</f>
        <v>0</v>
      </c>
      <c r="K3518" s="455">
        <f t="shared" ca="1" si="166"/>
        <v>-1527134635.2270331</v>
      </c>
      <c r="L3518" s="455">
        <f t="shared" ca="1" si="167"/>
        <v>-368039447089.71503</v>
      </c>
      <c r="M3518" s="471">
        <f t="shared" si="169"/>
        <v>0.05</v>
      </c>
      <c r="N3518" s="475">
        <f t="shared" si="170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68"/>
        <v>-368039447089.71503</v>
      </c>
      <c r="J3519" s="455">
        <f t="array" ref="J3519">IFERROR(INDEX('Retirement Calculator'!J:J,MATCH('Isaac 401k'!N3519,'Retirement Calculator'!A:A,0),0),0)</f>
        <v>0</v>
      </c>
      <c r="K3519" s="455">
        <f t="shared" ca="1" si="166"/>
        <v>-1533497696.2071459</v>
      </c>
      <c r="L3519" s="455">
        <f t="shared" ca="1" si="167"/>
        <v>-369572944785.92218</v>
      </c>
      <c r="M3519" s="471">
        <f t="shared" si="169"/>
        <v>0.05</v>
      </c>
      <c r="N3519" s="475">
        <f t="shared" si="170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68"/>
        <v>-369572944785.92218</v>
      </c>
      <c r="J3520" s="455">
        <f t="array" ref="J3520">IFERROR(INDEX('Retirement Calculator'!J:J,MATCH('Isaac 401k'!N3520,'Retirement Calculator'!A:A,0),0),0)</f>
        <v>0</v>
      </c>
      <c r="K3520" s="455">
        <f t="shared" ca="1" si="166"/>
        <v>-1539887269.9413424</v>
      </c>
      <c r="L3520" s="455">
        <f t="shared" ca="1" si="167"/>
        <v>-371112832055.86353</v>
      </c>
      <c r="M3520" s="471">
        <f t="shared" si="169"/>
        <v>0.05</v>
      </c>
      <c r="N3520" s="475">
        <f t="shared" si="170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68"/>
        <v>-371112832055.86353</v>
      </c>
      <c r="J3521" s="455">
        <f t="array" ref="J3521">IFERROR(INDEX('Retirement Calculator'!J:J,MATCH('Isaac 401k'!N3521,'Retirement Calculator'!A:A,0),0),0)</f>
        <v>0</v>
      </c>
      <c r="K3521" s="455">
        <f t="shared" ca="1" si="166"/>
        <v>-1546303466.8994312</v>
      </c>
      <c r="L3521" s="455">
        <f t="shared" ca="1" si="167"/>
        <v>-372659135522.76294</v>
      </c>
      <c r="M3521" s="471">
        <f t="shared" si="169"/>
        <v>0.05</v>
      </c>
      <c r="N3521" s="475">
        <f t="shared" si="170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68"/>
        <v>-372659135522.76294</v>
      </c>
      <c r="J3522" s="455">
        <f t="array" ref="J3522">IFERROR(INDEX('Retirement Calculator'!J:J,MATCH('Isaac 401k'!N3522,'Retirement Calculator'!A:A,0),0),0)</f>
        <v>0</v>
      </c>
      <c r="K3522" s="455">
        <f t="shared" ca="1" si="166"/>
        <v>-1552746398.0115123</v>
      </c>
      <c r="L3522" s="455">
        <f t="shared" ca="1" si="167"/>
        <v>-374211881920.77448</v>
      </c>
      <c r="M3522" s="471">
        <f t="shared" si="169"/>
        <v>0.05</v>
      </c>
      <c r="N3522" s="475">
        <f t="shared" si="170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68"/>
        <v>-374211881920.77448</v>
      </c>
      <c r="J3523" s="455">
        <f t="array" ref="J3523">IFERROR(INDEX('Retirement Calculator'!J:J,MATCH('Isaac 401k'!N3523,'Retirement Calculator'!A:A,0),0),0)</f>
        <v>0</v>
      </c>
      <c r="K3523" s="455">
        <f t="shared" ca="1" si="166"/>
        <v>-1559216174.6698937</v>
      </c>
      <c r="L3523" s="455">
        <f t="shared" ca="1" si="167"/>
        <v>-375771098095.4444</v>
      </c>
      <c r="M3523" s="471">
        <f t="shared" si="169"/>
        <v>0.05</v>
      </c>
      <c r="N3523" s="475">
        <f t="shared" si="170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68"/>
        <v>-375771098095.4444</v>
      </c>
      <c r="J3524" s="455">
        <f t="array" ref="J3524">IFERROR(INDEX('Retirement Calculator'!J:J,MATCH('Isaac 401k'!N3524,'Retirement Calculator'!A:A,0),0),0)</f>
        <v>0</v>
      </c>
      <c r="K3524" s="455">
        <f t="shared" ca="1" si="166"/>
        <v>-1565712908.7310183</v>
      </c>
      <c r="L3524" s="455">
        <f t="shared" ca="1" si="167"/>
        <v>-377336811004.17542</v>
      </c>
      <c r="M3524" s="471">
        <f t="shared" si="169"/>
        <v>0.05</v>
      </c>
      <c r="N3524" s="475">
        <f t="shared" si="170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68"/>
        <v>-377336811004.17542</v>
      </c>
      <c r="J3525" s="455">
        <f t="array" ref="J3525">IFERROR(INDEX('Retirement Calculator'!J:J,MATCH('Isaac 401k'!N3525,'Retirement Calculator'!A:A,0),0),0)</f>
        <v>0</v>
      </c>
      <c r="K3525" s="455">
        <f t="shared" ca="1" si="166"/>
        <v>-1572236712.5173976</v>
      </c>
      <c r="L3525" s="455">
        <f t="shared" ca="1" si="167"/>
        <v>-378909047716.69281</v>
      </c>
      <c r="M3525" s="471">
        <f t="shared" si="169"/>
        <v>0.05</v>
      </c>
      <c r="N3525" s="475">
        <f t="shared" si="170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68"/>
        <v>-378909047716.69281</v>
      </c>
      <c r="J3526" s="455">
        <f t="array" ref="J3526">IFERROR(INDEX('Retirement Calculator'!J:J,MATCH('Isaac 401k'!N3526,'Retirement Calculator'!A:A,0),0),0)</f>
        <v>0</v>
      </c>
      <c r="K3526" s="455">
        <f t="shared" ca="1" si="166"/>
        <v>-1578787698.8195534</v>
      </c>
      <c r="L3526" s="455">
        <f t="shared" ca="1" si="167"/>
        <v>-380487835415.51239</v>
      </c>
      <c r="M3526" s="471">
        <f t="shared" si="169"/>
        <v>0.05</v>
      </c>
      <c r="N3526" s="475">
        <f t="shared" si="170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68"/>
        <v>-380487835415.51239</v>
      </c>
      <c r="J3527" s="455">
        <f t="array" ref="J3527">IFERROR(INDEX('Retirement Calculator'!J:J,MATCH('Isaac 401k'!N3527,'Retirement Calculator'!A:A,0),0),0)</f>
        <v>0</v>
      </c>
      <c r="K3527" s="455">
        <f t="shared" ca="1" si="166"/>
        <v>-1585365980.8979683</v>
      </c>
      <c r="L3527" s="455">
        <f t="shared" ca="1" si="167"/>
        <v>-382073201396.41034</v>
      </c>
      <c r="M3527" s="471">
        <f t="shared" si="169"/>
        <v>0.05</v>
      </c>
      <c r="N3527" s="475">
        <f t="shared" si="170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68"/>
        <v>-382073201396.41034</v>
      </c>
      <c r="J3528" s="455">
        <f t="array" ref="J3528">IFERROR(INDEX('Retirement Calculator'!J:J,MATCH('Isaac 401k'!N3528,'Retirement Calculator'!A:A,0),0),0)</f>
        <v>0</v>
      </c>
      <c r="K3528" s="455">
        <f t="shared" ca="1" si="166"/>
        <v>-1591971672.485043</v>
      </c>
      <c r="L3528" s="455">
        <f t="shared" ca="1" si="167"/>
        <v>-383665173068.89539</v>
      </c>
      <c r="M3528" s="471">
        <f t="shared" si="169"/>
        <v>0.05</v>
      </c>
      <c r="N3528" s="475">
        <f t="shared" si="170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68"/>
        <v>-383665173068.89539</v>
      </c>
      <c r="J3529" s="455">
        <f t="array" ref="J3529">IFERROR(INDEX('Retirement Calculator'!J:J,MATCH('Isaac 401k'!N3529,'Retirement Calculator'!A:A,0),0),0)</f>
        <v>0</v>
      </c>
      <c r="K3529" s="455">
        <f t="shared" ca="1" si="166"/>
        <v>-1598604887.7870641</v>
      </c>
      <c r="L3529" s="455">
        <f t="shared" ca="1" si="167"/>
        <v>-385263777956.68243</v>
      </c>
      <c r="M3529" s="471">
        <f t="shared" si="169"/>
        <v>0.05</v>
      </c>
      <c r="N3529" s="475">
        <f t="shared" si="170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68"/>
        <v>-385263777956.68243</v>
      </c>
      <c r="J3530" s="455">
        <f t="array" ref="J3530">IFERROR(INDEX('Retirement Calculator'!J:J,MATCH('Isaac 401k'!N3530,'Retirement Calculator'!A:A,0),0),0)</f>
        <v>0</v>
      </c>
      <c r="K3530" s="455">
        <f t="shared" ca="1" si="166"/>
        <v>-1605265741.4861767</v>
      </c>
      <c r="L3530" s="455">
        <f t="shared" ca="1" si="167"/>
        <v>-386869043698.16864</v>
      </c>
      <c r="M3530" s="471">
        <f t="shared" si="169"/>
        <v>0.05</v>
      </c>
      <c r="N3530" s="475">
        <f t="shared" si="170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68"/>
        <v>-386869043698.16864</v>
      </c>
      <c r="J3531" s="455">
        <f t="array" ref="J3531">IFERROR(INDEX('Retirement Calculator'!J:J,MATCH('Isaac 401k'!N3531,'Retirement Calculator'!A:A,0),0),0)</f>
        <v>0</v>
      </c>
      <c r="K3531" s="455">
        <f t="shared" ca="1" si="166"/>
        <v>-1611954348.7423694</v>
      </c>
      <c r="L3531" s="455">
        <f t="shared" ca="1" si="167"/>
        <v>-388480998046.91101</v>
      </c>
      <c r="M3531" s="471">
        <f t="shared" si="169"/>
        <v>0.05</v>
      </c>
      <c r="N3531" s="475">
        <f t="shared" si="170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68"/>
        <v>-388480998046.91101</v>
      </c>
      <c r="J3532" s="455">
        <f t="array" ref="J3532">IFERROR(INDEX('Retirement Calculator'!J:J,MATCH('Isaac 401k'!N3532,'Retirement Calculator'!A:A,0),0),0)</f>
        <v>0</v>
      </c>
      <c r="K3532" s="455">
        <f t="shared" ca="1" si="166"/>
        <v>-1618670825.1954625</v>
      </c>
      <c r="L3532" s="455">
        <f t="shared" ca="1" si="167"/>
        <v>-390099668872.10645</v>
      </c>
      <c r="M3532" s="471">
        <f t="shared" si="169"/>
        <v>0.05</v>
      </c>
      <c r="N3532" s="475">
        <f t="shared" si="170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68"/>
        <v>-390099668872.10645</v>
      </c>
      <c r="J3533" s="455">
        <f t="array" ref="J3533">IFERROR(INDEX('Retirement Calculator'!J:J,MATCH('Isaac 401k'!N3533,'Retirement Calculator'!A:A,0),0),0)</f>
        <v>0</v>
      </c>
      <c r="K3533" s="455">
        <f t="shared" ca="1" si="166"/>
        <v>-1625415286.9671102</v>
      </c>
      <c r="L3533" s="455">
        <f t="shared" ca="1" si="167"/>
        <v>-391725084159.07355</v>
      </c>
      <c r="M3533" s="471">
        <f t="shared" si="169"/>
        <v>0.05</v>
      </c>
      <c r="N3533" s="475">
        <f t="shared" si="170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68"/>
        <v>-391725084159.07355</v>
      </c>
      <c r="J3534" s="455">
        <f t="array" ref="J3534">IFERROR(INDEX('Retirement Calculator'!J:J,MATCH('Isaac 401k'!N3534,'Retirement Calculator'!A:A,0),0),0)</f>
        <v>0</v>
      </c>
      <c r="K3534" s="455">
        <f t="shared" ca="1" si="166"/>
        <v>-1632187850.6628065</v>
      </c>
      <c r="L3534" s="455">
        <f t="shared" ca="1" si="167"/>
        <v>-393357272009.73633</v>
      </c>
      <c r="M3534" s="471">
        <f t="shared" si="169"/>
        <v>0.05</v>
      </c>
      <c r="N3534" s="475">
        <f t="shared" si="170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68"/>
        <v>-393357272009.73633</v>
      </c>
      <c r="J3535" s="455">
        <f t="array" ref="J3535">IFERROR(INDEX('Retirement Calculator'!J:J,MATCH('Isaac 401k'!N3535,'Retirement Calculator'!A:A,0),0),0)</f>
        <v>0</v>
      </c>
      <c r="K3535" s="455">
        <f t="shared" ca="1" si="166"/>
        <v>-1638988633.3739014</v>
      </c>
      <c r="L3535" s="455">
        <f t="shared" ca="1" si="167"/>
        <v>-394996260643.11023</v>
      </c>
      <c r="M3535" s="471">
        <f t="shared" si="169"/>
        <v>0.05</v>
      </c>
      <c r="N3535" s="475">
        <f t="shared" si="170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68"/>
        <v>-394996260643.11023</v>
      </c>
      <c r="J3536" s="455">
        <f t="array" ref="J3536">IFERROR(INDEX('Retirement Calculator'!J:J,MATCH('Isaac 401k'!N3536,'Retirement Calculator'!A:A,0),0),0)</f>
        <v>0</v>
      </c>
      <c r="K3536" s="455">
        <f t="shared" ca="1" si="166"/>
        <v>-1645817752.679626</v>
      </c>
      <c r="L3536" s="455">
        <f t="shared" ca="1" si="167"/>
        <v>-396642078395.78986</v>
      </c>
      <c r="M3536" s="471">
        <f t="shared" si="169"/>
        <v>0.05</v>
      </c>
      <c r="N3536" s="475">
        <f t="shared" si="170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68"/>
        <v>-396642078395.78986</v>
      </c>
      <c r="J3537" s="455">
        <f t="array" ref="J3537">IFERROR(INDEX('Retirement Calculator'!J:J,MATCH('Isaac 401k'!N3537,'Retirement Calculator'!A:A,0),0),0)</f>
        <v>0</v>
      </c>
      <c r="K3537" s="455">
        <f t="shared" ca="1" si="166"/>
        <v>-1652675326.6491244</v>
      </c>
      <c r="L3537" s="455">
        <f t="shared" ca="1" si="167"/>
        <v>-398294753722.43896</v>
      </c>
      <c r="M3537" s="471">
        <f t="shared" si="169"/>
        <v>0.05</v>
      </c>
      <c r="N3537" s="475">
        <f t="shared" si="170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68"/>
        <v>-398294753722.43896</v>
      </c>
      <c r="J3538" s="455">
        <f t="array" ref="J3538">IFERROR(INDEX('Retirement Calculator'!J:J,MATCH('Isaac 401k'!N3538,'Retirement Calculator'!A:A,0),0),0)</f>
        <v>0</v>
      </c>
      <c r="K3538" s="455">
        <f t="shared" ca="1" si="166"/>
        <v>-1659561473.8434956</v>
      </c>
      <c r="L3538" s="455">
        <f t="shared" ca="1" si="167"/>
        <v>-399954315196.28247</v>
      </c>
      <c r="M3538" s="471">
        <f t="shared" si="169"/>
        <v>0.05</v>
      </c>
      <c r="N3538" s="475">
        <f t="shared" si="170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68"/>
        <v>-399954315196.28247</v>
      </c>
      <c r="J3539" s="455">
        <f t="array" ref="J3539">IFERROR(INDEX('Retirement Calculator'!J:J,MATCH('Isaac 401k'!N3539,'Retirement Calculator'!A:A,0),0),0)</f>
        <v>0</v>
      </c>
      <c r="K3539" s="455">
        <f t="shared" ca="1" si="166"/>
        <v>-1666476313.3178437</v>
      </c>
      <c r="L3539" s="455">
        <f t="shared" ca="1" si="167"/>
        <v>-401620791509.60034</v>
      </c>
      <c r="M3539" s="471">
        <f t="shared" si="169"/>
        <v>0.05</v>
      </c>
      <c r="N3539" s="475">
        <f t="shared" si="170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68"/>
        <v>-401620791509.60034</v>
      </c>
      <c r="J3540" s="455">
        <f t="array" ref="J3540">IFERROR(INDEX('Retirement Calculator'!J:J,MATCH('Isaac 401k'!N3540,'Retirement Calculator'!A:A,0),0),0)</f>
        <v>0</v>
      </c>
      <c r="K3540" s="455">
        <f t="shared" ca="1" si="166"/>
        <v>-1673419964.6233346</v>
      </c>
      <c r="L3540" s="455">
        <f t="shared" ca="1" si="167"/>
        <v>-403294211474.22369</v>
      </c>
      <c r="M3540" s="471">
        <f t="shared" si="169"/>
        <v>0.05</v>
      </c>
      <c r="N3540" s="475">
        <f t="shared" si="170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68"/>
        <v>-403294211474.22369</v>
      </c>
      <c r="J3541" s="455">
        <f t="array" ref="J3541">IFERROR(INDEX('Retirement Calculator'!J:J,MATCH('Isaac 401k'!N3541,'Retirement Calculator'!A:A,0),0),0)</f>
        <v>0</v>
      </c>
      <c r="K3541" s="455">
        <f t="shared" ca="1" si="166"/>
        <v>-1680392547.8092654</v>
      </c>
      <c r="L3541" s="455">
        <f t="shared" ca="1" si="167"/>
        <v>-404974604022.03296</v>
      </c>
      <c r="M3541" s="471">
        <f t="shared" si="169"/>
        <v>0.05</v>
      </c>
      <c r="N3541" s="475">
        <f t="shared" si="170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68"/>
        <v>-404974604022.03296</v>
      </c>
      <c r="J3542" s="455">
        <f t="array" ref="J3542">IFERROR(INDEX('Retirement Calculator'!J:J,MATCH('Isaac 401k'!N3542,'Retirement Calculator'!A:A,0),0),0)</f>
        <v>0</v>
      </c>
      <c r="K3542" s="455">
        <f t="shared" ca="1" si="166"/>
        <v>-1687394183.4251373</v>
      </c>
      <c r="L3542" s="455">
        <f t="shared" ca="1" si="167"/>
        <v>-406661998205.45807</v>
      </c>
      <c r="M3542" s="471">
        <f t="shared" si="169"/>
        <v>0.05</v>
      </c>
      <c r="N3542" s="475">
        <f t="shared" si="170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68"/>
        <v>-406661998205.45807</v>
      </c>
      <c r="J3543" s="455">
        <f t="array" ref="J3543">IFERROR(INDEX('Retirement Calculator'!J:J,MATCH('Isaac 401k'!N3543,'Retirement Calculator'!A:A,0),0),0)</f>
        <v>0</v>
      </c>
      <c r="K3543" s="455">
        <f t="shared" ca="1" si="166"/>
        <v>-1694424992.522742</v>
      </c>
      <c r="L3543" s="455">
        <f t="shared" ca="1" si="167"/>
        <v>-408356423197.98083</v>
      </c>
      <c r="M3543" s="471">
        <f t="shared" si="169"/>
        <v>0.05</v>
      </c>
      <c r="N3543" s="475">
        <f t="shared" si="170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68"/>
        <v>-408356423197.98083</v>
      </c>
      <c r="J3544" s="455">
        <f t="array" ref="J3544">IFERROR(INDEX('Retirement Calculator'!J:J,MATCH('Isaac 401k'!N3544,'Retirement Calculator'!A:A,0),0),0)</f>
        <v>0</v>
      </c>
      <c r="K3544" s="455">
        <f t="shared" ca="1" si="166"/>
        <v>-1701485096.6582534</v>
      </c>
      <c r="L3544" s="455">
        <f t="shared" ca="1" si="167"/>
        <v>-410057908294.6391</v>
      </c>
      <c r="M3544" s="471">
        <f t="shared" si="169"/>
        <v>0.05</v>
      </c>
      <c r="N3544" s="475">
        <f t="shared" si="170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68"/>
        <v>-410057908294.6391</v>
      </c>
      <c r="J3545" s="455">
        <f t="array" ref="J3545">IFERROR(INDEX('Retirement Calculator'!J:J,MATCH('Isaac 401k'!N3545,'Retirement Calculator'!A:A,0),0),0)</f>
        <v>0</v>
      </c>
      <c r="K3545" s="455">
        <f t="shared" ca="1" si="166"/>
        <v>-1708574617.8943295</v>
      </c>
      <c r="L3545" s="455">
        <f t="shared" ca="1" si="167"/>
        <v>-411766482912.53345</v>
      </c>
      <c r="M3545" s="471">
        <f t="shared" si="169"/>
        <v>0.05</v>
      </c>
      <c r="N3545" s="475">
        <f t="shared" si="170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68"/>
        <v>-411766482912.53345</v>
      </c>
      <c r="J3546" s="455">
        <f t="array" ref="J3546">IFERROR(INDEX('Retirement Calculator'!J:J,MATCH('Isaac 401k'!N3546,'Retirement Calculator'!A:A,0),0),0)</f>
        <v>0</v>
      </c>
      <c r="K3546" s="455">
        <f t="shared" ca="1" si="166"/>
        <v>-1715693678.8022227</v>
      </c>
      <c r="L3546" s="455">
        <f t="shared" ca="1" si="167"/>
        <v>-413482176591.33569</v>
      </c>
      <c r="M3546" s="471">
        <f t="shared" si="169"/>
        <v>0.05</v>
      </c>
      <c r="N3546" s="475">
        <f t="shared" si="170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68"/>
        <v>-413482176591.33569</v>
      </c>
      <c r="J3547" s="455">
        <f t="array" ref="J3547">IFERROR(INDEX('Retirement Calculator'!J:J,MATCH('Isaac 401k'!N3547,'Retirement Calculator'!A:A,0),0),0)</f>
        <v>0</v>
      </c>
      <c r="K3547" s="455">
        <f t="shared" ca="1" si="166"/>
        <v>-1722842402.4638987</v>
      </c>
      <c r="L3547" s="455">
        <f t="shared" ca="1" si="167"/>
        <v>-415205018993.79962</v>
      </c>
      <c r="M3547" s="471">
        <f t="shared" si="169"/>
        <v>0.05</v>
      </c>
      <c r="N3547" s="475">
        <f t="shared" si="170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68"/>
        <v>-415205018993.79962</v>
      </c>
      <c r="J3548" s="455">
        <f t="array" ref="J3548">IFERROR(INDEX('Retirement Calculator'!J:J,MATCH('Isaac 401k'!N3548,'Retirement Calculator'!A:A,0),0),0)</f>
        <v>0</v>
      </c>
      <c r="K3548" s="455">
        <f t="shared" ca="1" si="166"/>
        <v>-1730020912.474165</v>
      </c>
      <c r="L3548" s="455">
        <f t="shared" ca="1" si="167"/>
        <v>-416935039906.2738</v>
      </c>
      <c r="M3548" s="471">
        <f t="shared" si="169"/>
        <v>0.05</v>
      </c>
      <c r="N3548" s="475">
        <f t="shared" si="170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68"/>
        <v>-416935039906.2738</v>
      </c>
      <c r="J3549" s="455">
        <f t="array" ref="J3549">IFERROR(INDEX('Retirement Calculator'!J:J,MATCH('Isaac 401k'!N3549,'Retirement Calculator'!A:A,0),0),0)</f>
        <v>0</v>
      </c>
      <c r="K3549" s="455">
        <f t="shared" ca="1" si="166"/>
        <v>-1737229332.9428074</v>
      </c>
      <c r="L3549" s="455">
        <f t="shared" ca="1" si="167"/>
        <v>-418672269239.21661</v>
      </c>
      <c r="M3549" s="471">
        <f t="shared" si="169"/>
        <v>0.05</v>
      </c>
      <c r="N3549" s="475">
        <f t="shared" si="170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68"/>
        <v>-418672269239.21661</v>
      </c>
      <c r="J3550" s="455">
        <f t="array" ref="J3550">IFERROR(INDEX('Retirement Calculator'!J:J,MATCH('Isaac 401k'!N3550,'Retirement Calculator'!A:A,0),0),0)</f>
        <v>0</v>
      </c>
      <c r="K3550" s="455">
        <f t="shared" ca="1" si="166"/>
        <v>-1744467788.4967358</v>
      </c>
      <c r="L3550" s="455">
        <f t="shared" ca="1" si="167"/>
        <v>-420416737027.71338</v>
      </c>
      <c r="M3550" s="471">
        <f t="shared" si="169"/>
        <v>0.05</v>
      </c>
      <c r="N3550" s="475">
        <f t="shared" si="170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68"/>
        <v>-420416737027.71338</v>
      </c>
      <c r="J3551" s="455">
        <f t="array" ref="J3551">IFERROR(INDEX('Retirement Calculator'!J:J,MATCH('Isaac 401k'!N3551,'Retirement Calculator'!A:A,0),0),0)</f>
        <v>0</v>
      </c>
      <c r="K3551" s="455">
        <f t="shared" ca="1" si="166"/>
        <v>-1751736404.2821391</v>
      </c>
      <c r="L3551" s="455">
        <f t="shared" ca="1" si="167"/>
        <v>-422168473431.99554</v>
      </c>
      <c r="M3551" s="471">
        <f t="shared" si="169"/>
        <v>0.05</v>
      </c>
      <c r="N3551" s="475">
        <f t="shared" si="170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68"/>
        <v>-422168473431.99554</v>
      </c>
      <c r="J3552" s="455">
        <f t="array" ref="J3552">IFERROR(INDEX('Retirement Calculator'!J:J,MATCH('Isaac 401k'!N3552,'Retirement Calculator'!A:A,0),0),0)</f>
        <v>0</v>
      </c>
      <c r="K3552" s="455">
        <f t="shared" ca="1" si="166"/>
        <v>-1759035305.9666481</v>
      </c>
      <c r="L3552" s="455">
        <f t="shared" ca="1" si="167"/>
        <v>-423927508737.96222</v>
      </c>
      <c r="M3552" s="471">
        <f t="shared" si="169"/>
        <v>0.05</v>
      </c>
      <c r="N3552" s="475">
        <f t="shared" si="170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68"/>
        <v>-423927508737.96222</v>
      </c>
      <c r="J3553" s="455">
        <f t="array" ref="J3553">IFERROR(INDEX('Retirement Calculator'!J:J,MATCH('Isaac 401k'!N3553,'Retirement Calculator'!A:A,0),0),0)</f>
        <v>0</v>
      </c>
      <c r="K3553" s="455">
        <f t="shared" ca="1" si="166"/>
        <v>-1766364619.7415092</v>
      </c>
      <c r="L3553" s="455">
        <f t="shared" ca="1" si="167"/>
        <v>-425693873357.70374</v>
      </c>
      <c r="M3553" s="471">
        <f t="shared" si="169"/>
        <v>0.05</v>
      </c>
      <c r="N3553" s="475">
        <f t="shared" si="170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68"/>
        <v>-425693873357.70374</v>
      </c>
      <c r="J3554" s="455">
        <f t="array" ref="J3554">IFERROR(INDEX('Retirement Calculator'!J:J,MATCH('Isaac 401k'!N3554,'Retirement Calculator'!A:A,0),0),0)</f>
        <v>0</v>
      </c>
      <c r="K3554" s="455">
        <f t="shared" ca="1" si="166"/>
        <v>-1773724472.3237655</v>
      </c>
      <c r="L3554" s="455">
        <f t="shared" ca="1" si="167"/>
        <v>-427467597830.02753</v>
      </c>
      <c r="M3554" s="471">
        <f t="shared" si="169"/>
        <v>0.05</v>
      </c>
      <c r="N3554" s="475">
        <f t="shared" si="170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68"/>
        <v>-427467597830.02753</v>
      </c>
      <c r="J3555" s="455">
        <f t="array" ref="J3555">IFERROR(INDEX('Retirement Calculator'!J:J,MATCH('Isaac 401k'!N3555,'Retirement Calculator'!A:A,0),0),0)</f>
        <v>0</v>
      </c>
      <c r="K3555" s="455">
        <f t="shared" ca="1" si="166"/>
        <v>-1781114990.9584479</v>
      </c>
      <c r="L3555" s="455">
        <f t="shared" ca="1" si="167"/>
        <v>-429248712820.98596</v>
      </c>
      <c r="M3555" s="471">
        <f t="shared" si="169"/>
        <v>0.05</v>
      </c>
      <c r="N3555" s="475">
        <f t="shared" si="170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68"/>
        <v>-429248712820.98596</v>
      </c>
      <c r="J3556" s="455">
        <f t="array" ref="J3556">IFERROR(INDEX('Retirement Calculator'!J:J,MATCH('Isaac 401k'!N3556,'Retirement Calculator'!A:A,0),0),0)</f>
        <v>0</v>
      </c>
      <c r="K3556" s="455">
        <f t="shared" ca="1" si="166"/>
        <v>-1788536303.4207752</v>
      </c>
      <c r="L3556" s="455">
        <f t="shared" ca="1" si="167"/>
        <v>-431037249124.40674</v>
      </c>
      <c r="M3556" s="471">
        <f t="shared" si="169"/>
        <v>0.05</v>
      </c>
      <c r="N3556" s="475">
        <f t="shared" si="170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68"/>
        <v>-431037249124.40674</v>
      </c>
      <c r="J3557" s="455">
        <f t="array" ref="J3557">IFERROR(INDEX('Retirement Calculator'!J:J,MATCH('Isaac 401k'!N3557,'Retirement Calculator'!A:A,0),0),0)</f>
        <v>0</v>
      </c>
      <c r="K3557" s="455">
        <f t="shared" ca="1" si="166"/>
        <v>-1795988538.0183613</v>
      </c>
      <c r="L3557" s="455">
        <f t="shared" ca="1" si="167"/>
        <v>-432833237662.42511</v>
      </c>
      <c r="M3557" s="471">
        <f t="shared" si="169"/>
        <v>0.05</v>
      </c>
      <c r="N3557" s="475">
        <f t="shared" si="170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68"/>
        <v>-432833237662.42511</v>
      </c>
      <c r="J3558" s="455">
        <f t="array" ref="J3558">IFERROR(INDEX('Retirement Calculator'!J:J,MATCH('Isaac 401k'!N3558,'Retirement Calculator'!A:A,0),0),0)</f>
        <v>0</v>
      </c>
      <c r="K3558" s="455">
        <f t="shared" ca="1" si="166"/>
        <v>-1803471823.5934379</v>
      </c>
      <c r="L3558" s="455">
        <f t="shared" ca="1" si="167"/>
        <v>-434636709486.01855</v>
      </c>
      <c r="M3558" s="471">
        <f t="shared" si="169"/>
        <v>0.05</v>
      </c>
      <c r="N3558" s="475">
        <f t="shared" si="170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68"/>
        <v>-434636709486.01855</v>
      </c>
      <c r="J3559" s="455">
        <f t="array" ref="J3559">IFERROR(INDEX('Retirement Calculator'!J:J,MATCH('Isaac 401k'!N3559,'Retirement Calculator'!A:A,0),0),0)</f>
        <v>0</v>
      </c>
      <c r="K3559" s="455">
        <f t="shared" ca="1" si="166"/>
        <v>-1810986289.5250771</v>
      </c>
      <c r="L3559" s="455">
        <f t="shared" ca="1" si="167"/>
        <v>-436447695775.54364</v>
      </c>
      <c r="M3559" s="471">
        <f t="shared" si="169"/>
        <v>0.05</v>
      </c>
      <c r="N3559" s="475">
        <f t="shared" si="170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68"/>
        <v>-436447695775.54364</v>
      </c>
      <c r="J3560" s="455">
        <f t="array" ref="J3560">IFERROR(INDEX('Retirement Calculator'!J:J,MATCH('Isaac 401k'!N3560,'Retirement Calculator'!A:A,0),0),0)</f>
        <v>0</v>
      </c>
      <c r="K3560" s="455">
        <f t="shared" ca="1" si="166"/>
        <v>-1818532065.7314315</v>
      </c>
      <c r="L3560" s="455">
        <f t="shared" ca="1" si="167"/>
        <v>-438266227841.27509</v>
      </c>
      <c r="M3560" s="471">
        <f t="shared" si="169"/>
        <v>0.05</v>
      </c>
      <c r="N3560" s="475">
        <f t="shared" si="170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68"/>
        <v>-438266227841.27509</v>
      </c>
      <c r="J3561" s="455">
        <f t="array" ref="J3561">IFERROR(INDEX('Retirement Calculator'!J:J,MATCH('Isaac 401k'!N3561,'Retirement Calculator'!A:A,0),0),0)</f>
        <v>0</v>
      </c>
      <c r="K3561" s="455">
        <f t="shared" ca="1" si="166"/>
        <v>-1826109282.6719794</v>
      </c>
      <c r="L3561" s="455">
        <f t="shared" ca="1" si="167"/>
        <v>-440092337123.94708</v>
      </c>
      <c r="M3561" s="471">
        <f t="shared" si="169"/>
        <v>0.05</v>
      </c>
      <c r="N3561" s="475">
        <f t="shared" si="170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68"/>
        <v>-440092337123.94708</v>
      </c>
      <c r="J3562" s="455">
        <f t="array" ref="J3562">IFERROR(INDEX('Retirement Calculator'!J:J,MATCH('Isaac 401k'!N3562,'Retirement Calculator'!A:A,0),0),0)</f>
        <v>0</v>
      </c>
      <c r="K3562" s="455">
        <f t="shared" ca="1" si="166"/>
        <v>-1833718071.3497794</v>
      </c>
      <c r="L3562" s="455">
        <f t="shared" ca="1" si="167"/>
        <v>-441926055195.29688</v>
      </c>
      <c r="M3562" s="471">
        <f t="shared" si="169"/>
        <v>0.05</v>
      </c>
      <c r="N3562" s="475">
        <f t="shared" si="170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68"/>
        <v>-441926055195.29688</v>
      </c>
      <c r="J3563" s="455">
        <f t="array" ref="J3563">IFERROR(INDEX('Retirement Calculator'!J:J,MATCH('Isaac 401k'!N3563,'Retirement Calculator'!A:A,0),0),0)</f>
        <v>0</v>
      </c>
      <c r="K3563" s="455">
        <f t="shared" ca="1" si="166"/>
        <v>-1841358563.3137367</v>
      </c>
      <c r="L3563" s="455">
        <f t="shared" ca="1" si="167"/>
        <v>-443767413758.6106</v>
      </c>
      <c r="M3563" s="471">
        <f t="shared" si="169"/>
        <v>0.05</v>
      </c>
      <c r="N3563" s="475">
        <f t="shared" si="170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68"/>
        <v>-443767413758.6106</v>
      </c>
      <c r="J3564" s="455">
        <f t="array" ref="J3564">IFERROR(INDEX('Retirement Calculator'!J:J,MATCH('Isaac 401k'!N3564,'Retirement Calculator'!A:A,0),0),0)</f>
        <v>0</v>
      </c>
      <c r="K3564" s="455">
        <f t="shared" ca="1" si="166"/>
        <v>-1849030890.6608775</v>
      </c>
      <c r="L3564" s="455">
        <f t="shared" ca="1" si="167"/>
        <v>-445616444649.27148</v>
      </c>
      <c r="M3564" s="471">
        <f t="shared" si="169"/>
        <v>0.05</v>
      </c>
      <c r="N3564" s="475">
        <f t="shared" si="170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68"/>
        <v>-445616444649.27148</v>
      </c>
      <c r="J3565" s="455">
        <f t="array" ref="J3565">IFERROR(INDEX('Retirement Calculator'!J:J,MATCH('Isaac 401k'!N3565,'Retirement Calculator'!A:A,0),0),0)</f>
        <v>0</v>
      </c>
      <c r="K3565" s="455">
        <f t="shared" ca="1" si="166"/>
        <v>-1856735186.0386312</v>
      </c>
      <c r="L3565" s="455">
        <f t="shared" ca="1" si="167"/>
        <v>-447473179835.31012</v>
      </c>
      <c r="M3565" s="471">
        <f t="shared" si="169"/>
        <v>0.05</v>
      </c>
      <c r="N3565" s="475">
        <f t="shared" si="170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68"/>
        <v>-447473179835.31012</v>
      </c>
      <c r="J3566" s="455">
        <f t="array" ref="J3566">IFERROR(INDEX('Retirement Calculator'!J:J,MATCH('Isaac 401k'!N3566,'Retirement Calculator'!A:A,0),0),0)</f>
        <v>0</v>
      </c>
      <c r="K3566" s="455">
        <f t="shared" ca="1" si="166"/>
        <v>-1864471582.6471252</v>
      </c>
      <c r="L3566" s="455">
        <f t="shared" ca="1" si="167"/>
        <v>-449337651417.95728</v>
      </c>
      <c r="M3566" s="471">
        <f t="shared" si="169"/>
        <v>0.05</v>
      </c>
      <c r="N3566" s="475">
        <f t="shared" si="170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68"/>
        <v>-449337651417.95728</v>
      </c>
      <c r="J3567" s="455">
        <f t="array" ref="J3567">IFERROR(INDEX('Retirement Calculator'!J:J,MATCH('Isaac 401k'!N3567,'Retirement Calculator'!A:A,0),0),0)</f>
        <v>0</v>
      </c>
      <c r="K3567" s="455">
        <f t="shared" ca="1" si="166"/>
        <v>-1872240214.2414887</v>
      </c>
      <c r="L3567" s="455">
        <f t="shared" ca="1" si="167"/>
        <v>-451209891632.19879</v>
      </c>
      <c r="M3567" s="471">
        <f t="shared" si="169"/>
        <v>0.05</v>
      </c>
      <c r="N3567" s="475">
        <f t="shared" si="170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68"/>
        <v>-451209891632.19879</v>
      </c>
      <c r="J3568" s="455">
        <f t="array" ref="J3568">IFERROR(INDEX('Retirement Calculator'!J:J,MATCH('Isaac 401k'!N3568,'Retirement Calculator'!A:A,0),0),0)</f>
        <v>0</v>
      </c>
      <c r="K3568" s="455">
        <f t="shared" ca="1" si="166"/>
        <v>-1880041215.1341617</v>
      </c>
      <c r="L3568" s="455">
        <f t="shared" ca="1" si="167"/>
        <v>-453089932847.33295</v>
      </c>
      <c r="M3568" s="471">
        <f t="shared" si="169"/>
        <v>0.05</v>
      </c>
      <c r="N3568" s="475">
        <f t="shared" si="170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68"/>
        <v>-453089932847.33295</v>
      </c>
      <c r="J3569" s="455">
        <f t="array" ref="J3569">IFERROR(INDEX('Retirement Calculator'!J:J,MATCH('Isaac 401k'!N3569,'Retirement Calculator'!A:A,0),0),0)</f>
        <v>0</v>
      </c>
      <c r="K3569" s="455">
        <f t="shared" ca="1" si="166"/>
        <v>-1887874720.1972208</v>
      </c>
      <c r="L3569" s="455">
        <f t="shared" ca="1" si="167"/>
        <v>-454977807567.53015</v>
      </c>
      <c r="M3569" s="471">
        <f t="shared" si="169"/>
        <v>0.05</v>
      </c>
      <c r="N3569" s="475">
        <f t="shared" si="170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68"/>
        <v>-454977807567.53015</v>
      </c>
      <c r="J3570" s="455">
        <f t="array" ref="J3570">IFERROR(INDEX('Retirement Calculator'!J:J,MATCH('Isaac 401k'!N3570,'Retirement Calculator'!A:A,0),0),0)</f>
        <v>0</v>
      </c>
      <c r="K3570" s="455">
        <f t="shared" ca="1" si="166"/>
        <v>-1895740864.8647091</v>
      </c>
      <c r="L3570" s="455">
        <f t="shared" ca="1" si="167"/>
        <v>-456873548432.39484</v>
      </c>
      <c r="M3570" s="471">
        <f t="shared" si="169"/>
        <v>0.05</v>
      </c>
      <c r="N3570" s="475">
        <f t="shared" si="170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68"/>
        <v>-456873548432.39484</v>
      </c>
      <c r="J3571" s="455">
        <f t="array" ref="J3571">IFERROR(INDEX('Retirement Calculator'!J:J,MATCH('Isaac 401k'!N3571,'Retirement Calculator'!A:A,0),0),0)</f>
        <v>0</v>
      </c>
      <c r="K3571" s="455">
        <f t="shared" ca="1" si="166"/>
        <v>-1903639785.1349785</v>
      </c>
      <c r="L3571" s="455">
        <f t="shared" ca="1" si="167"/>
        <v>-458777188217.52979</v>
      </c>
      <c r="M3571" s="471">
        <f t="shared" si="169"/>
        <v>0.05</v>
      </c>
      <c r="N3571" s="475">
        <f t="shared" si="170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68"/>
        <v>-458777188217.52979</v>
      </c>
      <c r="J3572" s="455">
        <f t="array" ref="J3572">IFERROR(INDEX('Retirement Calculator'!J:J,MATCH('Isaac 401k'!N3572,'Retirement Calculator'!A:A,0),0),0)</f>
        <v>0</v>
      </c>
      <c r="K3572" s="455">
        <f t="shared" ca="1" si="166"/>
        <v>-1911571617.5730407</v>
      </c>
      <c r="L3572" s="455">
        <f t="shared" ca="1" si="167"/>
        <v>-460688759835.10284</v>
      </c>
      <c r="M3572" s="471">
        <f t="shared" si="169"/>
        <v>0.05</v>
      </c>
      <c r="N3572" s="475">
        <f t="shared" si="170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68"/>
        <v>-460688759835.10284</v>
      </c>
      <c r="J3573" s="455">
        <f t="array" ref="J3573">IFERROR(INDEX('Retirement Calculator'!J:J,MATCH('Isaac 401k'!N3573,'Retirement Calculator'!A:A,0),0),0)</f>
        <v>0</v>
      </c>
      <c r="K3573" s="455">
        <f t="shared" ca="1" si="166"/>
        <v>-1919536499.3129284</v>
      </c>
      <c r="L3573" s="455">
        <f t="shared" ca="1" si="167"/>
        <v>-462608296334.41577</v>
      </c>
      <c r="M3573" s="471">
        <f t="shared" si="169"/>
        <v>0.05</v>
      </c>
      <c r="N3573" s="475">
        <f t="shared" si="170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68"/>
        <v>-462608296334.41577</v>
      </c>
      <c r="J3574" s="455">
        <f t="array" ref="J3574">IFERROR(INDEX('Retirement Calculator'!J:J,MATCH('Isaac 401k'!N3574,'Retirement Calculator'!A:A,0),0),0)</f>
        <v>0</v>
      </c>
      <c r="K3574" s="455">
        <f t="shared" ca="1" si="166"/>
        <v>-1927534568.0600657</v>
      </c>
      <c r="L3574" s="455">
        <f t="shared" ca="1" si="167"/>
        <v>-464535830902.47583</v>
      </c>
      <c r="M3574" s="471">
        <f t="shared" si="169"/>
        <v>0.05</v>
      </c>
      <c r="N3574" s="475">
        <f t="shared" si="170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68"/>
        <v>-464535830902.47583</v>
      </c>
      <c r="J3575" s="455">
        <f t="array" ref="J3575">IFERROR(INDEX('Retirement Calculator'!J:J,MATCH('Isaac 401k'!N3575,'Retirement Calculator'!A:A,0),0),0)</f>
        <v>0</v>
      </c>
      <c r="K3575" s="455">
        <f t="shared" ca="1" si="166"/>
        <v>-1935565962.0936491</v>
      </c>
      <c r="L3575" s="455">
        <f t="shared" ca="1" si="167"/>
        <v>-466471396864.56946</v>
      </c>
      <c r="M3575" s="471">
        <f t="shared" si="169"/>
        <v>0.05</v>
      </c>
      <c r="N3575" s="475">
        <f t="shared" si="170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68"/>
        <v>-466471396864.56946</v>
      </c>
      <c r="J3576" s="455">
        <f t="array" ref="J3576">IFERROR(INDEX('Retirement Calculator'!J:J,MATCH('Isaac 401k'!N3576,'Retirement Calculator'!A:A,0),0),0)</f>
        <v>0</v>
      </c>
      <c r="K3576" s="455">
        <f t="shared" ca="1" si="166"/>
        <v>-1943630820.2690394</v>
      </c>
      <c r="L3576" s="455">
        <f t="shared" ca="1" si="167"/>
        <v>-468415027684.8385</v>
      </c>
      <c r="M3576" s="471">
        <f t="shared" si="169"/>
        <v>0.05</v>
      </c>
      <c r="N3576" s="475">
        <f t="shared" si="170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68"/>
        <v>-468415027684.8385</v>
      </c>
      <c r="J3577" s="455">
        <f t="array" ref="J3577">IFERROR(INDEX('Retirement Calculator'!J:J,MATCH('Isaac 401k'!N3577,'Retirement Calculator'!A:A,0),0),0)</f>
        <v>0</v>
      </c>
      <c r="K3577" s="455">
        <f t="shared" ca="1" si="166"/>
        <v>-1951729282.0201604</v>
      </c>
      <c r="L3577" s="455">
        <f t="shared" ca="1" si="167"/>
        <v>-470366756966.85864</v>
      </c>
      <c r="M3577" s="471">
        <f t="shared" si="169"/>
        <v>0.05</v>
      </c>
      <c r="N3577" s="475">
        <f t="shared" si="170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68"/>
        <v>-470366756966.85864</v>
      </c>
      <c r="J3578" s="455">
        <f t="array" ref="J3578">IFERROR(INDEX('Retirement Calculator'!J:J,MATCH('Isaac 401k'!N3578,'Retirement Calculator'!A:A,0),0),0)</f>
        <v>0</v>
      </c>
      <c r="K3578" s="455">
        <f t="shared" ref="K3578:K3832" ca="1" si="171">IPMT(M3578/12,1,12,-I3578+J3578,,0)</f>
        <v>-1959861487.3619113</v>
      </c>
      <c r="L3578" s="455">
        <f t="shared" ref="L3578:L3832" ca="1" si="172">I3578-J3578+K3578</f>
        <v>-472326618454.22058</v>
      </c>
      <c r="M3578" s="471">
        <f t="shared" si="169"/>
        <v>0.05</v>
      </c>
      <c r="N3578" s="475">
        <f t="shared" si="170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73">L3578</f>
        <v>-472326618454.22058</v>
      </c>
      <c r="J3579" s="455">
        <f t="array" ref="J3579">IFERROR(INDEX('Retirement Calculator'!J:J,MATCH('Isaac 401k'!N3579,'Retirement Calculator'!A:A,0),0),0)</f>
        <v>0</v>
      </c>
      <c r="K3579" s="455">
        <f t="shared" ca="1" si="171"/>
        <v>-1968027576.892586</v>
      </c>
      <c r="L3579" s="455">
        <f t="shared" ca="1" si="172"/>
        <v>-474294646031.11316</v>
      </c>
      <c r="M3579" s="471">
        <f t="shared" ref="M3579:M3833" si="174">M3578</f>
        <v>0.05</v>
      </c>
      <c r="N3579" s="475">
        <f t="shared" ref="N3579:N3833" si="175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73"/>
        <v>-474294646031.11316</v>
      </c>
      <c r="J3580" s="455">
        <f t="array" ref="J3580">IFERROR(INDEX('Retirement Calculator'!J:J,MATCH('Isaac 401k'!N3580,'Retirement Calculator'!A:A,0),0),0)</f>
        <v>0</v>
      </c>
      <c r="K3580" s="455">
        <f t="shared" ca="1" si="171"/>
        <v>-1976227691.7963047</v>
      </c>
      <c r="L3580" s="455">
        <f t="shared" ca="1" si="172"/>
        <v>-476270873722.90948</v>
      </c>
      <c r="M3580" s="471">
        <f t="shared" si="174"/>
        <v>0.05</v>
      </c>
      <c r="N3580" s="475">
        <f t="shared" si="175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73"/>
        <v>-476270873722.90948</v>
      </c>
      <c r="J3581" s="455">
        <f t="array" ref="J3581">IFERROR(INDEX('Retirement Calculator'!J:J,MATCH('Isaac 401k'!N3581,'Retirement Calculator'!A:A,0),0),0)</f>
        <v>0</v>
      </c>
      <c r="K3581" s="455">
        <f t="shared" ca="1" si="171"/>
        <v>-1984461973.8454561</v>
      </c>
      <c r="L3581" s="455">
        <f t="shared" ca="1" si="172"/>
        <v>-478255335696.75494</v>
      </c>
      <c r="M3581" s="471">
        <f t="shared" si="174"/>
        <v>0.05</v>
      </c>
      <c r="N3581" s="475">
        <f t="shared" si="175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73"/>
        <v>-478255335696.75494</v>
      </c>
      <c r="J3582" s="455">
        <f t="array" ref="J3582">IFERROR(INDEX('Retirement Calculator'!J:J,MATCH('Isaac 401k'!N3582,'Retirement Calculator'!A:A,0),0),0)</f>
        <v>0</v>
      </c>
      <c r="K3582" s="455">
        <f t="shared" ca="1" si="171"/>
        <v>-1992730565.4031456</v>
      </c>
      <c r="L3582" s="455">
        <f t="shared" ca="1" si="172"/>
        <v>-480248066262.15808</v>
      </c>
      <c r="M3582" s="471">
        <f t="shared" si="174"/>
        <v>0.05</v>
      </c>
      <c r="N3582" s="475">
        <f t="shared" si="175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73"/>
        <v>-480248066262.15808</v>
      </c>
      <c r="J3583" s="455">
        <f t="array" ref="J3583">IFERROR(INDEX('Retirement Calculator'!J:J,MATCH('Isaac 401k'!N3583,'Retirement Calculator'!A:A,0),0),0)</f>
        <v>0</v>
      </c>
      <c r="K3583" s="455">
        <f t="shared" ca="1" si="171"/>
        <v>-2001033609.4256587</v>
      </c>
      <c r="L3583" s="455">
        <f t="shared" ca="1" si="172"/>
        <v>-482249099871.58374</v>
      </c>
      <c r="M3583" s="471">
        <f t="shared" si="174"/>
        <v>0.05</v>
      </c>
      <c r="N3583" s="475">
        <f t="shared" si="175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73"/>
        <v>-482249099871.58374</v>
      </c>
      <c r="J3584" s="455">
        <f t="array" ref="J3584">IFERROR(INDEX('Retirement Calculator'!J:J,MATCH('Isaac 401k'!N3584,'Retirement Calculator'!A:A,0),0),0)</f>
        <v>0</v>
      </c>
      <c r="K3584" s="455">
        <f t="shared" ca="1" si="171"/>
        <v>-2009371249.4649322</v>
      </c>
      <c r="L3584" s="455">
        <f t="shared" ca="1" si="172"/>
        <v>-484258471121.04865</v>
      </c>
      <c r="M3584" s="471">
        <f t="shared" si="174"/>
        <v>0.05</v>
      </c>
      <c r="N3584" s="475">
        <f t="shared" si="175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73"/>
        <v>-484258471121.04865</v>
      </c>
      <c r="J3585" s="455">
        <f t="array" ref="J3585">IFERROR(INDEX('Retirement Calculator'!J:J,MATCH('Isaac 401k'!N3585,'Retirement Calculator'!A:A,0),0),0)</f>
        <v>0</v>
      </c>
      <c r="K3585" s="455">
        <f t="shared" ca="1" si="171"/>
        <v>-2017743629.6710358</v>
      </c>
      <c r="L3585" s="455">
        <f t="shared" ca="1" si="172"/>
        <v>-486276214750.71967</v>
      </c>
      <c r="M3585" s="471">
        <f t="shared" si="174"/>
        <v>0.05</v>
      </c>
      <c r="N3585" s="475">
        <f t="shared" si="175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73"/>
        <v>-486276214750.71967</v>
      </c>
      <c r="J3586" s="455">
        <f t="array" ref="J3586">IFERROR(INDEX('Retirement Calculator'!J:J,MATCH('Isaac 401k'!N3586,'Retirement Calculator'!A:A,0),0),0)</f>
        <v>0</v>
      </c>
      <c r="K3586" s="455">
        <f t="shared" ca="1" si="171"/>
        <v>-2026150894.7946653</v>
      </c>
      <c r="L3586" s="455">
        <f t="shared" ca="1" si="172"/>
        <v>-488302365645.51434</v>
      </c>
      <c r="M3586" s="471">
        <f t="shared" si="174"/>
        <v>0.05</v>
      </c>
      <c r="N3586" s="475">
        <f t="shared" si="175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73"/>
        <v>-488302365645.51434</v>
      </c>
      <c r="J3587" s="455">
        <f t="array" ref="J3587">IFERROR(INDEX('Retirement Calculator'!J:J,MATCH('Isaac 401k'!N3587,'Retirement Calculator'!A:A,0),0),0)</f>
        <v>0</v>
      </c>
      <c r="K3587" s="455">
        <f t="shared" ca="1" si="171"/>
        <v>-2034593190.1896431</v>
      </c>
      <c r="L3587" s="455">
        <f t="shared" ca="1" si="172"/>
        <v>-490336958835.70398</v>
      </c>
      <c r="M3587" s="471">
        <f t="shared" si="174"/>
        <v>0.05</v>
      </c>
      <c r="N3587" s="475">
        <f t="shared" si="175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73"/>
        <v>-490336958835.70398</v>
      </c>
      <c r="J3588" s="455">
        <f t="array" ref="J3588">IFERROR(INDEX('Retirement Calculator'!J:J,MATCH('Isaac 401k'!N3588,'Retirement Calculator'!A:A,0),0),0)</f>
        <v>0</v>
      </c>
      <c r="K3588" s="455">
        <f t="shared" ca="1" si="171"/>
        <v>-2043070661.8154333</v>
      </c>
      <c r="L3588" s="455">
        <f t="shared" ca="1" si="172"/>
        <v>-492380029497.51941</v>
      </c>
      <c r="M3588" s="471">
        <f t="shared" si="174"/>
        <v>0.05</v>
      </c>
      <c r="N3588" s="475">
        <f t="shared" si="175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73"/>
        <v>-492380029497.51941</v>
      </c>
      <c r="J3589" s="455">
        <f t="array" ref="J3589">IFERROR(INDEX('Retirement Calculator'!J:J,MATCH('Isaac 401k'!N3589,'Retirement Calculator'!A:A,0),0),0)</f>
        <v>0</v>
      </c>
      <c r="K3589" s="455">
        <f t="shared" ca="1" si="171"/>
        <v>-2051583456.2396641</v>
      </c>
      <c r="L3589" s="455">
        <f t="shared" ca="1" si="172"/>
        <v>-494431612953.75909</v>
      </c>
      <c r="M3589" s="471">
        <f t="shared" si="174"/>
        <v>0.05</v>
      </c>
      <c r="N3589" s="475">
        <f t="shared" si="175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73"/>
        <v>-494431612953.75909</v>
      </c>
      <c r="J3590" s="455">
        <f t="array" ref="J3590">IFERROR(INDEX('Retirement Calculator'!J:J,MATCH('Isaac 401k'!N3590,'Retirement Calculator'!A:A,0),0),0)</f>
        <v>0</v>
      </c>
      <c r="K3590" s="455">
        <f t="shared" ca="1" si="171"/>
        <v>-2060131720.6406631</v>
      </c>
      <c r="L3590" s="455">
        <f t="shared" ca="1" si="172"/>
        <v>-496491744674.39978</v>
      </c>
      <c r="M3590" s="471">
        <f t="shared" si="174"/>
        <v>0.05</v>
      </c>
      <c r="N3590" s="475">
        <f t="shared" si="175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73"/>
        <v>-496491744674.39978</v>
      </c>
      <c r="J3591" s="455">
        <f t="array" ref="J3591">IFERROR(INDEX('Retirement Calculator'!J:J,MATCH('Isaac 401k'!N3591,'Retirement Calculator'!A:A,0),0),0)</f>
        <v>0</v>
      </c>
      <c r="K3591" s="455">
        <f t="shared" ca="1" si="171"/>
        <v>-2068715602.8099988</v>
      </c>
      <c r="L3591" s="455">
        <f t="shared" ca="1" si="172"/>
        <v>-498560460277.20978</v>
      </c>
      <c r="M3591" s="471">
        <f t="shared" si="174"/>
        <v>0.05</v>
      </c>
      <c r="N3591" s="475">
        <f t="shared" si="175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73"/>
        <v>-498560460277.20978</v>
      </c>
      <c r="J3592" s="455">
        <f t="array" ref="J3592">IFERROR(INDEX('Retirement Calculator'!J:J,MATCH('Isaac 401k'!N3592,'Retirement Calculator'!A:A,0),0),0)</f>
        <v>0</v>
      </c>
      <c r="K3592" s="455">
        <f t="shared" ca="1" si="171"/>
        <v>-2077335251.1550405</v>
      </c>
      <c r="L3592" s="455">
        <f t="shared" ca="1" si="172"/>
        <v>-500637795528.36481</v>
      </c>
      <c r="M3592" s="471">
        <f t="shared" si="174"/>
        <v>0.05</v>
      </c>
      <c r="N3592" s="475">
        <f t="shared" si="175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73"/>
        <v>-500637795528.36481</v>
      </c>
      <c r="J3593" s="455">
        <f t="array" ref="J3593">IFERROR(INDEX('Retirement Calculator'!J:J,MATCH('Isaac 401k'!N3593,'Retirement Calculator'!A:A,0),0),0)</f>
        <v>0</v>
      </c>
      <c r="K3593" s="455">
        <f t="shared" ca="1" si="171"/>
        <v>-2085990814.7015197</v>
      </c>
      <c r="L3593" s="455">
        <f t="shared" ca="1" si="172"/>
        <v>-502723786343.06635</v>
      </c>
      <c r="M3593" s="471">
        <f t="shared" si="174"/>
        <v>0.05</v>
      </c>
      <c r="N3593" s="475">
        <f t="shared" si="175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73"/>
        <v>-502723786343.06635</v>
      </c>
      <c r="J3594" s="455">
        <f t="array" ref="J3594">IFERROR(INDEX('Retirement Calculator'!J:J,MATCH('Isaac 401k'!N3594,'Retirement Calculator'!A:A,0),0),0)</f>
        <v>0</v>
      </c>
      <c r="K3594" s="455">
        <f t="shared" ca="1" si="171"/>
        <v>-2094682443.0961096</v>
      </c>
      <c r="L3594" s="455">
        <f t="shared" ca="1" si="172"/>
        <v>-504818468786.16248</v>
      </c>
      <c r="M3594" s="471">
        <f t="shared" si="174"/>
        <v>0.05</v>
      </c>
      <c r="N3594" s="475">
        <f t="shared" si="175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73"/>
        <v>-504818468786.16248</v>
      </c>
      <c r="J3595" s="455">
        <f t="array" ref="J3595">IFERROR(INDEX('Retirement Calculator'!J:J,MATCH('Isaac 401k'!N3595,'Retirement Calculator'!A:A,0),0),0)</f>
        <v>0</v>
      </c>
      <c r="K3595" s="455">
        <f t="shared" ca="1" si="171"/>
        <v>-2103410286.6090105</v>
      </c>
      <c r="L3595" s="455">
        <f t="shared" ca="1" si="172"/>
        <v>-506921879072.77148</v>
      </c>
      <c r="M3595" s="471">
        <f t="shared" si="174"/>
        <v>0.05</v>
      </c>
      <c r="N3595" s="475">
        <f t="shared" si="175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73"/>
        <v>-506921879072.77148</v>
      </c>
      <c r="J3596" s="455">
        <f t="array" ref="J3596">IFERROR(INDEX('Retirement Calculator'!J:J,MATCH('Isaac 401k'!N3596,'Retirement Calculator'!A:A,0),0),0)</f>
        <v>0</v>
      </c>
      <c r="K3596" s="455">
        <f t="shared" ca="1" si="171"/>
        <v>-2112174496.1365478</v>
      </c>
      <c r="L3596" s="455">
        <f t="shared" ca="1" si="172"/>
        <v>-509034053568.90802</v>
      </c>
      <c r="M3596" s="471">
        <f t="shared" si="174"/>
        <v>0.05</v>
      </c>
      <c r="N3596" s="475">
        <f t="shared" si="175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73"/>
        <v>-509034053568.90802</v>
      </c>
      <c r="J3597" s="455">
        <f t="array" ref="J3597">IFERROR(INDEX('Retirement Calculator'!J:J,MATCH('Isaac 401k'!N3597,'Retirement Calculator'!A:A,0),0),0)</f>
        <v>0</v>
      </c>
      <c r="K3597" s="455">
        <f t="shared" ca="1" si="171"/>
        <v>-2120975223.2037833</v>
      </c>
      <c r="L3597" s="455">
        <f t="shared" ca="1" si="172"/>
        <v>-511155028792.11182</v>
      </c>
      <c r="M3597" s="471">
        <f t="shared" si="174"/>
        <v>0.05</v>
      </c>
      <c r="N3597" s="475">
        <f t="shared" si="175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73"/>
        <v>-511155028792.11182</v>
      </c>
      <c r="J3598" s="455">
        <f t="array" ref="J3598">IFERROR(INDEX('Retirement Calculator'!J:J,MATCH('Isaac 401k'!N3598,'Retirement Calculator'!A:A,0),0),0)</f>
        <v>0</v>
      </c>
      <c r="K3598" s="455">
        <f t="shared" ca="1" si="171"/>
        <v>-2129812619.9671326</v>
      </c>
      <c r="L3598" s="455">
        <f t="shared" ca="1" si="172"/>
        <v>-513284841412.07898</v>
      </c>
      <c r="M3598" s="471">
        <f t="shared" si="174"/>
        <v>0.05</v>
      </c>
      <c r="N3598" s="475">
        <f t="shared" si="175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73"/>
        <v>-513284841412.07898</v>
      </c>
      <c r="J3599" s="455">
        <f t="array" ref="J3599">IFERROR(INDEX('Retirement Calculator'!J:J,MATCH('Isaac 401k'!N3599,'Retirement Calculator'!A:A,0),0),0)</f>
        <v>0</v>
      </c>
      <c r="K3599" s="455">
        <f t="shared" ca="1" si="171"/>
        <v>-2138686839.2169955</v>
      </c>
      <c r="L3599" s="455">
        <f t="shared" ca="1" si="172"/>
        <v>-515423528251.29596</v>
      </c>
      <c r="M3599" s="471">
        <f t="shared" si="174"/>
        <v>0.05</v>
      </c>
      <c r="N3599" s="475">
        <f t="shared" si="175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73"/>
        <v>-515423528251.29596</v>
      </c>
      <c r="J3600" s="455">
        <f t="array" ref="J3600">IFERROR(INDEX('Retirement Calculator'!J:J,MATCH('Isaac 401k'!N3600,'Retirement Calculator'!A:A,0),0),0)</f>
        <v>0</v>
      </c>
      <c r="K3600" s="455">
        <f t="shared" ca="1" si="171"/>
        <v>-2147598034.3803997</v>
      </c>
      <c r="L3600" s="455">
        <f t="shared" ca="1" si="172"/>
        <v>-517571126285.67633</v>
      </c>
      <c r="M3600" s="471">
        <f t="shared" si="174"/>
        <v>0.05</v>
      </c>
      <c r="N3600" s="475">
        <f t="shared" si="175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73"/>
        <v>-517571126285.67633</v>
      </c>
      <c r="J3601" s="455">
        <f t="array" ref="J3601">IFERROR(INDEX('Retirement Calculator'!J:J,MATCH('Isaac 401k'!N3601,'Retirement Calculator'!A:A,0),0),0)</f>
        <v>0</v>
      </c>
      <c r="K3601" s="455">
        <f t="shared" ca="1" si="171"/>
        <v>-2156546359.5236511</v>
      </c>
      <c r="L3601" s="455">
        <f t="shared" ca="1" si="172"/>
        <v>-519727672645.19995</v>
      </c>
      <c r="M3601" s="471">
        <f t="shared" si="174"/>
        <v>0.05</v>
      </c>
      <c r="N3601" s="475">
        <f t="shared" si="175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73"/>
        <v>-519727672645.19995</v>
      </c>
      <c r="J3602" s="455">
        <f t="array" ref="J3602">IFERROR(INDEX('Retirement Calculator'!J:J,MATCH('Isaac 401k'!N3602,'Retirement Calculator'!A:A,0),0),0)</f>
        <v>0</v>
      </c>
      <c r="K3602" s="455">
        <f t="shared" ca="1" si="171"/>
        <v>-2165531969.3549995</v>
      </c>
      <c r="L3602" s="455">
        <f t="shared" ca="1" si="172"/>
        <v>-521893204614.55493</v>
      </c>
      <c r="M3602" s="471">
        <f t="shared" si="174"/>
        <v>0.05</v>
      </c>
      <c r="N3602" s="475">
        <f t="shared" si="175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73"/>
        <v>-521893204614.55493</v>
      </c>
      <c r="J3603" s="455">
        <f t="array" ref="J3603">IFERROR(INDEX('Retirement Calculator'!J:J,MATCH('Isaac 401k'!N3603,'Retirement Calculator'!A:A,0),0),0)</f>
        <v>0</v>
      </c>
      <c r="K3603" s="455">
        <f t="shared" ca="1" si="171"/>
        <v>-2174555019.2273121</v>
      </c>
      <c r="L3603" s="455">
        <f t="shared" ca="1" si="172"/>
        <v>-524067759633.78223</v>
      </c>
      <c r="M3603" s="471">
        <f t="shared" si="174"/>
        <v>0.05</v>
      </c>
      <c r="N3603" s="475">
        <f t="shared" si="175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73"/>
        <v>-524067759633.78223</v>
      </c>
      <c r="J3604" s="455">
        <f t="array" ref="J3604">IFERROR(INDEX('Retirement Calculator'!J:J,MATCH('Isaac 401k'!N3604,'Retirement Calculator'!A:A,0),0),0)</f>
        <v>0</v>
      </c>
      <c r="K3604" s="455">
        <f t="shared" ca="1" si="171"/>
        <v>-2183615665.140759</v>
      </c>
      <c r="L3604" s="455">
        <f t="shared" ca="1" si="172"/>
        <v>-526251375298.92297</v>
      </c>
      <c r="M3604" s="471">
        <f t="shared" si="174"/>
        <v>0.05</v>
      </c>
      <c r="N3604" s="475">
        <f t="shared" si="175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73"/>
        <v>-526251375298.92297</v>
      </c>
      <c r="J3605" s="455">
        <f t="array" ref="J3605">IFERROR(INDEX('Retirement Calculator'!J:J,MATCH('Isaac 401k'!N3605,'Retirement Calculator'!A:A,0),0),0)</f>
        <v>0</v>
      </c>
      <c r="K3605" s="455">
        <f t="shared" ca="1" si="171"/>
        <v>-2192714063.745512</v>
      </c>
      <c r="L3605" s="455">
        <f t="shared" ca="1" si="172"/>
        <v>-528444089362.66846</v>
      </c>
      <c r="M3605" s="471">
        <f t="shared" si="174"/>
        <v>0.05</v>
      </c>
      <c r="N3605" s="475">
        <f t="shared" si="175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73"/>
        <v>-528444089362.66846</v>
      </c>
      <c r="J3606" s="455">
        <f t="array" ref="J3606">IFERROR(INDEX('Retirement Calculator'!J:J,MATCH('Isaac 401k'!N3606,'Retirement Calculator'!A:A,0),0),0)</f>
        <v>0</v>
      </c>
      <c r="K3606" s="455">
        <f t="shared" ca="1" si="171"/>
        <v>-2201850372.3444519</v>
      </c>
      <c r="L3606" s="455">
        <f t="shared" ca="1" si="172"/>
        <v>-530645939735.01294</v>
      </c>
      <c r="M3606" s="471">
        <f t="shared" si="174"/>
        <v>0.05</v>
      </c>
      <c r="N3606" s="475">
        <f t="shared" si="175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73"/>
        <v>-530645939735.01294</v>
      </c>
      <c r="J3607" s="455">
        <f t="array" ref="J3607">IFERROR(INDEX('Retirement Calculator'!J:J,MATCH('Isaac 401k'!N3607,'Retirement Calculator'!A:A,0),0),0)</f>
        <v>0</v>
      </c>
      <c r="K3607" s="455">
        <f t="shared" ca="1" si="171"/>
        <v>-2211024748.8958874</v>
      </c>
      <c r="L3607" s="455">
        <f t="shared" ca="1" si="172"/>
        <v>-532856964483.90881</v>
      </c>
      <c r="M3607" s="471">
        <f t="shared" si="174"/>
        <v>0.05</v>
      </c>
      <c r="N3607" s="475">
        <f t="shared" si="175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73"/>
        <v>-532856964483.90881</v>
      </c>
      <c r="J3608" s="455">
        <f t="array" ref="J3608">IFERROR(INDEX('Retirement Calculator'!J:J,MATCH('Isaac 401k'!N3608,'Retirement Calculator'!A:A,0),0),0)</f>
        <v>0</v>
      </c>
      <c r="K3608" s="455">
        <f t="shared" ca="1" si="171"/>
        <v>-2220237352.0162868</v>
      </c>
      <c r="L3608" s="455">
        <f t="shared" ca="1" si="172"/>
        <v>-535077201835.92511</v>
      </c>
      <c r="M3608" s="471">
        <f t="shared" si="174"/>
        <v>0.05</v>
      </c>
      <c r="N3608" s="475">
        <f t="shared" si="175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73"/>
        <v>-535077201835.92511</v>
      </c>
      <c r="J3609" s="455">
        <f t="array" ref="J3609">IFERROR(INDEX('Retirement Calculator'!J:J,MATCH('Isaac 401k'!N3609,'Retirement Calculator'!A:A,0),0),0)</f>
        <v>0</v>
      </c>
      <c r="K3609" s="455">
        <f t="shared" ca="1" si="171"/>
        <v>-2229488340.9830213</v>
      </c>
      <c r="L3609" s="455">
        <f t="shared" ca="1" si="172"/>
        <v>-537306690176.90814</v>
      </c>
      <c r="M3609" s="471">
        <f t="shared" si="174"/>
        <v>0.05</v>
      </c>
      <c r="N3609" s="475">
        <f t="shared" si="175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73"/>
        <v>-537306690176.90814</v>
      </c>
      <c r="J3610" s="455">
        <f t="array" ref="J3610">IFERROR(INDEX('Retirement Calculator'!J:J,MATCH('Isaac 401k'!N3610,'Retirement Calculator'!A:A,0),0),0)</f>
        <v>0</v>
      </c>
      <c r="K3610" s="455">
        <f t="shared" ca="1" si="171"/>
        <v>-2238777875.7371168</v>
      </c>
      <c r="L3610" s="455">
        <f t="shared" ca="1" si="172"/>
        <v>-539545468052.64526</v>
      </c>
      <c r="M3610" s="471">
        <f t="shared" si="174"/>
        <v>0.05</v>
      </c>
      <c r="N3610" s="475">
        <f t="shared" si="175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73"/>
        <v>-539545468052.64526</v>
      </c>
      <c r="J3611" s="455">
        <f t="array" ref="J3611">IFERROR(INDEX('Retirement Calculator'!J:J,MATCH('Isaac 401k'!N3611,'Retirement Calculator'!A:A,0),0),0)</f>
        <v>0</v>
      </c>
      <c r="K3611" s="455">
        <f t="shared" ca="1" si="171"/>
        <v>-2248106116.8860221</v>
      </c>
      <c r="L3611" s="455">
        <f t="shared" ca="1" si="172"/>
        <v>-541793574169.53131</v>
      </c>
      <c r="M3611" s="471">
        <f t="shared" si="174"/>
        <v>0.05</v>
      </c>
      <c r="N3611" s="475">
        <f t="shared" si="175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73"/>
        <v>-541793574169.53131</v>
      </c>
      <c r="J3612" s="455">
        <f t="array" ref="J3612">IFERROR(INDEX('Retirement Calculator'!J:J,MATCH('Isaac 401k'!N3612,'Retirement Calculator'!A:A,0),0),0)</f>
        <v>0</v>
      </c>
      <c r="K3612" s="455">
        <f t="shared" ca="1" si="171"/>
        <v>-2257473225.7063804</v>
      </c>
      <c r="L3612" s="455">
        <f t="shared" ca="1" si="172"/>
        <v>-544051047395.23767</v>
      </c>
      <c r="M3612" s="471">
        <f t="shared" si="174"/>
        <v>0.05</v>
      </c>
      <c r="N3612" s="475">
        <f t="shared" si="175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73"/>
        <v>-544051047395.23767</v>
      </c>
      <c r="J3613" s="455">
        <f t="array" ref="J3613">IFERROR(INDEX('Retirement Calculator'!J:J,MATCH('Isaac 401k'!N3613,'Retirement Calculator'!A:A,0),0),0)</f>
        <v>0</v>
      </c>
      <c r="K3613" s="455">
        <f t="shared" ca="1" si="171"/>
        <v>-2266879364.1468234</v>
      </c>
      <c r="L3613" s="455">
        <f t="shared" ca="1" si="172"/>
        <v>-546317926759.38452</v>
      </c>
      <c r="M3613" s="471">
        <f t="shared" si="174"/>
        <v>0.05</v>
      </c>
      <c r="N3613" s="475">
        <f t="shared" si="175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73"/>
        <v>-546317926759.38452</v>
      </c>
      <c r="J3614" s="455">
        <f t="array" ref="J3614">IFERROR(INDEX('Retirement Calculator'!J:J,MATCH('Isaac 401k'!N3614,'Retirement Calculator'!A:A,0),0),0)</f>
        <v>0</v>
      </c>
      <c r="K3614" s="455">
        <f t="shared" ca="1" si="171"/>
        <v>-2276324694.8307686</v>
      </c>
      <c r="L3614" s="455">
        <f t="shared" ca="1" si="172"/>
        <v>-548594251454.21527</v>
      </c>
      <c r="M3614" s="471">
        <f t="shared" si="174"/>
        <v>0.05</v>
      </c>
      <c r="N3614" s="475">
        <f t="shared" si="175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73"/>
        <v>-548594251454.21527</v>
      </c>
      <c r="J3615" s="455">
        <f t="array" ref="J3615">IFERROR(INDEX('Retirement Calculator'!J:J,MATCH('Isaac 401k'!N3615,'Retirement Calculator'!A:A,0),0),0)</f>
        <v>0</v>
      </c>
      <c r="K3615" s="455">
        <f t="shared" ca="1" si="171"/>
        <v>-2285809381.0592299</v>
      </c>
      <c r="L3615" s="455">
        <f t="shared" ca="1" si="172"/>
        <v>-550880060835.27454</v>
      </c>
      <c r="M3615" s="471">
        <f t="shared" si="174"/>
        <v>0.05</v>
      </c>
      <c r="N3615" s="475">
        <f t="shared" si="175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73"/>
        <v>-550880060835.27454</v>
      </c>
      <c r="J3616" s="455">
        <f t="array" ref="J3616">IFERROR(INDEX('Retirement Calculator'!J:J,MATCH('Isaac 401k'!N3616,'Retirement Calculator'!A:A,0),0),0)</f>
        <v>0</v>
      </c>
      <c r="K3616" s="455">
        <f t="shared" ca="1" si="171"/>
        <v>-2295333586.8136439</v>
      </c>
      <c r="L3616" s="455">
        <f t="shared" ca="1" si="172"/>
        <v>-553175394422.08813</v>
      </c>
      <c r="M3616" s="471">
        <f t="shared" si="174"/>
        <v>0.05</v>
      </c>
      <c r="N3616" s="475">
        <f t="shared" si="175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73"/>
        <v>-553175394422.08813</v>
      </c>
      <c r="J3617" s="455">
        <f t="array" ref="J3617">IFERROR(INDEX('Retirement Calculator'!J:J,MATCH('Isaac 401k'!N3617,'Retirement Calculator'!A:A,0),0),0)</f>
        <v>0</v>
      </c>
      <c r="K3617" s="455">
        <f t="shared" ca="1" si="171"/>
        <v>-2304897476.7587004</v>
      </c>
      <c r="L3617" s="455">
        <f t="shared" ca="1" si="172"/>
        <v>-555480291898.8468</v>
      </c>
      <c r="M3617" s="471">
        <f t="shared" si="174"/>
        <v>0.05</v>
      </c>
      <c r="N3617" s="475">
        <f t="shared" si="175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73"/>
        <v>-555480291898.8468</v>
      </c>
      <c r="J3618" s="455">
        <f t="array" ref="J3618">IFERROR(INDEX('Retirement Calculator'!J:J,MATCH('Isaac 401k'!N3618,'Retirement Calculator'!A:A,0),0),0)</f>
        <v>0</v>
      </c>
      <c r="K3618" s="455">
        <f t="shared" ca="1" si="171"/>
        <v>-2314501216.2451949</v>
      </c>
      <c r="L3618" s="455">
        <f t="shared" ca="1" si="172"/>
        <v>-557794793115.09204</v>
      </c>
      <c r="M3618" s="471">
        <f t="shared" si="174"/>
        <v>0.05</v>
      </c>
      <c r="N3618" s="475">
        <f t="shared" si="175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73"/>
        <v>-557794793115.09204</v>
      </c>
      <c r="J3619" s="455">
        <f t="array" ref="J3619">IFERROR(INDEX('Retirement Calculator'!J:J,MATCH('Isaac 401k'!N3619,'Retirement Calculator'!A:A,0),0),0)</f>
        <v>0</v>
      </c>
      <c r="K3619" s="455">
        <f t="shared" ca="1" si="171"/>
        <v>-2324144971.3128834</v>
      </c>
      <c r="L3619" s="455">
        <f t="shared" ca="1" si="172"/>
        <v>-560118938086.40491</v>
      </c>
      <c r="M3619" s="471">
        <f t="shared" si="174"/>
        <v>0.05</v>
      </c>
      <c r="N3619" s="475">
        <f t="shared" si="175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73"/>
        <v>-560118938086.40491</v>
      </c>
      <c r="J3620" s="455">
        <f t="array" ref="J3620">IFERROR(INDEX('Retirement Calculator'!J:J,MATCH('Isaac 401k'!N3620,'Retirement Calculator'!A:A,0),0),0)</f>
        <v>0</v>
      </c>
      <c r="K3620" s="455">
        <f t="shared" ca="1" si="171"/>
        <v>-2333828908.6933537</v>
      </c>
      <c r="L3620" s="455">
        <f t="shared" ca="1" si="172"/>
        <v>-562452766995.09827</v>
      </c>
      <c r="M3620" s="471">
        <f t="shared" si="174"/>
        <v>0.05</v>
      </c>
      <c r="N3620" s="475">
        <f t="shared" si="175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73"/>
        <v>-562452766995.09827</v>
      </c>
      <c r="J3621" s="455">
        <f t="array" ref="J3621">IFERROR(INDEX('Retirement Calculator'!J:J,MATCH('Isaac 401k'!N3621,'Retirement Calculator'!A:A,0),0),0)</f>
        <v>0</v>
      </c>
      <c r="K3621" s="455">
        <f t="shared" ca="1" si="171"/>
        <v>-2343553195.8129096</v>
      </c>
      <c r="L3621" s="455">
        <f t="shared" ca="1" si="172"/>
        <v>-564796320190.91113</v>
      </c>
      <c r="M3621" s="471">
        <f t="shared" si="174"/>
        <v>0.05</v>
      </c>
      <c r="N3621" s="475">
        <f t="shared" si="175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73"/>
        <v>-564796320190.91113</v>
      </c>
      <c r="J3622" s="455">
        <f t="array" ref="J3622">IFERROR(INDEX('Retirement Calculator'!J:J,MATCH('Isaac 401k'!N3622,'Retirement Calculator'!A:A,0),0),0)</f>
        <v>0</v>
      </c>
      <c r="K3622" s="455">
        <f t="shared" ca="1" si="171"/>
        <v>-2353318000.7954631</v>
      </c>
      <c r="L3622" s="455">
        <f t="shared" ca="1" si="172"/>
        <v>-567149638191.70654</v>
      </c>
      <c r="M3622" s="471">
        <f t="shared" si="174"/>
        <v>0.05</v>
      </c>
      <c r="N3622" s="475">
        <f t="shared" si="175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73"/>
        <v>-567149638191.70654</v>
      </c>
      <c r="J3623" s="455">
        <f t="array" ref="J3623">IFERROR(INDEX('Retirement Calculator'!J:J,MATCH('Isaac 401k'!N3623,'Retirement Calculator'!A:A,0),0),0)</f>
        <v>0</v>
      </c>
      <c r="K3623" s="455">
        <f t="shared" ca="1" si="171"/>
        <v>-2363123492.4654441</v>
      </c>
      <c r="L3623" s="455">
        <f t="shared" ca="1" si="172"/>
        <v>-569512761684.172</v>
      </c>
      <c r="M3623" s="471">
        <f t="shared" si="174"/>
        <v>0.05</v>
      </c>
      <c r="N3623" s="475">
        <f t="shared" si="175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73"/>
        <v>-569512761684.172</v>
      </c>
      <c r="J3624" s="455">
        <f t="array" ref="J3624">IFERROR(INDEX('Retirement Calculator'!J:J,MATCH('Isaac 401k'!N3624,'Retirement Calculator'!A:A,0),0),0)</f>
        <v>0</v>
      </c>
      <c r="K3624" s="455">
        <f t="shared" ca="1" si="171"/>
        <v>-2372969840.3507166</v>
      </c>
      <c r="L3624" s="455">
        <f t="shared" ca="1" si="172"/>
        <v>-571885731524.52271</v>
      </c>
      <c r="M3624" s="471">
        <f t="shared" si="174"/>
        <v>0.05</v>
      </c>
      <c r="N3624" s="475">
        <f t="shared" si="175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73"/>
        <v>-571885731524.52271</v>
      </c>
      <c r="J3625" s="455">
        <f t="array" ref="J3625">IFERROR(INDEX('Retirement Calculator'!J:J,MATCH('Isaac 401k'!N3625,'Retirement Calculator'!A:A,0),0),0)</f>
        <v>0</v>
      </c>
      <c r="K3625" s="455">
        <f t="shared" ca="1" si="171"/>
        <v>-2382857214.6855111</v>
      </c>
      <c r="L3625" s="455">
        <f t="shared" ca="1" si="172"/>
        <v>-574268588739.20825</v>
      </c>
      <c r="M3625" s="471">
        <f t="shared" si="174"/>
        <v>0.05</v>
      </c>
      <c r="N3625" s="475">
        <f t="shared" si="175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73"/>
        <v>-574268588739.20825</v>
      </c>
      <c r="J3626" s="455">
        <f t="array" ref="J3626">IFERROR(INDEX('Retirement Calculator'!J:J,MATCH('Isaac 401k'!N3626,'Retirement Calculator'!A:A,0),0),0)</f>
        <v>0</v>
      </c>
      <c r="K3626" s="455">
        <f t="shared" ca="1" si="171"/>
        <v>-2392785786.4133677</v>
      </c>
      <c r="L3626" s="455">
        <f t="shared" ca="1" si="172"/>
        <v>-576661374525.62158</v>
      </c>
      <c r="M3626" s="471">
        <f t="shared" si="174"/>
        <v>0.05</v>
      </c>
      <c r="N3626" s="475">
        <f t="shared" si="175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73"/>
        <v>-576661374525.62158</v>
      </c>
      <c r="J3627" s="455">
        <f t="array" ref="J3627">IFERROR(INDEX('Retirement Calculator'!J:J,MATCH('Isaac 401k'!N3627,'Retirement Calculator'!A:A,0),0),0)</f>
        <v>0</v>
      </c>
      <c r="K3627" s="455">
        <f t="shared" ca="1" si="171"/>
        <v>-2402755727.1900897</v>
      </c>
      <c r="L3627" s="455">
        <f t="shared" ca="1" si="172"/>
        <v>-579064130252.81165</v>
      </c>
      <c r="M3627" s="471">
        <f t="shared" si="174"/>
        <v>0.05</v>
      </c>
      <c r="N3627" s="475">
        <f t="shared" si="175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73"/>
        <v>-579064130252.81165</v>
      </c>
      <c r="J3628" s="455">
        <f t="array" ref="J3628">IFERROR(INDEX('Retirement Calculator'!J:J,MATCH('Isaac 401k'!N3628,'Retirement Calculator'!A:A,0),0),0)</f>
        <v>0</v>
      </c>
      <c r="K3628" s="455">
        <f t="shared" ca="1" si="171"/>
        <v>-2412767209.3867149</v>
      </c>
      <c r="L3628" s="455">
        <f t="shared" ca="1" si="172"/>
        <v>-581476897462.19836</v>
      </c>
      <c r="M3628" s="471">
        <f t="shared" si="174"/>
        <v>0.05</v>
      </c>
      <c r="N3628" s="475">
        <f t="shared" si="175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73"/>
        <v>-581476897462.19836</v>
      </c>
      <c r="J3629" s="455">
        <f t="array" ref="J3629">IFERROR(INDEX('Retirement Calculator'!J:J,MATCH('Isaac 401k'!N3629,'Retirement Calculator'!A:A,0),0),0)</f>
        <v>0</v>
      </c>
      <c r="K3629" s="455">
        <f t="shared" ca="1" si="171"/>
        <v>-2422820406.0924931</v>
      </c>
      <c r="L3629" s="455">
        <f t="shared" ca="1" si="172"/>
        <v>-583899717868.29089</v>
      </c>
      <c r="M3629" s="471">
        <f t="shared" si="174"/>
        <v>0.05</v>
      </c>
      <c r="N3629" s="475">
        <f t="shared" si="175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73"/>
        <v>-583899717868.29089</v>
      </c>
      <c r="J3630" s="455">
        <f t="array" ref="J3630">IFERROR(INDEX('Retirement Calculator'!J:J,MATCH('Isaac 401k'!N3630,'Retirement Calculator'!A:A,0),0),0)</f>
        <v>0</v>
      </c>
      <c r="K3630" s="455">
        <f t="shared" ca="1" si="171"/>
        <v>-2432915491.1178789</v>
      </c>
      <c r="L3630" s="455">
        <f t="shared" ca="1" si="172"/>
        <v>-586332633359.40881</v>
      </c>
      <c r="M3630" s="471">
        <f t="shared" si="174"/>
        <v>0.05</v>
      </c>
      <c r="N3630" s="475">
        <f t="shared" si="175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73"/>
        <v>-586332633359.40881</v>
      </c>
      <c r="J3631" s="455">
        <f t="array" ref="J3631">IFERROR(INDEX('Retirement Calculator'!J:J,MATCH('Isaac 401k'!N3631,'Retirement Calculator'!A:A,0),0),0)</f>
        <v>0</v>
      </c>
      <c r="K3631" s="455">
        <f t="shared" ca="1" si="171"/>
        <v>-2443052638.9975367</v>
      </c>
      <c r="L3631" s="455">
        <f t="shared" ca="1" si="172"/>
        <v>-588775685998.40637</v>
      </c>
      <c r="M3631" s="471">
        <f t="shared" si="174"/>
        <v>0.05</v>
      </c>
      <c r="N3631" s="475">
        <f t="shared" si="175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73"/>
        <v>-588775685998.40637</v>
      </c>
      <c r="J3632" s="455">
        <f t="array" ref="J3632">IFERROR(INDEX('Retirement Calculator'!J:J,MATCH('Isaac 401k'!N3632,'Retirement Calculator'!A:A,0),0),0)</f>
        <v>0</v>
      </c>
      <c r="K3632" s="455">
        <f t="shared" ca="1" si="171"/>
        <v>-2453232024.99336</v>
      </c>
      <c r="L3632" s="455">
        <f t="shared" ca="1" si="172"/>
        <v>-591228918023.39978</v>
      </c>
      <c r="M3632" s="471">
        <f t="shared" si="174"/>
        <v>0.05</v>
      </c>
      <c r="N3632" s="475">
        <f t="shared" si="175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73"/>
        <v>-591228918023.39978</v>
      </c>
      <c r="J3633" s="455">
        <f t="array" ref="J3633">IFERROR(INDEX('Retirement Calculator'!J:J,MATCH('Isaac 401k'!N3633,'Retirement Calculator'!A:A,0),0),0)</f>
        <v>0</v>
      </c>
      <c r="K3633" s="455">
        <f t="shared" ca="1" si="171"/>
        <v>-2463453825.0974989</v>
      </c>
      <c r="L3633" s="455">
        <f t="shared" ca="1" si="172"/>
        <v>-593692371848.49731</v>
      </c>
      <c r="M3633" s="471">
        <f t="shared" si="174"/>
        <v>0.05</v>
      </c>
      <c r="N3633" s="475">
        <f t="shared" si="175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73"/>
        <v>-593692371848.49731</v>
      </c>
      <c r="J3634" s="455">
        <f t="array" ref="J3634">IFERROR(INDEX('Retirement Calculator'!J:J,MATCH('Isaac 401k'!N3634,'Retirement Calculator'!A:A,0),0),0)</f>
        <v>0</v>
      </c>
      <c r="K3634" s="455">
        <f t="shared" ca="1" si="171"/>
        <v>-2473718216.0354056</v>
      </c>
      <c r="L3634" s="455">
        <f t="shared" ca="1" si="172"/>
        <v>-596166090064.53271</v>
      </c>
      <c r="M3634" s="471">
        <f t="shared" si="174"/>
        <v>0.05</v>
      </c>
      <c r="N3634" s="475">
        <f t="shared" si="175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73"/>
        <v>-596166090064.53271</v>
      </c>
      <c r="J3635" s="455">
        <f t="array" ref="J3635">IFERROR(INDEX('Retirement Calculator'!J:J,MATCH('Isaac 401k'!N3635,'Retirement Calculator'!A:A,0),0),0)</f>
        <v>0</v>
      </c>
      <c r="K3635" s="455">
        <f t="shared" ca="1" si="171"/>
        <v>-2484025375.2688861</v>
      </c>
      <c r="L3635" s="455">
        <f t="shared" ca="1" si="172"/>
        <v>-598650115439.80164</v>
      </c>
      <c r="M3635" s="471">
        <f t="shared" si="174"/>
        <v>0.05</v>
      </c>
      <c r="N3635" s="475">
        <f t="shared" si="175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73"/>
        <v>-598650115439.80164</v>
      </c>
      <c r="J3636" s="455">
        <f t="array" ref="J3636">IFERROR(INDEX('Retirement Calculator'!J:J,MATCH('Isaac 401k'!N3636,'Retirement Calculator'!A:A,0),0),0)</f>
        <v>0</v>
      </c>
      <c r="K3636" s="455">
        <f t="shared" ca="1" si="171"/>
        <v>-2494375480.9991736</v>
      </c>
      <c r="L3636" s="455">
        <f t="shared" ca="1" si="172"/>
        <v>-601144490920.80078</v>
      </c>
      <c r="M3636" s="471">
        <f t="shared" si="174"/>
        <v>0.05</v>
      </c>
      <c r="N3636" s="475">
        <f t="shared" si="175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73"/>
        <v>-601144490920.80078</v>
      </c>
      <c r="J3637" s="455">
        <f t="array" ref="J3637">IFERROR(INDEX('Retirement Calculator'!J:J,MATCH('Isaac 401k'!N3637,'Retirement Calculator'!A:A,0),0),0)</f>
        <v>0</v>
      </c>
      <c r="K3637" s="455">
        <f t="shared" ca="1" si="171"/>
        <v>-2504768712.1700034</v>
      </c>
      <c r="L3637" s="455">
        <f t="shared" ca="1" si="172"/>
        <v>-603649259632.97083</v>
      </c>
      <c r="M3637" s="471">
        <f t="shared" si="174"/>
        <v>0.05</v>
      </c>
      <c r="N3637" s="475">
        <f t="shared" si="175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73"/>
        <v>-603649259632.97083</v>
      </c>
      <c r="J3638" s="455">
        <f t="array" ref="J3638">IFERROR(INDEX('Retirement Calculator'!J:J,MATCH('Isaac 401k'!N3638,'Retirement Calculator'!A:A,0),0),0)</f>
        <v>0</v>
      </c>
      <c r="K3638" s="455">
        <f t="shared" ca="1" si="171"/>
        <v>-2515205248.4707117</v>
      </c>
      <c r="L3638" s="455">
        <f t="shared" ca="1" si="172"/>
        <v>-606164464881.44153</v>
      </c>
      <c r="M3638" s="471">
        <f t="shared" si="174"/>
        <v>0.05</v>
      </c>
      <c r="N3638" s="475">
        <f t="shared" si="175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73"/>
        <v>-606164464881.44153</v>
      </c>
      <c r="J3639" s="455">
        <f t="array" ref="J3639">IFERROR(INDEX('Retirement Calculator'!J:J,MATCH('Isaac 401k'!N3639,'Retirement Calculator'!A:A,0),0),0)</f>
        <v>0</v>
      </c>
      <c r="K3639" s="455">
        <f t="shared" ca="1" si="171"/>
        <v>-2525685270.3393397</v>
      </c>
      <c r="L3639" s="455">
        <f t="shared" ca="1" si="172"/>
        <v>-608690150151.78088</v>
      </c>
      <c r="M3639" s="471">
        <f t="shared" si="174"/>
        <v>0.05</v>
      </c>
      <c r="N3639" s="475">
        <f t="shared" si="175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73"/>
        <v>-608690150151.78088</v>
      </c>
      <c r="J3640" s="455">
        <f t="array" ref="J3640">IFERROR(INDEX('Retirement Calculator'!J:J,MATCH('Isaac 401k'!N3640,'Retirement Calculator'!A:A,0),0),0)</f>
        <v>0</v>
      </c>
      <c r="K3640" s="455">
        <f t="shared" ca="1" si="171"/>
        <v>-2536208958.9657536</v>
      </c>
      <c r="L3640" s="455">
        <f t="shared" ca="1" si="172"/>
        <v>-611226359110.74658</v>
      </c>
      <c r="M3640" s="471">
        <f t="shared" si="174"/>
        <v>0.05</v>
      </c>
      <c r="N3640" s="475">
        <f t="shared" si="175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73"/>
        <v>-611226359110.74658</v>
      </c>
      <c r="J3641" s="455">
        <f t="array" ref="J3641">IFERROR(INDEX('Retirement Calculator'!J:J,MATCH('Isaac 401k'!N3641,'Retirement Calculator'!A:A,0),0),0)</f>
        <v>0</v>
      </c>
      <c r="K3641" s="455">
        <f t="shared" ca="1" si="171"/>
        <v>-2546776496.2947774</v>
      </c>
      <c r="L3641" s="455">
        <f t="shared" ca="1" si="172"/>
        <v>-613773135607.04138</v>
      </c>
      <c r="M3641" s="471">
        <f t="shared" si="174"/>
        <v>0.05</v>
      </c>
      <c r="N3641" s="475">
        <f t="shared" si="175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73"/>
        <v>-613773135607.04138</v>
      </c>
      <c r="J3642" s="455">
        <f t="array" ref="J3642">IFERROR(INDEX('Retirement Calculator'!J:J,MATCH('Isaac 401k'!N3642,'Retirement Calculator'!A:A,0),0),0)</f>
        <v>0</v>
      </c>
      <c r="K3642" s="455">
        <f t="shared" ca="1" si="171"/>
        <v>-2557388065.0293388</v>
      </c>
      <c r="L3642" s="455">
        <f t="shared" ca="1" si="172"/>
        <v>-616330523672.07068</v>
      </c>
      <c r="M3642" s="471">
        <f t="shared" si="174"/>
        <v>0.05</v>
      </c>
      <c r="N3642" s="475">
        <f t="shared" si="175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73"/>
        <v>-616330523672.07068</v>
      </c>
      <c r="J3643" s="455">
        <f t="array" ref="J3643">IFERROR(INDEX('Retirement Calculator'!J:J,MATCH('Isaac 401k'!N3643,'Retirement Calculator'!A:A,0),0),0)</f>
        <v>0</v>
      </c>
      <c r="K3643" s="455">
        <f t="shared" ca="1" si="171"/>
        <v>-2568043848.6336279</v>
      </c>
      <c r="L3643" s="455">
        <f t="shared" ca="1" si="172"/>
        <v>-618898567520.70435</v>
      </c>
      <c r="M3643" s="471">
        <f t="shared" si="174"/>
        <v>0.05</v>
      </c>
      <c r="N3643" s="475">
        <f t="shared" si="175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73"/>
        <v>-618898567520.70435</v>
      </c>
      <c r="J3644" s="455">
        <f t="array" ref="J3644">IFERROR(INDEX('Retirement Calculator'!J:J,MATCH('Isaac 401k'!N3644,'Retirement Calculator'!A:A,0),0),0)</f>
        <v>0</v>
      </c>
      <c r="K3644" s="455">
        <f t="shared" ca="1" si="171"/>
        <v>-2578744031.3362679</v>
      </c>
      <c r="L3644" s="455">
        <f t="shared" ca="1" si="172"/>
        <v>-621477311552.04065</v>
      </c>
      <c r="M3644" s="471">
        <f t="shared" si="174"/>
        <v>0.05</v>
      </c>
      <c r="N3644" s="475">
        <f t="shared" si="175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73"/>
        <v>-621477311552.04065</v>
      </c>
      <c r="J3645" s="455">
        <f t="array" ref="J3645">IFERROR(INDEX('Retirement Calculator'!J:J,MATCH('Isaac 401k'!N3645,'Retirement Calculator'!A:A,0),0),0)</f>
        <v>0</v>
      </c>
      <c r="K3645" s="455">
        <f t="shared" ca="1" si="171"/>
        <v>-2589488798.1335025</v>
      </c>
      <c r="L3645" s="455">
        <f t="shared" ca="1" si="172"/>
        <v>-624066800350.17419</v>
      </c>
      <c r="M3645" s="471">
        <f t="shared" si="174"/>
        <v>0.05</v>
      </c>
      <c r="N3645" s="475">
        <f t="shared" si="175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73"/>
        <v>-624066800350.17419</v>
      </c>
      <c r="J3646" s="455">
        <f t="array" ref="J3646">IFERROR(INDEX('Retirement Calculator'!J:J,MATCH('Isaac 401k'!N3646,'Retirement Calculator'!A:A,0),0),0)</f>
        <v>0</v>
      </c>
      <c r="K3646" s="455">
        <f t="shared" ca="1" si="171"/>
        <v>-2600278334.7923923</v>
      </c>
      <c r="L3646" s="455">
        <f t="shared" ca="1" si="172"/>
        <v>-626667078684.96655</v>
      </c>
      <c r="M3646" s="471">
        <f t="shared" si="174"/>
        <v>0.05</v>
      </c>
      <c r="N3646" s="475">
        <f t="shared" si="175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73"/>
        <v>-626667078684.96655</v>
      </c>
      <c r="J3647" s="455">
        <f t="array" ref="J3647">IFERROR(INDEX('Retirement Calculator'!J:J,MATCH('Isaac 401k'!N3647,'Retirement Calculator'!A:A,0),0),0)</f>
        <v>0</v>
      </c>
      <c r="K3647" s="455">
        <f t="shared" ca="1" si="171"/>
        <v>-2611112827.8540273</v>
      </c>
      <c r="L3647" s="455">
        <f t="shared" ca="1" si="172"/>
        <v>-629278191512.82056</v>
      </c>
      <c r="M3647" s="471">
        <f t="shared" si="174"/>
        <v>0.05</v>
      </c>
      <c r="N3647" s="475">
        <f t="shared" si="175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73"/>
        <v>-629278191512.82056</v>
      </c>
      <c r="J3648" s="455">
        <f t="array" ref="J3648">IFERROR(INDEX('Retirement Calculator'!J:J,MATCH('Isaac 401k'!N3648,'Retirement Calculator'!A:A,0),0),0)</f>
        <v>0</v>
      </c>
      <c r="K3648" s="455">
        <f t="shared" ca="1" si="171"/>
        <v>-2621992464.6367521</v>
      </c>
      <c r="L3648" s="455">
        <f t="shared" ca="1" si="172"/>
        <v>-631900183977.45728</v>
      </c>
      <c r="M3648" s="471">
        <f t="shared" si="174"/>
        <v>0.05</v>
      </c>
      <c r="N3648" s="475">
        <f t="shared" si="175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73"/>
        <v>-631900183977.45728</v>
      </c>
      <c r="J3649" s="455">
        <f t="array" ref="J3649">IFERROR(INDEX('Retirement Calculator'!J:J,MATCH('Isaac 401k'!N3649,'Retirement Calculator'!A:A,0),0),0)</f>
        <v>0</v>
      </c>
      <c r="K3649" s="455">
        <f t="shared" ca="1" si="171"/>
        <v>-2632917433.2394052</v>
      </c>
      <c r="L3649" s="455">
        <f t="shared" ca="1" si="172"/>
        <v>-634533101410.69666</v>
      </c>
      <c r="M3649" s="471">
        <f t="shared" si="174"/>
        <v>0.05</v>
      </c>
      <c r="N3649" s="475">
        <f t="shared" si="175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73"/>
        <v>-634533101410.69666</v>
      </c>
      <c r="J3650" s="455">
        <f t="array" ref="J3650">IFERROR(INDEX('Retirement Calculator'!J:J,MATCH('Isaac 401k'!N3650,'Retirement Calculator'!A:A,0),0),0)</f>
        <v>0</v>
      </c>
      <c r="K3650" s="455">
        <f t="shared" ca="1" si="171"/>
        <v>-2643887922.5445695</v>
      </c>
      <c r="L3650" s="455">
        <f t="shared" ca="1" si="172"/>
        <v>-637176989333.24121</v>
      </c>
      <c r="M3650" s="471">
        <f t="shared" si="174"/>
        <v>0.05</v>
      </c>
      <c r="N3650" s="475">
        <f t="shared" si="175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73"/>
        <v>-637176989333.24121</v>
      </c>
      <c r="J3651" s="455">
        <f t="array" ref="J3651">IFERROR(INDEX('Retirement Calculator'!J:J,MATCH('Isaac 401k'!N3651,'Retirement Calculator'!A:A,0),0),0)</f>
        <v>0</v>
      </c>
      <c r="K3651" s="455">
        <f t="shared" ca="1" si="171"/>
        <v>-2654904122.2218385</v>
      </c>
      <c r="L3651" s="455">
        <f t="shared" ca="1" si="172"/>
        <v>-639831893455.46301</v>
      </c>
      <c r="M3651" s="471">
        <f t="shared" si="174"/>
        <v>0.05</v>
      </c>
      <c r="N3651" s="475">
        <f t="shared" si="175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73"/>
        <v>-639831893455.46301</v>
      </c>
      <c r="J3652" s="455">
        <f t="array" ref="J3652">IFERROR(INDEX('Retirement Calculator'!J:J,MATCH('Isaac 401k'!N3652,'Retirement Calculator'!A:A,0),0),0)</f>
        <v>0</v>
      </c>
      <c r="K3652" s="455">
        <f t="shared" ca="1" si="171"/>
        <v>-2665966222.7310958</v>
      </c>
      <c r="L3652" s="455">
        <f t="shared" ca="1" si="172"/>
        <v>-642497859678.19409</v>
      </c>
      <c r="M3652" s="471">
        <f t="shared" si="174"/>
        <v>0.05</v>
      </c>
      <c r="N3652" s="475">
        <f t="shared" si="175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73"/>
        <v>-642497859678.19409</v>
      </c>
      <c r="J3653" s="455">
        <f t="array" ref="J3653">IFERROR(INDEX('Retirement Calculator'!J:J,MATCH('Isaac 401k'!N3653,'Retirement Calculator'!A:A,0),0),0)</f>
        <v>0</v>
      </c>
      <c r="K3653" s="455">
        <f t="shared" ca="1" si="171"/>
        <v>-2677074415.3258085</v>
      </c>
      <c r="L3653" s="455">
        <f t="shared" ca="1" si="172"/>
        <v>-645174934093.5199</v>
      </c>
      <c r="M3653" s="471">
        <f t="shared" si="174"/>
        <v>0.05</v>
      </c>
      <c r="N3653" s="475">
        <f t="shared" si="175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73"/>
        <v>-645174934093.5199</v>
      </c>
      <c r="J3654" s="455">
        <f t="array" ref="J3654">IFERROR(INDEX('Retirement Calculator'!J:J,MATCH('Isaac 401k'!N3654,'Retirement Calculator'!A:A,0),0),0)</f>
        <v>0</v>
      </c>
      <c r="K3654" s="455">
        <f t="shared" ca="1" si="171"/>
        <v>-2688228892.0563331</v>
      </c>
      <c r="L3654" s="455">
        <f t="shared" ca="1" si="172"/>
        <v>-647863162985.57617</v>
      </c>
      <c r="M3654" s="471">
        <f t="shared" si="174"/>
        <v>0.05</v>
      </c>
      <c r="N3654" s="475">
        <f t="shared" si="175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73"/>
        <v>-647863162985.57617</v>
      </c>
      <c r="J3655" s="455">
        <f t="array" ref="J3655">IFERROR(INDEX('Retirement Calculator'!J:J,MATCH('Isaac 401k'!N3655,'Retirement Calculator'!A:A,0),0),0)</f>
        <v>0</v>
      </c>
      <c r="K3655" s="455">
        <f t="shared" ca="1" si="171"/>
        <v>-2699429845.7732339</v>
      </c>
      <c r="L3655" s="455">
        <f t="shared" ca="1" si="172"/>
        <v>-650562592831.34937</v>
      </c>
      <c r="M3655" s="471">
        <f t="shared" si="174"/>
        <v>0.05</v>
      </c>
      <c r="N3655" s="475">
        <f t="shared" si="175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73"/>
        <v>-650562592831.34937</v>
      </c>
      <c r="J3656" s="455">
        <f t="array" ref="J3656">IFERROR(INDEX('Retirement Calculator'!J:J,MATCH('Isaac 401k'!N3656,'Retirement Calculator'!A:A,0),0),0)</f>
        <v>0</v>
      </c>
      <c r="K3656" s="455">
        <f t="shared" ca="1" si="171"/>
        <v>-2710677470.1306224</v>
      </c>
      <c r="L3656" s="455">
        <f t="shared" ca="1" si="172"/>
        <v>-653273270301.47998</v>
      </c>
      <c r="M3656" s="471">
        <f t="shared" si="174"/>
        <v>0.05</v>
      </c>
      <c r="N3656" s="475">
        <f t="shared" si="175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73"/>
        <v>-653273270301.47998</v>
      </c>
      <c r="J3657" s="455">
        <f t="array" ref="J3657">IFERROR(INDEX('Retirement Calculator'!J:J,MATCH('Isaac 401k'!N3657,'Retirement Calculator'!A:A,0),0),0)</f>
        <v>0</v>
      </c>
      <c r="K3657" s="455">
        <f t="shared" ca="1" si="171"/>
        <v>-2721971959.5895</v>
      </c>
      <c r="L3657" s="455">
        <f t="shared" ca="1" si="172"/>
        <v>-655995242261.06946</v>
      </c>
      <c r="M3657" s="471">
        <f t="shared" si="174"/>
        <v>0.05</v>
      </c>
      <c r="N3657" s="475">
        <f t="shared" si="175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73"/>
        <v>-655995242261.06946</v>
      </c>
      <c r="J3658" s="455">
        <f t="array" ref="J3658">IFERROR(INDEX('Retirement Calculator'!J:J,MATCH('Isaac 401k'!N3658,'Retirement Calculator'!A:A,0),0),0)</f>
        <v>0</v>
      </c>
      <c r="K3658" s="455">
        <f t="shared" ca="1" si="171"/>
        <v>-2733313509.4211226</v>
      </c>
      <c r="L3658" s="455">
        <f t="shared" ca="1" si="172"/>
        <v>-658728555770.4906</v>
      </c>
      <c r="M3658" s="471">
        <f t="shared" si="174"/>
        <v>0.05</v>
      </c>
      <c r="N3658" s="475">
        <f t="shared" si="175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73"/>
        <v>-658728555770.4906</v>
      </c>
      <c r="J3659" s="455">
        <f t="array" ref="J3659">IFERROR(INDEX('Retirement Calculator'!J:J,MATCH('Isaac 401k'!N3659,'Retirement Calculator'!A:A,0),0),0)</f>
        <v>0</v>
      </c>
      <c r="K3659" s="455">
        <f t="shared" ca="1" si="171"/>
        <v>-2744702315.7103777</v>
      </c>
      <c r="L3659" s="455">
        <f t="shared" ca="1" si="172"/>
        <v>-661473258086.20093</v>
      </c>
      <c r="M3659" s="471">
        <f t="shared" si="174"/>
        <v>0.05</v>
      </c>
      <c r="N3659" s="475">
        <f t="shared" si="175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73"/>
        <v>-661473258086.20093</v>
      </c>
      <c r="J3660" s="455">
        <f t="array" ref="J3660">IFERROR(INDEX('Retirement Calculator'!J:J,MATCH('Isaac 401k'!N3660,'Retirement Calculator'!A:A,0),0),0)</f>
        <v>0</v>
      </c>
      <c r="K3660" s="455">
        <f t="shared" ca="1" si="171"/>
        <v>-2756138575.3591704</v>
      </c>
      <c r="L3660" s="455">
        <f t="shared" ca="1" si="172"/>
        <v>-664229396661.56006</v>
      </c>
      <c r="M3660" s="471">
        <f t="shared" si="174"/>
        <v>0.05</v>
      </c>
      <c r="N3660" s="475">
        <f t="shared" si="175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73"/>
        <v>-664229396661.56006</v>
      </c>
      <c r="J3661" s="455">
        <f t="array" ref="J3661">IFERROR(INDEX('Retirement Calculator'!J:J,MATCH('Isaac 401k'!N3661,'Retirement Calculator'!A:A,0),0),0)</f>
        <v>0</v>
      </c>
      <c r="K3661" s="455">
        <f t="shared" ca="1" si="171"/>
        <v>-2767622486.0898337</v>
      </c>
      <c r="L3661" s="455">
        <f t="shared" ca="1" si="172"/>
        <v>-666997019147.6499</v>
      </c>
      <c r="M3661" s="471">
        <f t="shared" si="174"/>
        <v>0.05</v>
      </c>
      <c r="N3661" s="475">
        <f t="shared" si="175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73"/>
        <v>-666997019147.6499</v>
      </c>
      <c r="J3662" s="455">
        <f t="array" ref="J3662">IFERROR(INDEX('Retirement Calculator'!J:J,MATCH('Isaac 401k'!N3662,'Retirement Calculator'!A:A,0),0),0)</f>
        <v>0</v>
      </c>
      <c r="K3662" s="455">
        <f t="shared" ca="1" si="171"/>
        <v>-2779154246.4485412</v>
      </c>
      <c r="L3662" s="455">
        <f t="shared" ca="1" si="172"/>
        <v>-669776173394.09839</v>
      </c>
      <c r="M3662" s="471">
        <f t="shared" si="174"/>
        <v>0.05</v>
      </c>
      <c r="N3662" s="475">
        <f t="shared" si="175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73"/>
        <v>-669776173394.09839</v>
      </c>
      <c r="J3663" s="455">
        <f t="array" ref="J3663">IFERROR(INDEX('Retirement Calculator'!J:J,MATCH('Isaac 401k'!N3663,'Retirement Calculator'!A:A,0),0),0)</f>
        <v>0</v>
      </c>
      <c r="K3663" s="455">
        <f t="shared" ca="1" si="171"/>
        <v>-2790734055.8087435</v>
      </c>
      <c r="L3663" s="455">
        <f t="shared" ca="1" si="172"/>
        <v>-672566907449.9071</v>
      </c>
      <c r="M3663" s="471">
        <f t="shared" si="174"/>
        <v>0.05</v>
      </c>
      <c r="N3663" s="475">
        <f t="shared" si="175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73"/>
        <v>-672566907449.9071</v>
      </c>
      <c r="J3664" s="455">
        <f t="array" ref="J3664">IFERROR(INDEX('Retirement Calculator'!J:J,MATCH('Isaac 401k'!N3664,'Retirement Calculator'!A:A,0),0),0)</f>
        <v>0</v>
      </c>
      <c r="K3664" s="455">
        <f t="shared" ca="1" si="171"/>
        <v>-2802362114.3746128</v>
      </c>
      <c r="L3664" s="455">
        <f t="shared" ca="1" si="172"/>
        <v>-675369269564.28174</v>
      </c>
      <c r="M3664" s="471">
        <f t="shared" si="174"/>
        <v>0.05</v>
      </c>
      <c r="N3664" s="475">
        <f t="shared" si="175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73"/>
        <v>-675369269564.28174</v>
      </c>
      <c r="J3665" s="455">
        <f t="array" ref="J3665">IFERROR(INDEX('Retirement Calculator'!J:J,MATCH('Isaac 401k'!N3665,'Retirement Calculator'!A:A,0),0),0)</f>
        <v>0</v>
      </c>
      <c r="K3665" s="455">
        <f t="shared" ca="1" si="171"/>
        <v>-2814038623.1845074</v>
      </c>
      <c r="L3665" s="455">
        <f t="shared" ca="1" si="172"/>
        <v>-678183308187.46619</v>
      </c>
      <c r="M3665" s="471">
        <f t="shared" si="174"/>
        <v>0.05</v>
      </c>
      <c r="N3665" s="475">
        <f t="shared" si="175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73"/>
        <v>-678183308187.46619</v>
      </c>
      <c r="J3666" s="455">
        <f t="array" ref="J3666">IFERROR(INDEX('Retirement Calculator'!J:J,MATCH('Isaac 401k'!N3666,'Retirement Calculator'!A:A,0),0),0)</f>
        <v>0</v>
      </c>
      <c r="K3666" s="455">
        <f t="shared" ca="1" si="171"/>
        <v>-2825763784.1144423</v>
      </c>
      <c r="L3666" s="455">
        <f t="shared" ca="1" si="172"/>
        <v>-681009071971.58069</v>
      </c>
      <c r="M3666" s="471">
        <f t="shared" si="174"/>
        <v>0.05</v>
      </c>
      <c r="N3666" s="475">
        <f t="shared" si="175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73"/>
        <v>-681009071971.58069</v>
      </c>
      <c r="J3667" s="455">
        <f t="array" ref="J3667">IFERROR(INDEX('Retirement Calculator'!J:J,MATCH('Isaac 401k'!N3667,'Retirement Calculator'!A:A,0),0),0)</f>
        <v>0</v>
      </c>
      <c r="K3667" s="455">
        <f t="shared" ca="1" si="171"/>
        <v>-2837537799.8815861</v>
      </c>
      <c r="L3667" s="455">
        <f t="shared" ca="1" si="172"/>
        <v>-683846609771.46228</v>
      </c>
      <c r="M3667" s="471">
        <f t="shared" si="174"/>
        <v>0.05</v>
      </c>
      <c r="N3667" s="475">
        <f t="shared" si="175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73"/>
        <v>-683846609771.46228</v>
      </c>
      <c r="J3668" s="455">
        <f t="array" ref="J3668">IFERROR(INDEX('Retirement Calculator'!J:J,MATCH('Isaac 401k'!N3668,'Retirement Calculator'!A:A,0),0),0)</f>
        <v>0</v>
      </c>
      <c r="K3668" s="455">
        <f t="shared" ca="1" si="171"/>
        <v>-2849360874.0477595</v>
      </c>
      <c r="L3668" s="455">
        <f t="shared" ca="1" si="172"/>
        <v>-686695970645.51001</v>
      </c>
      <c r="M3668" s="471">
        <f t="shared" si="174"/>
        <v>0.05</v>
      </c>
      <c r="N3668" s="475">
        <f t="shared" si="175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73"/>
        <v>-686695970645.51001</v>
      </c>
      <c r="J3669" s="455">
        <f t="array" ref="J3669">IFERROR(INDEX('Retirement Calculator'!J:J,MATCH('Isaac 401k'!N3669,'Retirement Calculator'!A:A,0),0),0)</f>
        <v>0</v>
      </c>
      <c r="K3669" s="455">
        <f t="shared" ca="1" si="171"/>
        <v>-2861233211.0229583</v>
      </c>
      <c r="L3669" s="455">
        <f t="shared" ca="1" si="172"/>
        <v>-689557203856.53296</v>
      </c>
      <c r="M3669" s="471">
        <f t="shared" si="174"/>
        <v>0.05</v>
      </c>
      <c r="N3669" s="475">
        <f t="shared" si="175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73"/>
        <v>-689557203856.53296</v>
      </c>
      <c r="J3670" s="455">
        <f t="array" ref="J3670">IFERROR(INDEX('Retirement Calculator'!J:J,MATCH('Isaac 401k'!N3670,'Retirement Calculator'!A:A,0),0),0)</f>
        <v>0</v>
      </c>
      <c r="K3670" s="455">
        <f t="shared" ca="1" si="171"/>
        <v>-2873155016.0688872</v>
      </c>
      <c r="L3670" s="455">
        <f t="shared" ca="1" si="172"/>
        <v>-692430358872.60181</v>
      </c>
      <c r="M3670" s="471">
        <f t="shared" si="174"/>
        <v>0.05</v>
      </c>
      <c r="N3670" s="475">
        <f t="shared" si="175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73"/>
        <v>-692430358872.60181</v>
      </c>
      <c r="J3671" s="455">
        <f t="array" ref="J3671">IFERROR(INDEX('Retirement Calculator'!J:J,MATCH('Isaac 401k'!N3671,'Retirement Calculator'!A:A,0),0),0)</f>
        <v>0</v>
      </c>
      <c r="K3671" s="455">
        <f t="shared" ca="1" si="171"/>
        <v>-2885126495.3025074</v>
      </c>
      <c r="L3671" s="455">
        <f t="shared" ca="1" si="172"/>
        <v>-695315485367.9043</v>
      </c>
      <c r="M3671" s="471">
        <f t="shared" si="174"/>
        <v>0.05</v>
      </c>
      <c r="N3671" s="475">
        <f t="shared" si="175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73"/>
        <v>-695315485367.9043</v>
      </c>
      <c r="J3672" s="455">
        <f t="array" ref="J3672">IFERROR(INDEX('Retirement Calculator'!J:J,MATCH('Isaac 401k'!N3672,'Retirement Calculator'!A:A,0),0),0)</f>
        <v>0</v>
      </c>
      <c r="K3672" s="455">
        <f t="shared" ca="1" si="171"/>
        <v>-2897147855.6996012</v>
      </c>
      <c r="L3672" s="455">
        <f t="shared" ca="1" si="172"/>
        <v>-698212633223.60388</v>
      </c>
      <c r="M3672" s="471">
        <f t="shared" si="174"/>
        <v>0.05</v>
      </c>
      <c r="N3672" s="475">
        <f t="shared" si="175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73"/>
        <v>-698212633223.60388</v>
      </c>
      <c r="J3673" s="455">
        <f t="array" ref="J3673">IFERROR(INDEX('Retirement Calculator'!J:J,MATCH('Isaac 401k'!N3673,'Retirement Calculator'!A:A,0),0),0)</f>
        <v>0</v>
      </c>
      <c r="K3673" s="455">
        <f t="shared" ca="1" si="171"/>
        <v>-2909219305.0983496</v>
      </c>
      <c r="L3673" s="455">
        <f t="shared" ca="1" si="172"/>
        <v>-701121852528.70227</v>
      </c>
      <c r="M3673" s="471">
        <f t="shared" si="174"/>
        <v>0.05</v>
      </c>
      <c r="N3673" s="475">
        <f t="shared" si="175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73"/>
        <v>-701121852528.70227</v>
      </c>
      <c r="J3674" s="455">
        <f t="array" ref="J3674">IFERROR(INDEX('Retirement Calculator'!J:J,MATCH('Isaac 401k'!N3674,'Retirement Calculator'!A:A,0),0),0)</f>
        <v>0</v>
      </c>
      <c r="K3674" s="455">
        <f t="shared" ca="1" si="171"/>
        <v>-2921341052.2029262</v>
      </c>
      <c r="L3674" s="455">
        <f t="shared" ca="1" si="172"/>
        <v>-704043193580.90515</v>
      </c>
      <c r="M3674" s="471">
        <f t="shared" si="174"/>
        <v>0.05</v>
      </c>
      <c r="N3674" s="475">
        <f t="shared" si="175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73"/>
        <v>-704043193580.90515</v>
      </c>
      <c r="J3675" s="455">
        <f t="array" ref="J3675">IFERROR(INDEX('Retirement Calculator'!J:J,MATCH('Isaac 401k'!N3675,'Retirement Calculator'!A:A,0),0),0)</f>
        <v>0</v>
      </c>
      <c r="K3675" s="455">
        <f t="shared" ca="1" si="171"/>
        <v>-2933513306.5871048</v>
      </c>
      <c r="L3675" s="455">
        <f t="shared" ca="1" si="172"/>
        <v>-706976706887.49231</v>
      </c>
      <c r="M3675" s="471">
        <f t="shared" si="174"/>
        <v>0.05</v>
      </c>
      <c r="N3675" s="475">
        <f t="shared" si="175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73"/>
        <v>-706976706887.49231</v>
      </c>
      <c r="J3676" s="455">
        <f t="array" ref="J3676">IFERROR(INDEX('Retirement Calculator'!J:J,MATCH('Isaac 401k'!N3676,'Retirement Calculator'!A:A,0),0),0)</f>
        <v>0</v>
      </c>
      <c r="K3676" s="455">
        <f t="shared" ca="1" si="171"/>
        <v>-2945736278.6978846</v>
      </c>
      <c r="L3676" s="455">
        <f t="shared" ca="1" si="172"/>
        <v>-709922443166.19019</v>
      </c>
      <c r="M3676" s="471">
        <f t="shared" si="174"/>
        <v>0.05</v>
      </c>
      <c r="N3676" s="475">
        <f t="shared" si="175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73"/>
        <v>-709922443166.19019</v>
      </c>
      <c r="J3677" s="455">
        <f t="array" ref="J3677">IFERROR(INDEX('Retirement Calculator'!J:J,MATCH('Isaac 401k'!N3677,'Retirement Calculator'!A:A,0),0),0)</f>
        <v>0</v>
      </c>
      <c r="K3677" s="455">
        <f t="shared" ca="1" si="171"/>
        <v>-2958010179.8591256</v>
      </c>
      <c r="L3677" s="455">
        <f t="shared" ca="1" si="172"/>
        <v>-712880453346.04932</v>
      </c>
      <c r="M3677" s="471">
        <f t="shared" si="174"/>
        <v>0.05</v>
      </c>
      <c r="N3677" s="475">
        <f t="shared" si="175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73"/>
        <v>-712880453346.04932</v>
      </c>
      <c r="J3678" s="455">
        <f t="array" ref="J3678">IFERROR(INDEX('Retirement Calculator'!J:J,MATCH('Isaac 401k'!N3678,'Retirement Calculator'!A:A,0),0),0)</f>
        <v>0</v>
      </c>
      <c r="K3678" s="455">
        <f t="shared" ca="1" si="171"/>
        <v>-2970335222.2752056</v>
      </c>
      <c r="L3678" s="455">
        <f t="shared" ca="1" si="172"/>
        <v>-715850788568.32446</v>
      </c>
      <c r="M3678" s="471">
        <f t="shared" si="174"/>
        <v>0.05</v>
      </c>
      <c r="N3678" s="475">
        <f t="shared" si="175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73"/>
        <v>-715850788568.32446</v>
      </c>
      <c r="J3679" s="455">
        <f t="array" ref="J3679">IFERROR(INDEX('Retirement Calculator'!J:J,MATCH('Isaac 401k'!N3679,'Retirement Calculator'!A:A,0),0),0)</f>
        <v>0</v>
      </c>
      <c r="K3679" s="455">
        <f t="shared" ca="1" si="171"/>
        <v>-2982711619.0346851</v>
      </c>
      <c r="L3679" s="455">
        <f t="shared" ca="1" si="172"/>
        <v>-718833500187.35913</v>
      </c>
      <c r="M3679" s="471">
        <f t="shared" si="174"/>
        <v>0.05</v>
      </c>
      <c r="N3679" s="475">
        <f t="shared" si="175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73"/>
        <v>-718833500187.35913</v>
      </c>
      <c r="J3680" s="455">
        <f t="array" ref="J3680">IFERROR(INDEX('Retirement Calculator'!J:J,MATCH('Isaac 401k'!N3680,'Retirement Calculator'!A:A,0),0),0)</f>
        <v>0</v>
      </c>
      <c r="K3680" s="455">
        <f t="shared" ca="1" si="171"/>
        <v>-2995139584.1139965</v>
      </c>
      <c r="L3680" s="455">
        <f t="shared" ca="1" si="172"/>
        <v>-721828639771.47314</v>
      </c>
      <c r="M3680" s="471">
        <f t="shared" si="174"/>
        <v>0.05</v>
      </c>
      <c r="N3680" s="475">
        <f t="shared" si="175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73"/>
        <v>-721828639771.47314</v>
      </c>
      <c r="J3681" s="455">
        <f t="array" ref="J3681">IFERROR(INDEX('Retirement Calculator'!J:J,MATCH('Isaac 401k'!N3681,'Retirement Calculator'!A:A,0),0),0)</f>
        <v>0</v>
      </c>
      <c r="K3681" s="455">
        <f t="shared" ca="1" si="171"/>
        <v>-3007619332.3811378</v>
      </c>
      <c r="L3681" s="455">
        <f t="shared" ca="1" si="172"/>
        <v>-724836259103.85425</v>
      </c>
      <c r="M3681" s="471">
        <f t="shared" si="174"/>
        <v>0.05</v>
      </c>
      <c r="N3681" s="475">
        <f t="shared" si="175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73"/>
        <v>-724836259103.85425</v>
      </c>
      <c r="J3682" s="455">
        <f t="array" ref="J3682">IFERROR(INDEX('Retirement Calculator'!J:J,MATCH('Isaac 401k'!N3682,'Retirement Calculator'!A:A,0),0),0)</f>
        <v>0</v>
      </c>
      <c r="K3682" s="455">
        <f t="shared" ca="1" si="171"/>
        <v>-3020151079.5993929</v>
      </c>
      <c r="L3682" s="455">
        <f t="shared" ca="1" si="172"/>
        <v>-727856410183.45361</v>
      </c>
      <c r="M3682" s="471">
        <f t="shared" si="174"/>
        <v>0.05</v>
      </c>
      <c r="N3682" s="475">
        <f t="shared" si="175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73"/>
        <v>-727856410183.45361</v>
      </c>
      <c r="J3683" s="455">
        <f t="array" ref="J3683">IFERROR(INDEX('Retirement Calculator'!J:J,MATCH('Isaac 401k'!N3683,'Retirement Calculator'!A:A,0),0),0)</f>
        <v>0</v>
      </c>
      <c r="K3683" s="455">
        <f t="shared" ca="1" si="171"/>
        <v>-3032735042.4310565</v>
      </c>
      <c r="L3683" s="455">
        <f t="shared" ca="1" si="172"/>
        <v>-730889145225.88464</v>
      </c>
      <c r="M3683" s="471">
        <f t="shared" si="174"/>
        <v>0.05</v>
      </c>
      <c r="N3683" s="475">
        <f t="shared" si="175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73"/>
        <v>-730889145225.88464</v>
      </c>
      <c r="J3684" s="455">
        <f t="array" ref="J3684">IFERROR(INDEX('Retirement Calculator'!J:J,MATCH('Isaac 401k'!N3684,'Retirement Calculator'!A:A,0),0),0)</f>
        <v>0</v>
      </c>
      <c r="K3684" s="455">
        <f t="shared" ca="1" si="171"/>
        <v>-3045371438.441186</v>
      </c>
      <c r="L3684" s="455">
        <f t="shared" ca="1" si="172"/>
        <v>-733934516664.32581</v>
      </c>
      <c r="M3684" s="471">
        <f t="shared" si="174"/>
        <v>0.05</v>
      </c>
      <c r="N3684" s="475">
        <f t="shared" si="175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73"/>
        <v>-733934516664.32581</v>
      </c>
      <c r="J3685" s="455">
        <f t="array" ref="J3685">IFERROR(INDEX('Retirement Calculator'!J:J,MATCH('Isaac 401k'!N3685,'Retirement Calculator'!A:A,0),0),0)</f>
        <v>0</v>
      </c>
      <c r="K3685" s="455">
        <f t="shared" ca="1" si="171"/>
        <v>-3058060486.1013575</v>
      </c>
      <c r="L3685" s="455">
        <f t="shared" ca="1" si="172"/>
        <v>-736992577150.42712</v>
      </c>
      <c r="M3685" s="471">
        <f t="shared" si="174"/>
        <v>0.05</v>
      </c>
      <c r="N3685" s="475">
        <f t="shared" si="175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73"/>
        <v>-736992577150.42712</v>
      </c>
      <c r="J3686" s="455">
        <f t="array" ref="J3686">IFERROR(INDEX('Retirement Calculator'!J:J,MATCH('Isaac 401k'!N3686,'Retirement Calculator'!A:A,0),0),0)</f>
        <v>0</v>
      </c>
      <c r="K3686" s="455">
        <f t="shared" ca="1" si="171"/>
        <v>-3070802404.7934465</v>
      </c>
      <c r="L3686" s="455">
        <f t="shared" ca="1" si="172"/>
        <v>-740063379555.22058</v>
      </c>
      <c r="M3686" s="471">
        <f t="shared" si="174"/>
        <v>0.05</v>
      </c>
      <c r="N3686" s="475">
        <f t="shared" si="175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73"/>
        <v>-740063379555.22058</v>
      </c>
      <c r="J3687" s="455">
        <f t="array" ref="J3687">IFERROR(INDEX('Retirement Calculator'!J:J,MATCH('Isaac 401k'!N3687,'Retirement Calculator'!A:A,0),0),0)</f>
        <v>0</v>
      </c>
      <c r="K3687" s="455">
        <f t="shared" ca="1" si="171"/>
        <v>-3083597414.8134189</v>
      </c>
      <c r="L3687" s="455">
        <f t="shared" ca="1" si="172"/>
        <v>-743146976970.03406</v>
      </c>
      <c r="M3687" s="471">
        <f t="shared" si="174"/>
        <v>0.05</v>
      </c>
      <c r="N3687" s="475">
        <f t="shared" si="175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73"/>
        <v>-743146976970.03406</v>
      </c>
      <c r="J3688" s="455">
        <f t="array" ref="J3688">IFERROR(INDEX('Retirement Calculator'!J:J,MATCH('Isaac 401k'!N3688,'Retirement Calculator'!A:A,0),0),0)</f>
        <v>0</v>
      </c>
      <c r="K3688" s="455">
        <f t="shared" ca="1" si="171"/>
        <v>-3096445737.3751421</v>
      </c>
      <c r="L3688" s="455">
        <f t="shared" ca="1" si="172"/>
        <v>-746243422707.40918</v>
      </c>
      <c r="M3688" s="471">
        <f t="shared" si="174"/>
        <v>0.05</v>
      </c>
      <c r="N3688" s="475">
        <f t="shared" si="175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73"/>
        <v>-746243422707.40918</v>
      </c>
      <c r="J3689" s="455">
        <f t="array" ref="J3689">IFERROR(INDEX('Retirement Calculator'!J:J,MATCH('Isaac 401k'!N3689,'Retirement Calculator'!A:A,0),0),0)</f>
        <v>0</v>
      </c>
      <c r="K3689" s="455">
        <f t="shared" ca="1" si="171"/>
        <v>-3109347594.6142049</v>
      </c>
      <c r="L3689" s="455">
        <f t="shared" ca="1" si="172"/>
        <v>-749352770302.02344</v>
      </c>
      <c r="M3689" s="471">
        <f t="shared" si="174"/>
        <v>0.05</v>
      </c>
      <c r="N3689" s="475">
        <f t="shared" si="175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73"/>
        <v>-749352770302.02344</v>
      </c>
      <c r="J3690" s="455">
        <f t="array" ref="J3690">IFERROR(INDEX('Retirement Calculator'!J:J,MATCH('Isaac 401k'!N3690,'Retirement Calculator'!A:A,0),0),0)</f>
        <v>0</v>
      </c>
      <c r="K3690" s="455">
        <f t="shared" ca="1" si="171"/>
        <v>-3122303209.5917645</v>
      </c>
      <c r="L3690" s="455">
        <f t="shared" ca="1" si="172"/>
        <v>-752475073511.61523</v>
      </c>
      <c r="M3690" s="471">
        <f t="shared" si="174"/>
        <v>0.05</v>
      </c>
      <c r="N3690" s="475">
        <f t="shared" si="175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73"/>
        <v>-752475073511.61523</v>
      </c>
      <c r="J3691" s="455">
        <f t="array" ref="J3691">IFERROR(INDEX('Retirement Calculator'!J:J,MATCH('Isaac 401k'!N3691,'Retirement Calculator'!A:A,0),0),0)</f>
        <v>0</v>
      </c>
      <c r="K3691" s="455">
        <f t="shared" ca="1" si="171"/>
        <v>-3135312806.2983966</v>
      </c>
      <c r="L3691" s="455">
        <f t="shared" ca="1" si="172"/>
        <v>-755610386317.91357</v>
      </c>
      <c r="M3691" s="471">
        <f t="shared" si="174"/>
        <v>0.05</v>
      </c>
      <c r="N3691" s="475">
        <f t="shared" si="175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73"/>
        <v>-755610386317.91357</v>
      </c>
      <c r="J3692" s="455">
        <f t="array" ref="J3692">IFERROR(INDEX('Retirement Calculator'!J:J,MATCH('Isaac 401k'!N3692,'Retirement Calculator'!A:A,0),0),0)</f>
        <v>0</v>
      </c>
      <c r="K3692" s="455">
        <f t="shared" ca="1" si="171"/>
        <v>-3148376609.6579733</v>
      </c>
      <c r="L3692" s="455">
        <f t="shared" ca="1" si="172"/>
        <v>-758758762927.57153</v>
      </c>
      <c r="M3692" s="471">
        <f t="shared" si="174"/>
        <v>0.05</v>
      </c>
      <c r="N3692" s="475">
        <f t="shared" si="175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73"/>
        <v>-758758762927.57153</v>
      </c>
      <c r="J3693" s="455">
        <f t="array" ref="J3693">IFERROR(INDEX('Retirement Calculator'!J:J,MATCH('Isaac 401k'!N3693,'Retirement Calculator'!A:A,0),0),0)</f>
        <v>0</v>
      </c>
      <c r="K3693" s="455">
        <f t="shared" ca="1" si="171"/>
        <v>-3161494845.531548</v>
      </c>
      <c r="L3693" s="455">
        <f t="shared" ca="1" si="172"/>
        <v>-761920257773.10303</v>
      </c>
      <c r="M3693" s="471">
        <f t="shared" si="174"/>
        <v>0.05</v>
      </c>
      <c r="N3693" s="475">
        <f t="shared" si="175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73"/>
        <v>-761920257773.10303</v>
      </c>
      <c r="J3694" s="455">
        <f t="array" ref="J3694">IFERROR(INDEX('Retirement Calculator'!J:J,MATCH('Isaac 401k'!N3694,'Retirement Calculator'!A:A,0),0),0)</f>
        <v>0</v>
      </c>
      <c r="K3694" s="455">
        <f t="shared" ca="1" si="171"/>
        <v>-3174667740.7212625</v>
      </c>
      <c r="L3694" s="455">
        <f t="shared" ca="1" si="172"/>
        <v>-765094925513.82434</v>
      </c>
      <c r="M3694" s="471">
        <f t="shared" si="174"/>
        <v>0.05</v>
      </c>
      <c r="N3694" s="475">
        <f t="shared" si="175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73"/>
        <v>-765094925513.82434</v>
      </c>
      <c r="J3695" s="455">
        <f t="array" ref="J3695">IFERROR(INDEX('Retirement Calculator'!J:J,MATCH('Isaac 401k'!N3695,'Retirement Calculator'!A:A,0),0),0)</f>
        <v>0</v>
      </c>
      <c r="K3695" s="455">
        <f t="shared" ca="1" si="171"/>
        <v>-3187895522.974268</v>
      </c>
      <c r="L3695" s="455">
        <f t="shared" ca="1" si="172"/>
        <v>-768282821036.79858</v>
      </c>
      <c r="M3695" s="471">
        <f t="shared" si="174"/>
        <v>0.05</v>
      </c>
      <c r="N3695" s="475">
        <f t="shared" si="175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73"/>
        <v>-768282821036.79858</v>
      </c>
      <c r="J3696" s="455">
        <f t="array" ref="J3696">IFERROR(INDEX('Retirement Calculator'!J:J,MATCH('Isaac 401k'!N3696,'Retirement Calculator'!A:A,0),0),0)</f>
        <v>0</v>
      </c>
      <c r="K3696" s="455">
        <f t="shared" ca="1" si="171"/>
        <v>-3201178420.986661</v>
      </c>
      <c r="L3696" s="455">
        <f t="shared" ca="1" si="172"/>
        <v>-771483999457.78528</v>
      </c>
      <c r="M3696" s="471">
        <f t="shared" si="174"/>
        <v>0.05</v>
      </c>
      <c r="N3696" s="475">
        <f t="shared" si="175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73"/>
        <v>-771483999457.78528</v>
      </c>
      <c r="J3697" s="455">
        <f t="array" ref="J3697">IFERROR(INDEX('Retirement Calculator'!J:J,MATCH('Isaac 401k'!N3697,'Retirement Calculator'!A:A,0),0),0)</f>
        <v>0</v>
      </c>
      <c r="K3697" s="455">
        <f t="shared" ca="1" si="171"/>
        <v>-3214516664.4074388</v>
      </c>
      <c r="L3697" s="455">
        <f t="shared" ca="1" si="172"/>
        <v>-774698516122.19275</v>
      </c>
      <c r="M3697" s="471">
        <f t="shared" si="174"/>
        <v>0.05</v>
      </c>
      <c r="N3697" s="475">
        <f t="shared" si="175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73"/>
        <v>-774698516122.19275</v>
      </c>
      <c r="J3698" s="455">
        <f t="array" ref="J3698">IFERROR(INDEX('Retirement Calculator'!J:J,MATCH('Isaac 401k'!N3698,'Retirement Calculator'!A:A,0),0),0)</f>
        <v>0</v>
      </c>
      <c r="K3698" s="455">
        <f t="shared" ca="1" si="171"/>
        <v>-3227910483.8424697</v>
      </c>
      <c r="L3698" s="455">
        <f t="shared" ca="1" si="172"/>
        <v>-777926426606.03528</v>
      </c>
      <c r="M3698" s="471">
        <f t="shared" si="174"/>
        <v>0.05</v>
      </c>
      <c r="N3698" s="475">
        <f t="shared" si="175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73"/>
        <v>-777926426606.03528</v>
      </c>
      <c r="J3699" s="455">
        <f t="array" ref="J3699">IFERROR(INDEX('Retirement Calculator'!J:J,MATCH('Isaac 401k'!N3699,'Retirement Calculator'!A:A,0),0),0)</f>
        <v>0</v>
      </c>
      <c r="K3699" s="455">
        <f t="shared" ca="1" si="171"/>
        <v>-3241360110.8584805</v>
      </c>
      <c r="L3699" s="455">
        <f t="shared" ca="1" si="172"/>
        <v>-781167786716.8938</v>
      </c>
      <c r="M3699" s="471">
        <f t="shared" si="174"/>
        <v>0.05</v>
      </c>
      <c r="N3699" s="475">
        <f t="shared" si="175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73"/>
        <v>-781167786716.8938</v>
      </c>
      <c r="J3700" s="455">
        <f t="array" ref="J3700">IFERROR(INDEX('Retirement Calculator'!J:J,MATCH('Isaac 401k'!N3700,'Retirement Calculator'!A:A,0),0),0)</f>
        <v>0</v>
      </c>
      <c r="K3700" s="455">
        <f t="shared" ca="1" si="171"/>
        <v>-3254865777.9870577</v>
      </c>
      <c r="L3700" s="455">
        <f t="shared" ca="1" si="172"/>
        <v>-784422652494.88086</v>
      </c>
      <c r="M3700" s="471">
        <f t="shared" si="174"/>
        <v>0.05</v>
      </c>
      <c r="N3700" s="475">
        <f t="shared" si="175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73"/>
        <v>-784422652494.88086</v>
      </c>
      <c r="J3701" s="455">
        <f t="array" ref="J3701">IFERROR(INDEX('Retirement Calculator'!J:J,MATCH('Isaac 401k'!N3701,'Retirement Calculator'!A:A,0),0),0)</f>
        <v>0</v>
      </c>
      <c r="K3701" s="455">
        <f t="shared" ca="1" si="171"/>
        <v>-3268427718.7286701</v>
      </c>
      <c r="L3701" s="455">
        <f t="shared" ca="1" si="172"/>
        <v>-787691080213.6095</v>
      </c>
      <c r="M3701" s="471">
        <f t="shared" si="174"/>
        <v>0.05</v>
      </c>
      <c r="N3701" s="475">
        <f t="shared" si="175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73"/>
        <v>-787691080213.6095</v>
      </c>
      <c r="J3702" s="455">
        <f t="array" ref="J3702">IFERROR(INDEX('Retirement Calculator'!J:J,MATCH('Isaac 401k'!N3702,'Retirement Calculator'!A:A,0),0),0)</f>
        <v>0</v>
      </c>
      <c r="K3702" s="455">
        <f t="shared" ca="1" si="171"/>
        <v>-3282046167.5567064</v>
      </c>
      <c r="L3702" s="455">
        <f t="shared" ca="1" si="172"/>
        <v>-790973126381.16626</v>
      </c>
      <c r="M3702" s="471">
        <f t="shared" si="174"/>
        <v>0.05</v>
      </c>
      <c r="N3702" s="475">
        <f t="shared" si="175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73"/>
        <v>-790973126381.16626</v>
      </c>
      <c r="J3703" s="455">
        <f t="array" ref="J3703">IFERROR(INDEX('Retirement Calculator'!J:J,MATCH('Isaac 401k'!N3703,'Retirement Calculator'!A:A,0),0),0)</f>
        <v>0</v>
      </c>
      <c r="K3703" s="455">
        <f t="shared" ca="1" si="171"/>
        <v>-3295721359.921526</v>
      </c>
      <c r="L3703" s="455">
        <f t="shared" ca="1" si="172"/>
        <v>-794268847741.08777</v>
      </c>
      <c r="M3703" s="471">
        <f t="shared" si="174"/>
        <v>0.05</v>
      </c>
      <c r="N3703" s="475">
        <f t="shared" si="175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73"/>
        <v>-794268847741.08777</v>
      </c>
      <c r="J3704" s="455">
        <f t="array" ref="J3704">IFERROR(INDEX('Retirement Calculator'!J:J,MATCH('Isaac 401k'!N3704,'Retirement Calculator'!A:A,0),0),0)</f>
        <v>0</v>
      </c>
      <c r="K3704" s="455">
        <f t="shared" ca="1" si="171"/>
        <v>-3309453532.2545323</v>
      </c>
      <c r="L3704" s="455">
        <f t="shared" ca="1" si="172"/>
        <v>-797578301273.34229</v>
      </c>
      <c r="M3704" s="471">
        <f t="shared" si="174"/>
        <v>0.05</v>
      </c>
      <c r="N3704" s="475">
        <f t="shared" si="175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73"/>
        <v>-797578301273.34229</v>
      </c>
      <c r="J3705" s="455">
        <f t="array" ref="J3705">IFERROR(INDEX('Retirement Calculator'!J:J,MATCH('Isaac 401k'!N3705,'Retirement Calculator'!A:A,0),0),0)</f>
        <v>0</v>
      </c>
      <c r="K3705" s="455">
        <f t="shared" ca="1" si="171"/>
        <v>-3323242921.9722595</v>
      </c>
      <c r="L3705" s="455">
        <f t="shared" ca="1" si="172"/>
        <v>-800901544195.31458</v>
      </c>
      <c r="M3705" s="471">
        <f t="shared" si="174"/>
        <v>0.05</v>
      </c>
      <c r="N3705" s="475">
        <f t="shared" si="175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73"/>
        <v>-800901544195.31458</v>
      </c>
      <c r="J3706" s="455">
        <f t="array" ref="J3706">IFERROR(INDEX('Retirement Calculator'!J:J,MATCH('Isaac 401k'!N3706,'Retirement Calculator'!A:A,0),0),0)</f>
        <v>0</v>
      </c>
      <c r="K3706" s="455">
        <f t="shared" ca="1" si="171"/>
        <v>-3337089767.4804773</v>
      </c>
      <c r="L3706" s="455">
        <f t="shared" ca="1" si="172"/>
        <v>-804238633962.79504</v>
      </c>
      <c r="M3706" s="471">
        <f t="shared" si="174"/>
        <v>0.05</v>
      </c>
      <c r="N3706" s="475">
        <f t="shared" si="175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73"/>
        <v>-804238633962.79504</v>
      </c>
      <c r="J3707" s="455">
        <f t="array" ref="J3707">IFERROR(INDEX('Retirement Calculator'!J:J,MATCH('Isaac 401k'!N3707,'Retirement Calculator'!A:A,0),0),0)</f>
        <v>0</v>
      </c>
      <c r="K3707" s="455">
        <f t="shared" ca="1" si="171"/>
        <v>-3350994308.1783128</v>
      </c>
      <c r="L3707" s="455">
        <f t="shared" ca="1" si="172"/>
        <v>-807589628270.97339</v>
      </c>
      <c r="M3707" s="471">
        <f t="shared" si="174"/>
        <v>0.05</v>
      </c>
      <c r="N3707" s="475">
        <f t="shared" si="175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73"/>
        <v>-807589628270.97339</v>
      </c>
      <c r="J3708" s="455">
        <f t="array" ref="J3708">IFERROR(INDEX('Retirement Calculator'!J:J,MATCH('Isaac 401k'!N3708,'Retirement Calculator'!A:A,0),0),0)</f>
        <v>0</v>
      </c>
      <c r="K3708" s="455">
        <f t="shared" ca="1" si="171"/>
        <v>-3364956784.462389</v>
      </c>
      <c r="L3708" s="455">
        <f t="shared" ca="1" si="172"/>
        <v>-810954585055.43579</v>
      </c>
      <c r="M3708" s="471">
        <f t="shared" si="174"/>
        <v>0.05</v>
      </c>
      <c r="N3708" s="475">
        <f t="shared" si="175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73"/>
        <v>-810954585055.43579</v>
      </c>
      <c r="J3709" s="455">
        <f t="array" ref="J3709">IFERROR(INDEX('Retirement Calculator'!J:J,MATCH('Isaac 401k'!N3709,'Retirement Calculator'!A:A,0),0),0)</f>
        <v>0</v>
      </c>
      <c r="K3709" s="455">
        <f t="shared" ca="1" si="171"/>
        <v>-3378977437.7309823</v>
      </c>
      <c r="L3709" s="455">
        <f t="shared" ca="1" si="172"/>
        <v>-814333562493.16675</v>
      </c>
      <c r="M3709" s="471">
        <f t="shared" si="174"/>
        <v>0.05</v>
      </c>
      <c r="N3709" s="475">
        <f t="shared" si="175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73"/>
        <v>-814333562493.16675</v>
      </c>
      <c r="J3710" s="455">
        <f t="array" ref="J3710">IFERROR(INDEX('Retirement Calculator'!J:J,MATCH('Isaac 401k'!N3710,'Retirement Calculator'!A:A,0),0),0)</f>
        <v>0</v>
      </c>
      <c r="K3710" s="455">
        <f t="shared" ca="1" si="171"/>
        <v>-3393056510.3881946</v>
      </c>
      <c r="L3710" s="455">
        <f t="shared" ca="1" si="172"/>
        <v>-817726619003.55493</v>
      </c>
      <c r="M3710" s="471">
        <f t="shared" si="174"/>
        <v>0.05</v>
      </c>
      <c r="N3710" s="475">
        <f t="shared" si="175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73"/>
        <v>-817726619003.55493</v>
      </c>
      <c r="J3711" s="455">
        <f t="array" ref="J3711">IFERROR(INDEX('Retirement Calculator'!J:J,MATCH('Isaac 401k'!N3711,'Retirement Calculator'!A:A,0),0),0)</f>
        <v>0</v>
      </c>
      <c r="K3711" s="455">
        <f t="shared" ca="1" si="171"/>
        <v>-3407194245.8481455</v>
      </c>
      <c r="L3711" s="455">
        <f t="shared" ca="1" si="172"/>
        <v>-821133813249.40308</v>
      </c>
      <c r="M3711" s="471">
        <f t="shared" si="174"/>
        <v>0.05</v>
      </c>
      <c r="N3711" s="475">
        <f t="shared" si="175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73"/>
        <v>-821133813249.40308</v>
      </c>
      <c r="J3712" s="455">
        <f t="array" ref="J3712">IFERROR(INDEX('Retirement Calculator'!J:J,MATCH('Isaac 401k'!N3712,'Retirement Calculator'!A:A,0),0),0)</f>
        <v>0</v>
      </c>
      <c r="K3712" s="455">
        <f t="shared" ca="1" si="171"/>
        <v>-3421390888.5391793</v>
      </c>
      <c r="L3712" s="455">
        <f t="shared" ca="1" si="172"/>
        <v>-824555204137.94226</v>
      </c>
      <c r="M3712" s="471">
        <f t="shared" si="174"/>
        <v>0.05</v>
      </c>
      <c r="N3712" s="475">
        <f t="shared" si="175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73"/>
        <v>-824555204137.94226</v>
      </c>
      <c r="J3713" s="455">
        <f t="array" ref="J3713">IFERROR(INDEX('Retirement Calculator'!J:J,MATCH('Isaac 401k'!N3713,'Retirement Calculator'!A:A,0),0),0)</f>
        <v>0</v>
      </c>
      <c r="K3713" s="455">
        <f t="shared" ca="1" si="171"/>
        <v>-3435646683.9080925</v>
      </c>
      <c r="L3713" s="455">
        <f t="shared" ca="1" si="172"/>
        <v>-827990850821.85034</v>
      </c>
      <c r="M3713" s="471">
        <f t="shared" si="174"/>
        <v>0.05</v>
      </c>
      <c r="N3713" s="475">
        <f t="shared" si="175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73"/>
        <v>-827990850821.85034</v>
      </c>
      <c r="J3714" s="455">
        <f t="array" ref="J3714">IFERROR(INDEX('Retirement Calculator'!J:J,MATCH('Isaac 401k'!N3714,'Retirement Calculator'!A:A,0),0),0)</f>
        <v>0</v>
      </c>
      <c r="K3714" s="455">
        <f t="shared" ca="1" si="171"/>
        <v>-3449961878.4243765</v>
      </c>
      <c r="L3714" s="455">
        <f t="shared" ca="1" si="172"/>
        <v>-831440812700.27466</v>
      </c>
      <c r="M3714" s="471">
        <f t="shared" si="174"/>
        <v>0.05</v>
      </c>
      <c r="N3714" s="475">
        <f t="shared" si="175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73"/>
        <v>-831440812700.27466</v>
      </c>
      <c r="J3715" s="455">
        <f t="array" ref="J3715">IFERROR(INDEX('Retirement Calculator'!J:J,MATCH('Isaac 401k'!N3715,'Retirement Calculator'!A:A,0),0),0)</f>
        <v>0</v>
      </c>
      <c r="K3715" s="455">
        <f t="shared" ca="1" si="171"/>
        <v>-3464336719.5844779</v>
      </c>
      <c r="L3715" s="455">
        <f t="shared" ca="1" si="172"/>
        <v>-834905149419.85913</v>
      </c>
      <c r="M3715" s="471">
        <f t="shared" si="174"/>
        <v>0.05</v>
      </c>
      <c r="N3715" s="475">
        <f t="shared" si="175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73"/>
        <v>-834905149419.85913</v>
      </c>
      <c r="J3716" s="455">
        <f t="array" ref="J3716">IFERROR(INDEX('Retirement Calculator'!J:J,MATCH('Isaac 401k'!N3716,'Retirement Calculator'!A:A,0),0),0)</f>
        <v>0</v>
      </c>
      <c r="K3716" s="455">
        <f t="shared" ca="1" si="171"/>
        <v>-3478771455.9160795</v>
      </c>
      <c r="L3716" s="455">
        <f t="shared" ca="1" si="172"/>
        <v>-838383920875.77527</v>
      </c>
      <c r="M3716" s="471">
        <f t="shared" si="174"/>
        <v>0.05</v>
      </c>
      <c r="N3716" s="475">
        <f t="shared" si="175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73"/>
        <v>-838383920875.77527</v>
      </c>
      <c r="J3717" s="455">
        <f t="array" ref="J3717">IFERROR(INDEX('Retirement Calculator'!J:J,MATCH('Isaac 401k'!N3717,'Retirement Calculator'!A:A,0),0),0)</f>
        <v>0</v>
      </c>
      <c r="K3717" s="455">
        <f t="shared" ca="1" si="171"/>
        <v>-3493266336.9823971</v>
      </c>
      <c r="L3717" s="455">
        <f t="shared" ca="1" si="172"/>
        <v>-841877187212.75769</v>
      </c>
      <c r="M3717" s="471">
        <f t="shared" si="174"/>
        <v>0.05</v>
      </c>
      <c r="N3717" s="475">
        <f t="shared" si="175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73"/>
        <v>-841877187212.75769</v>
      </c>
      <c r="J3718" s="455">
        <f t="array" ref="J3718">IFERROR(INDEX('Retirement Calculator'!J:J,MATCH('Isaac 401k'!N3718,'Retirement Calculator'!A:A,0),0),0)</f>
        <v>0</v>
      </c>
      <c r="K3718" s="455">
        <f t="shared" ca="1" si="171"/>
        <v>-3507821613.3864903</v>
      </c>
      <c r="L3718" s="455">
        <f t="shared" ca="1" si="172"/>
        <v>-845385008826.14417</v>
      </c>
      <c r="M3718" s="471">
        <f t="shared" si="174"/>
        <v>0.05</v>
      </c>
      <c r="N3718" s="475">
        <f t="shared" si="175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73"/>
        <v>-845385008826.14417</v>
      </c>
      <c r="J3719" s="455">
        <f t="array" ref="J3719">IFERROR(INDEX('Retirement Calculator'!J:J,MATCH('Isaac 401k'!N3719,'Retirement Calculator'!A:A,0),0),0)</f>
        <v>0</v>
      </c>
      <c r="K3719" s="455">
        <f t="shared" ca="1" si="171"/>
        <v>-3522437536.7756004</v>
      </c>
      <c r="L3719" s="455">
        <f t="shared" ca="1" si="172"/>
        <v>-848907446362.9198</v>
      </c>
      <c r="M3719" s="471">
        <f t="shared" si="174"/>
        <v>0.05</v>
      </c>
      <c r="N3719" s="475">
        <f t="shared" si="175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73"/>
        <v>-848907446362.9198</v>
      </c>
      <c r="J3720" s="455">
        <f t="array" ref="J3720">IFERROR(INDEX('Retirement Calculator'!J:J,MATCH('Isaac 401k'!N3720,'Retirement Calculator'!A:A,0),0),0)</f>
        <v>0</v>
      </c>
      <c r="K3720" s="455">
        <f t="shared" ca="1" si="171"/>
        <v>-3537114359.845499</v>
      </c>
      <c r="L3720" s="455">
        <f t="shared" ca="1" si="172"/>
        <v>-852444560722.76526</v>
      </c>
      <c r="M3720" s="471">
        <f t="shared" si="174"/>
        <v>0.05</v>
      </c>
      <c r="N3720" s="475">
        <f t="shared" si="175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73"/>
        <v>-852444560722.76526</v>
      </c>
      <c r="J3721" s="455">
        <f t="array" ref="J3721">IFERROR(INDEX('Retirement Calculator'!J:J,MATCH('Isaac 401k'!N3721,'Retirement Calculator'!A:A,0),0),0)</f>
        <v>0</v>
      </c>
      <c r="K3721" s="455">
        <f t="shared" ca="1" si="171"/>
        <v>-3551852336.3448553</v>
      </c>
      <c r="L3721" s="455">
        <f t="shared" ca="1" si="172"/>
        <v>-855996413059.11011</v>
      </c>
      <c r="M3721" s="471">
        <f t="shared" si="174"/>
        <v>0.05</v>
      </c>
      <c r="N3721" s="475">
        <f t="shared" si="175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73"/>
        <v>-855996413059.11011</v>
      </c>
      <c r="J3722" s="455">
        <f t="array" ref="J3722">IFERROR(INDEX('Retirement Calculator'!J:J,MATCH('Isaac 401k'!N3722,'Retirement Calculator'!A:A,0),0),0)</f>
        <v>0</v>
      </c>
      <c r="K3722" s="455">
        <f t="shared" ca="1" si="171"/>
        <v>-3566651721.0796256</v>
      </c>
      <c r="L3722" s="455">
        <f t="shared" ca="1" si="172"/>
        <v>-859563064780.1897</v>
      </c>
      <c r="M3722" s="471">
        <f t="shared" si="174"/>
        <v>0.05</v>
      </c>
      <c r="N3722" s="475">
        <f t="shared" si="175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73"/>
        <v>-859563064780.1897</v>
      </c>
      <c r="J3723" s="455">
        <f t="array" ref="J3723">IFERROR(INDEX('Retirement Calculator'!J:J,MATCH('Isaac 401k'!N3723,'Retirement Calculator'!A:A,0),0),0)</f>
        <v>0</v>
      </c>
      <c r="K3723" s="455">
        <f t="shared" ca="1" si="171"/>
        <v>-3581512769.9174571</v>
      </c>
      <c r="L3723" s="455">
        <f t="shared" ca="1" si="172"/>
        <v>-863144577550.10718</v>
      </c>
      <c r="M3723" s="471">
        <f t="shared" si="174"/>
        <v>0.05</v>
      </c>
      <c r="N3723" s="475">
        <f t="shared" si="175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73"/>
        <v>-863144577550.10718</v>
      </c>
      <c r="J3724" s="455">
        <f t="array" ref="J3724">IFERROR(INDEX('Retirement Calculator'!J:J,MATCH('Isaac 401k'!N3724,'Retirement Calculator'!A:A,0),0),0)</f>
        <v>0</v>
      </c>
      <c r="K3724" s="455">
        <f t="shared" ca="1" si="171"/>
        <v>-3596435739.7921138</v>
      </c>
      <c r="L3724" s="455">
        <f t="shared" ca="1" si="172"/>
        <v>-866741013289.89929</v>
      </c>
      <c r="M3724" s="471">
        <f t="shared" si="174"/>
        <v>0.05</v>
      </c>
      <c r="N3724" s="475">
        <f t="shared" si="175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73"/>
        <v>-866741013289.89929</v>
      </c>
      <c r="J3725" s="455">
        <f t="array" ref="J3725">IFERROR(INDEX('Retirement Calculator'!J:J,MATCH('Isaac 401k'!N3725,'Retirement Calculator'!A:A,0),0),0)</f>
        <v>0</v>
      </c>
      <c r="K3725" s="455">
        <f t="shared" ca="1" si="171"/>
        <v>-3611420888.7079139</v>
      </c>
      <c r="L3725" s="455">
        <f t="shared" ca="1" si="172"/>
        <v>-870352434178.60718</v>
      </c>
      <c r="M3725" s="471">
        <f t="shared" si="174"/>
        <v>0.05</v>
      </c>
      <c r="N3725" s="475">
        <f t="shared" si="175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73"/>
        <v>-870352434178.60718</v>
      </c>
      <c r="J3726" s="455">
        <f t="array" ref="J3726">IFERROR(INDEX('Retirement Calculator'!J:J,MATCH('Isaac 401k'!N3726,'Retirement Calculator'!A:A,0),0),0)</f>
        <v>0</v>
      </c>
      <c r="K3726" s="455">
        <f t="shared" ca="1" si="171"/>
        <v>-3626468475.7441964</v>
      </c>
      <c r="L3726" s="455">
        <f t="shared" ca="1" si="172"/>
        <v>-873978902654.35132</v>
      </c>
      <c r="M3726" s="471">
        <f t="shared" si="174"/>
        <v>0.05</v>
      </c>
      <c r="N3726" s="475">
        <f t="shared" si="175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73"/>
        <v>-873978902654.35132</v>
      </c>
      <c r="J3727" s="455">
        <f t="array" ref="J3727">IFERROR(INDEX('Retirement Calculator'!J:J,MATCH('Isaac 401k'!N3727,'Retirement Calculator'!A:A,0),0),0)</f>
        <v>0</v>
      </c>
      <c r="K3727" s="455">
        <f t="shared" ca="1" si="171"/>
        <v>-3641578761.0597973</v>
      </c>
      <c r="L3727" s="455">
        <f t="shared" ca="1" si="172"/>
        <v>-877620481415.41113</v>
      </c>
      <c r="M3727" s="471">
        <f t="shared" si="174"/>
        <v>0.05</v>
      </c>
      <c r="N3727" s="475">
        <f t="shared" si="175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73"/>
        <v>-877620481415.41113</v>
      </c>
      <c r="J3728" s="455">
        <f t="array" ref="J3728">IFERROR(INDEX('Retirement Calculator'!J:J,MATCH('Isaac 401k'!N3728,'Retirement Calculator'!A:A,0),0),0)</f>
        <v>0</v>
      </c>
      <c r="K3728" s="455">
        <f t="shared" ca="1" si="171"/>
        <v>-3656752005.8975463</v>
      </c>
      <c r="L3728" s="455">
        <f t="shared" ca="1" si="172"/>
        <v>-881277233421.30872</v>
      </c>
      <c r="M3728" s="471">
        <f t="shared" si="174"/>
        <v>0.05</v>
      </c>
      <c r="N3728" s="475">
        <f t="shared" si="175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73"/>
        <v>-881277233421.30872</v>
      </c>
      <c r="J3729" s="455">
        <f t="array" ref="J3729">IFERROR(INDEX('Retirement Calculator'!J:J,MATCH('Isaac 401k'!N3729,'Retirement Calculator'!A:A,0),0),0)</f>
        <v>0</v>
      </c>
      <c r="K3729" s="455">
        <f t="shared" ca="1" si="171"/>
        <v>-3671988472.5887866</v>
      </c>
      <c r="L3729" s="455">
        <f t="shared" ca="1" si="172"/>
        <v>-884949221893.89746</v>
      </c>
      <c r="M3729" s="471">
        <f t="shared" si="174"/>
        <v>0.05</v>
      </c>
      <c r="N3729" s="475">
        <f t="shared" si="175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73"/>
        <v>-884949221893.89746</v>
      </c>
      <c r="J3730" s="455">
        <f t="array" ref="J3730">IFERROR(INDEX('Retirement Calculator'!J:J,MATCH('Isaac 401k'!N3730,'Retirement Calculator'!A:A,0),0),0)</f>
        <v>0</v>
      </c>
      <c r="K3730" s="455">
        <f t="shared" ca="1" si="171"/>
        <v>-3687288424.5579062</v>
      </c>
      <c r="L3730" s="455">
        <f t="shared" ca="1" si="172"/>
        <v>-888636510318.45532</v>
      </c>
      <c r="M3730" s="471">
        <f t="shared" si="174"/>
        <v>0.05</v>
      </c>
      <c r="N3730" s="475">
        <f t="shared" si="175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73"/>
        <v>-888636510318.45532</v>
      </c>
      <c r="J3731" s="455">
        <f t="array" ref="J3731">IFERROR(INDEX('Retirement Calculator'!J:J,MATCH('Isaac 401k'!N3731,'Retirement Calculator'!A:A,0),0),0)</f>
        <v>0</v>
      </c>
      <c r="K3731" s="455">
        <f t="shared" ca="1" si="171"/>
        <v>-3702652126.3268971</v>
      </c>
      <c r="L3731" s="455">
        <f t="shared" ca="1" si="172"/>
        <v>-892339162444.78223</v>
      </c>
      <c r="M3731" s="471">
        <f t="shared" si="174"/>
        <v>0.05</v>
      </c>
      <c r="N3731" s="475">
        <f t="shared" si="175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73"/>
        <v>-892339162444.78223</v>
      </c>
      <c r="J3732" s="455">
        <f t="array" ref="J3732">IFERROR(INDEX('Retirement Calculator'!J:J,MATCH('Isaac 401k'!N3732,'Retirement Calculator'!A:A,0),0),0)</f>
        <v>0</v>
      </c>
      <c r="K3732" s="455">
        <f t="shared" ca="1" si="171"/>
        <v>-3718079843.5199261</v>
      </c>
      <c r="L3732" s="455">
        <f t="shared" ca="1" si="172"/>
        <v>-896057242288.30212</v>
      </c>
      <c r="M3732" s="471">
        <f t="shared" si="174"/>
        <v>0.05</v>
      </c>
      <c r="N3732" s="475">
        <f t="shared" si="175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73"/>
        <v>-896057242288.30212</v>
      </c>
      <c r="J3733" s="455">
        <f t="array" ref="J3733">IFERROR(INDEX('Retirement Calculator'!J:J,MATCH('Isaac 401k'!N3733,'Retirement Calculator'!A:A,0),0),0)</f>
        <v>0</v>
      </c>
      <c r="K3733" s="455">
        <f t="shared" ca="1" si="171"/>
        <v>-3733571842.8679256</v>
      </c>
      <c r="L3733" s="455">
        <f t="shared" ca="1" si="172"/>
        <v>-899790814131.17004</v>
      </c>
      <c r="M3733" s="471">
        <f t="shared" si="174"/>
        <v>0.05</v>
      </c>
      <c r="N3733" s="475">
        <f t="shared" si="175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73"/>
        <v>-899790814131.17004</v>
      </c>
      <c r="J3734" s="455">
        <f t="array" ref="J3734">IFERROR(INDEX('Retirement Calculator'!J:J,MATCH('Isaac 401k'!N3734,'Retirement Calculator'!A:A,0),0),0)</f>
        <v>0</v>
      </c>
      <c r="K3734" s="455">
        <f t="shared" ca="1" si="171"/>
        <v>-3749128392.2132077</v>
      </c>
      <c r="L3734" s="455">
        <f t="shared" ca="1" si="172"/>
        <v>-903539942523.3833</v>
      </c>
      <c r="M3734" s="471">
        <f t="shared" si="174"/>
        <v>0.05</v>
      </c>
      <c r="N3734" s="475">
        <f t="shared" si="175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73"/>
        <v>-903539942523.3833</v>
      </c>
      <c r="J3735" s="455">
        <f t="array" ref="J3735">IFERROR(INDEX('Retirement Calculator'!J:J,MATCH('Isaac 401k'!N3735,'Retirement Calculator'!A:A,0),0),0)</f>
        <v>0</v>
      </c>
      <c r="K3735" s="455">
        <f t="shared" ca="1" si="171"/>
        <v>-3764749760.5140972</v>
      </c>
      <c r="L3735" s="455">
        <f t="shared" ca="1" si="172"/>
        <v>-907304692283.89734</v>
      </c>
      <c r="M3735" s="471">
        <f t="shared" si="174"/>
        <v>0.05</v>
      </c>
      <c r="N3735" s="475">
        <f t="shared" si="175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73"/>
        <v>-907304692283.89734</v>
      </c>
      <c r="J3736" s="455">
        <f t="array" ref="J3736">IFERROR(INDEX('Retirement Calculator'!J:J,MATCH('Isaac 401k'!N3736,'Retirement Calculator'!A:A,0),0),0)</f>
        <v>0</v>
      </c>
      <c r="K3736" s="455">
        <f t="shared" ca="1" si="171"/>
        <v>-3780436217.8495727</v>
      </c>
      <c r="L3736" s="455">
        <f t="shared" ca="1" si="172"/>
        <v>-911085128501.74695</v>
      </c>
      <c r="M3736" s="471">
        <f t="shared" si="174"/>
        <v>0.05</v>
      </c>
      <c r="N3736" s="475">
        <f t="shared" si="175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73"/>
        <v>-911085128501.74695</v>
      </c>
      <c r="J3737" s="455">
        <f t="array" ref="J3737">IFERROR(INDEX('Retirement Calculator'!J:J,MATCH('Isaac 401k'!N3737,'Retirement Calculator'!A:A,0),0),0)</f>
        <v>0</v>
      </c>
      <c r="K3737" s="455">
        <f t="shared" ca="1" si="171"/>
        <v>-3796188035.4239459</v>
      </c>
      <c r="L3737" s="455">
        <f t="shared" ca="1" si="172"/>
        <v>-914881316537.1709</v>
      </c>
      <c r="M3737" s="471">
        <f t="shared" si="174"/>
        <v>0.05</v>
      </c>
      <c r="N3737" s="475">
        <f t="shared" si="175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73"/>
        <v>-914881316537.1709</v>
      </c>
      <c r="J3738" s="455">
        <f t="array" ref="J3738">IFERROR(INDEX('Retirement Calculator'!J:J,MATCH('Isaac 401k'!N3738,'Retirement Calculator'!A:A,0),0),0)</f>
        <v>0</v>
      </c>
      <c r="K3738" s="455">
        <f t="shared" ca="1" si="171"/>
        <v>-3812005485.5715446</v>
      </c>
      <c r="L3738" s="455">
        <f t="shared" ca="1" si="172"/>
        <v>-918693322022.74243</v>
      </c>
      <c r="M3738" s="471">
        <f t="shared" si="174"/>
        <v>0.05</v>
      </c>
      <c r="N3738" s="475">
        <f t="shared" si="175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73"/>
        <v>-918693322022.74243</v>
      </c>
      <c r="J3739" s="455">
        <f t="array" ref="J3739">IFERROR(INDEX('Retirement Calculator'!J:J,MATCH('Isaac 401k'!N3739,'Retirement Calculator'!A:A,0),0),0)</f>
        <v>0</v>
      </c>
      <c r="K3739" s="455">
        <f t="shared" ca="1" si="171"/>
        <v>-3827888841.7614269</v>
      </c>
      <c r="L3739" s="455">
        <f t="shared" ca="1" si="172"/>
        <v>-922521210864.50391</v>
      </c>
      <c r="M3739" s="471">
        <f t="shared" si="174"/>
        <v>0.05</v>
      </c>
      <c r="N3739" s="475">
        <f t="shared" si="175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73"/>
        <v>-922521210864.50391</v>
      </c>
      <c r="J3740" s="455">
        <f t="array" ref="J3740">IFERROR(INDEX('Retirement Calculator'!J:J,MATCH('Isaac 401k'!N3740,'Retirement Calculator'!A:A,0),0),0)</f>
        <v>0</v>
      </c>
      <c r="K3740" s="455">
        <f t="shared" ca="1" si="171"/>
        <v>-3843838378.6020994</v>
      </c>
      <c r="L3740" s="455">
        <f t="shared" ca="1" si="172"/>
        <v>-926365049243.10596</v>
      </c>
      <c r="M3740" s="471">
        <f t="shared" si="174"/>
        <v>0.05</v>
      </c>
      <c r="N3740" s="475">
        <f t="shared" si="175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73"/>
        <v>-926365049243.10596</v>
      </c>
      <c r="J3741" s="455">
        <f t="array" ref="J3741">IFERROR(INDEX('Retirement Calculator'!J:J,MATCH('Isaac 401k'!N3741,'Retirement Calculator'!A:A,0),0),0)</f>
        <v>0</v>
      </c>
      <c r="K3741" s="455">
        <f t="shared" ca="1" si="171"/>
        <v>-3859854371.8462749</v>
      </c>
      <c r="L3741" s="455">
        <f t="shared" ca="1" si="172"/>
        <v>-930224903614.95227</v>
      </c>
      <c r="M3741" s="471">
        <f t="shared" si="174"/>
        <v>0.05</v>
      </c>
      <c r="N3741" s="475">
        <f t="shared" si="175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73"/>
        <v>-930224903614.95227</v>
      </c>
      <c r="J3742" s="455">
        <f t="array" ref="J3742">IFERROR(INDEX('Retirement Calculator'!J:J,MATCH('Isaac 401k'!N3742,'Retirement Calculator'!A:A,0),0),0)</f>
        <v>0</v>
      </c>
      <c r="K3742" s="455">
        <f t="shared" ca="1" si="171"/>
        <v>-3875937098.3956342</v>
      </c>
      <c r="L3742" s="455">
        <f t="shared" ca="1" si="172"/>
        <v>-934100840713.3479</v>
      </c>
      <c r="M3742" s="471">
        <f t="shared" si="174"/>
        <v>0.05</v>
      </c>
      <c r="N3742" s="475">
        <f t="shared" si="175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73"/>
        <v>-934100840713.3479</v>
      </c>
      <c r="J3743" s="455">
        <f t="array" ref="J3743">IFERROR(INDEX('Retirement Calculator'!J:J,MATCH('Isaac 401k'!N3743,'Retirement Calculator'!A:A,0),0),0)</f>
        <v>0</v>
      </c>
      <c r="K3743" s="455">
        <f t="shared" ca="1" si="171"/>
        <v>-3892086836.3056164</v>
      </c>
      <c r="L3743" s="455">
        <f t="shared" ca="1" si="172"/>
        <v>-937992927549.65356</v>
      </c>
      <c r="M3743" s="471">
        <f t="shared" si="174"/>
        <v>0.05</v>
      </c>
      <c r="N3743" s="475">
        <f t="shared" si="175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73"/>
        <v>-937992927549.65356</v>
      </c>
      <c r="J3744" s="455">
        <f t="array" ref="J3744">IFERROR(INDEX('Retirement Calculator'!J:J,MATCH('Isaac 401k'!N3744,'Retirement Calculator'!A:A,0),0),0)</f>
        <v>0</v>
      </c>
      <c r="K3744" s="455">
        <f t="shared" ca="1" si="171"/>
        <v>-3908303864.7902231</v>
      </c>
      <c r="L3744" s="455">
        <f t="shared" ca="1" si="172"/>
        <v>-941901231414.44385</v>
      </c>
      <c r="M3744" s="471">
        <f t="shared" si="174"/>
        <v>0.05</v>
      </c>
      <c r="N3744" s="475">
        <f t="shared" si="175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73"/>
        <v>-941901231414.44385</v>
      </c>
      <c r="J3745" s="455">
        <f t="array" ref="J3745">IFERROR(INDEX('Retirement Calculator'!J:J,MATCH('Isaac 401k'!N3745,'Retirement Calculator'!A:A,0),0),0)</f>
        <v>0</v>
      </c>
      <c r="K3745" s="455">
        <f t="shared" ca="1" si="171"/>
        <v>-3924588464.2268491</v>
      </c>
      <c r="L3745" s="455">
        <f t="shared" ca="1" si="172"/>
        <v>-945825819878.67065</v>
      </c>
      <c r="M3745" s="471">
        <f t="shared" si="174"/>
        <v>0.05</v>
      </c>
      <c r="N3745" s="475">
        <f t="shared" si="175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73"/>
        <v>-945825819878.67065</v>
      </c>
      <c r="J3746" s="455">
        <f t="array" ref="J3746">IFERROR(INDEX('Retirement Calculator'!J:J,MATCH('Isaac 401k'!N3746,'Retirement Calculator'!A:A,0),0),0)</f>
        <v>0</v>
      </c>
      <c r="K3746" s="455">
        <f t="shared" ca="1" si="171"/>
        <v>-3940940916.1611276</v>
      </c>
      <c r="L3746" s="455">
        <f t="shared" ca="1" si="172"/>
        <v>-949766760794.83179</v>
      </c>
      <c r="M3746" s="471">
        <f t="shared" si="174"/>
        <v>0.05</v>
      </c>
      <c r="N3746" s="475">
        <f t="shared" si="175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73"/>
        <v>-949766760794.83179</v>
      </c>
      <c r="J3747" s="455">
        <f t="array" ref="J3747">IFERROR(INDEX('Retirement Calculator'!J:J,MATCH('Isaac 401k'!N3747,'Retirement Calculator'!A:A,0),0),0)</f>
        <v>0</v>
      </c>
      <c r="K3747" s="455">
        <f t="shared" ca="1" si="171"/>
        <v>-3957361503.311799</v>
      </c>
      <c r="L3747" s="455">
        <f t="shared" ca="1" si="172"/>
        <v>-953724122298.14355</v>
      </c>
      <c r="M3747" s="471">
        <f t="shared" si="174"/>
        <v>0.05</v>
      </c>
      <c r="N3747" s="475">
        <f t="shared" si="175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73"/>
        <v>-953724122298.14355</v>
      </c>
      <c r="J3748" s="455">
        <f t="array" ref="J3748">IFERROR(INDEX('Retirement Calculator'!J:J,MATCH('Isaac 401k'!N3748,'Retirement Calculator'!A:A,0),0),0)</f>
        <v>0</v>
      </c>
      <c r="K3748" s="455">
        <f t="shared" ca="1" si="171"/>
        <v>-3973850509.5755982</v>
      </c>
      <c r="L3748" s="455">
        <f t="shared" ca="1" si="172"/>
        <v>-957697972807.71912</v>
      </c>
      <c r="M3748" s="471">
        <f t="shared" si="174"/>
        <v>0.05</v>
      </c>
      <c r="N3748" s="475">
        <f t="shared" si="175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73"/>
        <v>-957697972807.71912</v>
      </c>
      <c r="J3749" s="455">
        <f t="array" ref="J3749">IFERROR(INDEX('Retirement Calculator'!J:J,MATCH('Isaac 401k'!N3749,'Retirement Calculator'!A:A,0),0),0)</f>
        <v>0</v>
      </c>
      <c r="K3749" s="455">
        <f t="shared" ca="1" si="171"/>
        <v>-3990408220.0321631</v>
      </c>
      <c r="L3749" s="455">
        <f t="shared" ca="1" si="172"/>
        <v>-961688381027.75122</v>
      </c>
      <c r="M3749" s="471">
        <f t="shared" si="174"/>
        <v>0.05</v>
      </c>
      <c r="N3749" s="475">
        <f t="shared" si="175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73"/>
        <v>-961688381027.75122</v>
      </c>
      <c r="J3750" s="455">
        <f t="array" ref="J3750">IFERROR(INDEX('Retirement Calculator'!J:J,MATCH('Isaac 401k'!N3750,'Retirement Calculator'!A:A,0),0),0)</f>
        <v>0</v>
      </c>
      <c r="K3750" s="455">
        <f t="shared" ca="1" si="171"/>
        <v>-4007034920.9489636</v>
      </c>
      <c r="L3750" s="455">
        <f t="shared" ca="1" si="172"/>
        <v>-965695415948.7002</v>
      </c>
      <c r="M3750" s="471">
        <f t="shared" si="174"/>
        <v>0.05</v>
      </c>
      <c r="N3750" s="475">
        <f t="shared" si="175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73"/>
        <v>-965695415948.7002</v>
      </c>
      <c r="J3751" s="455">
        <f t="array" ref="J3751">IFERROR(INDEX('Retirement Calculator'!J:J,MATCH('Isaac 401k'!N3751,'Retirement Calculator'!A:A,0),0),0)</f>
        <v>0</v>
      </c>
      <c r="K3751" s="455">
        <f t="shared" ca="1" si="171"/>
        <v>-4023730899.7862506</v>
      </c>
      <c r="L3751" s="455">
        <f t="shared" ca="1" si="172"/>
        <v>-969719146848.48645</v>
      </c>
      <c r="M3751" s="471">
        <f t="shared" si="174"/>
        <v>0.05</v>
      </c>
      <c r="N3751" s="475">
        <f t="shared" si="175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73"/>
        <v>-969719146848.48645</v>
      </c>
      <c r="J3752" s="455">
        <f t="array" ref="J3752">IFERROR(INDEX('Retirement Calculator'!J:J,MATCH('Isaac 401k'!N3752,'Retirement Calculator'!A:A,0),0),0)</f>
        <v>0</v>
      </c>
      <c r="K3752" s="455">
        <f t="shared" ca="1" si="171"/>
        <v>-4040496445.2020268</v>
      </c>
      <c r="L3752" s="455">
        <f t="shared" ca="1" si="172"/>
        <v>-973759643293.68848</v>
      </c>
      <c r="M3752" s="471">
        <f t="shared" si="174"/>
        <v>0.05</v>
      </c>
      <c r="N3752" s="475">
        <f t="shared" si="175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73"/>
        <v>-973759643293.68848</v>
      </c>
      <c r="J3753" s="455">
        <f t="array" ref="J3753">IFERROR(INDEX('Retirement Calculator'!J:J,MATCH('Isaac 401k'!N3753,'Retirement Calculator'!A:A,0),0),0)</f>
        <v>0</v>
      </c>
      <c r="K3753" s="455">
        <f t="shared" ca="1" si="171"/>
        <v>-4057331847.0570359</v>
      </c>
      <c r="L3753" s="455">
        <f t="shared" ca="1" si="172"/>
        <v>-977816975140.74548</v>
      </c>
      <c r="M3753" s="471">
        <f t="shared" si="174"/>
        <v>0.05</v>
      </c>
      <c r="N3753" s="475">
        <f t="shared" si="175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73"/>
        <v>-977816975140.74548</v>
      </c>
      <c r="J3754" s="455">
        <f t="array" ref="J3754">IFERROR(INDEX('Retirement Calculator'!J:J,MATCH('Isaac 401k'!N3754,'Retirement Calculator'!A:A,0),0),0)</f>
        <v>0</v>
      </c>
      <c r="K3754" s="455">
        <f t="shared" ca="1" si="171"/>
        <v>-4074237396.4197726</v>
      </c>
      <c r="L3754" s="455">
        <f t="shared" ca="1" si="172"/>
        <v>-981891212537.16528</v>
      </c>
      <c r="M3754" s="471">
        <f t="shared" si="174"/>
        <v>0.05</v>
      </c>
      <c r="N3754" s="475">
        <f t="shared" si="175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73"/>
        <v>-981891212537.16528</v>
      </c>
      <c r="J3755" s="455">
        <f t="array" ref="J3755">IFERROR(INDEX('Retirement Calculator'!J:J,MATCH('Isaac 401k'!N3755,'Retirement Calculator'!A:A,0),0),0)</f>
        <v>0</v>
      </c>
      <c r="K3755" s="455">
        <f t="shared" ca="1" si="171"/>
        <v>-4091213385.5715218</v>
      </c>
      <c r="L3755" s="455">
        <f t="shared" ca="1" si="172"/>
        <v>-985982425922.73682</v>
      </c>
      <c r="M3755" s="471">
        <f t="shared" si="174"/>
        <v>0.05</v>
      </c>
      <c r="N3755" s="475">
        <f t="shared" si="175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73"/>
        <v>-985982425922.73682</v>
      </c>
      <c r="J3756" s="455">
        <f t="array" ref="J3756">IFERROR(INDEX('Retirement Calculator'!J:J,MATCH('Isaac 401k'!N3756,'Retirement Calculator'!A:A,0),0),0)</f>
        <v>0</v>
      </c>
      <c r="K3756" s="455">
        <f t="shared" ca="1" si="171"/>
        <v>-4108260108.0114036</v>
      </c>
      <c r="L3756" s="455">
        <f t="shared" ca="1" si="172"/>
        <v>-990090686030.74817</v>
      </c>
      <c r="M3756" s="471">
        <f t="shared" si="174"/>
        <v>0.05</v>
      </c>
      <c r="N3756" s="475">
        <f t="shared" si="175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73"/>
        <v>-990090686030.74817</v>
      </c>
      <c r="J3757" s="455">
        <f t="array" ref="J3757">IFERROR(INDEX('Retirement Calculator'!J:J,MATCH('Isaac 401k'!N3757,'Retirement Calculator'!A:A,0),0),0)</f>
        <v>0</v>
      </c>
      <c r="K3757" s="455">
        <f t="shared" ca="1" si="171"/>
        <v>-4125377858.4614506</v>
      </c>
      <c r="L3757" s="455">
        <f t="shared" ca="1" si="172"/>
        <v>-994216063889.20959</v>
      </c>
      <c r="M3757" s="471">
        <f t="shared" si="174"/>
        <v>0.05</v>
      </c>
      <c r="N3757" s="475">
        <f t="shared" si="175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73"/>
        <v>-994216063889.20959</v>
      </c>
      <c r="J3758" s="455">
        <f t="array" ref="J3758">IFERROR(INDEX('Retirement Calculator'!J:J,MATCH('Isaac 401k'!N3758,'Retirement Calculator'!A:A,0),0),0)</f>
        <v>0</v>
      </c>
      <c r="K3758" s="455">
        <f t="shared" ca="1" si="171"/>
        <v>-4142566932.871707</v>
      </c>
      <c r="L3758" s="455">
        <f t="shared" ca="1" si="172"/>
        <v>-998358630822.0813</v>
      </c>
      <c r="M3758" s="471">
        <f t="shared" si="174"/>
        <v>0.05</v>
      </c>
      <c r="N3758" s="475">
        <f t="shared" si="175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73"/>
        <v>-998358630822.0813</v>
      </c>
      <c r="J3759" s="455">
        <f t="array" ref="J3759">IFERROR(INDEX('Retirement Calculator'!J:J,MATCH('Isaac 401k'!N3759,'Retirement Calculator'!A:A,0),0),0)</f>
        <v>0</v>
      </c>
      <c r="K3759" s="455">
        <f t="shared" ca="1" si="171"/>
        <v>-4159827628.4253387</v>
      </c>
      <c r="L3759" s="455">
        <f t="shared" ca="1" si="172"/>
        <v>-1002518458450.5066</v>
      </c>
      <c r="M3759" s="471">
        <f t="shared" si="174"/>
        <v>0.05</v>
      </c>
      <c r="N3759" s="475">
        <f t="shared" si="175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73"/>
        <v>-1002518458450.5066</v>
      </c>
      <c r="J3760" s="455">
        <f t="array" ref="J3760">IFERROR(INDEX('Retirement Calculator'!J:J,MATCH('Isaac 401k'!N3760,'Retirement Calculator'!A:A,0),0),0)</f>
        <v>0</v>
      </c>
      <c r="K3760" s="455">
        <f t="shared" ca="1" si="171"/>
        <v>-4177160243.5437779</v>
      </c>
      <c r="L3760" s="455">
        <f t="shared" ca="1" si="172"/>
        <v>-1006695618694.0504</v>
      </c>
      <c r="M3760" s="471">
        <f t="shared" si="174"/>
        <v>0.05</v>
      </c>
      <c r="N3760" s="475">
        <f t="shared" si="175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73"/>
        <v>-1006695618694.0504</v>
      </c>
      <c r="J3761" s="455">
        <f t="array" ref="J3761">IFERROR(INDEX('Retirement Calculator'!J:J,MATCH('Isaac 401k'!N3761,'Retirement Calculator'!A:A,0),0),0)</f>
        <v>0</v>
      </c>
      <c r="K3761" s="455">
        <f t="shared" ca="1" si="171"/>
        <v>-4194565077.8918767</v>
      </c>
      <c r="L3761" s="455">
        <f t="shared" ca="1" si="172"/>
        <v>-1010890183771.9423</v>
      </c>
      <c r="M3761" s="471">
        <f t="shared" si="174"/>
        <v>0.05</v>
      </c>
      <c r="N3761" s="475">
        <f t="shared" si="175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73"/>
        <v>-1010890183771.9423</v>
      </c>
      <c r="J3762" s="455">
        <f t="array" ref="J3762">IFERROR(INDEX('Retirement Calculator'!J:J,MATCH('Isaac 401k'!N3762,'Retirement Calculator'!A:A,0),0),0)</f>
        <v>0</v>
      </c>
      <c r="K3762" s="455">
        <f t="shared" ca="1" si="171"/>
        <v>-4212042432.3830934</v>
      </c>
      <c r="L3762" s="455">
        <f t="shared" ca="1" si="172"/>
        <v>-1015102226204.3253</v>
      </c>
      <c r="M3762" s="471">
        <f t="shared" si="174"/>
        <v>0.05</v>
      </c>
      <c r="N3762" s="475">
        <f t="shared" si="175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73"/>
        <v>-1015102226204.3253</v>
      </c>
      <c r="J3763" s="455">
        <f t="array" ref="J3763">IFERROR(INDEX('Retirement Calculator'!J:J,MATCH('Isaac 401k'!N3763,'Retirement Calculator'!A:A,0),0),0)</f>
        <v>0</v>
      </c>
      <c r="K3763" s="455">
        <f t="shared" ca="1" si="171"/>
        <v>-4229592609.1846886</v>
      </c>
      <c r="L3763" s="455">
        <f t="shared" ca="1" si="172"/>
        <v>-1019331818813.51</v>
      </c>
      <c r="M3763" s="471">
        <f t="shared" si="174"/>
        <v>0.05</v>
      </c>
      <c r="N3763" s="475">
        <f t="shared" si="175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73"/>
        <v>-1019331818813.51</v>
      </c>
      <c r="J3764" s="455">
        <f t="array" ref="J3764">IFERROR(INDEX('Retirement Calculator'!J:J,MATCH('Isaac 401k'!N3764,'Retirement Calculator'!A:A,0),0),0)</f>
        <v>0</v>
      </c>
      <c r="K3764" s="455">
        <f t="shared" ca="1" si="171"/>
        <v>-4247215911.7229581</v>
      </c>
      <c r="L3764" s="455">
        <f t="shared" ca="1" si="172"/>
        <v>-1023579034725.2329</v>
      </c>
      <c r="M3764" s="471">
        <f t="shared" si="174"/>
        <v>0.05</v>
      </c>
      <c r="N3764" s="475">
        <f t="shared" si="175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73"/>
        <v>-1023579034725.2329</v>
      </c>
      <c r="J3765" s="455">
        <f t="array" ref="J3765">IFERROR(INDEX('Retirement Calculator'!J:J,MATCH('Isaac 401k'!N3765,'Retirement Calculator'!A:A,0),0),0)</f>
        <v>0</v>
      </c>
      <c r="K3765" s="455">
        <f t="shared" ca="1" si="171"/>
        <v>-4264912644.6884704</v>
      </c>
      <c r="L3765" s="455">
        <f t="shared" ca="1" si="172"/>
        <v>-1027843947369.9214</v>
      </c>
      <c r="M3765" s="471">
        <f t="shared" si="174"/>
        <v>0.05</v>
      </c>
      <c r="N3765" s="475">
        <f t="shared" si="175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73"/>
        <v>-1027843947369.9214</v>
      </c>
      <c r="J3766" s="455">
        <f t="array" ref="J3766">IFERROR(INDEX('Retirement Calculator'!J:J,MATCH('Isaac 401k'!N3766,'Retirement Calculator'!A:A,0),0),0)</f>
        <v>0</v>
      </c>
      <c r="K3766" s="455">
        <f t="shared" ca="1" si="171"/>
        <v>-4282683114.0413384</v>
      </c>
      <c r="L3766" s="455">
        <f t="shared" ca="1" si="172"/>
        <v>-1032126630483.9628</v>
      </c>
      <c r="M3766" s="471">
        <f t="shared" si="174"/>
        <v>0.05</v>
      </c>
      <c r="N3766" s="475">
        <f t="shared" si="175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73"/>
        <v>-1032126630483.9628</v>
      </c>
      <c r="J3767" s="455">
        <f t="array" ref="J3767">IFERROR(INDEX('Retirement Calculator'!J:J,MATCH('Isaac 401k'!N3767,'Retirement Calculator'!A:A,0),0),0)</f>
        <v>0</v>
      </c>
      <c r="K3767" s="455">
        <f t="shared" ca="1" si="171"/>
        <v>-4300527627.0165119</v>
      </c>
      <c r="L3767" s="455">
        <f t="shared" ca="1" si="172"/>
        <v>-1036427158110.9792</v>
      </c>
      <c r="M3767" s="471">
        <f t="shared" si="174"/>
        <v>0.05</v>
      </c>
      <c r="N3767" s="475">
        <f t="shared" si="175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73"/>
        <v>-1036427158110.9792</v>
      </c>
      <c r="J3768" s="455">
        <f t="array" ref="J3768">IFERROR(INDEX('Retirement Calculator'!J:J,MATCH('Isaac 401k'!N3768,'Retirement Calculator'!A:A,0),0),0)</f>
        <v>0</v>
      </c>
      <c r="K3768" s="455">
        <f t="shared" ca="1" si="171"/>
        <v>-4318446492.1290798</v>
      </c>
      <c r="L3768" s="455">
        <f t="shared" ca="1" si="172"/>
        <v>-1040745604603.1083</v>
      </c>
      <c r="M3768" s="471">
        <f t="shared" si="174"/>
        <v>0.05</v>
      </c>
      <c r="N3768" s="475">
        <f t="shared" si="175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73"/>
        <v>-1040745604603.1083</v>
      </c>
      <c r="J3769" s="455">
        <f t="array" ref="J3769">IFERROR(INDEX('Retirement Calculator'!J:J,MATCH('Isaac 401k'!N3769,'Retirement Calculator'!A:A,0),0),0)</f>
        <v>0</v>
      </c>
      <c r="K3769" s="455">
        <f t="shared" ca="1" si="171"/>
        <v>-4336440019.1796179</v>
      </c>
      <c r="L3769" s="455">
        <f t="shared" ca="1" si="172"/>
        <v>-1045082044622.2878</v>
      </c>
      <c r="M3769" s="471">
        <f t="shared" si="174"/>
        <v>0.05</v>
      </c>
      <c r="N3769" s="475">
        <f t="shared" si="175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73"/>
        <v>-1045082044622.2878</v>
      </c>
      <c r="J3770" s="455">
        <f t="array" ref="J3770">IFERROR(INDEX('Retirement Calculator'!J:J,MATCH('Isaac 401k'!N3770,'Retirement Calculator'!A:A,0),0),0)</f>
        <v>0</v>
      </c>
      <c r="K3770" s="455">
        <f t="shared" ca="1" si="171"/>
        <v>-4354508519.2595329</v>
      </c>
      <c r="L3770" s="455">
        <f t="shared" ca="1" si="172"/>
        <v>-1049436553141.5474</v>
      </c>
      <c r="M3770" s="471">
        <f t="shared" si="174"/>
        <v>0.05</v>
      </c>
      <c r="N3770" s="475">
        <f t="shared" si="175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73"/>
        <v>-1049436553141.5474</v>
      </c>
      <c r="J3771" s="455">
        <f t="array" ref="J3771">IFERROR(INDEX('Retirement Calculator'!J:J,MATCH('Isaac 401k'!N3771,'Retirement Calculator'!A:A,0),0),0)</f>
        <v>0</v>
      </c>
      <c r="K3771" s="455">
        <f t="shared" ca="1" si="171"/>
        <v>-4372652304.7564468</v>
      </c>
      <c r="L3771" s="455">
        <f t="shared" ca="1" si="172"/>
        <v>-1053809205446.3038</v>
      </c>
      <c r="M3771" s="471">
        <f t="shared" si="174"/>
        <v>0.05</v>
      </c>
      <c r="N3771" s="475">
        <f t="shared" si="175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73"/>
        <v>-1053809205446.3038</v>
      </c>
      <c r="J3772" s="455">
        <f t="array" ref="J3772">IFERROR(INDEX('Retirement Calculator'!J:J,MATCH('Isaac 401k'!N3772,'Retirement Calculator'!A:A,0),0),0)</f>
        <v>0</v>
      </c>
      <c r="K3772" s="455">
        <f t="shared" ca="1" si="171"/>
        <v>-4390871689.3596001</v>
      </c>
      <c r="L3772" s="455">
        <f t="shared" ca="1" si="172"/>
        <v>-1058200077135.6635</v>
      </c>
      <c r="M3772" s="471">
        <f t="shared" si="174"/>
        <v>0.05</v>
      </c>
      <c r="N3772" s="475">
        <f t="shared" si="175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73"/>
        <v>-1058200077135.6635</v>
      </c>
      <c r="J3773" s="455">
        <f t="array" ref="J3773">IFERROR(INDEX('Retirement Calculator'!J:J,MATCH('Isaac 401k'!N3773,'Retirement Calculator'!A:A,0),0),0)</f>
        <v>0</v>
      </c>
      <c r="K3773" s="455">
        <f t="shared" ca="1" si="171"/>
        <v>-4409166988.0652647</v>
      </c>
      <c r="L3773" s="455">
        <f t="shared" ca="1" si="172"/>
        <v>-1062609244123.7288</v>
      </c>
      <c r="M3773" s="471">
        <f t="shared" si="174"/>
        <v>0.05</v>
      </c>
      <c r="N3773" s="475">
        <f t="shared" si="175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73"/>
        <v>-1062609244123.7288</v>
      </c>
      <c r="J3774" s="455">
        <f t="array" ref="J3774">IFERROR(INDEX('Retirement Calculator'!J:J,MATCH('Isaac 401k'!N3774,'Retirement Calculator'!A:A,0),0),0)</f>
        <v>0</v>
      </c>
      <c r="K3774" s="455">
        <f t="shared" ca="1" si="171"/>
        <v>-4427538517.1822033</v>
      </c>
      <c r="L3774" s="455">
        <f t="shared" ca="1" si="172"/>
        <v>-1067036782640.911</v>
      </c>
      <c r="M3774" s="471">
        <f t="shared" si="174"/>
        <v>0.05</v>
      </c>
      <c r="N3774" s="475">
        <f t="shared" si="175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73"/>
        <v>-1067036782640.911</v>
      </c>
      <c r="J3775" s="455">
        <f t="array" ref="J3775">IFERROR(INDEX('Retirement Calculator'!J:J,MATCH('Isaac 401k'!N3775,'Retirement Calculator'!A:A,0),0),0)</f>
        <v>0</v>
      </c>
      <c r="K3775" s="455">
        <f t="shared" ca="1" si="171"/>
        <v>-4445986594.3371296</v>
      </c>
      <c r="L3775" s="455">
        <f t="shared" ca="1" si="172"/>
        <v>-1071482769235.2482</v>
      </c>
      <c r="M3775" s="471">
        <f t="shared" si="174"/>
        <v>0.05</v>
      </c>
      <c r="N3775" s="475">
        <f t="shared" si="175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73"/>
        <v>-1071482769235.2482</v>
      </c>
      <c r="J3776" s="455">
        <f t="array" ref="J3776">IFERROR(INDEX('Retirement Calculator'!J:J,MATCH('Isaac 401k'!N3776,'Retirement Calculator'!A:A,0),0),0)</f>
        <v>0</v>
      </c>
      <c r="K3776" s="455">
        <f t="shared" ca="1" si="171"/>
        <v>-4464511538.4802008</v>
      </c>
      <c r="L3776" s="455">
        <f t="shared" ca="1" si="172"/>
        <v>-1075947280773.7284</v>
      </c>
      <c r="M3776" s="471">
        <f t="shared" si="174"/>
        <v>0.05</v>
      </c>
      <c r="N3776" s="475">
        <f t="shared" si="175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73"/>
        <v>-1075947280773.7284</v>
      </c>
      <c r="J3777" s="455">
        <f t="array" ref="J3777">IFERROR(INDEX('Retirement Calculator'!J:J,MATCH('Isaac 401k'!N3777,'Retirement Calculator'!A:A,0),0),0)</f>
        <v>0</v>
      </c>
      <c r="K3777" s="455">
        <f t="shared" ca="1" si="171"/>
        <v>-4483113669.8905354</v>
      </c>
      <c r="L3777" s="455">
        <f t="shared" ca="1" si="172"/>
        <v>-1080430394443.6189</v>
      </c>
      <c r="M3777" s="471">
        <f t="shared" si="174"/>
        <v>0.05</v>
      </c>
      <c r="N3777" s="475">
        <f t="shared" si="175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73"/>
        <v>-1080430394443.6189</v>
      </c>
      <c r="J3778" s="455">
        <f t="array" ref="J3778">IFERROR(INDEX('Retirement Calculator'!J:J,MATCH('Isaac 401k'!N3778,'Retirement Calculator'!A:A,0),0),0)</f>
        <v>0</v>
      </c>
      <c r="K3778" s="455">
        <f t="shared" ca="1" si="171"/>
        <v>-4501793310.1817455</v>
      </c>
      <c r="L3778" s="455">
        <f t="shared" ca="1" si="172"/>
        <v>-1084932187753.8007</v>
      </c>
      <c r="M3778" s="471">
        <f t="shared" si="174"/>
        <v>0.05</v>
      </c>
      <c r="N3778" s="475">
        <f t="shared" si="175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73"/>
        <v>-1084932187753.8007</v>
      </c>
      <c r="J3779" s="455">
        <f t="array" ref="J3779">IFERROR(INDEX('Retirement Calculator'!J:J,MATCH('Isaac 401k'!N3779,'Retirement Calculator'!A:A,0),0),0)</f>
        <v>0</v>
      </c>
      <c r="K3779" s="455">
        <f t="shared" ca="1" si="171"/>
        <v>-4520550782.3075027</v>
      </c>
      <c r="L3779" s="455">
        <f t="shared" ca="1" si="172"/>
        <v>-1089452738536.1082</v>
      </c>
      <c r="M3779" s="471">
        <f t="shared" si="174"/>
        <v>0.05</v>
      </c>
      <c r="N3779" s="475">
        <f t="shared" si="175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73"/>
        <v>-1089452738536.1082</v>
      </c>
      <c r="J3780" s="455">
        <f t="array" ref="J3780">IFERROR(INDEX('Retirement Calculator'!J:J,MATCH('Isaac 401k'!N3780,'Retirement Calculator'!A:A,0),0),0)</f>
        <v>0</v>
      </c>
      <c r="K3780" s="455">
        <f t="shared" ca="1" si="171"/>
        <v>-4539386410.5671177</v>
      </c>
      <c r="L3780" s="455">
        <f t="shared" ca="1" si="172"/>
        <v>-1093992124946.6753</v>
      </c>
      <c r="M3780" s="471">
        <f t="shared" si="174"/>
        <v>0.05</v>
      </c>
      <c r="N3780" s="475">
        <f t="shared" si="175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73"/>
        <v>-1093992124946.6753</v>
      </c>
      <c r="J3781" s="455">
        <f t="array" ref="J3781">IFERROR(INDEX('Retirement Calculator'!J:J,MATCH('Isaac 401k'!N3781,'Retirement Calculator'!A:A,0),0),0)</f>
        <v>0</v>
      </c>
      <c r="K3781" s="455">
        <f t="shared" ca="1" si="171"/>
        <v>-4558300520.6111469</v>
      </c>
      <c r="L3781" s="455">
        <f t="shared" ca="1" si="172"/>
        <v>-1098550425467.2865</v>
      </c>
      <c r="M3781" s="471">
        <f t="shared" si="174"/>
        <v>0.05</v>
      </c>
      <c r="N3781" s="475">
        <f t="shared" si="175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73"/>
        <v>-1098550425467.2865</v>
      </c>
      <c r="J3782" s="455">
        <f t="array" ref="J3782">IFERROR(INDEX('Retirement Calculator'!J:J,MATCH('Isaac 401k'!N3782,'Retirement Calculator'!A:A,0),0),0)</f>
        <v>0</v>
      </c>
      <c r="K3782" s="455">
        <f t="shared" ca="1" si="171"/>
        <v>-4577293439.4470272</v>
      </c>
      <c r="L3782" s="455">
        <f t="shared" ca="1" si="172"/>
        <v>-1103127718906.7336</v>
      </c>
      <c r="M3782" s="471">
        <f t="shared" si="174"/>
        <v>0.05</v>
      </c>
      <c r="N3782" s="475">
        <f t="shared" si="175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73"/>
        <v>-1103127718906.7336</v>
      </c>
      <c r="J3783" s="455">
        <f t="array" ref="J3783">IFERROR(INDEX('Retirement Calculator'!J:J,MATCH('Isaac 401k'!N3783,'Retirement Calculator'!A:A,0),0),0)</f>
        <v>0</v>
      </c>
      <c r="K3783" s="455">
        <f t="shared" ca="1" si="171"/>
        <v>-4596365495.4447231</v>
      </c>
      <c r="L3783" s="455">
        <f t="shared" ca="1" si="172"/>
        <v>-1107724084402.1785</v>
      </c>
      <c r="M3783" s="471">
        <f t="shared" si="174"/>
        <v>0.05</v>
      </c>
      <c r="N3783" s="475">
        <f t="shared" si="175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73"/>
        <v>-1107724084402.1785</v>
      </c>
      <c r="J3784" s="455">
        <f t="array" ref="J3784">IFERROR(INDEX('Retirement Calculator'!J:J,MATCH('Isaac 401k'!N3784,'Retirement Calculator'!A:A,0),0),0)</f>
        <v>0</v>
      </c>
      <c r="K3784" s="455">
        <f t="shared" ca="1" si="171"/>
        <v>-4615517018.3424101</v>
      </c>
      <c r="L3784" s="455">
        <f t="shared" ca="1" si="172"/>
        <v>-1112339601420.521</v>
      </c>
      <c r="M3784" s="471">
        <f t="shared" si="174"/>
        <v>0.05</v>
      </c>
      <c r="N3784" s="475">
        <f t="shared" si="175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73"/>
        <v>-1112339601420.521</v>
      </c>
      <c r="J3785" s="455">
        <f t="array" ref="J3785">IFERROR(INDEX('Retirement Calculator'!J:J,MATCH('Isaac 401k'!N3785,'Retirement Calculator'!A:A,0),0),0)</f>
        <v>0</v>
      </c>
      <c r="K3785" s="455">
        <f t="shared" ca="1" si="171"/>
        <v>-4634748339.2521706</v>
      </c>
      <c r="L3785" s="455">
        <f t="shared" ca="1" si="172"/>
        <v>-1116974349759.7732</v>
      </c>
      <c r="M3785" s="471">
        <f t="shared" si="174"/>
        <v>0.05</v>
      </c>
      <c r="N3785" s="475">
        <f t="shared" si="175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73"/>
        <v>-1116974349759.7732</v>
      </c>
      <c r="J3786" s="455">
        <f t="array" ref="J3786">IFERROR(INDEX('Retirement Calculator'!J:J,MATCH('Isaac 401k'!N3786,'Retirement Calculator'!A:A,0),0),0)</f>
        <v>0</v>
      </c>
      <c r="K3786" s="455">
        <f t="shared" ca="1" si="171"/>
        <v>-4654059790.6657219</v>
      </c>
      <c r="L3786" s="455">
        <f t="shared" ca="1" si="172"/>
        <v>-1121628409550.439</v>
      </c>
      <c r="M3786" s="471">
        <f t="shared" si="174"/>
        <v>0.05</v>
      </c>
      <c r="N3786" s="475">
        <f t="shared" si="175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73"/>
        <v>-1121628409550.439</v>
      </c>
      <c r="J3787" s="455">
        <f t="array" ref="J3787">IFERROR(INDEX('Retirement Calculator'!J:J,MATCH('Isaac 401k'!N3787,'Retirement Calculator'!A:A,0),0),0)</f>
        <v>0</v>
      </c>
      <c r="K3787" s="455">
        <f t="shared" ca="1" si="171"/>
        <v>-4673451706.4601622</v>
      </c>
      <c r="L3787" s="455">
        <f t="shared" ca="1" si="172"/>
        <v>-1126301861256.8992</v>
      </c>
      <c r="M3787" s="471">
        <f t="shared" si="174"/>
        <v>0.05</v>
      </c>
      <c r="N3787" s="475">
        <f t="shared" si="175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73"/>
        <v>-1126301861256.8992</v>
      </c>
      <c r="J3788" s="455">
        <f t="array" ref="J3788">IFERROR(INDEX('Retirement Calculator'!J:J,MATCH('Isaac 401k'!N3788,'Retirement Calculator'!A:A,0),0),0)</f>
        <v>0</v>
      </c>
      <c r="K3788" s="455">
        <f t="shared" ca="1" si="171"/>
        <v>-4692924421.9037466</v>
      </c>
      <c r="L3788" s="455">
        <f t="shared" ca="1" si="172"/>
        <v>-1130994785678.803</v>
      </c>
      <c r="M3788" s="471">
        <f t="shared" si="174"/>
        <v>0.05</v>
      </c>
      <c r="N3788" s="475">
        <f t="shared" si="175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73"/>
        <v>-1130994785678.803</v>
      </c>
      <c r="J3789" s="455">
        <f t="array" ref="J3789">IFERROR(INDEX('Retirement Calculator'!J:J,MATCH('Isaac 401k'!N3789,'Retirement Calculator'!A:A,0),0),0)</f>
        <v>0</v>
      </c>
      <c r="K3789" s="455">
        <f t="shared" ca="1" si="171"/>
        <v>-4712478273.6616793</v>
      </c>
      <c r="L3789" s="455">
        <f t="shared" ca="1" si="172"/>
        <v>-1135707263952.4646</v>
      </c>
      <c r="M3789" s="471">
        <f t="shared" si="174"/>
        <v>0.05</v>
      </c>
      <c r="N3789" s="475">
        <f t="shared" si="175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73"/>
        <v>-1135707263952.4646</v>
      </c>
      <c r="J3790" s="455">
        <f t="array" ref="J3790">IFERROR(INDEX('Retirement Calculator'!J:J,MATCH('Isaac 401k'!N3790,'Retirement Calculator'!A:A,0),0),0)</f>
        <v>0</v>
      </c>
      <c r="K3790" s="455">
        <f t="shared" ca="1" si="171"/>
        <v>-4732113599.8019361</v>
      </c>
      <c r="L3790" s="455">
        <f t="shared" ca="1" si="172"/>
        <v>-1140439377552.2666</v>
      </c>
      <c r="M3790" s="471">
        <f t="shared" si="174"/>
        <v>0.05</v>
      </c>
      <c r="N3790" s="475">
        <f t="shared" si="175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73"/>
        <v>-1140439377552.2666</v>
      </c>
      <c r="J3791" s="455">
        <f t="array" ref="J3791">IFERROR(INDEX('Retirement Calculator'!J:J,MATCH('Isaac 401k'!N3791,'Retirement Calculator'!A:A,0),0),0)</f>
        <v>0</v>
      </c>
      <c r="K3791" s="455">
        <f t="shared" ca="1" si="171"/>
        <v>-4751830739.8011112</v>
      </c>
      <c r="L3791" s="455">
        <f t="shared" ca="1" si="172"/>
        <v>-1145191208292.0676</v>
      </c>
      <c r="M3791" s="471">
        <f t="shared" si="174"/>
        <v>0.05</v>
      </c>
      <c r="N3791" s="475">
        <f t="shared" si="175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73"/>
        <v>-1145191208292.0676</v>
      </c>
      <c r="J3792" s="455">
        <f t="array" ref="J3792">IFERROR(INDEX('Retirement Calculator'!J:J,MATCH('Isaac 401k'!N3792,'Retirement Calculator'!A:A,0),0),0)</f>
        <v>0</v>
      </c>
      <c r="K3792" s="455">
        <f t="shared" ca="1" si="171"/>
        <v>-4771630034.5502815</v>
      </c>
      <c r="L3792" s="455">
        <f t="shared" ca="1" si="172"/>
        <v>-1149962838326.6179</v>
      </c>
      <c r="M3792" s="471">
        <f t="shared" si="174"/>
        <v>0.05</v>
      </c>
      <c r="N3792" s="475">
        <f t="shared" si="175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73"/>
        <v>-1149962838326.6179</v>
      </c>
      <c r="J3793" s="455">
        <f t="array" ref="J3793">IFERROR(INDEX('Retirement Calculator'!J:J,MATCH('Isaac 401k'!N3793,'Retirement Calculator'!A:A,0),0),0)</f>
        <v>0</v>
      </c>
      <c r="K3793" s="455">
        <f t="shared" ca="1" si="171"/>
        <v>-4791511826.3609076</v>
      </c>
      <c r="L3793" s="455">
        <f t="shared" ca="1" si="172"/>
        <v>-1154754350152.9788</v>
      </c>
      <c r="M3793" s="471">
        <f t="shared" si="174"/>
        <v>0.05</v>
      </c>
      <c r="N3793" s="475">
        <f t="shared" si="175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73"/>
        <v>-1154754350152.9788</v>
      </c>
      <c r="J3794" s="455">
        <f t="array" ref="J3794">IFERROR(INDEX('Retirement Calculator'!J:J,MATCH('Isaac 401k'!N3794,'Retirement Calculator'!A:A,0),0),0)</f>
        <v>0</v>
      </c>
      <c r="K3794" s="455">
        <f t="shared" ca="1" si="171"/>
        <v>-4811476458.9707451</v>
      </c>
      <c r="L3794" s="455">
        <f t="shared" ca="1" si="172"/>
        <v>-1159565826611.9495</v>
      </c>
      <c r="M3794" s="471">
        <f t="shared" si="174"/>
        <v>0.05</v>
      </c>
      <c r="N3794" s="475">
        <f t="shared" si="175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73"/>
        <v>-1159565826611.9495</v>
      </c>
      <c r="J3795" s="455">
        <f t="array" ref="J3795">IFERROR(INDEX('Retirement Calculator'!J:J,MATCH('Isaac 401k'!N3795,'Retirement Calculator'!A:A,0),0),0)</f>
        <v>0</v>
      </c>
      <c r="K3795" s="455">
        <f t="shared" ca="1" si="171"/>
        <v>-4831524277.5497894</v>
      </c>
      <c r="L3795" s="455">
        <f t="shared" ca="1" si="172"/>
        <v>-1164397350889.4993</v>
      </c>
      <c r="M3795" s="471">
        <f t="shared" si="174"/>
        <v>0.05</v>
      </c>
      <c r="N3795" s="475">
        <f t="shared" si="175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73"/>
        <v>-1164397350889.4993</v>
      </c>
      <c r="J3796" s="455">
        <f t="array" ref="J3796">IFERROR(INDEX('Retirement Calculator'!J:J,MATCH('Isaac 401k'!N3796,'Retirement Calculator'!A:A,0),0),0)</f>
        <v>0</v>
      </c>
      <c r="K3796" s="455">
        <f t="shared" ca="1" si="171"/>
        <v>-4851655628.7062473</v>
      </c>
      <c r="L3796" s="455">
        <f t="shared" ca="1" si="172"/>
        <v>-1169249006518.2056</v>
      </c>
      <c r="M3796" s="471">
        <f t="shared" si="174"/>
        <v>0.05</v>
      </c>
      <c r="N3796" s="475">
        <f t="shared" si="175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73"/>
        <v>-1169249006518.2056</v>
      </c>
      <c r="J3797" s="455">
        <f t="array" ref="J3797">IFERROR(INDEX('Retirement Calculator'!J:J,MATCH('Isaac 401k'!N3797,'Retirement Calculator'!A:A,0),0),0)</f>
        <v>0</v>
      </c>
      <c r="K3797" s="455">
        <f t="shared" ca="1" si="171"/>
        <v>-4871870860.4925232</v>
      </c>
      <c r="L3797" s="455">
        <f t="shared" ca="1" si="172"/>
        <v>-1174120877378.698</v>
      </c>
      <c r="M3797" s="471">
        <f t="shared" si="174"/>
        <v>0.05</v>
      </c>
      <c r="N3797" s="475">
        <f t="shared" si="175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73"/>
        <v>-1174120877378.698</v>
      </c>
      <c r="J3798" s="455">
        <f t="array" ref="J3798">IFERROR(INDEX('Retirement Calculator'!J:J,MATCH('Isaac 401k'!N3798,'Retirement Calculator'!A:A,0),0),0)</f>
        <v>0</v>
      </c>
      <c r="K3798" s="455">
        <f t="shared" ca="1" si="171"/>
        <v>-4892170322.4112415</v>
      </c>
      <c r="L3798" s="455">
        <f t="shared" ca="1" si="172"/>
        <v>-1179013047701.1091</v>
      </c>
      <c r="M3798" s="471">
        <f t="shared" si="174"/>
        <v>0.05</v>
      </c>
      <c r="N3798" s="475">
        <f t="shared" si="175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73"/>
        <v>-1179013047701.1091</v>
      </c>
      <c r="J3799" s="455">
        <f t="array" ref="J3799">IFERROR(INDEX('Retirement Calculator'!J:J,MATCH('Isaac 401k'!N3799,'Retirement Calculator'!A:A,0),0),0)</f>
        <v>0</v>
      </c>
      <c r="K3799" s="455">
        <f t="shared" ca="1" si="171"/>
        <v>-4912554365.4212875</v>
      </c>
      <c r="L3799" s="455">
        <f t="shared" ca="1" si="172"/>
        <v>-1183925602066.5305</v>
      </c>
      <c r="M3799" s="471">
        <f t="shared" si="174"/>
        <v>0.05</v>
      </c>
      <c r="N3799" s="475">
        <f t="shared" si="175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73"/>
        <v>-1183925602066.5305</v>
      </c>
      <c r="J3800" s="455">
        <f t="array" ref="J3800">IFERROR(INDEX('Retirement Calculator'!J:J,MATCH('Isaac 401k'!N3800,'Retirement Calculator'!A:A,0),0),0)</f>
        <v>0</v>
      </c>
      <c r="K3800" s="455">
        <f t="shared" ca="1" si="171"/>
        <v>-4933023341.9438772</v>
      </c>
      <c r="L3800" s="455">
        <f t="shared" ca="1" si="172"/>
        <v>-1188858625408.4744</v>
      </c>
      <c r="M3800" s="471">
        <f t="shared" si="174"/>
        <v>0.05</v>
      </c>
      <c r="N3800" s="475">
        <f t="shared" si="175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73"/>
        <v>-1188858625408.4744</v>
      </c>
      <c r="J3801" s="455">
        <f t="array" ref="J3801">IFERROR(INDEX('Retirement Calculator'!J:J,MATCH('Isaac 401k'!N3801,'Retirement Calculator'!A:A,0),0),0)</f>
        <v>0</v>
      </c>
      <c r="K3801" s="455">
        <f t="shared" ca="1" si="171"/>
        <v>-4953577605.8686428</v>
      </c>
      <c r="L3801" s="455">
        <f t="shared" ca="1" si="172"/>
        <v>-1193812203014.343</v>
      </c>
      <c r="M3801" s="471">
        <f t="shared" si="174"/>
        <v>0.05</v>
      </c>
      <c r="N3801" s="475">
        <f t="shared" si="175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73"/>
        <v>-1193812203014.343</v>
      </c>
      <c r="J3802" s="455">
        <f t="array" ref="J3802">IFERROR(INDEX('Retirement Calculator'!J:J,MATCH('Isaac 401k'!N3802,'Retirement Calculator'!A:A,0),0),0)</f>
        <v>0</v>
      </c>
      <c r="K3802" s="455">
        <f t="shared" ca="1" si="171"/>
        <v>-4974217512.559763</v>
      </c>
      <c r="L3802" s="455">
        <f t="shared" ca="1" si="172"/>
        <v>-1198786420526.9028</v>
      </c>
      <c r="M3802" s="471">
        <f t="shared" si="174"/>
        <v>0.05</v>
      </c>
      <c r="N3802" s="475">
        <f t="shared" si="175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73"/>
        <v>-1198786420526.9028</v>
      </c>
      <c r="J3803" s="455">
        <f t="array" ref="J3803">IFERROR(INDEX('Retirement Calculator'!J:J,MATCH('Isaac 401k'!N3803,'Retirement Calculator'!A:A,0),0),0)</f>
        <v>0</v>
      </c>
      <c r="K3803" s="455">
        <f t="shared" ca="1" si="171"/>
        <v>-4994943418.8620949</v>
      </c>
      <c r="L3803" s="455">
        <f t="shared" ca="1" si="172"/>
        <v>-1203781363945.7649</v>
      </c>
      <c r="M3803" s="471">
        <f t="shared" si="174"/>
        <v>0.05</v>
      </c>
      <c r="N3803" s="475">
        <f t="shared" si="175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73"/>
        <v>-1203781363945.7649</v>
      </c>
      <c r="J3804" s="455">
        <f t="array" ref="J3804">IFERROR(INDEX('Retirement Calculator'!J:J,MATCH('Isaac 401k'!N3804,'Retirement Calculator'!A:A,0),0),0)</f>
        <v>0</v>
      </c>
      <c r="K3804" s="455">
        <f t="shared" ca="1" si="171"/>
        <v>-5015755683.1073532</v>
      </c>
      <c r="L3804" s="455">
        <f t="shared" ca="1" si="172"/>
        <v>-1208797119628.8723</v>
      </c>
      <c r="M3804" s="471">
        <f t="shared" si="174"/>
        <v>0.05</v>
      </c>
      <c r="N3804" s="475">
        <f t="shared" si="175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73"/>
        <v>-1208797119628.8723</v>
      </c>
      <c r="J3805" s="455">
        <f t="array" ref="J3805">IFERROR(INDEX('Retirement Calculator'!J:J,MATCH('Isaac 401k'!N3805,'Retirement Calculator'!A:A,0),0),0)</f>
        <v>0</v>
      </c>
      <c r="K3805" s="455">
        <f t="shared" ca="1" si="171"/>
        <v>-5036654665.1203012</v>
      </c>
      <c r="L3805" s="455">
        <f t="shared" ca="1" si="172"/>
        <v>-1213833774293.9927</v>
      </c>
      <c r="M3805" s="471">
        <f t="shared" si="174"/>
        <v>0.05</v>
      </c>
      <c r="N3805" s="475">
        <f t="shared" si="175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73"/>
        <v>-1213833774293.9927</v>
      </c>
      <c r="J3806" s="455">
        <f t="array" ref="J3806">IFERROR(INDEX('Retirement Calculator'!J:J,MATCH('Isaac 401k'!N3806,'Retirement Calculator'!A:A,0),0),0)</f>
        <v>0</v>
      </c>
      <c r="K3806" s="455">
        <f t="shared" ca="1" si="171"/>
        <v>-5057640726.2249699</v>
      </c>
      <c r="L3806" s="455">
        <f t="shared" ca="1" si="172"/>
        <v>-1218891415020.2175</v>
      </c>
      <c r="M3806" s="471">
        <f t="shared" si="174"/>
        <v>0.05</v>
      </c>
      <c r="N3806" s="475">
        <f t="shared" si="175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73"/>
        <v>-1218891415020.2175</v>
      </c>
      <c r="J3807" s="455">
        <f t="array" ref="J3807">IFERROR(INDEX('Retirement Calculator'!J:J,MATCH('Isaac 401k'!N3807,'Retirement Calculator'!A:A,0),0),0)</f>
        <v>0</v>
      </c>
      <c r="K3807" s="455">
        <f t="shared" ca="1" si="171"/>
        <v>-5078714229.250906</v>
      </c>
      <c r="L3807" s="455">
        <f t="shared" ca="1" si="172"/>
        <v>-1223970129249.4685</v>
      </c>
      <c r="M3807" s="471">
        <f t="shared" si="174"/>
        <v>0.05</v>
      </c>
      <c r="N3807" s="475">
        <f t="shared" si="175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73"/>
        <v>-1223970129249.4685</v>
      </c>
      <c r="J3808" s="455">
        <f t="array" ref="J3808">IFERROR(INDEX('Retirement Calculator'!J:J,MATCH('Isaac 401k'!N3808,'Retirement Calculator'!A:A,0),0),0)</f>
        <v>0</v>
      </c>
      <c r="K3808" s="455">
        <f t="shared" ca="1" si="171"/>
        <v>-5099875538.5394516</v>
      </c>
      <c r="L3808" s="455">
        <f t="shared" ca="1" si="172"/>
        <v>-1229070004788.0081</v>
      </c>
      <c r="M3808" s="471">
        <f t="shared" si="174"/>
        <v>0.05</v>
      </c>
      <c r="N3808" s="475">
        <f t="shared" si="175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73"/>
        <v>-1229070004788.0081</v>
      </c>
      <c r="J3809" s="455">
        <f t="array" ref="J3809">IFERROR(INDEX('Retirement Calculator'!J:J,MATCH('Isaac 401k'!N3809,'Retirement Calculator'!A:A,0),0),0)</f>
        <v>0</v>
      </c>
      <c r="K3809" s="455">
        <f t="shared" ca="1" si="171"/>
        <v>-5121125019.9500332</v>
      </c>
      <c r="L3809" s="455">
        <f t="shared" ca="1" si="172"/>
        <v>-1234191129807.958</v>
      </c>
      <c r="M3809" s="471">
        <f t="shared" si="174"/>
        <v>0.05</v>
      </c>
      <c r="N3809" s="475">
        <f t="shared" si="175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73"/>
        <v>-1234191129807.958</v>
      </c>
      <c r="J3810" s="455">
        <f t="array" ref="J3810">IFERROR(INDEX('Retirement Calculator'!J:J,MATCH('Isaac 401k'!N3810,'Retirement Calculator'!A:A,0),0),0)</f>
        <v>0</v>
      </c>
      <c r="K3810" s="455">
        <f t="shared" ca="1" si="171"/>
        <v>-5142463040.8664913</v>
      </c>
      <c r="L3810" s="455">
        <f t="shared" ca="1" si="172"/>
        <v>-1239333592848.8245</v>
      </c>
      <c r="M3810" s="471">
        <f t="shared" si="174"/>
        <v>0.05</v>
      </c>
      <c r="N3810" s="475">
        <f t="shared" si="175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73"/>
        <v>-1239333592848.8245</v>
      </c>
      <c r="J3811" s="455">
        <f t="array" ref="J3811">IFERROR(INDEX('Retirement Calculator'!J:J,MATCH('Isaac 401k'!N3811,'Retirement Calculator'!A:A,0),0),0)</f>
        <v>0</v>
      </c>
      <c r="K3811" s="455">
        <f t="shared" ca="1" si="171"/>
        <v>-5163889970.2034349</v>
      </c>
      <c r="L3811" s="455">
        <f t="shared" ca="1" si="172"/>
        <v>-1244497482819.0278</v>
      </c>
      <c r="M3811" s="471">
        <f t="shared" si="174"/>
        <v>0.05</v>
      </c>
      <c r="N3811" s="475">
        <f t="shared" si="175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73"/>
        <v>-1244497482819.0278</v>
      </c>
      <c r="J3812" s="455">
        <f t="array" ref="J3812">IFERROR(INDEX('Retirement Calculator'!J:J,MATCH('Isaac 401k'!N3812,'Retirement Calculator'!A:A,0),0),0)</f>
        <v>0</v>
      </c>
      <c r="K3812" s="455">
        <f t="shared" ca="1" si="171"/>
        <v>-5185406178.4126158</v>
      </c>
      <c r="L3812" s="455">
        <f t="shared" ca="1" si="172"/>
        <v>-1249682888997.4404</v>
      </c>
      <c r="M3812" s="471">
        <f t="shared" si="174"/>
        <v>0.05</v>
      </c>
      <c r="N3812" s="475">
        <f t="shared" si="175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73"/>
        <v>-1249682888997.4404</v>
      </c>
      <c r="J3813" s="455">
        <f t="array" ref="J3813">IFERROR(INDEX('Retirement Calculator'!J:J,MATCH('Isaac 401k'!N3813,'Retirement Calculator'!A:A,0),0),0)</f>
        <v>0</v>
      </c>
      <c r="K3813" s="455">
        <f t="shared" ca="1" si="171"/>
        <v>-5207012037.4893351</v>
      </c>
      <c r="L3813" s="455">
        <f t="shared" ca="1" si="172"/>
        <v>-1254889901034.9297</v>
      </c>
      <c r="M3813" s="471">
        <f t="shared" si="174"/>
        <v>0.05</v>
      </c>
      <c r="N3813" s="475">
        <f t="shared" si="175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73"/>
        <v>-1254889901034.9297</v>
      </c>
      <c r="J3814" s="455">
        <f t="array" ref="J3814">IFERROR(INDEX('Retirement Calculator'!J:J,MATCH('Isaac 401k'!N3814,'Retirement Calculator'!A:A,0),0),0)</f>
        <v>0</v>
      </c>
      <c r="K3814" s="455">
        <f t="shared" ca="1" si="171"/>
        <v>-5228707920.9788733</v>
      </c>
      <c r="L3814" s="455">
        <f t="shared" ca="1" si="172"/>
        <v>-1260118608955.9084</v>
      </c>
      <c r="M3814" s="471">
        <f t="shared" si="174"/>
        <v>0.05</v>
      </c>
      <c r="N3814" s="475">
        <f t="shared" si="175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73"/>
        <v>-1260118608955.9084</v>
      </c>
      <c r="J3815" s="455">
        <f t="array" ref="J3815">IFERROR(INDEX('Retirement Calculator'!J:J,MATCH('Isaac 401k'!N3815,'Retirement Calculator'!A:A,0),0),0)</f>
        <v>0</v>
      </c>
      <c r="K3815" s="455">
        <f t="shared" ca="1" si="171"/>
        <v>-5250494203.9829521</v>
      </c>
      <c r="L3815" s="455">
        <f t="shared" ca="1" si="172"/>
        <v>-1265369103159.8914</v>
      </c>
      <c r="M3815" s="471">
        <f t="shared" si="174"/>
        <v>0.05</v>
      </c>
      <c r="N3815" s="475">
        <f t="shared" si="175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73"/>
        <v>-1265369103159.8914</v>
      </c>
      <c r="J3816" s="455">
        <f t="array" ref="J3816">IFERROR(INDEX('Retirement Calculator'!J:J,MATCH('Isaac 401k'!N3816,'Retirement Calculator'!A:A,0),0),0)</f>
        <v>0</v>
      </c>
      <c r="K3816" s="455">
        <f t="shared" ca="1" si="171"/>
        <v>-5272371263.166214</v>
      </c>
      <c r="L3816" s="455">
        <f t="shared" ca="1" si="172"/>
        <v>-1270641474423.0576</v>
      </c>
      <c r="M3816" s="471">
        <f t="shared" si="174"/>
        <v>0.05</v>
      </c>
      <c r="N3816" s="475">
        <f t="shared" si="175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73"/>
        <v>-1270641474423.0576</v>
      </c>
      <c r="J3817" s="455">
        <f t="array" ref="J3817">IFERROR(INDEX('Retirement Calculator'!J:J,MATCH('Isaac 401k'!N3817,'Retirement Calculator'!A:A,0),0),0)</f>
        <v>0</v>
      </c>
      <c r="K3817" s="455">
        <f t="shared" ca="1" si="171"/>
        <v>-5294339476.7627401</v>
      </c>
      <c r="L3817" s="455">
        <f t="shared" ca="1" si="172"/>
        <v>-1275935813899.8203</v>
      </c>
      <c r="M3817" s="471">
        <f t="shared" si="174"/>
        <v>0.05</v>
      </c>
      <c r="N3817" s="475">
        <f t="shared" si="175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73"/>
        <v>-1275935813899.8203</v>
      </c>
      <c r="J3818" s="455">
        <f t="array" ref="J3818">IFERROR(INDEX('Retirement Calculator'!J:J,MATCH('Isaac 401k'!N3818,'Retirement Calculator'!A:A,0),0),0)</f>
        <v>0</v>
      </c>
      <c r="K3818" s="455">
        <f t="shared" ca="1" si="171"/>
        <v>-5316399224.5825844</v>
      </c>
      <c r="L3818" s="455">
        <f t="shared" ca="1" si="172"/>
        <v>-1281252213124.4028</v>
      </c>
      <c r="M3818" s="471">
        <f t="shared" si="174"/>
        <v>0.05</v>
      </c>
      <c r="N3818" s="475">
        <f t="shared" si="175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73"/>
        <v>-1281252213124.4028</v>
      </c>
      <c r="J3819" s="455">
        <f t="array" ref="J3819">IFERROR(INDEX('Retirement Calculator'!J:J,MATCH('Isaac 401k'!N3819,'Retirement Calculator'!A:A,0),0),0)</f>
        <v>0</v>
      </c>
      <c r="K3819" s="455">
        <f t="shared" ca="1" si="171"/>
        <v>-5338550888.0183449</v>
      </c>
      <c r="L3819" s="455">
        <f t="shared" ca="1" si="172"/>
        <v>-1286590764012.4211</v>
      </c>
      <c r="M3819" s="471">
        <f t="shared" si="174"/>
        <v>0.05</v>
      </c>
      <c r="N3819" s="475">
        <f t="shared" si="175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73"/>
        <v>-1286590764012.4211</v>
      </c>
      <c r="J3820" s="455">
        <f t="array" ref="J3820">IFERROR(INDEX('Retirement Calculator'!J:J,MATCH('Isaac 401k'!N3820,'Retirement Calculator'!A:A,0),0),0)</f>
        <v>0</v>
      </c>
      <c r="K3820" s="455">
        <f t="shared" ca="1" si="171"/>
        <v>-5360794850.051755</v>
      </c>
      <c r="L3820" s="455">
        <f t="shared" ca="1" si="172"/>
        <v>-1291951558862.4729</v>
      </c>
      <c r="M3820" s="471">
        <f t="shared" si="174"/>
        <v>0.05</v>
      </c>
      <c r="N3820" s="475">
        <f t="shared" si="175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73"/>
        <v>-1291951558862.4729</v>
      </c>
      <c r="J3821" s="455">
        <f t="array" ref="J3821">IFERROR(INDEX('Retirement Calculator'!J:J,MATCH('Isaac 401k'!N3821,'Retirement Calculator'!A:A,0),0),0)</f>
        <v>0</v>
      </c>
      <c r="K3821" s="455">
        <f t="shared" ca="1" si="171"/>
        <v>-5383131495.2603035</v>
      </c>
      <c r="L3821" s="455">
        <f t="shared" ca="1" si="172"/>
        <v>-1297334690357.7332</v>
      </c>
      <c r="M3821" s="471">
        <f t="shared" si="174"/>
        <v>0.05</v>
      </c>
      <c r="N3821" s="475">
        <f t="shared" si="175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73"/>
        <v>-1297334690357.7332</v>
      </c>
      <c r="J3822" s="455">
        <f t="array" ref="J3822">IFERROR(INDEX('Retirement Calculator'!J:J,MATCH('Isaac 401k'!N3822,'Retirement Calculator'!A:A,0),0),0)</f>
        <v>0</v>
      </c>
      <c r="K3822" s="455">
        <f t="shared" ca="1" si="171"/>
        <v>-5405561209.8238878</v>
      </c>
      <c r="L3822" s="455">
        <f t="shared" ca="1" si="172"/>
        <v>-1302740251567.5571</v>
      </c>
      <c r="M3822" s="471">
        <f t="shared" si="174"/>
        <v>0.05</v>
      </c>
      <c r="N3822" s="475">
        <f t="shared" si="175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73"/>
        <v>-1302740251567.5571</v>
      </c>
      <c r="J3823" s="455">
        <f t="array" ref="J3823">IFERROR(INDEX('Retirement Calculator'!J:J,MATCH('Isaac 401k'!N3823,'Retirement Calculator'!A:A,0),0),0)</f>
        <v>0</v>
      </c>
      <c r="K3823" s="455">
        <f t="shared" ca="1" si="171"/>
        <v>-5428084381.5314884</v>
      </c>
      <c r="L3823" s="455">
        <f t="shared" ca="1" si="172"/>
        <v>-1308168335949.0886</v>
      </c>
      <c r="M3823" s="471">
        <f t="shared" si="174"/>
        <v>0.05</v>
      </c>
      <c r="N3823" s="475">
        <f t="shared" si="175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73"/>
        <v>-1308168335949.0886</v>
      </c>
      <c r="J3824" s="455">
        <f t="array" ref="J3824">IFERROR(INDEX('Retirement Calculator'!J:J,MATCH('Isaac 401k'!N3824,'Retirement Calculator'!A:A,0),0),0)</f>
        <v>0</v>
      </c>
      <c r="K3824" s="455">
        <f t="shared" ca="1" si="171"/>
        <v>-5450701399.7878695</v>
      </c>
      <c r="L3824" s="455">
        <f t="shared" ca="1" si="172"/>
        <v>-1313619037348.8765</v>
      </c>
      <c r="M3824" s="471">
        <f t="shared" si="174"/>
        <v>0.05</v>
      </c>
      <c r="N3824" s="475">
        <f t="shared" si="175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73"/>
        <v>-1313619037348.8765</v>
      </c>
      <c r="J3825" s="455">
        <f t="array" ref="J3825">IFERROR(INDEX('Retirement Calculator'!J:J,MATCH('Isaac 401k'!N3825,'Retirement Calculator'!A:A,0),0),0)</f>
        <v>0</v>
      </c>
      <c r="K3825" s="455">
        <f t="shared" ca="1" si="171"/>
        <v>-5473412655.6203184</v>
      </c>
      <c r="L3825" s="455">
        <f t="shared" ca="1" si="172"/>
        <v>-1319092450004.4968</v>
      </c>
      <c r="M3825" s="471">
        <f t="shared" si="174"/>
        <v>0.05</v>
      </c>
      <c r="N3825" s="475">
        <f t="shared" si="175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73"/>
        <v>-1319092450004.4968</v>
      </c>
      <c r="J3826" s="455">
        <f t="array" ref="J3826">IFERROR(INDEX('Retirement Calculator'!J:J,MATCH('Isaac 401k'!N3826,'Retirement Calculator'!A:A,0),0),0)</f>
        <v>0</v>
      </c>
      <c r="K3826" s="455">
        <f t="shared" ca="1" si="171"/>
        <v>-5496218541.6854038</v>
      </c>
      <c r="L3826" s="455">
        <f t="shared" ca="1" si="172"/>
        <v>-1324588668546.1821</v>
      </c>
      <c r="M3826" s="471">
        <f t="shared" si="174"/>
        <v>0.05</v>
      </c>
      <c r="N3826" s="475">
        <f t="shared" si="175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73"/>
        <v>-1324588668546.1821</v>
      </c>
      <c r="J3827" s="455">
        <f t="array" ref="J3827">IFERROR(INDEX('Retirement Calculator'!J:J,MATCH('Isaac 401k'!N3827,'Retirement Calculator'!A:A,0),0),0)</f>
        <v>0</v>
      </c>
      <c r="K3827" s="455">
        <f t="shared" ca="1" si="171"/>
        <v>-5519119452.2757587</v>
      </c>
      <c r="L3827" s="455">
        <f t="shared" ca="1" si="172"/>
        <v>-1330107787998.458</v>
      </c>
      <c r="M3827" s="471">
        <f t="shared" si="174"/>
        <v>0.05</v>
      </c>
      <c r="N3827" s="475">
        <f t="shared" si="175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73"/>
        <v>-1330107787998.458</v>
      </c>
      <c r="J3828" s="455">
        <f t="array" ref="J3828">IFERROR(INDEX('Retirement Calculator'!J:J,MATCH('Isaac 401k'!N3828,'Retirement Calculator'!A:A,0),0),0)</f>
        <v>0</v>
      </c>
      <c r="K3828" s="455">
        <f t="shared" ca="1" si="171"/>
        <v>-5542115783.3269081</v>
      </c>
      <c r="L3828" s="455">
        <f t="shared" ca="1" si="172"/>
        <v>-1335649903781.7849</v>
      </c>
      <c r="M3828" s="471">
        <f t="shared" si="174"/>
        <v>0.05</v>
      </c>
      <c r="N3828" s="475">
        <f t="shared" si="175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73"/>
        <v>-1335649903781.7849</v>
      </c>
      <c r="J3829" s="455">
        <f t="array" ref="J3829">IFERROR(INDEX('Retirement Calculator'!J:J,MATCH('Isaac 401k'!N3829,'Retirement Calculator'!A:A,0),0),0)</f>
        <v>0</v>
      </c>
      <c r="K3829" s="455">
        <f t="shared" ca="1" si="171"/>
        <v>-5565207932.4241037</v>
      </c>
      <c r="L3829" s="455">
        <f t="shared" ca="1" si="172"/>
        <v>-1341215111714.209</v>
      </c>
      <c r="M3829" s="471">
        <f t="shared" si="174"/>
        <v>0.05</v>
      </c>
      <c r="N3829" s="475">
        <f t="shared" si="175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73"/>
        <v>-1341215111714.209</v>
      </c>
      <c r="J3830" s="455">
        <f t="array" ref="J3830">IFERROR(INDEX('Retirement Calculator'!J:J,MATCH('Isaac 401k'!N3830,'Retirement Calculator'!A:A,0),0),0)</f>
        <v>0</v>
      </c>
      <c r="K3830" s="455">
        <f t="shared" ca="1" si="171"/>
        <v>-5588396298.8092041</v>
      </c>
      <c r="L3830" s="455">
        <f t="shared" ca="1" si="172"/>
        <v>-1346803508013.0181</v>
      </c>
      <c r="M3830" s="471">
        <f t="shared" si="174"/>
        <v>0.05</v>
      </c>
      <c r="N3830" s="475">
        <f t="shared" si="175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73"/>
        <v>-1346803508013.0181</v>
      </c>
      <c r="J3831" s="455">
        <f t="array" ref="J3831">IFERROR(INDEX('Retirement Calculator'!J:J,MATCH('Isaac 401k'!N3831,'Retirement Calculator'!A:A,0),0),0)</f>
        <v>0</v>
      </c>
      <c r="K3831" s="455">
        <f t="shared" ca="1" si="171"/>
        <v>-5611681283.3875751</v>
      </c>
      <c r="L3831" s="455">
        <f t="shared" ca="1" si="172"/>
        <v>-1352415189296.4058</v>
      </c>
      <c r="M3831" s="471">
        <f t="shared" si="174"/>
        <v>0.05</v>
      </c>
      <c r="N3831" s="475">
        <f t="shared" si="175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73"/>
        <v>-1352415189296.4058</v>
      </c>
      <c r="J3832" s="455">
        <f t="array" ref="J3832">IFERROR(INDEX('Retirement Calculator'!J:J,MATCH('Isaac 401k'!N3832,'Retirement Calculator'!A:A,0),0),0)</f>
        <v>0</v>
      </c>
      <c r="K3832" s="455">
        <f t="shared" ca="1" si="171"/>
        <v>-5635063288.7350235</v>
      </c>
      <c r="L3832" s="455">
        <f t="shared" ca="1" si="172"/>
        <v>-1358050252585.1409</v>
      </c>
      <c r="M3832" s="471">
        <f t="shared" si="174"/>
        <v>0.05</v>
      </c>
      <c r="N3832" s="475">
        <f t="shared" si="175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73"/>
        <v>-1358050252585.1409</v>
      </c>
      <c r="J3833" s="455">
        <f t="array" ref="J3833">IFERROR(INDEX('Retirement Calculator'!J:J,MATCH('Isaac 401k'!N3833,'Retirement Calculator'!A:A,0),0),0)</f>
        <v>0</v>
      </c>
      <c r="K3833" s="455">
        <f t="shared" ref="K3833:K4087" ca="1" si="176">IPMT(M3833/12,1,12,-I3833+J3833,,0)</f>
        <v>-5658542719.1047535</v>
      </c>
      <c r="L3833" s="455">
        <f t="shared" ref="L3833:L4087" ca="1" si="177">I3833-J3833+K3833</f>
        <v>-1363708795304.2456</v>
      </c>
      <c r="M3833" s="471">
        <f t="shared" si="174"/>
        <v>0.05</v>
      </c>
      <c r="N3833" s="475">
        <f t="shared" si="175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78">L3833</f>
        <v>-1363708795304.2456</v>
      </c>
      <c r="J3834" s="455">
        <f t="array" ref="J3834">IFERROR(INDEX('Retirement Calculator'!J:J,MATCH('Isaac 401k'!N3834,'Retirement Calculator'!A:A,0),0),0)</f>
        <v>0</v>
      </c>
      <c r="K3834" s="455">
        <f t="shared" ca="1" si="176"/>
        <v>-5682119980.4343567</v>
      </c>
      <c r="L3834" s="455">
        <f t="shared" ca="1" si="177"/>
        <v>-1369390915284.6799</v>
      </c>
      <c r="M3834" s="471">
        <f t="shared" ref="M3834:M4088" si="179">M3833</f>
        <v>0.05</v>
      </c>
      <c r="N3834" s="475">
        <f t="shared" ref="N3834:N4088" si="180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78"/>
        <v>-1369390915284.6799</v>
      </c>
      <c r="J3835" s="455">
        <f t="array" ref="J3835">IFERROR(INDEX('Retirement Calculator'!J:J,MATCH('Isaac 401k'!N3835,'Retirement Calculator'!A:A,0),0),0)</f>
        <v>0</v>
      </c>
      <c r="K3835" s="455">
        <f t="shared" ca="1" si="176"/>
        <v>-5705795480.3528328</v>
      </c>
      <c r="L3835" s="455">
        <f t="shared" ca="1" si="177"/>
        <v>-1375096710765.0327</v>
      </c>
      <c r="M3835" s="471">
        <f t="shared" si="179"/>
        <v>0.05</v>
      </c>
      <c r="N3835" s="475">
        <f t="shared" si="180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78"/>
        <v>-1375096710765.0327</v>
      </c>
      <c r="J3836" s="455">
        <f t="array" ref="J3836">IFERROR(INDEX('Retirement Calculator'!J:J,MATCH('Isaac 401k'!N3836,'Retirement Calculator'!A:A,0),0),0)</f>
        <v>0</v>
      </c>
      <c r="K3836" s="455">
        <f t="shared" ca="1" si="176"/>
        <v>-5729569628.1876364</v>
      </c>
      <c r="L3836" s="455">
        <f t="shared" ca="1" si="177"/>
        <v>-1380826280393.2205</v>
      </c>
      <c r="M3836" s="471">
        <f t="shared" si="179"/>
        <v>0.05</v>
      </c>
      <c r="N3836" s="475">
        <f t="shared" si="180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78"/>
        <v>-1380826280393.2205</v>
      </c>
      <c r="J3837" s="455">
        <f t="array" ref="J3837">IFERROR(INDEX('Retirement Calculator'!J:J,MATCH('Isaac 401k'!N3837,'Retirement Calculator'!A:A,0),0),0)</f>
        <v>0</v>
      </c>
      <c r="K3837" s="455">
        <f t="shared" ca="1" si="176"/>
        <v>-5753442834.9717522</v>
      </c>
      <c r="L3837" s="455">
        <f t="shared" ca="1" si="177"/>
        <v>-1386579723228.1921</v>
      </c>
      <c r="M3837" s="471">
        <f t="shared" si="179"/>
        <v>0.05</v>
      </c>
      <c r="N3837" s="475">
        <f t="shared" si="180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78"/>
        <v>-1386579723228.1921</v>
      </c>
      <c r="J3838" s="455">
        <f t="array" ref="J3838">IFERROR(INDEX('Retirement Calculator'!J:J,MATCH('Isaac 401k'!N3838,'Retirement Calculator'!A:A,0),0),0)</f>
        <v>0</v>
      </c>
      <c r="K3838" s="455">
        <f t="shared" ca="1" si="176"/>
        <v>-5777415513.4508009</v>
      </c>
      <c r="L3838" s="455">
        <f t="shared" ca="1" si="177"/>
        <v>-1392357138741.6428</v>
      </c>
      <c r="M3838" s="471">
        <f t="shared" si="179"/>
        <v>0.05</v>
      </c>
      <c r="N3838" s="475">
        <f t="shared" si="180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78"/>
        <v>-1392357138741.6428</v>
      </c>
      <c r="J3839" s="455">
        <f t="array" ref="J3839">IFERROR(INDEX('Retirement Calculator'!J:J,MATCH('Isaac 401k'!N3839,'Retirement Calculator'!A:A,0),0),0)</f>
        <v>0</v>
      </c>
      <c r="K3839" s="455">
        <f t="shared" ca="1" si="176"/>
        <v>-5801488078.0901785</v>
      </c>
      <c r="L3839" s="455">
        <f t="shared" ca="1" si="177"/>
        <v>-1398158626819.7329</v>
      </c>
      <c r="M3839" s="471">
        <f t="shared" si="179"/>
        <v>0.05</v>
      </c>
      <c r="N3839" s="475">
        <f t="shared" si="180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78"/>
        <v>-1398158626819.7329</v>
      </c>
      <c r="J3840" s="455">
        <f t="array" ref="J3840">IFERROR(INDEX('Retirement Calculator'!J:J,MATCH('Isaac 401k'!N3840,'Retirement Calculator'!A:A,0),0),0)</f>
        <v>0</v>
      </c>
      <c r="K3840" s="455">
        <f t="shared" ca="1" si="176"/>
        <v>-5825660945.0822201</v>
      </c>
      <c r="L3840" s="455">
        <f t="shared" ca="1" si="177"/>
        <v>-1403984287764.8152</v>
      </c>
      <c r="M3840" s="471">
        <f t="shared" si="179"/>
        <v>0.05</v>
      </c>
      <c r="N3840" s="475">
        <f t="shared" si="180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78"/>
        <v>-1403984287764.8152</v>
      </c>
      <c r="J3841" s="455">
        <f t="array" ref="J3841">IFERROR(INDEX('Retirement Calculator'!J:J,MATCH('Isaac 401k'!N3841,'Retirement Calculator'!A:A,0),0),0)</f>
        <v>0</v>
      </c>
      <c r="K3841" s="455">
        <f t="shared" ca="1" si="176"/>
        <v>-5849934532.3533964</v>
      </c>
      <c r="L3841" s="455">
        <f t="shared" ca="1" si="177"/>
        <v>-1409834222297.1687</v>
      </c>
      <c r="M3841" s="471">
        <f t="shared" si="179"/>
        <v>0.05</v>
      </c>
      <c r="N3841" s="475">
        <f t="shared" si="180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78"/>
        <v>-1409834222297.1687</v>
      </c>
      <c r="J3842" s="455">
        <f t="array" ref="J3842">IFERROR(INDEX('Retirement Calculator'!J:J,MATCH('Isaac 401k'!N3842,'Retirement Calculator'!A:A,0),0),0)</f>
        <v>0</v>
      </c>
      <c r="K3842" s="455">
        <f t="shared" ca="1" si="176"/>
        <v>-5874309259.5715361</v>
      </c>
      <c r="L3842" s="455">
        <f t="shared" ca="1" si="177"/>
        <v>-1415708531556.7402</v>
      </c>
      <c r="M3842" s="471">
        <f t="shared" si="179"/>
        <v>0.05</v>
      </c>
      <c r="N3842" s="475">
        <f t="shared" si="180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78"/>
        <v>-1415708531556.7402</v>
      </c>
      <c r="J3843" s="455">
        <f t="array" ref="J3843">IFERROR(INDEX('Retirement Calculator'!J:J,MATCH('Isaac 401k'!N3843,'Retirement Calculator'!A:A,0),0),0)</f>
        <v>0</v>
      </c>
      <c r="K3843" s="455">
        <f t="shared" ca="1" si="176"/>
        <v>-5898785548.1530838</v>
      </c>
      <c r="L3843" s="455">
        <f t="shared" ca="1" si="177"/>
        <v>-1421607317104.8933</v>
      </c>
      <c r="M3843" s="471">
        <f t="shared" si="179"/>
        <v>0.05</v>
      </c>
      <c r="N3843" s="475">
        <f t="shared" si="180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78"/>
        <v>-1421607317104.8933</v>
      </c>
      <c r="J3844" s="455">
        <f t="array" ref="J3844">IFERROR(INDEX('Retirement Calculator'!J:J,MATCH('Isaac 401k'!N3844,'Retirement Calculator'!A:A,0),0),0)</f>
        <v>0</v>
      </c>
      <c r="K3844" s="455">
        <f t="shared" ca="1" si="176"/>
        <v>-5923363821.2703886</v>
      </c>
      <c r="L3844" s="455">
        <f t="shared" ca="1" si="177"/>
        <v>-1427530680926.1638</v>
      </c>
      <c r="M3844" s="471">
        <f t="shared" si="179"/>
        <v>0.05</v>
      </c>
      <c r="N3844" s="475">
        <f t="shared" si="180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78"/>
        <v>-1427530680926.1638</v>
      </c>
      <c r="J3845" s="455">
        <f t="array" ref="J3845">IFERROR(INDEX('Retirement Calculator'!J:J,MATCH('Isaac 401k'!N3845,'Retirement Calculator'!A:A,0),0),0)</f>
        <v>0</v>
      </c>
      <c r="K3845" s="455">
        <f t="shared" ca="1" si="176"/>
        <v>-5948044503.8590155</v>
      </c>
      <c r="L3845" s="455">
        <f t="shared" ca="1" si="177"/>
        <v>-1433478725430.0229</v>
      </c>
      <c r="M3845" s="471">
        <f t="shared" si="179"/>
        <v>0.05</v>
      </c>
      <c r="N3845" s="475">
        <f t="shared" si="180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78"/>
        <v>-1433478725430.0229</v>
      </c>
      <c r="J3846" s="455">
        <f t="array" ref="J3846">IFERROR(INDEX('Retirement Calculator'!J:J,MATCH('Isaac 401k'!N3846,'Retirement Calculator'!A:A,0),0),0)</f>
        <v>0</v>
      </c>
      <c r="K3846" s="455">
        <f t="shared" ca="1" si="176"/>
        <v>-5972828022.6250954</v>
      </c>
      <c r="L3846" s="455">
        <f t="shared" ca="1" si="177"/>
        <v>-1439451553452.6479</v>
      </c>
      <c r="M3846" s="471">
        <f t="shared" si="179"/>
        <v>0.05</v>
      </c>
      <c r="N3846" s="475">
        <f t="shared" si="180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78"/>
        <v>-1439451553452.6479</v>
      </c>
      <c r="J3847" s="455">
        <f t="array" ref="J3847">IFERROR(INDEX('Retirement Calculator'!J:J,MATCH('Isaac 401k'!N3847,'Retirement Calculator'!A:A,0),0),0)</f>
        <v>0</v>
      </c>
      <c r="K3847" s="455">
        <f t="shared" ca="1" si="176"/>
        <v>-5997714806.0527</v>
      </c>
      <c r="L3847" s="455">
        <f t="shared" ca="1" si="177"/>
        <v>-1445449268258.7007</v>
      </c>
      <c r="M3847" s="471">
        <f t="shared" si="179"/>
        <v>0.05</v>
      </c>
      <c r="N3847" s="475">
        <f t="shared" si="180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78"/>
        <v>-1445449268258.7007</v>
      </c>
      <c r="J3848" s="455">
        <f t="array" ref="J3848">IFERROR(INDEX('Retirement Calculator'!J:J,MATCH('Isaac 401k'!N3848,'Retirement Calculator'!A:A,0),0),0)</f>
        <v>0</v>
      </c>
      <c r="K3848" s="455">
        <f t="shared" ca="1" si="176"/>
        <v>-6022705284.411253</v>
      </c>
      <c r="L3848" s="455">
        <f t="shared" ca="1" si="177"/>
        <v>-1451471973543.1118</v>
      </c>
      <c r="M3848" s="471">
        <f t="shared" si="179"/>
        <v>0.05</v>
      </c>
      <c r="N3848" s="475">
        <f t="shared" si="180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78"/>
        <v>-1451471973543.1118</v>
      </c>
      <c r="J3849" s="455">
        <f t="array" ref="J3849">IFERROR(INDEX('Retirement Calculator'!J:J,MATCH('Isaac 401k'!N3849,'Retirement Calculator'!A:A,0),0),0)</f>
        <v>0</v>
      </c>
      <c r="K3849" s="455">
        <f t="shared" ca="1" si="176"/>
        <v>-6047799889.7629662</v>
      </c>
      <c r="L3849" s="455">
        <f t="shared" ca="1" si="177"/>
        <v>-1457519773432.8748</v>
      </c>
      <c r="M3849" s="471">
        <f t="shared" si="179"/>
        <v>0.05</v>
      </c>
      <c r="N3849" s="475">
        <f t="shared" si="180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78"/>
        <v>-1457519773432.8748</v>
      </c>
      <c r="J3850" s="455">
        <f t="array" ref="J3850">IFERROR(INDEX('Retirement Calculator'!J:J,MATCH('Isaac 401k'!N3850,'Retirement Calculator'!A:A,0),0),0)</f>
        <v>0</v>
      </c>
      <c r="K3850" s="455">
        <f t="shared" ca="1" si="176"/>
        <v>-6072999055.9703112</v>
      </c>
      <c r="L3850" s="455">
        <f t="shared" ca="1" si="177"/>
        <v>-1463592772488.845</v>
      </c>
      <c r="M3850" s="471">
        <f t="shared" si="179"/>
        <v>0.05</v>
      </c>
      <c r="N3850" s="475">
        <f t="shared" si="180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78"/>
        <v>-1463592772488.845</v>
      </c>
      <c r="J3851" s="455">
        <f t="array" ref="J3851">IFERROR(INDEX('Retirement Calculator'!J:J,MATCH('Isaac 401k'!N3851,'Retirement Calculator'!A:A,0),0),0)</f>
        <v>0</v>
      </c>
      <c r="K3851" s="455">
        <f t="shared" ca="1" si="176"/>
        <v>-6098303218.7035208</v>
      </c>
      <c r="L3851" s="455">
        <f t="shared" ca="1" si="177"/>
        <v>-1469691075707.5486</v>
      </c>
      <c r="M3851" s="471">
        <f t="shared" si="179"/>
        <v>0.05</v>
      </c>
      <c r="N3851" s="475">
        <f t="shared" si="180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78"/>
        <v>-1469691075707.5486</v>
      </c>
      <c r="J3852" s="455">
        <f t="array" ref="J3852">IFERROR(INDEX('Retirement Calculator'!J:J,MATCH('Isaac 401k'!N3852,'Retirement Calculator'!A:A,0),0),0)</f>
        <v>0</v>
      </c>
      <c r="K3852" s="455">
        <f t="shared" ca="1" si="176"/>
        <v>-6123712815.4481192</v>
      </c>
      <c r="L3852" s="455">
        <f t="shared" ca="1" si="177"/>
        <v>-1475814788522.9966</v>
      </c>
      <c r="M3852" s="471">
        <f t="shared" si="179"/>
        <v>0.05</v>
      </c>
      <c r="N3852" s="475">
        <f t="shared" si="180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78"/>
        <v>-1475814788522.9966</v>
      </c>
      <c r="J3853" s="455">
        <f t="array" ref="J3853">IFERROR(INDEX('Retirement Calculator'!J:J,MATCH('Isaac 401k'!N3853,'Retirement Calculator'!A:A,0),0),0)</f>
        <v>0</v>
      </c>
      <c r="K3853" s="455">
        <f t="shared" ca="1" si="176"/>
        <v>-6149228285.5124855</v>
      </c>
      <c r="L3853" s="455">
        <f t="shared" ca="1" si="177"/>
        <v>-1481964016808.509</v>
      </c>
      <c r="M3853" s="471">
        <f t="shared" si="179"/>
        <v>0.05</v>
      </c>
      <c r="N3853" s="475">
        <f t="shared" si="180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78"/>
        <v>-1481964016808.509</v>
      </c>
      <c r="J3854" s="455">
        <f t="array" ref="J3854">IFERROR(INDEX('Retirement Calculator'!J:J,MATCH('Isaac 401k'!N3854,'Retirement Calculator'!A:A,0),0),0)</f>
        <v>0</v>
      </c>
      <c r="K3854" s="455">
        <f t="shared" ca="1" si="176"/>
        <v>-6174850070.0354538</v>
      </c>
      <c r="L3854" s="455">
        <f t="shared" ca="1" si="177"/>
        <v>-1488138866878.5444</v>
      </c>
      <c r="M3854" s="471">
        <f t="shared" si="179"/>
        <v>0.05</v>
      </c>
      <c r="N3854" s="475">
        <f t="shared" si="180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78"/>
        <v>-1488138866878.5444</v>
      </c>
      <c r="J3855" s="455">
        <f t="array" ref="J3855">IFERROR(INDEX('Retirement Calculator'!J:J,MATCH('Isaac 401k'!N3855,'Retirement Calculator'!A:A,0),0),0)</f>
        <v>0</v>
      </c>
      <c r="K3855" s="455">
        <f t="shared" ca="1" si="176"/>
        <v>-6200578611.9939346</v>
      </c>
      <c r="L3855" s="455">
        <f t="shared" ca="1" si="177"/>
        <v>-1494339445490.5383</v>
      </c>
      <c r="M3855" s="471">
        <f t="shared" si="179"/>
        <v>0.05</v>
      </c>
      <c r="N3855" s="475">
        <f t="shared" si="180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78"/>
        <v>-1494339445490.5383</v>
      </c>
      <c r="J3856" s="455">
        <f t="array" ref="J3856">IFERROR(INDEX('Retirement Calculator'!J:J,MATCH('Isaac 401k'!N3856,'Retirement Calculator'!A:A,0),0),0)</f>
        <v>0</v>
      </c>
      <c r="K3856" s="455">
        <f t="shared" ca="1" si="176"/>
        <v>-6226414356.2105761</v>
      </c>
      <c r="L3856" s="455">
        <f t="shared" ca="1" si="177"/>
        <v>-1500565859846.749</v>
      </c>
      <c r="M3856" s="471">
        <f t="shared" si="179"/>
        <v>0.05</v>
      </c>
      <c r="N3856" s="475">
        <f t="shared" si="180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78"/>
        <v>-1500565859846.749</v>
      </c>
      <c r="J3857" s="455">
        <f t="array" ref="J3857">IFERROR(INDEX('Retirement Calculator'!J:J,MATCH('Isaac 401k'!N3857,'Retirement Calculator'!A:A,0),0),0)</f>
        <v>0</v>
      </c>
      <c r="K3857" s="455">
        <f t="shared" ca="1" si="176"/>
        <v>-6252357749.361454</v>
      </c>
      <c r="L3857" s="455">
        <f t="shared" ca="1" si="177"/>
        <v>-1506818217596.1106</v>
      </c>
      <c r="M3857" s="471">
        <f t="shared" si="179"/>
        <v>0.05</v>
      </c>
      <c r="N3857" s="475">
        <f t="shared" si="180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78"/>
        <v>-1506818217596.1106</v>
      </c>
      <c r="J3858" s="455">
        <f t="array" ref="J3858">IFERROR(INDEX('Retirement Calculator'!J:J,MATCH('Isaac 401k'!N3858,'Retirement Calculator'!A:A,0),0),0)</f>
        <v>0</v>
      </c>
      <c r="K3858" s="455">
        <f t="shared" ca="1" si="176"/>
        <v>-6278409239.9837942</v>
      </c>
      <c r="L3858" s="455">
        <f t="shared" ca="1" si="177"/>
        <v>-1513096626836.0945</v>
      </c>
      <c r="M3858" s="471">
        <f t="shared" si="179"/>
        <v>0.05</v>
      </c>
      <c r="N3858" s="475">
        <f t="shared" si="180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78"/>
        <v>-1513096626836.0945</v>
      </c>
      <c r="J3859" s="455">
        <f t="array" ref="J3859">IFERROR(INDEX('Retirement Calculator'!J:J,MATCH('Isaac 401k'!N3859,'Retirement Calculator'!A:A,0),0),0)</f>
        <v>0</v>
      </c>
      <c r="K3859" s="455">
        <f t="shared" ca="1" si="176"/>
        <v>-6304569278.4837265</v>
      </c>
      <c r="L3859" s="455">
        <f t="shared" ca="1" si="177"/>
        <v>-1519401196114.5781</v>
      </c>
      <c r="M3859" s="471">
        <f t="shared" si="179"/>
        <v>0.05</v>
      </c>
      <c r="N3859" s="475">
        <f t="shared" si="180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78"/>
        <v>-1519401196114.5781</v>
      </c>
      <c r="J3860" s="455">
        <f t="array" ref="J3860">IFERROR(INDEX('Retirement Calculator'!J:J,MATCH('Isaac 401k'!N3860,'Retirement Calculator'!A:A,0),0),0)</f>
        <v>0</v>
      </c>
      <c r="K3860" s="455">
        <f t="shared" ca="1" si="176"/>
        <v>-6330838317.1440754</v>
      </c>
      <c r="L3860" s="455">
        <f t="shared" ca="1" si="177"/>
        <v>-1525732034431.7222</v>
      </c>
      <c r="M3860" s="471">
        <f t="shared" si="179"/>
        <v>0.05</v>
      </c>
      <c r="N3860" s="475">
        <f t="shared" si="180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78"/>
        <v>-1525732034431.7222</v>
      </c>
      <c r="J3861" s="455">
        <f t="array" ref="J3861">IFERROR(INDEX('Retirement Calculator'!J:J,MATCH('Isaac 401k'!N3861,'Retirement Calculator'!A:A,0),0),0)</f>
        <v>0</v>
      </c>
      <c r="K3861" s="455">
        <f t="shared" ca="1" si="176"/>
        <v>-6357216810.1321754</v>
      </c>
      <c r="L3861" s="455">
        <f t="shared" ca="1" si="177"/>
        <v>-1532089251241.8542</v>
      </c>
      <c r="M3861" s="471">
        <f t="shared" si="179"/>
        <v>0.05</v>
      </c>
      <c r="N3861" s="475">
        <f t="shared" si="180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78"/>
        <v>-1532089251241.8542</v>
      </c>
      <c r="J3862" s="455">
        <f t="array" ref="J3862">IFERROR(INDEX('Retirement Calculator'!J:J,MATCH('Isaac 401k'!N3862,'Retirement Calculator'!A:A,0),0),0)</f>
        <v>0</v>
      </c>
      <c r="K3862" s="455">
        <f t="shared" ca="1" si="176"/>
        <v>-6383705213.5077257</v>
      </c>
      <c r="L3862" s="455">
        <f t="shared" ca="1" si="177"/>
        <v>-1538472956455.3621</v>
      </c>
      <c r="M3862" s="471">
        <f t="shared" si="179"/>
        <v>0.05</v>
      </c>
      <c r="N3862" s="475">
        <f t="shared" si="180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78"/>
        <v>-1538472956455.3621</v>
      </c>
      <c r="J3863" s="455">
        <f t="array" ref="J3863">IFERROR(INDEX('Retirement Calculator'!J:J,MATCH('Isaac 401k'!N3863,'Retirement Calculator'!A:A,0),0),0)</f>
        <v>0</v>
      </c>
      <c r="K3863" s="455">
        <f t="shared" ca="1" si="176"/>
        <v>-6410303985.2306747</v>
      </c>
      <c r="L3863" s="455">
        <f t="shared" ca="1" si="177"/>
        <v>-1544883260440.5928</v>
      </c>
      <c r="M3863" s="471">
        <f t="shared" si="179"/>
        <v>0.05</v>
      </c>
      <c r="N3863" s="475">
        <f t="shared" si="180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78"/>
        <v>-1544883260440.5928</v>
      </c>
      <c r="J3864" s="455">
        <f t="array" ref="J3864">IFERROR(INDEX('Retirement Calculator'!J:J,MATCH('Isaac 401k'!N3864,'Retirement Calculator'!A:A,0),0),0)</f>
        <v>0</v>
      </c>
      <c r="K3864" s="455">
        <f t="shared" ca="1" si="176"/>
        <v>-6437013585.169136</v>
      </c>
      <c r="L3864" s="455">
        <f t="shared" ca="1" si="177"/>
        <v>-1551320274025.762</v>
      </c>
      <c r="M3864" s="471">
        <f t="shared" si="179"/>
        <v>0.05</v>
      </c>
      <c r="N3864" s="475">
        <f t="shared" si="180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78"/>
        <v>-1551320274025.762</v>
      </c>
      <c r="J3865" s="455">
        <f t="array" ref="J3865">IFERROR(INDEX('Retirement Calculator'!J:J,MATCH('Isaac 401k'!N3865,'Retirement Calculator'!A:A,0),0),0)</f>
        <v>0</v>
      </c>
      <c r="K3865" s="455">
        <f t="shared" ca="1" si="176"/>
        <v>-6463834475.1073418</v>
      </c>
      <c r="L3865" s="455">
        <f t="shared" ca="1" si="177"/>
        <v>-1557784108500.8694</v>
      </c>
      <c r="M3865" s="471">
        <f t="shared" si="179"/>
        <v>0.05</v>
      </c>
      <c r="N3865" s="475">
        <f t="shared" si="180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78"/>
        <v>-1557784108500.8694</v>
      </c>
      <c r="J3866" s="455">
        <f t="array" ref="J3866">IFERROR(INDEX('Retirement Calculator'!J:J,MATCH('Isaac 401k'!N3866,'Retirement Calculator'!A:A,0),0),0)</f>
        <v>0</v>
      </c>
      <c r="K3866" s="455">
        <f t="shared" ca="1" si="176"/>
        <v>-6490767118.7536221</v>
      </c>
      <c r="L3866" s="455">
        <f t="shared" ca="1" si="177"/>
        <v>-1564274875619.623</v>
      </c>
      <c r="M3866" s="471">
        <f t="shared" si="179"/>
        <v>0.05</v>
      </c>
      <c r="N3866" s="475">
        <f t="shared" si="180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78"/>
        <v>-1564274875619.623</v>
      </c>
      <c r="J3867" s="455">
        <f t="array" ref="J3867">IFERROR(INDEX('Retirement Calculator'!J:J,MATCH('Isaac 401k'!N3867,'Retirement Calculator'!A:A,0),0),0)</f>
        <v>0</v>
      </c>
      <c r="K3867" s="455">
        <f t="shared" ca="1" si="176"/>
        <v>-6517811981.7484293</v>
      </c>
      <c r="L3867" s="455">
        <f t="shared" ca="1" si="177"/>
        <v>-1570792687601.3716</v>
      </c>
      <c r="M3867" s="471">
        <f t="shared" si="179"/>
        <v>0.05</v>
      </c>
      <c r="N3867" s="475">
        <f t="shared" si="180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78"/>
        <v>-1570792687601.3716</v>
      </c>
      <c r="J3868" s="455">
        <f t="array" ref="J3868">IFERROR(INDEX('Retirement Calculator'!J:J,MATCH('Isaac 401k'!N3868,'Retirement Calculator'!A:A,0),0),0)</f>
        <v>0</v>
      </c>
      <c r="K3868" s="455">
        <f t="shared" ca="1" si="176"/>
        <v>-6544969531.6723814</v>
      </c>
      <c r="L3868" s="455">
        <f t="shared" ca="1" si="177"/>
        <v>-1577337657133.0439</v>
      </c>
      <c r="M3868" s="471">
        <f t="shared" si="179"/>
        <v>0.05</v>
      </c>
      <c r="N3868" s="475">
        <f t="shared" si="180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78"/>
        <v>-1577337657133.0439</v>
      </c>
      <c r="J3869" s="455">
        <f t="array" ref="J3869">IFERROR(INDEX('Retirement Calculator'!J:J,MATCH('Isaac 401k'!N3869,'Retirement Calculator'!A:A,0),0),0)</f>
        <v>0</v>
      </c>
      <c r="K3869" s="455">
        <f t="shared" ca="1" si="176"/>
        <v>-6572240238.0543499</v>
      </c>
      <c r="L3869" s="455">
        <f t="shared" ca="1" si="177"/>
        <v>-1583909897371.0984</v>
      </c>
      <c r="M3869" s="471">
        <f t="shared" si="179"/>
        <v>0.05</v>
      </c>
      <c r="N3869" s="475">
        <f t="shared" si="180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78"/>
        <v>-1583909897371.0984</v>
      </c>
      <c r="J3870" s="455">
        <f t="array" ref="J3870">IFERROR(INDEX('Retirement Calculator'!J:J,MATCH('Isaac 401k'!N3870,'Retirement Calculator'!A:A,0),0),0)</f>
        <v>0</v>
      </c>
      <c r="K3870" s="455">
        <f t="shared" ca="1" si="176"/>
        <v>-6599624572.3795767</v>
      </c>
      <c r="L3870" s="455">
        <f t="shared" ca="1" si="177"/>
        <v>-1590509521943.478</v>
      </c>
      <c r="M3870" s="471">
        <f t="shared" si="179"/>
        <v>0.05</v>
      </c>
      <c r="N3870" s="475">
        <f t="shared" si="180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78"/>
        <v>-1590509521943.478</v>
      </c>
      <c r="J3871" s="455">
        <f t="array" ref="J3871">IFERROR(INDEX('Retirement Calculator'!J:J,MATCH('Isaac 401k'!N3871,'Retirement Calculator'!A:A,0),0),0)</f>
        <v>0</v>
      </c>
      <c r="K3871" s="455">
        <f t="shared" ca="1" si="176"/>
        <v>-6627123008.0978251</v>
      </c>
      <c r="L3871" s="455">
        <f t="shared" ca="1" si="177"/>
        <v>-1597136644951.5759</v>
      </c>
      <c r="M3871" s="471">
        <f t="shared" si="179"/>
        <v>0.05</v>
      </c>
      <c r="N3871" s="475">
        <f t="shared" si="180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78"/>
        <v>-1597136644951.5759</v>
      </c>
      <c r="J3872" s="455">
        <f t="array" ref="J3872">IFERROR(INDEX('Retirement Calculator'!J:J,MATCH('Isaac 401k'!N3872,'Retirement Calculator'!A:A,0),0),0)</f>
        <v>0</v>
      </c>
      <c r="K3872" s="455">
        <f t="shared" ca="1" si="176"/>
        <v>-6654736020.631566</v>
      </c>
      <c r="L3872" s="455">
        <f t="shared" ca="1" si="177"/>
        <v>-1603791380972.2075</v>
      </c>
      <c r="M3872" s="471">
        <f t="shared" si="179"/>
        <v>0.05</v>
      </c>
      <c r="N3872" s="475">
        <f t="shared" si="180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78"/>
        <v>-1603791380972.2075</v>
      </c>
      <c r="J3873" s="455">
        <f t="array" ref="J3873">IFERROR(INDEX('Retirement Calculator'!J:J,MATCH('Isaac 401k'!N3873,'Retirement Calculator'!A:A,0),0),0)</f>
        <v>0</v>
      </c>
      <c r="K3873" s="455">
        <f t="shared" ca="1" si="176"/>
        <v>-6682464087.3841982</v>
      </c>
      <c r="L3873" s="455">
        <f t="shared" ca="1" si="177"/>
        <v>-1610473845059.5918</v>
      </c>
      <c r="M3873" s="471">
        <f t="shared" si="179"/>
        <v>0.05</v>
      </c>
      <c r="N3873" s="475">
        <f t="shared" si="180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78"/>
        <v>-1610473845059.5918</v>
      </c>
      <c r="J3874" s="455">
        <f t="array" ref="J3874">IFERROR(INDEX('Retirement Calculator'!J:J,MATCH('Isaac 401k'!N3874,'Retirement Calculator'!A:A,0),0),0)</f>
        <v>0</v>
      </c>
      <c r="K3874" s="455">
        <f t="shared" ca="1" si="176"/>
        <v>-6710307687.7482986</v>
      </c>
      <c r="L3874" s="455">
        <f t="shared" ca="1" si="177"/>
        <v>-1617184152747.3401</v>
      </c>
      <c r="M3874" s="471">
        <f t="shared" si="179"/>
        <v>0.05</v>
      </c>
      <c r="N3874" s="475">
        <f t="shared" si="180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78"/>
        <v>-1617184152747.3401</v>
      </c>
      <c r="J3875" s="455">
        <f t="array" ref="J3875">IFERROR(INDEX('Retirement Calculator'!J:J,MATCH('Isaac 401k'!N3875,'Retirement Calculator'!A:A,0),0),0)</f>
        <v>0</v>
      </c>
      <c r="K3875" s="455">
        <f t="shared" ca="1" si="176"/>
        <v>-6738267303.1139174</v>
      </c>
      <c r="L3875" s="455">
        <f t="shared" ca="1" si="177"/>
        <v>-1623922420050.4541</v>
      </c>
      <c r="M3875" s="471">
        <f t="shared" si="179"/>
        <v>0.05</v>
      </c>
      <c r="N3875" s="475">
        <f t="shared" si="180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78"/>
        <v>-1623922420050.4541</v>
      </c>
      <c r="J3876" s="455">
        <f t="array" ref="J3876">IFERROR(INDEX('Retirement Calculator'!J:J,MATCH('Isaac 401k'!N3876,'Retirement Calculator'!A:A,0),0),0)</f>
        <v>0</v>
      </c>
      <c r="K3876" s="455">
        <f t="shared" ca="1" si="176"/>
        <v>-6766343416.8768921</v>
      </c>
      <c r="L3876" s="455">
        <f t="shared" ca="1" si="177"/>
        <v>-1630688763467.3311</v>
      </c>
      <c r="M3876" s="471">
        <f t="shared" si="179"/>
        <v>0.05</v>
      </c>
      <c r="N3876" s="475">
        <f t="shared" si="180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78"/>
        <v>-1630688763467.3311</v>
      </c>
      <c r="J3877" s="455">
        <f t="array" ref="J3877">IFERROR(INDEX('Retirement Calculator'!J:J,MATCH('Isaac 401k'!N3877,'Retirement Calculator'!A:A,0),0),0)</f>
        <v>0</v>
      </c>
      <c r="K3877" s="455">
        <f t="shared" ca="1" si="176"/>
        <v>-6794536514.4472122</v>
      </c>
      <c r="L3877" s="455">
        <f t="shared" ca="1" si="177"/>
        <v>-1637483299981.7783</v>
      </c>
      <c r="M3877" s="471">
        <f t="shared" si="179"/>
        <v>0.05</v>
      </c>
      <c r="N3877" s="475">
        <f t="shared" si="180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78"/>
        <v>-1637483299981.7783</v>
      </c>
      <c r="J3878" s="455">
        <f t="array" ref="J3878">IFERROR(INDEX('Retirement Calculator'!J:J,MATCH('Isaac 401k'!N3878,'Retirement Calculator'!A:A,0),0),0)</f>
        <v>0</v>
      </c>
      <c r="K3878" s="455">
        <f t="shared" ca="1" si="176"/>
        <v>-6822847083.25741</v>
      </c>
      <c r="L3878" s="455">
        <f t="shared" ca="1" si="177"/>
        <v>-1644306147065.0356</v>
      </c>
      <c r="M3878" s="471">
        <f t="shared" si="179"/>
        <v>0.05</v>
      </c>
      <c r="N3878" s="475">
        <f t="shared" si="180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78"/>
        <v>-1644306147065.0356</v>
      </c>
      <c r="J3879" s="455">
        <f t="array" ref="J3879">IFERROR(INDEX('Retirement Calculator'!J:J,MATCH('Isaac 401k'!N3879,'Retirement Calculator'!A:A,0),0),0)</f>
        <v>0</v>
      </c>
      <c r="K3879" s="455">
        <f t="shared" ca="1" si="176"/>
        <v>-6851275612.7709818</v>
      </c>
      <c r="L3879" s="455">
        <f t="shared" ca="1" si="177"/>
        <v>-1651157422677.8066</v>
      </c>
      <c r="M3879" s="471">
        <f t="shared" si="179"/>
        <v>0.05</v>
      </c>
      <c r="N3879" s="475">
        <f t="shared" si="180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78"/>
        <v>-1651157422677.8066</v>
      </c>
      <c r="J3880" s="455">
        <f t="array" ref="J3880">IFERROR(INDEX('Retirement Calculator'!J:J,MATCH('Isaac 401k'!N3880,'Retirement Calculator'!A:A,0),0),0)</f>
        <v>0</v>
      </c>
      <c r="K3880" s="455">
        <f t="shared" ca="1" si="176"/>
        <v>-6879822594.4908609</v>
      </c>
      <c r="L3880" s="455">
        <f t="shared" ca="1" si="177"/>
        <v>-1658037245272.2976</v>
      </c>
      <c r="M3880" s="471">
        <f t="shared" si="179"/>
        <v>0.05</v>
      </c>
      <c r="N3880" s="475">
        <f t="shared" si="180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78"/>
        <v>-1658037245272.2976</v>
      </c>
      <c r="J3881" s="455">
        <f t="array" ref="J3881">IFERROR(INDEX('Retirement Calculator'!J:J,MATCH('Isaac 401k'!N3881,'Retirement Calculator'!A:A,0),0),0)</f>
        <v>0</v>
      </c>
      <c r="K3881" s="455">
        <f t="shared" ca="1" si="176"/>
        <v>-6908488521.967907</v>
      </c>
      <c r="L3881" s="455">
        <f t="shared" ca="1" si="177"/>
        <v>-1664945733794.2656</v>
      </c>
      <c r="M3881" s="471">
        <f t="shared" si="179"/>
        <v>0.05</v>
      </c>
      <c r="N3881" s="475">
        <f t="shared" si="180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78"/>
        <v>-1664945733794.2656</v>
      </c>
      <c r="J3882" s="455">
        <f t="array" ref="J3882">IFERROR(INDEX('Retirement Calculator'!J:J,MATCH('Isaac 401k'!N3882,'Retirement Calculator'!A:A,0),0),0)</f>
        <v>0</v>
      </c>
      <c r="K3882" s="455">
        <f t="shared" ca="1" si="176"/>
        <v>-6937273890.8094397</v>
      </c>
      <c r="L3882" s="455">
        <f t="shared" ca="1" si="177"/>
        <v>-1671883007685.075</v>
      </c>
      <c r="M3882" s="471">
        <f t="shared" si="179"/>
        <v>0.05</v>
      </c>
      <c r="N3882" s="475">
        <f t="shared" si="180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78"/>
        <v>-1671883007685.075</v>
      </c>
      <c r="J3883" s="455">
        <f t="array" ref="J3883">IFERROR(INDEX('Retirement Calculator'!J:J,MATCH('Isaac 401k'!N3883,'Retirement Calculator'!A:A,0),0),0)</f>
        <v>0</v>
      </c>
      <c r="K3883" s="455">
        <f t="shared" ca="1" si="176"/>
        <v>-6966179198.6878119</v>
      </c>
      <c r="L3883" s="455">
        <f t="shared" ca="1" si="177"/>
        <v>-1678849186883.7627</v>
      </c>
      <c r="M3883" s="471">
        <f t="shared" si="179"/>
        <v>0.05</v>
      </c>
      <c r="N3883" s="475">
        <f t="shared" si="180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78"/>
        <v>-1678849186883.7627</v>
      </c>
      <c r="J3884" s="455">
        <f t="array" ref="J3884">IFERROR(INDEX('Retirement Calculator'!J:J,MATCH('Isaac 401k'!N3884,'Retirement Calculator'!A:A,0),0),0)</f>
        <v>0</v>
      </c>
      <c r="K3884" s="455">
        <f t="shared" ca="1" si="176"/>
        <v>-6995204945.3490114</v>
      </c>
      <c r="L3884" s="455">
        <f t="shared" ca="1" si="177"/>
        <v>-1685844391829.1118</v>
      </c>
      <c r="M3884" s="471">
        <f t="shared" si="179"/>
        <v>0.05</v>
      </c>
      <c r="N3884" s="475">
        <f t="shared" si="180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78"/>
        <v>-1685844391829.1118</v>
      </c>
      <c r="J3885" s="455">
        <f t="array" ref="J3885">IFERROR(INDEX('Retirement Calculator'!J:J,MATCH('Isaac 401k'!N3885,'Retirement Calculator'!A:A,0),0),0)</f>
        <v>0</v>
      </c>
      <c r="K3885" s="455">
        <f t="shared" ca="1" si="176"/>
        <v>-7024351632.6212988</v>
      </c>
      <c r="L3885" s="455">
        <f t="shared" ca="1" si="177"/>
        <v>-1692868743461.7332</v>
      </c>
      <c r="M3885" s="471">
        <f t="shared" si="179"/>
        <v>0.05</v>
      </c>
      <c r="N3885" s="475">
        <f t="shared" si="180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78"/>
        <v>-1692868743461.7332</v>
      </c>
      <c r="J3886" s="455">
        <f t="array" ref="J3886">IFERROR(INDEX('Retirement Calculator'!J:J,MATCH('Isaac 401k'!N3886,'Retirement Calculator'!A:A,0),0),0)</f>
        <v>0</v>
      </c>
      <c r="K3886" s="455">
        <f t="shared" ca="1" si="176"/>
        <v>-7053619764.4238882</v>
      </c>
      <c r="L3886" s="455">
        <f t="shared" ca="1" si="177"/>
        <v>-1699922363226.157</v>
      </c>
      <c r="M3886" s="471">
        <f t="shared" si="179"/>
        <v>0.05</v>
      </c>
      <c r="N3886" s="475">
        <f t="shared" si="180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78"/>
        <v>-1699922363226.157</v>
      </c>
      <c r="J3887" s="455">
        <f t="array" ref="J3887">IFERROR(INDEX('Retirement Calculator'!J:J,MATCH('Isaac 401k'!N3887,'Retirement Calculator'!A:A,0),0),0)</f>
        <v>0</v>
      </c>
      <c r="K3887" s="455">
        <f t="shared" ca="1" si="176"/>
        <v>-7083009846.7756538</v>
      </c>
      <c r="L3887" s="455">
        <f t="shared" ca="1" si="177"/>
        <v>-1707005373072.9326</v>
      </c>
      <c r="M3887" s="471">
        <f t="shared" si="179"/>
        <v>0.05</v>
      </c>
      <c r="N3887" s="475">
        <f t="shared" si="180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78"/>
        <v>-1707005373072.9326</v>
      </c>
      <c r="J3888" s="455">
        <f t="array" ref="J3888">IFERROR(INDEX('Retirement Calculator'!J:J,MATCH('Isaac 401k'!N3888,'Retirement Calculator'!A:A,0),0),0)</f>
        <v>0</v>
      </c>
      <c r="K3888" s="455">
        <f t="shared" ca="1" si="176"/>
        <v>-7112522387.8038855</v>
      </c>
      <c r="L3888" s="455">
        <f t="shared" ca="1" si="177"/>
        <v>-1714117895460.7366</v>
      </c>
      <c r="M3888" s="471">
        <f t="shared" si="179"/>
        <v>0.05</v>
      </c>
      <c r="N3888" s="475">
        <f t="shared" si="180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78"/>
        <v>-1714117895460.7366</v>
      </c>
      <c r="J3889" s="455">
        <f t="array" ref="J3889">IFERROR(INDEX('Retirement Calculator'!J:J,MATCH('Isaac 401k'!N3889,'Retirement Calculator'!A:A,0),0),0)</f>
        <v>0</v>
      </c>
      <c r="K3889" s="455">
        <f t="shared" ca="1" si="176"/>
        <v>-7142157897.7530699</v>
      </c>
      <c r="L3889" s="455">
        <f t="shared" ca="1" si="177"/>
        <v>-1721260053358.4897</v>
      </c>
      <c r="M3889" s="471">
        <f t="shared" si="179"/>
        <v>0.05</v>
      </c>
      <c r="N3889" s="475">
        <f t="shared" si="180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78"/>
        <v>-1721260053358.4897</v>
      </c>
      <c r="J3890" s="455">
        <f t="array" ref="J3890">IFERROR(INDEX('Retirement Calculator'!J:J,MATCH('Isaac 401k'!N3890,'Retirement Calculator'!A:A,0),0),0)</f>
        <v>0</v>
      </c>
      <c r="K3890" s="455">
        <f t="shared" ca="1" si="176"/>
        <v>-7171916888.9937067</v>
      </c>
      <c r="L3890" s="455">
        <f t="shared" ca="1" si="177"/>
        <v>-1728431970247.4834</v>
      </c>
      <c r="M3890" s="471">
        <f t="shared" si="179"/>
        <v>0.05</v>
      </c>
      <c r="N3890" s="475">
        <f t="shared" si="180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78"/>
        <v>-1728431970247.4834</v>
      </c>
      <c r="J3891" s="455">
        <f t="array" ref="J3891">IFERROR(INDEX('Retirement Calculator'!J:J,MATCH('Isaac 401k'!N3891,'Retirement Calculator'!A:A,0),0),0)</f>
        <v>0</v>
      </c>
      <c r="K3891" s="455">
        <f t="shared" ca="1" si="176"/>
        <v>-7201799876.0311804</v>
      </c>
      <c r="L3891" s="455">
        <f t="shared" ca="1" si="177"/>
        <v>-1735633770123.5146</v>
      </c>
      <c r="M3891" s="471">
        <f t="shared" si="179"/>
        <v>0.05</v>
      </c>
      <c r="N3891" s="475">
        <f t="shared" si="180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78"/>
        <v>-1735633770123.5146</v>
      </c>
      <c r="J3892" s="455">
        <f t="array" ref="J3892">IFERROR(INDEX('Retirement Calculator'!J:J,MATCH('Isaac 401k'!N3892,'Retirement Calculator'!A:A,0),0),0)</f>
        <v>0</v>
      </c>
      <c r="K3892" s="455">
        <f t="shared" ca="1" si="176"/>
        <v>-7231807375.5146446</v>
      </c>
      <c r="L3892" s="455">
        <f t="shared" ca="1" si="177"/>
        <v>-1742865577499.0293</v>
      </c>
      <c r="M3892" s="471">
        <f t="shared" si="179"/>
        <v>0.05</v>
      </c>
      <c r="N3892" s="475">
        <f t="shared" si="180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78"/>
        <v>-1742865577499.0293</v>
      </c>
      <c r="J3893" s="455">
        <f t="array" ref="J3893">IFERROR(INDEX('Retirement Calculator'!J:J,MATCH('Isaac 401k'!N3893,'Retirement Calculator'!A:A,0),0),0)</f>
        <v>0</v>
      </c>
      <c r="K3893" s="455">
        <f t="shared" ca="1" si="176"/>
        <v>-7261939906.2459555</v>
      </c>
      <c r="L3893" s="455">
        <f t="shared" ca="1" si="177"/>
        <v>-1750127517405.2751</v>
      </c>
      <c r="M3893" s="471">
        <f t="shared" si="179"/>
        <v>0.05</v>
      </c>
      <c r="N3893" s="475">
        <f t="shared" si="180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78"/>
        <v>-1750127517405.2751</v>
      </c>
      <c r="J3894" s="455">
        <f t="array" ref="J3894">IFERROR(INDEX('Retirement Calculator'!J:J,MATCH('Isaac 401k'!N3894,'Retirement Calculator'!A:A,0),0),0)</f>
        <v>0</v>
      </c>
      <c r="K3894" s="455">
        <f t="shared" ca="1" si="176"/>
        <v>-7292197989.1886463</v>
      </c>
      <c r="L3894" s="455">
        <f t="shared" ca="1" si="177"/>
        <v>-1757419715394.4639</v>
      </c>
      <c r="M3894" s="471">
        <f t="shared" si="179"/>
        <v>0.05</v>
      </c>
      <c r="N3894" s="475">
        <f t="shared" si="180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78"/>
        <v>-1757419715394.4639</v>
      </c>
      <c r="J3895" s="455">
        <f t="array" ref="J3895">IFERROR(INDEX('Retirement Calculator'!J:J,MATCH('Isaac 401k'!N3895,'Retirement Calculator'!A:A,0),0),0)</f>
        <v>0</v>
      </c>
      <c r="K3895" s="455">
        <f t="shared" ca="1" si="176"/>
        <v>-7322582147.4769325</v>
      </c>
      <c r="L3895" s="455">
        <f t="shared" ca="1" si="177"/>
        <v>-1764742297541.9409</v>
      </c>
      <c r="M3895" s="471">
        <f t="shared" si="179"/>
        <v>0.05</v>
      </c>
      <c r="N3895" s="475">
        <f t="shared" si="180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78"/>
        <v>-1764742297541.9409</v>
      </c>
      <c r="J3896" s="455">
        <f t="array" ref="J3896">IFERROR(INDEX('Retirement Calculator'!J:J,MATCH('Isaac 401k'!N3896,'Retirement Calculator'!A:A,0),0),0)</f>
        <v>0</v>
      </c>
      <c r="K3896" s="455">
        <f t="shared" ca="1" si="176"/>
        <v>-7353092906.4247541</v>
      </c>
      <c r="L3896" s="455">
        <f t="shared" ca="1" si="177"/>
        <v>-1772095390448.3657</v>
      </c>
      <c r="M3896" s="471">
        <f t="shared" si="179"/>
        <v>0.05</v>
      </c>
      <c r="N3896" s="475">
        <f t="shared" si="180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78"/>
        <v>-1772095390448.3657</v>
      </c>
      <c r="J3897" s="455">
        <f t="array" ref="J3897">IFERROR(INDEX('Retirement Calculator'!J:J,MATCH('Isaac 401k'!N3897,'Retirement Calculator'!A:A,0),0),0)</f>
        <v>0</v>
      </c>
      <c r="K3897" s="455">
        <f t="shared" ca="1" si="176"/>
        <v>-7383730793.5348568</v>
      </c>
      <c r="L3897" s="455">
        <f t="shared" ca="1" si="177"/>
        <v>-1779479121241.9006</v>
      </c>
      <c r="M3897" s="471">
        <f t="shared" si="179"/>
        <v>0.05</v>
      </c>
      <c r="N3897" s="475">
        <f t="shared" si="180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78"/>
        <v>-1779479121241.9006</v>
      </c>
      <c r="J3898" s="455">
        <f t="array" ref="J3898">IFERROR(INDEX('Retirement Calculator'!J:J,MATCH('Isaac 401k'!N3898,'Retirement Calculator'!A:A,0),0),0)</f>
        <v>0</v>
      </c>
      <c r="K3898" s="455">
        <f t="shared" ca="1" si="176"/>
        <v>-7414496338.5079193</v>
      </c>
      <c r="L3898" s="455">
        <f t="shared" ca="1" si="177"/>
        <v>-1786893617580.4084</v>
      </c>
      <c r="M3898" s="471">
        <f t="shared" si="179"/>
        <v>0.05</v>
      </c>
      <c r="N3898" s="475">
        <f t="shared" si="180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78"/>
        <v>-1786893617580.4084</v>
      </c>
      <c r="J3899" s="455">
        <f t="array" ref="J3899">IFERROR(INDEX('Retirement Calculator'!J:J,MATCH('Isaac 401k'!N3899,'Retirement Calculator'!A:A,0),0),0)</f>
        <v>0</v>
      </c>
      <c r="K3899" s="455">
        <f t="shared" ca="1" si="176"/>
        <v>-7445390073.2517014</v>
      </c>
      <c r="L3899" s="455">
        <f t="shared" ca="1" si="177"/>
        <v>-1794339007653.6602</v>
      </c>
      <c r="M3899" s="471">
        <f t="shared" si="179"/>
        <v>0.05</v>
      </c>
      <c r="N3899" s="475">
        <f t="shared" si="180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78"/>
        <v>-1794339007653.6602</v>
      </c>
      <c r="J3900" s="455">
        <f t="array" ref="J3900">IFERROR(INDEX('Retirement Calculator'!J:J,MATCH('Isaac 401k'!N3900,'Retirement Calculator'!A:A,0),0),0)</f>
        <v>0</v>
      </c>
      <c r="K3900" s="455">
        <f t="shared" ca="1" si="176"/>
        <v>-7476412531.8902512</v>
      </c>
      <c r="L3900" s="455">
        <f t="shared" ca="1" si="177"/>
        <v>-1801815420185.5503</v>
      </c>
      <c r="M3900" s="471">
        <f t="shared" si="179"/>
        <v>0.05</v>
      </c>
      <c r="N3900" s="475">
        <f t="shared" si="180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78"/>
        <v>-1801815420185.5503</v>
      </c>
      <c r="J3901" s="455">
        <f t="array" ref="J3901">IFERROR(INDEX('Retirement Calculator'!J:J,MATCH('Isaac 401k'!N3901,'Retirement Calculator'!A:A,0),0),0)</f>
        <v>0</v>
      </c>
      <c r="K3901" s="455">
        <f t="shared" ca="1" si="176"/>
        <v>-7507564250.7731256</v>
      </c>
      <c r="L3901" s="455">
        <f t="shared" ca="1" si="177"/>
        <v>-1809322984436.3235</v>
      </c>
      <c r="M3901" s="471">
        <f t="shared" si="179"/>
        <v>0.05</v>
      </c>
      <c r="N3901" s="475">
        <f t="shared" si="180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78"/>
        <v>-1809322984436.3235</v>
      </c>
      <c r="J3902" s="455">
        <f t="array" ref="J3902">IFERROR(INDEX('Retirement Calculator'!J:J,MATCH('Isaac 401k'!N3902,'Retirement Calculator'!A:A,0),0),0)</f>
        <v>0</v>
      </c>
      <c r="K3902" s="455">
        <f t="shared" ca="1" si="176"/>
        <v>-7538845768.4846811</v>
      </c>
      <c r="L3902" s="455">
        <f t="shared" ca="1" si="177"/>
        <v>-1816861830204.8081</v>
      </c>
      <c r="M3902" s="471">
        <f t="shared" si="179"/>
        <v>0.05</v>
      </c>
      <c r="N3902" s="475">
        <f t="shared" si="180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78"/>
        <v>-1816861830204.8081</v>
      </c>
      <c r="J3903" s="455">
        <f t="array" ref="J3903">IFERROR(INDEX('Retirement Calculator'!J:J,MATCH('Isaac 401k'!N3903,'Retirement Calculator'!A:A,0),0),0)</f>
        <v>0</v>
      </c>
      <c r="K3903" s="455">
        <f t="shared" ca="1" si="176"/>
        <v>-7570257625.8533669</v>
      </c>
      <c r="L3903" s="455">
        <f t="shared" ca="1" si="177"/>
        <v>-1824432087830.6614</v>
      </c>
      <c r="M3903" s="471">
        <f t="shared" si="179"/>
        <v>0.05</v>
      </c>
      <c r="N3903" s="475">
        <f t="shared" si="180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78"/>
        <v>-1824432087830.6614</v>
      </c>
      <c r="J3904" s="455">
        <f t="array" ref="J3904">IFERROR(INDEX('Retirement Calculator'!J:J,MATCH('Isaac 401k'!N3904,'Retirement Calculator'!A:A,0),0),0)</f>
        <v>0</v>
      </c>
      <c r="K3904" s="455">
        <f t="shared" ca="1" si="176"/>
        <v>-7601800365.9610891</v>
      </c>
      <c r="L3904" s="455">
        <f t="shared" ca="1" si="177"/>
        <v>-1832033888196.6226</v>
      </c>
      <c r="M3904" s="471">
        <f t="shared" si="179"/>
        <v>0.05</v>
      </c>
      <c r="N3904" s="475">
        <f t="shared" si="180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78"/>
        <v>-1832033888196.6226</v>
      </c>
      <c r="J3905" s="455">
        <f t="array" ref="J3905">IFERROR(INDEX('Retirement Calculator'!J:J,MATCH('Isaac 401k'!N3905,'Retirement Calculator'!A:A,0),0),0)</f>
        <v>0</v>
      </c>
      <c r="K3905" s="455">
        <f t="shared" ca="1" si="176"/>
        <v>-7633474534.1525946</v>
      </c>
      <c r="L3905" s="455">
        <f t="shared" ca="1" si="177"/>
        <v>-1839667362730.7751</v>
      </c>
      <c r="M3905" s="471">
        <f t="shared" si="179"/>
        <v>0.05</v>
      </c>
      <c r="N3905" s="475">
        <f t="shared" si="180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78"/>
        <v>-1839667362730.7751</v>
      </c>
      <c r="J3906" s="455">
        <f t="array" ref="J3906">IFERROR(INDEX('Retirement Calculator'!J:J,MATCH('Isaac 401k'!N3906,'Retirement Calculator'!A:A,0),0),0)</f>
        <v>0</v>
      </c>
      <c r="K3906" s="455">
        <f t="shared" ca="1" si="176"/>
        <v>-7665280678.0448952</v>
      </c>
      <c r="L3906" s="455">
        <f t="shared" ca="1" si="177"/>
        <v>-1847332643408.8201</v>
      </c>
      <c r="M3906" s="471">
        <f t="shared" si="179"/>
        <v>0.05</v>
      </c>
      <c r="N3906" s="475">
        <f t="shared" si="180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78"/>
        <v>-1847332643408.8201</v>
      </c>
      <c r="J3907" s="455">
        <f t="array" ref="J3907">IFERROR(INDEX('Retirement Calculator'!J:J,MATCH('Isaac 401k'!N3907,'Retirement Calculator'!A:A,0),0),0)</f>
        <v>0</v>
      </c>
      <c r="K3907" s="455">
        <f t="shared" ca="1" si="176"/>
        <v>-7697219347.5367489</v>
      </c>
      <c r="L3907" s="455">
        <f t="shared" ca="1" si="177"/>
        <v>-1855029862756.3569</v>
      </c>
      <c r="M3907" s="471">
        <f t="shared" si="179"/>
        <v>0.05</v>
      </c>
      <c r="N3907" s="475">
        <f t="shared" si="180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78"/>
        <v>-1855029862756.3569</v>
      </c>
      <c r="J3908" s="455">
        <f t="array" ref="J3908">IFERROR(INDEX('Retirement Calculator'!J:J,MATCH('Isaac 401k'!N3908,'Retirement Calculator'!A:A,0),0),0)</f>
        <v>0</v>
      </c>
      <c r="K3908" s="455">
        <f t="shared" ca="1" si="176"/>
        <v>-7729291094.8181534</v>
      </c>
      <c r="L3908" s="455">
        <f t="shared" ca="1" si="177"/>
        <v>-1862759153851.175</v>
      </c>
      <c r="M3908" s="471">
        <f t="shared" si="179"/>
        <v>0.05</v>
      </c>
      <c r="N3908" s="475">
        <f t="shared" si="180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78"/>
        <v>-1862759153851.175</v>
      </c>
      <c r="J3909" s="455">
        <f t="array" ref="J3909">IFERROR(INDEX('Retirement Calculator'!J:J,MATCH('Isaac 401k'!N3909,'Retirement Calculator'!A:A,0),0),0)</f>
        <v>0</v>
      </c>
      <c r="K3909" s="455">
        <f t="shared" ca="1" si="176"/>
        <v>-7761496474.3798962</v>
      </c>
      <c r="L3909" s="455">
        <f t="shared" ca="1" si="177"/>
        <v>-1870520650325.5549</v>
      </c>
      <c r="M3909" s="471">
        <f t="shared" si="179"/>
        <v>0.05</v>
      </c>
      <c r="N3909" s="475">
        <f t="shared" si="180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78"/>
        <v>-1870520650325.5549</v>
      </c>
      <c r="J3910" s="455">
        <f t="array" ref="J3910">IFERROR(INDEX('Retirement Calculator'!J:J,MATCH('Isaac 401k'!N3910,'Retirement Calculator'!A:A,0),0),0)</f>
        <v>0</v>
      </c>
      <c r="K3910" s="455">
        <f t="shared" ca="1" si="176"/>
        <v>-7793836043.0231466</v>
      </c>
      <c r="L3910" s="455">
        <f t="shared" ca="1" si="177"/>
        <v>-1878314486368.5781</v>
      </c>
      <c r="M3910" s="471">
        <f t="shared" si="179"/>
        <v>0.05</v>
      </c>
      <c r="N3910" s="475">
        <f t="shared" si="180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78"/>
        <v>-1878314486368.5781</v>
      </c>
      <c r="J3911" s="455">
        <f t="array" ref="J3911">IFERROR(INDEX('Retirement Calculator'!J:J,MATCH('Isaac 401k'!N3911,'Retirement Calculator'!A:A,0),0),0)</f>
        <v>0</v>
      </c>
      <c r="K3911" s="455">
        <f t="shared" ca="1" si="176"/>
        <v>-7826310359.8690758</v>
      </c>
      <c r="L3911" s="455">
        <f t="shared" ca="1" si="177"/>
        <v>-1886140796728.4473</v>
      </c>
      <c r="M3911" s="471">
        <f t="shared" si="179"/>
        <v>0.05</v>
      </c>
      <c r="N3911" s="475">
        <f t="shared" si="180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78"/>
        <v>-1886140796728.4473</v>
      </c>
      <c r="J3912" s="455">
        <f t="array" ref="J3912">IFERROR(INDEX('Retirement Calculator'!J:J,MATCH('Isaac 401k'!N3912,'Retirement Calculator'!A:A,0),0),0)</f>
        <v>0</v>
      </c>
      <c r="K3912" s="455">
        <f t="shared" ca="1" si="176"/>
        <v>-7858919986.3685303</v>
      </c>
      <c r="L3912" s="455">
        <f t="shared" ca="1" si="177"/>
        <v>-1893999716714.8159</v>
      </c>
      <c r="M3912" s="471">
        <f t="shared" si="179"/>
        <v>0.05</v>
      </c>
      <c r="N3912" s="475">
        <f t="shared" si="180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78"/>
        <v>-1893999716714.8159</v>
      </c>
      <c r="J3913" s="455">
        <f t="array" ref="J3913">IFERROR(INDEX('Retirement Calculator'!J:J,MATCH('Isaac 401k'!N3913,'Retirement Calculator'!A:A,0),0),0)</f>
        <v>0</v>
      </c>
      <c r="K3913" s="455">
        <f t="shared" ca="1" si="176"/>
        <v>-7891665486.3117342</v>
      </c>
      <c r="L3913" s="455">
        <f t="shared" ca="1" si="177"/>
        <v>-1901891382201.1277</v>
      </c>
      <c r="M3913" s="471">
        <f t="shared" si="179"/>
        <v>0.05</v>
      </c>
      <c r="N3913" s="475">
        <f t="shared" si="180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78"/>
        <v>-1901891382201.1277</v>
      </c>
      <c r="J3914" s="455">
        <f t="array" ref="J3914">IFERROR(INDEX('Retirement Calculator'!J:J,MATCH('Isaac 401k'!N3914,'Retirement Calculator'!A:A,0),0),0)</f>
        <v>0</v>
      </c>
      <c r="K3914" s="455">
        <f t="shared" ca="1" si="176"/>
        <v>-7924547425.8380318</v>
      </c>
      <c r="L3914" s="455">
        <f t="shared" ca="1" si="177"/>
        <v>-1909815929626.9658</v>
      </c>
      <c r="M3914" s="471">
        <f t="shared" si="179"/>
        <v>0.05</v>
      </c>
      <c r="N3914" s="475">
        <f t="shared" si="180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78"/>
        <v>-1909815929626.9658</v>
      </c>
      <c r="J3915" s="455">
        <f t="array" ref="J3915">IFERROR(INDEX('Retirement Calculator'!J:J,MATCH('Isaac 401k'!N3915,'Retirement Calculator'!A:A,0),0),0)</f>
        <v>0</v>
      </c>
      <c r="K3915" s="455">
        <f t="shared" ca="1" si="176"/>
        <v>-7957566373.4456921</v>
      </c>
      <c r="L3915" s="455">
        <f t="shared" ca="1" si="177"/>
        <v>-1917773496000.4116</v>
      </c>
      <c r="M3915" s="471">
        <f t="shared" si="179"/>
        <v>0.05</v>
      </c>
      <c r="N3915" s="475">
        <f t="shared" si="180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78"/>
        <v>-1917773496000.4116</v>
      </c>
      <c r="J3916" s="455">
        <f t="array" ref="J3916">IFERROR(INDEX('Retirement Calculator'!J:J,MATCH('Isaac 401k'!N3916,'Retirement Calculator'!A:A,0),0),0)</f>
        <v>0</v>
      </c>
      <c r="K3916" s="455">
        <f t="shared" ca="1" si="176"/>
        <v>-7990722900.0017157</v>
      </c>
      <c r="L3916" s="455">
        <f t="shared" ca="1" si="177"/>
        <v>-1925764218900.4133</v>
      </c>
      <c r="M3916" s="471">
        <f t="shared" si="179"/>
        <v>0.05</v>
      </c>
      <c r="N3916" s="475">
        <f t="shared" si="180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78"/>
        <v>-1925764218900.4133</v>
      </c>
      <c r="J3917" s="455">
        <f t="array" ref="J3917">IFERROR(INDEX('Retirement Calculator'!J:J,MATCH('Isaac 401k'!N3917,'Retirement Calculator'!A:A,0),0),0)</f>
        <v>0</v>
      </c>
      <c r="K3917" s="455">
        <f t="shared" ca="1" si="176"/>
        <v>-8024017578.7517223</v>
      </c>
      <c r="L3917" s="455">
        <f t="shared" ca="1" si="177"/>
        <v>-1933788236479.165</v>
      </c>
      <c r="M3917" s="471">
        <f t="shared" si="179"/>
        <v>0.05</v>
      </c>
      <c r="N3917" s="475">
        <f t="shared" si="180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78"/>
        <v>-1933788236479.165</v>
      </c>
      <c r="J3918" s="455">
        <f t="array" ref="J3918">IFERROR(INDEX('Retirement Calculator'!J:J,MATCH('Isaac 401k'!N3918,'Retirement Calculator'!A:A,0),0),0)</f>
        <v>0</v>
      </c>
      <c r="K3918" s="455">
        <f t="shared" ca="1" si="176"/>
        <v>-8057450985.329854</v>
      </c>
      <c r="L3918" s="455">
        <f t="shared" ca="1" si="177"/>
        <v>-1941845687464.4949</v>
      </c>
      <c r="M3918" s="471">
        <f t="shared" si="179"/>
        <v>0.05</v>
      </c>
      <c r="N3918" s="475">
        <f t="shared" si="180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78"/>
        <v>-1941845687464.4949</v>
      </c>
      <c r="J3919" s="455">
        <f t="array" ref="J3919">IFERROR(INDEX('Retirement Calculator'!J:J,MATCH('Isaac 401k'!N3919,'Retirement Calculator'!A:A,0),0),0)</f>
        <v>0</v>
      </c>
      <c r="K3919" s="455">
        <f t="shared" ca="1" si="176"/>
        <v>-8091023697.7687283</v>
      </c>
      <c r="L3919" s="455">
        <f t="shared" ca="1" si="177"/>
        <v>-1949936711162.2637</v>
      </c>
      <c r="M3919" s="471">
        <f t="shared" si="179"/>
        <v>0.05</v>
      </c>
      <c r="N3919" s="475">
        <f t="shared" si="180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78"/>
        <v>-1949936711162.2637</v>
      </c>
      <c r="J3920" s="455">
        <f t="array" ref="J3920">IFERROR(INDEX('Retirement Calculator'!J:J,MATCH('Isaac 401k'!N3920,'Retirement Calculator'!A:A,0),0),0)</f>
        <v>0</v>
      </c>
      <c r="K3920" s="455">
        <f t="shared" ca="1" si="176"/>
        <v>-8124736296.5094318</v>
      </c>
      <c r="L3920" s="455">
        <f t="shared" ca="1" si="177"/>
        <v>-1958061447458.7732</v>
      </c>
      <c r="M3920" s="471">
        <f t="shared" si="179"/>
        <v>0.05</v>
      </c>
      <c r="N3920" s="475">
        <f t="shared" si="180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78"/>
        <v>-1958061447458.7732</v>
      </c>
      <c r="J3921" s="455">
        <f t="array" ref="J3921">IFERROR(INDEX('Retirement Calculator'!J:J,MATCH('Isaac 401k'!N3921,'Retirement Calculator'!A:A,0),0),0)</f>
        <v>0</v>
      </c>
      <c r="K3921" s="455">
        <f t="shared" ca="1" si="176"/>
        <v>-8158589364.4115534</v>
      </c>
      <c r="L3921" s="455">
        <f t="shared" ca="1" si="177"/>
        <v>-1966220036823.1848</v>
      </c>
      <c r="M3921" s="471">
        <f t="shared" si="179"/>
        <v>0.05</v>
      </c>
      <c r="N3921" s="475">
        <f t="shared" si="180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78"/>
        <v>-1966220036823.1848</v>
      </c>
      <c r="J3922" s="455">
        <f t="array" ref="J3922">IFERROR(INDEX('Retirement Calculator'!J:J,MATCH('Isaac 401k'!N3922,'Retirement Calculator'!A:A,0),0),0)</f>
        <v>0</v>
      </c>
      <c r="K3922" s="455">
        <f t="shared" ca="1" si="176"/>
        <v>-8192583486.7632704</v>
      </c>
      <c r="L3922" s="455">
        <f t="shared" ca="1" si="177"/>
        <v>-1974412620309.948</v>
      </c>
      <c r="M3922" s="471">
        <f t="shared" si="179"/>
        <v>0.05</v>
      </c>
      <c r="N3922" s="475">
        <f t="shared" si="180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78"/>
        <v>-1974412620309.948</v>
      </c>
      <c r="J3923" s="455">
        <f t="array" ref="J3923">IFERROR(INDEX('Retirement Calculator'!J:J,MATCH('Isaac 401k'!N3923,'Retirement Calculator'!A:A,0),0),0)</f>
        <v>0</v>
      </c>
      <c r="K3923" s="455">
        <f t="shared" ca="1" si="176"/>
        <v>-8226719251.2914495</v>
      </c>
      <c r="L3923" s="455">
        <f t="shared" ca="1" si="177"/>
        <v>-1982639339561.2395</v>
      </c>
      <c r="M3923" s="471">
        <f t="shared" si="179"/>
        <v>0.05</v>
      </c>
      <c r="N3923" s="475">
        <f t="shared" si="180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78"/>
        <v>-1982639339561.2395</v>
      </c>
      <c r="J3924" s="455">
        <f t="array" ref="J3924">IFERROR(INDEX('Retirement Calculator'!J:J,MATCH('Isaac 401k'!N3924,'Retirement Calculator'!A:A,0),0),0)</f>
        <v>0</v>
      </c>
      <c r="K3924" s="455">
        <f t="shared" ca="1" si="176"/>
        <v>-8260997248.1718311</v>
      </c>
      <c r="L3924" s="455">
        <f t="shared" ca="1" si="177"/>
        <v>-1990900336809.4114</v>
      </c>
      <c r="M3924" s="471">
        <f t="shared" si="179"/>
        <v>0.05</v>
      </c>
      <c r="N3924" s="475">
        <f t="shared" si="180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78"/>
        <v>-1990900336809.4114</v>
      </c>
      <c r="J3925" s="455">
        <f t="array" ref="J3925">IFERROR(INDEX('Retirement Calculator'!J:J,MATCH('Isaac 401k'!N3925,'Retirement Calculator'!A:A,0),0),0)</f>
        <v>0</v>
      </c>
      <c r="K3925" s="455">
        <f t="shared" ca="1" si="176"/>
        <v>-8295418070.0392132</v>
      </c>
      <c r="L3925" s="455">
        <f t="shared" ca="1" si="177"/>
        <v>-1999195754879.4507</v>
      </c>
      <c r="M3925" s="471">
        <f t="shared" si="179"/>
        <v>0.05</v>
      </c>
      <c r="N3925" s="475">
        <f t="shared" si="180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78"/>
        <v>-1999195754879.4507</v>
      </c>
      <c r="J3926" s="455">
        <f t="array" ref="J3926">IFERROR(INDEX('Retirement Calculator'!J:J,MATCH('Isaac 401k'!N3926,'Retirement Calculator'!A:A,0),0),0)</f>
        <v>0</v>
      </c>
      <c r="K3926" s="455">
        <f t="shared" ca="1" si="176"/>
        <v>-8329982311.9977112</v>
      </c>
      <c r="L3926" s="455">
        <f t="shared" ca="1" si="177"/>
        <v>-2007525737191.4485</v>
      </c>
      <c r="M3926" s="471">
        <f t="shared" si="179"/>
        <v>0.05</v>
      </c>
      <c r="N3926" s="475">
        <f t="shared" si="180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78"/>
        <v>-2007525737191.4485</v>
      </c>
      <c r="J3927" s="455">
        <f t="array" ref="J3927">IFERROR(INDEX('Retirement Calculator'!J:J,MATCH('Isaac 401k'!N3927,'Retirement Calculator'!A:A,0),0),0)</f>
        <v>0</v>
      </c>
      <c r="K3927" s="455">
        <f t="shared" ca="1" si="176"/>
        <v>-8364690571.6310339</v>
      </c>
      <c r="L3927" s="455">
        <f t="shared" ca="1" si="177"/>
        <v>-2015890427763.0796</v>
      </c>
      <c r="M3927" s="471">
        <f t="shared" si="179"/>
        <v>0.05</v>
      </c>
      <c r="N3927" s="475">
        <f t="shared" si="180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78"/>
        <v>-2015890427763.0796</v>
      </c>
      <c r="J3928" s="455">
        <f t="array" ref="J3928">IFERROR(INDEX('Retirement Calculator'!J:J,MATCH('Isaac 401k'!N3928,'Retirement Calculator'!A:A,0),0),0)</f>
        <v>0</v>
      </c>
      <c r="K3928" s="455">
        <f t="shared" ca="1" si="176"/>
        <v>-8399543449.0128317</v>
      </c>
      <c r="L3928" s="455">
        <f t="shared" ca="1" si="177"/>
        <v>-2024289971212.0925</v>
      </c>
      <c r="M3928" s="471">
        <f t="shared" si="179"/>
        <v>0.05</v>
      </c>
      <c r="N3928" s="475">
        <f t="shared" si="180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78"/>
        <v>-2024289971212.0925</v>
      </c>
      <c r="J3929" s="455">
        <f t="array" ref="J3929">IFERROR(INDEX('Retirement Calculator'!J:J,MATCH('Isaac 401k'!N3929,'Retirement Calculator'!A:A,0),0),0)</f>
        <v>0</v>
      </c>
      <c r="K3929" s="455">
        <f t="shared" ca="1" si="176"/>
        <v>-8434541546.7170525</v>
      </c>
      <c r="L3929" s="455">
        <f t="shared" ca="1" si="177"/>
        <v>-2032724512758.8096</v>
      </c>
      <c r="M3929" s="471">
        <f t="shared" si="179"/>
        <v>0.05</v>
      </c>
      <c r="N3929" s="475">
        <f t="shared" si="180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78"/>
        <v>-2032724512758.8096</v>
      </c>
      <c r="J3930" s="455">
        <f t="array" ref="J3930">IFERROR(INDEX('Retirement Calculator'!J:J,MATCH('Isaac 401k'!N3930,'Retirement Calculator'!A:A,0),0),0)</f>
        <v>0</v>
      </c>
      <c r="K3930" s="455">
        <f t="shared" ca="1" si="176"/>
        <v>-8469685469.828373</v>
      </c>
      <c r="L3930" s="455">
        <f t="shared" ca="1" si="177"/>
        <v>-2041194198228.6379</v>
      </c>
      <c r="M3930" s="471">
        <f t="shared" si="179"/>
        <v>0.05</v>
      </c>
      <c r="N3930" s="475">
        <f t="shared" si="180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78"/>
        <v>-2041194198228.6379</v>
      </c>
      <c r="J3931" s="455">
        <f t="array" ref="J3931">IFERROR(INDEX('Retirement Calculator'!J:J,MATCH('Isaac 401k'!N3931,'Retirement Calculator'!A:A,0),0),0)</f>
        <v>0</v>
      </c>
      <c r="K3931" s="455">
        <f t="shared" ca="1" si="176"/>
        <v>-8504975825.9526577</v>
      </c>
      <c r="L3931" s="455">
        <f t="shared" ca="1" si="177"/>
        <v>-2049699174054.5906</v>
      </c>
      <c r="M3931" s="471">
        <f t="shared" si="179"/>
        <v>0.05</v>
      </c>
      <c r="N3931" s="475">
        <f t="shared" si="180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78"/>
        <v>-2049699174054.5906</v>
      </c>
      <c r="J3932" s="455">
        <f t="array" ref="J3932">IFERROR(INDEX('Retirement Calculator'!J:J,MATCH('Isaac 401k'!N3932,'Retirement Calculator'!A:A,0),0),0)</f>
        <v>0</v>
      </c>
      <c r="K3932" s="455">
        <f t="shared" ca="1" si="176"/>
        <v>-8540413225.2274609</v>
      </c>
      <c r="L3932" s="455">
        <f t="shared" ca="1" si="177"/>
        <v>-2058239587279.8181</v>
      </c>
      <c r="M3932" s="471">
        <f t="shared" si="179"/>
        <v>0.05</v>
      </c>
      <c r="N3932" s="475">
        <f t="shared" si="180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78"/>
        <v>-2058239587279.8181</v>
      </c>
      <c r="J3933" s="455">
        <f t="array" ref="J3933">IFERROR(INDEX('Retirement Calculator'!J:J,MATCH('Isaac 401k'!N3933,'Retirement Calculator'!A:A,0),0),0)</f>
        <v>0</v>
      </c>
      <c r="K3933" s="455">
        <f t="shared" ca="1" si="176"/>
        <v>-8575998280.3325739</v>
      </c>
      <c r="L3933" s="455">
        <f t="shared" ca="1" si="177"/>
        <v>-2066815585560.1506</v>
      </c>
      <c r="M3933" s="471">
        <f t="shared" si="179"/>
        <v>0.05</v>
      </c>
      <c r="N3933" s="475">
        <f t="shared" si="180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78"/>
        <v>-2066815585560.1506</v>
      </c>
      <c r="J3934" s="455">
        <f t="array" ref="J3934">IFERROR(INDEX('Retirement Calculator'!J:J,MATCH('Isaac 401k'!N3934,'Retirement Calculator'!A:A,0),0),0)</f>
        <v>0</v>
      </c>
      <c r="K3934" s="455">
        <f t="shared" ca="1" si="176"/>
        <v>-8611731606.5006275</v>
      </c>
      <c r="L3934" s="455">
        <f t="shared" ca="1" si="177"/>
        <v>-2075427317166.6514</v>
      </c>
      <c r="M3934" s="471">
        <f t="shared" si="179"/>
        <v>0.05</v>
      </c>
      <c r="N3934" s="475">
        <f t="shared" si="180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78"/>
        <v>-2075427317166.6514</v>
      </c>
      <c r="J3935" s="455">
        <f t="array" ref="J3935">IFERROR(INDEX('Retirement Calculator'!J:J,MATCH('Isaac 401k'!N3935,'Retirement Calculator'!A:A,0),0),0)</f>
        <v>0</v>
      </c>
      <c r="K3935" s="455">
        <f t="shared" ca="1" si="176"/>
        <v>-8647613821.5277157</v>
      </c>
      <c r="L3935" s="455">
        <f t="shared" ca="1" si="177"/>
        <v>-2084074930988.1792</v>
      </c>
      <c r="M3935" s="471">
        <f t="shared" si="179"/>
        <v>0.05</v>
      </c>
      <c r="N3935" s="475">
        <f t="shared" si="180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78"/>
        <v>-2084074930988.1792</v>
      </c>
      <c r="J3936" s="455">
        <f t="array" ref="J3936">IFERROR(INDEX('Retirement Calculator'!J:J,MATCH('Isaac 401k'!N3936,'Retirement Calculator'!A:A,0),0),0)</f>
        <v>0</v>
      </c>
      <c r="K3936" s="455">
        <f t="shared" ca="1" si="176"/>
        <v>-8683645545.7840805</v>
      </c>
      <c r="L3936" s="455">
        <f t="shared" ca="1" si="177"/>
        <v>-2092758576533.9634</v>
      </c>
      <c r="M3936" s="471">
        <f t="shared" si="179"/>
        <v>0.05</v>
      </c>
      <c r="N3936" s="475">
        <f t="shared" si="180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78"/>
        <v>-2092758576533.9634</v>
      </c>
      <c r="J3937" s="455">
        <f t="array" ref="J3937">IFERROR(INDEX('Retirement Calculator'!J:J,MATCH('Isaac 401k'!N3937,'Retirement Calculator'!A:A,0),0),0)</f>
        <v>0</v>
      </c>
      <c r="K3937" s="455">
        <f t="shared" ca="1" si="176"/>
        <v>-8719827402.2248459</v>
      </c>
      <c r="L3937" s="455">
        <f t="shared" ca="1" si="177"/>
        <v>-2101478403936.1882</v>
      </c>
      <c r="M3937" s="471">
        <f t="shared" si="179"/>
        <v>0.05</v>
      </c>
      <c r="N3937" s="475">
        <f t="shared" si="180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78"/>
        <v>-2101478403936.1882</v>
      </c>
      <c r="J3938" s="455">
        <f t="array" ref="J3938">IFERROR(INDEX('Retirement Calculator'!J:J,MATCH('Isaac 401k'!N3938,'Retirement Calculator'!A:A,0),0),0)</f>
        <v>0</v>
      </c>
      <c r="K3938" s="455">
        <f t="shared" ca="1" si="176"/>
        <v>-8756160016.4007854</v>
      </c>
      <c r="L3938" s="455">
        <f t="shared" ca="1" si="177"/>
        <v>-2110234563952.5891</v>
      </c>
      <c r="M3938" s="471">
        <f t="shared" si="179"/>
        <v>0.05</v>
      </c>
      <c r="N3938" s="475">
        <f t="shared" si="180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78"/>
        <v>-2110234563952.5891</v>
      </c>
      <c r="J3939" s="455">
        <f t="array" ref="J3939">IFERROR(INDEX('Retirement Calculator'!J:J,MATCH('Isaac 401k'!N3939,'Retirement Calculator'!A:A,0),0),0)</f>
        <v>0</v>
      </c>
      <c r="K3939" s="455">
        <f t="shared" ca="1" si="176"/>
        <v>-8792644016.4691219</v>
      </c>
      <c r="L3939" s="455">
        <f t="shared" ca="1" si="177"/>
        <v>-2119027207969.0583</v>
      </c>
      <c r="M3939" s="471">
        <f t="shared" si="179"/>
        <v>0.05</v>
      </c>
      <c r="N3939" s="475">
        <f t="shared" si="180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78"/>
        <v>-2119027207969.0583</v>
      </c>
      <c r="J3940" s="455">
        <f t="array" ref="J3940">IFERROR(INDEX('Retirement Calculator'!J:J,MATCH('Isaac 401k'!N3940,'Retirement Calculator'!A:A,0),0),0)</f>
        <v>0</v>
      </c>
      <c r="K3940" s="455">
        <f t="shared" ca="1" si="176"/>
        <v>-8829280033.2044106</v>
      </c>
      <c r="L3940" s="455">
        <f t="shared" ca="1" si="177"/>
        <v>-2127856488002.2627</v>
      </c>
      <c r="M3940" s="471">
        <f t="shared" si="179"/>
        <v>0.05</v>
      </c>
      <c r="N3940" s="475">
        <f t="shared" si="180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78"/>
        <v>-2127856488002.2627</v>
      </c>
      <c r="J3941" s="455">
        <f t="array" ref="J3941">IFERROR(INDEX('Retirement Calculator'!J:J,MATCH('Isaac 401k'!N3941,'Retirement Calculator'!A:A,0),0),0)</f>
        <v>0</v>
      </c>
      <c r="K3941" s="455">
        <f t="shared" ca="1" si="176"/>
        <v>-8866068700.009428</v>
      </c>
      <c r="L3941" s="455">
        <f t="shared" ca="1" si="177"/>
        <v>-2136722556702.2722</v>
      </c>
      <c r="M3941" s="471">
        <f t="shared" si="179"/>
        <v>0.05</v>
      </c>
      <c r="N3941" s="475">
        <f t="shared" si="180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78"/>
        <v>-2136722556702.2722</v>
      </c>
      <c r="J3942" s="455">
        <f t="array" ref="J3942">IFERROR(INDEX('Retirement Calculator'!J:J,MATCH('Isaac 401k'!N3942,'Retirement Calculator'!A:A,0),0),0)</f>
        <v>0</v>
      </c>
      <c r="K3942" s="455">
        <f t="shared" ca="1" si="176"/>
        <v>-8903010652.9261322</v>
      </c>
      <c r="L3942" s="455">
        <f t="shared" ca="1" si="177"/>
        <v>-2145625567355.1982</v>
      </c>
      <c r="M3942" s="471">
        <f t="shared" si="179"/>
        <v>0.05</v>
      </c>
      <c r="N3942" s="475">
        <f t="shared" si="180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78"/>
        <v>-2145625567355.1982</v>
      </c>
      <c r="J3943" s="455">
        <f t="array" ref="J3943">IFERROR(INDEX('Retirement Calculator'!J:J,MATCH('Isaac 401k'!N3943,'Retirement Calculator'!A:A,0),0),0)</f>
        <v>0</v>
      </c>
      <c r="K3943" s="455">
        <f t="shared" ca="1" si="176"/>
        <v>-8940106530.6466599</v>
      </c>
      <c r="L3943" s="455">
        <f t="shared" ca="1" si="177"/>
        <v>-2154565673885.845</v>
      </c>
      <c r="M3943" s="471">
        <f t="shared" si="179"/>
        <v>0.05</v>
      </c>
      <c r="N3943" s="475">
        <f t="shared" si="180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78"/>
        <v>-2154565673885.845</v>
      </c>
      <c r="J3944" s="455">
        <f t="array" ref="J3944">IFERROR(INDEX('Retirement Calculator'!J:J,MATCH('Isaac 401k'!N3944,'Retirement Calculator'!A:A,0),0),0)</f>
        <v>0</v>
      </c>
      <c r="K3944" s="455">
        <f t="shared" ca="1" si="176"/>
        <v>-8977356974.524353</v>
      </c>
      <c r="L3944" s="455">
        <f t="shared" ca="1" si="177"/>
        <v>-2163543030860.3694</v>
      </c>
      <c r="M3944" s="471">
        <f t="shared" si="179"/>
        <v>0.05</v>
      </c>
      <c r="N3944" s="475">
        <f t="shared" si="180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78"/>
        <v>-2163543030860.3694</v>
      </c>
      <c r="J3945" s="455">
        <f t="array" ref="J3945">IFERROR(INDEX('Retirement Calculator'!J:J,MATCH('Isaac 401k'!N3945,'Retirement Calculator'!A:A,0),0),0)</f>
        <v>0</v>
      </c>
      <c r="K3945" s="455">
        <f t="shared" ca="1" si="176"/>
        <v>-9014762628.5848732</v>
      </c>
      <c r="L3945" s="455">
        <f t="shared" ca="1" si="177"/>
        <v>-2172557793488.9543</v>
      </c>
      <c r="M3945" s="471">
        <f t="shared" si="179"/>
        <v>0.05</v>
      </c>
      <c r="N3945" s="475">
        <f t="shared" si="180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78"/>
        <v>-2172557793488.9543</v>
      </c>
      <c r="J3946" s="455">
        <f t="array" ref="J3946">IFERROR(INDEX('Retirement Calculator'!J:J,MATCH('Isaac 401k'!N3946,'Retirement Calculator'!A:A,0),0),0)</f>
        <v>0</v>
      </c>
      <c r="K3946" s="455">
        <f t="shared" ca="1" si="176"/>
        <v>-9052324139.5373096</v>
      </c>
      <c r="L3946" s="455">
        <f t="shared" ca="1" si="177"/>
        <v>-2181610117628.4917</v>
      </c>
      <c r="M3946" s="471">
        <f t="shared" si="179"/>
        <v>0.05</v>
      </c>
      <c r="N3946" s="475">
        <f t="shared" si="180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78"/>
        <v>-2181610117628.4917</v>
      </c>
      <c r="J3947" s="455">
        <f t="array" ref="J3947">IFERROR(INDEX('Retirement Calculator'!J:J,MATCH('Isaac 401k'!N3947,'Retirement Calculator'!A:A,0),0),0)</f>
        <v>0</v>
      </c>
      <c r="K3947" s="455">
        <f t="shared" ca="1" si="176"/>
        <v>-9090042156.7853813</v>
      </c>
      <c r="L3947" s="455">
        <f t="shared" ca="1" si="177"/>
        <v>-2190700159785.2771</v>
      </c>
      <c r="M3947" s="471">
        <f t="shared" si="179"/>
        <v>0.05</v>
      </c>
      <c r="N3947" s="475">
        <f t="shared" si="180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78"/>
        <v>-2190700159785.2771</v>
      </c>
      <c r="J3948" s="455">
        <f t="array" ref="J3948">IFERROR(INDEX('Retirement Calculator'!J:J,MATCH('Isaac 401k'!N3948,'Retirement Calculator'!A:A,0),0),0)</f>
        <v>0</v>
      </c>
      <c r="K3948" s="455">
        <f t="shared" ca="1" si="176"/>
        <v>-9127917332.4386539</v>
      </c>
      <c r="L3948" s="455">
        <f t="shared" ca="1" si="177"/>
        <v>-2199828077117.7158</v>
      </c>
      <c r="M3948" s="471">
        <f t="shared" si="179"/>
        <v>0.05</v>
      </c>
      <c r="N3948" s="475">
        <f t="shared" si="180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78"/>
        <v>-2199828077117.7158</v>
      </c>
      <c r="J3949" s="455">
        <f t="array" ref="J3949">IFERROR(INDEX('Retirement Calculator'!J:J,MATCH('Isaac 401k'!N3949,'Retirement Calculator'!A:A,0),0),0)</f>
        <v>0</v>
      </c>
      <c r="K3949" s="455">
        <f t="shared" ca="1" si="176"/>
        <v>-9165950321.3238163</v>
      </c>
      <c r="L3949" s="455">
        <f t="shared" ca="1" si="177"/>
        <v>-2208994027439.0396</v>
      </c>
      <c r="M3949" s="471">
        <f t="shared" si="179"/>
        <v>0.05</v>
      </c>
      <c r="N3949" s="475">
        <f t="shared" si="180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78"/>
        <v>-2208994027439.0396</v>
      </c>
      <c r="J3950" s="455">
        <f t="array" ref="J3950">IFERROR(INDEX('Retirement Calculator'!J:J,MATCH('Isaac 401k'!N3950,'Retirement Calculator'!A:A,0),0),0)</f>
        <v>0</v>
      </c>
      <c r="K3950" s="455">
        <f t="shared" ca="1" si="176"/>
        <v>-9204141780.9959984</v>
      </c>
      <c r="L3950" s="455">
        <f t="shared" ca="1" si="177"/>
        <v>-2218198169220.0356</v>
      </c>
      <c r="M3950" s="471">
        <f t="shared" si="179"/>
        <v>0.05</v>
      </c>
      <c r="N3950" s="475">
        <f t="shared" si="180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78"/>
        <v>-2218198169220.0356</v>
      </c>
      <c r="J3951" s="455">
        <f t="array" ref="J3951">IFERROR(INDEX('Retirement Calculator'!J:J,MATCH('Isaac 401k'!N3951,'Retirement Calculator'!A:A,0),0),0)</f>
        <v>0</v>
      </c>
      <c r="K3951" s="455">
        <f t="shared" ca="1" si="176"/>
        <v>-9242492371.7501488</v>
      </c>
      <c r="L3951" s="455">
        <f t="shared" ca="1" si="177"/>
        <v>-2227440661591.7856</v>
      </c>
      <c r="M3951" s="471">
        <f t="shared" si="179"/>
        <v>0.05</v>
      </c>
      <c r="N3951" s="475">
        <f t="shared" si="180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78"/>
        <v>-2227440661591.7856</v>
      </c>
      <c r="J3952" s="455">
        <f t="array" ref="J3952">IFERROR(INDEX('Retirement Calculator'!J:J,MATCH('Isaac 401k'!N3952,'Retirement Calculator'!A:A,0),0),0)</f>
        <v>0</v>
      </c>
      <c r="K3952" s="455">
        <f t="shared" ca="1" si="176"/>
        <v>-9281002756.6324406</v>
      </c>
      <c r="L3952" s="455">
        <f t="shared" ca="1" si="177"/>
        <v>-2236721664348.418</v>
      </c>
      <c r="M3952" s="471">
        <f t="shared" si="179"/>
        <v>0.05</v>
      </c>
      <c r="N3952" s="475">
        <f t="shared" si="180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78"/>
        <v>-2236721664348.418</v>
      </c>
      <c r="J3953" s="455">
        <f t="array" ref="J3953">IFERROR(INDEX('Retirement Calculator'!J:J,MATCH('Isaac 401k'!N3953,'Retirement Calculator'!A:A,0),0),0)</f>
        <v>0</v>
      </c>
      <c r="K3953" s="455">
        <f t="shared" ca="1" si="176"/>
        <v>-9319673601.4517422</v>
      </c>
      <c r="L3953" s="455">
        <f t="shared" ca="1" si="177"/>
        <v>-2246041337949.8696</v>
      </c>
      <c r="M3953" s="471">
        <f t="shared" si="179"/>
        <v>0.05</v>
      </c>
      <c r="N3953" s="475">
        <f t="shared" si="180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78"/>
        <v>-2246041337949.8696</v>
      </c>
      <c r="J3954" s="455">
        <f t="array" ref="J3954">IFERROR(INDEX('Retirement Calculator'!J:J,MATCH('Isaac 401k'!N3954,'Retirement Calculator'!A:A,0),0),0)</f>
        <v>0</v>
      </c>
      <c r="K3954" s="455">
        <f t="shared" ca="1" si="176"/>
        <v>-9358505574.7911224</v>
      </c>
      <c r="L3954" s="455">
        <f t="shared" ca="1" si="177"/>
        <v>-2255399843524.6606</v>
      </c>
      <c r="M3954" s="471">
        <f t="shared" si="179"/>
        <v>0.05</v>
      </c>
      <c r="N3954" s="475">
        <f t="shared" si="180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78"/>
        <v>-2255399843524.6606</v>
      </c>
      <c r="J3955" s="455">
        <f t="array" ref="J3955">IFERROR(INDEX('Retirement Calculator'!J:J,MATCH('Isaac 401k'!N3955,'Retirement Calculator'!A:A,0),0),0)</f>
        <v>0</v>
      </c>
      <c r="K3955" s="455">
        <f t="shared" ca="1" si="176"/>
        <v>-9397499348.0194187</v>
      </c>
      <c r="L3955" s="455">
        <f t="shared" ca="1" si="177"/>
        <v>-2264797342872.6802</v>
      </c>
      <c r="M3955" s="471">
        <f t="shared" si="179"/>
        <v>0.05</v>
      </c>
      <c r="N3955" s="475">
        <f t="shared" si="180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78"/>
        <v>-2264797342872.6802</v>
      </c>
      <c r="J3956" s="455">
        <f t="array" ref="J3956">IFERROR(INDEX('Retirement Calculator'!J:J,MATCH('Isaac 401k'!N3956,'Retirement Calculator'!A:A,0),0),0)</f>
        <v>0</v>
      </c>
      <c r="K3956" s="455">
        <f t="shared" ca="1" si="176"/>
        <v>-9436655595.3028336</v>
      </c>
      <c r="L3956" s="455">
        <f t="shared" ca="1" si="177"/>
        <v>-2274233998467.9829</v>
      </c>
      <c r="M3956" s="471">
        <f t="shared" si="179"/>
        <v>0.05</v>
      </c>
      <c r="N3956" s="475">
        <f t="shared" si="180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78"/>
        <v>-2274233998467.9829</v>
      </c>
      <c r="J3957" s="455">
        <f t="array" ref="J3957">IFERROR(INDEX('Retirement Calculator'!J:J,MATCH('Isaac 401k'!N3957,'Retirement Calculator'!A:A,0),0),0)</f>
        <v>0</v>
      </c>
      <c r="K3957" s="455">
        <f t="shared" ca="1" si="176"/>
        <v>-9475974993.6165962</v>
      </c>
      <c r="L3957" s="455">
        <f t="shared" ca="1" si="177"/>
        <v>-2283709973461.5996</v>
      </c>
      <c r="M3957" s="471">
        <f t="shared" si="179"/>
        <v>0.05</v>
      </c>
      <c r="N3957" s="475">
        <f t="shared" si="180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78"/>
        <v>-2283709973461.5996</v>
      </c>
      <c r="J3958" s="455">
        <f t="array" ref="J3958">IFERROR(INDEX('Retirement Calculator'!J:J,MATCH('Isaac 401k'!N3958,'Retirement Calculator'!A:A,0),0),0)</f>
        <v>0</v>
      </c>
      <c r="K3958" s="455">
        <f t="shared" ca="1" si="176"/>
        <v>-9515458222.7566643</v>
      </c>
      <c r="L3958" s="455">
        <f t="shared" ca="1" si="177"/>
        <v>-2293225431684.3564</v>
      </c>
      <c r="M3958" s="471">
        <f t="shared" si="179"/>
        <v>0.05</v>
      </c>
      <c r="N3958" s="475">
        <f t="shared" si="180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78"/>
        <v>-2293225431684.3564</v>
      </c>
      <c r="J3959" s="455">
        <f t="array" ref="J3959">IFERROR(INDEX('Retirement Calculator'!J:J,MATCH('Isaac 401k'!N3959,'Retirement Calculator'!A:A,0),0),0)</f>
        <v>0</v>
      </c>
      <c r="K3959" s="455">
        <f t="shared" ca="1" si="176"/>
        <v>-9555105965.3514843</v>
      </c>
      <c r="L3959" s="455">
        <f t="shared" ca="1" si="177"/>
        <v>-2302780537649.708</v>
      </c>
      <c r="M3959" s="471">
        <f t="shared" si="179"/>
        <v>0.05</v>
      </c>
      <c r="N3959" s="475">
        <f t="shared" si="180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78"/>
        <v>-2302780537649.708</v>
      </c>
      <c r="J3960" s="455">
        <f t="array" ref="J3960">IFERROR(INDEX('Retirement Calculator'!J:J,MATCH('Isaac 401k'!N3960,'Retirement Calculator'!A:A,0),0),0)</f>
        <v>0</v>
      </c>
      <c r="K3960" s="455">
        <f t="shared" ca="1" si="176"/>
        <v>-9594918906.8737831</v>
      </c>
      <c r="L3960" s="455">
        <f t="shared" ca="1" si="177"/>
        <v>-2312375456556.582</v>
      </c>
      <c r="M3960" s="471">
        <f t="shared" si="179"/>
        <v>0.05</v>
      </c>
      <c r="N3960" s="475">
        <f t="shared" si="180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78"/>
        <v>-2312375456556.582</v>
      </c>
      <c r="J3961" s="455">
        <f t="array" ref="J3961">IFERROR(INDEX('Retirement Calculator'!J:J,MATCH('Isaac 401k'!N3961,'Retirement Calculator'!A:A,0),0),0)</f>
        <v>0</v>
      </c>
      <c r="K3961" s="455">
        <f t="shared" ca="1" si="176"/>
        <v>-9634897735.6524258</v>
      </c>
      <c r="L3961" s="455">
        <f t="shared" ca="1" si="177"/>
        <v>-2322010354292.2344</v>
      </c>
      <c r="M3961" s="471">
        <f t="shared" si="179"/>
        <v>0.05</v>
      </c>
      <c r="N3961" s="475">
        <f t="shared" si="180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78"/>
        <v>-2322010354292.2344</v>
      </c>
      <c r="J3962" s="455">
        <f t="array" ref="J3962">IFERROR(INDEX('Retirement Calculator'!J:J,MATCH('Isaac 401k'!N3962,'Retirement Calculator'!A:A,0),0),0)</f>
        <v>0</v>
      </c>
      <c r="K3962" s="455">
        <f t="shared" ca="1" si="176"/>
        <v>-9675043142.8843098</v>
      </c>
      <c r="L3962" s="455">
        <f t="shared" ca="1" si="177"/>
        <v>-2331685397435.1187</v>
      </c>
      <c r="M3962" s="471">
        <f t="shared" si="179"/>
        <v>0.05</v>
      </c>
      <c r="N3962" s="475">
        <f t="shared" si="180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78"/>
        <v>-2331685397435.1187</v>
      </c>
      <c r="J3963" s="455">
        <f t="array" ref="J3963">IFERROR(INDEX('Retirement Calculator'!J:J,MATCH('Isaac 401k'!N3963,'Retirement Calculator'!A:A,0),0),0)</f>
        <v>0</v>
      </c>
      <c r="K3963" s="455">
        <f t="shared" ca="1" si="176"/>
        <v>-9715355822.646328</v>
      </c>
      <c r="L3963" s="455">
        <f t="shared" ca="1" si="177"/>
        <v>-2341400753257.7651</v>
      </c>
      <c r="M3963" s="471">
        <f t="shared" si="179"/>
        <v>0.05</v>
      </c>
      <c r="N3963" s="475">
        <f t="shared" si="180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78"/>
        <v>-2341400753257.7651</v>
      </c>
      <c r="J3964" s="455">
        <f t="array" ref="J3964">IFERROR(INDEX('Retirement Calculator'!J:J,MATCH('Isaac 401k'!N3964,'Retirement Calculator'!A:A,0),0),0)</f>
        <v>0</v>
      </c>
      <c r="K3964" s="455">
        <f t="shared" ca="1" si="176"/>
        <v>-9755836471.9073544</v>
      </c>
      <c r="L3964" s="455">
        <f t="shared" ca="1" si="177"/>
        <v>-2351156589729.6724</v>
      </c>
      <c r="M3964" s="471">
        <f t="shared" si="179"/>
        <v>0.05</v>
      </c>
      <c r="N3964" s="475">
        <f t="shared" si="180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78"/>
        <v>-2351156589729.6724</v>
      </c>
      <c r="J3965" s="455">
        <f t="array" ref="J3965">IFERROR(INDEX('Retirement Calculator'!J:J,MATCH('Isaac 401k'!N3965,'Retirement Calculator'!A:A,0),0),0)</f>
        <v>0</v>
      </c>
      <c r="K3965" s="455">
        <f t="shared" ca="1" si="176"/>
        <v>-9796485790.5403023</v>
      </c>
      <c r="L3965" s="455">
        <f t="shared" ca="1" si="177"/>
        <v>-2360953075520.2129</v>
      </c>
      <c r="M3965" s="471">
        <f t="shared" si="179"/>
        <v>0.05</v>
      </c>
      <c r="N3965" s="475">
        <f t="shared" si="180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78"/>
        <v>-2360953075520.2129</v>
      </c>
      <c r="J3966" s="455">
        <f t="array" ref="J3966">IFERROR(INDEX('Retirement Calculator'!J:J,MATCH('Isaac 401k'!N3966,'Retirement Calculator'!A:A,0),0),0)</f>
        <v>0</v>
      </c>
      <c r="K3966" s="455">
        <f t="shared" ca="1" si="176"/>
        <v>-9837304481.3342209</v>
      </c>
      <c r="L3966" s="455">
        <f t="shared" ca="1" si="177"/>
        <v>-2370790380001.5469</v>
      </c>
      <c r="M3966" s="471">
        <f t="shared" si="179"/>
        <v>0.05</v>
      </c>
      <c r="N3966" s="475">
        <f t="shared" si="180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78"/>
        <v>-2370790380001.5469</v>
      </c>
      <c r="J3967" s="455">
        <f t="array" ref="J3967">IFERROR(INDEX('Retirement Calculator'!J:J,MATCH('Isaac 401k'!N3967,'Retirement Calculator'!A:A,0),0),0)</f>
        <v>0</v>
      </c>
      <c r="K3967" s="455">
        <f t="shared" ca="1" si="176"/>
        <v>-9878293250.0064449</v>
      </c>
      <c r="L3967" s="455">
        <f t="shared" ca="1" si="177"/>
        <v>-2380668673251.5532</v>
      </c>
      <c r="M3967" s="471">
        <f t="shared" si="179"/>
        <v>0.05</v>
      </c>
      <c r="N3967" s="475">
        <f t="shared" si="180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78"/>
        <v>-2380668673251.5532</v>
      </c>
      <c r="J3968" s="455">
        <f t="array" ref="J3968">IFERROR(INDEX('Retirement Calculator'!J:J,MATCH('Isaac 401k'!N3968,'Retirement Calculator'!A:A,0),0),0)</f>
        <v>0</v>
      </c>
      <c r="K3968" s="455">
        <f t="shared" ca="1" si="176"/>
        <v>-9919452805.2148056</v>
      </c>
      <c r="L3968" s="455">
        <f t="shared" ca="1" si="177"/>
        <v>-2390588126056.7681</v>
      </c>
      <c r="M3968" s="471">
        <f t="shared" si="179"/>
        <v>0.05</v>
      </c>
      <c r="N3968" s="475">
        <f t="shared" si="180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78"/>
        <v>-2390588126056.7681</v>
      </c>
      <c r="J3969" s="455">
        <f t="array" ref="J3969">IFERROR(INDEX('Retirement Calculator'!J:J,MATCH('Isaac 401k'!N3969,'Retirement Calculator'!A:A,0),0),0)</f>
        <v>0</v>
      </c>
      <c r="K3969" s="455">
        <f t="shared" ca="1" si="176"/>
        <v>-9960783858.5698662</v>
      </c>
      <c r="L3969" s="455">
        <f t="shared" ca="1" si="177"/>
        <v>-2400548909915.3379</v>
      </c>
      <c r="M3969" s="471">
        <f t="shared" si="179"/>
        <v>0.05</v>
      </c>
      <c r="N3969" s="475">
        <f t="shared" si="180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78"/>
        <v>-2400548909915.3379</v>
      </c>
      <c r="J3970" s="455">
        <f t="array" ref="J3970">IFERROR(INDEX('Retirement Calculator'!J:J,MATCH('Isaac 401k'!N3970,'Retirement Calculator'!A:A,0),0),0)</f>
        <v>0</v>
      </c>
      <c r="K3970" s="455">
        <f t="shared" ca="1" si="176"/>
        <v>-10002287124.647242</v>
      </c>
      <c r="L3970" s="455">
        <f t="shared" ca="1" si="177"/>
        <v>-2410551197039.9854</v>
      </c>
      <c r="M3970" s="471">
        <f t="shared" si="179"/>
        <v>0.05</v>
      </c>
      <c r="N3970" s="475">
        <f t="shared" si="180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78"/>
        <v>-2410551197039.9854</v>
      </c>
      <c r="J3971" s="455">
        <f t="array" ref="J3971">IFERROR(INDEX('Retirement Calculator'!J:J,MATCH('Isaac 401k'!N3971,'Retirement Calculator'!A:A,0),0),0)</f>
        <v>0</v>
      </c>
      <c r="K3971" s="455">
        <f t="shared" ca="1" si="176"/>
        <v>-10043963320.999939</v>
      </c>
      <c r="L3971" s="455">
        <f t="shared" ca="1" si="177"/>
        <v>-2420595160360.9854</v>
      </c>
      <c r="M3971" s="471">
        <f t="shared" si="179"/>
        <v>0.05</v>
      </c>
      <c r="N3971" s="475">
        <f t="shared" si="180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78"/>
        <v>-2420595160360.9854</v>
      </c>
      <c r="J3972" s="455">
        <f t="array" ref="J3972">IFERROR(INDEX('Retirement Calculator'!J:J,MATCH('Isaac 401k'!N3972,'Retirement Calculator'!A:A,0),0),0)</f>
        <v>0</v>
      </c>
      <c r="K3972" s="455">
        <f t="shared" ca="1" si="176"/>
        <v>-10085813168.170773</v>
      </c>
      <c r="L3972" s="455">
        <f t="shared" ca="1" si="177"/>
        <v>-2430680973529.1563</v>
      </c>
      <c r="M3972" s="471">
        <f t="shared" si="179"/>
        <v>0.05</v>
      </c>
      <c r="N3972" s="475">
        <f t="shared" si="180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78"/>
        <v>-2430680973529.1563</v>
      </c>
      <c r="J3973" s="455">
        <f t="array" ref="J3973">IFERROR(INDEX('Retirement Calculator'!J:J,MATCH('Isaac 401k'!N3973,'Retirement Calculator'!A:A,0),0),0)</f>
        <v>0</v>
      </c>
      <c r="K3973" s="455">
        <f t="shared" ca="1" si="176"/>
        <v>-10127837389.704817</v>
      </c>
      <c r="L3973" s="455">
        <f t="shared" ca="1" si="177"/>
        <v>-2440808810918.8608</v>
      </c>
      <c r="M3973" s="471">
        <f t="shared" si="179"/>
        <v>0.05</v>
      </c>
      <c r="N3973" s="475">
        <f t="shared" si="180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78"/>
        <v>-2440808810918.8608</v>
      </c>
      <c r="J3974" s="455">
        <f t="array" ref="J3974">IFERROR(INDEX('Retirement Calculator'!J:J,MATCH('Isaac 401k'!N3974,'Retirement Calculator'!A:A,0),0),0)</f>
        <v>0</v>
      </c>
      <c r="K3974" s="455">
        <f t="shared" ca="1" si="176"/>
        <v>-10170036712.161921</v>
      </c>
      <c r="L3974" s="455">
        <f t="shared" ca="1" si="177"/>
        <v>-2450978847631.0229</v>
      </c>
      <c r="M3974" s="471">
        <f t="shared" si="179"/>
        <v>0.05</v>
      </c>
      <c r="N3974" s="475">
        <f t="shared" si="180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78"/>
        <v>-2450978847631.0229</v>
      </c>
      <c r="J3975" s="455">
        <f t="array" ref="J3975">IFERROR(INDEX('Retirement Calculator'!J:J,MATCH('Isaac 401k'!N3975,'Retirement Calculator'!A:A,0),0),0)</f>
        <v>0</v>
      </c>
      <c r="K3975" s="455">
        <f t="shared" ca="1" si="176"/>
        <v>-10212411865.129263</v>
      </c>
      <c r="L3975" s="455">
        <f t="shared" ca="1" si="177"/>
        <v>-2461191259496.1523</v>
      </c>
      <c r="M3975" s="471">
        <f t="shared" si="179"/>
        <v>0.05</v>
      </c>
      <c r="N3975" s="475">
        <f t="shared" si="180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78"/>
        <v>-2461191259496.1523</v>
      </c>
      <c r="J3976" s="455">
        <f t="array" ref="J3976">IFERROR(INDEX('Retirement Calculator'!J:J,MATCH('Isaac 401k'!N3976,'Retirement Calculator'!A:A,0),0),0)</f>
        <v>0</v>
      </c>
      <c r="K3976" s="455">
        <f t="shared" ca="1" si="176"/>
        <v>-10254963581.233969</v>
      </c>
      <c r="L3976" s="455">
        <f t="shared" ca="1" si="177"/>
        <v>-2471446223077.3862</v>
      </c>
      <c r="M3976" s="471">
        <f t="shared" si="179"/>
        <v>0.05</v>
      </c>
      <c r="N3976" s="475">
        <f t="shared" si="180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78"/>
        <v>-2471446223077.3862</v>
      </c>
      <c r="J3977" s="455">
        <f t="array" ref="J3977">IFERROR(INDEX('Retirement Calculator'!J:J,MATCH('Isaac 401k'!N3977,'Retirement Calculator'!A:A,0),0),0)</f>
        <v>0</v>
      </c>
      <c r="K3977" s="455">
        <f t="shared" ca="1" si="176"/>
        <v>-10297692596.155775</v>
      </c>
      <c r="L3977" s="455">
        <f t="shared" ca="1" si="177"/>
        <v>-2481743915673.542</v>
      </c>
      <c r="M3977" s="471">
        <f t="shared" si="179"/>
        <v>0.05</v>
      </c>
      <c r="N3977" s="475">
        <f t="shared" si="180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78"/>
        <v>-2481743915673.542</v>
      </c>
      <c r="J3978" s="455">
        <f t="array" ref="J3978">IFERROR(INDEX('Retirement Calculator'!J:J,MATCH('Isaac 401k'!N3978,'Retirement Calculator'!A:A,0),0),0)</f>
        <v>0</v>
      </c>
      <c r="K3978" s="455">
        <f t="shared" ca="1" si="176"/>
        <v>-10340599648.639759</v>
      </c>
      <c r="L3978" s="455">
        <f t="shared" ca="1" si="177"/>
        <v>-2492084515322.1816</v>
      </c>
      <c r="M3978" s="471">
        <f t="shared" si="179"/>
        <v>0.05</v>
      </c>
      <c r="N3978" s="475">
        <f t="shared" si="180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78"/>
        <v>-2492084515322.1816</v>
      </c>
      <c r="J3979" s="455">
        <f t="array" ref="J3979">IFERROR(INDEX('Retirement Calculator'!J:J,MATCH('Isaac 401k'!N3979,'Retirement Calculator'!A:A,0),0),0)</f>
        <v>0</v>
      </c>
      <c r="K3979" s="455">
        <f t="shared" ca="1" si="176"/>
        <v>-10383685480.50909</v>
      </c>
      <c r="L3979" s="455">
        <f t="shared" ca="1" si="177"/>
        <v>-2502468200802.6909</v>
      </c>
      <c r="M3979" s="471">
        <f t="shared" si="179"/>
        <v>0.05</v>
      </c>
      <c r="N3979" s="475">
        <f t="shared" si="180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78"/>
        <v>-2502468200802.6909</v>
      </c>
      <c r="J3980" s="455">
        <f t="array" ref="J3980">IFERROR(INDEX('Retirement Calculator'!J:J,MATCH('Isaac 401k'!N3980,'Retirement Calculator'!A:A,0),0),0)</f>
        <v>0</v>
      </c>
      <c r="K3980" s="455">
        <f t="shared" ca="1" si="176"/>
        <v>-10426950836.677879</v>
      </c>
      <c r="L3980" s="455">
        <f t="shared" ca="1" si="177"/>
        <v>-2512895151639.3687</v>
      </c>
      <c r="M3980" s="471">
        <f t="shared" si="179"/>
        <v>0.05</v>
      </c>
      <c r="N3980" s="475">
        <f t="shared" si="180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78"/>
        <v>-2512895151639.3687</v>
      </c>
      <c r="J3981" s="455">
        <f t="array" ref="J3981">IFERROR(INDEX('Retirement Calculator'!J:J,MATCH('Isaac 401k'!N3981,'Retirement Calculator'!A:A,0),0),0)</f>
        <v>0</v>
      </c>
      <c r="K3981" s="455">
        <f t="shared" ca="1" si="176"/>
        <v>-10470396465.164036</v>
      </c>
      <c r="L3981" s="455">
        <f t="shared" ca="1" si="177"/>
        <v>-2523365548104.5327</v>
      </c>
      <c r="M3981" s="471">
        <f t="shared" si="179"/>
        <v>0.05</v>
      </c>
      <c r="N3981" s="475">
        <f t="shared" si="180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78"/>
        <v>-2523365548104.5327</v>
      </c>
      <c r="J3982" s="455">
        <f t="array" ref="J3982">IFERROR(INDEX('Retirement Calculator'!J:J,MATCH('Isaac 401k'!N3982,'Retirement Calculator'!A:A,0),0),0)</f>
        <v>0</v>
      </c>
      <c r="K3982" s="455">
        <f t="shared" ca="1" si="176"/>
        <v>-10514023117.102219</v>
      </c>
      <c r="L3982" s="455">
        <f t="shared" ca="1" si="177"/>
        <v>-2533879571221.6348</v>
      </c>
      <c r="M3982" s="471">
        <f t="shared" si="179"/>
        <v>0.05</v>
      </c>
      <c r="N3982" s="475">
        <f t="shared" si="180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78"/>
        <v>-2533879571221.6348</v>
      </c>
      <c r="J3983" s="455">
        <f t="array" ref="J3983">IFERROR(INDEX('Retirement Calculator'!J:J,MATCH('Isaac 401k'!N3983,'Retirement Calculator'!A:A,0),0),0)</f>
        <v>0</v>
      </c>
      <c r="K3983" s="455">
        <f t="shared" ca="1" si="176"/>
        <v>-10557831546.756811</v>
      </c>
      <c r="L3983" s="455">
        <f t="shared" ca="1" si="177"/>
        <v>-2544437402768.3916</v>
      </c>
      <c r="M3983" s="471">
        <f t="shared" si="179"/>
        <v>0.05</v>
      </c>
      <c r="N3983" s="475">
        <f t="shared" si="180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78"/>
        <v>-2544437402768.3916</v>
      </c>
      <c r="J3984" s="455">
        <f t="array" ref="J3984">IFERROR(INDEX('Retirement Calculator'!J:J,MATCH('Isaac 401k'!N3984,'Retirement Calculator'!A:A,0),0),0)</f>
        <v>0</v>
      </c>
      <c r="K3984" s="455">
        <f t="shared" ca="1" si="176"/>
        <v>-10601822511.534966</v>
      </c>
      <c r="L3984" s="455">
        <f t="shared" ca="1" si="177"/>
        <v>-2555039225279.9268</v>
      </c>
      <c r="M3984" s="471">
        <f t="shared" si="179"/>
        <v>0.05</v>
      </c>
      <c r="N3984" s="475">
        <f t="shared" si="180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78"/>
        <v>-2555039225279.9268</v>
      </c>
      <c r="J3985" s="455">
        <f t="array" ref="J3985">IFERROR(INDEX('Retirement Calculator'!J:J,MATCH('Isaac 401k'!N3985,'Retirement Calculator'!A:A,0),0),0)</f>
        <v>0</v>
      </c>
      <c r="K3985" s="455">
        <f t="shared" ca="1" si="176"/>
        <v>-10645996771.999695</v>
      </c>
      <c r="L3985" s="455">
        <f t="shared" ca="1" si="177"/>
        <v>-2565685222051.9263</v>
      </c>
      <c r="M3985" s="471">
        <f t="shared" si="179"/>
        <v>0.05</v>
      </c>
      <c r="N3985" s="475">
        <f t="shared" si="180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78"/>
        <v>-2565685222051.9263</v>
      </c>
      <c r="J3986" s="455">
        <f t="array" ref="J3986">IFERROR(INDEX('Retirement Calculator'!J:J,MATCH('Isaac 401k'!N3986,'Retirement Calculator'!A:A,0),0),0)</f>
        <v>0</v>
      </c>
      <c r="K3986" s="455">
        <f t="shared" ca="1" si="176"/>
        <v>-10690355091.883026</v>
      </c>
      <c r="L3986" s="455">
        <f t="shared" ca="1" si="177"/>
        <v>-2576375577143.8091</v>
      </c>
      <c r="M3986" s="471">
        <f t="shared" si="179"/>
        <v>0.05</v>
      </c>
      <c r="N3986" s="475">
        <f t="shared" si="180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78"/>
        <v>-2576375577143.8091</v>
      </c>
      <c r="J3987" s="455">
        <f t="array" ref="J3987">IFERROR(INDEX('Retirement Calculator'!J:J,MATCH('Isaac 401k'!N3987,'Retirement Calculator'!A:A,0),0),0)</f>
        <v>0</v>
      </c>
      <c r="K3987" s="455">
        <f t="shared" ca="1" si="176"/>
        <v>-10734898238.099205</v>
      </c>
      <c r="L3987" s="455">
        <f t="shared" ca="1" si="177"/>
        <v>-2587110475381.9082</v>
      </c>
      <c r="M3987" s="471">
        <f t="shared" si="179"/>
        <v>0.05</v>
      </c>
      <c r="N3987" s="475">
        <f t="shared" si="180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78"/>
        <v>-2587110475381.9082</v>
      </c>
      <c r="J3988" s="455">
        <f t="array" ref="J3988">IFERROR(INDEX('Retirement Calculator'!J:J,MATCH('Isaac 401k'!N3988,'Retirement Calculator'!A:A,0),0),0)</f>
        <v>0</v>
      </c>
      <c r="K3988" s="455">
        <f t="shared" ca="1" si="176"/>
        <v>-10779626980.75795</v>
      </c>
      <c r="L3988" s="455">
        <f t="shared" ca="1" si="177"/>
        <v>-2597890102362.666</v>
      </c>
      <c r="M3988" s="471">
        <f t="shared" si="179"/>
        <v>0.05</v>
      </c>
      <c r="N3988" s="475">
        <f t="shared" si="180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78"/>
        <v>-2597890102362.666</v>
      </c>
      <c r="J3989" s="455">
        <f t="array" ref="J3989">IFERROR(INDEX('Retirement Calculator'!J:J,MATCH('Isaac 401k'!N3989,'Retirement Calculator'!A:A,0),0),0)</f>
        <v>0</v>
      </c>
      <c r="K3989" s="455">
        <f t="shared" ca="1" si="176"/>
        <v>-10824542093.177774</v>
      </c>
      <c r="L3989" s="455">
        <f t="shared" ca="1" si="177"/>
        <v>-2608714644455.8438</v>
      </c>
      <c r="M3989" s="471">
        <f t="shared" si="179"/>
        <v>0.05</v>
      </c>
      <c r="N3989" s="475">
        <f t="shared" si="180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78"/>
        <v>-2608714644455.8438</v>
      </c>
      <c r="J3990" s="455">
        <f t="array" ref="J3990">IFERROR(INDEX('Retirement Calculator'!J:J,MATCH('Isaac 401k'!N3990,'Retirement Calculator'!A:A,0),0),0)</f>
        <v>0</v>
      </c>
      <c r="K3990" s="455">
        <f t="shared" ca="1" si="176"/>
        <v>-10869644351.899349</v>
      </c>
      <c r="L3990" s="455">
        <f t="shared" ca="1" si="177"/>
        <v>-2619584288807.7432</v>
      </c>
      <c r="M3990" s="471">
        <f t="shared" si="179"/>
        <v>0.05</v>
      </c>
      <c r="N3990" s="475">
        <f t="shared" si="180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78"/>
        <v>-2619584288807.7432</v>
      </c>
      <c r="J3991" s="455">
        <f t="array" ref="J3991">IFERROR(INDEX('Retirement Calculator'!J:J,MATCH('Isaac 401k'!N3991,'Retirement Calculator'!A:A,0),0),0)</f>
        <v>0</v>
      </c>
      <c r="K3991" s="455">
        <f t="shared" ca="1" si="176"/>
        <v>-10914934536.698929</v>
      </c>
      <c r="L3991" s="455">
        <f t="shared" ca="1" si="177"/>
        <v>-2630499223344.4419</v>
      </c>
      <c r="M3991" s="471">
        <f t="shared" si="179"/>
        <v>0.05</v>
      </c>
      <c r="N3991" s="475">
        <f t="shared" si="180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78"/>
        <v>-2630499223344.4419</v>
      </c>
      <c r="J3992" s="455">
        <f t="array" ref="J3992">IFERROR(INDEX('Retirement Calculator'!J:J,MATCH('Isaac 401k'!N3992,'Retirement Calculator'!A:A,0),0),0)</f>
        <v>0</v>
      </c>
      <c r="K3992" s="455">
        <f t="shared" ca="1" si="176"/>
        <v>-10960413430.601841</v>
      </c>
      <c r="L3992" s="455">
        <f t="shared" ca="1" si="177"/>
        <v>-2641459636775.0439</v>
      </c>
      <c r="M3992" s="471">
        <f t="shared" si="179"/>
        <v>0.05</v>
      </c>
      <c r="N3992" s="475">
        <f t="shared" si="180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78"/>
        <v>-2641459636775.0439</v>
      </c>
      <c r="J3993" s="455">
        <f t="array" ref="J3993">IFERROR(INDEX('Retirement Calculator'!J:J,MATCH('Isaac 401k'!N3993,'Retirement Calculator'!A:A,0),0),0)</f>
        <v>0</v>
      </c>
      <c r="K3993" s="455">
        <f t="shared" ca="1" si="176"/>
        <v>-11006081819.896017</v>
      </c>
      <c r="L3993" s="455">
        <f t="shared" ca="1" si="177"/>
        <v>-2652465718594.9399</v>
      </c>
      <c r="M3993" s="471">
        <f t="shared" si="179"/>
        <v>0.05</v>
      </c>
      <c r="N3993" s="475">
        <f t="shared" si="180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78"/>
        <v>-2652465718594.9399</v>
      </c>
      <c r="J3994" s="455">
        <f t="array" ref="J3994">IFERROR(INDEX('Retirement Calculator'!J:J,MATCH('Isaac 401k'!N3994,'Retirement Calculator'!A:A,0),0),0)</f>
        <v>0</v>
      </c>
      <c r="K3994" s="455">
        <f t="shared" ca="1" si="176"/>
        <v>-11051940494.145582</v>
      </c>
      <c r="L3994" s="455">
        <f t="shared" ca="1" si="177"/>
        <v>-2663517659089.0854</v>
      </c>
      <c r="M3994" s="471">
        <f t="shared" si="179"/>
        <v>0.05</v>
      </c>
      <c r="N3994" s="475">
        <f t="shared" si="180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78"/>
        <v>-2663517659089.0854</v>
      </c>
      <c r="J3995" s="455">
        <f t="array" ref="J3995">IFERROR(INDEX('Retirement Calculator'!J:J,MATCH('Isaac 401k'!N3995,'Retirement Calculator'!A:A,0),0),0)</f>
        <v>0</v>
      </c>
      <c r="K3995" s="455">
        <f t="shared" ca="1" si="176"/>
        <v>-11097990246.204523</v>
      </c>
      <c r="L3995" s="455">
        <f t="shared" ca="1" si="177"/>
        <v>-2674615649335.29</v>
      </c>
      <c r="M3995" s="471">
        <f t="shared" si="179"/>
        <v>0.05</v>
      </c>
      <c r="N3995" s="475">
        <f t="shared" si="180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78"/>
        <v>-2674615649335.29</v>
      </c>
      <c r="J3996" s="455">
        <f t="array" ref="J3996">IFERROR(INDEX('Retirement Calculator'!J:J,MATCH('Isaac 401k'!N3996,'Retirement Calculator'!A:A,0),0),0)</f>
        <v>0</v>
      </c>
      <c r="K3996" s="455">
        <f t="shared" ca="1" si="176"/>
        <v>-11144231872.230375</v>
      </c>
      <c r="L3996" s="455">
        <f t="shared" ca="1" si="177"/>
        <v>-2685759881207.5205</v>
      </c>
      <c r="M3996" s="471">
        <f t="shared" si="179"/>
        <v>0.05</v>
      </c>
      <c r="N3996" s="475">
        <f t="shared" si="180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78"/>
        <v>-2685759881207.5205</v>
      </c>
      <c r="J3997" s="455">
        <f t="array" ref="J3997">IFERROR(INDEX('Retirement Calculator'!J:J,MATCH('Isaac 401k'!N3997,'Retirement Calculator'!A:A,0),0),0)</f>
        <v>0</v>
      </c>
      <c r="K3997" s="455">
        <f t="shared" ca="1" si="176"/>
        <v>-11190666171.698002</v>
      </c>
      <c r="L3997" s="455">
        <f t="shared" ca="1" si="177"/>
        <v>-2696950547379.2188</v>
      </c>
      <c r="M3997" s="471">
        <f t="shared" si="179"/>
        <v>0.05</v>
      </c>
      <c r="N3997" s="475">
        <f t="shared" si="180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78"/>
        <v>-2696950547379.2188</v>
      </c>
      <c r="J3998" s="455">
        <f t="array" ref="J3998">IFERROR(INDEX('Retirement Calculator'!J:J,MATCH('Isaac 401k'!N3998,'Retirement Calculator'!A:A,0),0),0)</f>
        <v>0</v>
      </c>
      <c r="K3998" s="455">
        <f t="shared" ca="1" si="176"/>
        <v>-11237293947.413412</v>
      </c>
      <c r="L3998" s="455">
        <f t="shared" ca="1" si="177"/>
        <v>-2708187841326.6323</v>
      </c>
      <c r="M3998" s="471">
        <f t="shared" si="179"/>
        <v>0.05</v>
      </c>
      <c r="N3998" s="475">
        <f t="shared" si="180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78"/>
        <v>-2708187841326.6323</v>
      </c>
      <c r="J3999" s="455">
        <f t="array" ref="J3999">IFERROR(INDEX('Retirement Calculator'!J:J,MATCH('Isaac 401k'!N3999,'Retirement Calculator'!A:A,0),0),0)</f>
        <v>0</v>
      </c>
      <c r="K3999" s="455">
        <f t="shared" ca="1" si="176"/>
        <v>-11284116005.527634</v>
      </c>
      <c r="L3999" s="455">
        <f t="shared" ca="1" si="177"/>
        <v>-2719471957332.1602</v>
      </c>
      <c r="M3999" s="471">
        <f t="shared" si="179"/>
        <v>0.05</v>
      </c>
      <c r="N3999" s="475">
        <f t="shared" si="180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78"/>
        <v>-2719471957332.1602</v>
      </c>
      <c r="J4000" s="455">
        <f t="array" ref="J4000">IFERROR(INDEX('Retirement Calculator'!J:J,MATCH('Isaac 401k'!N4000,'Retirement Calculator'!A:A,0),0),0)</f>
        <v>0</v>
      </c>
      <c r="K4000" s="455">
        <f t="shared" ca="1" si="176"/>
        <v>-11331133155.550667</v>
      </c>
      <c r="L4000" s="455">
        <f t="shared" ca="1" si="177"/>
        <v>-2730803090487.7109</v>
      </c>
      <c r="M4000" s="471">
        <f t="shared" si="179"/>
        <v>0.05</v>
      </c>
      <c r="N4000" s="475">
        <f t="shared" si="180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78"/>
        <v>-2730803090487.7109</v>
      </c>
      <c r="J4001" s="455">
        <f t="array" ref="J4001">IFERROR(INDEX('Retirement Calculator'!J:J,MATCH('Isaac 401k'!N4001,'Retirement Calculator'!A:A,0),0),0)</f>
        <v>0</v>
      </c>
      <c r="K4001" s="455">
        <f t="shared" ca="1" si="176"/>
        <v>-11378346210.365461</v>
      </c>
      <c r="L4001" s="455">
        <f t="shared" ca="1" si="177"/>
        <v>-2742181436698.0762</v>
      </c>
      <c r="M4001" s="471">
        <f t="shared" si="179"/>
        <v>0.05</v>
      </c>
      <c r="N4001" s="475">
        <f t="shared" si="180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78"/>
        <v>-2742181436698.0762</v>
      </c>
      <c r="J4002" s="455">
        <f t="array" ref="J4002">IFERROR(INDEX('Retirement Calculator'!J:J,MATCH('Isaac 401k'!N4002,'Retirement Calculator'!A:A,0),0),0)</f>
        <v>0</v>
      </c>
      <c r="K4002" s="455">
        <f t="shared" ca="1" si="176"/>
        <v>-11425755986.241983</v>
      </c>
      <c r="L4002" s="455">
        <f t="shared" ca="1" si="177"/>
        <v>-2753607192684.3184</v>
      </c>
      <c r="M4002" s="471">
        <f t="shared" si="179"/>
        <v>0.05</v>
      </c>
      <c r="N4002" s="475">
        <f t="shared" si="180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78"/>
        <v>-2753607192684.3184</v>
      </c>
      <c r="J4003" s="455">
        <f t="array" ref="J4003">IFERROR(INDEX('Retirement Calculator'!J:J,MATCH('Isaac 401k'!N4003,'Retirement Calculator'!A:A,0),0),0)</f>
        <v>0</v>
      </c>
      <c r="K4003" s="455">
        <f t="shared" ca="1" si="176"/>
        <v>-11473363302.851326</v>
      </c>
      <c r="L4003" s="455">
        <f t="shared" ca="1" si="177"/>
        <v>-2765080555987.1699</v>
      </c>
      <c r="M4003" s="471">
        <f t="shared" si="179"/>
        <v>0.05</v>
      </c>
      <c r="N4003" s="475">
        <f t="shared" si="180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78"/>
        <v>-2765080555987.1699</v>
      </c>
      <c r="J4004" s="455">
        <f t="array" ref="J4004">IFERROR(INDEX('Retirement Calculator'!J:J,MATCH('Isaac 401k'!N4004,'Retirement Calculator'!A:A,0),0),0)</f>
        <v>0</v>
      </c>
      <c r="K4004" s="455">
        <f t="shared" ca="1" si="176"/>
        <v>-11521168983.279875</v>
      </c>
      <c r="L4004" s="455">
        <f t="shared" ca="1" si="177"/>
        <v>-2776601724970.4497</v>
      </c>
      <c r="M4004" s="471">
        <f t="shared" si="179"/>
        <v>0.05</v>
      </c>
      <c r="N4004" s="475">
        <f t="shared" si="180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78"/>
        <v>-2776601724970.4497</v>
      </c>
      <c r="J4005" s="455">
        <f t="array" ref="J4005">IFERROR(INDEX('Retirement Calculator'!J:J,MATCH('Isaac 401k'!N4005,'Retirement Calculator'!A:A,0),0),0)</f>
        <v>0</v>
      </c>
      <c r="K4005" s="455">
        <f t="shared" ca="1" si="176"/>
        <v>-11569173854.043541</v>
      </c>
      <c r="L4005" s="455">
        <f t="shared" ca="1" si="177"/>
        <v>-2788170898824.4932</v>
      </c>
      <c r="M4005" s="471">
        <f t="shared" si="179"/>
        <v>0.05</v>
      </c>
      <c r="N4005" s="475">
        <f t="shared" si="180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78"/>
        <v>-2788170898824.4932</v>
      </c>
      <c r="J4006" s="455">
        <f t="array" ref="J4006">IFERROR(INDEX('Retirement Calculator'!J:J,MATCH('Isaac 401k'!N4006,'Retirement Calculator'!A:A,0),0),0)</f>
        <v>0</v>
      </c>
      <c r="K4006" s="455">
        <f t="shared" ca="1" si="176"/>
        <v>-11617378745.102055</v>
      </c>
      <c r="L4006" s="455">
        <f t="shared" ca="1" si="177"/>
        <v>-2799788277569.5952</v>
      </c>
      <c r="M4006" s="471">
        <f t="shared" si="179"/>
        <v>0.05</v>
      </c>
      <c r="N4006" s="475">
        <f t="shared" si="180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78"/>
        <v>-2799788277569.5952</v>
      </c>
      <c r="J4007" s="455">
        <f t="array" ref="J4007">IFERROR(INDEX('Retirement Calculator'!J:J,MATCH('Isaac 401k'!N4007,'Retirement Calculator'!A:A,0),0),0)</f>
        <v>0</v>
      </c>
      <c r="K4007" s="455">
        <f t="shared" ca="1" si="176"/>
        <v>-11665784489.873314</v>
      </c>
      <c r="L4007" s="455">
        <f t="shared" ca="1" si="177"/>
        <v>-2811454062059.4688</v>
      </c>
      <c r="M4007" s="471">
        <f t="shared" si="179"/>
        <v>0.05</v>
      </c>
      <c r="N4007" s="475">
        <f t="shared" si="180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78"/>
        <v>-2811454062059.4688</v>
      </c>
      <c r="J4008" s="455">
        <f t="array" ref="J4008">IFERROR(INDEX('Retirement Calculator'!J:J,MATCH('Isaac 401k'!N4008,'Retirement Calculator'!A:A,0),0),0)</f>
        <v>0</v>
      </c>
      <c r="K4008" s="455">
        <f t="shared" ca="1" si="176"/>
        <v>-11714391925.247786</v>
      </c>
      <c r="L4008" s="455">
        <f t="shared" ca="1" si="177"/>
        <v>-2823168453984.7163</v>
      </c>
      <c r="M4008" s="471">
        <f t="shared" si="179"/>
        <v>0.05</v>
      </c>
      <c r="N4008" s="475">
        <f t="shared" si="180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78"/>
        <v>-2823168453984.7163</v>
      </c>
      <c r="J4009" s="455">
        <f t="array" ref="J4009">IFERROR(INDEX('Retirement Calculator'!J:J,MATCH('Isaac 401k'!N4009,'Retirement Calculator'!A:A,0),0),0)</f>
        <v>0</v>
      </c>
      <c r="K4009" s="455">
        <f t="shared" ca="1" si="176"/>
        <v>-11763201891.602985</v>
      </c>
      <c r="L4009" s="455">
        <f t="shared" ca="1" si="177"/>
        <v>-2834931655876.3193</v>
      </c>
      <c r="M4009" s="471">
        <f t="shared" si="179"/>
        <v>0.05</v>
      </c>
      <c r="N4009" s="475">
        <f t="shared" si="180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78"/>
        <v>-2834931655876.3193</v>
      </c>
      <c r="J4010" s="455">
        <f t="array" ref="J4010">IFERROR(INDEX('Retirement Calculator'!J:J,MATCH('Isaac 401k'!N4010,'Retirement Calculator'!A:A,0),0),0)</f>
        <v>0</v>
      </c>
      <c r="K4010" s="455">
        <f t="shared" ca="1" si="176"/>
        <v>-11812215232.817997</v>
      </c>
      <c r="L4010" s="455">
        <f t="shared" ca="1" si="177"/>
        <v>-2846743871109.1372</v>
      </c>
      <c r="M4010" s="471">
        <f t="shared" si="179"/>
        <v>0.05</v>
      </c>
      <c r="N4010" s="475">
        <f t="shared" si="180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78"/>
        <v>-2846743871109.1372</v>
      </c>
      <c r="J4011" s="455">
        <f t="array" ref="J4011">IFERROR(INDEX('Retirement Calculator'!J:J,MATCH('Isaac 401k'!N4011,'Retirement Calculator'!A:A,0),0),0)</f>
        <v>0</v>
      </c>
      <c r="K4011" s="455">
        <f t="shared" ca="1" si="176"/>
        <v>-11861432796.288071</v>
      </c>
      <c r="L4011" s="455">
        <f t="shared" ca="1" si="177"/>
        <v>-2858605303905.4253</v>
      </c>
      <c r="M4011" s="471">
        <f t="shared" si="179"/>
        <v>0.05</v>
      </c>
      <c r="N4011" s="475">
        <f t="shared" si="180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78"/>
        <v>-2858605303905.4253</v>
      </c>
      <c r="J4012" s="455">
        <f t="array" ref="J4012">IFERROR(INDEX('Retirement Calculator'!J:J,MATCH('Isaac 401k'!N4012,'Retirement Calculator'!A:A,0),0),0)</f>
        <v>0</v>
      </c>
      <c r="K4012" s="455">
        <f t="shared" ca="1" si="176"/>
        <v>-11910855432.939272</v>
      </c>
      <c r="L4012" s="455">
        <f t="shared" ca="1" si="177"/>
        <v>-2870516159338.3647</v>
      </c>
      <c r="M4012" s="471">
        <f t="shared" si="179"/>
        <v>0.05</v>
      </c>
      <c r="N4012" s="475">
        <f t="shared" si="180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78"/>
        <v>-2870516159338.3647</v>
      </c>
      <c r="J4013" s="455">
        <f t="array" ref="J4013">IFERROR(INDEX('Retirement Calculator'!J:J,MATCH('Isaac 401k'!N4013,'Retirement Calculator'!A:A,0),0),0)</f>
        <v>0</v>
      </c>
      <c r="K4013" s="455">
        <f t="shared" ca="1" si="176"/>
        <v>-11960483997.243187</v>
      </c>
      <c r="L4013" s="455">
        <f t="shared" ca="1" si="177"/>
        <v>-2882476643335.6079</v>
      </c>
      <c r="M4013" s="471">
        <f t="shared" si="179"/>
        <v>0.05</v>
      </c>
      <c r="N4013" s="475">
        <f t="shared" si="180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78"/>
        <v>-2882476643335.6079</v>
      </c>
      <c r="J4014" s="455">
        <f t="array" ref="J4014">IFERROR(INDEX('Retirement Calculator'!J:J,MATCH('Isaac 401k'!N4014,'Retirement Calculator'!A:A,0),0),0)</f>
        <v>0</v>
      </c>
      <c r="K4014" s="455">
        <f t="shared" ca="1" si="176"/>
        <v>-12010319347.231699</v>
      </c>
      <c r="L4014" s="455">
        <f t="shared" ca="1" si="177"/>
        <v>-2894486962682.8398</v>
      </c>
      <c r="M4014" s="471">
        <f t="shared" si="179"/>
        <v>0.05</v>
      </c>
      <c r="N4014" s="475">
        <f t="shared" si="180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78"/>
        <v>-2894486962682.8398</v>
      </c>
      <c r="J4015" s="455">
        <f t="array" ref="J4015">IFERROR(INDEX('Retirement Calculator'!J:J,MATCH('Isaac 401k'!N4015,'Retirement Calculator'!A:A,0),0),0)</f>
        <v>0</v>
      </c>
      <c r="K4015" s="455">
        <f t="shared" ca="1" si="176"/>
        <v>-12060362344.511833</v>
      </c>
      <c r="L4015" s="455">
        <f t="shared" ca="1" si="177"/>
        <v>-2906547325027.3516</v>
      </c>
      <c r="M4015" s="471">
        <f t="shared" si="179"/>
        <v>0.05</v>
      </c>
      <c r="N4015" s="475">
        <f t="shared" si="180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78"/>
        <v>-2906547325027.3516</v>
      </c>
      <c r="J4016" s="455">
        <f t="array" ref="J4016">IFERROR(INDEX('Retirement Calculator'!J:J,MATCH('Isaac 401k'!N4016,'Retirement Calculator'!A:A,0),0),0)</f>
        <v>0</v>
      </c>
      <c r="K4016" s="455">
        <f t="shared" ca="1" si="176"/>
        <v>-12110613854.280632</v>
      </c>
      <c r="L4016" s="455">
        <f t="shared" ca="1" si="177"/>
        <v>-2918657938881.6323</v>
      </c>
      <c r="M4016" s="471">
        <f t="shared" si="179"/>
        <v>0.05</v>
      </c>
      <c r="N4016" s="475">
        <f t="shared" si="180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78"/>
        <v>-2918657938881.6323</v>
      </c>
      <c r="J4017" s="455">
        <f t="array" ref="J4017">IFERROR(INDEX('Retirement Calculator'!J:J,MATCH('Isaac 401k'!N4017,'Retirement Calculator'!A:A,0),0),0)</f>
        <v>0</v>
      </c>
      <c r="K4017" s="455">
        <f t="shared" ca="1" si="176"/>
        <v>-12161074745.340134</v>
      </c>
      <c r="L4017" s="455">
        <f t="shared" ca="1" si="177"/>
        <v>-2930819013626.9727</v>
      </c>
      <c r="M4017" s="471">
        <f t="shared" si="179"/>
        <v>0.05</v>
      </c>
      <c r="N4017" s="475">
        <f t="shared" si="180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78"/>
        <v>-2930819013626.9727</v>
      </c>
      <c r="J4018" s="455">
        <f t="array" ref="J4018">IFERROR(INDEX('Retirement Calculator'!J:J,MATCH('Isaac 401k'!N4018,'Retirement Calculator'!A:A,0),0),0)</f>
        <v>0</v>
      </c>
      <c r="K4018" s="455">
        <f t="shared" ca="1" si="176"/>
        <v>-12211745890.112387</v>
      </c>
      <c r="L4018" s="455">
        <f t="shared" ca="1" si="177"/>
        <v>-2943030759517.085</v>
      </c>
      <c r="M4018" s="471">
        <f t="shared" si="179"/>
        <v>0.05</v>
      </c>
      <c r="N4018" s="475">
        <f t="shared" si="180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78"/>
        <v>-2943030759517.085</v>
      </c>
      <c r="J4019" s="455">
        <f t="array" ref="J4019">IFERROR(INDEX('Retirement Calculator'!J:J,MATCH('Isaac 401k'!N4019,'Retirement Calculator'!A:A,0),0),0)</f>
        <v>0</v>
      </c>
      <c r="K4019" s="455">
        <f t="shared" ca="1" si="176"/>
        <v>-12262628164.65452</v>
      </c>
      <c r="L4019" s="455">
        <f t="shared" ca="1" si="177"/>
        <v>-2955293387681.7393</v>
      </c>
      <c r="M4019" s="471">
        <f t="shared" si="179"/>
        <v>0.05</v>
      </c>
      <c r="N4019" s="475">
        <f t="shared" si="180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78"/>
        <v>-2955293387681.7393</v>
      </c>
      <c r="J4020" s="455">
        <f t="array" ref="J4020">IFERROR(INDEX('Retirement Calculator'!J:J,MATCH('Isaac 401k'!N4020,'Retirement Calculator'!A:A,0),0),0)</f>
        <v>0</v>
      </c>
      <c r="K4020" s="455">
        <f t="shared" ca="1" si="176"/>
        <v>-12313722448.673914</v>
      </c>
      <c r="L4020" s="455">
        <f t="shared" ca="1" si="177"/>
        <v>-2967607110130.4131</v>
      </c>
      <c r="M4020" s="471">
        <f t="shared" si="179"/>
        <v>0.05</v>
      </c>
      <c r="N4020" s="475">
        <f t="shared" si="180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78"/>
        <v>-2967607110130.4131</v>
      </c>
      <c r="J4021" s="455">
        <f t="array" ref="J4021">IFERROR(INDEX('Retirement Calculator'!J:J,MATCH('Isaac 401k'!N4021,'Retirement Calculator'!A:A,0),0),0)</f>
        <v>0</v>
      </c>
      <c r="K4021" s="455">
        <f t="shared" ca="1" si="176"/>
        <v>-12365029625.543388</v>
      </c>
      <c r="L4021" s="455">
        <f t="shared" ca="1" si="177"/>
        <v>-2979972139755.9565</v>
      </c>
      <c r="M4021" s="471">
        <f t="shared" si="179"/>
        <v>0.05</v>
      </c>
      <c r="N4021" s="475">
        <f t="shared" si="180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78"/>
        <v>-2979972139755.9565</v>
      </c>
      <c r="J4022" s="455">
        <f t="array" ref="J4022">IFERROR(INDEX('Retirement Calculator'!J:J,MATCH('Isaac 401k'!N4022,'Retirement Calculator'!A:A,0),0),0)</f>
        <v>0</v>
      </c>
      <c r="K4022" s="455">
        <f t="shared" ca="1" si="176"/>
        <v>-12416550582.316486</v>
      </c>
      <c r="L4022" s="455">
        <f t="shared" ca="1" si="177"/>
        <v>-2992388690338.2729</v>
      </c>
      <c r="M4022" s="471">
        <f t="shared" si="179"/>
        <v>0.05</v>
      </c>
      <c r="N4022" s="475">
        <f t="shared" si="180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78"/>
        <v>-2992388690338.2729</v>
      </c>
      <c r="J4023" s="455">
        <f t="array" ref="J4023">IFERROR(INDEX('Retirement Calculator'!J:J,MATCH('Isaac 401k'!N4023,'Retirement Calculator'!A:A,0),0),0)</f>
        <v>0</v>
      </c>
      <c r="K4023" s="455">
        <f t="shared" ca="1" si="176"/>
        <v>-12468286209.742804</v>
      </c>
      <c r="L4023" s="455">
        <f t="shared" ca="1" si="177"/>
        <v>-3004856976548.0156</v>
      </c>
      <c r="M4023" s="471">
        <f t="shared" si="179"/>
        <v>0.05</v>
      </c>
      <c r="N4023" s="475">
        <f t="shared" si="180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78"/>
        <v>-3004856976548.0156</v>
      </c>
      <c r="J4024" s="455">
        <f t="array" ref="J4024">IFERROR(INDEX('Retirement Calculator'!J:J,MATCH('Isaac 401k'!N4024,'Retirement Calculator'!A:A,0),0),0)</f>
        <v>0</v>
      </c>
      <c r="K4024" s="455">
        <f t="shared" ca="1" si="176"/>
        <v>-12520237402.283398</v>
      </c>
      <c r="L4024" s="455">
        <f t="shared" ca="1" si="177"/>
        <v>-3017377213950.2988</v>
      </c>
      <c r="M4024" s="471">
        <f t="shared" si="179"/>
        <v>0.05</v>
      </c>
      <c r="N4024" s="475">
        <f t="shared" si="180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78"/>
        <v>-3017377213950.2988</v>
      </c>
      <c r="J4025" s="455">
        <f t="array" ref="J4025">IFERROR(INDEX('Retirement Calculator'!J:J,MATCH('Isaac 401k'!N4025,'Retirement Calculator'!A:A,0),0),0)</f>
        <v>0</v>
      </c>
      <c r="K4025" s="455">
        <f t="shared" ca="1" si="176"/>
        <v>-12572405058.126245</v>
      </c>
      <c r="L4025" s="455">
        <f t="shared" ca="1" si="177"/>
        <v>-3029949619008.4253</v>
      </c>
      <c r="M4025" s="471">
        <f t="shared" si="179"/>
        <v>0.05</v>
      </c>
      <c r="N4025" s="475">
        <f t="shared" si="180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78"/>
        <v>-3029949619008.4253</v>
      </c>
      <c r="J4026" s="455">
        <f t="array" ref="J4026">IFERROR(INDEX('Retirement Calculator'!J:J,MATCH('Isaac 401k'!N4026,'Retirement Calculator'!A:A,0),0),0)</f>
        <v>0</v>
      </c>
      <c r="K4026" s="455">
        <f t="shared" ca="1" si="176"/>
        <v>-12624790079.201773</v>
      </c>
      <c r="L4026" s="455">
        <f t="shared" ca="1" si="177"/>
        <v>-3042574409087.627</v>
      </c>
      <c r="M4026" s="471">
        <f t="shared" si="179"/>
        <v>0.05</v>
      </c>
      <c r="N4026" s="475">
        <f t="shared" si="180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78"/>
        <v>-3042574409087.627</v>
      </c>
      <c r="J4027" s="455">
        <f t="array" ref="J4027">IFERROR(INDEX('Retirement Calculator'!J:J,MATCH('Isaac 401k'!N4027,'Retirement Calculator'!A:A,0),0),0)</f>
        <v>0</v>
      </c>
      <c r="K4027" s="455">
        <f t="shared" ca="1" si="176"/>
        <v>-12677393371.198446</v>
      </c>
      <c r="L4027" s="455">
        <f t="shared" ca="1" si="177"/>
        <v>-3055251802458.8252</v>
      </c>
      <c r="M4027" s="471">
        <f t="shared" si="179"/>
        <v>0.05</v>
      </c>
      <c r="N4027" s="475">
        <f t="shared" si="180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78"/>
        <v>-3055251802458.8252</v>
      </c>
      <c r="J4028" s="455">
        <f t="array" ref="J4028">IFERROR(INDEX('Retirement Calculator'!J:J,MATCH('Isaac 401k'!N4028,'Retirement Calculator'!A:A,0),0),0)</f>
        <v>0</v>
      </c>
      <c r="K4028" s="455">
        <f t="shared" ca="1" si="176"/>
        <v>-12730215843.578438</v>
      </c>
      <c r="L4028" s="455">
        <f t="shared" ca="1" si="177"/>
        <v>-3067982018302.4038</v>
      </c>
      <c r="M4028" s="471">
        <f t="shared" si="179"/>
        <v>0.05</v>
      </c>
      <c r="N4028" s="475">
        <f t="shared" si="180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78"/>
        <v>-3067982018302.4038</v>
      </c>
      <c r="J4029" s="455">
        <f t="array" ref="J4029">IFERROR(INDEX('Retirement Calculator'!J:J,MATCH('Isaac 401k'!N4029,'Retirement Calculator'!A:A,0),0),0)</f>
        <v>0</v>
      </c>
      <c r="K4029" s="455">
        <f t="shared" ca="1" si="176"/>
        <v>-12783258409.593349</v>
      </c>
      <c r="L4029" s="455">
        <f t="shared" ca="1" si="177"/>
        <v>-3080765276711.9971</v>
      </c>
      <c r="M4029" s="471">
        <f t="shared" si="179"/>
        <v>0.05</v>
      </c>
      <c r="N4029" s="475">
        <f t="shared" si="180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78"/>
        <v>-3080765276711.9971</v>
      </c>
      <c r="J4030" s="455">
        <f t="array" ref="J4030">IFERROR(INDEX('Retirement Calculator'!J:J,MATCH('Isaac 401k'!N4030,'Retirement Calculator'!A:A,0),0),0)</f>
        <v>0</v>
      </c>
      <c r="K4030" s="455">
        <f t="shared" ca="1" si="176"/>
        <v>-12836521986.299988</v>
      </c>
      <c r="L4030" s="455">
        <f t="shared" ca="1" si="177"/>
        <v>-3093601798698.2969</v>
      </c>
      <c r="M4030" s="471">
        <f t="shared" si="179"/>
        <v>0.05</v>
      </c>
      <c r="N4030" s="475">
        <f t="shared" si="180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78"/>
        <v>-3093601798698.2969</v>
      </c>
      <c r="J4031" s="455">
        <f t="array" ref="J4031">IFERROR(INDEX('Retirement Calculator'!J:J,MATCH('Isaac 401k'!N4031,'Retirement Calculator'!A:A,0),0),0)</f>
        <v>0</v>
      </c>
      <c r="K4031" s="455">
        <f t="shared" ca="1" si="176"/>
        <v>-12890007494.576237</v>
      </c>
      <c r="L4031" s="455">
        <f t="shared" ca="1" si="177"/>
        <v>-3106491806192.873</v>
      </c>
      <c r="M4031" s="471">
        <f t="shared" si="179"/>
        <v>0.05</v>
      </c>
      <c r="N4031" s="475">
        <f t="shared" si="180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78"/>
        <v>-3106491806192.873</v>
      </c>
      <c r="J4032" s="455">
        <f t="array" ref="J4032">IFERROR(INDEX('Retirement Calculator'!J:J,MATCH('Isaac 401k'!N4032,'Retirement Calculator'!A:A,0),0),0)</f>
        <v>0</v>
      </c>
      <c r="K4032" s="455">
        <f t="shared" ca="1" si="176"/>
        <v>-12943715859.136971</v>
      </c>
      <c r="L4032" s="455">
        <f t="shared" ca="1" si="177"/>
        <v>-3119435522052.0103</v>
      </c>
      <c r="M4032" s="471">
        <f t="shared" si="179"/>
        <v>0.05</v>
      </c>
      <c r="N4032" s="475">
        <f t="shared" si="180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78"/>
        <v>-3119435522052.0103</v>
      </c>
      <c r="J4033" s="455">
        <f t="array" ref="J4033">IFERROR(INDEX('Retirement Calculator'!J:J,MATCH('Isaac 401k'!N4033,'Retirement Calculator'!A:A,0),0),0)</f>
        <v>0</v>
      </c>
      <c r="K4033" s="455">
        <f t="shared" ca="1" si="176"/>
        <v>-12997648008.550043</v>
      </c>
      <c r="L4033" s="455">
        <f t="shared" ca="1" si="177"/>
        <v>-3132433170060.5601</v>
      </c>
      <c r="M4033" s="471">
        <f t="shared" si="179"/>
        <v>0.05</v>
      </c>
      <c r="N4033" s="475">
        <f t="shared" si="180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78"/>
        <v>-3132433170060.5601</v>
      </c>
      <c r="J4034" s="455">
        <f t="array" ref="J4034">IFERROR(INDEX('Retirement Calculator'!J:J,MATCH('Isaac 401k'!N4034,'Retirement Calculator'!A:A,0),0),0)</f>
        <v>0</v>
      </c>
      <c r="K4034" s="455">
        <f t="shared" ca="1" si="176"/>
        <v>-13051804875.252333</v>
      </c>
      <c r="L4034" s="455">
        <f t="shared" ca="1" si="177"/>
        <v>-3145484974935.8125</v>
      </c>
      <c r="M4034" s="471">
        <f t="shared" si="179"/>
        <v>0.05</v>
      </c>
      <c r="N4034" s="475">
        <f t="shared" si="180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78"/>
        <v>-3145484974935.8125</v>
      </c>
      <c r="J4035" s="455">
        <f t="array" ref="J4035">IFERROR(INDEX('Retirement Calculator'!J:J,MATCH('Isaac 401k'!N4035,'Retirement Calculator'!A:A,0),0),0)</f>
        <v>0</v>
      </c>
      <c r="K4035" s="455">
        <f t="shared" ca="1" si="176"/>
        <v>-13106187395.565886</v>
      </c>
      <c r="L4035" s="455">
        <f t="shared" ca="1" si="177"/>
        <v>-3158591162331.3784</v>
      </c>
      <c r="M4035" s="471">
        <f t="shared" si="179"/>
        <v>0.05</v>
      </c>
      <c r="N4035" s="475">
        <f t="shared" si="180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78"/>
        <v>-3158591162331.3784</v>
      </c>
      <c r="J4036" s="455">
        <f t="array" ref="J4036">IFERROR(INDEX('Retirement Calculator'!J:J,MATCH('Isaac 401k'!N4036,'Retirement Calculator'!A:A,0),0),0)</f>
        <v>0</v>
      </c>
      <c r="K4036" s="455">
        <f t="shared" ca="1" si="176"/>
        <v>-13160796509.714077</v>
      </c>
      <c r="L4036" s="455">
        <f t="shared" ca="1" si="177"/>
        <v>-3171751958841.0923</v>
      </c>
      <c r="M4036" s="471">
        <f t="shared" si="179"/>
        <v>0.05</v>
      </c>
      <c r="N4036" s="475">
        <f t="shared" si="180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78"/>
        <v>-3171751958841.0923</v>
      </c>
      <c r="J4037" s="455">
        <f t="array" ref="J4037">IFERROR(INDEX('Retirement Calculator'!J:J,MATCH('Isaac 401k'!N4037,'Retirement Calculator'!A:A,0),0),0)</f>
        <v>0</v>
      </c>
      <c r="K4037" s="455">
        <f t="shared" ca="1" si="176"/>
        <v>-13215633161.837885</v>
      </c>
      <c r="L4037" s="455">
        <f t="shared" ca="1" si="177"/>
        <v>-3184967592002.9302</v>
      </c>
      <c r="M4037" s="471">
        <f t="shared" si="179"/>
        <v>0.05</v>
      </c>
      <c r="N4037" s="475">
        <f t="shared" si="180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78"/>
        <v>-3184967592002.9302</v>
      </c>
      <c r="J4038" s="455">
        <f t="array" ref="J4038">IFERROR(INDEX('Retirement Calculator'!J:J,MATCH('Isaac 401k'!N4038,'Retirement Calculator'!A:A,0),0),0)</f>
        <v>0</v>
      </c>
      <c r="K4038" s="455">
        <f t="shared" ca="1" si="176"/>
        <v>-13270698300.012209</v>
      </c>
      <c r="L4038" s="455">
        <f t="shared" ca="1" si="177"/>
        <v>-3198238290302.9424</v>
      </c>
      <c r="M4038" s="471">
        <f t="shared" si="179"/>
        <v>0.05</v>
      </c>
      <c r="N4038" s="475">
        <f t="shared" si="180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78"/>
        <v>-3198238290302.9424</v>
      </c>
      <c r="J4039" s="455">
        <f t="array" ref="J4039">IFERROR(INDEX('Retirement Calculator'!J:J,MATCH('Isaac 401k'!N4039,'Retirement Calculator'!A:A,0),0),0)</f>
        <v>0</v>
      </c>
      <c r="K4039" s="455">
        <f t="shared" ca="1" si="176"/>
        <v>-13325992876.26226</v>
      </c>
      <c r="L4039" s="455">
        <f t="shared" ca="1" si="177"/>
        <v>-3211564283179.2046</v>
      </c>
      <c r="M4039" s="471">
        <f t="shared" si="179"/>
        <v>0.05</v>
      </c>
      <c r="N4039" s="475">
        <f t="shared" si="180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78"/>
        <v>-3211564283179.2046</v>
      </c>
      <c r="J4040" s="455">
        <f t="array" ref="J4040">IFERROR(INDEX('Retirement Calculator'!J:J,MATCH('Isaac 401k'!N4040,'Retirement Calculator'!A:A,0),0),0)</f>
        <v>0</v>
      </c>
      <c r="K4040" s="455">
        <f t="shared" ca="1" si="176"/>
        <v>-13381517846.580019</v>
      </c>
      <c r="L4040" s="455">
        <f t="shared" ca="1" si="177"/>
        <v>-3224945801025.7847</v>
      </c>
      <c r="M4040" s="471">
        <f t="shared" si="179"/>
        <v>0.05</v>
      </c>
      <c r="N4040" s="475">
        <f t="shared" si="180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78"/>
        <v>-3224945801025.7847</v>
      </c>
      <c r="J4041" s="455">
        <f t="array" ref="J4041">IFERROR(INDEX('Retirement Calculator'!J:J,MATCH('Isaac 401k'!N4041,'Retirement Calculator'!A:A,0),0),0)</f>
        <v>0</v>
      </c>
      <c r="K4041" s="455">
        <f t="shared" ca="1" si="176"/>
        <v>-13437274170.940769</v>
      </c>
      <c r="L4041" s="455">
        <f t="shared" ca="1" si="177"/>
        <v>-3238383075196.7256</v>
      </c>
      <c r="M4041" s="471">
        <f t="shared" si="179"/>
        <v>0.05</v>
      </c>
      <c r="N4041" s="475">
        <f t="shared" si="180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78"/>
        <v>-3238383075196.7256</v>
      </c>
      <c r="J4042" s="455">
        <f t="array" ref="J4042">IFERROR(INDEX('Retirement Calculator'!J:J,MATCH('Isaac 401k'!N4042,'Retirement Calculator'!A:A,0),0),0)</f>
        <v>0</v>
      </c>
      <c r="K4042" s="455">
        <f t="shared" ca="1" si="176"/>
        <v>-13493262813.319691</v>
      </c>
      <c r="L4042" s="455">
        <f t="shared" ca="1" si="177"/>
        <v>-3251876338010.0454</v>
      </c>
      <c r="M4042" s="471">
        <f t="shared" si="179"/>
        <v>0.05</v>
      </c>
      <c r="N4042" s="475">
        <f t="shared" si="180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78"/>
        <v>-3251876338010.0454</v>
      </c>
      <c r="J4043" s="455">
        <f t="array" ref="J4043">IFERROR(INDEX('Retirement Calculator'!J:J,MATCH('Isaac 401k'!N4043,'Retirement Calculator'!A:A,0),0),0)</f>
        <v>0</v>
      </c>
      <c r="K4043" s="455">
        <f t="shared" ca="1" si="176"/>
        <v>-13549484741.708523</v>
      </c>
      <c r="L4043" s="455">
        <f t="shared" ca="1" si="177"/>
        <v>-3265425822751.7539</v>
      </c>
      <c r="M4043" s="471">
        <f t="shared" si="179"/>
        <v>0.05</v>
      </c>
      <c r="N4043" s="475">
        <f t="shared" si="180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78"/>
        <v>-3265425822751.7539</v>
      </c>
      <c r="J4044" s="455">
        <f t="array" ref="J4044">IFERROR(INDEX('Retirement Calculator'!J:J,MATCH('Isaac 401k'!N4044,'Retirement Calculator'!A:A,0),0),0)</f>
        <v>0</v>
      </c>
      <c r="K4044" s="455">
        <f t="shared" ca="1" si="176"/>
        <v>-13605940928.132307</v>
      </c>
      <c r="L4044" s="455">
        <f t="shared" ca="1" si="177"/>
        <v>-3279031763679.8862</v>
      </c>
      <c r="M4044" s="471">
        <f t="shared" si="179"/>
        <v>0.05</v>
      </c>
      <c r="N4044" s="475">
        <f t="shared" si="180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78"/>
        <v>-3279031763679.8862</v>
      </c>
      <c r="J4045" s="455">
        <f t="array" ref="J4045">IFERROR(INDEX('Retirement Calculator'!J:J,MATCH('Isaac 401k'!N4045,'Retirement Calculator'!A:A,0),0),0)</f>
        <v>0</v>
      </c>
      <c r="K4045" s="455">
        <f t="shared" ca="1" si="176"/>
        <v>-13662632348.666193</v>
      </c>
      <c r="L4045" s="455">
        <f t="shared" ca="1" si="177"/>
        <v>-3292694396028.5522</v>
      </c>
      <c r="M4045" s="471">
        <f t="shared" si="179"/>
        <v>0.05</v>
      </c>
      <c r="N4045" s="475">
        <f t="shared" si="180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78"/>
        <v>-3292694396028.5522</v>
      </c>
      <c r="J4046" s="455">
        <f t="array" ref="J4046">IFERROR(INDEX('Retirement Calculator'!J:J,MATCH('Isaac 401k'!N4046,'Retirement Calculator'!A:A,0),0),0)</f>
        <v>0</v>
      </c>
      <c r="K4046" s="455">
        <f t="shared" ca="1" si="176"/>
        <v>-13719559983.452301</v>
      </c>
      <c r="L4046" s="455">
        <f t="shared" ca="1" si="177"/>
        <v>-3306413956012.0044</v>
      </c>
      <c r="M4046" s="471">
        <f t="shared" si="179"/>
        <v>0.05</v>
      </c>
      <c r="N4046" s="475">
        <f t="shared" si="180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78"/>
        <v>-3306413956012.0044</v>
      </c>
      <c r="J4047" s="455">
        <f t="array" ref="J4047">IFERROR(INDEX('Retirement Calculator'!J:J,MATCH('Isaac 401k'!N4047,'Retirement Calculator'!A:A,0),0),0)</f>
        <v>0</v>
      </c>
      <c r="K4047" s="455">
        <f t="shared" ca="1" si="176"/>
        <v>-13776724816.716684</v>
      </c>
      <c r="L4047" s="455">
        <f t="shared" ca="1" si="177"/>
        <v>-3320190680828.7212</v>
      </c>
      <c r="M4047" s="471">
        <f t="shared" si="179"/>
        <v>0.05</v>
      </c>
      <c r="N4047" s="475">
        <f t="shared" si="180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78"/>
        <v>-3320190680828.7212</v>
      </c>
      <c r="J4048" s="455">
        <f t="array" ref="J4048">IFERROR(INDEX('Retirement Calculator'!J:J,MATCH('Isaac 401k'!N4048,'Retirement Calculator'!A:A,0),0),0)</f>
        <v>0</v>
      </c>
      <c r="K4048" s="455">
        <f t="shared" ca="1" si="176"/>
        <v>-13834127836.786339</v>
      </c>
      <c r="L4048" s="455">
        <f t="shared" ca="1" si="177"/>
        <v>-3334024808665.5073</v>
      </c>
      <c r="M4048" s="471">
        <f t="shared" si="179"/>
        <v>0.05</v>
      </c>
      <c r="N4048" s="475">
        <f t="shared" si="180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78"/>
        <v>-3334024808665.5073</v>
      </c>
      <c r="J4049" s="455">
        <f t="array" ref="J4049">IFERROR(INDEX('Retirement Calculator'!J:J,MATCH('Isaac 401k'!N4049,'Retirement Calculator'!A:A,0),0),0)</f>
        <v>0</v>
      </c>
      <c r="K4049" s="455">
        <f t="shared" ca="1" si="176"/>
        <v>-13891770036.106279</v>
      </c>
      <c r="L4049" s="455">
        <f t="shared" ca="1" si="177"/>
        <v>-3347916578701.6138</v>
      </c>
      <c r="M4049" s="471">
        <f t="shared" si="179"/>
        <v>0.05</v>
      </c>
      <c r="N4049" s="475">
        <f t="shared" si="180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78"/>
        <v>-3347916578701.6138</v>
      </c>
      <c r="J4050" s="455">
        <f t="array" ref="J4050">IFERROR(INDEX('Retirement Calculator'!J:J,MATCH('Isaac 401k'!N4050,'Retirement Calculator'!A:A,0),0),0)</f>
        <v>0</v>
      </c>
      <c r="K4050" s="455">
        <f t="shared" ca="1" si="176"/>
        <v>-13949652411.256723</v>
      </c>
      <c r="L4050" s="455">
        <f t="shared" ca="1" si="177"/>
        <v>-3361866231112.8706</v>
      </c>
      <c r="M4050" s="471">
        <f t="shared" si="179"/>
        <v>0.05</v>
      </c>
      <c r="N4050" s="475">
        <f t="shared" si="180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78"/>
        <v>-3361866231112.8706</v>
      </c>
      <c r="J4051" s="455">
        <f t="array" ref="J4051">IFERROR(INDEX('Retirement Calculator'!J:J,MATCH('Isaac 401k'!N4051,'Retirement Calculator'!A:A,0),0),0)</f>
        <v>0</v>
      </c>
      <c r="K4051" s="455">
        <f t="shared" ca="1" si="176"/>
        <v>-14007775962.970293</v>
      </c>
      <c r="L4051" s="455">
        <f t="shared" ca="1" si="177"/>
        <v>-3375874007075.8408</v>
      </c>
      <c r="M4051" s="471">
        <f t="shared" si="179"/>
        <v>0.05</v>
      </c>
      <c r="N4051" s="475">
        <f t="shared" si="180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78"/>
        <v>-3375874007075.8408</v>
      </c>
      <c r="J4052" s="455">
        <f t="array" ref="J4052">IFERROR(INDEX('Retirement Calculator'!J:J,MATCH('Isaac 401k'!N4052,'Retirement Calculator'!A:A,0),0),0)</f>
        <v>0</v>
      </c>
      <c r="K4052" s="455">
        <f t="shared" ca="1" si="176"/>
        <v>-14066141696.149336</v>
      </c>
      <c r="L4052" s="455">
        <f t="shared" ca="1" si="177"/>
        <v>-3389940148771.9902</v>
      </c>
      <c r="M4052" s="471">
        <f t="shared" si="179"/>
        <v>0.05</v>
      </c>
      <c r="N4052" s="475">
        <f t="shared" si="180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78"/>
        <v>-3389940148771.9902</v>
      </c>
      <c r="J4053" s="455">
        <f t="array" ref="J4053">IFERROR(INDEX('Retirement Calculator'!J:J,MATCH('Isaac 401k'!N4053,'Retirement Calculator'!A:A,0),0),0)</f>
        <v>0</v>
      </c>
      <c r="K4053" s="455">
        <f t="shared" ca="1" si="176"/>
        <v>-14124750619.883293</v>
      </c>
      <c r="L4053" s="455">
        <f t="shared" ca="1" si="177"/>
        <v>-3404064899391.8735</v>
      </c>
      <c r="M4053" s="471">
        <f t="shared" si="179"/>
        <v>0.05</v>
      </c>
      <c r="N4053" s="475">
        <f t="shared" si="180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78"/>
        <v>-3404064899391.8735</v>
      </c>
      <c r="J4054" s="455">
        <f t="array" ref="J4054">IFERROR(INDEX('Retirement Calculator'!J:J,MATCH('Isaac 401k'!N4054,'Retirement Calculator'!A:A,0),0),0)</f>
        <v>0</v>
      </c>
      <c r="K4054" s="455">
        <f t="shared" ca="1" si="176"/>
        <v>-14183603747.466139</v>
      </c>
      <c r="L4054" s="455">
        <f t="shared" ca="1" si="177"/>
        <v>-3418248503139.3398</v>
      </c>
      <c r="M4054" s="471">
        <f t="shared" si="179"/>
        <v>0.05</v>
      </c>
      <c r="N4054" s="475">
        <f t="shared" si="180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78"/>
        <v>-3418248503139.3398</v>
      </c>
      <c r="J4055" s="455">
        <f t="array" ref="J4055">IFERROR(INDEX('Retirement Calculator'!J:J,MATCH('Isaac 401k'!N4055,'Retirement Calculator'!A:A,0),0),0)</f>
        <v>0</v>
      </c>
      <c r="K4055" s="455">
        <f t="shared" ca="1" si="176"/>
        <v>-14242702096.413916</v>
      </c>
      <c r="L4055" s="455">
        <f t="shared" ca="1" si="177"/>
        <v>-3432491205235.7539</v>
      </c>
      <c r="M4055" s="471">
        <f t="shared" si="179"/>
        <v>0.05</v>
      </c>
      <c r="N4055" s="475">
        <f t="shared" si="180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78"/>
        <v>-3432491205235.7539</v>
      </c>
      <c r="J4056" s="455">
        <f t="array" ref="J4056">IFERROR(INDEX('Retirement Calculator'!J:J,MATCH('Isaac 401k'!N4056,'Retirement Calculator'!A:A,0),0),0)</f>
        <v>0</v>
      </c>
      <c r="K4056" s="455">
        <f t="shared" ca="1" si="176"/>
        <v>-14302046688.482306</v>
      </c>
      <c r="L4056" s="455">
        <f t="shared" ca="1" si="177"/>
        <v>-3446793251924.2363</v>
      </c>
      <c r="M4056" s="471">
        <f t="shared" si="179"/>
        <v>0.05</v>
      </c>
      <c r="N4056" s="475">
        <f t="shared" si="180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78"/>
        <v>-3446793251924.2363</v>
      </c>
      <c r="J4057" s="455">
        <f t="array" ref="J4057">IFERROR(INDEX('Retirement Calculator'!J:J,MATCH('Isaac 401k'!N4057,'Retirement Calculator'!A:A,0),0),0)</f>
        <v>0</v>
      </c>
      <c r="K4057" s="455">
        <f t="shared" ca="1" si="176"/>
        <v>-14361638549.684317</v>
      </c>
      <c r="L4057" s="455">
        <f t="shared" ca="1" si="177"/>
        <v>-3461154890473.9204</v>
      </c>
      <c r="M4057" s="471">
        <f t="shared" si="179"/>
        <v>0.05</v>
      </c>
      <c r="N4057" s="475">
        <f t="shared" si="180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78"/>
        <v>-3461154890473.9204</v>
      </c>
      <c r="J4058" s="455">
        <f t="array" ref="J4058">IFERROR(INDEX('Retirement Calculator'!J:J,MATCH('Isaac 401k'!N4058,'Retirement Calculator'!A:A,0),0),0)</f>
        <v>0</v>
      </c>
      <c r="K4058" s="455">
        <f t="shared" ca="1" si="176"/>
        <v>-14421478710.308001</v>
      </c>
      <c r="L4058" s="455">
        <f t="shared" ca="1" si="177"/>
        <v>-3475576369184.2285</v>
      </c>
      <c r="M4058" s="471">
        <f t="shared" si="179"/>
        <v>0.05</v>
      </c>
      <c r="N4058" s="475">
        <f t="shared" si="180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78"/>
        <v>-3475576369184.2285</v>
      </c>
      <c r="J4059" s="455">
        <f t="array" ref="J4059">IFERROR(INDEX('Retirement Calculator'!J:J,MATCH('Isaac 401k'!N4059,'Retirement Calculator'!A:A,0),0),0)</f>
        <v>0</v>
      </c>
      <c r="K4059" s="455">
        <f t="shared" ca="1" si="176"/>
        <v>-14481568204.934286</v>
      </c>
      <c r="L4059" s="455">
        <f t="shared" ca="1" si="177"/>
        <v>-3490057937389.1626</v>
      </c>
      <c r="M4059" s="471">
        <f t="shared" si="179"/>
        <v>0.05</v>
      </c>
      <c r="N4059" s="475">
        <f t="shared" si="180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78"/>
        <v>-3490057937389.1626</v>
      </c>
      <c r="J4060" s="455">
        <f t="array" ref="J4060">IFERROR(INDEX('Retirement Calculator'!J:J,MATCH('Isaac 401k'!N4060,'Retirement Calculator'!A:A,0),0),0)</f>
        <v>0</v>
      </c>
      <c r="K4060" s="455">
        <f t="shared" ca="1" si="176"/>
        <v>-14541908072.454844</v>
      </c>
      <c r="L4060" s="455">
        <f t="shared" ca="1" si="177"/>
        <v>-3504599845461.6177</v>
      </c>
      <c r="M4060" s="471">
        <f t="shared" si="179"/>
        <v>0.05</v>
      </c>
      <c r="N4060" s="475">
        <f t="shared" si="180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78"/>
        <v>-3504599845461.6177</v>
      </c>
      <c r="J4061" s="455">
        <f t="array" ref="J4061">IFERROR(INDEX('Retirement Calculator'!J:J,MATCH('Isaac 401k'!N4061,'Retirement Calculator'!A:A,0),0),0)</f>
        <v>0</v>
      </c>
      <c r="K4061" s="455">
        <f t="shared" ca="1" si="176"/>
        <v>-14602499356.090075</v>
      </c>
      <c r="L4061" s="455">
        <f t="shared" ca="1" si="177"/>
        <v>-3519202344817.7075</v>
      </c>
      <c r="M4061" s="471">
        <f t="shared" si="179"/>
        <v>0.05</v>
      </c>
      <c r="N4061" s="475">
        <f t="shared" si="180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78"/>
        <v>-3519202344817.7075</v>
      </c>
      <c r="J4062" s="455">
        <f t="array" ref="J4062">IFERROR(INDEX('Retirement Calculator'!J:J,MATCH('Isaac 401k'!N4062,'Retirement Calculator'!A:A,0),0),0)</f>
        <v>0</v>
      </c>
      <c r="K4062" s="455">
        <f t="shared" ca="1" si="176"/>
        <v>-14663343103.407114</v>
      </c>
      <c r="L4062" s="455">
        <f t="shared" ca="1" si="177"/>
        <v>-3533865687921.1147</v>
      </c>
      <c r="M4062" s="471">
        <f t="shared" si="179"/>
        <v>0.05</v>
      </c>
      <c r="N4062" s="475">
        <f t="shared" si="180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78"/>
        <v>-3533865687921.1147</v>
      </c>
      <c r="J4063" s="455">
        <f t="array" ref="J4063">IFERROR(INDEX('Retirement Calculator'!J:J,MATCH('Isaac 401k'!N4063,'Retirement Calculator'!A:A,0),0),0)</f>
        <v>0</v>
      </c>
      <c r="K4063" s="455">
        <f t="shared" ca="1" si="176"/>
        <v>-14724440366.337978</v>
      </c>
      <c r="L4063" s="455">
        <f t="shared" ca="1" si="177"/>
        <v>-3548590128287.4526</v>
      </c>
      <c r="M4063" s="471">
        <f t="shared" si="179"/>
        <v>0.05</v>
      </c>
      <c r="N4063" s="475">
        <f t="shared" si="180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78"/>
        <v>-3548590128287.4526</v>
      </c>
      <c r="J4064" s="455">
        <f t="array" ref="J4064">IFERROR(INDEX('Retirement Calculator'!J:J,MATCH('Isaac 401k'!N4064,'Retirement Calculator'!A:A,0),0),0)</f>
        <v>0</v>
      </c>
      <c r="K4064" s="455">
        <f t="shared" ca="1" si="176"/>
        <v>-14785792201.19772</v>
      </c>
      <c r="L4064" s="455">
        <f t="shared" ca="1" si="177"/>
        <v>-3563375920488.6504</v>
      </c>
      <c r="M4064" s="471">
        <f t="shared" si="179"/>
        <v>0.05</v>
      </c>
      <c r="N4064" s="475">
        <f t="shared" si="180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78"/>
        <v>-3563375920488.6504</v>
      </c>
      <c r="J4065" s="455">
        <f t="array" ref="J4065">IFERROR(INDEX('Retirement Calculator'!J:J,MATCH('Isaac 401k'!N4065,'Retirement Calculator'!A:A,0),0),0)</f>
        <v>0</v>
      </c>
      <c r="K4065" s="455">
        <f t="shared" ca="1" si="176"/>
        <v>-14847399668.702707</v>
      </c>
      <c r="L4065" s="455">
        <f t="shared" ca="1" si="177"/>
        <v>-3578223320157.353</v>
      </c>
      <c r="M4065" s="471">
        <f t="shared" si="179"/>
        <v>0.05</v>
      </c>
      <c r="N4065" s="475">
        <f t="shared" si="180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78"/>
        <v>-3578223320157.353</v>
      </c>
      <c r="J4066" s="455">
        <f t="array" ref="J4066">IFERROR(INDEX('Retirement Calculator'!J:J,MATCH('Isaac 401k'!N4066,'Retirement Calculator'!A:A,0),0),0)</f>
        <v>0</v>
      </c>
      <c r="K4066" s="455">
        <f t="shared" ca="1" si="176"/>
        <v>-14909263833.98897</v>
      </c>
      <c r="L4066" s="455">
        <f t="shared" ca="1" si="177"/>
        <v>-3593132583991.3418</v>
      </c>
      <c r="M4066" s="471">
        <f t="shared" si="179"/>
        <v>0.05</v>
      </c>
      <c r="N4066" s="475">
        <f t="shared" si="180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78"/>
        <v>-3593132583991.3418</v>
      </c>
      <c r="J4067" s="455">
        <f t="array" ref="J4067">IFERROR(INDEX('Retirement Calculator'!J:J,MATCH('Isaac 401k'!N4067,'Retirement Calculator'!A:A,0),0),0)</f>
        <v>0</v>
      </c>
      <c r="K4067" s="455">
        <f t="shared" ca="1" si="176"/>
        <v>-14971385766.630592</v>
      </c>
      <c r="L4067" s="455">
        <f t="shared" ca="1" si="177"/>
        <v>-3608103969757.9722</v>
      </c>
      <c r="M4067" s="471">
        <f t="shared" si="179"/>
        <v>0.05</v>
      </c>
      <c r="N4067" s="475">
        <f t="shared" si="180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78"/>
        <v>-3608103969757.9722</v>
      </c>
      <c r="J4068" s="455">
        <f t="array" ref="J4068">IFERROR(INDEX('Retirement Calculator'!J:J,MATCH('Isaac 401k'!N4068,'Retirement Calculator'!A:A,0),0),0)</f>
        <v>0</v>
      </c>
      <c r="K4068" s="455">
        <f t="shared" ca="1" si="176"/>
        <v>-15033766540.658216</v>
      </c>
      <c r="L4068" s="455">
        <f t="shared" ca="1" si="177"/>
        <v>-3623137736298.6304</v>
      </c>
      <c r="M4068" s="471">
        <f t="shared" si="179"/>
        <v>0.05</v>
      </c>
      <c r="N4068" s="475">
        <f t="shared" si="180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78"/>
        <v>-3623137736298.6304</v>
      </c>
      <c r="J4069" s="455">
        <f t="array" ref="J4069">IFERROR(INDEX('Retirement Calculator'!J:J,MATCH('Isaac 401k'!N4069,'Retirement Calculator'!A:A,0),0),0)</f>
        <v>0</v>
      </c>
      <c r="K4069" s="455">
        <f t="shared" ca="1" si="176"/>
        <v>-15096407234.577627</v>
      </c>
      <c r="L4069" s="455">
        <f t="shared" ca="1" si="177"/>
        <v>-3638234143533.208</v>
      </c>
      <c r="M4069" s="471">
        <f t="shared" si="179"/>
        <v>0.05</v>
      </c>
      <c r="N4069" s="475">
        <f t="shared" si="180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78"/>
        <v>-3638234143533.208</v>
      </c>
      <c r="J4070" s="455">
        <f t="array" ref="J4070">IFERROR(INDEX('Retirement Calculator'!J:J,MATCH('Isaac 401k'!N4070,'Retirement Calculator'!A:A,0),0),0)</f>
        <v>0</v>
      </c>
      <c r="K4070" s="455">
        <f t="shared" ca="1" si="176"/>
        <v>-15159308931.388369</v>
      </c>
      <c r="L4070" s="455">
        <f t="shared" ca="1" si="177"/>
        <v>-3653393452464.5962</v>
      </c>
      <c r="M4070" s="471">
        <f t="shared" si="179"/>
        <v>0.05</v>
      </c>
      <c r="N4070" s="475">
        <f t="shared" si="180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78"/>
        <v>-3653393452464.5962</v>
      </c>
      <c r="J4071" s="455">
        <f t="array" ref="J4071">IFERROR(INDEX('Retirement Calculator'!J:J,MATCH('Isaac 401k'!N4071,'Retirement Calculator'!A:A,0),0),0)</f>
        <v>0</v>
      </c>
      <c r="K4071" s="455">
        <f t="shared" ca="1" si="176"/>
        <v>-15222472718.602484</v>
      </c>
      <c r="L4071" s="455">
        <f t="shared" ca="1" si="177"/>
        <v>-3668615925183.1987</v>
      </c>
      <c r="M4071" s="471">
        <f t="shared" si="179"/>
        <v>0.05</v>
      </c>
      <c r="N4071" s="475">
        <f t="shared" si="180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78"/>
        <v>-3668615925183.1987</v>
      </c>
      <c r="J4072" s="455">
        <f t="array" ref="J4072">IFERROR(INDEX('Retirement Calculator'!J:J,MATCH('Isaac 401k'!N4072,'Retirement Calculator'!A:A,0),0),0)</f>
        <v>0</v>
      </c>
      <c r="K4072" s="455">
        <f t="shared" ca="1" si="176"/>
        <v>-15285899688.263329</v>
      </c>
      <c r="L4072" s="455">
        <f t="shared" ca="1" si="177"/>
        <v>-3683901824871.4619</v>
      </c>
      <c r="M4072" s="471">
        <f t="shared" si="179"/>
        <v>0.05</v>
      </c>
      <c r="N4072" s="475">
        <f t="shared" si="180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78"/>
        <v>-3683901824871.4619</v>
      </c>
      <c r="J4073" s="455">
        <f t="array" ref="J4073">IFERROR(INDEX('Retirement Calculator'!J:J,MATCH('Isaac 401k'!N4073,'Retirement Calculator'!A:A,0),0),0)</f>
        <v>0</v>
      </c>
      <c r="K4073" s="455">
        <f t="shared" ca="1" si="176"/>
        <v>-15349590936.964424</v>
      </c>
      <c r="L4073" s="455">
        <f t="shared" ca="1" si="177"/>
        <v>-3699251415808.4263</v>
      </c>
      <c r="M4073" s="471">
        <f t="shared" si="179"/>
        <v>0.05</v>
      </c>
      <c r="N4073" s="475">
        <f t="shared" si="180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78"/>
        <v>-3699251415808.4263</v>
      </c>
      <c r="J4074" s="455">
        <f t="array" ref="J4074">IFERROR(INDEX('Retirement Calculator'!J:J,MATCH('Isaac 401k'!N4074,'Retirement Calculator'!A:A,0),0),0)</f>
        <v>0</v>
      </c>
      <c r="K4074" s="455">
        <f t="shared" ca="1" si="176"/>
        <v>-15413547565.868444</v>
      </c>
      <c r="L4074" s="455">
        <f t="shared" ca="1" si="177"/>
        <v>-3714664963374.2949</v>
      </c>
      <c r="M4074" s="471">
        <f t="shared" si="179"/>
        <v>0.05</v>
      </c>
      <c r="N4074" s="475">
        <f t="shared" si="180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78"/>
        <v>-3714664963374.2949</v>
      </c>
      <c r="J4075" s="455">
        <f t="array" ref="J4075">IFERROR(INDEX('Retirement Calculator'!J:J,MATCH('Isaac 401k'!N4075,'Retirement Calculator'!A:A,0),0),0)</f>
        <v>0</v>
      </c>
      <c r="K4075" s="455">
        <f t="shared" ca="1" si="176"/>
        <v>-15477770680.726229</v>
      </c>
      <c r="L4075" s="455">
        <f t="shared" ca="1" si="177"/>
        <v>-3730142734055.021</v>
      </c>
      <c r="M4075" s="471">
        <f t="shared" si="179"/>
        <v>0.05</v>
      </c>
      <c r="N4075" s="475">
        <f t="shared" si="180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78"/>
        <v>-3730142734055.021</v>
      </c>
      <c r="J4076" s="455">
        <f t="array" ref="J4076">IFERROR(INDEX('Retirement Calculator'!J:J,MATCH('Isaac 401k'!N4076,'Retirement Calculator'!A:A,0),0),0)</f>
        <v>0</v>
      </c>
      <c r="K4076" s="455">
        <f t="shared" ca="1" si="176"/>
        <v>-15542261391.89592</v>
      </c>
      <c r="L4076" s="455">
        <f t="shared" ca="1" si="177"/>
        <v>-3745684995446.917</v>
      </c>
      <c r="M4076" s="471">
        <f t="shared" si="179"/>
        <v>0.05</v>
      </c>
      <c r="N4076" s="475">
        <f t="shared" si="180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78"/>
        <v>-3745684995446.917</v>
      </c>
      <c r="J4077" s="455">
        <f t="array" ref="J4077">IFERROR(INDEX('Retirement Calculator'!J:J,MATCH('Isaac 401k'!N4077,'Retirement Calculator'!A:A,0),0),0)</f>
        <v>0</v>
      </c>
      <c r="K4077" s="455">
        <f t="shared" ca="1" si="176"/>
        <v>-15607020814.362154</v>
      </c>
      <c r="L4077" s="455">
        <f t="shared" ca="1" si="177"/>
        <v>-3761292016261.2793</v>
      </c>
      <c r="M4077" s="471">
        <f t="shared" si="179"/>
        <v>0.05</v>
      </c>
      <c r="N4077" s="475">
        <f t="shared" si="180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78"/>
        <v>-3761292016261.2793</v>
      </c>
      <c r="J4078" s="455">
        <f t="array" ref="J4078">IFERROR(INDEX('Retirement Calculator'!J:J,MATCH('Isaac 401k'!N4078,'Retirement Calculator'!A:A,0),0),0)</f>
        <v>0</v>
      </c>
      <c r="K4078" s="455">
        <f t="shared" ca="1" si="176"/>
        <v>-15672050067.755331</v>
      </c>
      <c r="L4078" s="455">
        <f t="shared" ca="1" si="177"/>
        <v>-3776964066329.0347</v>
      </c>
      <c r="M4078" s="471">
        <f t="shared" si="179"/>
        <v>0.05</v>
      </c>
      <c r="N4078" s="475">
        <f t="shared" si="180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78"/>
        <v>-3776964066329.0347</v>
      </c>
      <c r="J4079" s="455">
        <f t="array" ref="J4079">IFERROR(INDEX('Retirement Calculator'!J:J,MATCH('Isaac 401k'!N4079,'Retirement Calculator'!A:A,0),0),0)</f>
        <v>0</v>
      </c>
      <c r="K4079" s="455">
        <f t="shared" ca="1" si="176"/>
        <v>-15737350276.370979</v>
      </c>
      <c r="L4079" s="455">
        <f t="shared" ca="1" si="177"/>
        <v>-3792701416605.4058</v>
      </c>
      <c r="M4079" s="471">
        <f t="shared" si="179"/>
        <v>0.05</v>
      </c>
      <c r="N4079" s="475">
        <f t="shared" si="180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78"/>
        <v>-3792701416605.4058</v>
      </c>
      <c r="J4080" s="455">
        <f t="array" ref="J4080">IFERROR(INDEX('Retirement Calculator'!J:J,MATCH('Isaac 401k'!N4080,'Retirement Calculator'!A:A,0),0),0)</f>
        <v>0</v>
      </c>
      <c r="K4080" s="455">
        <f t="shared" ca="1" si="176"/>
        <v>-15802922569.18919</v>
      </c>
      <c r="L4080" s="455">
        <f t="shared" ca="1" si="177"/>
        <v>-3808504339174.5947</v>
      </c>
      <c r="M4080" s="471">
        <f t="shared" si="179"/>
        <v>0.05</v>
      </c>
      <c r="N4080" s="475">
        <f t="shared" si="180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78"/>
        <v>-3808504339174.5947</v>
      </c>
      <c r="J4081" s="455">
        <f t="array" ref="J4081">IFERROR(INDEX('Retirement Calculator'!J:J,MATCH('Isaac 401k'!N4081,'Retirement Calculator'!A:A,0),0),0)</f>
        <v>0</v>
      </c>
      <c r="K4081" s="455">
        <f t="shared" ca="1" si="176"/>
        <v>-15868768079.894144</v>
      </c>
      <c r="L4081" s="455">
        <f t="shared" ca="1" si="177"/>
        <v>-3824373107254.4888</v>
      </c>
      <c r="M4081" s="471">
        <f t="shared" si="179"/>
        <v>0.05</v>
      </c>
      <c r="N4081" s="475">
        <f t="shared" si="180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78"/>
        <v>-3824373107254.4888</v>
      </c>
      <c r="J4082" s="455">
        <f t="array" ref="J4082">IFERROR(INDEX('Retirement Calculator'!J:J,MATCH('Isaac 401k'!N4082,'Retirement Calculator'!A:A,0),0),0)</f>
        <v>0</v>
      </c>
      <c r="K4082" s="455">
        <f t="shared" ca="1" si="176"/>
        <v>-15934887946.893705</v>
      </c>
      <c r="L4082" s="455">
        <f t="shared" ca="1" si="177"/>
        <v>-3840307995201.3823</v>
      </c>
      <c r="M4082" s="471">
        <f t="shared" si="179"/>
        <v>0.05</v>
      </c>
      <c r="N4082" s="475">
        <f t="shared" si="180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78"/>
        <v>-3840307995201.3823</v>
      </c>
      <c r="J4083" s="455">
        <f t="array" ref="J4083">IFERROR(INDEX('Retirement Calculator'!J:J,MATCH('Isaac 401k'!N4083,'Retirement Calculator'!A:A,0),0),0)</f>
        <v>0</v>
      </c>
      <c r="K4083" s="455">
        <f t="shared" ca="1" si="176"/>
        <v>-16001283313.339092</v>
      </c>
      <c r="L4083" s="455">
        <f t="shared" ca="1" si="177"/>
        <v>-3856309278514.7212</v>
      </c>
      <c r="M4083" s="471">
        <f t="shared" si="179"/>
        <v>0.05</v>
      </c>
      <c r="N4083" s="475">
        <f t="shared" si="180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78"/>
        <v>-3856309278514.7212</v>
      </c>
      <c r="J4084" s="455">
        <f t="array" ref="J4084">IFERROR(INDEX('Retirement Calculator'!J:J,MATCH('Isaac 401k'!N4084,'Retirement Calculator'!A:A,0),0),0)</f>
        <v>0</v>
      </c>
      <c r="K4084" s="455">
        <f t="shared" ca="1" si="176"/>
        <v>-16067955327.144674</v>
      </c>
      <c r="L4084" s="455">
        <f t="shared" ca="1" si="177"/>
        <v>-3872377233841.8657</v>
      </c>
      <c r="M4084" s="471">
        <f t="shared" si="179"/>
        <v>0.05</v>
      </c>
      <c r="N4084" s="475">
        <f t="shared" si="180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78"/>
        <v>-3872377233841.8657</v>
      </c>
      <c r="J4085" s="455">
        <f t="array" ref="J4085">IFERROR(INDEX('Retirement Calculator'!J:J,MATCH('Isaac 401k'!N4085,'Retirement Calculator'!A:A,0),0),0)</f>
        <v>0</v>
      </c>
      <c r="K4085" s="455">
        <f t="shared" ca="1" si="176"/>
        <v>-16134905141.007774</v>
      </c>
      <c r="L4085" s="455">
        <f t="shared" ca="1" si="177"/>
        <v>-3888512138982.8735</v>
      </c>
      <c r="M4085" s="471">
        <f t="shared" si="179"/>
        <v>0.05</v>
      </c>
      <c r="N4085" s="475">
        <f t="shared" si="180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78"/>
        <v>-3888512138982.8735</v>
      </c>
      <c r="J4086" s="455">
        <f t="array" ref="J4086">IFERROR(INDEX('Retirement Calculator'!J:J,MATCH('Isaac 401k'!N4086,'Retirement Calculator'!A:A,0),0),0)</f>
        <v>0</v>
      </c>
      <c r="K4086" s="455">
        <f t="shared" ca="1" si="176"/>
        <v>-16202133912.42864</v>
      </c>
      <c r="L4086" s="455">
        <f t="shared" ca="1" si="177"/>
        <v>-3904714272895.3022</v>
      </c>
      <c r="M4086" s="471">
        <f t="shared" si="179"/>
        <v>0.05</v>
      </c>
      <c r="N4086" s="475">
        <f t="shared" si="180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78"/>
        <v>-3904714272895.3022</v>
      </c>
      <c r="J4087" s="455">
        <f t="array" ref="J4087">IFERROR(INDEX('Retirement Calculator'!J:J,MATCH('Isaac 401k'!N4087,'Retirement Calculator'!A:A,0),0),0)</f>
        <v>0</v>
      </c>
      <c r="K4087" s="455">
        <f t="shared" ca="1" si="176"/>
        <v>-16269642803.730429</v>
      </c>
      <c r="L4087" s="455">
        <f t="shared" ca="1" si="177"/>
        <v>-3920983915699.0327</v>
      </c>
      <c r="M4087" s="471">
        <f t="shared" si="179"/>
        <v>0.05</v>
      </c>
      <c r="N4087" s="475">
        <f t="shared" si="180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78"/>
        <v>-3920983915699.0327</v>
      </c>
      <c r="J4088" s="455">
        <f t="array" ref="J4088">IFERROR(INDEX('Retirement Calculator'!J:J,MATCH('Isaac 401k'!N4088,'Retirement Calculator'!A:A,0),0),0)</f>
        <v>0</v>
      </c>
      <c r="K4088" s="455">
        <f t="shared" ref="K4088:K4342" ca="1" si="181">IPMT(M4088/12,1,12,-I4088+J4088,,0)</f>
        <v>-16337432982.079302</v>
      </c>
      <c r="L4088" s="455">
        <f t="shared" ref="L4088:L4342" ca="1" si="182">I4088-J4088+K4088</f>
        <v>-3937321348681.1118</v>
      </c>
      <c r="M4088" s="471">
        <f t="shared" si="179"/>
        <v>0.05</v>
      </c>
      <c r="N4088" s="475">
        <f t="shared" si="180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83">L4088</f>
        <v>-3937321348681.1118</v>
      </c>
      <c r="J4089" s="455">
        <f t="array" ref="J4089">IFERROR(INDEX('Retirement Calculator'!J:J,MATCH('Isaac 401k'!N4089,'Retirement Calculator'!A:A,0),0),0)</f>
        <v>0</v>
      </c>
      <c r="K4089" s="455">
        <f t="shared" ca="1" si="181"/>
        <v>-16405505619.504633</v>
      </c>
      <c r="L4089" s="455">
        <f t="shared" ca="1" si="182"/>
        <v>-3953726854300.6162</v>
      </c>
      <c r="M4089" s="471">
        <f t="shared" ref="M4089:M4343" si="184">M4088</f>
        <v>0.05</v>
      </c>
      <c r="N4089" s="475">
        <f t="shared" ref="N4089:N4343" si="185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83"/>
        <v>-3953726854300.6162</v>
      </c>
      <c r="J4090" s="455">
        <f t="array" ref="J4090">IFERROR(INDEX('Retirement Calculator'!J:J,MATCH('Isaac 401k'!N4090,'Retirement Calculator'!A:A,0),0),0)</f>
        <v>0</v>
      </c>
      <c r="K4090" s="455">
        <f t="shared" ca="1" si="181"/>
        <v>-16473861892.919231</v>
      </c>
      <c r="L4090" s="455">
        <f t="shared" ca="1" si="182"/>
        <v>-3970200716193.5356</v>
      </c>
      <c r="M4090" s="471">
        <f t="shared" si="184"/>
        <v>0.05</v>
      </c>
      <c r="N4090" s="475">
        <f t="shared" si="185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83"/>
        <v>-3970200716193.5356</v>
      </c>
      <c r="J4091" s="455">
        <f t="array" ref="J4091">IFERROR(INDEX('Retirement Calculator'!J:J,MATCH('Isaac 401k'!N4091,'Retirement Calculator'!A:A,0),0),0)</f>
        <v>0</v>
      </c>
      <c r="K4091" s="455">
        <f t="shared" ca="1" si="181"/>
        <v>-16542502984.139732</v>
      </c>
      <c r="L4091" s="455">
        <f t="shared" ca="1" si="182"/>
        <v>-3986743219177.6753</v>
      </c>
      <c r="M4091" s="471">
        <f t="shared" si="184"/>
        <v>0.05</v>
      </c>
      <c r="N4091" s="475">
        <f t="shared" si="185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83"/>
        <v>-3986743219177.6753</v>
      </c>
      <c r="J4092" s="455">
        <f t="array" ref="J4092">IFERROR(INDEX('Retirement Calculator'!J:J,MATCH('Isaac 401k'!N4092,'Retirement Calculator'!A:A,0),0),0)</f>
        <v>0</v>
      </c>
      <c r="K4092" s="455">
        <f t="shared" ca="1" si="181"/>
        <v>-16611430079.906981</v>
      </c>
      <c r="L4092" s="455">
        <f t="shared" ca="1" si="182"/>
        <v>-4003354649257.582</v>
      </c>
      <c r="M4092" s="471">
        <f t="shared" si="184"/>
        <v>0.05</v>
      </c>
      <c r="N4092" s="475">
        <f t="shared" si="185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83"/>
        <v>-4003354649257.582</v>
      </c>
      <c r="J4093" s="455">
        <f t="array" ref="J4093">IFERROR(INDEX('Retirement Calculator'!J:J,MATCH('Isaac 401k'!N4093,'Retirement Calculator'!A:A,0),0),0)</f>
        <v>0</v>
      </c>
      <c r="K4093" s="455">
        <f t="shared" ca="1" si="181"/>
        <v>-16680644371.906591</v>
      </c>
      <c r="L4093" s="455">
        <f t="shared" ca="1" si="182"/>
        <v>-4020035293629.4888</v>
      </c>
      <c r="M4093" s="471">
        <f t="shared" si="184"/>
        <v>0.05</v>
      </c>
      <c r="N4093" s="475">
        <f t="shared" si="185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83"/>
        <v>-4020035293629.4888</v>
      </c>
      <c r="J4094" s="455">
        <f t="array" ref="J4094">IFERROR(INDEX('Retirement Calculator'!J:J,MATCH('Isaac 401k'!N4094,'Retirement Calculator'!A:A,0),0),0)</f>
        <v>0</v>
      </c>
      <c r="K4094" s="455">
        <f t="shared" ca="1" si="181"/>
        <v>-16750147056.789536</v>
      </c>
      <c r="L4094" s="455">
        <f t="shared" ca="1" si="182"/>
        <v>-4036785440686.2783</v>
      </c>
      <c r="M4094" s="471">
        <f t="shared" si="184"/>
        <v>0.05</v>
      </c>
      <c r="N4094" s="475">
        <f t="shared" si="185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83"/>
        <v>-4036785440686.2783</v>
      </c>
      <c r="J4095" s="455">
        <f t="array" ref="J4095">IFERROR(INDEX('Retirement Calculator'!J:J,MATCH('Isaac 401k'!N4095,'Retirement Calculator'!A:A,0),0),0)</f>
        <v>0</v>
      </c>
      <c r="K4095" s="455">
        <f t="shared" ca="1" si="181"/>
        <v>-16819939336.192823</v>
      </c>
      <c r="L4095" s="455">
        <f t="shared" ca="1" si="182"/>
        <v>-4053605380022.4712</v>
      </c>
      <c r="M4095" s="471">
        <f t="shared" si="184"/>
        <v>0.05</v>
      </c>
      <c r="N4095" s="475">
        <f t="shared" si="185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83"/>
        <v>-4053605380022.4712</v>
      </c>
      <c r="J4096" s="455">
        <f t="array" ref="J4096">IFERROR(INDEX('Retirement Calculator'!J:J,MATCH('Isaac 401k'!N4096,'Retirement Calculator'!A:A,0),0),0)</f>
        <v>0</v>
      </c>
      <c r="K4096" s="455">
        <f t="shared" ca="1" si="181"/>
        <v>-16890022416.760294</v>
      </c>
      <c r="L4096" s="455">
        <f t="shared" ca="1" si="182"/>
        <v>-4070495402439.2314</v>
      </c>
      <c r="M4096" s="471">
        <f t="shared" si="184"/>
        <v>0.05</v>
      </c>
      <c r="N4096" s="475">
        <f t="shared" si="185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83"/>
        <v>-4070495402439.2314</v>
      </c>
      <c r="J4097" s="455">
        <f t="array" ref="J4097">IFERROR(INDEX('Retirement Calculator'!J:J,MATCH('Isaac 401k'!N4097,'Retirement Calculator'!A:A,0),0),0)</f>
        <v>0</v>
      </c>
      <c r="K4097" s="455">
        <f t="shared" ca="1" si="181"/>
        <v>-16960397510.163464</v>
      </c>
      <c r="L4097" s="455">
        <f t="shared" ca="1" si="182"/>
        <v>-4087455799949.395</v>
      </c>
      <c r="M4097" s="471">
        <f t="shared" si="184"/>
        <v>0.05</v>
      </c>
      <c r="N4097" s="475">
        <f t="shared" si="185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83"/>
        <v>-4087455799949.395</v>
      </c>
      <c r="J4098" s="455">
        <f t="array" ref="J4098">IFERROR(INDEX('Retirement Calculator'!J:J,MATCH('Isaac 401k'!N4098,'Retirement Calculator'!A:A,0),0),0)</f>
        <v>0</v>
      </c>
      <c r="K4098" s="455">
        <f t="shared" ca="1" si="181"/>
        <v>-17031065833.122478</v>
      </c>
      <c r="L4098" s="455">
        <f t="shared" ca="1" si="182"/>
        <v>-4104486865782.5176</v>
      </c>
      <c r="M4098" s="471">
        <f t="shared" si="184"/>
        <v>0.05</v>
      </c>
      <c r="N4098" s="475">
        <f t="shared" si="185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83"/>
        <v>-4104486865782.5176</v>
      </c>
      <c r="J4099" s="455">
        <f t="array" ref="J4099">IFERROR(INDEX('Retirement Calculator'!J:J,MATCH('Isaac 401k'!N4099,'Retirement Calculator'!A:A,0),0),0)</f>
        <v>0</v>
      </c>
      <c r="K4099" s="455">
        <f t="shared" ca="1" si="181"/>
        <v>-17102028607.427158</v>
      </c>
      <c r="L4099" s="455">
        <f t="shared" ca="1" si="182"/>
        <v>-4121588894389.9448</v>
      </c>
      <c r="M4099" s="471">
        <f t="shared" si="184"/>
        <v>0.05</v>
      </c>
      <c r="N4099" s="475">
        <f t="shared" si="185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83"/>
        <v>-4121588894389.9448</v>
      </c>
      <c r="J4100" s="455">
        <f t="array" ref="J4100">IFERROR(INDEX('Retirement Calculator'!J:J,MATCH('Isaac 401k'!N4100,'Retirement Calculator'!A:A,0),0),0)</f>
        <v>0</v>
      </c>
      <c r="K4100" s="455">
        <f t="shared" ca="1" si="181"/>
        <v>-17173287059.958101</v>
      </c>
      <c r="L4100" s="455">
        <f t="shared" ca="1" si="182"/>
        <v>-4138762181449.9028</v>
      </c>
      <c r="M4100" s="471">
        <f t="shared" si="184"/>
        <v>0.05</v>
      </c>
      <c r="N4100" s="475">
        <f t="shared" si="185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83"/>
        <v>-4138762181449.9028</v>
      </c>
      <c r="J4101" s="455">
        <f t="array" ref="J4101">IFERROR(INDEX('Retirement Calculator'!J:J,MATCH('Isaac 401k'!N4101,'Retirement Calculator'!A:A,0),0),0)</f>
        <v>0</v>
      </c>
      <c r="K4101" s="455">
        <f t="shared" ca="1" si="181"/>
        <v>-17244842422.707932</v>
      </c>
      <c r="L4101" s="455">
        <f t="shared" ca="1" si="182"/>
        <v>-4156007023872.6108</v>
      </c>
      <c r="M4101" s="471">
        <f t="shared" si="184"/>
        <v>0.05</v>
      </c>
      <c r="N4101" s="475">
        <f t="shared" si="185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83"/>
        <v>-4156007023872.6108</v>
      </c>
      <c r="J4102" s="455">
        <f t="array" ref="J4102">IFERROR(INDEX('Retirement Calculator'!J:J,MATCH('Isaac 401k'!N4102,'Retirement Calculator'!A:A,0),0),0)</f>
        <v>0</v>
      </c>
      <c r="K4102" s="455">
        <f t="shared" ca="1" si="181"/>
        <v>-17316695932.802544</v>
      </c>
      <c r="L4102" s="455">
        <f t="shared" ca="1" si="182"/>
        <v>-4173323719805.4136</v>
      </c>
      <c r="M4102" s="471">
        <f t="shared" si="184"/>
        <v>0.05</v>
      </c>
      <c r="N4102" s="475">
        <f t="shared" si="185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83"/>
        <v>-4173323719805.4136</v>
      </c>
      <c r="J4103" s="455">
        <f t="array" ref="J4103">IFERROR(INDEX('Retirement Calculator'!J:J,MATCH('Isaac 401k'!N4103,'Retirement Calculator'!A:A,0),0),0)</f>
        <v>0</v>
      </c>
      <c r="K4103" s="455">
        <f t="shared" ca="1" si="181"/>
        <v>-17388848832.522556</v>
      </c>
      <c r="L4103" s="455">
        <f t="shared" ca="1" si="182"/>
        <v>-4190712568637.936</v>
      </c>
      <c r="M4103" s="471">
        <f t="shared" si="184"/>
        <v>0.05</v>
      </c>
      <c r="N4103" s="475">
        <f t="shared" si="185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83"/>
        <v>-4190712568637.936</v>
      </c>
      <c r="J4104" s="455">
        <f t="array" ref="J4104">IFERROR(INDEX('Retirement Calculator'!J:J,MATCH('Isaac 401k'!N4104,'Retirement Calculator'!A:A,0),0),0)</f>
        <v>0</v>
      </c>
      <c r="K4104" s="455">
        <f t="shared" ca="1" si="181"/>
        <v>-17461302369.324734</v>
      </c>
      <c r="L4104" s="455">
        <f t="shared" ca="1" si="182"/>
        <v>-4208173871007.2607</v>
      </c>
      <c r="M4104" s="471">
        <f t="shared" si="184"/>
        <v>0.05</v>
      </c>
      <c r="N4104" s="475">
        <f t="shared" si="185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83"/>
        <v>-4208173871007.2607</v>
      </c>
      <c r="J4105" s="455">
        <f t="array" ref="J4105">IFERROR(INDEX('Retirement Calculator'!J:J,MATCH('Isaac 401k'!N4105,'Retirement Calculator'!A:A,0),0),0)</f>
        <v>0</v>
      </c>
      <c r="K4105" s="455">
        <f t="shared" ca="1" si="181"/>
        <v>-17534057795.863586</v>
      </c>
      <c r="L4105" s="455">
        <f t="shared" ca="1" si="182"/>
        <v>-4225707928803.1245</v>
      </c>
      <c r="M4105" s="471">
        <f t="shared" si="184"/>
        <v>0.05</v>
      </c>
      <c r="N4105" s="475">
        <f t="shared" si="185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83"/>
        <v>-4225707928803.1245</v>
      </c>
      <c r="J4106" s="455">
        <f t="array" ref="J4106">IFERROR(INDEX('Retirement Calculator'!J:J,MATCH('Isaac 401k'!N4106,'Retirement Calculator'!A:A,0),0),0)</f>
        <v>0</v>
      </c>
      <c r="K4106" s="455">
        <f t="shared" ca="1" si="181"/>
        <v>-17607116370.01302</v>
      </c>
      <c r="L4106" s="455">
        <f t="shared" ca="1" si="182"/>
        <v>-4243315045173.1377</v>
      </c>
      <c r="M4106" s="471">
        <f t="shared" si="184"/>
        <v>0.05</v>
      </c>
      <c r="N4106" s="475">
        <f t="shared" si="185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83"/>
        <v>-4243315045173.1377</v>
      </c>
      <c r="J4107" s="455">
        <f t="array" ref="J4107">IFERROR(INDEX('Retirement Calculator'!J:J,MATCH('Isaac 401k'!N4107,'Retirement Calculator'!A:A,0),0),0)</f>
        <v>0</v>
      </c>
      <c r="K4107" s="455">
        <f t="shared" ca="1" si="181"/>
        <v>-17680479354.888073</v>
      </c>
      <c r="L4107" s="455">
        <f t="shared" ca="1" si="182"/>
        <v>-4260995524528.0259</v>
      </c>
      <c r="M4107" s="471">
        <f t="shared" si="184"/>
        <v>0.05</v>
      </c>
      <c r="N4107" s="475">
        <f t="shared" si="185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83"/>
        <v>-4260995524528.0259</v>
      </c>
      <c r="J4108" s="455">
        <f t="array" ref="J4108">IFERROR(INDEX('Retirement Calculator'!J:J,MATCH('Isaac 401k'!N4108,'Retirement Calculator'!A:A,0),0),0)</f>
        <v>0</v>
      </c>
      <c r="K4108" s="455">
        <f t="shared" ca="1" si="181"/>
        <v>-17754148018.866776</v>
      </c>
      <c r="L4108" s="455">
        <f t="shared" ca="1" si="182"/>
        <v>-4278749672546.8926</v>
      </c>
      <c r="M4108" s="471">
        <f t="shared" si="184"/>
        <v>0.05</v>
      </c>
      <c r="N4108" s="475">
        <f t="shared" si="185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83"/>
        <v>-4278749672546.8926</v>
      </c>
      <c r="J4109" s="455">
        <f t="array" ref="J4109">IFERROR(INDEX('Retirement Calculator'!J:J,MATCH('Isaac 401k'!N4109,'Retirement Calculator'!A:A,0),0),0)</f>
        <v>0</v>
      </c>
      <c r="K4109" s="455">
        <f t="shared" ca="1" si="181"/>
        <v>-17828123635.612049</v>
      </c>
      <c r="L4109" s="455">
        <f t="shared" ca="1" si="182"/>
        <v>-4296577796182.5044</v>
      </c>
      <c r="M4109" s="471">
        <f t="shared" si="184"/>
        <v>0.05</v>
      </c>
      <c r="N4109" s="475">
        <f t="shared" si="185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83"/>
        <v>-4296577796182.5044</v>
      </c>
      <c r="J4110" s="455">
        <f t="array" ref="J4110">IFERROR(INDEX('Retirement Calculator'!J:J,MATCH('Isaac 401k'!N4110,'Retirement Calculator'!A:A,0),0),0)</f>
        <v>0</v>
      </c>
      <c r="K4110" s="455">
        <f t="shared" ca="1" si="181"/>
        <v>-17902407484.093769</v>
      </c>
      <c r="L4110" s="455">
        <f t="shared" ca="1" si="182"/>
        <v>-4314480203666.5981</v>
      </c>
      <c r="M4110" s="471">
        <f t="shared" si="184"/>
        <v>0.05</v>
      </c>
      <c r="N4110" s="475">
        <f t="shared" si="185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83"/>
        <v>-4314480203666.5981</v>
      </c>
      <c r="J4111" s="455">
        <f t="array" ref="J4111">IFERROR(INDEX('Retirement Calculator'!J:J,MATCH('Isaac 401k'!N4111,'Retirement Calculator'!A:A,0),0),0)</f>
        <v>0</v>
      </c>
      <c r="K4111" s="455">
        <f t="shared" ca="1" si="181"/>
        <v>-17977000848.610825</v>
      </c>
      <c r="L4111" s="455">
        <f t="shared" ca="1" si="182"/>
        <v>-4332457204515.209</v>
      </c>
      <c r="M4111" s="471">
        <f t="shared" si="184"/>
        <v>0.05</v>
      </c>
      <c r="N4111" s="475">
        <f t="shared" si="185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83"/>
        <v>-4332457204515.209</v>
      </c>
      <c r="J4112" s="455">
        <f t="array" ref="J4112">IFERROR(INDEX('Retirement Calculator'!J:J,MATCH('Isaac 401k'!N4112,'Retirement Calculator'!A:A,0),0),0)</f>
        <v>0</v>
      </c>
      <c r="K4112" s="455">
        <f t="shared" ca="1" si="181"/>
        <v>-18051905018.81337</v>
      </c>
      <c r="L4112" s="455">
        <f t="shared" ca="1" si="182"/>
        <v>-4350509109534.0225</v>
      </c>
      <c r="M4112" s="471">
        <f t="shared" si="184"/>
        <v>0.05</v>
      </c>
      <c r="N4112" s="475">
        <f t="shared" si="185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83"/>
        <v>-4350509109534.0225</v>
      </c>
      <c r="J4113" s="455">
        <f t="array" ref="J4113">IFERROR(INDEX('Retirement Calculator'!J:J,MATCH('Isaac 401k'!N4113,'Retirement Calculator'!A:A,0),0),0)</f>
        <v>0</v>
      </c>
      <c r="K4113" s="455">
        <f t="shared" ca="1" si="181"/>
        <v>-18127121289.725094</v>
      </c>
      <c r="L4113" s="455">
        <f t="shared" ca="1" si="182"/>
        <v>-4368636230823.7476</v>
      </c>
      <c r="M4113" s="471">
        <f t="shared" si="184"/>
        <v>0.05</v>
      </c>
      <c r="N4113" s="475">
        <f t="shared" si="185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83"/>
        <v>-4368636230823.7476</v>
      </c>
      <c r="J4114" s="455">
        <f t="array" ref="J4114">IFERROR(INDEX('Retirement Calculator'!J:J,MATCH('Isaac 401k'!N4114,'Retirement Calculator'!A:A,0),0),0)</f>
        <v>0</v>
      </c>
      <c r="K4114" s="455">
        <f t="shared" ca="1" si="181"/>
        <v>-18202650961.765614</v>
      </c>
      <c r="L4114" s="455">
        <f t="shared" ca="1" si="182"/>
        <v>-4386838881785.5132</v>
      </c>
      <c r="M4114" s="471">
        <f t="shared" si="184"/>
        <v>0.05</v>
      </c>
      <c r="N4114" s="475">
        <f t="shared" si="185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83"/>
        <v>-4386838881785.5132</v>
      </c>
      <c r="J4115" s="455">
        <f t="array" ref="J4115">IFERROR(INDEX('Retirement Calculator'!J:J,MATCH('Isaac 401k'!N4115,'Retirement Calculator'!A:A,0),0),0)</f>
        <v>0</v>
      </c>
      <c r="K4115" s="455">
        <f t="shared" ca="1" si="181"/>
        <v>-18278495340.772972</v>
      </c>
      <c r="L4115" s="455">
        <f t="shared" ca="1" si="182"/>
        <v>-4405117377126.2861</v>
      </c>
      <c r="M4115" s="471">
        <f t="shared" si="184"/>
        <v>0.05</v>
      </c>
      <c r="N4115" s="475">
        <f t="shared" si="185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83"/>
        <v>-4405117377126.2861</v>
      </c>
      <c r="J4116" s="455">
        <f t="array" ref="J4116">IFERROR(INDEX('Retirement Calculator'!J:J,MATCH('Isaac 401k'!N4116,'Retirement Calculator'!A:A,0),0),0)</f>
        <v>0</v>
      </c>
      <c r="K4116" s="455">
        <f t="shared" ca="1" si="181"/>
        <v>-18354655738.026192</v>
      </c>
      <c r="L4116" s="455">
        <f t="shared" ca="1" si="182"/>
        <v>-4423472032864.3125</v>
      </c>
      <c r="M4116" s="471">
        <f t="shared" si="184"/>
        <v>0.05</v>
      </c>
      <c r="N4116" s="475">
        <f t="shared" si="185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83"/>
        <v>-4423472032864.3125</v>
      </c>
      <c r="J4117" s="455">
        <f t="array" ref="J4117">IFERROR(INDEX('Retirement Calculator'!J:J,MATCH('Isaac 401k'!N4117,'Retirement Calculator'!A:A,0),0),0)</f>
        <v>0</v>
      </c>
      <c r="K4117" s="455">
        <f t="shared" ca="1" si="181"/>
        <v>-18431133470.267967</v>
      </c>
      <c r="L4117" s="455">
        <f t="shared" ca="1" si="182"/>
        <v>-4441903166334.5801</v>
      </c>
      <c r="M4117" s="471">
        <f t="shared" si="184"/>
        <v>0.05</v>
      </c>
      <c r="N4117" s="475">
        <f t="shared" si="185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83"/>
        <v>-4441903166334.5801</v>
      </c>
      <c r="J4118" s="455">
        <f t="array" ref="J4118">IFERROR(INDEX('Retirement Calculator'!J:J,MATCH('Isaac 401k'!N4118,'Retirement Calculator'!A:A,0),0),0)</f>
        <v>0</v>
      </c>
      <c r="K4118" s="455">
        <f t="shared" ca="1" si="181"/>
        <v>-18507929859.727417</v>
      </c>
      <c r="L4118" s="455">
        <f t="shared" ca="1" si="182"/>
        <v>-4460411096194.3076</v>
      </c>
      <c r="M4118" s="471">
        <f t="shared" si="184"/>
        <v>0.05</v>
      </c>
      <c r="N4118" s="475">
        <f t="shared" si="185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83"/>
        <v>-4460411096194.3076</v>
      </c>
      <c r="J4119" s="455">
        <f t="array" ref="J4119">IFERROR(INDEX('Retirement Calculator'!J:J,MATCH('Isaac 401k'!N4119,'Retirement Calculator'!A:A,0),0),0)</f>
        <v>0</v>
      </c>
      <c r="K4119" s="455">
        <f t="shared" ca="1" si="181"/>
        <v>-18585046234.142948</v>
      </c>
      <c r="L4119" s="455">
        <f t="shared" ca="1" si="182"/>
        <v>-4478996142428.4502</v>
      </c>
      <c r="M4119" s="471">
        <f t="shared" si="184"/>
        <v>0.05</v>
      </c>
      <c r="N4119" s="475">
        <f t="shared" si="185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83"/>
        <v>-4478996142428.4502</v>
      </c>
      <c r="J4120" s="455">
        <f t="array" ref="J4120">IFERROR(INDEX('Retirement Calculator'!J:J,MATCH('Isaac 401k'!N4120,'Retirement Calculator'!A:A,0),0),0)</f>
        <v>0</v>
      </c>
      <c r="K4120" s="455">
        <f t="shared" ca="1" si="181"/>
        <v>-18662483926.78521</v>
      </c>
      <c r="L4120" s="455">
        <f t="shared" ca="1" si="182"/>
        <v>-4497658626355.2354</v>
      </c>
      <c r="M4120" s="471">
        <f t="shared" si="184"/>
        <v>0.05</v>
      </c>
      <c r="N4120" s="475">
        <f t="shared" si="185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83"/>
        <v>-4497658626355.2354</v>
      </c>
      <c r="J4121" s="455">
        <f t="array" ref="J4121">IFERROR(INDEX('Retirement Calculator'!J:J,MATCH('Isaac 401k'!N4121,'Retirement Calculator'!A:A,0),0),0)</f>
        <v>0</v>
      </c>
      <c r="K4121" s="455">
        <f t="shared" ca="1" si="181"/>
        <v>-18740244276.480148</v>
      </c>
      <c r="L4121" s="455">
        <f t="shared" ca="1" si="182"/>
        <v>-4516398870631.7158</v>
      </c>
      <c r="M4121" s="471">
        <f t="shared" si="184"/>
        <v>0.05</v>
      </c>
      <c r="N4121" s="475">
        <f t="shared" si="185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83"/>
        <v>-4516398870631.7158</v>
      </c>
      <c r="J4122" s="455">
        <f t="array" ref="J4122">IFERROR(INDEX('Retirement Calculator'!J:J,MATCH('Isaac 401k'!N4122,'Retirement Calculator'!A:A,0),0),0)</f>
        <v>0</v>
      </c>
      <c r="K4122" s="455">
        <f t="shared" ca="1" si="181"/>
        <v>-18818328627.632149</v>
      </c>
      <c r="L4122" s="455">
        <f t="shared" ca="1" si="182"/>
        <v>-4535217199259.3477</v>
      </c>
      <c r="M4122" s="471">
        <f t="shared" si="184"/>
        <v>0.05</v>
      </c>
      <c r="N4122" s="475">
        <f t="shared" si="185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83"/>
        <v>-4535217199259.3477</v>
      </c>
      <c r="J4123" s="455">
        <f t="array" ref="J4123">IFERROR(INDEX('Retirement Calculator'!J:J,MATCH('Isaac 401k'!N4123,'Retirement Calculator'!A:A,0),0),0)</f>
        <v>0</v>
      </c>
      <c r="K4123" s="455">
        <f t="shared" ca="1" si="181"/>
        <v>-18896738330.24728</v>
      </c>
      <c r="L4123" s="455">
        <f t="shared" ca="1" si="182"/>
        <v>-4554113937589.5947</v>
      </c>
      <c r="M4123" s="471">
        <f t="shared" si="184"/>
        <v>0.05</v>
      </c>
      <c r="N4123" s="475">
        <f t="shared" si="185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83"/>
        <v>-4554113937589.5947</v>
      </c>
      <c r="J4124" s="455">
        <f t="array" ref="J4124">IFERROR(INDEX('Retirement Calculator'!J:J,MATCH('Isaac 401k'!N4124,'Retirement Calculator'!A:A,0),0),0)</f>
        <v>0</v>
      </c>
      <c r="K4124" s="455">
        <f t="shared" ca="1" si="181"/>
        <v>-18975474739.956646</v>
      </c>
      <c r="L4124" s="455">
        <f t="shared" ca="1" si="182"/>
        <v>-4573089412329.5518</v>
      </c>
      <c r="M4124" s="471">
        <f t="shared" si="184"/>
        <v>0.05</v>
      </c>
      <c r="N4124" s="475">
        <f t="shared" si="185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83"/>
        <v>-4573089412329.5518</v>
      </c>
      <c r="J4125" s="455">
        <f t="array" ref="J4125">IFERROR(INDEX('Retirement Calculator'!J:J,MATCH('Isaac 401k'!N4125,'Retirement Calculator'!A:A,0),0),0)</f>
        <v>0</v>
      </c>
      <c r="K4125" s="455">
        <f t="shared" ca="1" si="181"/>
        <v>-19054539218.039799</v>
      </c>
      <c r="L4125" s="455">
        <f t="shared" ca="1" si="182"/>
        <v>-4592143951547.5918</v>
      </c>
      <c r="M4125" s="471">
        <f t="shared" si="184"/>
        <v>0.05</v>
      </c>
      <c r="N4125" s="475">
        <f t="shared" si="185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83"/>
        <v>-4592143951547.5918</v>
      </c>
      <c r="J4126" s="455">
        <f t="array" ref="J4126">IFERROR(INDEX('Retirement Calculator'!J:J,MATCH('Isaac 401k'!N4126,'Retirement Calculator'!A:A,0),0),0)</f>
        <v>0</v>
      </c>
      <c r="K4126" s="455">
        <f t="shared" ca="1" si="181"/>
        <v>-19133933131.448299</v>
      </c>
      <c r="L4126" s="455">
        <f t="shared" ca="1" si="182"/>
        <v>-4611277884679.04</v>
      </c>
      <c r="M4126" s="471">
        <f t="shared" si="184"/>
        <v>0.05</v>
      </c>
      <c r="N4126" s="475">
        <f t="shared" si="185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83"/>
        <v>-4611277884679.04</v>
      </c>
      <c r="J4127" s="455">
        <f t="array" ref="J4127">IFERROR(INDEX('Retirement Calculator'!J:J,MATCH('Isaac 401k'!N4127,'Retirement Calculator'!A:A,0),0),0)</f>
        <v>0</v>
      </c>
      <c r="K4127" s="455">
        <f t="shared" ca="1" si="181"/>
        <v>-19213657852.829334</v>
      </c>
      <c r="L4127" s="455">
        <f t="shared" ca="1" si="182"/>
        <v>-4630491542531.8691</v>
      </c>
      <c r="M4127" s="471">
        <f t="shared" si="184"/>
        <v>0.05</v>
      </c>
      <c r="N4127" s="475">
        <f t="shared" si="185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83"/>
        <v>-4630491542531.8691</v>
      </c>
      <c r="J4128" s="455">
        <f t="array" ref="J4128">IFERROR(INDEX('Retirement Calculator'!J:J,MATCH('Isaac 401k'!N4128,'Retirement Calculator'!A:A,0),0),0)</f>
        <v>0</v>
      </c>
      <c r="K4128" s="455">
        <f t="shared" ca="1" si="181"/>
        <v>-19293714760.549454</v>
      </c>
      <c r="L4128" s="455">
        <f t="shared" ca="1" si="182"/>
        <v>-4649785257292.4189</v>
      </c>
      <c r="M4128" s="471">
        <f t="shared" si="184"/>
        <v>0.05</v>
      </c>
      <c r="N4128" s="475">
        <f t="shared" si="185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83"/>
        <v>-4649785257292.4189</v>
      </c>
      <c r="J4129" s="455">
        <f t="array" ref="J4129">IFERROR(INDEX('Retirement Calculator'!J:J,MATCH('Isaac 401k'!N4129,'Retirement Calculator'!A:A,0),0),0)</f>
        <v>0</v>
      </c>
      <c r="K4129" s="455">
        <f t="shared" ca="1" si="181"/>
        <v>-19374105238.71841</v>
      </c>
      <c r="L4129" s="455">
        <f t="shared" ca="1" si="182"/>
        <v>-4669159362531.1377</v>
      </c>
      <c r="M4129" s="471">
        <f t="shared" si="184"/>
        <v>0.05</v>
      </c>
      <c r="N4129" s="475">
        <f t="shared" si="185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83"/>
        <v>-4669159362531.1377</v>
      </c>
      <c r="J4130" s="455">
        <f t="array" ref="J4130">IFERROR(INDEX('Retirement Calculator'!J:J,MATCH('Isaac 401k'!N4130,'Retirement Calculator'!A:A,0),0),0)</f>
        <v>0</v>
      </c>
      <c r="K4130" s="455">
        <f t="shared" ca="1" si="181"/>
        <v>-19454830677.213074</v>
      </c>
      <c r="L4130" s="455">
        <f t="shared" ca="1" si="182"/>
        <v>-4688614193208.3506</v>
      </c>
      <c r="M4130" s="471">
        <f t="shared" si="184"/>
        <v>0.05</v>
      </c>
      <c r="N4130" s="475">
        <f t="shared" si="185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83"/>
        <v>-4688614193208.3506</v>
      </c>
      <c r="J4131" s="455">
        <f t="array" ref="J4131">IFERROR(INDEX('Retirement Calculator'!J:J,MATCH('Isaac 401k'!N4131,'Retirement Calculator'!A:A,0),0),0)</f>
        <v>0</v>
      </c>
      <c r="K4131" s="455">
        <f t="shared" ca="1" si="181"/>
        <v>-19535892471.701462</v>
      </c>
      <c r="L4131" s="455">
        <f t="shared" ca="1" si="182"/>
        <v>-4708150085680.0518</v>
      </c>
      <c r="M4131" s="471">
        <f t="shared" si="184"/>
        <v>0.05</v>
      </c>
      <c r="N4131" s="475">
        <f t="shared" si="185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83"/>
        <v>-4708150085680.0518</v>
      </c>
      <c r="J4132" s="455">
        <f t="array" ref="J4132">IFERROR(INDEX('Retirement Calculator'!J:J,MATCH('Isaac 401k'!N4132,'Retirement Calculator'!A:A,0),0),0)</f>
        <v>0</v>
      </c>
      <c r="K4132" s="455">
        <f t="shared" ca="1" si="181"/>
        <v>-19617292023.666882</v>
      </c>
      <c r="L4132" s="455">
        <f t="shared" ca="1" si="182"/>
        <v>-4727767377703.7188</v>
      </c>
      <c r="M4132" s="471">
        <f t="shared" si="184"/>
        <v>0.05</v>
      </c>
      <c r="N4132" s="475">
        <f t="shared" si="185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83"/>
        <v>-4727767377703.7188</v>
      </c>
      <c r="J4133" s="455">
        <f t="array" ref="J4133">IFERROR(INDEX('Retirement Calculator'!J:J,MATCH('Isaac 401k'!N4133,'Retirement Calculator'!A:A,0),0),0)</f>
        <v>0</v>
      </c>
      <c r="K4133" s="455">
        <f t="shared" ca="1" si="181"/>
        <v>-19699030740.432159</v>
      </c>
      <c r="L4133" s="455">
        <f t="shared" ca="1" si="182"/>
        <v>-4747466408444.1514</v>
      </c>
      <c r="M4133" s="471">
        <f t="shared" si="184"/>
        <v>0.05</v>
      </c>
      <c r="N4133" s="475">
        <f t="shared" si="185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83"/>
        <v>-4747466408444.1514</v>
      </c>
      <c r="J4134" s="455">
        <f t="array" ref="J4134">IFERROR(INDEX('Retirement Calculator'!J:J,MATCH('Isaac 401k'!N4134,'Retirement Calculator'!A:A,0),0),0)</f>
        <v>0</v>
      </c>
      <c r="K4134" s="455">
        <f t="shared" ca="1" si="181"/>
        <v>-19781110035.183964</v>
      </c>
      <c r="L4134" s="455">
        <f t="shared" ca="1" si="182"/>
        <v>-4767247518479.335</v>
      </c>
      <c r="M4134" s="471">
        <f t="shared" si="184"/>
        <v>0.05</v>
      </c>
      <c r="N4134" s="475">
        <f t="shared" si="185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83"/>
        <v>-4767247518479.335</v>
      </c>
      <c r="J4135" s="455">
        <f t="array" ref="J4135">IFERROR(INDEX('Retirement Calculator'!J:J,MATCH('Isaac 401k'!N4135,'Retirement Calculator'!A:A,0),0),0)</f>
        <v>0</v>
      </c>
      <c r="K4135" s="455">
        <f t="shared" ca="1" si="181"/>
        <v>-19863531326.997231</v>
      </c>
      <c r="L4135" s="455">
        <f t="shared" ca="1" si="182"/>
        <v>-4787111049806.332</v>
      </c>
      <c r="M4135" s="471">
        <f t="shared" si="184"/>
        <v>0.05</v>
      </c>
      <c r="N4135" s="475">
        <f t="shared" si="185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83"/>
        <v>-4787111049806.332</v>
      </c>
      <c r="J4136" s="455">
        <f t="array" ref="J4136">IFERROR(INDEX('Retirement Calculator'!J:J,MATCH('Isaac 401k'!N4136,'Retirement Calculator'!A:A,0),0),0)</f>
        <v>0</v>
      </c>
      <c r="K4136" s="455">
        <f t="shared" ca="1" si="181"/>
        <v>-19946296040.859718</v>
      </c>
      <c r="L4136" s="455">
        <f t="shared" ca="1" si="182"/>
        <v>-4807057345847.1914</v>
      </c>
      <c r="M4136" s="471">
        <f t="shared" si="184"/>
        <v>0.05</v>
      </c>
      <c r="N4136" s="475">
        <f t="shared" si="185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83"/>
        <v>-4807057345847.1914</v>
      </c>
      <c r="J4137" s="455">
        <f t="array" ref="J4137">IFERROR(INDEX('Retirement Calculator'!J:J,MATCH('Isaac 401k'!N4137,'Retirement Calculator'!A:A,0),0),0)</f>
        <v>0</v>
      </c>
      <c r="K4137" s="455">
        <f t="shared" ca="1" si="181"/>
        <v>-20029405607.696632</v>
      </c>
      <c r="L4137" s="455">
        <f t="shared" ca="1" si="182"/>
        <v>-4827086751454.8877</v>
      </c>
      <c r="M4137" s="471">
        <f t="shared" si="184"/>
        <v>0.05</v>
      </c>
      <c r="N4137" s="475">
        <f t="shared" si="185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83"/>
        <v>-4827086751454.8877</v>
      </c>
      <c r="J4138" s="455">
        <f t="array" ref="J4138">IFERROR(INDEX('Retirement Calculator'!J:J,MATCH('Isaac 401k'!N4138,'Retirement Calculator'!A:A,0),0),0)</f>
        <v>0</v>
      </c>
      <c r="K4138" s="455">
        <f t="shared" ca="1" si="181"/>
        <v>-20112861464.395367</v>
      </c>
      <c r="L4138" s="455">
        <f t="shared" ca="1" si="182"/>
        <v>-4847199612919.2832</v>
      </c>
      <c r="M4138" s="471">
        <f t="shared" si="184"/>
        <v>0.05</v>
      </c>
      <c r="N4138" s="475">
        <f t="shared" si="185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83"/>
        <v>-4847199612919.2832</v>
      </c>
      <c r="J4139" s="455">
        <f t="array" ref="J4139">IFERROR(INDEX('Retirement Calculator'!J:J,MATCH('Isaac 401k'!N4139,'Retirement Calculator'!A:A,0),0),0)</f>
        <v>0</v>
      </c>
      <c r="K4139" s="455">
        <f t="shared" ca="1" si="181"/>
        <v>-20196665053.830345</v>
      </c>
      <c r="L4139" s="455">
        <f t="shared" ca="1" si="182"/>
        <v>-4867396277973.1133</v>
      </c>
      <c r="M4139" s="471">
        <f t="shared" si="184"/>
        <v>0.05</v>
      </c>
      <c r="N4139" s="475">
        <f t="shared" si="185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83"/>
        <v>-4867396277973.1133</v>
      </c>
      <c r="J4140" s="455">
        <f t="array" ref="J4140">IFERROR(INDEX('Retirement Calculator'!J:J,MATCH('Isaac 401k'!N4140,'Retirement Calculator'!A:A,0),0),0)</f>
        <v>0</v>
      </c>
      <c r="K4140" s="455">
        <f t="shared" ca="1" si="181"/>
        <v>-20280817824.88797</v>
      </c>
      <c r="L4140" s="455">
        <f t="shared" ca="1" si="182"/>
        <v>-4887677095798.001</v>
      </c>
      <c r="M4140" s="471">
        <f t="shared" si="184"/>
        <v>0.05</v>
      </c>
      <c r="N4140" s="475">
        <f t="shared" si="185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83"/>
        <v>-4887677095798.001</v>
      </c>
      <c r="J4141" s="455">
        <f t="array" ref="J4141">IFERROR(INDEX('Retirement Calculator'!J:J,MATCH('Isaac 401k'!N4141,'Retirement Calculator'!A:A,0),0),0)</f>
        <v>0</v>
      </c>
      <c r="K4141" s="455">
        <f t="shared" ca="1" si="181"/>
        <v>-20365321232.491669</v>
      </c>
      <c r="L4141" s="455">
        <f t="shared" ca="1" si="182"/>
        <v>-4908042417030.4922</v>
      </c>
      <c r="M4141" s="471">
        <f t="shared" si="184"/>
        <v>0.05</v>
      </c>
      <c r="N4141" s="475">
        <f t="shared" si="185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83"/>
        <v>-4908042417030.4922</v>
      </c>
      <c r="J4142" s="455">
        <f t="array" ref="J4142">IFERROR(INDEX('Retirement Calculator'!J:J,MATCH('Isaac 401k'!N4142,'Retirement Calculator'!A:A,0),0),0)</f>
        <v>0</v>
      </c>
      <c r="K4142" s="455">
        <f t="shared" ca="1" si="181"/>
        <v>-20450176737.627052</v>
      </c>
      <c r="L4142" s="455">
        <f t="shared" ca="1" si="182"/>
        <v>-4928492593768.1191</v>
      </c>
      <c r="M4142" s="471">
        <f t="shared" si="184"/>
        <v>0.05</v>
      </c>
      <c r="N4142" s="475">
        <f t="shared" si="185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83"/>
        <v>-4928492593768.1191</v>
      </c>
      <c r="J4143" s="455">
        <f t="array" ref="J4143">IFERROR(INDEX('Retirement Calculator'!J:J,MATCH('Isaac 401k'!N4143,'Retirement Calculator'!A:A,0),0),0)</f>
        <v>0</v>
      </c>
      <c r="K4143" s="455">
        <f t="shared" ca="1" si="181"/>
        <v>-20535385807.367165</v>
      </c>
      <c r="L4143" s="455">
        <f t="shared" ca="1" si="182"/>
        <v>-4949027979575.4863</v>
      </c>
      <c r="M4143" s="471">
        <f t="shared" si="184"/>
        <v>0.05</v>
      </c>
      <c r="N4143" s="475">
        <f t="shared" si="185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83"/>
        <v>-4949027979575.4863</v>
      </c>
      <c r="J4144" s="455">
        <f t="array" ref="J4144">IFERROR(INDEX('Retirement Calculator'!J:J,MATCH('Isaac 401k'!N4144,'Retirement Calculator'!A:A,0),0),0)</f>
        <v>0</v>
      </c>
      <c r="K4144" s="455">
        <f t="shared" ca="1" si="181"/>
        <v>-20620949914.897858</v>
      </c>
      <c r="L4144" s="455">
        <f t="shared" ca="1" si="182"/>
        <v>-4969648929490.3838</v>
      </c>
      <c r="M4144" s="471">
        <f t="shared" si="184"/>
        <v>0.05</v>
      </c>
      <c r="N4144" s="475">
        <f t="shared" si="185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83"/>
        <v>-4969648929490.3838</v>
      </c>
      <c r="J4145" s="455">
        <f t="array" ref="J4145">IFERROR(INDEX('Retirement Calculator'!J:J,MATCH('Isaac 401k'!N4145,'Retirement Calculator'!A:A,0),0),0)</f>
        <v>0</v>
      </c>
      <c r="K4145" s="455">
        <f t="shared" ca="1" si="181"/>
        <v>-20706870539.543266</v>
      </c>
      <c r="L4145" s="455">
        <f t="shared" ca="1" si="182"/>
        <v>-4990355800029.9268</v>
      </c>
      <c r="M4145" s="471">
        <f t="shared" si="184"/>
        <v>0.05</v>
      </c>
      <c r="N4145" s="475">
        <f t="shared" si="185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83"/>
        <v>-4990355800029.9268</v>
      </c>
      <c r="J4146" s="455">
        <f t="array" ref="J4146">IFERROR(INDEX('Retirement Calculator'!J:J,MATCH('Isaac 401k'!N4146,'Retirement Calculator'!A:A,0),0),0)</f>
        <v>0</v>
      </c>
      <c r="K4146" s="455">
        <f t="shared" ca="1" si="181"/>
        <v>-20793149166.791363</v>
      </c>
      <c r="L4146" s="455">
        <f t="shared" ca="1" si="182"/>
        <v>-5011148949196.7178</v>
      </c>
      <c r="M4146" s="471">
        <f t="shared" si="184"/>
        <v>0.05</v>
      </c>
      <c r="N4146" s="475">
        <f t="shared" si="185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83"/>
        <v>-5011148949196.7178</v>
      </c>
      <c r="J4147" s="455">
        <f t="array" ref="J4147">IFERROR(INDEX('Retirement Calculator'!J:J,MATCH('Isaac 401k'!N4147,'Retirement Calculator'!A:A,0),0),0)</f>
        <v>0</v>
      </c>
      <c r="K4147" s="455">
        <f t="shared" ca="1" si="181"/>
        <v>-20879787288.319656</v>
      </c>
      <c r="L4147" s="455">
        <f t="shared" ca="1" si="182"/>
        <v>-5032028736485.0371</v>
      </c>
      <c r="M4147" s="471">
        <f t="shared" si="184"/>
        <v>0.05</v>
      </c>
      <c r="N4147" s="475">
        <f t="shared" si="185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83"/>
        <v>-5032028736485.0371</v>
      </c>
      <c r="J4148" s="455">
        <f t="array" ref="J4148">IFERROR(INDEX('Retirement Calculator'!J:J,MATCH('Isaac 401k'!N4148,'Retirement Calculator'!A:A,0),0),0)</f>
        <v>0</v>
      </c>
      <c r="K4148" s="455">
        <f t="shared" ca="1" si="181"/>
        <v>-20966786402.020988</v>
      </c>
      <c r="L4148" s="455">
        <f t="shared" ca="1" si="182"/>
        <v>-5052995522887.0576</v>
      </c>
      <c r="M4148" s="471">
        <f t="shared" si="184"/>
        <v>0.05</v>
      </c>
      <c r="N4148" s="475">
        <f t="shared" si="185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83"/>
        <v>-5052995522887.0576</v>
      </c>
      <c r="J4149" s="455">
        <f t="array" ref="J4149">IFERROR(INDEX('Retirement Calculator'!J:J,MATCH('Isaac 401k'!N4149,'Retirement Calculator'!A:A,0),0),0)</f>
        <v>0</v>
      </c>
      <c r="K4149" s="455">
        <f t="shared" ca="1" si="181"/>
        <v>-21054148012.029408</v>
      </c>
      <c r="L4149" s="455">
        <f t="shared" ca="1" si="182"/>
        <v>-5074049670899.0869</v>
      </c>
      <c r="M4149" s="471">
        <f t="shared" si="184"/>
        <v>0.05</v>
      </c>
      <c r="N4149" s="475">
        <f t="shared" si="185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83"/>
        <v>-5074049670899.0869</v>
      </c>
      <c r="J4150" s="455">
        <f t="array" ref="J4150">IFERROR(INDEX('Retirement Calculator'!J:J,MATCH('Isaac 401k'!N4150,'Retirement Calculator'!A:A,0),0),0)</f>
        <v>0</v>
      </c>
      <c r="K4150" s="455">
        <f t="shared" ca="1" si="181"/>
        <v>-21141873628.746197</v>
      </c>
      <c r="L4150" s="455">
        <f t="shared" ca="1" si="182"/>
        <v>-5095191544527.833</v>
      </c>
      <c r="M4150" s="471">
        <f t="shared" si="184"/>
        <v>0.05</v>
      </c>
      <c r="N4150" s="475">
        <f t="shared" si="185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83"/>
        <v>-5095191544527.833</v>
      </c>
      <c r="J4151" s="455">
        <f t="array" ref="J4151">IFERROR(INDEX('Retirement Calculator'!J:J,MATCH('Isaac 401k'!N4151,'Retirement Calculator'!A:A,0),0),0)</f>
        <v>0</v>
      </c>
      <c r="K4151" s="455">
        <f t="shared" ca="1" si="181"/>
        <v>-21229964768.865971</v>
      </c>
      <c r="L4151" s="455">
        <f t="shared" ca="1" si="182"/>
        <v>-5116421509296.6992</v>
      </c>
      <c r="M4151" s="471">
        <f t="shared" si="184"/>
        <v>0.05</v>
      </c>
      <c r="N4151" s="475">
        <f t="shared" si="185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83"/>
        <v>-5116421509296.6992</v>
      </c>
      <c r="J4152" s="455">
        <f t="array" ref="J4152">IFERROR(INDEX('Retirement Calculator'!J:J,MATCH('Isaac 401k'!N4152,'Retirement Calculator'!A:A,0),0),0)</f>
        <v>0</v>
      </c>
      <c r="K4152" s="455">
        <f t="shared" ca="1" si="181"/>
        <v>-21318422955.402912</v>
      </c>
      <c r="L4152" s="455">
        <f t="shared" ca="1" si="182"/>
        <v>-5137739932252.1025</v>
      </c>
      <c r="M4152" s="471">
        <f t="shared" si="184"/>
        <v>0.05</v>
      </c>
      <c r="N4152" s="475">
        <f t="shared" si="185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83"/>
        <v>-5137739932252.1025</v>
      </c>
      <c r="J4153" s="455">
        <f t="array" ref="J4153">IFERROR(INDEX('Retirement Calculator'!J:J,MATCH('Isaac 401k'!N4153,'Retirement Calculator'!A:A,0),0),0)</f>
        <v>0</v>
      </c>
      <c r="K4153" s="455">
        <f t="shared" ca="1" si="181"/>
        <v>-21407249717.717094</v>
      </c>
      <c r="L4153" s="455">
        <f t="shared" ca="1" si="182"/>
        <v>-5159147181969.8193</v>
      </c>
      <c r="M4153" s="471">
        <f t="shared" si="184"/>
        <v>0.05</v>
      </c>
      <c r="N4153" s="475">
        <f t="shared" si="185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83"/>
        <v>-5159147181969.8193</v>
      </c>
      <c r="J4154" s="455">
        <f t="array" ref="J4154">IFERROR(INDEX('Retirement Calculator'!J:J,MATCH('Isaac 401k'!N4154,'Retirement Calculator'!A:A,0),0),0)</f>
        <v>0</v>
      </c>
      <c r="K4154" s="455">
        <f t="shared" ca="1" si="181"/>
        <v>-21496446591.540913</v>
      </c>
      <c r="L4154" s="455">
        <f t="shared" ca="1" si="182"/>
        <v>-5180643628561.3604</v>
      </c>
      <c r="M4154" s="471">
        <f t="shared" si="184"/>
        <v>0.05</v>
      </c>
      <c r="N4154" s="475">
        <f t="shared" si="185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83"/>
        <v>-5180643628561.3604</v>
      </c>
      <c r="J4155" s="455">
        <f t="array" ref="J4155">IFERROR(INDEX('Retirement Calculator'!J:J,MATCH('Isaac 401k'!N4155,'Retirement Calculator'!A:A,0),0),0)</f>
        <v>0</v>
      </c>
      <c r="K4155" s="455">
        <f t="shared" ca="1" si="181"/>
        <v>-21586015119.005669</v>
      </c>
      <c r="L4155" s="455">
        <f t="shared" ca="1" si="182"/>
        <v>-5202229643680.3662</v>
      </c>
      <c r="M4155" s="471">
        <f t="shared" si="184"/>
        <v>0.05</v>
      </c>
      <c r="N4155" s="475">
        <f t="shared" si="185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83"/>
        <v>-5202229643680.3662</v>
      </c>
      <c r="J4156" s="455">
        <f t="array" ref="J4156">IFERROR(INDEX('Retirement Calculator'!J:J,MATCH('Isaac 401k'!N4156,'Retirement Calculator'!A:A,0),0),0)</f>
        <v>0</v>
      </c>
      <c r="K4156" s="455">
        <f t="shared" ca="1" si="181"/>
        <v>-21675956848.668194</v>
      </c>
      <c r="L4156" s="455">
        <f t="shared" ca="1" si="182"/>
        <v>-5223905600529.0342</v>
      </c>
      <c r="M4156" s="471">
        <f t="shared" si="184"/>
        <v>0.05</v>
      </c>
      <c r="N4156" s="475">
        <f t="shared" si="185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83"/>
        <v>-5223905600529.0342</v>
      </c>
      <c r="J4157" s="455">
        <f t="array" ref="J4157">IFERROR(INDEX('Retirement Calculator'!J:J,MATCH('Isaac 401k'!N4157,'Retirement Calculator'!A:A,0),0),0)</f>
        <v>0</v>
      </c>
      <c r="K4157" s="455">
        <f t="shared" ca="1" si="181"/>
        <v>-21766273335.537643</v>
      </c>
      <c r="L4157" s="455">
        <f t="shared" ca="1" si="182"/>
        <v>-5245671873864.5723</v>
      </c>
      <c r="M4157" s="471">
        <f t="shared" si="184"/>
        <v>0.05</v>
      </c>
      <c r="N4157" s="475">
        <f t="shared" si="185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83"/>
        <v>-5245671873864.5723</v>
      </c>
      <c r="J4158" s="455">
        <f t="array" ref="J4158">IFERROR(INDEX('Retirement Calculator'!J:J,MATCH('Isaac 401k'!N4158,'Retirement Calculator'!A:A,0),0),0)</f>
        <v>0</v>
      </c>
      <c r="K4158" s="455">
        <f t="shared" ca="1" si="181"/>
        <v>-21856966141.102383</v>
      </c>
      <c r="L4158" s="455">
        <f t="shared" ca="1" si="182"/>
        <v>-5267528840005.6748</v>
      </c>
      <c r="M4158" s="471">
        <f t="shared" si="184"/>
        <v>0.05</v>
      </c>
      <c r="N4158" s="475">
        <f t="shared" si="185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83"/>
        <v>-5267528840005.6748</v>
      </c>
      <c r="J4159" s="455">
        <f t="array" ref="J4159">IFERROR(INDEX('Retirement Calculator'!J:J,MATCH('Isaac 401k'!N4159,'Retirement Calculator'!A:A,0),0),0)</f>
        <v>0</v>
      </c>
      <c r="K4159" s="455">
        <f t="shared" ca="1" si="181"/>
        <v>-21948036833.356979</v>
      </c>
      <c r="L4159" s="455">
        <f t="shared" ca="1" si="182"/>
        <v>-5289476876839.0322</v>
      </c>
      <c r="M4159" s="471">
        <f t="shared" si="184"/>
        <v>0.05</v>
      </c>
      <c r="N4159" s="475">
        <f t="shared" si="185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83"/>
        <v>-5289476876839.0322</v>
      </c>
      <c r="J4160" s="455">
        <f t="array" ref="J4160">IFERROR(INDEX('Retirement Calculator'!J:J,MATCH('Isaac 401k'!N4160,'Retirement Calculator'!A:A,0),0),0)</f>
        <v>0</v>
      </c>
      <c r="K4160" s="455">
        <f t="shared" ca="1" si="181"/>
        <v>-22039486986.8293</v>
      </c>
      <c r="L4160" s="455">
        <f t="shared" ca="1" si="182"/>
        <v>-5311516363825.8613</v>
      </c>
      <c r="M4160" s="471">
        <f t="shared" si="184"/>
        <v>0.05</v>
      </c>
      <c r="N4160" s="475">
        <f t="shared" si="185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83"/>
        <v>-5311516363825.8613</v>
      </c>
      <c r="J4161" s="455">
        <f t="array" ref="J4161">IFERROR(INDEX('Retirement Calculator'!J:J,MATCH('Isaac 401k'!N4161,'Retirement Calculator'!A:A,0),0),0)</f>
        <v>0</v>
      </c>
      <c r="K4161" s="455">
        <f t="shared" ca="1" si="181"/>
        <v>-22131318182.607754</v>
      </c>
      <c r="L4161" s="455">
        <f t="shared" ca="1" si="182"/>
        <v>-5333647682008.4688</v>
      </c>
      <c r="M4161" s="471">
        <f t="shared" si="184"/>
        <v>0.05</v>
      </c>
      <c r="N4161" s="475">
        <f t="shared" si="185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83"/>
        <v>-5333647682008.4688</v>
      </c>
      <c r="J4162" s="455">
        <f t="array" ref="J4162">IFERROR(INDEX('Retirement Calculator'!J:J,MATCH('Isaac 401k'!N4162,'Retirement Calculator'!A:A,0),0),0)</f>
        <v>0</v>
      </c>
      <c r="K4162" s="455">
        <f t="shared" ca="1" si="181"/>
        <v>-22223532008.368618</v>
      </c>
      <c r="L4162" s="455">
        <f t="shared" ca="1" si="182"/>
        <v>-5355871214016.8369</v>
      </c>
      <c r="M4162" s="471">
        <f t="shared" si="184"/>
        <v>0.05</v>
      </c>
      <c r="N4162" s="475">
        <f t="shared" si="185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83"/>
        <v>-5355871214016.8369</v>
      </c>
      <c r="J4163" s="455">
        <f t="array" ref="J4163">IFERROR(INDEX('Retirement Calculator'!J:J,MATCH('Isaac 401k'!N4163,'Retirement Calculator'!A:A,0),0),0)</f>
        <v>0</v>
      </c>
      <c r="K4163" s="455">
        <f t="shared" ca="1" si="181"/>
        <v>-22316130058.403488</v>
      </c>
      <c r="L4163" s="455">
        <f t="shared" ca="1" si="182"/>
        <v>-5378187344075.2402</v>
      </c>
      <c r="M4163" s="471">
        <f t="shared" si="184"/>
        <v>0.05</v>
      </c>
      <c r="N4163" s="475">
        <f t="shared" si="185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83"/>
        <v>-5378187344075.2402</v>
      </c>
      <c r="J4164" s="455">
        <f t="array" ref="J4164">IFERROR(INDEX('Retirement Calculator'!J:J,MATCH('Isaac 401k'!N4164,'Retirement Calculator'!A:A,0),0),0)</f>
        <v>0</v>
      </c>
      <c r="K4164" s="455">
        <f t="shared" ca="1" si="181"/>
        <v>-22409113933.646835</v>
      </c>
      <c r="L4164" s="455">
        <f t="shared" ca="1" si="182"/>
        <v>-5400596458008.8867</v>
      </c>
      <c r="M4164" s="471">
        <f t="shared" si="184"/>
        <v>0.05</v>
      </c>
      <c r="N4164" s="475">
        <f t="shared" si="185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83"/>
        <v>-5400596458008.8867</v>
      </c>
      <c r="J4165" s="455">
        <f t="array" ref="J4165">IFERROR(INDEX('Retirement Calculator'!J:J,MATCH('Isaac 401k'!N4165,'Retirement Calculator'!A:A,0),0),0)</f>
        <v>0</v>
      </c>
      <c r="K4165" s="455">
        <f t="shared" ca="1" si="181"/>
        <v>-22502485241.703693</v>
      </c>
      <c r="L4165" s="455">
        <f t="shared" ca="1" si="182"/>
        <v>-5423098943250.5908</v>
      </c>
      <c r="M4165" s="471">
        <f t="shared" si="184"/>
        <v>0.05</v>
      </c>
      <c r="N4165" s="475">
        <f t="shared" si="185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83"/>
        <v>-5423098943250.5908</v>
      </c>
      <c r="J4166" s="455">
        <f t="array" ref="J4166">IFERROR(INDEX('Retirement Calculator'!J:J,MATCH('Isaac 401k'!N4166,'Retirement Calculator'!A:A,0),0),0)</f>
        <v>0</v>
      </c>
      <c r="K4166" s="455">
        <f t="shared" ca="1" si="181"/>
        <v>-22596245596.87746</v>
      </c>
      <c r="L4166" s="455">
        <f t="shared" ca="1" si="182"/>
        <v>-5445695188847.4688</v>
      </c>
      <c r="M4166" s="471">
        <f t="shared" si="184"/>
        <v>0.05</v>
      </c>
      <c r="N4166" s="475">
        <f t="shared" si="185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83"/>
        <v>-5445695188847.4688</v>
      </c>
      <c r="J4167" s="455">
        <f t="array" ref="J4167">IFERROR(INDEX('Retirement Calculator'!J:J,MATCH('Isaac 401k'!N4167,'Retirement Calculator'!A:A,0),0),0)</f>
        <v>0</v>
      </c>
      <c r="K4167" s="455">
        <f t="shared" ca="1" si="181"/>
        <v>-22690396620.197784</v>
      </c>
      <c r="L4167" s="455">
        <f t="shared" ca="1" si="182"/>
        <v>-5468385585467.667</v>
      </c>
      <c r="M4167" s="471">
        <f t="shared" si="184"/>
        <v>0.05</v>
      </c>
      <c r="N4167" s="475">
        <f t="shared" si="185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83"/>
        <v>-5468385585467.667</v>
      </c>
      <c r="J4168" s="455">
        <f t="array" ref="J4168">IFERROR(INDEX('Retirement Calculator'!J:J,MATCH('Isaac 401k'!N4168,'Retirement Calculator'!A:A,0),0),0)</f>
        <v>0</v>
      </c>
      <c r="K4168" s="455">
        <f t="shared" ca="1" si="181"/>
        <v>-22784939939.448612</v>
      </c>
      <c r="L4168" s="455">
        <f t="shared" ca="1" si="182"/>
        <v>-5491170525407.1152</v>
      </c>
      <c r="M4168" s="471">
        <f t="shared" si="184"/>
        <v>0.05</v>
      </c>
      <c r="N4168" s="475">
        <f t="shared" si="185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83"/>
        <v>-5491170525407.1152</v>
      </c>
      <c r="J4169" s="455">
        <f t="array" ref="J4169">IFERROR(INDEX('Retirement Calculator'!J:J,MATCH('Isaac 401k'!N4169,'Retirement Calculator'!A:A,0),0),0)</f>
        <v>0</v>
      </c>
      <c r="K4169" s="455">
        <f t="shared" ca="1" si="181"/>
        <v>-22879877189.196312</v>
      </c>
      <c r="L4169" s="455">
        <f t="shared" ca="1" si="182"/>
        <v>-5514050402596.3115</v>
      </c>
      <c r="M4169" s="471">
        <f t="shared" si="184"/>
        <v>0.05</v>
      </c>
      <c r="N4169" s="475">
        <f t="shared" si="185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83"/>
        <v>-5514050402596.3115</v>
      </c>
      <c r="J4170" s="455">
        <f t="array" ref="J4170">IFERROR(INDEX('Retirement Calculator'!J:J,MATCH('Isaac 401k'!N4170,'Retirement Calculator'!A:A,0),0),0)</f>
        <v>0</v>
      </c>
      <c r="K4170" s="455">
        <f t="shared" ca="1" si="181"/>
        <v>-22975210010.817963</v>
      </c>
      <c r="L4170" s="455">
        <f t="shared" ca="1" si="182"/>
        <v>-5537025612607.1299</v>
      </c>
      <c r="M4170" s="471">
        <f t="shared" si="184"/>
        <v>0.05</v>
      </c>
      <c r="N4170" s="475">
        <f t="shared" si="185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83"/>
        <v>-5537025612607.1299</v>
      </c>
      <c r="J4171" s="455">
        <f t="array" ref="J4171">IFERROR(INDEX('Retirement Calculator'!J:J,MATCH('Isaac 401k'!N4171,'Retirement Calculator'!A:A,0),0),0)</f>
        <v>0</v>
      </c>
      <c r="K4171" s="455">
        <f t="shared" ca="1" si="181"/>
        <v>-23070940052.529709</v>
      </c>
      <c r="L4171" s="455">
        <f t="shared" ca="1" si="182"/>
        <v>-5560096552659.6592</v>
      </c>
      <c r="M4171" s="471">
        <f t="shared" si="184"/>
        <v>0.05</v>
      </c>
      <c r="N4171" s="475">
        <f t="shared" si="185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83"/>
        <v>-5560096552659.6592</v>
      </c>
      <c r="J4172" s="455">
        <f t="array" ref="J4172">IFERROR(INDEX('Retirement Calculator'!J:J,MATCH('Isaac 401k'!N4172,'Retirement Calculator'!A:A,0),0),0)</f>
        <v>0</v>
      </c>
      <c r="K4172" s="455">
        <f t="shared" ca="1" si="181"/>
        <v>-23167068969.415245</v>
      </c>
      <c r="L4172" s="455">
        <f t="shared" ca="1" si="182"/>
        <v>-5583263621629.0742</v>
      </c>
      <c r="M4172" s="471">
        <f t="shared" si="184"/>
        <v>0.05</v>
      </c>
      <c r="N4172" s="475">
        <f t="shared" si="185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83"/>
        <v>-5583263621629.0742</v>
      </c>
      <c r="J4173" s="455">
        <f t="array" ref="J4173">IFERROR(INDEX('Retirement Calculator'!J:J,MATCH('Isaac 401k'!N4173,'Retirement Calculator'!A:A,0),0),0)</f>
        <v>0</v>
      </c>
      <c r="K4173" s="455">
        <f t="shared" ca="1" si="181"/>
        <v>-23263598423.454475</v>
      </c>
      <c r="L4173" s="455">
        <f t="shared" ca="1" si="182"/>
        <v>-5606527220052.5283</v>
      </c>
      <c r="M4173" s="471">
        <f t="shared" si="184"/>
        <v>0.05</v>
      </c>
      <c r="N4173" s="475">
        <f t="shared" si="185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83"/>
        <v>-5606527220052.5283</v>
      </c>
      <c r="J4174" s="455">
        <f t="array" ref="J4174">IFERROR(INDEX('Retirement Calculator'!J:J,MATCH('Isaac 401k'!N4174,'Retirement Calculator'!A:A,0),0),0)</f>
        <v>0</v>
      </c>
      <c r="K4174" s="455">
        <f t="shared" ca="1" si="181"/>
        <v>-23360530083.5522</v>
      </c>
      <c r="L4174" s="455">
        <f t="shared" ca="1" si="182"/>
        <v>-5629887750136.0801</v>
      </c>
      <c r="M4174" s="471">
        <f t="shared" si="184"/>
        <v>0.05</v>
      </c>
      <c r="N4174" s="475">
        <f t="shared" si="185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83"/>
        <v>-5629887750136.0801</v>
      </c>
      <c r="J4175" s="455">
        <f t="array" ref="J4175">IFERROR(INDEX('Retirement Calculator'!J:J,MATCH('Isaac 401k'!N4175,'Retirement Calculator'!A:A,0),0),0)</f>
        <v>0</v>
      </c>
      <c r="K4175" s="455">
        <f t="shared" ca="1" si="181"/>
        <v>-23457865625.567001</v>
      </c>
      <c r="L4175" s="455">
        <f t="shared" ca="1" si="182"/>
        <v>-5653345615761.6475</v>
      </c>
      <c r="M4175" s="471">
        <f t="shared" si="184"/>
        <v>0.05</v>
      </c>
      <c r="N4175" s="475">
        <f t="shared" si="185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83"/>
        <v>-5653345615761.6475</v>
      </c>
      <c r="J4176" s="455">
        <f t="array" ref="J4176">IFERROR(INDEX('Retirement Calculator'!J:J,MATCH('Isaac 401k'!N4176,'Retirement Calculator'!A:A,0),0),0)</f>
        <v>0</v>
      </c>
      <c r="K4176" s="455">
        <f t="shared" ca="1" si="181"/>
        <v>-23555606732.340199</v>
      </c>
      <c r="L4176" s="455">
        <f t="shared" ca="1" si="182"/>
        <v>-5676901222493.9873</v>
      </c>
      <c r="M4176" s="471">
        <f t="shared" si="184"/>
        <v>0.05</v>
      </c>
      <c r="N4176" s="475">
        <f t="shared" si="185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83"/>
        <v>-5676901222493.9873</v>
      </c>
      <c r="J4177" s="455">
        <f t="array" ref="J4177">IFERROR(INDEX('Retirement Calculator'!J:J,MATCH('Isaac 401k'!N4177,'Retirement Calculator'!A:A,0),0),0)</f>
        <v>0</v>
      </c>
      <c r="K4177" s="455">
        <f t="shared" ca="1" si="181"/>
        <v>-23653755093.724945</v>
      </c>
      <c r="L4177" s="455">
        <f t="shared" ca="1" si="182"/>
        <v>-5700554977587.7119</v>
      </c>
      <c r="M4177" s="471">
        <f t="shared" si="184"/>
        <v>0.05</v>
      </c>
      <c r="N4177" s="475">
        <f t="shared" si="185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83"/>
        <v>-5700554977587.7119</v>
      </c>
      <c r="J4178" s="455">
        <f t="array" ref="J4178">IFERROR(INDEX('Retirement Calculator'!J:J,MATCH('Isaac 401k'!N4178,'Retirement Calculator'!A:A,0),0),0)</f>
        <v>0</v>
      </c>
      <c r="K4178" s="455">
        <f t="shared" ca="1" si="181"/>
        <v>-23752312406.615467</v>
      </c>
      <c r="L4178" s="455">
        <f t="shared" ca="1" si="182"/>
        <v>-5724307289994.3271</v>
      </c>
      <c r="M4178" s="471">
        <f t="shared" si="184"/>
        <v>0.05</v>
      </c>
      <c r="N4178" s="475">
        <f t="shared" si="185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83"/>
        <v>-5724307289994.3271</v>
      </c>
      <c r="J4179" s="455">
        <f t="array" ref="J4179">IFERROR(INDEX('Retirement Calculator'!J:J,MATCH('Isaac 401k'!N4179,'Retirement Calculator'!A:A,0),0),0)</f>
        <v>0</v>
      </c>
      <c r="K4179" s="455">
        <f t="shared" ca="1" si="181"/>
        <v>-23851280374.976364</v>
      </c>
      <c r="L4179" s="455">
        <f t="shared" ca="1" si="182"/>
        <v>-5748158570369.3037</v>
      </c>
      <c r="M4179" s="471">
        <f t="shared" si="184"/>
        <v>0.05</v>
      </c>
      <c r="N4179" s="475">
        <f t="shared" si="185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83"/>
        <v>-5748158570369.3037</v>
      </c>
      <c r="J4180" s="455">
        <f t="array" ref="J4180">IFERROR(INDEX('Retirement Calculator'!J:J,MATCH('Isaac 401k'!N4180,'Retirement Calculator'!A:A,0),0),0)</f>
        <v>0</v>
      </c>
      <c r="K4180" s="455">
        <f t="shared" ca="1" si="181"/>
        <v>-23950660709.872097</v>
      </c>
      <c r="L4180" s="455">
        <f t="shared" ca="1" si="182"/>
        <v>-5772109231079.1758</v>
      </c>
      <c r="M4180" s="471">
        <f t="shared" si="184"/>
        <v>0.05</v>
      </c>
      <c r="N4180" s="475">
        <f t="shared" si="185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83"/>
        <v>-5772109231079.1758</v>
      </c>
      <c r="J4181" s="455">
        <f t="array" ref="J4181">IFERROR(INDEX('Retirement Calculator'!J:J,MATCH('Isaac 401k'!N4181,'Retirement Calculator'!A:A,0),0),0)</f>
        <v>0</v>
      </c>
      <c r="K4181" s="455">
        <f t="shared" ca="1" si="181"/>
        <v>-24050455129.496567</v>
      </c>
      <c r="L4181" s="455">
        <f t="shared" ca="1" si="182"/>
        <v>-5796159686208.6719</v>
      </c>
      <c r="M4181" s="471">
        <f t="shared" si="184"/>
        <v>0.05</v>
      </c>
      <c r="N4181" s="475">
        <f t="shared" si="185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83"/>
        <v>-5796159686208.6719</v>
      </c>
      <c r="J4182" s="455">
        <f t="array" ref="J4182">IFERROR(INDEX('Retirement Calculator'!J:J,MATCH('Isaac 401k'!N4182,'Retirement Calculator'!A:A,0),0),0)</f>
        <v>0</v>
      </c>
      <c r="K4182" s="455">
        <f t="shared" ca="1" si="181"/>
        <v>-24150665359.202801</v>
      </c>
      <c r="L4182" s="455">
        <f t="shared" ca="1" si="182"/>
        <v>-5820310351567.875</v>
      </c>
      <c r="M4182" s="471">
        <f t="shared" si="184"/>
        <v>0.05</v>
      </c>
      <c r="N4182" s="475">
        <f t="shared" si="185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83"/>
        <v>-5820310351567.875</v>
      </c>
      <c r="J4183" s="455">
        <f t="array" ref="J4183">IFERROR(INDEX('Retirement Calculator'!J:J,MATCH('Isaac 401k'!N4183,'Retirement Calculator'!A:A,0),0),0)</f>
        <v>0</v>
      </c>
      <c r="K4183" s="455">
        <f t="shared" ca="1" si="181"/>
        <v>-24251293131.532814</v>
      </c>
      <c r="L4183" s="455">
        <f t="shared" ca="1" si="182"/>
        <v>-5844561644699.4082</v>
      </c>
      <c r="M4183" s="471">
        <f t="shared" si="184"/>
        <v>0.05</v>
      </c>
      <c r="N4183" s="475">
        <f t="shared" si="185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83"/>
        <v>-5844561644699.4082</v>
      </c>
      <c r="J4184" s="455">
        <f t="array" ref="J4184">IFERROR(INDEX('Retirement Calculator'!J:J,MATCH('Isaac 401k'!N4184,'Retirement Calculator'!A:A,0),0),0)</f>
        <v>0</v>
      </c>
      <c r="K4184" s="455">
        <f t="shared" ca="1" si="181"/>
        <v>-24352340186.247536</v>
      </c>
      <c r="L4184" s="455">
        <f t="shared" ca="1" si="182"/>
        <v>-5868913984885.6553</v>
      </c>
      <c r="M4184" s="471">
        <f t="shared" si="184"/>
        <v>0.05</v>
      </c>
      <c r="N4184" s="475">
        <f t="shared" si="185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83"/>
        <v>-5868913984885.6553</v>
      </c>
      <c r="J4185" s="455">
        <f t="array" ref="J4185">IFERROR(INDEX('Retirement Calculator'!J:J,MATCH('Isaac 401k'!N4185,'Retirement Calculator'!A:A,0),0),0)</f>
        <v>0</v>
      </c>
      <c r="K4185" s="455">
        <f t="shared" ca="1" si="181"/>
        <v>-24453808270.356895</v>
      </c>
      <c r="L4185" s="455">
        <f t="shared" ca="1" si="182"/>
        <v>-5893367793156.0117</v>
      </c>
      <c r="M4185" s="471">
        <f t="shared" si="184"/>
        <v>0.05</v>
      </c>
      <c r="N4185" s="475">
        <f t="shared" si="185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83"/>
        <v>-5893367793156.0117</v>
      </c>
      <c r="J4186" s="455">
        <f t="array" ref="J4186">IFERROR(INDEX('Retirement Calculator'!J:J,MATCH('Isaac 401k'!N4186,'Retirement Calculator'!A:A,0),0),0)</f>
        <v>0</v>
      </c>
      <c r="K4186" s="455">
        <f t="shared" ca="1" si="181"/>
        <v>-24555699138.150047</v>
      </c>
      <c r="L4186" s="455">
        <f t="shared" ca="1" si="182"/>
        <v>-5917923492294.1621</v>
      </c>
      <c r="M4186" s="471">
        <f t="shared" si="184"/>
        <v>0.05</v>
      </c>
      <c r="N4186" s="475">
        <f t="shared" si="185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83"/>
        <v>-5917923492294.1621</v>
      </c>
      <c r="J4187" s="455">
        <f t="array" ref="J4187">IFERROR(INDEX('Retirement Calculator'!J:J,MATCH('Isaac 401k'!N4187,'Retirement Calculator'!A:A,0),0),0)</f>
        <v>0</v>
      </c>
      <c r="K4187" s="455">
        <f t="shared" ca="1" si="181"/>
        <v>-24658014551.225674</v>
      </c>
      <c r="L4187" s="455">
        <f t="shared" ca="1" si="182"/>
        <v>-5942581506845.3877</v>
      </c>
      <c r="M4187" s="471">
        <f t="shared" si="184"/>
        <v>0.05</v>
      </c>
      <c r="N4187" s="475">
        <f t="shared" si="185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83"/>
        <v>-5942581506845.3877</v>
      </c>
      <c r="J4188" s="455">
        <f t="array" ref="J4188">IFERROR(INDEX('Retirement Calculator'!J:J,MATCH('Isaac 401k'!N4188,'Retirement Calculator'!A:A,0),0),0)</f>
        <v>0</v>
      </c>
      <c r="K4188" s="455">
        <f t="shared" ca="1" si="181"/>
        <v>-24760756278.522449</v>
      </c>
      <c r="L4188" s="455">
        <f t="shared" ca="1" si="182"/>
        <v>-5967342263123.9102</v>
      </c>
      <c r="M4188" s="471">
        <f t="shared" si="184"/>
        <v>0.05</v>
      </c>
      <c r="N4188" s="475">
        <f t="shared" si="185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83"/>
        <v>-5967342263123.9102</v>
      </c>
      <c r="J4189" s="455">
        <f t="array" ref="J4189">IFERROR(INDEX('Retirement Calculator'!J:J,MATCH('Isaac 401k'!N4189,'Retirement Calculator'!A:A,0),0),0)</f>
        <v>0</v>
      </c>
      <c r="K4189" s="455">
        <f t="shared" ca="1" si="181"/>
        <v>-24863926096.349625</v>
      </c>
      <c r="L4189" s="455">
        <f t="shared" ca="1" si="182"/>
        <v>-5992206189220.2598</v>
      </c>
      <c r="M4189" s="471">
        <f t="shared" si="184"/>
        <v>0.05</v>
      </c>
      <c r="N4189" s="475">
        <f t="shared" si="185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83"/>
        <v>-5992206189220.2598</v>
      </c>
      <c r="J4190" s="455">
        <f t="array" ref="J4190">IFERROR(INDEX('Retirement Calculator'!J:J,MATCH('Isaac 401k'!N4190,'Retirement Calculator'!A:A,0),0),0)</f>
        <v>0</v>
      </c>
      <c r="K4190" s="455">
        <f t="shared" ca="1" si="181"/>
        <v>-24967525788.417747</v>
      </c>
      <c r="L4190" s="455">
        <f t="shared" ca="1" si="182"/>
        <v>-6017173715008.6777</v>
      </c>
      <c r="M4190" s="471">
        <f t="shared" si="184"/>
        <v>0.05</v>
      </c>
      <c r="N4190" s="475">
        <f t="shared" si="185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83"/>
        <v>-6017173715008.6777</v>
      </c>
      <c r="J4191" s="455">
        <f t="array" ref="J4191">IFERROR(INDEX('Retirement Calculator'!J:J,MATCH('Isaac 401k'!N4191,'Retirement Calculator'!A:A,0),0),0)</f>
        <v>0</v>
      </c>
      <c r="K4191" s="455">
        <f t="shared" ca="1" si="181"/>
        <v>-25071557145.869492</v>
      </c>
      <c r="L4191" s="455">
        <f t="shared" ca="1" si="182"/>
        <v>-6042245272154.5469</v>
      </c>
      <c r="M4191" s="471">
        <f t="shared" si="184"/>
        <v>0.05</v>
      </c>
      <c r="N4191" s="475">
        <f t="shared" si="185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83"/>
        <v>-6042245272154.5469</v>
      </c>
      <c r="J4192" s="455">
        <f t="array" ref="J4192">IFERROR(INDEX('Retirement Calculator'!J:J,MATCH('Isaac 401k'!N4192,'Retirement Calculator'!A:A,0),0),0)</f>
        <v>0</v>
      </c>
      <c r="K4192" s="455">
        <f t="shared" ca="1" si="181"/>
        <v>-25176021967.310612</v>
      </c>
      <c r="L4192" s="455">
        <f t="shared" ca="1" si="182"/>
        <v>-6067421294121.8574</v>
      </c>
      <c r="M4192" s="471">
        <f t="shared" si="184"/>
        <v>0.05</v>
      </c>
      <c r="N4192" s="475">
        <f t="shared" si="185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83"/>
        <v>-6067421294121.8574</v>
      </c>
      <c r="J4193" s="455">
        <f t="array" ref="J4193">IFERROR(INDEX('Retirement Calculator'!J:J,MATCH('Isaac 401k'!N4193,'Retirement Calculator'!A:A,0),0),0)</f>
        <v>0</v>
      </c>
      <c r="K4193" s="455">
        <f t="shared" ca="1" si="181"/>
        <v>-25280922058.841072</v>
      </c>
      <c r="L4193" s="455">
        <f t="shared" ca="1" si="182"/>
        <v>-6092702216180.6982</v>
      </c>
      <c r="M4193" s="471">
        <f t="shared" si="184"/>
        <v>0.05</v>
      </c>
      <c r="N4193" s="475">
        <f t="shared" si="185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83"/>
        <v>-6092702216180.6982</v>
      </c>
      <c r="J4194" s="455">
        <f t="array" ref="J4194">IFERROR(INDEX('Retirement Calculator'!J:J,MATCH('Isaac 401k'!N4194,'Retirement Calculator'!A:A,0),0),0)</f>
        <v>0</v>
      </c>
      <c r="K4194" s="455">
        <f t="shared" ca="1" si="181"/>
        <v>-25386259234.086243</v>
      </c>
      <c r="L4194" s="455">
        <f t="shared" ca="1" si="182"/>
        <v>-6118088475414.7842</v>
      </c>
      <c r="M4194" s="471">
        <f t="shared" si="184"/>
        <v>0.05</v>
      </c>
      <c r="N4194" s="475">
        <f t="shared" si="185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83"/>
        <v>-6118088475414.7842</v>
      </c>
      <c r="J4195" s="455">
        <f t="array" ref="J4195">IFERROR(INDEX('Retirement Calculator'!J:J,MATCH('Isaac 401k'!N4195,'Retirement Calculator'!A:A,0),0),0)</f>
        <v>0</v>
      </c>
      <c r="K4195" s="455">
        <f t="shared" ca="1" si="181"/>
        <v>-25492035314.228268</v>
      </c>
      <c r="L4195" s="455">
        <f t="shared" ca="1" si="182"/>
        <v>-6143580510729.0127</v>
      </c>
      <c r="M4195" s="471">
        <f t="shared" si="184"/>
        <v>0.05</v>
      </c>
      <c r="N4195" s="475">
        <f t="shared" si="185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83"/>
        <v>-6143580510729.0127</v>
      </c>
      <c r="J4196" s="455">
        <f t="array" ref="J4196">IFERROR(INDEX('Retirement Calculator'!J:J,MATCH('Isaac 401k'!N4196,'Retirement Calculator'!A:A,0),0),0)</f>
        <v>0</v>
      </c>
      <c r="K4196" s="455">
        <f t="shared" ca="1" si="181"/>
        <v>-25598252128.037552</v>
      </c>
      <c r="L4196" s="455">
        <f t="shared" ca="1" si="182"/>
        <v>-6169178762857.0498</v>
      </c>
      <c r="M4196" s="471">
        <f t="shared" si="184"/>
        <v>0.05</v>
      </c>
      <c r="N4196" s="475">
        <f t="shared" si="185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83"/>
        <v>-6169178762857.0498</v>
      </c>
      <c r="J4197" s="455">
        <f t="array" ref="J4197">IFERROR(INDEX('Retirement Calculator'!J:J,MATCH('Isaac 401k'!N4197,'Retirement Calculator'!A:A,0),0),0)</f>
        <v>0</v>
      </c>
      <c r="K4197" s="455">
        <f t="shared" ca="1" si="181"/>
        <v>-25704911511.904373</v>
      </c>
      <c r="L4197" s="455">
        <f t="shared" ca="1" si="182"/>
        <v>-6194883674368.9541</v>
      </c>
      <c r="M4197" s="471">
        <f t="shared" si="184"/>
        <v>0.05</v>
      </c>
      <c r="N4197" s="475">
        <f t="shared" si="185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83"/>
        <v>-6194883674368.9541</v>
      </c>
      <c r="J4198" s="455">
        <f t="array" ref="J4198">IFERROR(INDEX('Retirement Calculator'!J:J,MATCH('Isaac 401k'!N4198,'Retirement Calculator'!A:A,0),0),0)</f>
        <v>0</v>
      </c>
      <c r="K4198" s="455">
        <f t="shared" ca="1" si="181"/>
        <v>-25812015309.870644</v>
      </c>
      <c r="L4198" s="455">
        <f t="shared" ca="1" si="182"/>
        <v>-6220695689678.8252</v>
      </c>
      <c r="M4198" s="471">
        <f t="shared" si="184"/>
        <v>0.05</v>
      </c>
      <c r="N4198" s="475">
        <f t="shared" si="185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83"/>
        <v>-6220695689678.8252</v>
      </c>
      <c r="J4199" s="455">
        <f t="array" ref="J4199">IFERROR(INDEX('Retirement Calculator'!J:J,MATCH('Isaac 401k'!N4199,'Retirement Calculator'!A:A,0),0),0)</f>
        <v>0</v>
      </c>
      <c r="K4199" s="455">
        <f t="shared" ca="1" si="181"/>
        <v>-25919565373.66177</v>
      </c>
      <c r="L4199" s="455">
        <f t="shared" ca="1" si="182"/>
        <v>-6246615255052.4873</v>
      </c>
      <c r="M4199" s="471">
        <f t="shared" si="184"/>
        <v>0.05</v>
      </c>
      <c r="N4199" s="475">
        <f t="shared" si="185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83"/>
        <v>-6246615255052.4873</v>
      </c>
      <c r="J4200" s="455">
        <f t="array" ref="J4200">IFERROR(INDEX('Retirement Calculator'!J:J,MATCH('Isaac 401k'!N4200,'Retirement Calculator'!A:A,0),0),0)</f>
        <v>0</v>
      </c>
      <c r="K4200" s="455">
        <f t="shared" ca="1" si="181"/>
        <v>-26027563562.718697</v>
      </c>
      <c r="L4200" s="455">
        <f t="shared" ca="1" si="182"/>
        <v>-6272642818615.2061</v>
      </c>
      <c r="M4200" s="471">
        <f t="shared" si="184"/>
        <v>0.05</v>
      </c>
      <c r="N4200" s="475">
        <f t="shared" si="185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83"/>
        <v>-6272642818615.2061</v>
      </c>
      <c r="J4201" s="455">
        <f t="array" ref="J4201">IFERROR(INDEX('Retirement Calculator'!J:J,MATCH('Isaac 401k'!N4201,'Retirement Calculator'!A:A,0),0),0)</f>
        <v>0</v>
      </c>
      <c r="K4201" s="455">
        <f t="shared" ca="1" si="181"/>
        <v>-26136011744.230026</v>
      </c>
      <c r="L4201" s="455">
        <f t="shared" ca="1" si="182"/>
        <v>-6298778830359.4365</v>
      </c>
      <c r="M4201" s="471">
        <f t="shared" si="184"/>
        <v>0.05</v>
      </c>
      <c r="N4201" s="475">
        <f t="shared" si="185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83"/>
        <v>-6298778830359.4365</v>
      </c>
      <c r="J4202" s="455">
        <f t="array" ref="J4202">IFERROR(INDEX('Retirement Calculator'!J:J,MATCH('Isaac 401k'!N4202,'Retirement Calculator'!A:A,0),0),0)</f>
        <v>0</v>
      </c>
      <c r="K4202" s="455">
        <f t="shared" ca="1" si="181"/>
        <v>-26244911793.164318</v>
      </c>
      <c r="L4202" s="455">
        <f t="shared" ca="1" si="182"/>
        <v>-6325023742152.6006</v>
      </c>
      <c r="M4202" s="471">
        <f t="shared" si="184"/>
        <v>0.05</v>
      </c>
      <c r="N4202" s="475">
        <f t="shared" si="185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83"/>
        <v>-6325023742152.6006</v>
      </c>
      <c r="J4203" s="455">
        <f t="array" ref="J4203">IFERROR(INDEX('Retirement Calculator'!J:J,MATCH('Isaac 401k'!N4203,'Retirement Calculator'!A:A,0),0),0)</f>
        <v>0</v>
      </c>
      <c r="K4203" s="455">
        <f t="shared" ca="1" si="181"/>
        <v>-26354265592.302502</v>
      </c>
      <c r="L4203" s="455">
        <f t="shared" ca="1" si="182"/>
        <v>-6351378007744.9033</v>
      </c>
      <c r="M4203" s="471">
        <f t="shared" si="184"/>
        <v>0.05</v>
      </c>
      <c r="N4203" s="475">
        <f t="shared" si="185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83"/>
        <v>-6351378007744.9033</v>
      </c>
      <c r="J4204" s="455">
        <f t="array" ref="J4204">IFERROR(INDEX('Retirement Calculator'!J:J,MATCH('Isaac 401k'!N4204,'Retirement Calculator'!A:A,0),0),0)</f>
        <v>0</v>
      </c>
      <c r="K4204" s="455">
        <f t="shared" ca="1" si="181"/>
        <v>-26464075032.270432</v>
      </c>
      <c r="L4204" s="455">
        <f t="shared" ca="1" si="182"/>
        <v>-6377842082777.1738</v>
      </c>
      <c r="M4204" s="471">
        <f t="shared" si="184"/>
        <v>0.05</v>
      </c>
      <c r="N4204" s="475">
        <f t="shared" si="185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83"/>
        <v>-6377842082777.1738</v>
      </c>
      <c r="J4205" s="455">
        <f t="array" ref="J4205">IFERROR(INDEX('Retirement Calculator'!J:J,MATCH('Isaac 401k'!N4205,'Retirement Calculator'!A:A,0),0),0)</f>
        <v>0</v>
      </c>
      <c r="K4205" s="455">
        <f t="shared" ca="1" si="181"/>
        <v>-26574342011.571556</v>
      </c>
      <c r="L4205" s="455">
        <f t="shared" ca="1" si="182"/>
        <v>-6404416424788.7451</v>
      </c>
      <c r="M4205" s="471">
        <f t="shared" si="184"/>
        <v>0.05</v>
      </c>
      <c r="N4205" s="475">
        <f t="shared" si="185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83"/>
        <v>-6404416424788.7451</v>
      </c>
      <c r="J4206" s="455">
        <f t="array" ref="J4206">IFERROR(INDEX('Retirement Calculator'!J:J,MATCH('Isaac 401k'!N4206,'Retirement Calculator'!A:A,0),0),0)</f>
        <v>0</v>
      </c>
      <c r="K4206" s="455">
        <f t="shared" ca="1" si="181"/>
        <v>-26685068436.61977</v>
      </c>
      <c r="L4206" s="455">
        <f t="shared" ca="1" si="182"/>
        <v>-6431101493225.3652</v>
      </c>
      <c r="M4206" s="471">
        <f t="shared" si="184"/>
        <v>0.05</v>
      </c>
      <c r="N4206" s="475">
        <f t="shared" si="185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83"/>
        <v>-6431101493225.3652</v>
      </c>
      <c r="J4207" s="455">
        <f t="array" ref="J4207">IFERROR(INDEX('Retirement Calculator'!J:J,MATCH('Isaac 401k'!N4207,'Retirement Calculator'!A:A,0),0),0)</f>
        <v>0</v>
      </c>
      <c r="K4207" s="455">
        <f t="shared" ca="1" si="181"/>
        <v>-26796256221.772354</v>
      </c>
      <c r="L4207" s="455">
        <f t="shared" ca="1" si="182"/>
        <v>-6457897749447.1377</v>
      </c>
      <c r="M4207" s="471">
        <f t="shared" si="184"/>
        <v>0.05</v>
      </c>
      <c r="N4207" s="475">
        <f t="shared" si="185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83"/>
        <v>-6457897749447.1377</v>
      </c>
      <c r="J4208" s="455">
        <f t="array" ref="J4208">IFERROR(INDEX('Retirement Calculator'!J:J,MATCH('Isaac 401k'!N4208,'Retirement Calculator'!A:A,0),0),0)</f>
        <v>0</v>
      </c>
      <c r="K4208" s="455">
        <f t="shared" ca="1" si="181"/>
        <v>-26907907289.363075</v>
      </c>
      <c r="L4208" s="455">
        <f t="shared" ca="1" si="182"/>
        <v>-6484805656736.501</v>
      </c>
      <c r="M4208" s="471">
        <f t="shared" si="184"/>
        <v>0.05</v>
      </c>
      <c r="N4208" s="475">
        <f t="shared" si="185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83"/>
        <v>-6484805656736.501</v>
      </c>
      <c r="J4209" s="455">
        <f t="array" ref="J4209">IFERROR(INDEX('Retirement Calculator'!J:J,MATCH('Isaac 401k'!N4209,'Retirement Calculator'!A:A,0),0),0)</f>
        <v>0</v>
      </c>
      <c r="K4209" s="455">
        <f t="shared" ca="1" si="181"/>
        <v>-27020023569.73542</v>
      </c>
      <c r="L4209" s="455">
        <f t="shared" ca="1" si="182"/>
        <v>-6511825680306.2363</v>
      </c>
      <c r="M4209" s="471">
        <f t="shared" si="184"/>
        <v>0.05</v>
      </c>
      <c r="N4209" s="475">
        <f t="shared" si="185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83"/>
        <v>-6511825680306.2363</v>
      </c>
      <c r="J4210" s="455">
        <f t="array" ref="J4210">IFERROR(INDEX('Retirement Calculator'!J:J,MATCH('Isaac 401k'!N4210,'Retirement Calculator'!A:A,0),0),0)</f>
        <v>0</v>
      </c>
      <c r="K4210" s="455">
        <f t="shared" ca="1" si="181"/>
        <v>-27132607001.275986</v>
      </c>
      <c r="L4210" s="455">
        <f t="shared" ca="1" si="182"/>
        <v>-6538958287307.5127</v>
      </c>
      <c r="M4210" s="471">
        <f t="shared" si="184"/>
        <v>0.05</v>
      </c>
      <c r="N4210" s="475">
        <f t="shared" si="185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83"/>
        <v>-6538958287307.5127</v>
      </c>
      <c r="J4211" s="455">
        <f t="array" ref="J4211">IFERROR(INDEX('Retirement Calculator'!J:J,MATCH('Isaac 401k'!N4211,'Retirement Calculator'!A:A,0),0),0)</f>
        <v>0</v>
      </c>
      <c r="K4211" s="455">
        <f t="shared" ca="1" si="181"/>
        <v>-27245659530.447968</v>
      </c>
      <c r="L4211" s="455">
        <f t="shared" ca="1" si="182"/>
        <v>-6566203946837.9609</v>
      </c>
      <c r="M4211" s="471">
        <f t="shared" si="184"/>
        <v>0.05</v>
      </c>
      <c r="N4211" s="475">
        <f t="shared" si="185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83"/>
        <v>-6566203946837.9609</v>
      </c>
      <c r="J4212" s="455">
        <f t="array" ref="J4212">IFERROR(INDEX('Retirement Calculator'!J:J,MATCH('Isaac 401k'!N4212,'Retirement Calculator'!A:A,0),0),0)</f>
        <v>0</v>
      </c>
      <c r="K4212" s="455">
        <f t="shared" ca="1" si="181"/>
        <v>-27359183111.824837</v>
      </c>
      <c r="L4212" s="455">
        <f t="shared" ca="1" si="182"/>
        <v>-6593563129949.7861</v>
      </c>
      <c r="M4212" s="471">
        <f t="shared" si="184"/>
        <v>0.05</v>
      </c>
      <c r="N4212" s="475">
        <f t="shared" si="185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83"/>
        <v>-6593563129949.7861</v>
      </c>
      <c r="J4213" s="455">
        <f t="array" ref="J4213">IFERROR(INDEX('Retirement Calculator'!J:J,MATCH('Isaac 401k'!N4213,'Retirement Calculator'!A:A,0),0),0)</f>
        <v>0</v>
      </c>
      <c r="K4213" s="455">
        <f t="shared" ca="1" si="181"/>
        <v>-27473179708.124107</v>
      </c>
      <c r="L4213" s="455">
        <f t="shared" ca="1" si="182"/>
        <v>-6621036309657.9102</v>
      </c>
      <c r="M4213" s="471">
        <f t="shared" si="184"/>
        <v>0.05</v>
      </c>
      <c r="N4213" s="475">
        <f t="shared" si="185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83"/>
        <v>-6621036309657.9102</v>
      </c>
      <c r="J4214" s="455">
        <f t="array" ref="J4214">IFERROR(INDEX('Retirement Calculator'!J:J,MATCH('Isaac 401k'!N4214,'Retirement Calculator'!A:A,0),0),0)</f>
        <v>0</v>
      </c>
      <c r="K4214" s="455">
        <f t="shared" ca="1" si="181"/>
        <v>-27587651290.241291</v>
      </c>
      <c r="L4214" s="455">
        <f t="shared" ca="1" si="182"/>
        <v>-6648623960948.1514</v>
      </c>
      <c r="M4214" s="471">
        <f t="shared" si="184"/>
        <v>0.05</v>
      </c>
      <c r="N4214" s="475">
        <f t="shared" si="185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83"/>
        <v>-6648623960948.1514</v>
      </c>
      <c r="J4215" s="455">
        <f t="array" ref="J4215">IFERROR(INDEX('Retirement Calculator'!J:J,MATCH('Isaac 401k'!N4215,'Retirement Calculator'!A:A,0),0),0)</f>
        <v>0</v>
      </c>
      <c r="K4215" s="455">
        <f t="shared" ca="1" si="181"/>
        <v>-27702599837.283962</v>
      </c>
      <c r="L4215" s="455">
        <f t="shared" ca="1" si="182"/>
        <v>-6676326560785.4355</v>
      </c>
      <c r="M4215" s="471">
        <f t="shared" si="184"/>
        <v>0.05</v>
      </c>
      <c r="N4215" s="475">
        <f t="shared" si="185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83"/>
        <v>-6676326560785.4355</v>
      </c>
      <c r="J4216" s="455">
        <f t="array" ref="J4216">IFERROR(INDEX('Retirement Calculator'!J:J,MATCH('Isaac 401k'!N4216,'Retirement Calculator'!A:A,0),0),0)</f>
        <v>0</v>
      </c>
      <c r="K4216" s="455">
        <f t="shared" ca="1" si="181"/>
        <v>-27818027336.60598</v>
      </c>
      <c r="L4216" s="455">
        <f t="shared" ca="1" si="182"/>
        <v>-6704144588122.042</v>
      </c>
      <c r="M4216" s="471">
        <f t="shared" si="184"/>
        <v>0.05</v>
      </c>
      <c r="N4216" s="475">
        <f t="shared" si="185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83"/>
        <v>-6704144588122.042</v>
      </c>
      <c r="J4217" s="455">
        <f t="array" ref="J4217">IFERROR(INDEX('Retirement Calculator'!J:J,MATCH('Isaac 401k'!N4217,'Retirement Calculator'!A:A,0),0),0)</f>
        <v>0</v>
      </c>
      <c r="K4217" s="455">
        <f t="shared" ca="1" si="181"/>
        <v>-27933935783.841843</v>
      </c>
      <c r="L4217" s="455">
        <f t="shared" ca="1" si="182"/>
        <v>-6732078523905.8838</v>
      </c>
      <c r="M4217" s="471">
        <f t="shared" si="184"/>
        <v>0.05</v>
      </c>
      <c r="N4217" s="475">
        <f t="shared" si="185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83"/>
        <v>-6732078523905.8838</v>
      </c>
      <c r="J4218" s="455">
        <f t="array" ref="J4218">IFERROR(INDEX('Retirement Calculator'!J:J,MATCH('Isaac 401k'!N4218,'Retirement Calculator'!A:A,0),0),0)</f>
        <v>0</v>
      </c>
      <c r="K4218" s="455">
        <f t="shared" ca="1" si="181"/>
        <v>-28050327182.941181</v>
      </c>
      <c r="L4218" s="455">
        <f t="shared" ca="1" si="182"/>
        <v>-6760128851088.8252</v>
      </c>
      <c r="M4218" s="471">
        <f t="shared" si="184"/>
        <v>0.05</v>
      </c>
      <c r="N4218" s="475">
        <f t="shared" si="185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83"/>
        <v>-6760128851088.8252</v>
      </c>
      <c r="J4219" s="455">
        <f t="array" ref="J4219">IFERROR(INDEX('Retirement Calculator'!J:J,MATCH('Isaac 401k'!N4219,'Retirement Calculator'!A:A,0),0),0)</f>
        <v>0</v>
      </c>
      <c r="K4219" s="455">
        <f t="shared" ca="1" si="181"/>
        <v>-28167203546.203438</v>
      </c>
      <c r="L4219" s="455">
        <f t="shared" ca="1" si="182"/>
        <v>-6788296054635.0283</v>
      </c>
      <c r="M4219" s="471">
        <f t="shared" si="184"/>
        <v>0.05</v>
      </c>
      <c r="N4219" s="475">
        <f t="shared" si="185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83"/>
        <v>-6788296054635.0283</v>
      </c>
      <c r="J4220" s="455">
        <f t="array" ref="J4220">IFERROR(INDEX('Retirement Calculator'!J:J,MATCH('Isaac 401k'!N4220,'Retirement Calculator'!A:A,0),0),0)</f>
        <v>0</v>
      </c>
      <c r="K4220" s="455">
        <f t="shared" ca="1" si="181"/>
        <v>-28284566894.312618</v>
      </c>
      <c r="L4220" s="455">
        <f t="shared" ca="1" si="182"/>
        <v>-6816580621529.3408</v>
      </c>
      <c r="M4220" s="471">
        <f t="shared" si="184"/>
        <v>0.05</v>
      </c>
      <c r="N4220" s="475">
        <f t="shared" si="185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83"/>
        <v>-6816580621529.3408</v>
      </c>
      <c r="J4221" s="455">
        <f t="array" ref="J4221">IFERROR(INDEX('Retirement Calculator'!J:J,MATCH('Isaac 401k'!N4221,'Retirement Calculator'!A:A,0),0),0)</f>
        <v>0</v>
      </c>
      <c r="K4221" s="455">
        <f t="shared" ca="1" si="181"/>
        <v>-28402419256.372253</v>
      </c>
      <c r="L4221" s="455">
        <f t="shared" ca="1" si="182"/>
        <v>-6844983040785.7129</v>
      </c>
      <c r="M4221" s="471">
        <f t="shared" si="184"/>
        <v>0.05</v>
      </c>
      <c r="N4221" s="475">
        <f t="shared" si="185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83"/>
        <v>-6844983040785.7129</v>
      </c>
      <c r="J4222" s="455">
        <f t="array" ref="J4222">IFERROR(INDEX('Retirement Calculator'!J:J,MATCH('Isaac 401k'!N4222,'Retirement Calculator'!A:A,0),0),0)</f>
        <v>0</v>
      </c>
      <c r="K4222" s="455">
        <f t="shared" ca="1" si="181"/>
        <v>-28520762669.940472</v>
      </c>
      <c r="L4222" s="455">
        <f t="shared" ca="1" si="182"/>
        <v>-6873503803455.6533</v>
      </c>
      <c r="M4222" s="471">
        <f t="shared" si="184"/>
        <v>0.05</v>
      </c>
      <c r="N4222" s="475">
        <f t="shared" si="185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83"/>
        <v>-6873503803455.6533</v>
      </c>
      <c r="J4223" s="455">
        <f t="array" ref="J4223">IFERROR(INDEX('Retirement Calculator'!J:J,MATCH('Isaac 401k'!N4223,'Retirement Calculator'!A:A,0),0),0)</f>
        <v>0</v>
      </c>
      <c r="K4223" s="455">
        <f t="shared" ca="1" si="181"/>
        <v>-28639599181.065228</v>
      </c>
      <c r="L4223" s="455">
        <f t="shared" ca="1" si="182"/>
        <v>-6902143402636.7188</v>
      </c>
      <c r="M4223" s="471">
        <f t="shared" si="184"/>
        <v>0.05</v>
      </c>
      <c r="N4223" s="475">
        <f t="shared" si="185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83"/>
        <v>-6902143402636.7188</v>
      </c>
      <c r="J4224" s="455">
        <f t="array" ref="J4224">IFERROR(INDEX('Retirement Calculator'!J:J,MATCH('Isaac 401k'!N4224,'Retirement Calculator'!A:A,0),0),0)</f>
        <v>0</v>
      </c>
      <c r="K4224" s="455">
        <f t="shared" ca="1" si="181"/>
        <v>-28758930844.31966</v>
      </c>
      <c r="L4224" s="455">
        <f t="shared" ca="1" si="182"/>
        <v>-6930902333481.0381</v>
      </c>
      <c r="M4224" s="471">
        <f t="shared" si="184"/>
        <v>0.05</v>
      </c>
      <c r="N4224" s="475">
        <f t="shared" si="185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83"/>
        <v>-6930902333481.0381</v>
      </c>
      <c r="J4225" s="455">
        <f t="array" ref="J4225">IFERROR(INDEX('Retirement Calculator'!J:J,MATCH('Isaac 401k'!N4225,'Retirement Calculator'!A:A,0),0),0)</f>
        <v>0</v>
      </c>
      <c r="K4225" s="455">
        <f t="shared" ca="1" si="181"/>
        <v>-28878759722.837658</v>
      </c>
      <c r="L4225" s="455">
        <f t="shared" ca="1" si="182"/>
        <v>-6959781093203.876</v>
      </c>
      <c r="M4225" s="471">
        <f t="shared" si="184"/>
        <v>0.05</v>
      </c>
      <c r="N4225" s="475">
        <f t="shared" si="185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83"/>
        <v>-6959781093203.876</v>
      </c>
      <c r="J4226" s="455">
        <f t="array" ref="J4226">IFERROR(INDEX('Retirement Calculator'!J:J,MATCH('Isaac 401k'!N4226,'Retirement Calculator'!A:A,0),0),0)</f>
        <v>0</v>
      </c>
      <c r="K4226" s="455">
        <f t="shared" ca="1" si="181"/>
        <v>-28999087888.34948</v>
      </c>
      <c r="L4226" s="455">
        <f t="shared" ca="1" si="182"/>
        <v>-6988780181092.2256</v>
      </c>
      <c r="M4226" s="471">
        <f t="shared" si="184"/>
        <v>0.05</v>
      </c>
      <c r="N4226" s="475">
        <f t="shared" si="185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83"/>
        <v>-6988780181092.2256</v>
      </c>
      <c r="J4227" s="455">
        <f t="array" ref="J4227">IFERROR(INDEX('Retirement Calculator'!J:J,MATCH('Isaac 401k'!N4227,'Retirement Calculator'!A:A,0),0),0)</f>
        <v>0</v>
      </c>
      <c r="K4227" s="455">
        <f t="shared" ca="1" si="181"/>
        <v>-29119917421.217606</v>
      </c>
      <c r="L4227" s="455">
        <f t="shared" ca="1" si="182"/>
        <v>-7017900098513.4434</v>
      </c>
      <c r="M4227" s="471">
        <f t="shared" si="184"/>
        <v>0.05</v>
      </c>
      <c r="N4227" s="475">
        <f t="shared" si="185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83"/>
        <v>-7017900098513.4434</v>
      </c>
      <c r="J4228" s="455">
        <f t="array" ref="J4228">IFERROR(INDEX('Retirement Calculator'!J:J,MATCH('Isaac 401k'!N4228,'Retirement Calculator'!A:A,0),0),0)</f>
        <v>0</v>
      </c>
      <c r="K4228" s="455">
        <f t="shared" ca="1" si="181"/>
        <v>-29241250410.472675</v>
      </c>
      <c r="L4228" s="455">
        <f t="shared" ca="1" si="182"/>
        <v>-7047141348923.916</v>
      </c>
      <c r="M4228" s="471">
        <f t="shared" si="184"/>
        <v>0.05</v>
      </c>
      <c r="N4228" s="475">
        <f t="shared" si="185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83"/>
        <v>-7047141348923.916</v>
      </c>
      <c r="J4229" s="455">
        <f t="array" ref="J4229">IFERROR(INDEX('Retirement Calculator'!J:J,MATCH('Isaac 401k'!N4229,'Retirement Calculator'!A:A,0),0),0)</f>
        <v>0</v>
      </c>
      <c r="K4229" s="455">
        <f t="shared" ca="1" si="181"/>
        <v>-29363088953.849651</v>
      </c>
      <c r="L4229" s="455">
        <f t="shared" ca="1" si="182"/>
        <v>-7076504437877.7656</v>
      </c>
      <c r="M4229" s="471">
        <f t="shared" si="184"/>
        <v>0.05</v>
      </c>
      <c r="N4229" s="475">
        <f t="shared" si="185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83"/>
        <v>-7076504437877.7656</v>
      </c>
      <c r="J4230" s="455">
        <f t="array" ref="J4230">IFERROR(INDEX('Retirement Calculator'!J:J,MATCH('Isaac 401k'!N4230,'Retirement Calculator'!A:A,0),0),0)</f>
        <v>0</v>
      </c>
      <c r="K4230" s="455">
        <f t="shared" ca="1" si="181"/>
        <v>-29485435157.824024</v>
      </c>
      <c r="L4230" s="455">
        <f t="shared" ca="1" si="182"/>
        <v>-7105989873035.5898</v>
      </c>
      <c r="M4230" s="471">
        <f t="shared" si="184"/>
        <v>0.05</v>
      </c>
      <c r="N4230" s="475">
        <f t="shared" si="185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83"/>
        <v>-7105989873035.5898</v>
      </c>
      <c r="J4231" s="455">
        <f t="array" ref="J4231">IFERROR(INDEX('Retirement Calculator'!J:J,MATCH('Isaac 401k'!N4231,'Retirement Calculator'!A:A,0),0),0)</f>
        <v>0</v>
      </c>
      <c r="K4231" s="455">
        <f t="shared" ca="1" si="181"/>
        <v>-29608291137.648296</v>
      </c>
      <c r="L4231" s="455">
        <f t="shared" ca="1" si="182"/>
        <v>-7135598164173.2383</v>
      </c>
      <c r="M4231" s="471">
        <f t="shared" si="184"/>
        <v>0.05</v>
      </c>
      <c r="N4231" s="475">
        <f t="shared" si="185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83"/>
        <v>-7135598164173.2383</v>
      </c>
      <c r="J4232" s="455">
        <f t="array" ref="J4232">IFERROR(INDEX('Retirement Calculator'!J:J,MATCH('Isaac 401k'!N4232,'Retirement Calculator'!A:A,0),0),0)</f>
        <v>0</v>
      </c>
      <c r="K4232" s="455">
        <f t="shared" ca="1" si="181"/>
        <v>-29731659017.388493</v>
      </c>
      <c r="L4232" s="455">
        <f t="shared" ca="1" si="182"/>
        <v>-7165329823190.627</v>
      </c>
      <c r="M4232" s="471">
        <f t="shared" si="184"/>
        <v>0.05</v>
      </c>
      <c r="N4232" s="475">
        <f t="shared" si="185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83"/>
        <v>-7165329823190.627</v>
      </c>
      <c r="J4233" s="455">
        <f t="array" ref="J4233">IFERROR(INDEX('Retirement Calculator'!J:J,MATCH('Isaac 401k'!N4233,'Retirement Calculator'!A:A,0),0),0)</f>
        <v>0</v>
      </c>
      <c r="K4233" s="455">
        <f t="shared" ca="1" si="181"/>
        <v>-29855540929.960945</v>
      </c>
      <c r="L4233" s="455">
        <f t="shared" ca="1" si="182"/>
        <v>-7195185364120.5879</v>
      </c>
      <c r="M4233" s="471">
        <f t="shared" si="184"/>
        <v>0.05</v>
      </c>
      <c r="N4233" s="475">
        <f t="shared" si="185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83"/>
        <v>-7195185364120.5879</v>
      </c>
      <c r="J4234" s="455">
        <f t="array" ref="J4234">IFERROR(INDEX('Retirement Calculator'!J:J,MATCH('Isaac 401k'!N4234,'Retirement Calculator'!A:A,0),0),0)</f>
        <v>0</v>
      </c>
      <c r="K4234" s="455">
        <f t="shared" ca="1" si="181"/>
        <v>-29979939017.169117</v>
      </c>
      <c r="L4234" s="455">
        <f t="shared" ca="1" si="182"/>
        <v>-7225165303137.7568</v>
      </c>
      <c r="M4234" s="471">
        <f t="shared" si="184"/>
        <v>0.05</v>
      </c>
      <c r="N4234" s="475">
        <f t="shared" si="185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83"/>
        <v>-7225165303137.7568</v>
      </c>
      <c r="J4235" s="455">
        <f t="array" ref="J4235">IFERROR(INDEX('Retirement Calculator'!J:J,MATCH('Isaac 401k'!N4235,'Retirement Calculator'!A:A,0),0),0)</f>
        <v>0</v>
      </c>
      <c r="K4235" s="455">
        <f t="shared" ca="1" si="181"/>
        <v>-30104855429.740654</v>
      </c>
      <c r="L4235" s="455">
        <f t="shared" ca="1" si="182"/>
        <v>-7255270158567.4971</v>
      </c>
      <c r="M4235" s="471">
        <f t="shared" si="184"/>
        <v>0.05</v>
      </c>
      <c r="N4235" s="475">
        <f t="shared" si="185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83"/>
        <v>-7255270158567.4971</v>
      </c>
      <c r="J4236" s="455">
        <f t="array" ref="J4236">IFERROR(INDEX('Retirement Calculator'!J:J,MATCH('Isaac 401k'!N4236,'Retirement Calculator'!A:A,0),0),0)</f>
        <v>0</v>
      </c>
      <c r="K4236" s="455">
        <f t="shared" ca="1" si="181"/>
        <v>-30230292327.364571</v>
      </c>
      <c r="L4236" s="455">
        <f t="shared" ca="1" si="182"/>
        <v>-7285500450894.8613</v>
      </c>
      <c r="M4236" s="471">
        <f t="shared" si="184"/>
        <v>0.05</v>
      </c>
      <c r="N4236" s="475">
        <f t="shared" si="185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83"/>
        <v>-7285500450894.8613</v>
      </c>
      <c r="J4237" s="455">
        <f t="array" ref="J4237">IFERROR(INDEX('Retirement Calculator'!J:J,MATCH('Isaac 401k'!N4237,'Retirement Calculator'!A:A,0),0),0)</f>
        <v>0</v>
      </c>
      <c r="K4237" s="455">
        <f t="shared" ca="1" si="181"/>
        <v>-30356251878.728588</v>
      </c>
      <c r="L4237" s="455">
        <f t="shared" ca="1" si="182"/>
        <v>-7315856702773.5898</v>
      </c>
      <c r="M4237" s="471">
        <f t="shared" si="184"/>
        <v>0.05</v>
      </c>
      <c r="N4237" s="475">
        <f t="shared" si="185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83"/>
        <v>-7315856702773.5898</v>
      </c>
      <c r="J4238" s="455">
        <f t="array" ref="J4238">IFERROR(INDEX('Retirement Calculator'!J:J,MATCH('Isaac 401k'!N4238,'Retirement Calculator'!A:A,0),0),0)</f>
        <v>0</v>
      </c>
      <c r="K4238" s="455">
        <f t="shared" ca="1" si="181"/>
        <v>-30482736261.556625</v>
      </c>
      <c r="L4238" s="455">
        <f t="shared" ca="1" si="182"/>
        <v>-7346339439035.1465</v>
      </c>
      <c r="M4238" s="471">
        <f t="shared" si="184"/>
        <v>0.05</v>
      </c>
      <c r="N4238" s="475">
        <f t="shared" si="185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83"/>
        <v>-7346339439035.1465</v>
      </c>
      <c r="J4239" s="455">
        <f t="array" ref="J4239">IFERROR(INDEX('Retirement Calculator'!J:J,MATCH('Isaac 401k'!N4239,'Retirement Calculator'!A:A,0),0),0)</f>
        <v>0</v>
      </c>
      <c r="K4239" s="455">
        <f t="shared" ca="1" si="181"/>
        <v>-30609747662.646442</v>
      </c>
      <c r="L4239" s="455">
        <f t="shared" ca="1" si="182"/>
        <v>-7376949186697.793</v>
      </c>
      <c r="M4239" s="471">
        <f t="shared" si="184"/>
        <v>0.05</v>
      </c>
      <c r="N4239" s="475">
        <f t="shared" si="185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83"/>
        <v>-7376949186697.793</v>
      </c>
      <c r="J4240" s="455">
        <f t="array" ref="J4240">IFERROR(INDEX('Retirement Calculator'!J:J,MATCH('Isaac 401k'!N4240,'Retirement Calculator'!A:A,0),0),0)</f>
        <v>0</v>
      </c>
      <c r="K4240" s="455">
        <f t="shared" ca="1" si="181"/>
        <v>-30737288277.907475</v>
      </c>
      <c r="L4240" s="455">
        <f t="shared" ca="1" si="182"/>
        <v>-7407686474975.7002</v>
      </c>
      <c r="M4240" s="471">
        <f t="shared" si="184"/>
        <v>0.05</v>
      </c>
      <c r="N4240" s="475">
        <f t="shared" si="185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83"/>
        <v>-7407686474975.7002</v>
      </c>
      <c r="J4241" s="455">
        <f t="array" ref="J4241">IFERROR(INDEX('Retirement Calculator'!J:J,MATCH('Isaac 401k'!N4241,'Retirement Calculator'!A:A,0),0),0)</f>
        <v>0</v>
      </c>
      <c r="K4241" s="455">
        <f t="shared" ca="1" si="181"/>
        <v>-30865360312.39875</v>
      </c>
      <c r="L4241" s="455">
        <f t="shared" ca="1" si="182"/>
        <v>-7438551835288.0986</v>
      </c>
      <c r="M4241" s="471">
        <f t="shared" si="184"/>
        <v>0.05</v>
      </c>
      <c r="N4241" s="475">
        <f t="shared" si="185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83"/>
        <v>-7438551835288.0986</v>
      </c>
      <c r="J4242" s="455">
        <f t="array" ref="J4242">IFERROR(INDEX('Retirement Calculator'!J:J,MATCH('Isaac 401k'!N4242,'Retirement Calculator'!A:A,0),0),0)</f>
        <v>0</v>
      </c>
      <c r="K4242" s="455">
        <f t="shared" ca="1" si="181"/>
        <v>-30993965980.367077</v>
      </c>
      <c r="L4242" s="455">
        <f t="shared" ca="1" si="182"/>
        <v>-7469545801268.4658</v>
      </c>
      <c r="M4242" s="471">
        <f t="shared" si="184"/>
        <v>0.05</v>
      </c>
      <c r="N4242" s="475">
        <f t="shared" si="185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83"/>
        <v>-7469545801268.4658</v>
      </c>
      <c r="J4243" s="455">
        <f t="array" ref="J4243">IFERROR(INDEX('Retirement Calculator'!J:J,MATCH('Isaac 401k'!N4243,'Retirement Calculator'!A:A,0),0),0)</f>
        <v>0</v>
      </c>
      <c r="K4243" s="455">
        <f t="shared" ca="1" si="181"/>
        <v>-31123107505.285275</v>
      </c>
      <c r="L4243" s="455">
        <f t="shared" ca="1" si="182"/>
        <v>-7500668908773.751</v>
      </c>
      <c r="M4243" s="471">
        <f t="shared" si="184"/>
        <v>0.05</v>
      </c>
      <c r="N4243" s="475">
        <f t="shared" si="185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83"/>
        <v>-7500668908773.751</v>
      </c>
      <c r="J4244" s="455">
        <f t="array" ref="J4244">IFERROR(INDEX('Retirement Calculator'!J:J,MATCH('Isaac 401k'!N4244,'Retirement Calculator'!A:A,0),0),0)</f>
        <v>0</v>
      </c>
      <c r="K4244" s="455">
        <f t="shared" ca="1" si="181"/>
        <v>-31252787119.890625</v>
      </c>
      <c r="L4244" s="455">
        <f t="shared" ca="1" si="182"/>
        <v>-7531921695893.6416</v>
      </c>
      <c r="M4244" s="471">
        <f t="shared" si="184"/>
        <v>0.05</v>
      </c>
      <c r="N4244" s="475">
        <f t="shared" si="185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83"/>
        <v>-7531921695893.6416</v>
      </c>
      <c r="J4245" s="455">
        <f t="array" ref="J4245">IFERROR(INDEX('Retirement Calculator'!J:J,MATCH('Isaac 401k'!N4245,'Retirement Calculator'!A:A,0),0),0)</f>
        <v>0</v>
      </c>
      <c r="K4245" s="455">
        <f t="shared" ca="1" si="181"/>
        <v>-31383007066.223507</v>
      </c>
      <c r="L4245" s="455">
        <f t="shared" ca="1" si="182"/>
        <v>-7563304702959.8652</v>
      </c>
      <c r="M4245" s="471">
        <f t="shared" si="184"/>
        <v>0.05</v>
      </c>
      <c r="N4245" s="475">
        <f t="shared" si="185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83"/>
        <v>-7563304702959.8652</v>
      </c>
      <c r="J4246" s="455">
        <f t="array" ref="J4246">IFERROR(INDEX('Retirement Calculator'!J:J,MATCH('Isaac 401k'!N4246,'Retirement Calculator'!A:A,0),0),0)</f>
        <v>0</v>
      </c>
      <c r="K4246" s="455">
        <f t="shared" ca="1" si="181"/>
        <v>-31513769595.666103</v>
      </c>
      <c r="L4246" s="455">
        <f t="shared" ca="1" si="182"/>
        <v>-7594818472555.5313</v>
      </c>
      <c r="M4246" s="471">
        <f t="shared" si="184"/>
        <v>0.05</v>
      </c>
      <c r="N4246" s="475">
        <f t="shared" si="185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83"/>
        <v>-7594818472555.5313</v>
      </c>
      <c r="J4247" s="455">
        <f t="array" ref="J4247">IFERROR(INDEX('Retirement Calculator'!J:J,MATCH('Isaac 401k'!N4247,'Retirement Calculator'!A:A,0),0),0)</f>
        <v>0</v>
      </c>
      <c r="K4247" s="455">
        <f t="shared" ca="1" si="181"/>
        <v>-31645076968.981377</v>
      </c>
      <c r="L4247" s="455">
        <f t="shared" ca="1" si="182"/>
        <v>-7626463549524.5127</v>
      </c>
      <c r="M4247" s="471">
        <f t="shared" si="184"/>
        <v>0.05</v>
      </c>
      <c r="N4247" s="475">
        <f t="shared" si="185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83"/>
        <v>-7626463549524.5127</v>
      </c>
      <c r="J4248" s="455">
        <f t="array" ref="J4248">IFERROR(INDEX('Retirement Calculator'!J:J,MATCH('Isaac 401k'!N4248,'Retirement Calculator'!A:A,0),0),0)</f>
        <v>0</v>
      </c>
      <c r="K4248" s="455">
        <f t="shared" ca="1" si="181"/>
        <v>-31776931456.352135</v>
      </c>
      <c r="L4248" s="455">
        <f t="shared" ca="1" si="182"/>
        <v>-7658240480980.8652</v>
      </c>
      <c r="M4248" s="471">
        <f t="shared" si="184"/>
        <v>0.05</v>
      </c>
      <c r="N4248" s="475">
        <f t="shared" si="185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83"/>
        <v>-7658240480980.8652</v>
      </c>
      <c r="J4249" s="455">
        <f t="array" ref="J4249">IFERROR(INDEX('Retirement Calculator'!J:J,MATCH('Isaac 401k'!N4249,'Retirement Calculator'!A:A,0),0),0)</f>
        <v>0</v>
      </c>
      <c r="K4249" s="455">
        <f t="shared" ca="1" si="181"/>
        <v>-31909335337.420277</v>
      </c>
      <c r="L4249" s="455">
        <f t="shared" ca="1" si="182"/>
        <v>-7690149816318.2852</v>
      </c>
      <c r="M4249" s="471">
        <f t="shared" si="184"/>
        <v>0.05</v>
      </c>
      <c r="N4249" s="475">
        <f t="shared" si="185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83"/>
        <v>-7690149816318.2852</v>
      </c>
      <c r="J4250" s="455">
        <f t="array" ref="J4250">IFERROR(INDEX('Retirement Calculator'!J:J,MATCH('Isaac 401k'!N4250,'Retirement Calculator'!A:A,0),0),0)</f>
        <v>0</v>
      </c>
      <c r="K4250" s="455">
        <f t="shared" ca="1" si="181"/>
        <v>-32042290901.326187</v>
      </c>
      <c r="L4250" s="455">
        <f t="shared" ca="1" si="182"/>
        <v>-7722192107219.6113</v>
      </c>
      <c r="M4250" s="471">
        <f t="shared" si="184"/>
        <v>0.05</v>
      </c>
      <c r="N4250" s="475">
        <f t="shared" si="185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83"/>
        <v>-7722192107219.6113</v>
      </c>
      <c r="J4251" s="455">
        <f t="array" ref="J4251">IFERROR(INDEX('Retirement Calculator'!J:J,MATCH('Isaac 401k'!N4251,'Retirement Calculator'!A:A,0),0),0)</f>
        <v>0</v>
      </c>
      <c r="K4251" s="455">
        <f t="shared" ca="1" si="181"/>
        <v>-32175800446.748383</v>
      </c>
      <c r="L4251" s="455">
        <f t="shared" ca="1" si="182"/>
        <v>-7754367907666.3594</v>
      </c>
      <c r="M4251" s="471">
        <f t="shared" si="184"/>
        <v>0.05</v>
      </c>
      <c r="N4251" s="475">
        <f t="shared" si="185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83"/>
        <v>-7754367907666.3594</v>
      </c>
      <c r="J4252" s="455">
        <f t="array" ref="J4252">IFERROR(INDEX('Retirement Calculator'!J:J,MATCH('Isaac 401k'!N4252,'Retirement Calculator'!A:A,0),0),0)</f>
        <v>0</v>
      </c>
      <c r="K4252" s="455">
        <f t="shared" ca="1" si="181"/>
        <v>-32309866281.943169</v>
      </c>
      <c r="L4252" s="455">
        <f t="shared" ca="1" si="182"/>
        <v>-7786677773948.3027</v>
      </c>
      <c r="M4252" s="471">
        <f t="shared" si="184"/>
        <v>0.05</v>
      </c>
      <c r="N4252" s="475">
        <f t="shared" si="185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83"/>
        <v>-7786677773948.3027</v>
      </c>
      <c r="J4253" s="455">
        <f t="array" ref="J4253">IFERROR(INDEX('Retirement Calculator'!J:J,MATCH('Isaac 401k'!N4253,'Retirement Calculator'!A:A,0),0),0)</f>
        <v>0</v>
      </c>
      <c r="K4253" s="455">
        <f t="shared" ca="1" si="181"/>
        <v>-32444490724.784599</v>
      </c>
      <c r="L4253" s="455">
        <f t="shared" ca="1" si="182"/>
        <v>-7819122264673.0869</v>
      </c>
      <c r="M4253" s="471">
        <f t="shared" si="184"/>
        <v>0.05</v>
      </c>
      <c r="N4253" s="475">
        <f t="shared" si="185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83"/>
        <v>-7819122264673.0869</v>
      </c>
      <c r="J4254" s="455">
        <f t="array" ref="J4254">IFERROR(INDEX('Retirement Calculator'!J:J,MATCH('Isaac 401k'!N4254,'Retirement Calculator'!A:A,0),0),0)</f>
        <v>0</v>
      </c>
      <c r="K4254" s="455">
        <f t="shared" ca="1" si="181"/>
        <v>-32579676102.804523</v>
      </c>
      <c r="L4254" s="455">
        <f t="shared" ca="1" si="182"/>
        <v>-7851701940775.8916</v>
      </c>
      <c r="M4254" s="471">
        <f t="shared" si="184"/>
        <v>0.05</v>
      </c>
      <c r="N4254" s="475">
        <f t="shared" si="185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83"/>
        <v>-7851701940775.8916</v>
      </c>
      <c r="J4255" s="455">
        <f t="array" ref="J4255">IFERROR(INDEX('Retirement Calculator'!J:J,MATCH('Isaac 401k'!N4255,'Retirement Calculator'!A:A,0),0),0)</f>
        <v>0</v>
      </c>
      <c r="K4255" s="455">
        <f t="shared" ca="1" si="181"/>
        <v>-32715424753.23288</v>
      </c>
      <c r="L4255" s="455">
        <f t="shared" ca="1" si="182"/>
        <v>-7884417365529.124</v>
      </c>
      <c r="M4255" s="471">
        <f t="shared" si="184"/>
        <v>0.05</v>
      </c>
      <c r="N4255" s="475">
        <f t="shared" si="185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83"/>
        <v>-7884417365529.124</v>
      </c>
      <c r="J4256" s="455">
        <f t="array" ref="J4256">IFERROR(INDEX('Retirement Calculator'!J:J,MATCH('Isaac 401k'!N4256,'Retirement Calculator'!A:A,0),0),0)</f>
        <v>0</v>
      </c>
      <c r="K4256" s="455">
        <f t="shared" ca="1" si="181"/>
        <v>-32851739023.038017</v>
      </c>
      <c r="L4256" s="455">
        <f t="shared" ca="1" si="182"/>
        <v>-7917269104552.1621</v>
      </c>
      <c r="M4256" s="471">
        <f t="shared" si="184"/>
        <v>0.05</v>
      </c>
      <c r="N4256" s="475">
        <f t="shared" si="185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83"/>
        <v>-7917269104552.1621</v>
      </c>
      <c r="J4257" s="455">
        <f t="array" ref="J4257">IFERROR(INDEX('Retirement Calculator'!J:J,MATCH('Isaac 401k'!N4257,'Retirement Calculator'!A:A,0),0),0)</f>
        <v>0</v>
      </c>
      <c r="K4257" s="455">
        <f t="shared" ca="1" si="181"/>
        <v>-32988621268.967342</v>
      </c>
      <c r="L4257" s="455">
        <f t="shared" ca="1" si="182"/>
        <v>-7950257725821.1299</v>
      </c>
      <c r="M4257" s="471">
        <f t="shared" si="184"/>
        <v>0.05</v>
      </c>
      <c r="N4257" s="475">
        <f t="shared" si="185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83"/>
        <v>-7950257725821.1299</v>
      </c>
      <c r="J4258" s="455">
        <f t="array" ref="J4258">IFERROR(INDEX('Retirement Calculator'!J:J,MATCH('Isaac 401k'!N4258,'Retirement Calculator'!A:A,0),0),0)</f>
        <v>0</v>
      </c>
      <c r="K4258" s="455">
        <f t="shared" ca="1" si="181"/>
        <v>-33126073857.588039</v>
      </c>
      <c r="L4258" s="455">
        <f t="shared" ca="1" si="182"/>
        <v>-7983383799678.7178</v>
      </c>
      <c r="M4258" s="471">
        <f t="shared" si="184"/>
        <v>0.05</v>
      </c>
      <c r="N4258" s="475">
        <f t="shared" si="185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83"/>
        <v>-7983383799678.7178</v>
      </c>
      <c r="J4259" s="455">
        <f t="array" ref="J4259">IFERROR(INDEX('Retirement Calculator'!J:J,MATCH('Isaac 401k'!N4259,'Retirement Calculator'!A:A,0),0),0)</f>
        <v>0</v>
      </c>
      <c r="K4259" s="455">
        <f t="shared" ca="1" si="181"/>
        <v>-33264099165.327991</v>
      </c>
      <c r="L4259" s="455">
        <f t="shared" ca="1" si="182"/>
        <v>-8016647898844.0459</v>
      </c>
      <c r="M4259" s="471">
        <f t="shared" si="184"/>
        <v>0.05</v>
      </c>
      <c r="N4259" s="475">
        <f t="shared" si="185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83"/>
        <v>-8016647898844.0459</v>
      </c>
      <c r="J4260" s="455">
        <f t="array" ref="J4260">IFERROR(INDEX('Retirement Calculator'!J:J,MATCH('Isaac 401k'!N4260,'Retirement Calculator'!A:A,0),0),0)</f>
        <v>0</v>
      </c>
      <c r="K4260" s="455">
        <f t="shared" ca="1" si="181"/>
        <v>-33402699578.516857</v>
      </c>
      <c r="L4260" s="455">
        <f t="shared" ca="1" si="182"/>
        <v>-8050050598422.5625</v>
      </c>
      <c r="M4260" s="471">
        <f t="shared" si="184"/>
        <v>0.05</v>
      </c>
      <c r="N4260" s="475">
        <f t="shared" si="185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83"/>
        <v>-8050050598422.5625</v>
      </c>
      <c r="J4261" s="455">
        <f t="array" ref="J4261">IFERROR(INDEX('Retirement Calculator'!J:J,MATCH('Isaac 401k'!N4261,'Retirement Calculator'!A:A,0),0),0)</f>
        <v>0</v>
      </c>
      <c r="K4261" s="455">
        <f t="shared" ca="1" si="181"/>
        <v>-33541877493.427341</v>
      </c>
      <c r="L4261" s="455">
        <f t="shared" ca="1" si="182"/>
        <v>-8083592475915.9902</v>
      </c>
      <c r="M4261" s="471">
        <f t="shared" si="184"/>
        <v>0.05</v>
      </c>
      <c r="N4261" s="475">
        <f t="shared" si="185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83"/>
        <v>-8083592475915.9902</v>
      </c>
      <c r="J4262" s="455">
        <f t="array" ref="J4262">IFERROR(INDEX('Retirement Calculator'!J:J,MATCH('Isaac 401k'!N4262,'Retirement Calculator'!A:A,0),0),0)</f>
        <v>0</v>
      </c>
      <c r="K4262" s="455">
        <f t="shared" ca="1" si="181"/>
        <v>-33681635316.316631</v>
      </c>
      <c r="L4262" s="455">
        <f t="shared" ca="1" si="182"/>
        <v>-8117274111232.3066</v>
      </c>
      <c r="M4262" s="471">
        <f t="shared" si="184"/>
        <v>0.05</v>
      </c>
      <c r="N4262" s="475">
        <f t="shared" si="185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83"/>
        <v>-8117274111232.3066</v>
      </c>
      <c r="J4263" s="455">
        <f t="array" ref="J4263">IFERROR(INDEX('Retirement Calculator'!J:J,MATCH('Isaac 401k'!N4263,'Retirement Calculator'!A:A,0),0),0)</f>
        <v>0</v>
      </c>
      <c r="K4263" s="455">
        <f t="shared" ca="1" si="181"/>
        <v>-33821975463.467945</v>
      </c>
      <c r="L4263" s="455">
        <f t="shared" ca="1" si="182"/>
        <v>-8151096086695.7744</v>
      </c>
      <c r="M4263" s="471">
        <f t="shared" si="184"/>
        <v>0.05</v>
      </c>
      <c r="N4263" s="475">
        <f t="shared" si="185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83"/>
        <v>-8151096086695.7744</v>
      </c>
      <c r="J4264" s="455">
        <f t="array" ref="J4264">IFERROR(INDEX('Retirement Calculator'!J:J,MATCH('Isaac 401k'!N4264,'Retirement Calculator'!A:A,0),0),0)</f>
        <v>0</v>
      </c>
      <c r="K4264" s="455">
        <f t="shared" ca="1" si="181"/>
        <v>-33962900361.232391</v>
      </c>
      <c r="L4264" s="455">
        <f t="shared" ca="1" si="182"/>
        <v>-8185058987057.0068</v>
      </c>
      <c r="M4264" s="471">
        <f t="shared" si="184"/>
        <v>0.05</v>
      </c>
      <c r="N4264" s="475">
        <f t="shared" si="185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83"/>
        <v>-8185058987057.0068</v>
      </c>
      <c r="J4265" s="455">
        <f t="array" ref="J4265">IFERROR(INDEX('Retirement Calculator'!J:J,MATCH('Isaac 401k'!N4265,'Retirement Calculator'!A:A,0),0),0)</f>
        <v>0</v>
      </c>
      <c r="K4265" s="455">
        <f t="shared" ca="1" si="181"/>
        <v>-34104412446.070866</v>
      </c>
      <c r="L4265" s="455">
        <f t="shared" ca="1" si="182"/>
        <v>-8219163399503.0781</v>
      </c>
      <c r="M4265" s="471">
        <f t="shared" si="184"/>
        <v>0.05</v>
      </c>
      <c r="N4265" s="475">
        <f t="shared" si="185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83"/>
        <v>-8219163399503.0781</v>
      </c>
      <c r="J4266" s="455">
        <f t="array" ref="J4266">IFERROR(INDEX('Retirement Calculator'!J:J,MATCH('Isaac 401k'!N4266,'Retirement Calculator'!A:A,0),0),0)</f>
        <v>0</v>
      </c>
      <c r="K4266" s="455">
        <f t="shared" ca="1" si="181"/>
        <v>-34246514164.596157</v>
      </c>
      <c r="L4266" s="455">
        <f t="shared" ca="1" si="182"/>
        <v>-8253409913667.6738</v>
      </c>
      <c r="M4266" s="471">
        <f t="shared" si="184"/>
        <v>0.05</v>
      </c>
      <c r="N4266" s="475">
        <f t="shared" si="185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83"/>
        <v>-8253409913667.6738</v>
      </c>
      <c r="J4267" s="455">
        <f t="array" ref="J4267">IFERROR(INDEX('Retirement Calculator'!J:J,MATCH('Isaac 401k'!N4267,'Retirement Calculator'!A:A,0),0),0)</f>
        <v>0</v>
      </c>
      <c r="K4267" s="455">
        <f t="shared" ca="1" si="181"/>
        <v>-34389207973.615311</v>
      </c>
      <c r="L4267" s="455">
        <f t="shared" ca="1" si="182"/>
        <v>-8287799121641.2891</v>
      </c>
      <c r="M4267" s="471">
        <f t="shared" si="184"/>
        <v>0.05</v>
      </c>
      <c r="N4267" s="475">
        <f t="shared" si="185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83"/>
        <v>-8287799121641.2891</v>
      </c>
      <c r="J4268" s="455">
        <f t="array" ref="J4268">IFERROR(INDEX('Retirement Calculator'!J:J,MATCH('Isaac 401k'!N4268,'Retirement Calculator'!A:A,0),0),0)</f>
        <v>0</v>
      </c>
      <c r="K4268" s="455">
        <f t="shared" ca="1" si="181"/>
        <v>-34532496340.172035</v>
      </c>
      <c r="L4268" s="455">
        <f t="shared" ca="1" si="182"/>
        <v>-8322331617981.4609</v>
      </c>
      <c r="M4268" s="471">
        <f t="shared" si="184"/>
        <v>0.05</v>
      </c>
      <c r="N4268" s="475">
        <f t="shared" si="185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83"/>
        <v>-8322331617981.4609</v>
      </c>
      <c r="J4269" s="455">
        <f t="array" ref="J4269">IFERROR(INDEX('Retirement Calculator'!J:J,MATCH('Isaac 401k'!N4269,'Retirement Calculator'!A:A,0),0),0)</f>
        <v>0</v>
      </c>
      <c r="K4269" s="455">
        <f t="shared" ca="1" si="181"/>
        <v>-34676381741.589424</v>
      </c>
      <c r="L4269" s="455">
        <f t="shared" ca="1" si="182"/>
        <v>-8357007999723.0508</v>
      </c>
      <c r="M4269" s="471">
        <f t="shared" si="184"/>
        <v>0.05</v>
      </c>
      <c r="N4269" s="475">
        <f t="shared" si="185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83"/>
        <v>-8357007999723.0508</v>
      </c>
      <c r="J4270" s="455">
        <f t="array" ref="J4270">IFERROR(INDEX('Retirement Calculator'!J:J,MATCH('Isaac 401k'!N4270,'Retirement Calculator'!A:A,0),0),0)</f>
        <v>0</v>
      </c>
      <c r="K4270" s="455">
        <f t="shared" ca="1" si="181"/>
        <v>-34820866665.512718</v>
      </c>
      <c r="L4270" s="455">
        <f t="shared" ca="1" si="182"/>
        <v>-8391828866388.5635</v>
      </c>
      <c r="M4270" s="471">
        <f t="shared" si="184"/>
        <v>0.05</v>
      </c>
      <c r="N4270" s="475">
        <f t="shared" si="185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83"/>
        <v>-8391828866388.5635</v>
      </c>
      <c r="J4271" s="455">
        <f t="array" ref="J4271">IFERROR(INDEX('Retirement Calculator'!J:J,MATCH('Isaac 401k'!N4271,'Retirement Calculator'!A:A,0),0),0)</f>
        <v>0</v>
      </c>
      <c r="K4271" s="455">
        <f t="shared" ca="1" si="181"/>
        <v>-34965953609.952347</v>
      </c>
      <c r="L4271" s="455">
        <f t="shared" ca="1" si="182"/>
        <v>-8426794819998.5156</v>
      </c>
      <c r="M4271" s="471">
        <f t="shared" si="184"/>
        <v>0.05</v>
      </c>
      <c r="N4271" s="475">
        <f t="shared" si="185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83"/>
        <v>-8426794819998.5156</v>
      </c>
      <c r="J4272" s="455">
        <f t="array" ref="J4272">IFERROR(INDEX('Retirement Calculator'!J:J,MATCH('Isaac 401k'!N4272,'Retirement Calculator'!A:A,0),0),0)</f>
        <v>0</v>
      </c>
      <c r="K4272" s="455">
        <f t="shared" ca="1" si="181"/>
        <v>-35111645083.327141</v>
      </c>
      <c r="L4272" s="455">
        <f t="shared" ca="1" si="182"/>
        <v>-8461906465081.8428</v>
      </c>
      <c r="M4272" s="471">
        <f t="shared" si="184"/>
        <v>0.05</v>
      </c>
      <c r="N4272" s="475">
        <f t="shared" si="185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83"/>
        <v>-8461906465081.8428</v>
      </c>
      <c r="J4273" s="455">
        <f t="array" ref="J4273">IFERROR(INDEX('Retirement Calculator'!J:J,MATCH('Isaac 401k'!N4273,'Retirement Calculator'!A:A,0),0),0)</f>
        <v>0</v>
      </c>
      <c r="K4273" s="455">
        <f t="shared" ca="1" si="181"/>
        <v>-35257943604.507675</v>
      </c>
      <c r="L4273" s="455">
        <f t="shared" ca="1" si="182"/>
        <v>-8497164408686.3506</v>
      </c>
      <c r="M4273" s="471">
        <f t="shared" si="184"/>
        <v>0.05</v>
      </c>
      <c r="N4273" s="475">
        <f t="shared" si="185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83"/>
        <v>-8497164408686.3506</v>
      </c>
      <c r="J4274" s="455">
        <f t="array" ref="J4274">IFERROR(INDEX('Retirement Calculator'!J:J,MATCH('Isaac 401k'!N4274,'Retirement Calculator'!A:A,0),0),0)</f>
        <v>0</v>
      </c>
      <c r="K4274" s="455">
        <f t="shared" ca="1" si="181"/>
        <v>-35404851702.859795</v>
      </c>
      <c r="L4274" s="455">
        <f t="shared" ca="1" si="182"/>
        <v>-8532569260389.21</v>
      </c>
      <c r="M4274" s="471">
        <f t="shared" si="184"/>
        <v>0.05</v>
      </c>
      <c r="N4274" s="475">
        <f t="shared" si="185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83"/>
        <v>-8532569260389.21</v>
      </c>
      <c r="J4275" s="455">
        <f t="array" ref="J4275">IFERROR(INDEX('Retirement Calculator'!J:J,MATCH('Isaac 401k'!N4275,'Retirement Calculator'!A:A,0),0),0)</f>
        <v>0</v>
      </c>
      <c r="K4275" s="455">
        <f t="shared" ca="1" si="181"/>
        <v>-35552371918.288376</v>
      </c>
      <c r="L4275" s="455">
        <f t="shared" ca="1" si="182"/>
        <v>-8568121632307.498</v>
      </c>
      <c r="M4275" s="471">
        <f t="shared" si="184"/>
        <v>0.05</v>
      </c>
      <c r="N4275" s="475">
        <f t="shared" si="185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83"/>
        <v>-8568121632307.498</v>
      </c>
      <c r="J4276" s="455">
        <f t="array" ref="J4276">IFERROR(INDEX('Retirement Calculator'!J:J,MATCH('Isaac 401k'!N4276,'Retirement Calculator'!A:A,0),0),0)</f>
        <v>0</v>
      </c>
      <c r="K4276" s="455">
        <f t="shared" ca="1" si="181"/>
        <v>-35700506801.281242</v>
      </c>
      <c r="L4276" s="455">
        <f t="shared" ca="1" si="182"/>
        <v>-8603822139108.7793</v>
      </c>
      <c r="M4276" s="471">
        <f t="shared" si="184"/>
        <v>0.05</v>
      </c>
      <c r="N4276" s="475">
        <f t="shared" si="185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83"/>
        <v>-8603822139108.7793</v>
      </c>
      <c r="J4277" s="455">
        <f t="array" ref="J4277">IFERROR(INDEX('Retirement Calculator'!J:J,MATCH('Isaac 401k'!N4277,'Retirement Calculator'!A:A,0),0),0)</f>
        <v>0</v>
      </c>
      <c r="K4277" s="455">
        <f t="shared" ca="1" si="181"/>
        <v>-35849258912.953247</v>
      </c>
      <c r="L4277" s="455">
        <f t="shared" ca="1" si="182"/>
        <v>-8639671398021.7324</v>
      </c>
      <c r="M4277" s="471">
        <f t="shared" si="184"/>
        <v>0.05</v>
      </c>
      <c r="N4277" s="475">
        <f t="shared" si="185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83"/>
        <v>-8639671398021.7324</v>
      </c>
      <c r="J4278" s="455">
        <f t="array" ref="J4278">IFERROR(INDEX('Retirement Calculator'!J:J,MATCH('Isaac 401k'!N4278,'Retirement Calculator'!A:A,0),0),0)</f>
        <v>0</v>
      </c>
      <c r="K4278" s="455">
        <f t="shared" ca="1" si="181"/>
        <v>-35998630825.090553</v>
      </c>
      <c r="L4278" s="455">
        <f t="shared" ca="1" si="182"/>
        <v>-8675670028846.8232</v>
      </c>
      <c r="M4278" s="471">
        <f t="shared" si="184"/>
        <v>0.05</v>
      </c>
      <c r="N4278" s="475">
        <f t="shared" si="185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83"/>
        <v>-8675670028846.8232</v>
      </c>
      <c r="J4279" s="455">
        <f t="array" ref="J4279">IFERROR(INDEX('Retirement Calculator'!J:J,MATCH('Isaac 401k'!N4279,'Retirement Calculator'!A:A,0),0),0)</f>
        <v>0</v>
      </c>
      <c r="K4279" s="455">
        <f t="shared" ca="1" si="181"/>
        <v>-36148625120.195099</v>
      </c>
      <c r="L4279" s="455">
        <f t="shared" ca="1" si="182"/>
        <v>-8711818653967.0186</v>
      </c>
      <c r="M4279" s="471">
        <f t="shared" si="184"/>
        <v>0.05</v>
      </c>
      <c r="N4279" s="475">
        <f t="shared" si="185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83"/>
        <v>-8711818653967.0186</v>
      </c>
      <c r="J4280" s="455">
        <f t="array" ref="J4280">IFERROR(INDEX('Retirement Calculator'!J:J,MATCH('Isaac 401k'!N4280,'Retirement Calculator'!A:A,0),0),0)</f>
        <v>0</v>
      </c>
      <c r="K4280" s="455">
        <f t="shared" ca="1" si="181"/>
        <v>-36299244391.529243</v>
      </c>
      <c r="L4280" s="455">
        <f t="shared" ca="1" si="182"/>
        <v>-8748117898358.5479</v>
      </c>
      <c r="M4280" s="471">
        <f t="shared" si="184"/>
        <v>0.05</v>
      </c>
      <c r="N4280" s="475">
        <f t="shared" si="185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83"/>
        <v>-8748117898358.5479</v>
      </c>
      <c r="J4281" s="455">
        <f t="array" ref="J4281">IFERROR(INDEX('Retirement Calculator'!J:J,MATCH('Isaac 401k'!N4281,'Retirement Calculator'!A:A,0),0),0)</f>
        <v>0</v>
      </c>
      <c r="K4281" s="455">
        <f t="shared" ca="1" si="181"/>
        <v>-36450491243.160614</v>
      </c>
      <c r="L4281" s="455">
        <f t="shared" ca="1" si="182"/>
        <v>-8784568389601.708</v>
      </c>
      <c r="M4281" s="471">
        <f t="shared" si="184"/>
        <v>0.05</v>
      </c>
      <c r="N4281" s="475">
        <f t="shared" si="185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83"/>
        <v>-8784568389601.708</v>
      </c>
      <c r="J4282" s="455">
        <f t="array" ref="J4282">IFERROR(INDEX('Retirement Calculator'!J:J,MATCH('Isaac 401k'!N4282,'Retirement Calculator'!A:A,0),0),0)</f>
        <v>0</v>
      </c>
      <c r="K4282" s="455">
        <f t="shared" ca="1" si="181"/>
        <v>-36602368290.007118</v>
      </c>
      <c r="L4282" s="455">
        <f t="shared" ca="1" si="182"/>
        <v>-8821170757891.7148</v>
      </c>
      <c r="M4282" s="471">
        <f t="shared" si="184"/>
        <v>0.05</v>
      </c>
      <c r="N4282" s="475">
        <f t="shared" si="185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83"/>
        <v>-8821170757891.7148</v>
      </c>
      <c r="J4283" s="455">
        <f t="array" ref="J4283">IFERROR(INDEX('Retirement Calculator'!J:J,MATCH('Isaac 401k'!N4283,'Retirement Calculator'!A:A,0),0),0)</f>
        <v>0</v>
      </c>
      <c r="K4283" s="455">
        <f t="shared" ca="1" si="181"/>
        <v>-36754878157.882141</v>
      </c>
      <c r="L4283" s="455">
        <f t="shared" ca="1" si="182"/>
        <v>-8857925636049.5977</v>
      </c>
      <c r="M4283" s="471">
        <f t="shared" si="184"/>
        <v>0.05</v>
      </c>
      <c r="N4283" s="475">
        <f t="shared" si="185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83"/>
        <v>-8857925636049.5977</v>
      </c>
      <c r="J4284" s="455">
        <f t="array" ref="J4284">IFERROR(INDEX('Retirement Calculator'!J:J,MATCH('Isaac 401k'!N4284,'Retirement Calculator'!A:A,0),0),0)</f>
        <v>0</v>
      </c>
      <c r="K4284" s="455">
        <f t="shared" ca="1" si="181"/>
        <v>-36908023483.539993</v>
      </c>
      <c r="L4284" s="455">
        <f t="shared" ca="1" si="182"/>
        <v>-8894833659533.1367</v>
      </c>
      <c r="M4284" s="471">
        <f t="shared" si="184"/>
        <v>0.05</v>
      </c>
      <c r="N4284" s="475">
        <f t="shared" si="185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83"/>
        <v>-8894833659533.1367</v>
      </c>
      <c r="J4285" s="455">
        <f t="array" ref="J4285">IFERROR(INDEX('Retirement Calculator'!J:J,MATCH('Isaac 401k'!N4285,'Retirement Calculator'!A:A,0),0),0)</f>
        <v>0</v>
      </c>
      <c r="K4285" s="455">
        <f t="shared" ca="1" si="181"/>
        <v>-37061806914.721405</v>
      </c>
      <c r="L4285" s="455">
        <f t="shared" ca="1" si="182"/>
        <v>-8931895466447.8574</v>
      </c>
      <c r="M4285" s="471">
        <f t="shared" si="184"/>
        <v>0.05</v>
      </c>
      <c r="N4285" s="475">
        <f t="shared" si="185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83"/>
        <v>-8931895466447.8574</v>
      </c>
      <c r="J4286" s="455">
        <f t="array" ref="J4286">IFERROR(INDEX('Retirement Calculator'!J:J,MATCH('Isaac 401k'!N4286,'Retirement Calculator'!A:A,0),0),0)</f>
        <v>0</v>
      </c>
      <c r="K4286" s="455">
        <f t="shared" ca="1" si="181"/>
        <v>-37216231110.199402</v>
      </c>
      <c r="L4286" s="455">
        <f t="shared" ca="1" si="182"/>
        <v>-8969111697558.0566</v>
      </c>
      <c r="M4286" s="471">
        <f t="shared" si="184"/>
        <v>0.05</v>
      </c>
      <c r="N4286" s="475">
        <f t="shared" si="185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83"/>
        <v>-8969111697558.0566</v>
      </c>
      <c r="J4287" s="455">
        <f t="array" ref="J4287">IFERROR(INDEX('Retirement Calculator'!J:J,MATCH('Isaac 401k'!N4287,'Retirement Calculator'!A:A,0),0),0)</f>
        <v>0</v>
      </c>
      <c r="K4287" s="455">
        <f t="shared" ca="1" si="181"/>
        <v>-37371298739.825233</v>
      </c>
      <c r="L4287" s="455">
        <f t="shared" ca="1" si="182"/>
        <v>-9006482996297.8828</v>
      </c>
      <c r="M4287" s="471">
        <f t="shared" si="184"/>
        <v>0.05</v>
      </c>
      <c r="N4287" s="475">
        <f t="shared" si="185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83"/>
        <v>-9006482996297.8828</v>
      </c>
      <c r="J4288" s="455">
        <f t="array" ref="J4288">IFERROR(INDEX('Retirement Calculator'!J:J,MATCH('Isaac 401k'!N4288,'Retirement Calculator'!A:A,0),0),0)</f>
        <v>0</v>
      </c>
      <c r="K4288" s="455">
        <f t="shared" ca="1" si="181"/>
        <v>-37527012484.574509</v>
      </c>
      <c r="L4288" s="455">
        <f t="shared" ca="1" si="182"/>
        <v>-9044010008782.457</v>
      </c>
      <c r="M4288" s="471">
        <f t="shared" si="184"/>
        <v>0.05</v>
      </c>
      <c r="N4288" s="475">
        <f t="shared" si="185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83"/>
        <v>-9044010008782.457</v>
      </c>
      <c r="J4289" s="455">
        <f t="array" ref="J4289">IFERROR(INDEX('Retirement Calculator'!J:J,MATCH('Isaac 401k'!N4289,'Retirement Calculator'!A:A,0),0),0)</f>
        <v>0</v>
      </c>
      <c r="K4289" s="455">
        <f t="shared" ca="1" si="181"/>
        <v>-37683375036.593567</v>
      </c>
      <c r="L4289" s="455">
        <f t="shared" ca="1" si="182"/>
        <v>-9081693383819.0508</v>
      </c>
      <c r="M4289" s="471">
        <f t="shared" si="184"/>
        <v>0.05</v>
      </c>
      <c r="N4289" s="475">
        <f t="shared" si="185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83"/>
        <v>-9081693383819.0508</v>
      </c>
      <c r="J4290" s="455">
        <f t="array" ref="J4290">IFERROR(INDEX('Retirement Calculator'!J:J,MATCH('Isaac 401k'!N4290,'Retirement Calculator'!A:A,0),0),0)</f>
        <v>0</v>
      </c>
      <c r="K4290" s="455">
        <f t="shared" ca="1" si="181"/>
        <v>-37840389099.246048</v>
      </c>
      <c r="L4290" s="455">
        <f t="shared" ca="1" si="182"/>
        <v>-9119533772918.2969</v>
      </c>
      <c r="M4290" s="471">
        <f t="shared" si="184"/>
        <v>0.05</v>
      </c>
      <c r="N4290" s="475">
        <f t="shared" si="185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83"/>
        <v>-9119533772918.2969</v>
      </c>
      <c r="J4291" s="455">
        <f t="array" ref="J4291">IFERROR(INDEX('Retirement Calculator'!J:J,MATCH('Isaac 401k'!N4291,'Retirement Calculator'!A:A,0),0),0)</f>
        <v>0</v>
      </c>
      <c r="K4291" s="455">
        <f t="shared" ca="1" si="181"/>
        <v>-37998057387.159569</v>
      </c>
      <c r="L4291" s="455">
        <f t="shared" ca="1" si="182"/>
        <v>-9157531830305.457</v>
      </c>
      <c r="M4291" s="471">
        <f t="shared" si="184"/>
        <v>0.05</v>
      </c>
      <c r="N4291" s="475">
        <f t="shared" si="185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83"/>
        <v>-9157531830305.457</v>
      </c>
      <c r="J4292" s="455">
        <f t="array" ref="J4292">IFERROR(INDEX('Retirement Calculator'!J:J,MATCH('Isaac 401k'!N4292,'Retirement Calculator'!A:A,0),0),0)</f>
        <v>0</v>
      </c>
      <c r="K4292" s="455">
        <f t="shared" ca="1" si="181"/>
        <v>-38156382626.272736</v>
      </c>
      <c r="L4292" s="455">
        <f t="shared" ca="1" si="182"/>
        <v>-9195688212931.7305</v>
      </c>
      <c r="M4292" s="471">
        <f t="shared" si="184"/>
        <v>0.05</v>
      </c>
      <c r="N4292" s="475">
        <f t="shared" si="185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83"/>
        <v>-9195688212931.7305</v>
      </c>
      <c r="J4293" s="455">
        <f t="array" ref="J4293">IFERROR(INDEX('Retirement Calculator'!J:J,MATCH('Isaac 401k'!N4293,'Retirement Calculator'!A:A,0),0),0)</f>
        <v>0</v>
      </c>
      <c r="K4293" s="455">
        <f t="shared" ca="1" si="181"/>
        <v>-38315367553.88221</v>
      </c>
      <c r="L4293" s="455">
        <f t="shared" ca="1" si="182"/>
        <v>-9234003580485.6133</v>
      </c>
      <c r="M4293" s="471">
        <f t="shared" si="184"/>
        <v>0.05</v>
      </c>
      <c r="N4293" s="475">
        <f t="shared" si="185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83"/>
        <v>-9234003580485.6133</v>
      </c>
      <c r="J4294" s="455">
        <f t="array" ref="J4294">IFERROR(INDEX('Retirement Calculator'!J:J,MATCH('Isaac 401k'!N4294,'Retirement Calculator'!A:A,0),0),0)</f>
        <v>0</v>
      </c>
      <c r="K4294" s="455">
        <f t="shared" ca="1" si="181"/>
        <v>-38475014918.690056</v>
      </c>
      <c r="L4294" s="455">
        <f t="shared" ca="1" si="182"/>
        <v>-9272478595404.3027</v>
      </c>
      <c r="M4294" s="471">
        <f t="shared" si="184"/>
        <v>0.05</v>
      </c>
      <c r="N4294" s="475">
        <f t="shared" si="185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83"/>
        <v>-9272478595404.3027</v>
      </c>
      <c r="J4295" s="455">
        <f t="array" ref="J4295">IFERROR(INDEX('Retirement Calculator'!J:J,MATCH('Isaac 401k'!N4295,'Retirement Calculator'!A:A,0),0),0)</f>
        <v>0</v>
      </c>
      <c r="K4295" s="455">
        <f t="shared" ca="1" si="181"/>
        <v>-38635327480.851257</v>
      </c>
      <c r="L4295" s="455">
        <f t="shared" ca="1" si="182"/>
        <v>-9311113922885.1543</v>
      </c>
      <c r="M4295" s="471">
        <f t="shared" si="184"/>
        <v>0.05</v>
      </c>
      <c r="N4295" s="475">
        <f t="shared" si="185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83"/>
        <v>-9311113922885.1543</v>
      </c>
      <c r="J4296" s="455">
        <f t="array" ref="J4296">IFERROR(INDEX('Retirement Calculator'!J:J,MATCH('Isaac 401k'!N4296,'Retirement Calculator'!A:A,0),0),0)</f>
        <v>0</v>
      </c>
      <c r="K4296" s="455">
        <f t="shared" ca="1" si="181"/>
        <v>-38796308012.021477</v>
      </c>
      <c r="L4296" s="455">
        <f t="shared" ca="1" si="182"/>
        <v>-9349910230897.1758</v>
      </c>
      <c r="M4296" s="471">
        <f t="shared" si="184"/>
        <v>0.05</v>
      </c>
      <c r="N4296" s="475">
        <f t="shared" si="185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83"/>
        <v>-9349910230897.1758</v>
      </c>
      <c r="J4297" s="455">
        <f t="array" ref="J4297">IFERROR(INDEX('Retirement Calculator'!J:J,MATCH('Isaac 401k'!N4297,'Retirement Calculator'!A:A,0),0),0)</f>
        <v>0</v>
      </c>
      <c r="K4297" s="455">
        <f t="shared" ca="1" si="181"/>
        <v>-38957959295.4049</v>
      </c>
      <c r="L4297" s="455">
        <f t="shared" ca="1" si="182"/>
        <v>-9388868190192.5801</v>
      </c>
      <c r="M4297" s="471">
        <f t="shared" si="184"/>
        <v>0.05</v>
      </c>
      <c r="N4297" s="475">
        <f t="shared" si="185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83"/>
        <v>-9388868190192.5801</v>
      </c>
      <c r="J4298" s="455">
        <f t="array" ref="J4298">IFERROR(INDEX('Retirement Calculator'!J:J,MATCH('Isaac 401k'!N4298,'Retirement Calculator'!A:A,0),0),0)</f>
        <v>0</v>
      </c>
      <c r="K4298" s="455">
        <f t="shared" ca="1" si="181"/>
        <v>-39120284125.802414</v>
      </c>
      <c r="L4298" s="455">
        <f t="shared" ca="1" si="182"/>
        <v>-9427988474318.3828</v>
      </c>
      <c r="M4298" s="471">
        <f t="shared" si="184"/>
        <v>0.05</v>
      </c>
      <c r="N4298" s="475">
        <f t="shared" si="185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83"/>
        <v>-9427988474318.3828</v>
      </c>
      <c r="J4299" s="455">
        <f t="array" ref="J4299">IFERROR(INDEX('Retirement Calculator'!J:J,MATCH('Isaac 401k'!N4299,'Retirement Calculator'!A:A,0),0),0)</f>
        <v>0</v>
      </c>
      <c r="K4299" s="455">
        <f t="shared" ca="1" si="181"/>
        <v>-39283285309.659927</v>
      </c>
      <c r="L4299" s="455">
        <f t="shared" ca="1" si="182"/>
        <v>-9467271759628.043</v>
      </c>
      <c r="M4299" s="471">
        <f t="shared" si="184"/>
        <v>0.05</v>
      </c>
      <c r="N4299" s="475">
        <f t="shared" si="185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83"/>
        <v>-9467271759628.043</v>
      </c>
      <c r="J4300" s="455">
        <f t="array" ref="J4300">IFERROR(INDEX('Retirement Calculator'!J:J,MATCH('Isaac 401k'!N4300,'Retirement Calculator'!A:A,0),0),0)</f>
        <v>0</v>
      </c>
      <c r="K4300" s="455">
        <f t="shared" ca="1" si="181"/>
        <v>-39446965665.116844</v>
      </c>
      <c r="L4300" s="455">
        <f t="shared" ca="1" si="182"/>
        <v>-9506718725293.1602</v>
      </c>
      <c r="M4300" s="471">
        <f t="shared" si="184"/>
        <v>0.05</v>
      </c>
      <c r="N4300" s="475">
        <f t="shared" si="185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83"/>
        <v>-9506718725293.1602</v>
      </c>
      <c r="J4301" s="455">
        <f t="array" ref="J4301">IFERROR(INDEX('Retirement Calculator'!J:J,MATCH('Isaac 401k'!N4301,'Retirement Calculator'!A:A,0),0),0)</f>
        <v>0</v>
      </c>
      <c r="K4301" s="455">
        <f t="shared" ca="1" si="181"/>
        <v>-39611328022.054832</v>
      </c>
      <c r="L4301" s="455">
        <f t="shared" ca="1" si="182"/>
        <v>-9546330053315.2148</v>
      </c>
      <c r="M4301" s="471">
        <f t="shared" si="184"/>
        <v>0.05</v>
      </c>
      <c r="N4301" s="475">
        <f t="shared" si="185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83"/>
        <v>-9546330053315.2148</v>
      </c>
      <c r="J4302" s="455">
        <f t="array" ref="J4302">IFERROR(INDEX('Retirement Calculator'!J:J,MATCH('Isaac 401k'!N4302,'Retirement Calculator'!A:A,0),0),0)</f>
        <v>0</v>
      </c>
      <c r="K4302" s="455">
        <f t="shared" ca="1" si="181"/>
        <v>-39776375222.146729</v>
      </c>
      <c r="L4302" s="455">
        <f t="shared" ca="1" si="182"/>
        <v>-9586106428537.3613</v>
      </c>
      <c r="M4302" s="471">
        <f t="shared" si="184"/>
        <v>0.05</v>
      </c>
      <c r="N4302" s="475">
        <f t="shared" si="185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83"/>
        <v>-9586106428537.3613</v>
      </c>
      <c r="J4303" s="455">
        <f t="array" ref="J4303">IFERROR(INDEX('Retirement Calculator'!J:J,MATCH('Isaac 401k'!N4303,'Retirement Calculator'!A:A,0),0),0)</f>
        <v>0</v>
      </c>
      <c r="K4303" s="455">
        <f t="shared" ca="1" si="181"/>
        <v>-39942110118.90567</v>
      </c>
      <c r="L4303" s="455">
        <f t="shared" ca="1" si="182"/>
        <v>-9626048538656.2676</v>
      </c>
      <c r="M4303" s="471">
        <f t="shared" si="184"/>
        <v>0.05</v>
      </c>
      <c r="N4303" s="475">
        <f t="shared" si="185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83"/>
        <v>-9626048538656.2676</v>
      </c>
      <c r="J4304" s="455">
        <f t="array" ref="J4304">IFERROR(INDEX('Retirement Calculator'!J:J,MATCH('Isaac 401k'!N4304,'Retirement Calculator'!A:A,0),0),0)</f>
        <v>0</v>
      </c>
      <c r="K4304" s="455">
        <f t="shared" ca="1" si="181"/>
        <v>-40108535577.734451</v>
      </c>
      <c r="L4304" s="455">
        <f t="shared" ca="1" si="182"/>
        <v>-9666157074234.002</v>
      </c>
      <c r="M4304" s="471">
        <f t="shared" si="184"/>
        <v>0.05</v>
      </c>
      <c r="N4304" s="475">
        <f t="shared" si="185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83"/>
        <v>-9666157074234.002</v>
      </c>
      <c r="J4305" s="455">
        <f t="array" ref="J4305">IFERROR(INDEX('Retirement Calculator'!J:J,MATCH('Isaac 401k'!N4305,'Retirement Calculator'!A:A,0),0),0)</f>
        <v>0</v>
      </c>
      <c r="K4305" s="455">
        <f t="shared" ca="1" si="181"/>
        <v>-40275654475.975006</v>
      </c>
      <c r="L4305" s="455">
        <f t="shared" ca="1" si="182"/>
        <v>-9706432728709.9766</v>
      </c>
      <c r="M4305" s="471">
        <f t="shared" si="184"/>
        <v>0.05</v>
      </c>
      <c r="N4305" s="475">
        <f t="shared" si="185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83"/>
        <v>-9706432728709.9766</v>
      </c>
      <c r="J4306" s="455">
        <f t="array" ref="J4306">IFERROR(INDEX('Retirement Calculator'!J:J,MATCH('Isaac 401k'!N4306,'Retirement Calculator'!A:A,0),0),0)</f>
        <v>0</v>
      </c>
      <c r="K4306" s="455">
        <f t="shared" ca="1" si="181"/>
        <v>-40443469702.958237</v>
      </c>
      <c r="L4306" s="455">
        <f t="shared" ca="1" si="182"/>
        <v>-9746876198412.9355</v>
      </c>
      <c r="M4306" s="471">
        <f t="shared" si="184"/>
        <v>0.05</v>
      </c>
      <c r="N4306" s="475">
        <f t="shared" si="185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83"/>
        <v>-9746876198412.9355</v>
      </c>
      <c r="J4307" s="455">
        <f t="array" ref="J4307">IFERROR(INDEX('Retirement Calculator'!J:J,MATCH('Isaac 401k'!N4307,'Retirement Calculator'!A:A,0),0),0)</f>
        <v>0</v>
      </c>
      <c r="K4307" s="455">
        <f t="shared" ca="1" si="181"/>
        <v>-40611984160.053894</v>
      </c>
      <c r="L4307" s="455">
        <f t="shared" ca="1" si="182"/>
        <v>-9787488182572.9902</v>
      </c>
      <c r="M4307" s="471">
        <f t="shared" si="184"/>
        <v>0.05</v>
      </c>
      <c r="N4307" s="475">
        <f t="shared" si="185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83"/>
        <v>-9787488182572.9902</v>
      </c>
      <c r="J4308" s="455">
        <f t="array" ref="J4308">IFERROR(INDEX('Retirement Calculator'!J:J,MATCH('Isaac 401k'!N4308,'Retirement Calculator'!A:A,0),0),0)</f>
        <v>0</v>
      </c>
      <c r="K4308" s="455">
        <f t="shared" ca="1" si="181"/>
        <v>-40781200760.720795</v>
      </c>
      <c r="L4308" s="455">
        <f t="shared" ca="1" si="182"/>
        <v>-9828269383333.7109</v>
      </c>
      <c r="M4308" s="471">
        <f t="shared" si="184"/>
        <v>0.05</v>
      </c>
      <c r="N4308" s="475">
        <f t="shared" si="185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83"/>
        <v>-9828269383333.7109</v>
      </c>
      <c r="J4309" s="455">
        <f t="array" ref="J4309">IFERROR(INDEX('Retirement Calculator'!J:J,MATCH('Isaac 401k'!N4309,'Retirement Calculator'!A:A,0),0),0)</f>
        <v>0</v>
      </c>
      <c r="K4309" s="455">
        <f t="shared" ca="1" si="181"/>
        <v>-40951122430.557129</v>
      </c>
      <c r="L4309" s="455">
        <f t="shared" ca="1" si="182"/>
        <v>-9869220505764.2676</v>
      </c>
      <c r="M4309" s="471">
        <f t="shared" si="184"/>
        <v>0.05</v>
      </c>
      <c r="N4309" s="475">
        <f t="shared" si="185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83"/>
        <v>-9869220505764.2676</v>
      </c>
      <c r="J4310" s="455">
        <f t="array" ref="J4310">IFERROR(INDEX('Retirement Calculator'!J:J,MATCH('Isaac 401k'!N4310,'Retirement Calculator'!A:A,0),0),0)</f>
        <v>0</v>
      </c>
      <c r="K4310" s="455">
        <f t="shared" ca="1" si="181"/>
        <v>-41121752107.351112</v>
      </c>
      <c r="L4310" s="455">
        <f t="shared" ca="1" si="182"/>
        <v>-9910342257871.6191</v>
      </c>
      <c r="M4310" s="471">
        <f t="shared" si="184"/>
        <v>0.05</v>
      </c>
      <c r="N4310" s="475">
        <f t="shared" si="185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83"/>
        <v>-9910342257871.6191</v>
      </c>
      <c r="J4311" s="455">
        <f t="array" ref="J4311">IFERROR(INDEX('Retirement Calculator'!J:J,MATCH('Isaac 401k'!N4311,'Retirement Calculator'!A:A,0),0),0)</f>
        <v>0</v>
      </c>
      <c r="K4311" s="455">
        <f t="shared" ca="1" si="181"/>
        <v>-41293092741.131744</v>
      </c>
      <c r="L4311" s="455">
        <f t="shared" ca="1" si="182"/>
        <v>-9951635350612.75</v>
      </c>
      <c r="M4311" s="471">
        <f t="shared" si="184"/>
        <v>0.05</v>
      </c>
      <c r="N4311" s="475">
        <f t="shared" si="185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83"/>
        <v>-9951635350612.75</v>
      </c>
      <c r="J4312" s="455">
        <f t="array" ref="J4312">IFERROR(INDEX('Retirement Calculator'!J:J,MATCH('Isaac 401k'!N4312,'Retirement Calculator'!A:A,0),0),0)</f>
        <v>0</v>
      </c>
      <c r="K4312" s="455">
        <f t="shared" ca="1" si="181"/>
        <v>-41465147294.219788</v>
      </c>
      <c r="L4312" s="455">
        <f t="shared" ca="1" si="182"/>
        <v>-9993100497906.9707</v>
      </c>
      <c r="M4312" s="471">
        <f t="shared" si="184"/>
        <v>0.05</v>
      </c>
      <c r="N4312" s="475">
        <f t="shared" si="185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83"/>
        <v>-9993100497906.9707</v>
      </c>
      <c r="J4313" s="455">
        <f t="array" ref="J4313">IFERROR(INDEX('Retirement Calculator'!J:J,MATCH('Isaac 401k'!N4313,'Retirement Calculator'!A:A,0),0),0)</f>
        <v>0</v>
      </c>
      <c r="K4313" s="455">
        <f t="shared" ca="1" si="181"/>
        <v>-41637918741.279045</v>
      </c>
      <c r="L4313" s="455">
        <f t="shared" ca="1" si="182"/>
        <v>-10034738416648.25</v>
      </c>
      <c r="M4313" s="471">
        <f t="shared" si="184"/>
        <v>0.05</v>
      </c>
      <c r="N4313" s="475">
        <f t="shared" si="185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83"/>
        <v>-10034738416648.25</v>
      </c>
      <c r="J4314" s="455">
        <f t="array" ref="J4314">IFERROR(INDEX('Retirement Calculator'!J:J,MATCH('Isaac 401k'!N4314,'Retirement Calculator'!A:A,0),0),0)</f>
        <v>0</v>
      </c>
      <c r="K4314" s="455">
        <f t="shared" ca="1" si="181"/>
        <v>-41811410069.367706</v>
      </c>
      <c r="L4314" s="455">
        <f t="shared" ca="1" si="182"/>
        <v>-10076549826717.617</v>
      </c>
      <c r="M4314" s="471">
        <f t="shared" si="184"/>
        <v>0.05</v>
      </c>
      <c r="N4314" s="475">
        <f t="shared" si="185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83"/>
        <v>-10076549826717.617</v>
      </c>
      <c r="J4315" s="455">
        <f t="array" ref="J4315">IFERROR(INDEX('Retirement Calculator'!J:J,MATCH('Isaac 401k'!N4315,'Retirement Calculator'!A:A,0),0),0)</f>
        <v>0</v>
      </c>
      <c r="K4315" s="455">
        <f t="shared" ca="1" si="181"/>
        <v>-41985624277.990074</v>
      </c>
      <c r="L4315" s="455">
        <f t="shared" ca="1" si="182"/>
        <v>-10118535450995.607</v>
      </c>
      <c r="M4315" s="471">
        <f t="shared" si="184"/>
        <v>0.05</v>
      </c>
      <c r="N4315" s="475">
        <f t="shared" si="185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83"/>
        <v>-10118535450995.607</v>
      </c>
      <c r="J4316" s="455">
        <f t="array" ref="J4316">IFERROR(INDEX('Retirement Calculator'!J:J,MATCH('Isaac 401k'!N4316,'Retirement Calculator'!A:A,0),0),0)</f>
        <v>0</v>
      </c>
      <c r="K4316" s="455">
        <f t="shared" ca="1" si="181"/>
        <v>-42160564379.148361</v>
      </c>
      <c r="L4316" s="455">
        <f t="shared" ca="1" si="182"/>
        <v>-10160696015374.756</v>
      </c>
      <c r="M4316" s="471">
        <f t="shared" si="184"/>
        <v>0.05</v>
      </c>
      <c r="N4316" s="475">
        <f t="shared" si="185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83"/>
        <v>-10160696015374.756</v>
      </c>
      <c r="J4317" s="455">
        <f t="array" ref="J4317">IFERROR(INDEX('Retirement Calculator'!J:J,MATCH('Isaac 401k'!N4317,'Retirement Calculator'!A:A,0),0),0)</f>
        <v>0</v>
      </c>
      <c r="K4317" s="455">
        <f t="shared" ca="1" si="181"/>
        <v>-42336233397.394814</v>
      </c>
      <c r="L4317" s="455">
        <f t="shared" ca="1" si="182"/>
        <v>-10203032248772.15</v>
      </c>
      <c r="M4317" s="471">
        <f t="shared" si="184"/>
        <v>0.05</v>
      </c>
      <c r="N4317" s="475">
        <f t="shared" si="185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83"/>
        <v>-10203032248772.15</v>
      </c>
      <c r="J4318" s="455">
        <f t="array" ref="J4318">IFERROR(INDEX('Retirement Calculator'!J:J,MATCH('Isaac 401k'!N4318,'Retirement Calculator'!A:A,0),0),0)</f>
        <v>0</v>
      </c>
      <c r="K4318" s="455">
        <f t="shared" ca="1" si="181"/>
        <v>-42512634369.883957</v>
      </c>
      <c r="L4318" s="455">
        <f t="shared" ca="1" si="182"/>
        <v>-10245544883142.035</v>
      </c>
      <c r="M4318" s="471">
        <f t="shared" si="184"/>
        <v>0.05</v>
      </c>
      <c r="N4318" s="475">
        <f t="shared" si="185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83"/>
        <v>-10245544883142.035</v>
      </c>
      <c r="J4319" s="455">
        <f t="array" ref="J4319">IFERROR(INDEX('Retirement Calculator'!J:J,MATCH('Isaac 401k'!N4319,'Retirement Calculator'!A:A,0),0),0)</f>
        <v>0</v>
      </c>
      <c r="K4319" s="455">
        <f t="shared" ca="1" si="181"/>
        <v>-42689770346.425148</v>
      </c>
      <c r="L4319" s="455">
        <f t="shared" ca="1" si="182"/>
        <v>-10288234653488.461</v>
      </c>
      <c r="M4319" s="471">
        <f t="shared" si="184"/>
        <v>0.05</v>
      </c>
      <c r="N4319" s="475">
        <f t="shared" si="185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83"/>
        <v>-10288234653488.461</v>
      </c>
      <c r="J4320" s="455">
        <f t="array" ref="J4320">IFERROR(INDEX('Retirement Calculator'!J:J,MATCH('Isaac 401k'!N4320,'Retirement Calculator'!A:A,0),0),0)</f>
        <v>0</v>
      </c>
      <c r="K4320" s="455">
        <f t="shared" ca="1" si="181"/>
        <v>-42867644389.535255</v>
      </c>
      <c r="L4320" s="455">
        <f t="shared" ca="1" si="182"/>
        <v>-10331102297877.996</v>
      </c>
      <c r="M4320" s="471">
        <f t="shared" si="184"/>
        <v>0.05</v>
      </c>
      <c r="N4320" s="475">
        <f t="shared" si="185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83"/>
        <v>-10331102297877.996</v>
      </c>
      <c r="J4321" s="455">
        <f t="array" ref="J4321">IFERROR(INDEX('Retirement Calculator'!J:J,MATCH('Isaac 401k'!N4321,'Retirement Calculator'!A:A,0),0),0)</f>
        <v>0</v>
      </c>
      <c r="K4321" s="455">
        <f t="shared" ca="1" si="181"/>
        <v>-43046259574.491653</v>
      </c>
      <c r="L4321" s="455">
        <f t="shared" ca="1" si="182"/>
        <v>-10374148557452.488</v>
      </c>
      <c r="M4321" s="471">
        <f t="shared" si="184"/>
        <v>0.05</v>
      </c>
      <c r="N4321" s="475">
        <f t="shared" si="185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83"/>
        <v>-10374148557452.488</v>
      </c>
      <c r="J4322" s="455">
        <f t="array" ref="J4322">IFERROR(INDEX('Retirement Calculator'!J:J,MATCH('Isaac 401k'!N4322,'Retirement Calculator'!A:A,0),0),0)</f>
        <v>0</v>
      </c>
      <c r="K4322" s="455">
        <f t="shared" ca="1" si="181"/>
        <v>-43225618989.385368</v>
      </c>
      <c r="L4322" s="455">
        <f t="shared" ca="1" si="182"/>
        <v>-10417374176441.873</v>
      </c>
      <c r="M4322" s="471">
        <f t="shared" si="184"/>
        <v>0.05</v>
      </c>
      <c r="N4322" s="475">
        <f t="shared" si="185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83"/>
        <v>-10417374176441.873</v>
      </c>
      <c r="J4323" s="455">
        <f t="array" ref="J4323">IFERROR(INDEX('Retirement Calculator'!J:J,MATCH('Isaac 401k'!N4323,'Retirement Calculator'!A:A,0),0),0)</f>
        <v>0</v>
      </c>
      <c r="K4323" s="455">
        <f t="shared" ca="1" si="181"/>
        <v>-43405725735.174469</v>
      </c>
      <c r="L4323" s="455">
        <f t="shared" ca="1" si="182"/>
        <v>-10460779902177.047</v>
      </c>
      <c r="M4323" s="471">
        <f t="shared" si="184"/>
        <v>0.05</v>
      </c>
      <c r="N4323" s="475">
        <f t="shared" si="185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83"/>
        <v>-10460779902177.047</v>
      </c>
      <c r="J4324" s="455">
        <f t="array" ref="J4324">IFERROR(INDEX('Retirement Calculator'!J:J,MATCH('Isaac 401k'!N4324,'Retirement Calculator'!A:A,0),0),0)</f>
        <v>0</v>
      </c>
      <c r="K4324" s="455">
        <f t="shared" ca="1" si="181"/>
        <v>-43586582925.737694</v>
      </c>
      <c r="L4324" s="455">
        <f t="shared" ca="1" si="182"/>
        <v>-10504366485102.785</v>
      </c>
      <c r="M4324" s="471">
        <f t="shared" si="184"/>
        <v>0.05</v>
      </c>
      <c r="N4324" s="475">
        <f t="shared" si="185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83"/>
        <v>-10504366485102.785</v>
      </c>
      <c r="J4325" s="455">
        <f t="array" ref="J4325">IFERROR(INDEX('Retirement Calculator'!J:J,MATCH('Isaac 401k'!N4325,'Retirement Calculator'!A:A,0),0),0)</f>
        <v>0</v>
      </c>
      <c r="K4325" s="455">
        <f t="shared" ca="1" si="181"/>
        <v>-43768193687.928268</v>
      </c>
      <c r="L4325" s="455">
        <f t="shared" ca="1" si="182"/>
        <v>-10548134678790.713</v>
      </c>
      <c r="M4325" s="471">
        <f t="shared" si="184"/>
        <v>0.05</v>
      </c>
      <c r="N4325" s="475">
        <f t="shared" si="185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83"/>
        <v>-10548134678790.713</v>
      </c>
      <c r="J4326" s="455">
        <f t="array" ref="J4326">IFERROR(INDEX('Retirement Calculator'!J:J,MATCH('Isaac 401k'!N4326,'Retirement Calculator'!A:A,0),0),0)</f>
        <v>0</v>
      </c>
      <c r="K4326" s="455">
        <f t="shared" ca="1" si="181"/>
        <v>-43950561161.627968</v>
      </c>
      <c r="L4326" s="455">
        <f t="shared" ca="1" si="182"/>
        <v>-10592085239952.342</v>
      </c>
      <c r="M4326" s="471">
        <f t="shared" si="184"/>
        <v>0.05</v>
      </c>
      <c r="N4326" s="475">
        <f t="shared" si="185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83"/>
        <v>-10592085239952.342</v>
      </c>
      <c r="J4327" s="455">
        <f t="array" ref="J4327">IFERROR(INDEX('Retirement Calculator'!J:J,MATCH('Isaac 401k'!N4327,'Retirement Calculator'!A:A,0),0),0)</f>
        <v>0</v>
      </c>
      <c r="K4327" s="455">
        <f t="shared" ca="1" si="181"/>
        <v>-44133688499.801422</v>
      </c>
      <c r="L4327" s="455">
        <f t="shared" ca="1" si="182"/>
        <v>-10636218928452.143</v>
      </c>
      <c r="M4327" s="471">
        <f t="shared" si="184"/>
        <v>0.05</v>
      </c>
      <c r="N4327" s="475">
        <f t="shared" si="185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83"/>
        <v>-10636218928452.143</v>
      </c>
      <c r="J4328" s="455">
        <f t="array" ref="J4328">IFERROR(INDEX('Retirement Calculator'!J:J,MATCH('Isaac 401k'!N4328,'Retirement Calculator'!A:A,0),0),0)</f>
        <v>0</v>
      </c>
      <c r="K4328" s="455">
        <f t="shared" ca="1" si="181"/>
        <v>-44317578868.550591</v>
      </c>
      <c r="L4328" s="455">
        <f t="shared" ca="1" si="182"/>
        <v>-10680536507320.693</v>
      </c>
      <c r="M4328" s="471">
        <f t="shared" si="184"/>
        <v>0.05</v>
      </c>
      <c r="N4328" s="475">
        <f t="shared" si="185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83"/>
        <v>-10680536507320.693</v>
      </c>
      <c r="J4329" s="455">
        <f t="array" ref="J4329">IFERROR(INDEX('Retirement Calculator'!J:J,MATCH('Isaac 401k'!N4329,'Retirement Calculator'!A:A,0),0),0)</f>
        <v>0</v>
      </c>
      <c r="K4329" s="455">
        <f t="shared" ca="1" si="181"/>
        <v>-44502235447.169556</v>
      </c>
      <c r="L4329" s="455">
        <f t="shared" ca="1" si="182"/>
        <v>-10725038742767.863</v>
      </c>
      <c r="M4329" s="471">
        <f t="shared" si="184"/>
        <v>0.05</v>
      </c>
      <c r="N4329" s="475">
        <f t="shared" si="185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83"/>
        <v>-10725038742767.863</v>
      </c>
      <c r="J4330" s="455">
        <f t="array" ref="J4330">IFERROR(INDEX('Retirement Calculator'!J:J,MATCH('Isaac 401k'!N4330,'Retirement Calculator'!A:A,0),0),0)</f>
        <v>0</v>
      </c>
      <c r="K4330" s="455">
        <f t="shared" ca="1" si="181"/>
        <v>-44687661428.199432</v>
      </c>
      <c r="L4330" s="455">
        <f t="shared" ca="1" si="182"/>
        <v>-10769726404196.063</v>
      </c>
      <c r="M4330" s="471">
        <f t="shared" si="184"/>
        <v>0.05</v>
      </c>
      <c r="N4330" s="475">
        <f t="shared" si="185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83"/>
        <v>-10769726404196.063</v>
      </c>
      <c r="J4331" s="455">
        <f t="array" ref="J4331">IFERROR(INDEX('Retirement Calculator'!J:J,MATCH('Isaac 401k'!N4331,'Retirement Calculator'!A:A,0),0),0)</f>
        <v>0</v>
      </c>
      <c r="K4331" s="455">
        <f t="shared" ca="1" si="181"/>
        <v>-44873860017.483597</v>
      </c>
      <c r="L4331" s="455">
        <f t="shared" ca="1" si="182"/>
        <v>-10814600264213.547</v>
      </c>
      <c r="M4331" s="471">
        <f t="shared" si="184"/>
        <v>0.05</v>
      </c>
      <c r="N4331" s="475">
        <f t="shared" si="185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83"/>
        <v>-10814600264213.547</v>
      </c>
      <c r="J4332" s="455">
        <f t="array" ref="J4332">IFERROR(INDEX('Retirement Calculator'!J:J,MATCH('Isaac 401k'!N4332,'Retirement Calculator'!A:A,0),0),0)</f>
        <v>0</v>
      </c>
      <c r="K4332" s="455">
        <f t="shared" ca="1" si="181"/>
        <v>-45060834434.223114</v>
      </c>
      <c r="L4332" s="455">
        <f t="shared" ca="1" si="182"/>
        <v>-10859661098647.77</v>
      </c>
      <c r="M4332" s="471">
        <f t="shared" si="184"/>
        <v>0.05</v>
      </c>
      <c r="N4332" s="475">
        <f t="shared" si="185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83"/>
        <v>-10859661098647.77</v>
      </c>
      <c r="J4333" s="455">
        <f t="array" ref="J4333">IFERROR(INDEX('Retirement Calculator'!J:J,MATCH('Isaac 401k'!N4333,'Retirement Calculator'!A:A,0),0),0)</f>
        <v>0</v>
      </c>
      <c r="K4333" s="455">
        <f t="shared" ca="1" si="181"/>
        <v>-45248587911.032372</v>
      </c>
      <c r="L4333" s="455">
        <f t="shared" ca="1" si="182"/>
        <v>-10904909686558.803</v>
      </c>
      <c r="M4333" s="471">
        <f t="shared" si="184"/>
        <v>0.05</v>
      </c>
      <c r="N4333" s="475">
        <f t="shared" si="185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83"/>
        <v>-10904909686558.803</v>
      </c>
      <c r="J4334" s="455">
        <f t="array" ref="J4334">IFERROR(INDEX('Retirement Calculator'!J:J,MATCH('Isaac 401k'!N4334,'Retirement Calculator'!A:A,0),0),0)</f>
        <v>0</v>
      </c>
      <c r="K4334" s="455">
        <f t="shared" ca="1" si="181"/>
        <v>-45437123693.99501</v>
      </c>
      <c r="L4334" s="455">
        <f t="shared" ca="1" si="182"/>
        <v>-10950346810252.797</v>
      </c>
      <c r="M4334" s="471">
        <f t="shared" si="184"/>
        <v>0.05</v>
      </c>
      <c r="N4334" s="475">
        <f t="shared" si="185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83"/>
        <v>-10950346810252.797</v>
      </c>
      <c r="J4335" s="455">
        <f t="array" ref="J4335">IFERROR(INDEX('Retirement Calculator'!J:J,MATCH('Isaac 401k'!N4335,'Retirement Calculator'!A:A,0),0),0)</f>
        <v>0</v>
      </c>
      <c r="K4335" s="455">
        <f t="shared" ca="1" si="181"/>
        <v>-45626445042.719986</v>
      </c>
      <c r="L4335" s="455">
        <f t="shared" ca="1" si="182"/>
        <v>-10995973255295.518</v>
      </c>
      <c r="M4335" s="471">
        <f t="shared" si="184"/>
        <v>0.05</v>
      </c>
      <c r="N4335" s="475">
        <f t="shared" si="185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83"/>
        <v>-10995973255295.518</v>
      </c>
      <c r="J4336" s="455">
        <f t="array" ref="J4336">IFERROR(INDEX('Retirement Calculator'!J:J,MATCH('Isaac 401k'!N4336,'Retirement Calculator'!A:A,0),0),0)</f>
        <v>0</v>
      </c>
      <c r="K4336" s="455">
        <f t="shared" ca="1" si="181"/>
        <v>-45816555230.397987</v>
      </c>
      <c r="L4336" s="455">
        <f t="shared" ca="1" si="182"/>
        <v>-11041789810525.916</v>
      </c>
      <c r="M4336" s="471">
        <f t="shared" si="184"/>
        <v>0.05</v>
      </c>
      <c r="N4336" s="475">
        <f t="shared" si="185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83"/>
        <v>-11041789810525.916</v>
      </c>
      <c r="J4337" s="455">
        <f t="array" ref="J4337">IFERROR(INDEX('Retirement Calculator'!J:J,MATCH('Isaac 401k'!N4337,'Retirement Calculator'!A:A,0),0),0)</f>
        <v>0</v>
      </c>
      <c r="K4337" s="455">
        <f t="shared" ca="1" si="181"/>
        <v>-46007457543.857986</v>
      </c>
      <c r="L4337" s="455">
        <f t="shared" ca="1" si="182"/>
        <v>-11087797268069.773</v>
      </c>
      <c r="M4337" s="471">
        <f t="shared" si="184"/>
        <v>0.05</v>
      </c>
      <c r="N4337" s="475">
        <f t="shared" si="185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83"/>
        <v>-11087797268069.773</v>
      </c>
      <c r="J4338" s="455">
        <f t="array" ref="J4338">IFERROR(INDEX('Retirement Calculator'!J:J,MATCH('Isaac 401k'!N4338,'Retirement Calculator'!A:A,0),0),0)</f>
        <v>0</v>
      </c>
      <c r="K4338" s="455">
        <f t="shared" ca="1" si="181"/>
        <v>-46199155283.624054</v>
      </c>
      <c r="L4338" s="455">
        <f t="shared" ca="1" si="182"/>
        <v>-11133996423353.398</v>
      </c>
      <c r="M4338" s="471">
        <f t="shared" si="184"/>
        <v>0.05</v>
      </c>
      <c r="N4338" s="475">
        <f t="shared" si="185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83"/>
        <v>-11133996423353.398</v>
      </c>
      <c r="J4339" s="455">
        <f t="array" ref="J4339">IFERROR(INDEX('Retirement Calculator'!J:J,MATCH('Isaac 401k'!N4339,'Retirement Calculator'!A:A,0),0),0)</f>
        <v>0</v>
      </c>
      <c r="K4339" s="455">
        <f t="shared" ca="1" si="181"/>
        <v>-46391651763.972496</v>
      </c>
      <c r="L4339" s="455">
        <f t="shared" ca="1" si="182"/>
        <v>-11180388075117.371</v>
      </c>
      <c r="M4339" s="471">
        <f t="shared" si="184"/>
        <v>0.05</v>
      </c>
      <c r="N4339" s="475">
        <f t="shared" si="185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83"/>
        <v>-11180388075117.371</v>
      </c>
      <c r="J4340" s="455">
        <f t="array" ref="J4340">IFERROR(INDEX('Retirement Calculator'!J:J,MATCH('Isaac 401k'!N4340,'Retirement Calculator'!A:A,0),0),0)</f>
        <v>0</v>
      </c>
      <c r="K4340" s="455">
        <f t="shared" ca="1" si="181"/>
        <v>-46584950312.989044</v>
      </c>
      <c r="L4340" s="455">
        <f t="shared" ca="1" si="182"/>
        <v>-11226973025430.359</v>
      </c>
      <c r="M4340" s="471">
        <f t="shared" si="184"/>
        <v>0.05</v>
      </c>
      <c r="N4340" s="475">
        <f t="shared" si="185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83"/>
        <v>-11226973025430.359</v>
      </c>
      <c r="J4341" s="455">
        <f t="array" ref="J4341">IFERROR(INDEX('Retirement Calculator'!J:J,MATCH('Isaac 401k'!N4341,'Retirement Calculator'!A:A,0),0),0)</f>
        <v>0</v>
      </c>
      <c r="K4341" s="455">
        <f t="shared" ca="1" si="181"/>
        <v>-46779054272.626495</v>
      </c>
      <c r="L4341" s="455">
        <f t="shared" ca="1" si="182"/>
        <v>-11273752079702.986</v>
      </c>
      <c r="M4341" s="471">
        <f t="shared" si="184"/>
        <v>0.05</v>
      </c>
      <c r="N4341" s="475">
        <f t="shared" si="185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83"/>
        <v>-11273752079702.986</v>
      </c>
      <c r="J4342" s="455">
        <f t="array" ref="J4342">IFERROR(INDEX('Retirement Calculator'!J:J,MATCH('Isaac 401k'!N4342,'Retirement Calculator'!A:A,0),0),0)</f>
        <v>0</v>
      </c>
      <c r="K4342" s="455">
        <f t="shared" ca="1" si="181"/>
        <v>-46973966998.762444</v>
      </c>
      <c r="L4342" s="455">
        <f t="shared" ca="1" si="182"/>
        <v>-11320726046701.748</v>
      </c>
      <c r="M4342" s="471">
        <f t="shared" si="184"/>
        <v>0.05</v>
      </c>
      <c r="N4342" s="475">
        <f t="shared" si="185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83"/>
        <v>-11320726046701.748</v>
      </c>
      <c r="J4343" s="455">
        <f t="array" ref="J4343">IFERROR(INDEX('Retirement Calculator'!J:J,MATCH('Isaac 401k'!N4343,'Retirement Calculator'!A:A,0),0),0)</f>
        <v>0</v>
      </c>
      <c r="K4343" s="455">
        <f t="shared" ref="K4343:K4597" ca="1" si="186">IPMT(M4343/12,1,12,-I4343+J4343,,0)</f>
        <v>-47169691861.257286</v>
      </c>
      <c r="L4343" s="455">
        <f t="shared" ref="L4343:L4597" ca="1" si="187">I4343-J4343+K4343</f>
        <v>-11367895738563.006</v>
      </c>
      <c r="M4343" s="471">
        <f t="shared" si="184"/>
        <v>0.05</v>
      </c>
      <c r="N4343" s="475">
        <f t="shared" si="185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88">L4343</f>
        <v>-11367895738563.006</v>
      </c>
      <c r="J4344" s="455">
        <f t="array" ref="J4344">IFERROR(INDEX('Retirement Calculator'!J:J,MATCH('Isaac 401k'!N4344,'Retirement Calculator'!A:A,0),0),0)</f>
        <v>0</v>
      </c>
      <c r="K4344" s="455">
        <f t="shared" ca="1" si="186"/>
        <v>-47366232244.012527</v>
      </c>
      <c r="L4344" s="455">
        <f t="shared" ca="1" si="187"/>
        <v>-11415261970807.018</v>
      </c>
      <c r="M4344" s="471">
        <f t="shared" ref="M4344:M4598" si="189">M4343</f>
        <v>0.05</v>
      </c>
      <c r="N4344" s="475">
        <f t="shared" ref="N4344:N4598" si="190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88"/>
        <v>-11415261970807.018</v>
      </c>
      <c r="J4345" s="455">
        <f t="array" ref="J4345">IFERROR(INDEX('Retirement Calculator'!J:J,MATCH('Isaac 401k'!N4345,'Retirement Calculator'!A:A,0),0),0)</f>
        <v>0</v>
      </c>
      <c r="K4345" s="455">
        <f t="shared" ca="1" si="186"/>
        <v>-47563591545.029236</v>
      </c>
      <c r="L4345" s="455">
        <f t="shared" ca="1" si="187"/>
        <v>-11462825562352.047</v>
      </c>
      <c r="M4345" s="471">
        <f t="shared" si="189"/>
        <v>0.05</v>
      </c>
      <c r="N4345" s="475">
        <f t="shared" si="190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88"/>
        <v>-11462825562352.047</v>
      </c>
      <c r="J4346" s="455">
        <f t="array" ref="J4346">IFERROR(INDEX('Retirement Calculator'!J:J,MATCH('Isaac 401k'!N4346,'Retirement Calculator'!A:A,0),0),0)</f>
        <v>0</v>
      </c>
      <c r="K4346" s="455">
        <f t="shared" ca="1" si="186"/>
        <v>-47761773176.466858</v>
      </c>
      <c r="L4346" s="455">
        <f t="shared" ca="1" si="187"/>
        <v>-11510587335528.514</v>
      </c>
      <c r="M4346" s="471">
        <f t="shared" si="189"/>
        <v>0.05</v>
      </c>
      <c r="N4346" s="475">
        <f t="shared" si="190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88"/>
        <v>-11510587335528.514</v>
      </c>
      <c r="J4347" s="455">
        <f t="array" ref="J4347">IFERROR(INDEX('Retirement Calculator'!J:J,MATCH('Isaac 401k'!N4347,'Retirement Calculator'!A:A,0),0),0)</f>
        <v>0</v>
      </c>
      <c r="K4347" s="455">
        <f t="shared" ca="1" si="186"/>
        <v>-47960780564.702141</v>
      </c>
      <c r="L4347" s="455">
        <f t="shared" ca="1" si="187"/>
        <v>-11558548116093.215</v>
      </c>
      <c r="M4347" s="471">
        <f t="shared" si="189"/>
        <v>0.05</v>
      </c>
      <c r="N4347" s="475">
        <f t="shared" si="190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88"/>
        <v>-11558548116093.215</v>
      </c>
      <c r="J4348" s="455">
        <f t="array" ref="J4348">IFERROR(INDEX('Retirement Calculator'!J:J,MATCH('Isaac 401k'!N4348,'Retirement Calculator'!A:A,0),0),0)</f>
        <v>0</v>
      </c>
      <c r="K4348" s="455">
        <f t="shared" ca="1" si="186"/>
        <v>-48160617150.388397</v>
      </c>
      <c r="L4348" s="455">
        <f t="shared" ca="1" si="187"/>
        <v>-11606708733243.604</v>
      </c>
      <c r="M4348" s="471">
        <f t="shared" si="189"/>
        <v>0.05</v>
      </c>
      <c r="N4348" s="475">
        <f t="shared" si="190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88"/>
        <v>-11606708733243.604</v>
      </c>
      <c r="J4349" s="455">
        <f t="array" ref="J4349">IFERROR(INDEX('Retirement Calculator'!J:J,MATCH('Isaac 401k'!N4349,'Retirement Calculator'!A:A,0),0),0)</f>
        <v>0</v>
      </c>
      <c r="K4349" s="455">
        <f t="shared" ca="1" si="186"/>
        <v>-48361286388.515015</v>
      </c>
      <c r="L4349" s="455">
        <f t="shared" ca="1" si="187"/>
        <v>-11655070019632.119</v>
      </c>
      <c r="M4349" s="471">
        <f t="shared" si="189"/>
        <v>0.05</v>
      </c>
      <c r="N4349" s="475">
        <f t="shared" si="190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88"/>
        <v>-11655070019632.119</v>
      </c>
      <c r="J4350" s="455">
        <f t="array" ref="J4350">IFERROR(INDEX('Retirement Calculator'!J:J,MATCH('Isaac 401k'!N4350,'Retirement Calculator'!A:A,0),0),0)</f>
        <v>0</v>
      </c>
      <c r="K4350" s="455">
        <f t="shared" ca="1" si="186"/>
        <v>-48562791748.467163</v>
      </c>
      <c r="L4350" s="455">
        <f t="shared" ca="1" si="187"/>
        <v>-11703632811380.586</v>
      </c>
      <c r="M4350" s="471">
        <f t="shared" si="189"/>
        <v>0.05</v>
      </c>
      <c r="N4350" s="475">
        <f t="shared" si="190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88"/>
        <v>-11703632811380.586</v>
      </c>
      <c r="J4351" s="455">
        <f t="array" ref="J4351">IFERROR(INDEX('Retirement Calculator'!J:J,MATCH('Isaac 401k'!N4351,'Retirement Calculator'!A:A,0),0),0)</f>
        <v>0</v>
      </c>
      <c r="K4351" s="455">
        <f t="shared" ca="1" si="186"/>
        <v>-48765136714.085777</v>
      </c>
      <c r="L4351" s="455">
        <f t="shared" ca="1" si="187"/>
        <v>-11752397948094.672</v>
      </c>
      <c r="M4351" s="471">
        <f t="shared" si="189"/>
        <v>0.05</v>
      </c>
      <c r="N4351" s="475">
        <f t="shared" si="190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88"/>
        <v>-11752397948094.672</v>
      </c>
      <c r="J4352" s="455">
        <f t="array" ref="J4352">IFERROR(INDEX('Retirement Calculator'!J:J,MATCH('Isaac 401k'!N4352,'Retirement Calculator'!A:A,0),0),0)</f>
        <v>0</v>
      </c>
      <c r="K4352" s="455">
        <f t="shared" ca="1" si="186"/>
        <v>-48968324783.727798</v>
      </c>
      <c r="L4352" s="455">
        <f t="shared" ca="1" si="187"/>
        <v>-11801366272878.4</v>
      </c>
      <c r="M4352" s="471">
        <f t="shared" si="189"/>
        <v>0.05</v>
      </c>
      <c r="N4352" s="475">
        <f t="shared" si="190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88"/>
        <v>-11801366272878.4</v>
      </c>
      <c r="J4353" s="455">
        <f t="array" ref="J4353">IFERROR(INDEX('Retirement Calculator'!J:J,MATCH('Isaac 401k'!N4353,'Retirement Calculator'!A:A,0),0),0)</f>
        <v>0</v>
      </c>
      <c r="K4353" s="455">
        <f t="shared" ca="1" si="186"/>
        <v>-49172359470.326668</v>
      </c>
      <c r="L4353" s="455">
        <f t="shared" ca="1" si="187"/>
        <v>-11850538632348.727</v>
      </c>
      <c r="M4353" s="471">
        <f t="shared" si="189"/>
        <v>0.05</v>
      </c>
      <c r="N4353" s="475">
        <f t="shared" si="190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88"/>
        <v>-11850538632348.727</v>
      </c>
      <c r="J4354" s="455">
        <f t="array" ref="J4354">IFERROR(INDEX('Retirement Calculator'!J:J,MATCH('Isaac 401k'!N4354,'Retirement Calculator'!A:A,0),0),0)</f>
        <v>0</v>
      </c>
      <c r="K4354" s="455">
        <f t="shared" ca="1" si="186"/>
        <v>-49377244301.453026</v>
      </c>
      <c r="L4354" s="455">
        <f t="shared" ca="1" si="187"/>
        <v>-11899915876650.18</v>
      </c>
      <c r="M4354" s="471">
        <f t="shared" si="189"/>
        <v>0.05</v>
      </c>
      <c r="N4354" s="475">
        <f t="shared" si="190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88"/>
        <v>-11899915876650.18</v>
      </c>
      <c r="J4355" s="455">
        <f t="array" ref="J4355">IFERROR(INDEX('Retirement Calculator'!J:J,MATCH('Isaac 401k'!N4355,'Retirement Calculator'!A:A,0),0),0)</f>
        <v>0</v>
      </c>
      <c r="K4355" s="455">
        <f t="shared" ca="1" si="186"/>
        <v>-49582982819.375748</v>
      </c>
      <c r="L4355" s="455">
        <f t="shared" ca="1" si="187"/>
        <v>-11949498859469.555</v>
      </c>
      <c r="M4355" s="471">
        <f t="shared" si="189"/>
        <v>0.05</v>
      </c>
      <c r="N4355" s="475">
        <f t="shared" si="190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88"/>
        <v>-11949498859469.555</v>
      </c>
      <c r="J4356" s="455">
        <f t="array" ref="J4356">IFERROR(INDEX('Retirement Calculator'!J:J,MATCH('Isaac 401k'!N4356,'Retirement Calculator'!A:A,0),0),0)</f>
        <v>0</v>
      </c>
      <c r="K4356" s="455">
        <f t="shared" ca="1" si="186"/>
        <v>-49789578581.123146</v>
      </c>
      <c r="L4356" s="455">
        <f t="shared" ca="1" si="187"/>
        <v>-11999288438050.678</v>
      </c>
      <c r="M4356" s="471">
        <f t="shared" si="189"/>
        <v>0.05</v>
      </c>
      <c r="N4356" s="475">
        <f t="shared" si="190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88"/>
        <v>-11999288438050.678</v>
      </c>
      <c r="J4357" s="455">
        <f t="array" ref="J4357">IFERROR(INDEX('Retirement Calculator'!J:J,MATCH('Isaac 401k'!N4357,'Retirement Calculator'!A:A,0),0),0)</f>
        <v>0</v>
      </c>
      <c r="K4357" s="455">
        <f t="shared" ca="1" si="186"/>
        <v>-49997035158.544487</v>
      </c>
      <c r="L4357" s="455">
        <f t="shared" ca="1" si="187"/>
        <v>-12049285473209.223</v>
      </c>
      <c r="M4357" s="471">
        <f t="shared" si="189"/>
        <v>0.05</v>
      </c>
      <c r="N4357" s="475">
        <f t="shared" si="190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88"/>
        <v>-12049285473209.223</v>
      </c>
      <c r="J4358" s="455">
        <f t="array" ref="J4358">IFERROR(INDEX('Retirement Calculator'!J:J,MATCH('Isaac 401k'!N4358,'Retirement Calculator'!A:A,0),0),0)</f>
        <v>0</v>
      </c>
      <c r="K4358" s="455">
        <f t="shared" ca="1" si="186"/>
        <v>-50205356138.371758</v>
      </c>
      <c r="L4358" s="455">
        <f t="shared" ca="1" si="187"/>
        <v>-12099490829347.594</v>
      </c>
      <c r="M4358" s="471">
        <f t="shared" si="189"/>
        <v>0.05</v>
      </c>
      <c r="N4358" s="475">
        <f t="shared" si="190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88"/>
        <v>-12099490829347.594</v>
      </c>
      <c r="J4359" s="455">
        <f t="array" ref="J4359">IFERROR(INDEX('Retirement Calculator'!J:J,MATCH('Isaac 401k'!N4359,'Retirement Calculator'!A:A,0),0),0)</f>
        <v>0</v>
      </c>
      <c r="K4359" s="455">
        <f t="shared" ca="1" si="186"/>
        <v>-50414545122.281639</v>
      </c>
      <c r="L4359" s="455">
        <f t="shared" ca="1" si="187"/>
        <v>-12149905374469.875</v>
      </c>
      <c r="M4359" s="471">
        <f t="shared" si="189"/>
        <v>0.05</v>
      </c>
      <c r="N4359" s="475">
        <f t="shared" si="190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88"/>
        <v>-12149905374469.875</v>
      </c>
      <c r="J4360" s="455">
        <f t="array" ref="J4360">IFERROR(INDEX('Retirement Calculator'!J:J,MATCH('Isaac 401k'!N4360,'Retirement Calculator'!A:A,0),0),0)</f>
        <v>0</v>
      </c>
      <c r="K4360" s="455">
        <f t="shared" ca="1" si="186"/>
        <v>-50624605726.957809</v>
      </c>
      <c r="L4360" s="455">
        <f t="shared" ca="1" si="187"/>
        <v>-12200529980196.832</v>
      </c>
      <c r="M4360" s="471">
        <f t="shared" si="189"/>
        <v>0.05</v>
      </c>
      <c r="N4360" s="475">
        <f t="shared" si="190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88"/>
        <v>-12200529980196.832</v>
      </c>
      <c r="J4361" s="455">
        <f t="array" ref="J4361">IFERROR(INDEX('Retirement Calculator'!J:J,MATCH('Isaac 401k'!N4361,'Retirement Calculator'!A:A,0),0),0)</f>
        <v>0</v>
      </c>
      <c r="K4361" s="455">
        <f t="shared" ca="1" si="186"/>
        <v>-50835541584.153465</v>
      </c>
      <c r="L4361" s="455">
        <f t="shared" ca="1" si="187"/>
        <v>-12251365521780.986</v>
      </c>
      <c r="M4361" s="471">
        <f t="shared" si="189"/>
        <v>0.05</v>
      </c>
      <c r="N4361" s="475">
        <f t="shared" si="190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88"/>
        <v>-12251365521780.986</v>
      </c>
      <c r="J4362" s="455">
        <f t="array" ref="J4362">IFERROR(INDEX('Retirement Calculator'!J:J,MATCH('Isaac 401k'!N4362,'Retirement Calculator'!A:A,0),0),0)</f>
        <v>0</v>
      </c>
      <c r="K4362" s="455">
        <f t="shared" ca="1" si="186"/>
        <v>-51047356340.754112</v>
      </c>
      <c r="L4362" s="455">
        <f t="shared" ca="1" si="187"/>
        <v>-12302412878121.74</v>
      </c>
      <c r="M4362" s="471">
        <f t="shared" si="189"/>
        <v>0.05</v>
      </c>
      <c r="N4362" s="475">
        <f t="shared" si="190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88"/>
        <v>-12302412878121.74</v>
      </c>
      <c r="J4363" s="455">
        <f t="array" ref="J4363">IFERROR(INDEX('Retirement Calculator'!J:J,MATCH('Isaac 401k'!N4363,'Retirement Calculator'!A:A,0),0),0)</f>
        <v>0</v>
      </c>
      <c r="K4363" s="455">
        <f t="shared" ca="1" si="186"/>
        <v>-51260053658.840584</v>
      </c>
      <c r="L4363" s="455">
        <f t="shared" ca="1" si="187"/>
        <v>-12353672931780.58</v>
      </c>
      <c r="M4363" s="471">
        <f t="shared" si="189"/>
        <v>0.05</v>
      </c>
      <c r="N4363" s="475">
        <f t="shared" si="190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88"/>
        <v>-12353672931780.58</v>
      </c>
      <c r="J4364" s="455">
        <f t="array" ref="J4364">IFERROR(INDEX('Retirement Calculator'!J:J,MATCH('Isaac 401k'!N4364,'Retirement Calculator'!A:A,0),0),0)</f>
        <v>0</v>
      </c>
      <c r="K4364" s="455">
        <f t="shared" ca="1" si="186"/>
        <v>-51473637215.752419</v>
      </c>
      <c r="L4364" s="455">
        <f t="shared" ca="1" si="187"/>
        <v>-12405146568996.332</v>
      </c>
      <c r="M4364" s="471">
        <f t="shared" si="189"/>
        <v>0.05</v>
      </c>
      <c r="N4364" s="475">
        <f t="shared" si="190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88"/>
        <v>-12405146568996.332</v>
      </c>
      <c r="J4365" s="455">
        <f t="array" ref="J4365">IFERROR(INDEX('Retirement Calculator'!J:J,MATCH('Isaac 401k'!N4365,'Retirement Calculator'!A:A,0),0),0)</f>
        <v>0</v>
      </c>
      <c r="K4365" s="455">
        <f t="shared" ca="1" si="186"/>
        <v>-51688110704.151382</v>
      </c>
      <c r="L4365" s="455">
        <f t="shared" ca="1" si="187"/>
        <v>-12456834679700.484</v>
      </c>
      <c r="M4365" s="471">
        <f t="shared" si="189"/>
        <v>0.05</v>
      </c>
      <c r="N4365" s="475">
        <f t="shared" si="190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88"/>
        <v>-12456834679700.484</v>
      </c>
      <c r="J4366" s="455">
        <f t="array" ref="J4366">IFERROR(INDEX('Retirement Calculator'!J:J,MATCH('Isaac 401k'!N4366,'Retirement Calculator'!A:A,0),0),0)</f>
        <v>0</v>
      </c>
      <c r="K4366" s="455">
        <f t="shared" ca="1" si="186"/>
        <v>-51903477832.08535</v>
      </c>
      <c r="L4366" s="455">
        <f t="shared" ca="1" si="187"/>
        <v>-12508738157532.57</v>
      </c>
      <c r="M4366" s="471">
        <f t="shared" si="189"/>
        <v>0.05</v>
      </c>
      <c r="N4366" s="475">
        <f t="shared" si="190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88"/>
        <v>-12508738157532.57</v>
      </c>
      <c r="J4367" s="455">
        <f t="array" ref="J4367">IFERROR(INDEX('Retirement Calculator'!J:J,MATCH('Isaac 401k'!N4367,'Retirement Calculator'!A:A,0),0),0)</f>
        <v>0</v>
      </c>
      <c r="K4367" s="455">
        <f t="shared" ca="1" si="186"/>
        <v>-52119742323.052376</v>
      </c>
      <c r="L4367" s="455">
        <f t="shared" ca="1" si="187"/>
        <v>-12560857899855.623</v>
      </c>
      <c r="M4367" s="471">
        <f t="shared" si="189"/>
        <v>0.05</v>
      </c>
      <c r="N4367" s="475">
        <f t="shared" si="190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88"/>
        <v>-12560857899855.623</v>
      </c>
      <c r="J4368" s="455">
        <f t="array" ref="J4368">IFERROR(INDEX('Retirement Calculator'!J:J,MATCH('Isaac 401k'!N4368,'Retirement Calculator'!A:A,0),0),0)</f>
        <v>0</v>
      </c>
      <c r="K4368" s="455">
        <f t="shared" ca="1" si="186"/>
        <v>-52336907916.065094</v>
      </c>
      <c r="L4368" s="455">
        <f t="shared" ca="1" si="187"/>
        <v>-12613194807771.688</v>
      </c>
      <c r="M4368" s="471">
        <f t="shared" si="189"/>
        <v>0.05</v>
      </c>
      <c r="N4368" s="475">
        <f t="shared" si="190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88"/>
        <v>-12613194807771.688</v>
      </c>
      <c r="J4369" s="455">
        <f t="array" ref="J4369">IFERROR(INDEX('Retirement Calculator'!J:J,MATCH('Isaac 401k'!N4369,'Retirement Calculator'!A:A,0),0),0)</f>
        <v>0</v>
      </c>
      <c r="K4369" s="455">
        <f t="shared" ca="1" si="186"/>
        <v>-52554978365.715363</v>
      </c>
      <c r="L4369" s="455">
        <f t="shared" ca="1" si="187"/>
        <v>-12665749786137.402</v>
      </c>
      <c r="M4369" s="471">
        <f t="shared" si="189"/>
        <v>0.05</v>
      </c>
      <c r="N4369" s="475">
        <f t="shared" si="190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88"/>
        <v>-12665749786137.402</v>
      </c>
      <c r="J4370" s="455">
        <f t="array" ref="J4370">IFERROR(INDEX('Retirement Calculator'!J:J,MATCH('Isaac 401k'!N4370,'Retirement Calculator'!A:A,0),0),0)</f>
        <v>0</v>
      </c>
      <c r="K4370" s="455">
        <f t="shared" ca="1" si="186"/>
        <v>-52773957442.239174</v>
      </c>
      <c r="L4370" s="455">
        <f t="shared" ca="1" si="187"/>
        <v>-12718523743579.641</v>
      </c>
      <c r="M4370" s="471">
        <f t="shared" si="189"/>
        <v>0.05</v>
      </c>
      <c r="N4370" s="475">
        <f t="shared" si="190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88"/>
        <v>-12718523743579.641</v>
      </c>
      <c r="J4371" s="455">
        <f t="array" ref="J4371">IFERROR(INDEX('Retirement Calculator'!J:J,MATCH('Isaac 401k'!N4371,'Retirement Calculator'!A:A,0),0),0)</f>
        <v>0</v>
      </c>
      <c r="K4371" s="455">
        <f t="shared" ca="1" si="186"/>
        <v>-52993848931.581833</v>
      </c>
      <c r="L4371" s="455">
        <f t="shared" ca="1" si="187"/>
        <v>-12771517592511.223</v>
      </c>
      <c r="M4371" s="471">
        <f t="shared" si="189"/>
        <v>0.05</v>
      </c>
      <c r="N4371" s="475">
        <f t="shared" si="190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88"/>
        <v>-12771517592511.223</v>
      </c>
      <c r="J4372" s="455">
        <f t="array" ref="J4372">IFERROR(INDEX('Retirement Calculator'!J:J,MATCH('Isaac 401k'!N4372,'Retirement Calculator'!A:A,0),0),0)</f>
        <v>0</v>
      </c>
      <c r="K4372" s="455">
        <f t="shared" ca="1" si="186"/>
        <v>-53214656635.463425</v>
      </c>
      <c r="L4372" s="455">
        <f t="shared" ca="1" si="187"/>
        <v>-12824732249146.686</v>
      </c>
      <c r="M4372" s="471">
        <f t="shared" si="189"/>
        <v>0.05</v>
      </c>
      <c r="N4372" s="475">
        <f t="shared" si="190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88"/>
        <v>-12824732249146.686</v>
      </c>
      <c r="J4373" s="455">
        <f t="array" ref="J4373">IFERROR(INDEX('Retirement Calculator'!J:J,MATCH('Isaac 401k'!N4373,'Retirement Calculator'!A:A,0),0),0)</f>
        <v>0</v>
      </c>
      <c r="K4373" s="455">
        <f t="shared" ca="1" si="186"/>
        <v>-53436384371.444519</v>
      </c>
      <c r="L4373" s="455">
        <f t="shared" ca="1" si="187"/>
        <v>-12878168633518.131</v>
      </c>
      <c r="M4373" s="471">
        <f t="shared" si="189"/>
        <v>0.05</v>
      </c>
      <c r="N4373" s="475">
        <f t="shared" si="190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88"/>
        <v>-12878168633518.131</v>
      </c>
      <c r="J4374" s="455">
        <f t="array" ref="J4374">IFERROR(INDEX('Retirement Calculator'!J:J,MATCH('Isaac 401k'!N4374,'Retirement Calculator'!A:A,0),0),0)</f>
        <v>0</v>
      </c>
      <c r="K4374" s="455">
        <f t="shared" ca="1" si="186"/>
        <v>-53659035972.99221</v>
      </c>
      <c r="L4374" s="455">
        <f t="shared" ca="1" si="187"/>
        <v>-12931827669491.123</v>
      </c>
      <c r="M4374" s="471">
        <f t="shared" si="189"/>
        <v>0.05</v>
      </c>
      <c r="N4374" s="475">
        <f t="shared" si="190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88"/>
        <v>-12931827669491.123</v>
      </c>
      <c r="J4375" s="455">
        <f t="array" ref="J4375">IFERROR(INDEX('Retirement Calculator'!J:J,MATCH('Isaac 401k'!N4375,'Retirement Calculator'!A:A,0),0),0)</f>
        <v>0</v>
      </c>
      <c r="K4375" s="455">
        <f t="shared" ca="1" si="186"/>
        <v>-53882615289.546349</v>
      </c>
      <c r="L4375" s="455">
        <f t="shared" ca="1" si="187"/>
        <v>-12985710284780.67</v>
      </c>
      <c r="M4375" s="471">
        <f t="shared" si="189"/>
        <v>0.05</v>
      </c>
      <c r="N4375" s="475">
        <f t="shared" si="190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88"/>
        <v>-12985710284780.67</v>
      </c>
      <c r="J4376" s="455">
        <f t="array" ref="J4376">IFERROR(INDEX('Retirement Calculator'!J:J,MATCH('Isaac 401k'!N4376,'Retirement Calculator'!A:A,0),0),0)</f>
        <v>0</v>
      </c>
      <c r="K4376" s="455">
        <f t="shared" ca="1" si="186"/>
        <v>-54107126186.586121</v>
      </c>
      <c r="L4376" s="455">
        <f t="shared" ca="1" si="187"/>
        <v>-13039817410967.256</v>
      </c>
      <c r="M4376" s="471">
        <f t="shared" si="189"/>
        <v>0.05</v>
      </c>
      <c r="N4376" s="475">
        <f t="shared" si="190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88"/>
        <v>-13039817410967.256</v>
      </c>
      <c r="J4377" s="455">
        <f t="array" ref="J4377">IFERROR(INDEX('Retirement Calculator'!J:J,MATCH('Isaac 401k'!N4377,'Retirement Calculator'!A:A,0),0),0)</f>
        <v>0</v>
      </c>
      <c r="K4377" s="455">
        <f t="shared" ca="1" si="186"/>
        <v>-54332572545.696899</v>
      </c>
      <c r="L4377" s="455">
        <f t="shared" ca="1" si="187"/>
        <v>-13094149983512.953</v>
      </c>
      <c r="M4377" s="471">
        <f t="shared" si="189"/>
        <v>0.05</v>
      </c>
      <c r="N4377" s="475">
        <f t="shared" si="190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88"/>
        <v>-13094149983512.953</v>
      </c>
      <c r="J4378" s="455">
        <f t="array" ref="J4378">IFERROR(INDEX('Retirement Calculator'!J:J,MATCH('Isaac 401k'!N4378,'Retirement Calculator'!A:A,0),0),0)</f>
        <v>0</v>
      </c>
      <c r="K4378" s="455">
        <f t="shared" ca="1" si="186"/>
        <v>-54558958264.637306</v>
      </c>
      <c r="L4378" s="455">
        <f t="shared" ca="1" si="187"/>
        <v>-13148708941777.59</v>
      </c>
      <c r="M4378" s="471">
        <f t="shared" si="189"/>
        <v>0.05</v>
      </c>
      <c r="N4378" s="475">
        <f t="shared" si="190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88"/>
        <v>-13148708941777.59</v>
      </c>
      <c r="J4379" s="455">
        <f t="array" ref="J4379">IFERROR(INDEX('Retirement Calculator'!J:J,MATCH('Isaac 401k'!N4379,'Retirement Calculator'!A:A,0),0),0)</f>
        <v>0</v>
      </c>
      <c r="K4379" s="455">
        <f t="shared" ca="1" si="186"/>
        <v>-54786287257.406624</v>
      </c>
      <c r="L4379" s="455">
        <f t="shared" ca="1" si="187"/>
        <v>-13203495229034.996</v>
      </c>
      <c r="M4379" s="471">
        <f t="shared" si="189"/>
        <v>0.05</v>
      </c>
      <c r="N4379" s="475">
        <f t="shared" si="190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88"/>
        <v>-13203495229034.996</v>
      </c>
      <c r="J4380" s="455">
        <f t="array" ref="J4380">IFERROR(INDEX('Retirement Calculator'!J:J,MATCH('Isaac 401k'!N4380,'Retirement Calculator'!A:A,0),0),0)</f>
        <v>0</v>
      </c>
      <c r="K4380" s="455">
        <f t="shared" ca="1" si="186"/>
        <v>-55014563454.312485</v>
      </c>
      <c r="L4380" s="455">
        <f t="shared" ca="1" si="187"/>
        <v>-13258509792489.309</v>
      </c>
      <c r="M4380" s="471">
        <f t="shared" si="189"/>
        <v>0.05</v>
      </c>
      <c r="N4380" s="475">
        <f t="shared" si="190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88"/>
        <v>-13258509792489.309</v>
      </c>
      <c r="J4381" s="455">
        <f t="array" ref="J4381">IFERROR(INDEX('Retirement Calculator'!J:J,MATCH('Isaac 401k'!N4381,'Retirement Calculator'!A:A,0),0),0)</f>
        <v>0</v>
      </c>
      <c r="K4381" s="455">
        <f t="shared" ca="1" si="186"/>
        <v>-55243790802.038788</v>
      </c>
      <c r="L4381" s="455">
        <f t="shared" ca="1" si="187"/>
        <v>-13313753583291.348</v>
      </c>
      <c r="M4381" s="471">
        <f t="shared" si="189"/>
        <v>0.05</v>
      </c>
      <c r="N4381" s="475">
        <f t="shared" si="190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88"/>
        <v>-13313753583291.348</v>
      </c>
      <c r="J4382" s="455">
        <f t="array" ref="J4382">IFERROR(INDEX('Retirement Calculator'!J:J,MATCH('Isaac 401k'!N4382,'Retirement Calculator'!A:A,0),0),0)</f>
        <v>0</v>
      </c>
      <c r="K4382" s="455">
        <f t="shared" ca="1" si="186"/>
        <v>-55473973263.713951</v>
      </c>
      <c r="L4382" s="455">
        <f t="shared" ca="1" si="187"/>
        <v>-13369227556555.063</v>
      </c>
      <c r="M4382" s="471">
        <f t="shared" si="189"/>
        <v>0.05</v>
      </c>
      <c r="N4382" s="475">
        <f t="shared" si="190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88"/>
        <v>-13369227556555.063</v>
      </c>
      <c r="J4383" s="455">
        <f t="array" ref="J4383">IFERROR(INDEX('Retirement Calculator'!J:J,MATCH('Isaac 401k'!N4383,'Retirement Calculator'!A:A,0),0),0)</f>
        <v>0</v>
      </c>
      <c r="K4383" s="455">
        <f t="shared" ca="1" si="186"/>
        <v>-55705114818.979424</v>
      </c>
      <c r="L4383" s="455">
        <f t="shared" ca="1" si="187"/>
        <v>-13424932671374.041</v>
      </c>
      <c r="M4383" s="471">
        <f t="shared" si="189"/>
        <v>0.05</v>
      </c>
      <c r="N4383" s="475">
        <f t="shared" si="190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88"/>
        <v>-13424932671374.041</v>
      </c>
      <c r="J4384" s="455">
        <f t="array" ref="J4384">IFERROR(INDEX('Retirement Calculator'!J:J,MATCH('Isaac 401k'!N4384,'Retirement Calculator'!A:A,0),0),0)</f>
        <v>0</v>
      </c>
      <c r="K4384" s="455">
        <f t="shared" ca="1" si="186"/>
        <v>-55937219464.058502</v>
      </c>
      <c r="L4384" s="455">
        <f t="shared" ca="1" si="187"/>
        <v>-13480869890838.1</v>
      </c>
      <c r="M4384" s="471">
        <f t="shared" si="189"/>
        <v>0.05</v>
      </c>
      <c r="N4384" s="475">
        <f t="shared" si="190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88"/>
        <v>-13480869890838.1</v>
      </c>
      <c r="J4385" s="455">
        <f t="array" ref="J4385">IFERROR(INDEX('Retirement Calculator'!J:J,MATCH('Isaac 401k'!N4385,'Retirement Calculator'!A:A,0),0),0)</f>
        <v>0</v>
      </c>
      <c r="K4385" s="455">
        <f t="shared" ca="1" si="186"/>
        <v>-56170291211.825417</v>
      </c>
      <c r="L4385" s="455">
        <f t="shared" ca="1" si="187"/>
        <v>-13537040182049.926</v>
      </c>
      <c r="M4385" s="471">
        <f t="shared" si="189"/>
        <v>0.05</v>
      </c>
      <c r="N4385" s="475">
        <f t="shared" si="190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88"/>
        <v>-13537040182049.926</v>
      </c>
      <c r="J4386" s="455">
        <f t="array" ref="J4386">IFERROR(INDEX('Retirement Calculator'!J:J,MATCH('Isaac 401k'!N4386,'Retirement Calculator'!A:A,0),0),0)</f>
        <v>0</v>
      </c>
      <c r="K4386" s="455">
        <f t="shared" ca="1" si="186"/>
        <v>-56404334091.874687</v>
      </c>
      <c r="L4386" s="455">
        <f t="shared" ca="1" si="187"/>
        <v>-13593444516141.801</v>
      </c>
      <c r="M4386" s="471">
        <f t="shared" si="189"/>
        <v>0.05</v>
      </c>
      <c r="N4386" s="475">
        <f t="shared" si="190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88"/>
        <v>-13593444516141.801</v>
      </c>
      <c r="J4387" s="455">
        <f t="array" ref="J4387">IFERROR(INDEX('Retirement Calculator'!J:J,MATCH('Isaac 401k'!N4387,'Retirement Calculator'!A:A,0),0),0)</f>
        <v>0</v>
      </c>
      <c r="K4387" s="455">
        <f t="shared" ca="1" si="186"/>
        <v>-56639352150.590836</v>
      </c>
      <c r="L4387" s="455">
        <f t="shared" ca="1" si="187"/>
        <v>-13650083868292.393</v>
      </c>
      <c r="M4387" s="471">
        <f t="shared" si="189"/>
        <v>0.05</v>
      </c>
      <c r="N4387" s="475">
        <f t="shared" si="190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88"/>
        <v>-13650083868292.393</v>
      </c>
      <c r="J4388" s="455">
        <f t="array" ref="J4388">IFERROR(INDEX('Retirement Calculator'!J:J,MATCH('Isaac 401k'!N4388,'Retirement Calculator'!A:A,0),0),0)</f>
        <v>0</v>
      </c>
      <c r="K4388" s="455">
        <f t="shared" ca="1" si="186"/>
        <v>-56875349451.2183</v>
      </c>
      <c r="L4388" s="455">
        <f t="shared" ca="1" si="187"/>
        <v>-13706959217743.611</v>
      </c>
      <c r="M4388" s="471">
        <f t="shared" si="189"/>
        <v>0.05</v>
      </c>
      <c r="N4388" s="475">
        <f t="shared" si="190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88"/>
        <v>-13706959217743.611</v>
      </c>
      <c r="J4389" s="455">
        <f t="array" ref="J4389">IFERROR(INDEX('Retirement Calculator'!J:J,MATCH('Isaac 401k'!N4389,'Retirement Calculator'!A:A,0),0),0)</f>
        <v>0</v>
      </c>
      <c r="K4389" s="455">
        <f t="shared" ca="1" si="186"/>
        <v>-57112330073.931709</v>
      </c>
      <c r="L4389" s="455">
        <f t="shared" ca="1" si="187"/>
        <v>-13764071547817.543</v>
      </c>
      <c r="M4389" s="471">
        <f t="shared" si="189"/>
        <v>0.05</v>
      </c>
      <c r="N4389" s="475">
        <f t="shared" si="190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88"/>
        <v>-13764071547817.543</v>
      </c>
      <c r="J4390" s="455">
        <f t="array" ref="J4390">IFERROR(INDEX('Retirement Calculator'!J:J,MATCH('Isaac 401k'!N4390,'Retirement Calculator'!A:A,0),0),0)</f>
        <v>0</v>
      </c>
      <c r="K4390" s="455">
        <f t="shared" ca="1" si="186"/>
        <v>-57350298115.906425</v>
      </c>
      <c r="L4390" s="455">
        <f t="shared" ca="1" si="187"/>
        <v>-13821421845933.449</v>
      </c>
      <c r="M4390" s="471">
        <f t="shared" si="189"/>
        <v>0.05</v>
      </c>
      <c r="N4390" s="475">
        <f t="shared" si="190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88"/>
        <v>-13821421845933.449</v>
      </c>
      <c r="J4391" s="455">
        <f t="array" ref="J4391">IFERROR(INDEX('Retirement Calculator'!J:J,MATCH('Isaac 401k'!N4391,'Retirement Calculator'!A:A,0),0),0)</f>
        <v>0</v>
      </c>
      <c r="K4391" s="455">
        <f t="shared" ca="1" si="186"/>
        <v>-57589257691.389374</v>
      </c>
      <c r="L4391" s="455">
        <f t="shared" ca="1" si="187"/>
        <v>-13879011103624.838</v>
      </c>
      <c r="M4391" s="471">
        <f t="shared" si="189"/>
        <v>0.05</v>
      </c>
      <c r="N4391" s="475">
        <f t="shared" si="190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88"/>
        <v>-13879011103624.838</v>
      </c>
      <c r="J4392" s="455">
        <f t="array" ref="J4392">IFERROR(INDEX('Retirement Calculator'!J:J,MATCH('Isaac 401k'!N4392,'Retirement Calculator'!A:A,0),0),0)</f>
        <v>0</v>
      </c>
      <c r="K4392" s="455">
        <f t="shared" ca="1" si="186"/>
        <v>-57829212931.770157</v>
      </c>
      <c r="L4392" s="455">
        <f t="shared" ca="1" si="187"/>
        <v>-13936840316556.607</v>
      </c>
      <c r="M4392" s="471">
        <f t="shared" si="189"/>
        <v>0.05</v>
      </c>
      <c r="N4392" s="475">
        <f t="shared" si="190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88"/>
        <v>-13936840316556.607</v>
      </c>
      <c r="J4393" s="455">
        <f t="array" ref="J4393">IFERROR(INDEX('Retirement Calculator'!J:J,MATCH('Isaac 401k'!N4393,'Retirement Calculator'!A:A,0),0),0)</f>
        <v>0</v>
      </c>
      <c r="K4393" s="455">
        <f t="shared" ca="1" si="186"/>
        <v>-58070167985.652527</v>
      </c>
      <c r="L4393" s="455">
        <f t="shared" ca="1" si="187"/>
        <v>-13994910484542.26</v>
      </c>
      <c r="M4393" s="471">
        <f t="shared" si="189"/>
        <v>0.05</v>
      </c>
      <c r="N4393" s="475">
        <f t="shared" si="190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88"/>
        <v>-13994910484542.26</v>
      </c>
      <c r="J4394" s="455">
        <f t="array" ref="J4394">IFERROR(INDEX('Retirement Calculator'!J:J,MATCH('Isaac 401k'!N4394,'Retirement Calculator'!A:A,0),0),0)</f>
        <v>0</v>
      </c>
      <c r="K4394" s="455">
        <f t="shared" ca="1" si="186"/>
        <v>-58312127018.926079</v>
      </c>
      <c r="L4394" s="455">
        <f t="shared" ca="1" si="187"/>
        <v>-14053222611561.186</v>
      </c>
      <c r="M4394" s="471">
        <f t="shared" si="189"/>
        <v>0.05</v>
      </c>
      <c r="N4394" s="475">
        <f t="shared" si="190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88"/>
        <v>-14053222611561.186</v>
      </c>
      <c r="J4395" s="455">
        <f t="array" ref="J4395">IFERROR(INDEX('Retirement Calculator'!J:J,MATCH('Isaac 401k'!N4395,'Retirement Calculator'!A:A,0),0),0)</f>
        <v>0</v>
      </c>
      <c r="K4395" s="455">
        <f t="shared" ca="1" si="186"/>
        <v>-58555094214.838272</v>
      </c>
      <c r="L4395" s="455">
        <f t="shared" ca="1" si="187"/>
        <v>-14111777705776.023</v>
      </c>
      <c r="M4395" s="471">
        <f t="shared" si="189"/>
        <v>0.05</v>
      </c>
      <c r="N4395" s="475">
        <f t="shared" si="190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88"/>
        <v>-14111777705776.023</v>
      </c>
      <c r="J4396" s="455">
        <f t="array" ref="J4396">IFERROR(INDEX('Retirement Calculator'!J:J,MATCH('Isaac 401k'!N4396,'Retirement Calculator'!A:A,0),0),0)</f>
        <v>0</v>
      </c>
      <c r="K4396" s="455">
        <f t="shared" ca="1" si="186"/>
        <v>-58799073774.066765</v>
      </c>
      <c r="L4396" s="455">
        <f t="shared" ca="1" si="187"/>
        <v>-14170576779550.09</v>
      </c>
      <c r="M4396" s="471">
        <f t="shared" si="189"/>
        <v>0.05</v>
      </c>
      <c r="N4396" s="475">
        <f t="shared" si="190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88"/>
        <v>-14170576779550.09</v>
      </c>
      <c r="J4397" s="455">
        <f t="array" ref="J4397">IFERROR(INDEX('Retirement Calculator'!J:J,MATCH('Isaac 401k'!N4397,'Retirement Calculator'!A:A,0),0),0)</f>
        <v>0</v>
      </c>
      <c r="K4397" s="455">
        <f t="shared" ca="1" si="186"/>
        <v>-59044069914.79203</v>
      </c>
      <c r="L4397" s="455">
        <f t="shared" ca="1" si="187"/>
        <v>-14229620849464.883</v>
      </c>
      <c r="M4397" s="471">
        <f t="shared" si="189"/>
        <v>0.05</v>
      </c>
      <c r="N4397" s="475">
        <f t="shared" si="190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88"/>
        <v>-14229620849464.883</v>
      </c>
      <c r="J4398" s="455">
        <f t="array" ref="J4398">IFERROR(INDEX('Retirement Calculator'!J:J,MATCH('Isaac 401k'!N4398,'Retirement Calculator'!A:A,0),0),0)</f>
        <v>0</v>
      </c>
      <c r="K4398" s="455">
        <f t="shared" ca="1" si="186"/>
        <v>-59290086872.770332</v>
      </c>
      <c r="L4398" s="455">
        <f t="shared" ca="1" si="187"/>
        <v>-14288910936337.652</v>
      </c>
      <c r="M4398" s="471">
        <f t="shared" si="189"/>
        <v>0.05</v>
      </c>
      <c r="N4398" s="475">
        <f t="shared" si="190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88"/>
        <v>-14288910936337.652</v>
      </c>
      <c r="J4399" s="455">
        <f t="array" ref="J4399">IFERROR(INDEX('Retirement Calculator'!J:J,MATCH('Isaac 401k'!N4399,'Retirement Calculator'!A:A,0),0),0)</f>
        <v>0</v>
      </c>
      <c r="K4399" s="455">
        <f t="shared" ca="1" si="186"/>
        <v>-59537128901.406883</v>
      </c>
      <c r="L4399" s="455">
        <f t="shared" ca="1" si="187"/>
        <v>-14348448065239.059</v>
      </c>
      <c r="M4399" s="471">
        <f t="shared" si="189"/>
        <v>0.05</v>
      </c>
      <c r="N4399" s="475">
        <f t="shared" si="190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88"/>
        <v>-14348448065239.059</v>
      </c>
      <c r="J4400" s="455">
        <f t="array" ref="J4400">IFERROR(INDEX('Retirement Calculator'!J:J,MATCH('Isaac 401k'!N4400,'Retirement Calculator'!A:A,0),0),0)</f>
        <v>0</v>
      </c>
      <c r="K4400" s="455">
        <f t="shared" ca="1" si="186"/>
        <v>-59785200271.829399</v>
      </c>
      <c r="L4400" s="455">
        <f t="shared" ca="1" si="187"/>
        <v>-14408233265510.889</v>
      </c>
      <c r="M4400" s="471">
        <f t="shared" si="189"/>
        <v>0.05</v>
      </c>
      <c r="N4400" s="475">
        <f t="shared" si="190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88"/>
        <v>-14408233265510.889</v>
      </c>
      <c r="J4401" s="455">
        <f t="array" ref="J4401">IFERROR(INDEX('Retirement Calculator'!J:J,MATCH('Isaac 401k'!N4401,'Retirement Calculator'!A:A,0),0),0)</f>
        <v>0</v>
      </c>
      <c r="K4401" s="455">
        <f t="shared" ca="1" si="186"/>
        <v>-60034305272.962036</v>
      </c>
      <c r="L4401" s="455">
        <f t="shared" ca="1" si="187"/>
        <v>-14468267570783.852</v>
      </c>
      <c r="M4401" s="471">
        <f t="shared" si="189"/>
        <v>0.05</v>
      </c>
      <c r="N4401" s="475">
        <f t="shared" si="190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88"/>
        <v>-14468267570783.852</v>
      </c>
      <c r="J4402" s="455">
        <f t="array" ref="J4402">IFERROR(INDEX('Retirement Calculator'!J:J,MATCH('Isaac 401k'!N4402,'Retirement Calculator'!A:A,0),0),0)</f>
        <v>0</v>
      </c>
      <c r="K4402" s="455">
        <f t="shared" ca="1" si="186"/>
        <v>-60284448211.59938</v>
      </c>
      <c r="L4402" s="455">
        <f t="shared" ca="1" si="187"/>
        <v>-14528552018995.451</v>
      </c>
      <c r="M4402" s="471">
        <f t="shared" si="189"/>
        <v>0.05</v>
      </c>
      <c r="N4402" s="475">
        <f t="shared" si="190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88"/>
        <v>-14528552018995.451</v>
      </c>
      <c r="J4403" s="455">
        <f t="array" ref="J4403">IFERROR(INDEX('Retirement Calculator'!J:J,MATCH('Isaac 401k'!N4403,'Retirement Calculator'!A:A,0),0),0)</f>
        <v>0</v>
      </c>
      <c r="K4403" s="455">
        <f t="shared" ca="1" si="186"/>
        <v>-60535633412.481056</v>
      </c>
      <c r="L4403" s="455">
        <f t="shared" ca="1" si="187"/>
        <v>-14589087652407.932</v>
      </c>
      <c r="M4403" s="471">
        <f t="shared" si="189"/>
        <v>0.05</v>
      </c>
      <c r="N4403" s="475">
        <f t="shared" si="190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88"/>
        <v>-14589087652407.932</v>
      </c>
      <c r="J4404" s="455">
        <f t="array" ref="J4404">IFERROR(INDEX('Retirement Calculator'!J:J,MATCH('Isaac 401k'!N4404,'Retirement Calculator'!A:A,0),0),0)</f>
        <v>0</v>
      </c>
      <c r="K4404" s="455">
        <f t="shared" ca="1" si="186"/>
        <v>-60787865218.366386</v>
      </c>
      <c r="L4404" s="455">
        <f t="shared" ca="1" si="187"/>
        <v>-14649875517626.299</v>
      </c>
      <c r="M4404" s="471">
        <f t="shared" si="189"/>
        <v>0.05</v>
      </c>
      <c r="N4404" s="475">
        <f t="shared" si="190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88"/>
        <v>-14649875517626.299</v>
      </c>
      <c r="J4405" s="455">
        <f t="array" ref="J4405">IFERROR(INDEX('Retirement Calculator'!J:J,MATCH('Isaac 401k'!N4405,'Retirement Calculator'!A:A,0),0),0)</f>
        <v>0</v>
      </c>
      <c r="K4405" s="455">
        <f t="shared" ca="1" si="186"/>
        <v>-61041147990.109581</v>
      </c>
      <c r="L4405" s="455">
        <f t="shared" ca="1" si="187"/>
        <v>-14710916665616.408</v>
      </c>
      <c r="M4405" s="471">
        <f t="shared" si="189"/>
        <v>0.05</v>
      </c>
      <c r="N4405" s="475">
        <f t="shared" si="190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88"/>
        <v>-14710916665616.408</v>
      </c>
      <c r="J4406" s="455">
        <f t="array" ref="J4406">IFERROR(INDEX('Retirement Calculator'!J:J,MATCH('Isaac 401k'!N4406,'Retirement Calculator'!A:A,0),0),0)</f>
        <v>0</v>
      </c>
      <c r="K4406" s="455">
        <f t="shared" ca="1" si="186"/>
        <v>-61295486106.735031</v>
      </c>
      <c r="L4406" s="455">
        <f t="shared" ca="1" si="187"/>
        <v>-14772212151723.143</v>
      </c>
      <c r="M4406" s="471">
        <f t="shared" si="189"/>
        <v>0.05</v>
      </c>
      <c r="N4406" s="475">
        <f t="shared" si="190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88"/>
        <v>-14772212151723.143</v>
      </c>
      <c r="J4407" s="455">
        <f t="array" ref="J4407">IFERROR(INDEX('Retirement Calculator'!J:J,MATCH('Isaac 401k'!N4407,'Retirement Calculator'!A:A,0),0),0)</f>
        <v>0</v>
      </c>
      <c r="K4407" s="455">
        <f t="shared" ca="1" si="186"/>
        <v>-61550883965.513092</v>
      </c>
      <c r="L4407" s="455">
        <f t="shared" ca="1" si="187"/>
        <v>-14833763035688.656</v>
      </c>
      <c r="M4407" s="471">
        <f t="shared" si="189"/>
        <v>0.05</v>
      </c>
      <c r="N4407" s="475">
        <f t="shared" si="190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88"/>
        <v>-14833763035688.656</v>
      </c>
      <c r="J4408" s="455">
        <f t="array" ref="J4408">IFERROR(INDEX('Retirement Calculator'!J:J,MATCH('Isaac 401k'!N4408,'Retirement Calculator'!A:A,0),0),0)</f>
        <v>0</v>
      </c>
      <c r="K4408" s="455">
        <f t="shared" ca="1" si="186"/>
        <v>-61807345982.036072</v>
      </c>
      <c r="L4408" s="455">
        <f t="shared" ca="1" si="187"/>
        <v>-14895570381670.691</v>
      </c>
      <c r="M4408" s="471">
        <f t="shared" si="189"/>
        <v>0.05</v>
      </c>
      <c r="N4408" s="475">
        <f t="shared" si="190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88"/>
        <v>-14895570381670.691</v>
      </c>
      <c r="J4409" s="455">
        <f t="array" ref="J4409">IFERROR(INDEX('Retirement Calculator'!J:J,MATCH('Isaac 401k'!N4409,'Retirement Calculator'!A:A,0),0),0)</f>
        <v>0</v>
      </c>
      <c r="K4409" s="455">
        <f t="shared" ca="1" si="186"/>
        <v>-62064876590.294556</v>
      </c>
      <c r="L4409" s="455">
        <f t="shared" ca="1" si="187"/>
        <v>-14957635258260.986</v>
      </c>
      <c r="M4409" s="471">
        <f t="shared" si="189"/>
        <v>0.05</v>
      </c>
      <c r="N4409" s="475">
        <f t="shared" si="190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88"/>
        <v>-14957635258260.986</v>
      </c>
      <c r="J4410" s="455">
        <f t="array" ref="J4410">IFERROR(INDEX('Retirement Calculator'!J:J,MATCH('Isaac 401k'!N4410,'Retirement Calculator'!A:A,0),0),0)</f>
        <v>0</v>
      </c>
      <c r="K4410" s="455">
        <f t="shared" ca="1" si="186"/>
        <v>-62323480242.754112</v>
      </c>
      <c r="L4410" s="455">
        <f t="shared" ca="1" si="187"/>
        <v>-15019958738503.74</v>
      </c>
      <c r="M4410" s="471">
        <f t="shared" si="189"/>
        <v>0.05</v>
      </c>
      <c r="N4410" s="475">
        <f t="shared" si="190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88"/>
        <v>-15019958738503.74</v>
      </c>
      <c r="J4411" s="455">
        <f t="array" ref="J4411">IFERROR(INDEX('Retirement Calculator'!J:J,MATCH('Isaac 401k'!N4411,'Retirement Calculator'!A:A,0),0),0)</f>
        <v>0</v>
      </c>
      <c r="K4411" s="455">
        <f t="shared" ca="1" si="186"/>
        <v>-62583161410.432251</v>
      </c>
      <c r="L4411" s="455">
        <f t="shared" ca="1" si="187"/>
        <v>-15082541899914.172</v>
      </c>
      <c r="M4411" s="471">
        <f t="shared" si="189"/>
        <v>0.05</v>
      </c>
      <c r="N4411" s="475">
        <f t="shared" si="190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88"/>
        <v>-15082541899914.172</v>
      </c>
      <c r="J4412" s="455">
        <f t="array" ref="J4412">IFERROR(INDEX('Retirement Calculator'!J:J,MATCH('Isaac 401k'!N4412,'Retirement Calculator'!A:A,0),0),0)</f>
        <v>0</v>
      </c>
      <c r="K4412" s="455">
        <f t="shared" ca="1" si="186"/>
        <v>-62843924582.975708</v>
      </c>
      <c r="L4412" s="455">
        <f t="shared" ca="1" si="187"/>
        <v>-15145385824497.148</v>
      </c>
      <c r="M4412" s="471">
        <f t="shared" si="189"/>
        <v>0.05</v>
      </c>
      <c r="N4412" s="475">
        <f t="shared" si="190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88"/>
        <v>-15145385824497.148</v>
      </c>
      <c r="J4413" s="455">
        <f t="array" ref="J4413">IFERROR(INDEX('Retirement Calculator'!J:J,MATCH('Isaac 401k'!N4413,'Retirement Calculator'!A:A,0),0),0)</f>
        <v>0</v>
      </c>
      <c r="K4413" s="455">
        <f t="shared" ca="1" si="186"/>
        <v>-63105774268.738121</v>
      </c>
      <c r="L4413" s="455">
        <f t="shared" ca="1" si="187"/>
        <v>-15208491598765.887</v>
      </c>
      <c r="M4413" s="471">
        <f t="shared" si="189"/>
        <v>0.05</v>
      </c>
      <c r="N4413" s="475">
        <f t="shared" si="190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88"/>
        <v>-15208491598765.887</v>
      </c>
      <c r="J4414" s="455">
        <f t="array" ref="J4414">IFERROR(INDEX('Retirement Calculator'!J:J,MATCH('Isaac 401k'!N4414,'Retirement Calculator'!A:A,0),0),0)</f>
        <v>0</v>
      </c>
      <c r="K4414" s="455">
        <f t="shared" ca="1" si="186"/>
        <v>-63368714994.857857</v>
      </c>
      <c r="L4414" s="455">
        <f t="shared" ca="1" si="187"/>
        <v>-15271860313760.744</v>
      </c>
      <c r="M4414" s="471">
        <f t="shared" si="189"/>
        <v>0.05</v>
      </c>
      <c r="N4414" s="475">
        <f t="shared" si="190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88"/>
        <v>-15271860313760.744</v>
      </c>
      <c r="J4415" s="455">
        <f t="array" ref="J4415">IFERROR(INDEX('Retirement Calculator'!J:J,MATCH('Isaac 401k'!N4415,'Retirement Calculator'!A:A,0),0),0)</f>
        <v>0</v>
      </c>
      <c r="K4415" s="455">
        <f t="shared" ca="1" si="186"/>
        <v>-63632751307.336426</v>
      </c>
      <c r="L4415" s="455">
        <f t="shared" ca="1" si="187"/>
        <v>-15335493065068.08</v>
      </c>
      <c r="M4415" s="471">
        <f t="shared" si="189"/>
        <v>0.05</v>
      </c>
      <c r="N4415" s="475">
        <f t="shared" si="190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88"/>
        <v>-15335493065068.08</v>
      </c>
      <c r="J4416" s="455">
        <f t="array" ref="J4416">IFERROR(INDEX('Retirement Calculator'!J:J,MATCH('Isaac 401k'!N4416,'Retirement Calculator'!A:A,0),0),0)</f>
        <v>0</v>
      </c>
      <c r="K4416" s="455">
        <f t="shared" ca="1" si="186"/>
        <v>-63897887771.116997</v>
      </c>
      <c r="L4416" s="455">
        <f t="shared" ca="1" si="187"/>
        <v>-15399390952839.197</v>
      </c>
      <c r="M4416" s="471">
        <f t="shared" si="189"/>
        <v>0.05</v>
      </c>
      <c r="N4416" s="475">
        <f t="shared" si="190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88"/>
        <v>-15399390952839.197</v>
      </c>
      <c r="J4417" s="455">
        <f t="array" ref="J4417">IFERROR(INDEX('Retirement Calculator'!J:J,MATCH('Isaac 401k'!N4417,'Retirement Calculator'!A:A,0),0),0)</f>
        <v>0</v>
      </c>
      <c r="K4417" s="455">
        <f t="shared" ca="1" si="186"/>
        <v>-64164128970.163315</v>
      </c>
      <c r="L4417" s="455">
        <f t="shared" ca="1" si="187"/>
        <v>-15463555081809.361</v>
      </c>
      <c r="M4417" s="471">
        <f t="shared" si="189"/>
        <v>0.05</v>
      </c>
      <c r="N4417" s="475">
        <f t="shared" si="190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88"/>
        <v>-15463555081809.361</v>
      </c>
      <c r="J4418" s="455">
        <f t="array" ref="J4418">IFERROR(INDEX('Retirement Calculator'!J:J,MATCH('Isaac 401k'!N4418,'Retirement Calculator'!A:A,0),0),0)</f>
        <v>0</v>
      </c>
      <c r="K4418" s="455">
        <f t="shared" ca="1" si="186"/>
        <v>-64431479507.538994</v>
      </c>
      <c r="L4418" s="455">
        <f t="shared" ca="1" si="187"/>
        <v>-15527986561316.9</v>
      </c>
      <c r="M4418" s="471">
        <f t="shared" si="189"/>
        <v>0.05</v>
      </c>
      <c r="N4418" s="475">
        <f t="shared" si="190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88"/>
        <v>-15527986561316.9</v>
      </c>
      <c r="J4419" s="455">
        <f t="array" ref="J4419">IFERROR(INDEX('Retirement Calculator'!J:J,MATCH('Isaac 401k'!N4419,'Retirement Calculator'!A:A,0),0),0)</f>
        <v>0</v>
      </c>
      <c r="K4419" s="455">
        <f t="shared" ca="1" si="186"/>
        <v>-64699944005.487083</v>
      </c>
      <c r="L4419" s="455">
        <f t="shared" ca="1" si="187"/>
        <v>-15592686505322.387</v>
      </c>
      <c r="M4419" s="471">
        <f t="shared" si="189"/>
        <v>0.05</v>
      </c>
      <c r="N4419" s="475">
        <f t="shared" si="190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88"/>
        <v>-15592686505322.387</v>
      </c>
      <c r="J4420" s="455">
        <f t="array" ref="J4420">IFERROR(INDEX('Retirement Calculator'!J:J,MATCH('Isaac 401k'!N4420,'Retirement Calculator'!A:A,0),0),0)</f>
        <v>0</v>
      </c>
      <c r="K4420" s="455">
        <f t="shared" ca="1" si="186"/>
        <v>-64969527105.509933</v>
      </c>
      <c r="L4420" s="455">
        <f t="shared" ca="1" si="187"/>
        <v>-15657656032427.896</v>
      </c>
      <c r="M4420" s="471">
        <f t="shared" si="189"/>
        <v>0.05</v>
      </c>
      <c r="N4420" s="475">
        <f t="shared" si="190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88"/>
        <v>-15657656032427.896</v>
      </c>
      <c r="J4421" s="455">
        <f t="array" ref="J4421">IFERROR(INDEX('Retirement Calculator'!J:J,MATCH('Isaac 401k'!N4421,'Retirement Calculator'!A:A,0),0),0)</f>
        <v>0</v>
      </c>
      <c r="K4421" s="455">
        <f t="shared" ca="1" si="186"/>
        <v>-65240233468.44957</v>
      </c>
      <c r="L4421" s="455">
        <f t="shared" ca="1" si="187"/>
        <v>-15722896265896.346</v>
      </c>
      <c r="M4421" s="471">
        <f t="shared" si="189"/>
        <v>0.05</v>
      </c>
      <c r="N4421" s="475">
        <f t="shared" si="190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88"/>
        <v>-15722896265896.346</v>
      </c>
      <c r="J4422" s="455">
        <f t="array" ref="J4422">IFERROR(INDEX('Retirement Calculator'!J:J,MATCH('Isaac 401k'!N4422,'Retirement Calculator'!A:A,0),0),0)</f>
        <v>0</v>
      </c>
      <c r="K4422" s="455">
        <f t="shared" ca="1" si="186"/>
        <v>-65512067774.568108</v>
      </c>
      <c r="L4422" s="455">
        <f t="shared" ca="1" si="187"/>
        <v>-15788408333670.914</v>
      </c>
      <c r="M4422" s="471">
        <f t="shared" si="189"/>
        <v>0.05</v>
      </c>
      <c r="N4422" s="475">
        <f t="shared" si="190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88"/>
        <v>-15788408333670.914</v>
      </c>
      <c r="J4423" s="455">
        <f t="array" ref="J4423">IFERROR(INDEX('Retirement Calculator'!J:J,MATCH('Isaac 401k'!N4423,'Retirement Calculator'!A:A,0),0),0)</f>
        <v>0</v>
      </c>
      <c r="K4423" s="455">
        <f t="shared" ca="1" si="186"/>
        <v>-65785034723.628807</v>
      </c>
      <c r="L4423" s="455">
        <f t="shared" ca="1" si="187"/>
        <v>-15854193368394.543</v>
      </c>
      <c r="M4423" s="471">
        <f t="shared" si="189"/>
        <v>0.05</v>
      </c>
      <c r="N4423" s="475">
        <f t="shared" si="190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88"/>
        <v>-15854193368394.543</v>
      </c>
      <c r="J4424" s="455">
        <f t="array" ref="J4424">IFERROR(INDEX('Retirement Calculator'!J:J,MATCH('Isaac 401k'!N4424,'Retirement Calculator'!A:A,0),0),0)</f>
        <v>0</v>
      </c>
      <c r="K4424" s="455">
        <f t="shared" ca="1" si="186"/>
        <v>-66059139034.977264</v>
      </c>
      <c r="L4424" s="455">
        <f t="shared" ca="1" si="187"/>
        <v>-15920252507429.52</v>
      </c>
      <c r="M4424" s="471">
        <f t="shared" si="189"/>
        <v>0.05</v>
      </c>
      <c r="N4424" s="475">
        <f t="shared" si="190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88"/>
        <v>-15920252507429.52</v>
      </c>
      <c r="J4425" s="455">
        <f t="array" ref="J4425">IFERROR(INDEX('Retirement Calculator'!J:J,MATCH('Isaac 401k'!N4425,'Retirement Calculator'!A:A,0),0),0)</f>
        <v>0</v>
      </c>
      <c r="K4425" s="455">
        <f t="shared" ca="1" si="186"/>
        <v>-66334385447.623009</v>
      </c>
      <c r="L4425" s="455">
        <f t="shared" ca="1" si="187"/>
        <v>-15986586892877.143</v>
      </c>
      <c r="M4425" s="471">
        <f t="shared" si="189"/>
        <v>0.05</v>
      </c>
      <c r="N4425" s="475">
        <f t="shared" si="190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88"/>
        <v>-15986586892877.143</v>
      </c>
      <c r="J4426" s="455">
        <f t="array" ref="J4426">IFERROR(INDEX('Retirement Calculator'!J:J,MATCH('Isaac 401k'!N4426,'Retirement Calculator'!A:A,0),0),0)</f>
        <v>0</v>
      </c>
      <c r="K4426" s="455">
        <f t="shared" ca="1" si="186"/>
        <v>-66610778720.321426</v>
      </c>
      <c r="L4426" s="455">
        <f t="shared" ca="1" si="187"/>
        <v>-16053197671597.465</v>
      </c>
      <c r="M4426" s="471">
        <f t="shared" si="189"/>
        <v>0.05</v>
      </c>
      <c r="N4426" s="475">
        <f t="shared" si="190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88"/>
        <v>-16053197671597.465</v>
      </c>
      <c r="J4427" s="455">
        <f t="array" ref="J4427">IFERROR(INDEX('Retirement Calculator'!J:J,MATCH('Isaac 401k'!N4427,'Retirement Calculator'!A:A,0),0),0)</f>
        <v>0</v>
      </c>
      <c r="K4427" s="455">
        <f t="shared" ca="1" si="186"/>
        <v>-66888323631.656105</v>
      </c>
      <c r="L4427" s="455">
        <f t="shared" ca="1" si="187"/>
        <v>-16120085995229.121</v>
      </c>
      <c r="M4427" s="471">
        <f t="shared" si="189"/>
        <v>0.05</v>
      </c>
      <c r="N4427" s="475">
        <f t="shared" si="190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88"/>
        <v>-16120085995229.121</v>
      </c>
      <c r="J4428" s="455">
        <f t="array" ref="J4428">IFERROR(INDEX('Retirement Calculator'!J:J,MATCH('Isaac 401k'!N4428,'Retirement Calculator'!A:A,0),0),0)</f>
        <v>0</v>
      </c>
      <c r="K4428" s="455">
        <f t="shared" ca="1" si="186"/>
        <v>-67167024980.121338</v>
      </c>
      <c r="L4428" s="455">
        <f t="shared" ca="1" si="187"/>
        <v>-16187253020209.242</v>
      </c>
      <c r="M4428" s="471">
        <f t="shared" si="189"/>
        <v>0.05</v>
      </c>
      <c r="N4428" s="475">
        <f t="shared" si="190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88"/>
        <v>-16187253020209.242</v>
      </c>
      <c r="J4429" s="455">
        <f t="array" ref="J4429">IFERROR(INDEX('Retirement Calculator'!J:J,MATCH('Isaac 401k'!N4429,'Retirement Calculator'!A:A,0),0),0)</f>
        <v>0</v>
      </c>
      <c r="K4429" s="455">
        <f t="shared" ca="1" si="186"/>
        <v>-67446887584.20517</v>
      </c>
      <c r="L4429" s="455">
        <f t="shared" ca="1" si="187"/>
        <v>-16254699907793.447</v>
      </c>
      <c r="M4429" s="471">
        <f t="shared" si="189"/>
        <v>0.05</v>
      </c>
      <c r="N4429" s="475">
        <f t="shared" si="190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88"/>
        <v>-16254699907793.447</v>
      </c>
      <c r="J4430" s="455">
        <f t="array" ref="J4430">IFERROR(INDEX('Retirement Calculator'!J:J,MATCH('Isaac 401k'!N4430,'Retirement Calculator'!A:A,0),0),0)</f>
        <v>0</v>
      </c>
      <c r="K4430" s="455">
        <f t="shared" ca="1" si="186"/>
        <v>-67727916282.472694</v>
      </c>
      <c r="L4430" s="455">
        <f t="shared" ca="1" si="187"/>
        <v>-16322427824075.92</v>
      </c>
      <c r="M4430" s="471">
        <f t="shared" si="189"/>
        <v>0.05</v>
      </c>
      <c r="N4430" s="475">
        <f t="shared" si="190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88"/>
        <v>-16322427824075.92</v>
      </c>
      <c r="J4431" s="455">
        <f t="array" ref="J4431">IFERROR(INDEX('Retirement Calculator'!J:J,MATCH('Isaac 401k'!N4431,'Retirement Calculator'!A:A,0),0),0)</f>
        <v>0</v>
      </c>
      <c r="K4431" s="455">
        <f t="shared" ca="1" si="186"/>
        <v>-68010115933.649666</v>
      </c>
      <c r="L4431" s="455">
        <f t="shared" ca="1" si="187"/>
        <v>-16390437940009.57</v>
      </c>
      <c r="M4431" s="471">
        <f t="shared" si="189"/>
        <v>0.05</v>
      </c>
      <c r="N4431" s="475">
        <f t="shared" si="190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88"/>
        <v>-16390437940009.57</v>
      </c>
      <c r="J4432" s="455">
        <f t="array" ref="J4432">IFERROR(INDEX('Retirement Calculator'!J:J,MATCH('Isaac 401k'!N4432,'Retirement Calculator'!A:A,0),0),0)</f>
        <v>0</v>
      </c>
      <c r="K4432" s="455">
        <f t="shared" ca="1" si="186"/>
        <v>-68293491416.706543</v>
      </c>
      <c r="L4432" s="455">
        <f t="shared" ca="1" si="187"/>
        <v>-16458731431426.277</v>
      </c>
      <c r="M4432" s="471">
        <f t="shared" si="189"/>
        <v>0.05</v>
      </c>
      <c r="N4432" s="475">
        <f t="shared" si="190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88"/>
        <v>-16458731431426.277</v>
      </c>
      <c r="J4433" s="455">
        <f t="array" ref="J4433">IFERROR(INDEX('Retirement Calculator'!J:J,MATCH('Isaac 401k'!N4433,'Retirement Calculator'!A:A,0),0),0)</f>
        <v>0</v>
      </c>
      <c r="K4433" s="455">
        <f t="shared" ca="1" si="186"/>
        <v>-68578047630.942818</v>
      </c>
      <c r="L4433" s="455">
        <f t="shared" ca="1" si="187"/>
        <v>-16527309479057.221</v>
      </c>
      <c r="M4433" s="471">
        <f t="shared" si="189"/>
        <v>0.05</v>
      </c>
      <c r="N4433" s="475">
        <f t="shared" si="190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88"/>
        <v>-16527309479057.221</v>
      </c>
      <c r="J4434" s="455">
        <f t="array" ref="J4434">IFERROR(INDEX('Retirement Calculator'!J:J,MATCH('Isaac 401k'!N4434,'Retirement Calculator'!A:A,0),0),0)</f>
        <v>0</v>
      </c>
      <c r="K4434" s="455">
        <f t="shared" ca="1" si="186"/>
        <v>-68863789496.071762</v>
      </c>
      <c r="L4434" s="455">
        <f t="shared" ca="1" si="187"/>
        <v>-16596173268553.293</v>
      </c>
      <c r="M4434" s="471">
        <f t="shared" si="189"/>
        <v>0.05</v>
      </c>
      <c r="N4434" s="475">
        <f t="shared" si="190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88"/>
        <v>-16596173268553.293</v>
      </c>
      <c r="J4435" s="455">
        <f t="array" ref="J4435">IFERROR(INDEX('Retirement Calculator'!J:J,MATCH('Isaac 401k'!N4435,'Retirement Calculator'!A:A,0),0),0)</f>
        <v>0</v>
      </c>
      <c r="K4435" s="455">
        <f t="shared" ca="1" si="186"/>
        <v>-69150721952.305389</v>
      </c>
      <c r="L4435" s="455">
        <f t="shared" ca="1" si="187"/>
        <v>-16665323990505.598</v>
      </c>
      <c r="M4435" s="471">
        <f t="shared" si="189"/>
        <v>0.05</v>
      </c>
      <c r="N4435" s="475">
        <f t="shared" si="190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88"/>
        <v>-16665323990505.598</v>
      </c>
      <c r="J4436" s="455">
        <f t="array" ref="J4436">IFERROR(INDEX('Retirement Calculator'!J:J,MATCH('Isaac 401k'!N4436,'Retirement Calculator'!A:A,0),0),0)</f>
        <v>0</v>
      </c>
      <c r="K4436" s="455">
        <f t="shared" ca="1" si="186"/>
        <v>-69438849960.439987</v>
      </c>
      <c r="L4436" s="455">
        <f t="shared" ca="1" si="187"/>
        <v>-16734762840466.037</v>
      </c>
      <c r="M4436" s="471">
        <f t="shared" si="189"/>
        <v>0.05</v>
      </c>
      <c r="N4436" s="475">
        <f t="shared" si="190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88"/>
        <v>-16734762840466.037</v>
      </c>
      <c r="J4437" s="455">
        <f t="array" ref="J4437">IFERROR(INDEX('Retirement Calculator'!J:J,MATCH('Isaac 401k'!N4437,'Retirement Calculator'!A:A,0),0),0)</f>
        <v>0</v>
      </c>
      <c r="K4437" s="455">
        <f t="shared" ca="1" si="186"/>
        <v>-69728178501.941818</v>
      </c>
      <c r="L4437" s="455">
        <f t="shared" ca="1" si="187"/>
        <v>-16804491018967.979</v>
      </c>
      <c r="M4437" s="471">
        <f t="shared" si="189"/>
        <v>0.05</v>
      </c>
      <c r="N4437" s="475">
        <f t="shared" si="190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88"/>
        <v>-16804491018967.979</v>
      </c>
      <c r="J4438" s="455">
        <f t="array" ref="J4438">IFERROR(INDEX('Retirement Calculator'!J:J,MATCH('Isaac 401k'!N4438,'Retirement Calculator'!A:A,0),0),0)</f>
        <v>0</v>
      </c>
      <c r="K4438" s="455">
        <f t="shared" ca="1" si="186"/>
        <v>-70018712579.033249</v>
      </c>
      <c r="L4438" s="455">
        <f t="shared" ca="1" si="187"/>
        <v>-16874509731547.012</v>
      </c>
      <c r="M4438" s="471">
        <f t="shared" si="189"/>
        <v>0.05</v>
      </c>
      <c r="N4438" s="475">
        <f t="shared" si="190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88"/>
        <v>-16874509731547.012</v>
      </c>
      <c r="J4439" s="455">
        <f t="array" ref="J4439">IFERROR(INDEX('Retirement Calculator'!J:J,MATCH('Isaac 401k'!N4439,'Retirement Calculator'!A:A,0),0),0)</f>
        <v>0</v>
      </c>
      <c r="K4439" s="455">
        <f t="shared" ca="1" si="186"/>
        <v>-70310457214.779221</v>
      </c>
      <c r="L4439" s="455">
        <f t="shared" ca="1" si="187"/>
        <v>-16944820188761.791</v>
      </c>
      <c r="M4439" s="471">
        <f t="shared" si="189"/>
        <v>0.05</v>
      </c>
      <c r="N4439" s="475">
        <f t="shared" si="190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88"/>
        <v>-16944820188761.791</v>
      </c>
      <c r="J4440" s="455">
        <f t="array" ref="J4440">IFERROR(INDEX('Retirement Calculator'!J:J,MATCH('Isaac 401k'!N4440,'Retirement Calculator'!A:A,0),0),0)</f>
        <v>0</v>
      </c>
      <c r="K4440" s="455">
        <f t="shared" ca="1" si="186"/>
        <v>-70603417453.174133</v>
      </c>
      <c r="L4440" s="455">
        <f t="shared" ca="1" si="187"/>
        <v>-17015423606214.965</v>
      </c>
      <c r="M4440" s="471">
        <f t="shared" si="189"/>
        <v>0.05</v>
      </c>
      <c r="N4440" s="475">
        <f t="shared" si="190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88"/>
        <v>-17015423606214.965</v>
      </c>
      <c r="J4441" s="455">
        <f t="array" ref="J4441">IFERROR(INDEX('Retirement Calculator'!J:J,MATCH('Isaac 401k'!N4441,'Retirement Calculator'!A:A,0),0),0)</f>
        <v>0</v>
      </c>
      <c r="K4441" s="455">
        <f t="shared" ca="1" si="186"/>
        <v>-70897598359.229019</v>
      </c>
      <c r="L4441" s="455">
        <f t="shared" ca="1" si="187"/>
        <v>-17086321204574.193</v>
      </c>
      <c r="M4441" s="471">
        <f t="shared" si="189"/>
        <v>0.05</v>
      </c>
      <c r="N4441" s="475">
        <f t="shared" si="190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88"/>
        <v>-17086321204574.193</v>
      </c>
      <c r="J4442" s="455">
        <f t="array" ref="J4442">IFERROR(INDEX('Retirement Calculator'!J:J,MATCH('Isaac 401k'!N4442,'Retirement Calculator'!A:A,0),0),0)</f>
        <v>0</v>
      </c>
      <c r="K4442" s="455">
        <f t="shared" ca="1" si="186"/>
        <v>-71193005019.059128</v>
      </c>
      <c r="L4442" s="455">
        <f t="shared" ca="1" si="187"/>
        <v>-17157514209593.252</v>
      </c>
      <c r="M4442" s="471">
        <f t="shared" si="189"/>
        <v>0.05</v>
      </c>
      <c r="N4442" s="475">
        <f t="shared" si="190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88"/>
        <v>-17157514209593.252</v>
      </c>
      <c r="J4443" s="455">
        <f t="array" ref="J4443">IFERROR(INDEX('Retirement Calculator'!J:J,MATCH('Isaac 401k'!N4443,'Retirement Calculator'!A:A,0),0),0)</f>
        <v>0</v>
      </c>
      <c r="K4443" s="455">
        <f t="shared" ca="1" si="186"/>
        <v>-71489642539.971878</v>
      </c>
      <c r="L4443" s="455">
        <f t="shared" ca="1" si="187"/>
        <v>-17229003852133.225</v>
      </c>
      <c r="M4443" s="471">
        <f t="shared" si="189"/>
        <v>0.05</v>
      </c>
      <c r="N4443" s="475">
        <f t="shared" si="190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88"/>
        <v>-17229003852133.225</v>
      </c>
      <c r="J4444" s="455">
        <f t="array" ref="J4444">IFERROR(INDEX('Retirement Calculator'!J:J,MATCH('Isaac 401k'!N4444,'Retirement Calculator'!A:A,0),0),0)</f>
        <v>0</v>
      </c>
      <c r="K4444" s="455">
        <f t="shared" ca="1" si="186"/>
        <v>-71787516050.555099</v>
      </c>
      <c r="L4444" s="455">
        <f t="shared" ca="1" si="187"/>
        <v>-17300791368183.779</v>
      </c>
      <c r="M4444" s="471">
        <f t="shared" si="189"/>
        <v>0.05</v>
      </c>
      <c r="N4444" s="475">
        <f t="shared" si="190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88"/>
        <v>-17300791368183.779</v>
      </c>
      <c r="J4445" s="455">
        <f t="array" ref="J4445">IFERROR(INDEX('Retirement Calculator'!J:J,MATCH('Isaac 401k'!N4445,'Retirement Calculator'!A:A,0),0),0)</f>
        <v>0</v>
      </c>
      <c r="K4445" s="455">
        <f t="shared" ca="1" si="186"/>
        <v>-72086630700.765747</v>
      </c>
      <c r="L4445" s="455">
        <f t="shared" ca="1" si="187"/>
        <v>-17372877998884.545</v>
      </c>
      <c r="M4445" s="471">
        <f t="shared" si="189"/>
        <v>0.05</v>
      </c>
      <c r="N4445" s="475">
        <f t="shared" si="190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88"/>
        <v>-17372877998884.545</v>
      </c>
      <c r="J4446" s="455">
        <f t="array" ref="J4446">IFERROR(INDEX('Retirement Calculator'!J:J,MATCH('Isaac 401k'!N4446,'Retirement Calculator'!A:A,0),0),0)</f>
        <v>0</v>
      </c>
      <c r="K4446" s="455">
        <f t="shared" ca="1" si="186"/>
        <v>-72386991662.018951</v>
      </c>
      <c r="L4446" s="455">
        <f t="shared" ca="1" si="187"/>
        <v>-17445264990546.564</v>
      </c>
      <c r="M4446" s="471">
        <f t="shared" si="189"/>
        <v>0.05</v>
      </c>
      <c r="N4446" s="475">
        <f t="shared" si="190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88"/>
        <v>-17445264990546.564</v>
      </c>
      <c r="J4447" s="455">
        <f t="array" ref="J4447">IFERROR(INDEX('Retirement Calculator'!J:J,MATCH('Isaac 401k'!N4447,'Retirement Calculator'!A:A,0),0),0)</f>
        <v>0</v>
      </c>
      <c r="K4447" s="455">
        <f t="shared" ca="1" si="186"/>
        <v>-72688604127.277344</v>
      </c>
      <c r="L4447" s="455">
        <f t="shared" ca="1" si="187"/>
        <v>-17517953594673.842</v>
      </c>
      <c r="M4447" s="471">
        <f t="shared" si="189"/>
        <v>0.05</v>
      </c>
      <c r="N4447" s="475">
        <f t="shared" si="190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88"/>
        <v>-17517953594673.842</v>
      </c>
      <c r="J4448" s="455">
        <f t="array" ref="J4448">IFERROR(INDEX('Retirement Calculator'!J:J,MATCH('Isaac 401k'!N4448,'Retirement Calculator'!A:A,0),0),0)</f>
        <v>0</v>
      </c>
      <c r="K4448" s="455">
        <f t="shared" ca="1" si="186"/>
        <v>-72991473311.141006</v>
      </c>
      <c r="L4448" s="455">
        <f t="shared" ca="1" si="187"/>
        <v>-17590945067984.982</v>
      </c>
      <c r="M4448" s="471">
        <f t="shared" si="189"/>
        <v>0.05</v>
      </c>
      <c r="N4448" s="475">
        <f t="shared" si="190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88"/>
        <v>-17590945067984.982</v>
      </c>
      <c r="J4449" s="455">
        <f t="array" ref="J4449">IFERROR(INDEX('Retirement Calculator'!J:J,MATCH('Isaac 401k'!N4449,'Retirement Calculator'!A:A,0),0),0)</f>
        <v>0</v>
      </c>
      <c r="K4449" s="455">
        <f t="shared" ca="1" si="186"/>
        <v>-73295604449.937424</v>
      </c>
      <c r="L4449" s="455">
        <f t="shared" ca="1" si="187"/>
        <v>-17664240672434.918</v>
      </c>
      <c r="M4449" s="471">
        <f t="shared" si="189"/>
        <v>0.05</v>
      </c>
      <c r="N4449" s="475">
        <f t="shared" si="190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88"/>
        <v>-17664240672434.918</v>
      </c>
      <c r="J4450" s="455">
        <f t="array" ref="J4450">IFERROR(INDEX('Retirement Calculator'!J:J,MATCH('Isaac 401k'!N4450,'Retirement Calculator'!A:A,0),0),0)</f>
        <v>0</v>
      </c>
      <c r="K4450" s="455">
        <f t="shared" ca="1" si="186"/>
        <v>-73601002801.812164</v>
      </c>
      <c r="L4450" s="455">
        <f t="shared" ca="1" si="187"/>
        <v>-17737841675236.73</v>
      </c>
      <c r="M4450" s="471">
        <f t="shared" si="189"/>
        <v>0.05</v>
      </c>
      <c r="N4450" s="475">
        <f t="shared" si="190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88"/>
        <v>-17737841675236.73</v>
      </c>
      <c r="J4451" s="455">
        <f t="array" ref="J4451">IFERROR(INDEX('Retirement Calculator'!J:J,MATCH('Isaac 401k'!N4451,'Retirement Calculator'!A:A,0),0),0)</f>
        <v>0</v>
      </c>
      <c r="K4451" s="455">
        <f t="shared" ca="1" si="186"/>
        <v>-73907673646.819702</v>
      </c>
      <c r="L4451" s="455">
        <f t="shared" ca="1" si="187"/>
        <v>-17811749348883.551</v>
      </c>
      <c r="M4451" s="471">
        <f t="shared" si="189"/>
        <v>0.05</v>
      </c>
      <c r="N4451" s="475">
        <f t="shared" si="190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88"/>
        <v>-17811749348883.551</v>
      </c>
      <c r="J4452" s="455">
        <f t="array" ref="J4452">IFERROR(INDEX('Retirement Calculator'!J:J,MATCH('Isaac 401k'!N4452,'Retirement Calculator'!A:A,0),0),0)</f>
        <v>0</v>
      </c>
      <c r="K4452" s="455">
        <f t="shared" ca="1" si="186"/>
        <v>-74215622287.014801</v>
      </c>
      <c r="L4452" s="455">
        <f t="shared" ca="1" si="187"/>
        <v>-17885964971170.566</v>
      </c>
      <c r="M4452" s="471">
        <f t="shared" si="189"/>
        <v>0.05</v>
      </c>
      <c r="N4452" s="475">
        <f t="shared" si="190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88"/>
        <v>-17885964971170.566</v>
      </c>
      <c r="J4453" s="455">
        <f t="array" ref="J4453">IFERROR(INDEX('Retirement Calculator'!J:J,MATCH('Isaac 401k'!N4453,'Retirement Calculator'!A:A,0),0),0)</f>
        <v>0</v>
      </c>
      <c r="K4453" s="455">
        <f t="shared" ca="1" si="186"/>
        <v>-74524854046.544022</v>
      </c>
      <c r="L4453" s="455">
        <f t="shared" ca="1" si="187"/>
        <v>-17960489825217.109</v>
      </c>
      <c r="M4453" s="471">
        <f t="shared" si="189"/>
        <v>0.05</v>
      </c>
      <c r="N4453" s="475">
        <f t="shared" si="190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88"/>
        <v>-17960489825217.109</v>
      </c>
      <c r="J4454" s="455">
        <f t="array" ref="J4454">IFERROR(INDEX('Retirement Calculator'!J:J,MATCH('Isaac 401k'!N4454,'Retirement Calculator'!A:A,0),0),0)</f>
        <v>0</v>
      </c>
      <c r="K4454" s="455">
        <f t="shared" ca="1" si="186"/>
        <v>-74835374271.737961</v>
      </c>
      <c r="L4454" s="455">
        <f t="shared" ca="1" si="187"/>
        <v>-18035325199488.848</v>
      </c>
      <c r="M4454" s="471">
        <f t="shared" si="189"/>
        <v>0.05</v>
      </c>
      <c r="N4454" s="475">
        <f t="shared" si="190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88"/>
        <v>-18035325199488.848</v>
      </c>
      <c r="J4455" s="455">
        <f t="array" ref="J4455">IFERROR(INDEX('Retirement Calculator'!J:J,MATCH('Isaac 401k'!N4455,'Retirement Calculator'!A:A,0),0),0)</f>
        <v>0</v>
      </c>
      <c r="K4455" s="455">
        <f t="shared" ca="1" si="186"/>
        <v>-75147188331.203537</v>
      </c>
      <c r="L4455" s="455">
        <f t="shared" ca="1" si="187"/>
        <v>-18110472387820.051</v>
      </c>
      <c r="M4455" s="471">
        <f t="shared" si="189"/>
        <v>0.05</v>
      </c>
      <c r="N4455" s="475">
        <f t="shared" si="190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88"/>
        <v>-18110472387820.051</v>
      </c>
      <c r="J4456" s="455">
        <f t="array" ref="J4456">IFERROR(INDEX('Retirement Calculator'!J:J,MATCH('Isaac 401k'!N4456,'Retirement Calculator'!A:A,0),0),0)</f>
        <v>0</v>
      </c>
      <c r="K4456" s="455">
        <f t="shared" ca="1" si="186"/>
        <v>-75460301615.91687</v>
      </c>
      <c r="L4456" s="455">
        <f t="shared" ca="1" si="187"/>
        <v>-18185932689435.969</v>
      </c>
      <c r="M4456" s="471">
        <f t="shared" si="189"/>
        <v>0.05</v>
      </c>
      <c r="N4456" s="475">
        <f t="shared" si="190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88"/>
        <v>-18185932689435.969</v>
      </c>
      <c r="J4457" s="455">
        <f t="array" ref="J4457">IFERROR(INDEX('Retirement Calculator'!J:J,MATCH('Isaac 401k'!N4457,'Retirement Calculator'!A:A,0),0),0)</f>
        <v>0</v>
      </c>
      <c r="K4457" s="455">
        <f t="shared" ca="1" si="186"/>
        <v>-75774719539.316528</v>
      </c>
      <c r="L4457" s="455">
        <f t="shared" ca="1" si="187"/>
        <v>-18261707408975.285</v>
      </c>
      <c r="M4457" s="471">
        <f t="shared" si="189"/>
        <v>0.05</v>
      </c>
      <c r="N4457" s="475">
        <f t="shared" si="190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88"/>
        <v>-18261707408975.285</v>
      </c>
      <c r="J4458" s="455">
        <f t="array" ref="J4458">IFERROR(INDEX('Retirement Calculator'!J:J,MATCH('Isaac 401k'!N4458,'Retirement Calculator'!A:A,0),0),0)</f>
        <v>0</v>
      </c>
      <c r="K4458" s="455">
        <f t="shared" ca="1" si="186"/>
        <v>-76090447537.397018</v>
      </c>
      <c r="L4458" s="455">
        <f t="shared" ca="1" si="187"/>
        <v>-18337797856512.684</v>
      </c>
      <c r="M4458" s="471">
        <f t="shared" si="189"/>
        <v>0.05</v>
      </c>
      <c r="N4458" s="475">
        <f t="shared" si="190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88"/>
        <v>-18337797856512.684</v>
      </c>
      <c r="J4459" s="455">
        <f t="array" ref="J4459">IFERROR(INDEX('Retirement Calculator'!J:J,MATCH('Isaac 401k'!N4459,'Retirement Calculator'!A:A,0),0),0)</f>
        <v>0</v>
      </c>
      <c r="K4459" s="455">
        <f t="shared" ca="1" si="186"/>
        <v>-76407491068.802841</v>
      </c>
      <c r="L4459" s="455">
        <f t="shared" ca="1" si="187"/>
        <v>-18414205347581.488</v>
      </c>
      <c r="M4459" s="471">
        <f t="shared" si="189"/>
        <v>0.05</v>
      </c>
      <c r="N4459" s="475">
        <f t="shared" si="190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88"/>
        <v>-18414205347581.488</v>
      </c>
      <c r="J4460" s="455">
        <f t="array" ref="J4460">IFERROR(INDEX('Retirement Calculator'!J:J,MATCH('Isaac 401k'!N4460,'Retirement Calculator'!A:A,0),0),0)</f>
        <v>0</v>
      </c>
      <c r="K4460" s="455">
        <f t="shared" ca="1" si="186"/>
        <v>-76725855614.922867</v>
      </c>
      <c r="L4460" s="455">
        <f t="shared" ca="1" si="187"/>
        <v>-18490931203196.41</v>
      </c>
      <c r="M4460" s="471">
        <f t="shared" si="189"/>
        <v>0.05</v>
      </c>
      <c r="N4460" s="475">
        <f t="shared" si="190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88"/>
        <v>-18490931203196.41</v>
      </c>
      <c r="J4461" s="455">
        <f t="array" ref="J4461">IFERROR(INDEX('Retirement Calculator'!J:J,MATCH('Isaac 401k'!N4461,'Retirement Calculator'!A:A,0),0),0)</f>
        <v>0</v>
      </c>
      <c r="K4461" s="455">
        <f t="shared" ca="1" si="186"/>
        <v>-77045546679.985046</v>
      </c>
      <c r="L4461" s="455">
        <f t="shared" ca="1" si="187"/>
        <v>-18567976749876.395</v>
      </c>
      <c r="M4461" s="471">
        <f t="shared" si="189"/>
        <v>0.05</v>
      </c>
      <c r="N4461" s="475">
        <f t="shared" si="190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88"/>
        <v>-18567976749876.395</v>
      </c>
      <c r="J4462" s="455">
        <f t="array" ref="J4462">IFERROR(INDEX('Retirement Calculator'!J:J,MATCH('Isaac 401k'!N4462,'Retirement Calculator'!A:A,0),0),0)</f>
        <v>0</v>
      </c>
      <c r="K4462" s="455">
        <f t="shared" ca="1" si="186"/>
        <v>-77366569791.151642</v>
      </c>
      <c r="L4462" s="455">
        <f t="shared" ca="1" si="187"/>
        <v>-18645343319667.547</v>
      </c>
      <c r="M4462" s="471">
        <f t="shared" si="189"/>
        <v>0.05</v>
      </c>
      <c r="N4462" s="475">
        <f t="shared" si="190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88"/>
        <v>-18645343319667.547</v>
      </c>
      <c r="J4463" s="455">
        <f t="array" ref="J4463">IFERROR(INDEX('Retirement Calculator'!J:J,MATCH('Isaac 401k'!N4463,'Retirement Calculator'!A:A,0),0),0)</f>
        <v>0</v>
      </c>
      <c r="K4463" s="455">
        <f t="shared" ca="1" si="186"/>
        <v>-77688930498.614777</v>
      </c>
      <c r="L4463" s="455">
        <f t="shared" ca="1" si="187"/>
        <v>-18723032250166.16</v>
      </c>
      <c r="M4463" s="471">
        <f t="shared" si="189"/>
        <v>0.05</v>
      </c>
      <c r="N4463" s="475">
        <f t="shared" si="190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88"/>
        <v>-18723032250166.16</v>
      </c>
      <c r="J4464" s="455">
        <f t="array" ref="J4464">IFERROR(INDEX('Retirement Calculator'!J:J,MATCH('Isaac 401k'!N4464,'Retirement Calculator'!A:A,0),0),0)</f>
        <v>0</v>
      </c>
      <c r="K4464" s="455">
        <f t="shared" ca="1" si="186"/>
        <v>-78012634375.692337</v>
      </c>
      <c r="L4464" s="455">
        <f t="shared" ca="1" si="187"/>
        <v>-18801044884541.852</v>
      </c>
      <c r="M4464" s="471">
        <f t="shared" si="189"/>
        <v>0.05</v>
      </c>
      <c r="N4464" s="475">
        <f t="shared" si="190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88"/>
        <v>-18801044884541.852</v>
      </c>
      <c r="J4465" s="455">
        <f t="array" ref="J4465">IFERROR(INDEX('Retirement Calculator'!J:J,MATCH('Isaac 401k'!N4465,'Retirement Calculator'!A:A,0),0),0)</f>
        <v>0</v>
      </c>
      <c r="K4465" s="455">
        <f t="shared" ca="1" si="186"/>
        <v>-78337687018.924377</v>
      </c>
      <c r="L4465" s="455">
        <f t="shared" ca="1" si="187"/>
        <v>-18879382571560.777</v>
      </c>
      <c r="M4465" s="471">
        <f t="shared" si="189"/>
        <v>0.05</v>
      </c>
      <c r="N4465" s="475">
        <f t="shared" si="190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88"/>
        <v>-18879382571560.777</v>
      </c>
      <c r="J4466" s="455">
        <f t="array" ref="J4466">IFERROR(INDEX('Retirement Calculator'!J:J,MATCH('Isaac 401k'!N4466,'Retirement Calculator'!A:A,0),0),0)</f>
        <v>0</v>
      </c>
      <c r="K4466" s="455">
        <f t="shared" ca="1" si="186"/>
        <v>-78664094048.169907</v>
      </c>
      <c r="L4466" s="455">
        <f t="shared" ca="1" si="187"/>
        <v>-18958046665608.945</v>
      </c>
      <c r="M4466" s="471">
        <f t="shared" si="189"/>
        <v>0.05</v>
      </c>
      <c r="N4466" s="475">
        <f t="shared" si="190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88"/>
        <v>-18958046665608.945</v>
      </c>
      <c r="J4467" s="455">
        <f t="array" ref="J4467">IFERROR(INDEX('Retirement Calculator'!J:J,MATCH('Isaac 401k'!N4467,'Retirement Calculator'!A:A,0),0),0)</f>
        <v>0</v>
      </c>
      <c r="K4467" s="455">
        <f t="shared" ca="1" si="186"/>
        <v>-78991861106.703934</v>
      </c>
      <c r="L4467" s="455">
        <f t="shared" ca="1" si="187"/>
        <v>-19037038526715.648</v>
      </c>
      <c r="M4467" s="471">
        <f t="shared" si="189"/>
        <v>0.05</v>
      </c>
      <c r="N4467" s="475">
        <f t="shared" si="190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88"/>
        <v>-19037038526715.648</v>
      </c>
      <c r="J4468" s="455">
        <f t="array" ref="J4468">IFERROR(INDEX('Retirement Calculator'!J:J,MATCH('Isaac 401k'!N4468,'Retirement Calculator'!A:A,0),0),0)</f>
        <v>0</v>
      </c>
      <c r="K4468" s="455">
        <f t="shared" ca="1" si="186"/>
        <v>-79320993861.315201</v>
      </c>
      <c r="L4468" s="455">
        <f t="shared" ca="1" si="187"/>
        <v>-19116359520576.965</v>
      </c>
      <c r="M4468" s="471">
        <f t="shared" si="189"/>
        <v>0.05</v>
      </c>
      <c r="N4468" s="475">
        <f t="shared" si="190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88"/>
        <v>-19116359520576.965</v>
      </c>
      <c r="J4469" s="455">
        <f t="array" ref="J4469">IFERROR(INDEX('Retirement Calculator'!J:J,MATCH('Isaac 401k'!N4469,'Retirement Calculator'!A:A,0),0),0)</f>
        <v>0</v>
      </c>
      <c r="K4469" s="455">
        <f t="shared" ca="1" si="186"/>
        <v>-79651498002.404022</v>
      </c>
      <c r="L4469" s="455">
        <f t="shared" ca="1" si="187"/>
        <v>-19196011018579.367</v>
      </c>
      <c r="M4469" s="471">
        <f t="shared" si="189"/>
        <v>0.05</v>
      </c>
      <c r="N4469" s="475">
        <f t="shared" si="190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88"/>
        <v>-19196011018579.367</v>
      </c>
      <c r="J4470" s="455">
        <f t="array" ref="J4470">IFERROR(INDEX('Retirement Calculator'!J:J,MATCH('Isaac 401k'!N4470,'Retirement Calculator'!A:A,0),0),0)</f>
        <v>0</v>
      </c>
      <c r="K4470" s="455">
        <f t="shared" ca="1" si="186"/>
        <v>-79983379244.080688</v>
      </c>
      <c r="L4470" s="455">
        <f t="shared" ca="1" si="187"/>
        <v>-19275994397823.449</v>
      </c>
      <c r="M4470" s="471">
        <f t="shared" si="189"/>
        <v>0.05</v>
      </c>
      <c r="N4470" s="475">
        <f t="shared" si="190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88"/>
        <v>-19275994397823.449</v>
      </c>
      <c r="J4471" s="455">
        <f t="array" ref="J4471">IFERROR(INDEX('Retirement Calculator'!J:J,MATCH('Isaac 401k'!N4471,'Retirement Calculator'!A:A,0),0),0)</f>
        <v>0</v>
      </c>
      <c r="K4471" s="455">
        <f t="shared" ca="1" si="186"/>
        <v>-80316643324.264374</v>
      </c>
      <c r="L4471" s="455">
        <f t="shared" ca="1" si="187"/>
        <v>-19356311041147.715</v>
      </c>
      <c r="M4471" s="471">
        <f t="shared" si="189"/>
        <v>0.05</v>
      </c>
      <c r="N4471" s="475">
        <f t="shared" si="190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88"/>
        <v>-19356311041147.715</v>
      </c>
      <c r="J4472" s="455">
        <f t="array" ref="J4472">IFERROR(INDEX('Retirement Calculator'!J:J,MATCH('Isaac 401k'!N4472,'Retirement Calculator'!A:A,0),0),0)</f>
        <v>0</v>
      </c>
      <c r="K4472" s="455">
        <f t="shared" ca="1" si="186"/>
        <v>-80651296004.78215</v>
      </c>
      <c r="L4472" s="455">
        <f t="shared" ca="1" si="187"/>
        <v>-19436962337152.496</v>
      </c>
      <c r="M4472" s="471">
        <f t="shared" si="189"/>
        <v>0.05</v>
      </c>
      <c r="N4472" s="475">
        <f t="shared" si="190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88"/>
        <v>-19436962337152.496</v>
      </c>
      <c r="J4473" s="455">
        <f t="array" ref="J4473">IFERROR(INDEX('Retirement Calculator'!J:J,MATCH('Isaac 401k'!N4473,'Retirement Calculator'!A:A,0),0),0)</f>
        <v>0</v>
      </c>
      <c r="K4473" s="455">
        <f t="shared" ca="1" si="186"/>
        <v>-80987343071.468735</v>
      </c>
      <c r="L4473" s="455">
        <f t="shared" ca="1" si="187"/>
        <v>-19517949680223.965</v>
      </c>
      <c r="M4473" s="471">
        <f t="shared" si="189"/>
        <v>0.05</v>
      </c>
      <c r="N4473" s="475">
        <f t="shared" si="190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88"/>
        <v>-19517949680223.965</v>
      </c>
      <c r="J4474" s="455">
        <f t="array" ref="J4474">IFERROR(INDEX('Retirement Calculator'!J:J,MATCH('Isaac 401k'!N4474,'Retirement Calculator'!A:A,0),0),0)</f>
        <v>0</v>
      </c>
      <c r="K4474" s="455">
        <f t="shared" ca="1" si="186"/>
        <v>-81324790334.266525</v>
      </c>
      <c r="L4474" s="455">
        <f t="shared" ca="1" si="187"/>
        <v>-19599274470558.23</v>
      </c>
      <c r="M4474" s="471">
        <f t="shared" si="189"/>
        <v>0.05</v>
      </c>
      <c r="N4474" s="475">
        <f t="shared" si="190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88"/>
        <v>-19599274470558.23</v>
      </c>
      <c r="J4475" s="455">
        <f t="array" ref="J4475">IFERROR(INDEX('Retirement Calculator'!J:J,MATCH('Isaac 401k'!N4475,'Retirement Calculator'!A:A,0),0),0)</f>
        <v>0</v>
      </c>
      <c r="K4475" s="455">
        <f t="shared" ca="1" si="186"/>
        <v>-81663643627.325958</v>
      </c>
      <c r="L4475" s="455">
        <f t="shared" ca="1" si="187"/>
        <v>-19680938114185.555</v>
      </c>
      <c r="M4475" s="471">
        <f t="shared" si="189"/>
        <v>0.05</v>
      </c>
      <c r="N4475" s="475">
        <f t="shared" si="190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88"/>
        <v>-19680938114185.555</v>
      </c>
      <c r="J4476" s="455">
        <f t="array" ref="J4476">IFERROR(INDEX('Retirement Calculator'!J:J,MATCH('Isaac 401k'!N4476,'Retirement Calculator'!A:A,0),0),0)</f>
        <v>0</v>
      </c>
      <c r="K4476" s="455">
        <f t="shared" ca="1" si="186"/>
        <v>-82003908809.106476</v>
      </c>
      <c r="L4476" s="455">
        <f t="shared" ca="1" si="187"/>
        <v>-19762942022994.66</v>
      </c>
      <c r="M4476" s="471">
        <f t="shared" si="189"/>
        <v>0.05</v>
      </c>
      <c r="N4476" s="475">
        <f t="shared" si="190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88"/>
        <v>-19762942022994.66</v>
      </c>
      <c r="J4477" s="455">
        <f t="array" ref="J4477">IFERROR(INDEX('Retirement Calculator'!J:J,MATCH('Isaac 401k'!N4477,'Retirement Calculator'!A:A,0),0),0)</f>
        <v>0</v>
      </c>
      <c r="K4477" s="455">
        <f t="shared" ca="1" si="186"/>
        <v>-82345591762.477753</v>
      </c>
      <c r="L4477" s="455">
        <f t="shared" ca="1" si="187"/>
        <v>-19845287614757.137</v>
      </c>
      <c r="M4477" s="471">
        <f t="shared" si="189"/>
        <v>0.05</v>
      </c>
      <c r="N4477" s="475">
        <f t="shared" si="190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88"/>
        <v>-19845287614757.137</v>
      </c>
      <c r="J4478" s="455">
        <f t="array" ref="J4478">IFERROR(INDEX('Retirement Calculator'!J:J,MATCH('Isaac 401k'!N4478,'Retirement Calculator'!A:A,0),0),0)</f>
        <v>0</v>
      </c>
      <c r="K4478" s="455">
        <f t="shared" ca="1" si="186"/>
        <v>-82688698394.821396</v>
      </c>
      <c r="L4478" s="455">
        <f t="shared" ca="1" si="187"/>
        <v>-19927976313151.957</v>
      </c>
      <c r="M4478" s="471">
        <f t="shared" si="189"/>
        <v>0.05</v>
      </c>
      <c r="N4478" s="475">
        <f t="shared" si="190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88"/>
        <v>-19927976313151.957</v>
      </c>
      <c r="J4479" s="455">
        <f t="array" ref="J4479">IFERROR(INDEX('Retirement Calculator'!J:J,MATCH('Isaac 401k'!N4479,'Retirement Calculator'!A:A,0),0),0)</f>
        <v>0</v>
      </c>
      <c r="K4479" s="455">
        <f t="shared" ca="1" si="186"/>
        <v>-83033234638.133148</v>
      </c>
      <c r="L4479" s="455">
        <f t="shared" ca="1" si="187"/>
        <v>-20011009547790.09</v>
      </c>
      <c r="M4479" s="471">
        <f t="shared" si="189"/>
        <v>0.05</v>
      </c>
      <c r="N4479" s="475">
        <f t="shared" si="190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88"/>
        <v>-20011009547790.09</v>
      </c>
      <c r="J4480" s="455">
        <f t="array" ref="J4480">IFERROR(INDEX('Retirement Calculator'!J:J,MATCH('Isaac 401k'!N4480,'Retirement Calculator'!A:A,0),0),0)</f>
        <v>0</v>
      </c>
      <c r="K4480" s="455">
        <f t="shared" ca="1" si="186"/>
        <v>-83379206449.125366</v>
      </c>
      <c r="L4480" s="455">
        <f t="shared" ca="1" si="187"/>
        <v>-20094388754239.215</v>
      </c>
      <c r="M4480" s="471">
        <f t="shared" si="189"/>
        <v>0.05</v>
      </c>
      <c r="N4480" s="475">
        <f t="shared" si="190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88"/>
        <v>-20094388754239.215</v>
      </c>
      <c r="J4481" s="455">
        <f t="array" ref="J4481">IFERROR(INDEX('Retirement Calculator'!J:J,MATCH('Isaac 401k'!N4481,'Retirement Calculator'!A:A,0),0),0)</f>
        <v>0</v>
      </c>
      <c r="K4481" s="455">
        <f t="shared" ca="1" si="186"/>
        <v>-83726619809.330063</v>
      </c>
      <c r="L4481" s="455">
        <f t="shared" ca="1" si="187"/>
        <v>-20178115374048.543</v>
      </c>
      <c r="M4481" s="471">
        <f t="shared" si="189"/>
        <v>0.05</v>
      </c>
      <c r="N4481" s="475">
        <f t="shared" si="190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88"/>
        <v>-20178115374048.543</v>
      </c>
      <c r="J4482" s="455">
        <f t="array" ref="J4482">IFERROR(INDEX('Retirement Calculator'!J:J,MATCH('Isaac 401k'!N4482,'Retirement Calculator'!A:A,0),0),0)</f>
        <v>0</v>
      </c>
      <c r="K4482" s="455">
        <f t="shared" ca="1" si="186"/>
        <v>-84075480725.202255</v>
      </c>
      <c r="L4482" s="455">
        <f t="shared" ca="1" si="187"/>
        <v>-20262190854773.746</v>
      </c>
      <c r="M4482" s="471">
        <f t="shared" si="189"/>
        <v>0.05</v>
      </c>
      <c r="N4482" s="475">
        <f t="shared" si="190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88"/>
        <v>-20262190854773.746</v>
      </c>
      <c r="J4483" s="455">
        <f t="array" ref="J4483">IFERROR(INDEX('Retirement Calculator'!J:J,MATCH('Isaac 401k'!N4483,'Retirement Calculator'!A:A,0),0),0)</f>
        <v>0</v>
      </c>
      <c r="K4483" s="455">
        <f t="shared" ca="1" si="186"/>
        <v>-84425795228.223938</v>
      </c>
      <c r="L4483" s="455">
        <f t="shared" ca="1" si="187"/>
        <v>-20346616650001.969</v>
      </c>
      <c r="M4483" s="471">
        <f t="shared" si="189"/>
        <v>0.05</v>
      </c>
      <c r="N4483" s="475">
        <f t="shared" si="190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88"/>
        <v>-20346616650001.969</v>
      </c>
      <c r="J4484" s="455">
        <f t="array" ref="J4484">IFERROR(INDEX('Retirement Calculator'!J:J,MATCH('Isaac 401k'!N4484,'Retirement Calculator'!A:A,0),0),0)</f>
        <v>0</v>
      </c>
      <c r="K4484" s="455">
        <f t="shared" ca="1" si="186"/>
        <v>-84777569375.008209</v>
      </c>
      <c r="L4484" s="455">
        <f t="shared" ca="1" si="187"/>
        <v>-20431394219376.977</v>
      </c>
      <c r="M4484" s="471">
        <f t="shared" si="189"/>
        <v>0.05</v>
      </c>
      <c r="N4484" s="475">
        <f t="shared" si="190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88"/>
        <v>-20431394219376.977</v>
      </c>
      <c r="J4485" s="455">
        <f t="array" ref="J4485">IFERROR(INDEX('Retirement Calculator'!J:J,MATCH('Isaac 401k'!N4485,'Retirement Calculator'!A:A,0),0),0)</f>
        <v>0</v>
      </c>
      <c r="K4485" s="455">
        <f t="shared" ca="1" si="186"/>
        <v>-85130809247.404068</v>
      </c>
      <c r="L4485" s="455">
        <f t="shared" ca="1" si="187"/>
        <v>-20516525028624.379</v>
      </c>
      <c r="M4485" s="471">
        <f t="shared" si="189"/>
        <v>0.05</v>
      </c>
      <c r="N4485" s="475">
        <f t="shared" si="190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88"/>
        <v>-20516525028624.379</v>
      </c>
      <c r="J4486" s="455">
        <f t="array" ref="J4486">IFERROR(INDEX('Retirement Calculator'!J:J,MATCH('Isaac 401k'!N4486,'Retirement Calculator'!A:A,0),0),0)</f>
        <v>0</v>
      </c>
      <c r="K4486" s="455">
        <f t="shared" ca="1" si="186"/>
        <v>-85485520952.601578</v>
      </c>
      <c r="L4486" s="455">
        <f t="shared" ca="1" si="187"/>
        <v>-20602010549576.98</v>
      </c>
      <c r="M4486" s="471">
        <f t="shared" si="189"/>
        <v>0.05</v>
      </c>
      <c r="N4486" s="475">
        <f t="shared" si="190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88"/>
        <v>-20602010549576.98</v>
      </c>
      <c r="J4487" s="455">
        <f t="array" ref="J4487">IFERROR(INDEX('Retirement Calculator'!J:J,MATCH('Isaac 401k'!N4487,'Retirement Calculator'!A:A,0),0),0)</f>
        <v>0</v>
      </c>
      <c r="K4487" s="455">
        <f t="shared" ca="1" si="186"/>
        <v>-85841710623.237411</v>
      </c>
      <c r="L4487" s="455">
        <f t="shared" ca="1" si="187"/>
        <v>-20687852260200.219</v>
      </c>
      <c r="M4487" s="471">
        <f t="shared" si="189"/>
        <v>0.05</v>
      </c>
      <c r="N4487" s="475">
        <f t="shared" si="190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88"/>
        <v>-20687852260200.219</v>
      </c>
      <c r="J4488" s="455">
        <f t="array" ref="J4488">IFERROR(INDEX('Retirement Calculator'!J:J,MATCH('Isaac 401k'!N4488,'Retirement Calculator'!A:A,0),0),0)</f>
        <v>0</v>
      </c>
      <c r="K4488" s="455">
        <f t="shared" ca="1" si="186"/>
        <v>-86199384417.500916</v>
      </c>
      <c r="L4488" s="455">
        <f t="shared" ca="1" si="187"/>
        <v>-20774051644617.719</v>
      </c>
      <c r="M4488" s="471">
        <f t="shared" si="189"/>
        <v>0.05</v>
      </c>
      <c r="N4488" s="475">
        <f t="shared" si="190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88"/>
        <v>-20774051644617.719</v>
      </c>
      <c r="J4489" s="455">
        <f t="array" ref="J4489">IFERROR(INDEX('Retirement Calculator'!J:J,MATCH('Isaac 401k'!N4489,'Retirement Calculator'!A:A,0),0),0)</f>
        <v>0</v>
      </c>
      <c r="K4489" s="455">
        <f t="shared" ca="1" si="186"/>
        <v>-86558548519.240494</v>
      </c>
      <c r="L4489" s="455">
        <f t="shared" ca="1" si="187"/>
        <v>-20860610193136.961</v>
      </c>
      <c r="M4489" s="471">
        <f t="shared" si="189"/>
        <v>0.05</v>
      </c>
      <c r="N4489" s="475">
        <f t="shared" si="190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88"/>
        <v>-20860610193136.961</v>
      </c>
      <c r="J4490" s="455">
        <f t="array" ref="J4490">IFERROR(INDEX('Retirement Calculator'!J:J,MATCH('Isaac 401k'!N4490,'Retirement Calculator'!A:A,0),0),0)</f>
        <v>0</v>
      </c>
      <c r="K4490" s="455">
        <f t="shared" ca="1" si="186"/>
        <v>-86919209138.070663</v>
      </c>
      <c r="L4490" s="455">
        <f t="shared" ca="1" si="187"/>
        <v>-20947529402275.031</v>
      </c>
      <c r="M4490" s="471">
        <f t="shared" si="189"/>
        <v>0.05</v>
      </c>
      <c r="N4490" s="475">
        <f t="shared" si="190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88"/>
        <v>-20947529402275.031</v>
      </c>
      <c r="J4491" s="455">
        <f t="array" ref="J4491">IFERROR(INDEX('Retirement Calculator'!J:J,MATCH('Isaac 401k'!N4491,'Retirement Calculator'!A:A,0),0),0)</f>
        <v>0</v>
      </c>
      <c r="K4491" s="455">
        <f t="shared" ca="1" si="186"/>
        <v>-87281372509.479294</v>
      </c>
      <c r="L4491" s="455">
        <f t="shared" ca="1" si="187"/>
        <v>-21034810774784.512</v>
      </c>
      <c r="M4491" s="471">
        <f t="shared" si="189"/>
        <v>0.05</v>
      </c>
      <c r="N4491" s="475">
        <f t="shared" si="190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88"/>
        <v>-21034810774784.512</v>
      </c>
      <c r="J4492" s="455">
        <f t="array" ref="J4492">IFERROR(INDEX('Retirement Calculator'!J:J,MATCH('Isaac 401k'!N4492,'Retirement Calculator'!A:A,0),0),0)</f>
        <v>0</v>
      </c>
      <c r="K4492" s="455">
        <f t="shared" ca="1" si="186"/>
        <v>-87645044894.935471</v>
      </c>
      <c r="L4492" s="455">
        <f t="shared" ca="1" si="187"/>
        <v>-21122455819679.445</v>
      </c>
      <c r="M4492" s="471">
        <f t="shared" si="189"/>
        <v>0.05</v>
      </c>
      <c r="N4492" s="475">
        <f t="shared" si="190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88"/>
        <v>-21122455819679.445</v>
      </c>
      <c r="J4493" s="455">
        <f t="array" ref="J4493">IFERROR(INDEX('Retirement Calculator'!J:J,MATCH('Isaac 401k'!N4493,'Retirement Calculator'!A:A,0),0),0)</f>
        <v>0</v>
      </c>
      <c r="K4493" s="455">
        <f t="shared" ca="1" si="186"/>
        <v>-88010232581.997681</v>
      </c>
      <c r="L4493" s="455">
        <f t="shared" ca="1" si="187"/>
        <v>-21210466052261.441</v>
      </c>
      <c r="M4493" s="471">
        <f t="shared" si="189"/>
        <v>0.05</v>
      </c>
      <c r="N4493" s="475">
        <f t="shared" si="190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88"/>
        <v>-21210466052261.441</v>
      </c>
      <c r="J4494" s="455">
        <f t="array" ref="J4494">IFERROR(INDEX('Retirement Calculator'!J:J,MATCH('Isaac 401k'!N4494,'Retirement Calculator'!A:A,0),0),0)</f>
        <v>0</v>
      </c>
      <c r="K4494" s="455">
        <f t="shared" ca="1" si="186"/>
        <v>-88376941884.422668</v>
      </c>
      <c r="L4494" s="455">
        <f t="shared" ca="1" si="187"/>
        <v>-21298842994145.863</v>
      </c>
      <c r="M4494" s="471">
        <f t="shared" si="189"/>
        <v>0.05</v>
      </c>
      <c r="N4494" s="475">
        <f t="shared" si="190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88"/>
        <v>-21298842994145.863</v>
      </c>
      <c r="J4495" s="455">
        <f t="array" ref="J4495">IFERROR(INDEX('Retirement Calculator'!J:J,MATCH('Isaac 401k'!N4495,'Retirement Calculator'!A:A,0),0),0)</f>
        <v>0</v>
      </c>
      <c r="K4495" s="455">
        <f t="shared" ca="1" si="186"/>
        <v>-88745179142.274429</v>
      </c>
      <c r="L4495" s="455">
        <f t="shared" ca="1" si="187"/>
        <v>-21387588173288.137</v>
      </c>
      <c r="M4495" s="471">
        <f t="shared" si="189"/>
        <v>0.05</v>
      </c>
      <c r="N4495" s="475">
        <f t="shared" si="190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88"/>
        <v>-21387588173288.137</v>
      </c>
      <c r="J4496" s="455">
        <f t="array" ref="J4496">IFERROR(INDEX('Retirement Calculator'!J:J,MATCH('Isaac 401k'!N4496,'Retirement Calculator'!A:A,0),0),0)</f>
        <v>0</v>
      </c>
      <c r="K4496" s="455">
        <f t="shared" ca="1" si="186"/>
        <v>-89114950722.033905</v>
      </c>
      <c r="L4496" s="455">
        <f t="shared" ca="1" si="187"/>
        <v>-21476703124010.172</v>
      </c>
      <c r="M4496" s="471">
        <f t="shared" si="189"/>
        <v>0.05</v>
      </c>
      <c r="N4496" s="475">
        <f t="shared" si="190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88"/>
        <v>-21476703124010.172</v>
      </c>
      <c r="J4497" s="455">
        <f t="array" ref="J4497">IFERROR(INDEX('Retirement Calculator'!J:J,MATCH('Isaac 401k'!N4497,'Retirement Calculator'!A:A,0),0),0)</f>
        <v>0</v>
      </c>
      <c r="K4497" s="455">
        <f t="shared" ca="1" si="186"/>
        <v>-89486263016.709045</v>
      </c>
      <c r="L4497" s="455">
        <f t="shared" ca="1" si="187"/>
        <v>-21566189387026.883</v>
      </c>
      <c r="M4497" s="471">
        <f t="shared" si="189"/>
        <v>0.05</v>
      </c>
      <c r="N4497" s="475">
        <f t="shared" si="190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88"/>
        <v>-21566189387026.883</v>
      </c>
      <c r="J4498" s="455">
        <f t="array" ref="J4498">IFERROR(INDEX('Retirement Calculator'!J:J,MATCH('Isaac 401k'!N4498,'Retirement Calculator'!A:A,0),0),0)</f>
        <v>0</v>
      </c>
      <c r="K4498" s="455">
        <f t="shared" ca="1" si="186"/>
        <v>-89859122445.945343</v>
      </c>
      <c r="L4498" s="455">
        <f t="shared" ca="1" si="187"/>
        <v>-21656048509472.828</v>
      </c>
      <c r="M4498" s="471">
        <f t="shared" si="189"/>
        <v>0.05</v>
      </c>
      <c r="N4498" s="475">
        <f t="shared" si="190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88"/>
        <v>-21656048509472.828</v>
      </c>
      <c r="J4499" s="455">
        <f t="array" ref="J4499">IFERROR(INDEX('Retirement Calculator'!J:J,MATCH('Isaac 401k'!N4499,'Retirement Calculator'!A:A,0),0),0)</f>
        <v>0</v>
      </c>
      <c r="K4499" s="455">
        <f t="shared" ca="1" si="186"/>
        <v>-90233535456.13678</v>
      </c>
      <c r="L4499" s="455">
        <f t="shared" ca="1" si="187"/>
        <v>-21746282044928.965</v>
      </c>
      <c r="M4499" s="471">
        <f t="shared" si="189"/>
        <v>0.05</v>
      </c>
      <c r="N4499" s="475">
        <f t="shared" si="190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88"/>
        <v>-21746282044928.965</v>
      </c>
      <c r="J4500" s="455">
        <f t="array" ref="J4500">IFERROR(INDEX('Retirement Calculator'!J:J,MATCH('Isaac 401k'!N4500,'Retirement Calculator'!A:A,0),0),0)</f>
        <v>0</v>
      </c>
      <c r="K4500" s="455">
        <f t="shared" ca="1" si="186"/>
        <v>-90609508520.537354</v>
      </c>
      <c r="L4500" s="455">
        <f t="shared" ca="1" si="187"/>
        <v>-21836891553449.504</v>
      </c>
      <c r="M4500" s="471">
        <f t="shared" si="189"/>
        <v>0.05</v>
      </c>
      <c r="N4500" s="475">
        <f t="shared" si="190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88"/>
        <v>-21836891553449.504</v>
      </c>
      <c r="J4501" s="455">
        <f t="array" ref="J4501">IFERROR(INDEX('Retirement Calculator'!J:J,MATCH('Isaac 401k'!N4501,'Retirement Calculator'!A:A,0),0),0)</f>
        <v>0</v>
      </c>
      <c r="K4501" s="455">
        <f t="shared" ca="1" si="186"/>
        <v>-90987048139.372925</v>
      </c>
      <c r="L4501" s="455">
        <f t="shared" ca="1" si="187"/>
        <v>-21927878601588.875</v>
      </c>
      <c r="M4501" s="471">
        <f t="shared" si="189"/>
        <v>0.05</v>
      </c>
      <c r="N4501" s="475">
        <f t="shared" si="190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88"/>
        <v>-21927878601588.875</v>
      </c>
      <c r="J4502" s="455">
        <f t="array" ref="J4502">IFERROR(INDEX('Retirement Calculator'!J:J,MATCH('Isaac 401k'!N4502,'Retirement Calculator'!A:A,0),0),0)</f>
        <v>0</v>
      </c>
      <c r="K4502" s="455">
        <f t="shared" ca="1" si="186"/>
        <v>-91366160839.953644</v>
      </c>
      <c r="L4502" s="455">
        <f t="shared" ca="1" si="187"/>
        <v>-22019244762428.828</v>
      </c>
      <c r="M4502" s="471">
        <f t="shared" si="189"/>
        <v>0.05</v>
      </c>
      <c r="N4502" s="475">
        <f t="shared" si="190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88"/>
        <v>-22019244762428.828</v>
      </c>
      <c r="J4503" s="455">
        <f t="array" ref="J4503">IFERROR(INDEX('Retirement Calculator'!J:J,MATCH('Isaac 401k'!N4503,'Retirement Calculator'!A:A,0),0),0)</f>
        <v>0</v>
      </c>
      <c r="K4503" s="455">
        <f t="shared" ca="1" si="186"/>
        <v>-91746853176.786789</v>
      </c>
      <c r="L4503" s="455">
        <f t="shared" ca="1" si="187"/>
        <v>-22110991615605.613</v>
      </c>
      <c r="M4503" s="471">
        <f t="shared" si="189"/>
        <v>0.05</v>
      </c>
      <c r="N4503" s="475">
        <f t="shared" si="190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88"/>
        <v>-22110991615605.613</v>
      </c>
      <c r="J4504" s="455">
        <f t="array" ref="J4504">IFERROR(INDEX('Retirement Calculator'!J:J,MATCH('Isaac 401k'!N4504,'Retirement Calculator'!A:A,0),0),0)</f>
        <v>0</v>
      </c>
      <c r="K4504" s="455">
        <f t="shared" ca="1" si="186"/>
        <v>-92129131731.690048</v>
      </c>
      <c r="L4504" s="455">
        <f t="shared" ca="1" si="187"/>
        <v>-22203120747337.305</v>
      </c>
      <c r="M4504" s="471">
        <f t="shared" si="189"/>
        <v>0.05</v>
      </c>
      <c r="N4504" s="475">
        <f t="shared" si="190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88"/>
        <v>-22203120747337.305</v>
      </c>
      <c r="J4505" s="455">
        <f t="array" ref="J4505">IFERROR(INDEX('Retirement Calculator'!J:J,MATCH('Isaac 401k'!N4505,'Retirement Calculator'!A:A,0),0),0)</f>
        <v>0</v>
      </c>
      <c r="K4505" s="455">
        <f t="shared" ca="1" si="186"/>
        <v>-92513003113.905441</v>
      </c>
      <c r="L4505" s="455">
        <f t="shared" ca="1" si="187"/>
        <v>-22295633750451.211</v>
      </c>
      <c r="M4505" s="471">
        <f t="shared" si="189"/>
        <v>0.05</v>
      </c>
      <c r="N4505" s="475">
        <f t="shared" si="190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88"/>
        <v>-22295633750451.211</v>
      </c>
      <c r="J4506" s="455">
        <f t="array" ref="J4506">IFERROR(INDEX('Retirement Calculator'!J:J,MATCH('Isaac 401k'!N4506,'Retirement Calculator'!A:A,0),0),0)</f>
        <v>0</v>
      </c>
      <c r="K4506" s="455">
        <f t="shared" ca="1" si="186"/>
        <v>-92898473960.213379</v>
      </c>
      <c r="L4506" s="455">
        <f t="shared" ca="1" si="187"/>
        <v>-22388532224411.426</v>
      </c>
      <c r="M4506" s="471">
        <f t="shared" si="189"/>
        <v>0.05</v>
      </c>
      <c r="N4506" s="475">
        <f t="shared" si="190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88"/>
        <v>-22388532224411.426</v>
      </c>
      <c r="J4507" s="455">
        <f t="array" ref="J4507">IFERROR(INDEX('Retirement Calculator'!J:J,MATCH('Isaac 401k'!N4507,'Retirement Calculator'!A:A,0),0),0)</f>
        <v>0</v>
      </c>
      <c r="K4507" s="455">
        <f t="shared" ca="1" si="186"/>
        <v>-93285550935.047607</v>
      </c>
      <c r="L4507" s="455">
        <f t="shared" ca="1" si="187"/>
        <v>-22481817775346.473</v>
      </c>
      <c r="M4507" s="471">
        <f t="shared" si="189"/>
        <v>0.05</v>
      </c>
      <c r="N4507" s="475">
        <f t="shared" si="190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88"/>
        <v>-22481817775346.473</v>
      </c>
      <c r="J4508" s="455">
        <f t="array" ref="J4508">IFERROR(INDEX('Retirement Calculator'!J:J,MATCH('Isaac 401k'!N4508,'Retirement Calculator'!A:A,0),0),0)</f>
        <v>0</v>
      </c>
      <c r="K4508" s="455">
        <f t="shared" ca="1" si="186"/>
        <v>-93674240730.610306</v>
      </c>
      <c r="L4508" s="455">
        <f t="shared" ca="1" si="187"/>
        <v>-22575492016077.082</v>
      </c>
      <c r="M4508" s="471">
        <f t="shared" si="189"/>
        <v>0.05</v>
      </c>
      <c r="N4508" s="475">
        <f t="shared" si="190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88"/>
        <v>-22575492016077.082</v>
      </c>
      <c r="J4509" s="455">
        <f t="array" ref="J4509">IFERROR(INDEX('Retirement Calculator'!J:J,MATCH('Isaac 401k'!N4509,'Retirement Calculator'!A:A,0),0),0)</f>
        <v>0</v>
      </c>
      <c r="K4509" s="455">
        <f t="shared" ca="1" si="186"/>
        <v>-94064550066.987839</v>
      </c>
      <c r="L4509" s="455">
        <f t="shared" ca="1" si="187"/>
        <v>-22669556566144.07</v>
      </c>
      <c r="M4509" s="471">
        <f t="shared" si="189"/>
        <v>0.05</v>
      </c>
      <c r="N4509" s="475">
        <f t="shared" si="190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88"/>
        <v>-22669556566144.07</v>
      </c>
      <c r="J4510" s="455">
        <f t="array" ref="J4510">IFERROR(INDEX('Retirement Calculator'!J:J,MATCH('Isaac 401k'!N4510,'Retirement Calculator'!A:A,0),0),0)</f>
        <v>0</v>
      </c>
      <c r="K4510" s="455">
        <f t="shared" ca="1" si="186"/>
        <v>-94456485692.266953</v>
      </c>
      <c r="L4510" s="455">
        <f t="shared" ca="1" si="187"/>
        <v>-22764013051836.336</v>
      </c>
      <c r="M4510" s="471">
        <f t="shared" si="189"/>
        <v>0.05</v>
      </c>
      <c r="N4510" s="475">
        <f t="shared" si="190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88"/>
        <v>-22764013051836.336</v>
      </c>
      <c r="J4511" s="455">
        <f t="array" ref="J4511">IFERROR(INDEX('Retirement Calculator'!J:J,MATCH('Isaac 401k'!N4511,'Retirement Calculator'!A:A,0),0),0)</f>
        <v>0</v>
      </c>
      <c r="K4511" s="455">
        <f t="shared" ca="1" si="186"/>
        <v>-94850054382.651398</v>
      </c>
      <c r="L4511" s="455">
        <f t="shared" ca="1" si="187"/>
        <v>-22858863106218.988</v>
      </c>
      <c r="M4511" s="471">
        <f t="shared" si="189"/>
        <v>0.05</v>
      </c>
      <c r="N4511" s="475">
        <f t="shared" si="190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88"/>
        <v>-22858863106218.988</v>
      </c>
      <c r="J4512" s="455">
        <f t="array" ref="J4512">IFERROR(INDEX('Retirement Calculator'!J:J,MATCH('Isaac 401k'!N4512,'Retirement Calculator'!A:A,0),0),0)</f>
        <v>0</v>
      </c>
      <c r="K4512" s="455">
        <f t="shared" ca="1" si="186"/>
        <v>-95245262942.579117</v>
      </c>
      <c r="L4512" s="455">
        <f t="shared" ca="1" si="187"/>
        <v>-22954108369161.566</v>
      </c>
      <c r="M4512" s="471">
        <f t="shared" si="189"/>
        <v>0.05</v>
      </c>
      <c r="N4512" s="475">
        <f t="shared" si="190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88"/>
        <v>-22954108369161.566</v>
      </c>
      <c r="J4513" s="455">
        <f t="array" ref="J4513">IFERROR(INDEX('Retirement Calculator'!J:J,MATCH('Isaac 401k'!N4513,'Retirement Calculator'!A:A,0),0),0)</f>
        <v>0</v>
      </c>
      <c r="K4513" s="455">
        <f t="shared" ca="1" si="186"/>
        <v>-95642118204.839859</v>
      </c>
      <c r="L4513" s="455">
        <f t="shared" ca="1" si="187"/>
        <v>-23049750487366.406</v>
      </c>
      <c r="M4513" s="471">
        <f t="shared" si="189"/>
        <v>0.05</v>
      </c>
      <c r="N4513" s="475">
        <f t="shared" si="190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88"/>
        <v>-23049750487366.406</v>
      </c>
      <c r="J4514" s="455">
        <f t="array" ref="J4514">IFERROR(INDEX('Retirement Calculator'!J:J,MATCH('Isaac 401k'!N4514,'Retirement Calculator'!A:A,0),0),0)</f>
        <v>0</v>
      </c>
      <c r="K4514" s="455">
        <f t="shared" ca="1" si="186"/>
        <v>-96040627030.693359</v>
      </c>
      <c r="L4514" s="455">
        <f t="shared" ca="1" si="187"/>
        <v>-23145791114397.102</v>
      </c>
      <c r="M4514" s="471">
        <f t="shared" si="189"/>
        <v>0.05</v>
      </c>
      <c r="N4514" s="475">
        <f t="shared" si="190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88"/>
        <v>-23145791114397.102</v>
      </c>
      <c r="J4515" s="455">
        <f t="array" ref="J4515">IFERROR(INDEX('Retirement Calculator'!J:J,MATCH('Isaac 401k'!N4515,'Retirement Calculator'!A:A,0),0),0)</f>
        <v>0</v>
      </c>
      <c r="K4515" s="455">
        <f t="shared" ca="1" si="186"/>
        <v>-96440796309.987915</v>
      </c>
      <c r="L4515" s="455">
        <f t="shared" ca="1" si="187"/>
        <v>-23242231910707.09</v>
      </c>
      <c r="M4515" s="471">
        <f t="shared" si="189"/>
        <v>0.05</v>
      </c>
      <c r="N4515" s="475">
        <f t="shared" si="190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88"/>
        <v>-23242231910707.09</v>
      </c>
      <c r="J4516" s="455">
        <f t="array" ref="J4516">IFERROR(INDEX('Retirement Calculator'!J:J,MATCH('Isaac 401k'!N4516,'Retirement Calculator'!A:A,0),0),0)</f>
        <v>0</v>
      </c>
      <c r="K4516" s="455">
        <f t="shared" ca="1" si="186"/>
        <v>-96842632961.279541</v>
      </c>
      <c r="L4516" s="455">
        <f t="shared" ca="1" si="187"/>
        <v>-23339074543668.371</v>
      </c>
      <c r="M4516" s="471">
        <f t="shared" si="189"/>
        <v>0.05</v>
      </c>
      <c r="N4516" s="475">
        <f t="shared" si="190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88"/>
        <v>-23339074543668.371</v>
      </c>
      <c r="J4517" s="455">
        <f t="array" ref="J4517">IFERROR(INDEX('Retirement Calculator'!J:J,MATCH('Isaac 401k'!N4517,'Retirement Calculator'!A:A,0),0),0)</f>
        <v>0</v>
      </c>
      <c r="K4517" s="455">
        <f t="shared" ca="1" si="186"/>
        <v>-97246143931.951538</v>
      </c>
      <c r="L4517" s="455">
        <f t="shared" ca="1" si="187"/>
        <v>-23436320687600.324</v>
      </c>
      <c r="M4517" s="471">
        <f t="shared" si="189"/>
        <v>0.05</v>
      </c>
      <c r="N4517" s="475">
        <f t="shared" si="190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88"/>
        <v>-23436320687600.324</v>
      </c>
      <c r="J4518" s="455">
        <f t="array" ref="J4518">IFERROR(INDEX('Retirement Calculator'!J:J,MATCH('Isaac 401k'!N4518,'Retirement Calculator'!A:A,0),0),0)</f>
        <v>0</v>
      </c>
      <c r="K4518" s="455">
        <f t="shared" ca="1" si="186"/>
        <v>-97651336198.334686</v>
      </c>
      <c r="L4518" s="455">
        <f t="shared" ca="1" si="187"/>
        <v>-23533972023798.66</v>
      </c>
      <c r="M4518" s="471">
        <f t="shared" si="189"/>
        <v>0.05</v>
      </c>
      <c r="N4518" s="475">
        <f t="shared" si="190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88"/>
        <v>-23533972023798.66</v>
      </c>
      <c r="J4519" s="455">
        <f t="array" ref="J4519">IFERROR(INDEX('Retirement Calculator'!J:J,MATCH('Isaac 401k'!N4519,'Retirement Calculator'!A:A,0),0),0)</f>
        <v>0</v>
      </c>
      <c r="K4519" s="455">
        <f t="shared" ca="1" si="186"/>
        <v>-98058216765.827744</v>
      </c>
      <c r="L4519" s="455">
        <f t="shared" ca="1" si="187"/>
        <v>-23632030240564.488</v>
      </c>
      <c r="M4519" s="471">
        <f t="shared" si="189"/>
        <v>0.05</v>
      </c>
      <c r="N4519" s="475">
        <f t="shared" si="190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88"/>
        <v>-23632030240564.488</v>
      </c>
      <c r="J4520" s="455">
        <f t="array" ref="J4520">IFERROR(INDEX('Retirement Calculator'!J:J,MATCH('Isaac 401k'!N4520,'Retirement Calculator'!A:A,0),0),0)</f>
        <v>0</v>
      </c>
      <c r="K4520" s="455">
        <f t="shared" ca="1" si="186"/>
        <v>-98466792669.018707</v>
      </c>
      <c r="L4520" s="455">
        <f t="shared" ca="1" si="187"/>
        <v>-23730497033233.508</v>
      </c>
      <c r="M4520" s="471">
        <f t="shared" si="189"/>
        <v>0.05</v>
      </c>
      <c r="N4520" s="475">
        <f t="shared" si="190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88"/>
        <v>-23730497033233.508</v>
      </c>
      <c r="J4521" s="455">
        <f t="array" ref="J4521">IFERROR(INDEX('Retirement Calculator'!J:J,MATCH('Isaac 401k'!N4521,'Retirement Calculator'!A:A,0),0),0)</f>
        <v>0</v>
      </c>
      <c r="K4521" s="455">
        <f t="shared" ca="1" si="186"/>
        <v>-98877070971.806274</v>
      </c>
      <c r="L4521" s="455">
        <f t="shared" ca="1" si="187"/>
        <v>-23829374104205.313</v>
      </c>
      <c r="M4521" s="471">
        <f t="shared" si="189"/>
        <v>0.05</v>
      </c>
      <c r="N4521" s="475">
        <f t="shared" si="190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88"/>
        <v>-23829374104205.313</v>
      </c>
      <c r="J4522" s="455">
        <f t="array" ref="J4522">IFERROR(INDEX('Retirement Calculator'!J:J,MATCH('Isaac 401k'!N4522,'Retirement Calculator'!A:A,0),0),0)</f>
        <v>0</v>
      </c>
      <c r="K4522" s="455">
        <f t="shared" ca="1" si="186"/>
        <v>-99289058767.522141</v>
      </c>
      <c r="L4522" s="455">
        <f t="shared" ca="1" si="187"/>
        <v>-23928663162972.836</v>
      </c>
      <c r="M4522" s="471">
        <f t="shared" si="189"/>
        <v>0.05</v>
      </c>
      <c r="N4522" s="475">
        <f t="shared" si="190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88"/>
        <v>-23928663162972.836</v>
      </c>
      <c r="J4523" s="455">
        <f t="array" ref="J4523">IFERROR(INDEX('Retirement Calculator'!J:J,MATCH('Isaac 401k'!N4523,'Retirement Calculator'!A:A,0),0),0)</f>
        <v>0</v>
      </c>
      <c r="K4523" s="455">
        <f t="shared" ca="1" si="186"/>
        <v>-99702763179.053482</v>
      </c>
      <c r="L4523" s="455">
        <f t="shared" ca="1" si="187"/>
        <v>-24028365926151.891</v>
      </c>
      <c r="M4523" s="471">
        <f t="shared" si="189"/>
        <v>0.05</v>
      </c>
      <c r="N4523" s="475">
        <f t="shared" si="190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88"/>
        <v>-24028365926151.891</v>
      </c>
      <c r="J4524" s="455">
        <f t="array" ref="J4524">IFERROR(INDEX('Retirement Calculator'!J:J,MATCH('Isaac 401k'!N4524,'Retirement Calculator'!A:A,0),0),0)</f>
        <v>0</v>
      </c>
      <c r="K4524" s="455">
        <f t="shared" ca="1" si="186"/>
        <v>-100118191358.96622</v>
      </c>
      <c r="L4524" s="455">
        <f t="shared" ca="1" si="187"/>
        <v>-24128484117510.855</v>
      </c>
      <c r="M4524" s="471">
        <f t="shared" si="189"/>
        <v>0.05</v>
      </c>
      <c r="N4524" s="475">
        <f t="shared" si="190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88"/>
        <v>-24128484117510.855</v>
      </c>
      <c r="J4525" s="455">
        <f t="array" ref="J4525">IFERROR(INDEX('Retirement Calculator'!J:J,MATCH('Isaac 401k'!N4525,'Retirement Calculator'!A:A,0),0),0)</f>
        <v>0</v>
      </c>
      <c r="K4525" s="455">
        <f t="shared" ca="1" si="186"/>
        <v>-100535350489.62857</v>
      </c>
      <c r="L4525" s="455">
        <f t="shared" ca="1" si="187"/>
        <v>-24229019468000.484</v>
      </c>
      <c r="M4525" s="471">
        <f t="shared" si="189"/>
        <v>0.05</v>
      </c>
      <c r="N4525" s="475">
        <f t="shared" si="190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88"/>
        <v>-24229019468000.484</v>
      </c>
      <c r="J4526" s="455">
        <f t="array" ref="J4526">IFERROR(INDEX('Retirement Calculator'!J:J,MATCH('Isaac 401k'!N4526,'Retirement Calculator'!A:A,0),0),0)</f>
        <v>0</v>
      </c>
      <c r="K4526" s="455">
        <f t="shared" ca="1" si="186"/>
        <v>-100954247783.33536</v>
      </c>
      <c r="L4526" s="455">
        <f t="shared" ca="1" si="187"/>
        <v>-24329973715783.82</v>
      </c>
      <c r="M4526" s="471">
        <f t="shared" si="189"/>
        <v>0.05</v>
      </c>
      <c r="N4526" s="475">
        <f t="shared" si="190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88"/>
        <v>-24329973715783.82</v>
      </c>
      <c r="J4527" s="455">
        <f t="array" ref="J4527">IFERROR(INDEX('Retirement Calculator'!J:J,MATCH('Isaac 401k'!N4527,'Retirement Calculator'!A:A,0),0),0)</f>
        <v>0</v>
      </c>
      <c r="K4527" s="455">
        <f t="shared" ca="1" si="186"/>
        <v>-101374890482.43259</v>
      </c>
      <c r="L4527" s="455">
        <f t="shared" ca="1" si="187"/>
        <v>-24431348606266.254</v>
      </c>
      <c r="M4527" s="471">
        <f t="shared" si="189"/>
        <v>0.05</v>
      </c>
      <c r="N4527" s="475">
        <f t="shared" si="190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88"/>
        <v>-24431348606266.254</v>
      </c>
      <c r="J4528" s="455">
        <f t="array" ref="J4528">IFERROR(INDEX('Retirement Calculator'!J:J,MATCH('Isaac 401k'!N4528,'Retirement Calculator'!A:A,0),0),0)</f>
        <v>0</v>
      </c>
      <c r="K4528" s="455">
        <f t="shared" ca="1" si="186"/>
        <v>-101797285859.44272</v>
      </c>
      <c r="L4528" s="455">
        <f t="shared" ca="1" si="187"/>
        <v>-24533145892125.695</v>
      </c>
      <c r="M4528" s="471">
        <f t="shared" si="189"/>
        <v>0.05</v>
      </c>
      <c r="N4528" s="475">
        <f t="shared" si="190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88"/>
        <v>-24533145892125.695</v>
      </c>
      <c r="J4529" s="455">
        <f t="array" ref="J4529">IFERROR(INDEX('Retirement Calculator'!J:J,MATCH('Isaac 401k'!N4529,'Retirement Calculator'!A:A,0),0),0)</f>
        <v>0</v>
      </c>
      <c r="K4529" s="455">
        <f t="shared" ca="1" si="186"/>
        <v>-102221441217.1904</v>
      </c>
      <c r="L4529" s="455">
        <f t="shared" ca="1" si="187"/>
        <v>-24635367333342.887</v>
      </c>
      <c r="M4529" s="471">
        <f t="shared" si="189"/>
        <v>0.05</v>
      </c>
      <c r="N4529" s="475">
        <f t="shared" si="190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88"/>
        <v>-24635367333342.887</v>
      </c>
      <c r="J4530" s="455">
        <f t="array" ref="J4530">IFERROR(INDEX('Retirement Calculator'!J:J,MATCH('Isaac 401k'!N4530,'Retirement Calculator'!A:A,0),0),0)</f>
        <v>0</v>
      </c>
      <c r="K4530" s="455">
        <f t="shared" ca="1" si="186"/>
        <v>-102647363888.9287</v>
      </c>
      <c r="L4530" s="455">
        <f t="shared" ca="1" si="187"/>
        <v>-24738014697231.816</v>
      </c>
      <c r="M4530" s="471">
        <f t="shared" si="189"/>
        <v>0.05</v>
      </c>
      <c r="N4530" s="475">
        <f t="shared" si="190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88"/>
        <v>-24738014697231.816</v>
      </c>
      <c r="J4531" s="455">
        <f t="array" ref="J4531">IFERROR(INDEX('Retirement Calculator'!J:J,MATCH('Isaac 401k'!N4531,'Retirement Calculator'!A:A,0),0),0)</f>
        <v>0</v>
      </c>
      <c r="K4531" s="455">
        <f t="shared" ca="1" si="186"/>
        <v>-103075061238.4659</v>
      </c>
      <c r="L4531" s="455">
        <f t="shared" ca="1" si="187"/>
        <v>-24841089758470.281</v>
      </c>
      <c r="M4531" s="471">
        <f t="shared" si="189"/>
        <v>0.05</v>
      </c>
      <c r="N4531" s="475">
        <f t="shared" si="190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88"/>
        <v>-24841089758470.281</v>
      </c>
      <c r="J4532" s="455">
        <f t="array" ref="J4532">IFERROR(INDEX('Retirement Calculator'!J:J,MATCH('Isaac 401k'!N4532,'Retirement Calculator'!A:A,0),0),0)</f>
        <v>0</v>
      </c>
      <c r="K4532" s="455">
        <f t="shared" ca="1" si="186"/>
        <v>-103504540660.29283</v>
      </c>
      <c r="L4532" s="455">
        <f t="shared" ca="1" si="187"/>
        <v>-24944594299130.574</v>
      </c>
      <c r="M4532" s="471">
        <f t="shared" si="189"/>
        <v>0.05</v>
      </c>
      <c r="N4532" s="475">
        <f t="shared" si="190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88"/>
        <v>-24944594299130.574</v>
      </c>
      <c r="J4533" s="455">
        <f t="array" ref="J4533">IFERROR(INDEX('Retirement Calculator'!J:J,MATCH('Isaac 401k'!N4533,'Retirement Calculator'!A:A,0),0),0)</f>
        <v>0</v>
      </c>
      <c r="K4533" s="455">
        <f t="shared" ca="1" si="186"/>
        <v>-103935809579.71072</v>
      </c>
      <c r="L4533" s="455">
        <f t="shared" ca="1" si="187"/>
        <v>-25048530108710.285</v>
      </c>
      <c r="M4533" s="471">
        <f t="shared" si="189"/>
        <v>0.05</v>
      </c>
      <c r="N4533" s="475">
        <f t="shared" si="190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88"/>
        <v>-25048530108710.285</v>
      </c>
      <c r="J4534" s="455">
        <f t="array" ref="J4534">IFERROR(INDEX('Retirement Calculator'!J:J,MATCH('Isaac 401k'!N4534,'Retirement Calculator'!A:A,0),0),0)</f>
        <v>0</v>
      </c>
      <c r="K4534" s="455">
        <f t="shared" ca="1" si="186"/>
        <v>-104368875452.95952</v>
      </c>
      <c r="L4534" s="455">
        <f t="shared" ca="1" si="187"/>
        <v>-25152898984163.246</v>
      </c>
      <c r="M4534" s="471">
        <f t="shared" si="189"/>
        <v>0.05</v>
      </c>
      <c r="N4534" s="475">
        <f t="shared" si="190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88"/>
        <v>-25152898984163.246</v>
      </c>
      <c r="J4535" s="455">
        <f t="array" ref="J4535">IFERROR(INDEX('Retirement Calculator'!J:J,MATCH('Isaac 401k'!N4535,'Retirement Calculator'!A:A,0),0),0)</f>
        <v>0</v>
      </c>
      <c r="K4535" s="455">
        <f t="shared" ca="1" si="186"/>
        <v>-104803745767.34686</v>
      </c>
      <c r="L4535" s="455">
        <f t="shared" ca="1" si="187"/>
        <v>-25257702729930.594</v>
      </c>
      <c r="M4535" s="471">
        <f t="shared" si="189"/>
        <v>0.05</v>
      </c>
      <c r="N4535" s="475">
        <f t="shared" si="190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88"/>
        <v>-25257702729930.594</v>
      </c>
      <c r="J4536" s="455">
        <f t="array" ref="J4536">IFERROR(INDEX('Retirement Calculator'!J:J,MATCH('Isaac 401k'!N4536,'Retirement Calculator'!A:A,0),0),0)</f>
        <v>0</v>
      </c>
      <c r="K4536" s="455">
        <f t="shared" ca="1" si="186"/>
        <v>-105240428041.37747</v>
      </c>
      <c r="L4536" s="455">
        <f t="shared" ca="1" si="187"/>
        <v>-25362943157971.973</v>
      </c>
      <c r="M4536" s="471">
        <f t="shared" si="189"/>
        <v>0.05</v>
      </c>
      <c r="N4536" s="475">
        <f t="shared" si="190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88"/>
        <v>-25362943157971.973</v>
      </c>
      <c r="J4537" s="455">
        <f t="array" ref="J4537">IFERROR(INDEX('Retirement Calculator'!J:J,MATCH('Isaac 401k'!N4537,'Retirement Calculator'!A:A,0),0),0)</f>
        <v>0</v>
      </c>
      <c r="K4537" s="455">
        <f t="shared" ca="1" si="186"/>
        <v>-105678929824.88322</v>
      </c>
      <c r="L4537" s="455">
        <f t="shared" ca="1" si="187"/>
        <v>-25468622087796.855</v>
      </c>
      <c r="M4537" s="471">
        <f t="shared" si="189"/>
        <v>0.05</v>
      </c>
      <c r="N4537" s="475">
        <f t="shared" si="190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88"/>
        <v>-25468622087796.855</v>
      </c>
      <c r="J4538" s="455">
        <f t="array" ref="J4538">IFERROR(INDEX('Retirement Calculator'!J:J,MATCH('Isaac 401k'!N4538,'Retirement Calculator'!A:A,0),0),0)</f>
        <v>0</v>
      </c>
      <c r="K4538" s="455">
        <f t="shared" ca="1" si="186"/>
        <v>-106119258699.15356</v>
      </c>
      <c r="L4538" s="455">
        <f t="shared" ca="1" si="187"/>
        <v>-25574741346496.008</v>
      </c>
      <c r="M4538" s="471">
        <f t="shared" si="189"/>
        <v>0.05</v>
      </c>
      <c r="N4538" s="475">
        <f t="shared" si="190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88"/>
        <v>-25574741346496.008</v>
      </c>
      <c r="J4539" s="455">
        <f t="array" ref="J4539">IFERROR(INDEX('Retirement Calculator'!J:J,MATCH('Isaac 401k'!N4539,'Retirement Calculator'!A:A,0),0),0)</f>
        <v>0</v>
      </c>
      <c r="K4539" s="455">
        <f t="shared" ca="1" si="186"/>
        <v>-106561422277.0667</v>
      </c>
      <c r="L4539" s="455">
        <f t="shared" ca="1" si="187"/>
        <v>-25681302768773.074</v>
      </c>
      <c r="M4539" s="471">
        <f t="shared" si="189"/>
        <v>0.05</v>
      </c>
      <c r="N4539" s="475">
        <f t="shared" si="190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88"/>
        <v>-25681302768773.074</v>
      </c>
      <c r="J4540" s="455">
        <f t="array" ref="J4540">IFERROR(INDEX('Retirement Calculator'!J:J,MATCH('Isaac 401k'!N4540,'Retirement Calculator'!A:A,0),0),0)</f>
        <v>0</v>
      </c>
      <c r="K4540" s="455">
        <f t="shared" ca="1" si="186"/>
        <v>-107005428203.22115</v>
      </c>
      <c r="L4540" s="455">
        <f t="shared" ca="1" si="187"/>
        <v>-25788308196976.297</v>
      </c>
      <c r="M4540" s="471">
        <f t="shared" si="189"/>
        <v>0.05</v>
      </c>
      <c r="N4540" s="475">
        <f t="shared" si="190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88"/>
        <v>-25788308196976.297</v>
      </c>
      <c r="J4541" s="455">
        <f t="array" ref="J4541">IFERROR(INDEX('Retirement Calculator'!J:J,MATCH('Isaac 401k'!N4541,'Retirement Calculator'!A:A,0),0),0)</f>
        <v>0</v>
      </c>
      <c r="K4541" s="455">
        <f t="shared" ca="1" si="186"/>
        <v>-107451284154.0679</v>
      </c>
      <c r="L4541" s="455">
        <f t="shared" ca="1" si="187"/>
        <v>-25895759481130.363</v>
      </c>
      <c r="M4541" s="471">
        <f t="shared" si="189"/>
        <v>0.05</v>
      </c>
      <c r="N4541" s="475">
        <f t="shared" si="190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88"/>
        <v>-25895759481130.363</v>
      </c>
      <c r="J4542" s="455">
        <f t="array" ref="J4542">IFERROR(INDEX('Retirement Calculator'!J:J,MATCH('Isaac 401k'!N4542,'Retirement Calculator'!A:A,0),0),0)</f>
        <v>0</v>
      </c>
      <c r="K4542" s="455">
        <f t="shared" ca="1" si="186"/>
        <v>-107898997838.04318</v>
      </c>
      <c r="L4542" s="455">
        <f t="shared" ca="1" si="187"/>
        <v>-26003658478968.406</v>
      </c>
      <c r="M4542" s="471">
        <f t="shared" si="189"/>
        <v>0.05</v>
      </c>
      <c r="N4542" s="475">
        <f t="shared" si="190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88"/>
        <v>-26003658478968.406</v>
      </c>
      <c r="J4543" s="455">
        <f t="array" ref="J4543">IFERROR(INDEX('Retirement Calculator'!J:J,MATCH('Isaac 401k'!N4543,'Retirement Calculator'!A:A,0),0),0)</f>
        <v>0</v>
      </c>
      <c r="K4543" s="455">
        <f t="shared" ca="1" si="186"/>
        <v>-108348576995.70169</v>
      </c>
      <c r="L4543" s="455">
        <f t="shared" ca="1" si="187"/>
        <v>-26112007055964.109</v>
      </c>
      <c r="M4543" s="471">
        <f t="shared" si="189"/>
        <v>0.05</v>
      </c>
      <c r="N4543" s="475">
        <f t="shared" si="190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88"/>
        <v>-26112007055964.109</v>
      </c>
      <c r="J4544" s="455">
        <f t="array" ref="J4544">IFERROR(INDEX('Retirement Calculator'!J:J,MATCH('Isaac 401k'!N4544,'Retirement Calculator'!A:A,0),0),0)</f>
        <v>0</v>
      </c>
      <c r="K4544" s="455">
        <f t="shared" ca="1" si="186"/>
        <v>-108800029399.85045</v>
      </c>
      <c r="L4544" s="455">
        <f t="shared" ca="1" si="187"/>
        <v>-26220807085363.961</v>
      </c>
      <c r="M4544" s="471">
        <f t="shared" si="189"/>
        <v>0.05</v>
      </c>
      <c r="N4544" s="475">
        <f t="shared" si="190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88"/>
        <v>-26220807085363.961</v>
      </c>
      <c r="J4545" s="455">
        <f t="array" ref="J4545">IFERROR(INDEX('Retirement Calculator'!J:J,MATCH('Isaac 401k'!N4545,'Retirement Calculator'!A:A,0),0),0)</f>
        <v>0</v>
      </c>
      <c r="K4545" s="455">
        <f t="shared" ca="1" si="186"/>
        <v>-109253362855.68317</v>
      </c>
      <c r="L4545" s="455">
        <f t="shared" ca="1" si="187"/>
        <v>-26330060448219.645</v>
      </c>
      <c r="M4545" s="471">
        <f t="shared" si="189"/>
        <v>0.05</v>
      </c>
      <c r="N4545" s="475">
        <f t="shared" si="190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88"/>
        <v>-26330060448219.645</v>
      </c>
      <c r="J4546" s="455">
        <f t="array" ref="J4546">IFERROR(INDEX('Retirement Calculator'!J:J,MATCH('Isaac 401k'!N4546,'Retirement Calculator'!A:A,0),0),0)</f>
        <v>0</v>
      </c>
      <c r="K4546" s="455">
        <f t="shared" ca="1" si="186"/>
        <v>-109708585200.91519</v>
      </c>
      <c r="L4546" s="455">
        <f t="shared" ca="1" si="187"/>
        <v>-26439769033420.559</v>
      </c>
      <c r="M4546" s="471">
        <f t="shared" si="189"/>
        <v>0.05</v>
      </c>
      <c r="N4546" s="475">
        <f t="shared" si="190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88"/>
        <v>-26439769033420.559</v>
      </c>
      <c r="J4547" s="455">
        <f t="array" ref="J4547">IFERROR(INDEX('Retirement Calculator'!J:J,MATCH('Isaac 401k'!N4547,'Retirement Calculator'!A:A,0),0),0)</f>
        <v>0</v>
      </c>
      <c r="K4547" s="455">
        <f t="shared" ca="1" si="186"/>
        <v>-110165704305.91899</v>
      </c>
      <c r="L4547" s="455">
        <f t="shared" ca="1" si="187"/>
        <v>-26549934737726.477</v>
      </c>
      <c r="M4547" s="471">
        <f t="shared" si="189"/>
        <v>0.05</v>
      </c>
      <c r="N4547" s="475">
        <f t="shared" si="190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88"/>
        <v>-26549934737726.477</v>
      </c>
      <c r="J4548" s="455">
        <f t="array" ref="J4548">IFERROR(INDEX('Retirement Calculator'!J:J,MATCH('Isaac 401k'!N4548,'Retirement Calculator'!A:A,0),0),0)</f>
        <v>0</v>
      </c>
      <c r="K4548" s="455">
        <f t="shared" ca="1" si="186"/>
        <v>-110624728073.86032</v>
      </c>
      <c r="L4548" s="455">
        <f t="shared" ca="1" si="187"/>
        <v>-26660559465800.336</v>
      </c>
      <c r="M4548" s="471">
        <f t="shared" si="189"/>
        <v>0.05</v>
      </c>
      <c r="N4548" s="475">
        <f t="shared" si="190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88"/>
        <v>-26660559465800.336</v>
      </c>
      <c r="J4549" s="455">
        <f t="array" ref="J4549">IFERROR(INDEX('Retirement Calculator'!J:J,MATCH('Isaac 401k'!N4549,'Retirement Calculator'!A:A,0),0),0)</f>
        <v>0</v>
      </c>
      <c r="K4549" s="455">
        <f t="shared" ca="1" si="186"/>
        <v>-111085664440.83473</v>
      </c>
      <c r="L4549" s="455">
        <f t="shared" ca="1" si="187"/>
        <v>-26771645130241.172</v>
      </c>
      <c r="M4549" s="471">
        <f t="shared" si="189"/>
        <v>0.05</v>
      </c>
      <c r="N4549" s="475">
        <f t="shared" si="190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88"/>
        <v>-26771645130241.172</v>
      </c>
      <c r="J4550" s="455">
        <f t="array" ref="J4550">IFERROR(INDEX('Retirement Calculator'!J:J,MATCH('Isaac 401k'!N4550,'Retirement Calculator'!A:A,0),0),0)</f>
        <v>0</v>
      </c>
      <c r="K4550" s="455">
        <f t="shared" ca="1" si="186"/>
        <v>-111548521376.00488</v>
      </c>
      <c r="L4550" s="455">
        <f t="shared" ca="1" si="187"/>
        <v>-26883193651617.176</v>
      </c>
      <c r="M4550" s="471">
        <f t="shared" si="189"/>
        <v>0.05</v>
      </c>
      <c r="N4550" s="475">
        <f t="shared" si="190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88"/>
        <v>-26883193651617.176</v>
      </c>
      <c r="J4551" s="455">
        <f t="array" ref="J4551">IFERROR(INDEX('Retirement Calculator'!J:J,MATCH('Isaac 401k'!N4551,'Retirement Calculator'!A:A,0),0),0)</f>
        <v>0</v>
      </c>
      <c r="K4551" s="455">
        <f t="shared" ca="1" si="186"/>
        <v>-112013306881.73824</v>
      </c>
      <c r="L4551" s="455">
        <f t="shared" ca="1" si="187"/>
        <v>-26995206958498.914</v>
      </c>
      <c r="M4551" s="471">
        <f t="shared" si="189"/>
        <v>0.05</v>
      </c>
      <c r="N4551" s="475">
        <f t="shared" si="190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88"/>
        <v>-26995206958498.914</v>
      </c>
      <c r="J4552" s="455">
        <f t="array" ref="J4552">IFERROR(INDEX('Retirement Calculator'!J:J,MATCH('Isaac 401k'!N4552,'Retirement Calculator'!A:A,0),0),0)</f>
        <v>0</v>
      </c>
      <c r="K4552" s="455">
        <f t="shared" ca="1" si="186"/>
        <v>-112480028993.74547</v>
      </c>
      <c r="L4552" s="455">
        <f t="shared" ca="1" si="187"/>
        <v>-27107686987492.66</v>
      </c>
      <c r="M4552" s="471">
        <f t="shared" si="189"/>
        <v>0.05</v>
      </c>
      <c r="N4552" s="475">
        <f t="shared" si="190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88"/>
        <v>-27107686987492.66</v>
      </c>
      <c r="J4553" s="455">
        <f t="array" ref="J4553">IFERROR(INDEX('Retirement Calculator'!J:J,MATCH('Isaac 401k'!N4553,'Retirement Calculator'!A:A,0),0),0)</f>
        <v>0</v>
      </c>
      <c r="K4553" s="455">
        <f t="shared" ca="1" si="186"/>
        <v>-112948695781.21942</v>
      </c>
      <c r="L4553" s="455">
        <f t="shared" ca="1" si="187"/>
        <v>-27220635683273.879</v>
      </c>
      <c r="M4553" s="471">
        <f t="shared" si="189"/>
        <v>0.05</v>
      </c>
      <c r="N4553" s="475">
        <f t="shared" si="190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88"/>
        <v>-27220635683273.879</v>
      </c>
      <c r="J4554" s="455">
        <f t="array" ref="J4554">IFERROR(INDEX('Retirement Calculator'!J:J,MATCH('Isaac 401k'!N4554,'Retirement Calculator'!A:A,0),0),0)</f>
        <v>0</v>
      </c>
      <c r="K4554" s="455">
        <f t="shared" ca="1" si="186"/>
        <v>-113419315346.97449</v>
      </c>
      <c r="L4554" s="455">
        <f t="shared" ca="1" si="187"/>
        <v>-27334054998620.852</v>
      </c>
      <c r="M4554" s="471">
        <f t="shared" si="189"/>
        <v>0.05</v>
      </c>
      <c r="N4554" s="475">
        <f t="shared" si="190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88"/>
        <v>-27334054998620.852</v>
      </c>
      <c r="J4555" s="455">
        <f t="array" ref="J4555">IFERROR(INDEX('Retirement Calculator'!J:J,MATCH('Isaac 401k'!N4555,'Retirement Calculator'!A:A,0),0),0)</f>
        <v>0</v>
      </c>
      <c r="K4555" s="455">
        <f t="shared" ca="1" si="186"/>
        <v>-113891895827.58688</v>
      </c>
      <c r="L4555" s="455">
        <f t="shared" ca="1" si="187"/>
        <v>-27447946894448.438</v>
      </c>
      <c r="M4555" s="471">
        <f t="shared" si="189"/>
        <v>0.05</v>
      </c>
      <c r="N4555" s="475">
        <f t="shared" si="190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88"/>
        <v>-27447946894448.438</v>
      </c>
      <c r="J4556" s="455">
        <f t="array" ref="J4556">IFERROR(INDEX('Retirement Calculator'!J:J,MATCH('Isaac 401k'!N4556,'Retirement Calculator'!A:A,0),0),0)</f>
        <v>0</v>
      </c>
      <c r="K4556" s="455">
        <f t="shared" ca="1" si="186"/>
        <v>-114366445393.53514</v>
      </c>
      <c r="L4556" s="455">
        <f t="shared" ca="1" si="187"/>
        <v>-27562313339841.973</v>
      </c>
      <c r="M4556" s="471">
        <f t="shared" si="189"/>
        <v>0.05</v>
      </c>
      <c r="N4556" s="475">
        <f t="shared" si="190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88"/>
        <v>-27562313339841.973</v>
      </c>
      <c r="J4557" s="455">
        <f t="array" ref="J4557">IFERROR(INDEX('Retirement Calculator'!J:J,MATCH('Isaac 401k'!N4557,'Retirement Calculator'!A:A,0),0),0)</f>
        <v>0</v>
      </c>
      <c r="K4557" s="455">
        <f t="shared" ca="1" si="186"/>
        <v>-114842972249.34155</v>
      </c>
      <c r="L4557" s="455">
        <f t="shared" ca="1" si="187"/>
        <v>-27677156312091.313</v>
      </c>
      <c r="M4557" s="471">
        <f t="shared" si="189"/>
        <v>0.05</v>
      </c>
      <c r="N4557" s="475">
        <f t="shared" si="190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88"/>
        <v>-27677156312091.313</v>
      </c>
      <c r="J4558" s="455">
        <f t="array" ref="J4558">IFERROR(INDEX('Retirement Calculator'!J:J,MATCH('Isaac 401k'!N4558,'Retirement Calculator'!A:A,0),0),0)</f>
        <v>0</v>
      </c>
      <c r="K4558" s="455">
        <f t="shared" ca="1" si="186"/>
        <v>-115321484633.71381</v>
      </c>
      <c r="L4558" s="455">
        <f t="shared" ca="1" si="187"/>
        <v>-27792477796725.027</v>
      </c>
      <c r="M4558" s="471">
        <f t="shared" si="189"/>
        <v>0.05</v>
      </c>
      <c r="N4558" s="475">
        <f t="shared" si="190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88"/>
        <v>-27792477796725.027</v>
      </c>
      <c r="J4559" s="455">
        <f t="array" ref="J4559">IFERROR(INDEX('Retirement Calculator'!J:J,MATCH('Isaac 401k'!N4559,'Retirement Calculator'!A:A,0),0),0)</f>
        <v>0</v>
      </c>
      <c r="K4559" s="455">
        <f t="shared" ca="1" si="186"/>
        <v>-115801990819.68759</v>
      </c>
      <c r="L4559" s="455">
        <f t="shared" ca="1" si="187"/>
        <v>-27908279787544.715</v>
      </c>
      <c r="M4559" s="471">
        <f t="shared" si="189"/>
        <v>0.05</v>
      </c>
      <c r="N4559" s="475">
        <f t="shared" si="190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88"/>
        <v>-27908279787544.715</v>
      </c>
      <c r="J4560" s="455">
        <f t="array" ref="J4560">IFERROR(INDEX('Retirement Calculator'!J:J,MATCH('Isaac 401k'!N4560,'Retirement Calculator'!A:A,0),0),0)</f>
        <v>0</v>
      </c>
      <c r="K4560" s="455">
        <f t="shared" ca="1" si="186"/>
        <v>-116284499114.76965</v>
      </c>
      <c r="L4560" s="455">
        <f t="shared" ca="1" si="187"/>
        <v>-28024564286659.484</v>
      </c>
      <c r="M4560" s="471">
        <f t="shared" si="189"/>
        <v>0.05</v>
      </c>
      <c r="N4560" s="475">
        <f t="shared" si="190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88"/>
        <v>-28024564286659.484</v>
      </c>
      <c r="J4561" s="455">
        <f t="array" ref="J4561">IFERROR(INDEX('Retirement Calculator'!J:J,MATCH('Isaac 401k'!N4561,'Retirement Calculator'!A:A,0),0),0)</f>
        <v>0</v>
      </c>
      <c r="K4561" s="455">
        <f t="shared" ca="1" si="186"/>
        <v>-116769017861.08118</v>
      </c>
      <c r="L4561" s="455">
        <f t="shared" ca="1" si="187"/>
        <v>-28141333304520.566</v>
      </c>
      <c r="M4561" s="471">
        <f t="shared" si="189"/>
        <v>0.05</v>
      </c>
      <c r="N4561" s="475">
        <f t="shared" si="190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88"/>
        <v>-28141333304520.566</v>
      </c>
      <c r="J4562" s="455">
        <f t="array" ref="J4562">IFERROR(INDEX('Retirement Calculator'!J:J,MATCH('Isaac 401k'!N4562,'Retirement Calculator'!A:A,0),0),0)</f>
        <v>0</v>
      </c>
      <c r="K4562" s="455">
        <f t="shared" ca="1" si="186"/>
        <v>-117255555435.50238</v>
      </c>
      <c r="L4562" s="455">
        <f t="shared" ca="1" si="187"/>
        <v>-28258588859956.07</v>
      </c>
      <c r="M4562" s="471">
        <f t="shared" si="189"/>
        <v>0.05</v>
      </c>
      <c r="N4562" s="475">
        <f t="shared" si="190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88"/>
        <v>-28258588859956.07</v>
      </c>
      <c r="J4563" s="455">
        <f t="array" ref="J4563">IFERROR(INDEX('Retirement Calculator'!J:J,MATCH('Isaac 401k'!N4563,'Retirement Calculator'!A:A,0),0),0)</f>
        <v>0</v>
      </c>
      <c r="K4563" s="455">
        <f t="shared" ca="1" si="186"/>
        <v>-117744120249.81696</v>
      </c>
      <c r="L4563" s="455">
        <f t="shared" ca="1" si="187"/>
        <v>-28376332980205.887</v>
      </c>
      <c r="M4563" s="471">
        <f t="shared" si="189"/>
        <v>0.05</v>
      </c>
      <c r="N4563" s="475">
        <f t="shared" si="190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88"/>
        <v>-28376332980205.887</v>
      </c>
      <c r="J4564" s="455">
        <f t="array" ref="J4564">IFERROR(INDEX('Retirement Calculator'!J:J,MATCH('Isaac 401k'!N4564,'Retirement Calculator'!A:A,0),0),0)</f>
        <v>0</v>
      </c>
      <c r="K4564" s="455">
        <f t="shared" ca="1" si="186"/>
        <v>-118234720750.85786</v>
      </c>
      <c r="L4564" s="455">
        <f t="shared" ca="1" si="187"/>
        <v>-28494567700956.746</v>
      </c>
      <c r="M4564" s="471">
        <f t="shared" si="189"/>
        <v>0.05</v>
      </c>
      <c r="N4564" s="475">
        <f t="shared" si="190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88"/>
        <v>-28494567700956.746</v>
      </c>
      <c r="J4565" s="455">
        <f t="array" ref="J4565">IFERROR(INDEX('Retirement Calculator'!J:J,MATCH('Isaac 401k'!N4565,'Retirement Calculator'!A:A,0),0),0)</f>
        <v>0</v>
      </c>
      <c r="K4565" s="455">
        <f t="shared" ca="1" si="186"/>
        <v>-118727365420.65311</v>
      </c>
      <c r="L4565" s="455">
        <f t="shared" ca="1" si="187"/>
        <v>-28613295066377.398</v>
      </c>
      <c r="M4565" s="471">
        <f t="shared" si="189"/>
        <v>0.05</v>
      </c>
      <c r="N4565" s="475">
        <f t="shared" si="190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88"/>
        <v>-28613295066377.398</v>
      </c>
      <c r="J4566" s="455">
        <f t="array" ref="J4566">IFERROR(INDEX('Retirement Calculator'!J:J,MATCH('Isaac 401k'!N4566,'Retirement Calculator'!A:A,0),0),0)</f>
        <v>0</v>
      </c>
      <c r="K4566" s="455">
        <f t="shared" ca="1" si="186"/>
        <v>-119222062776.57249</v>
      </c>
      <c r="L4566" s="455">
        <f t="shared" ca="1" si="187"/>
        <v>-28732517129153.973</v>
      </c>
      <c r="M4566" s="471">
        <f t="shared" si="189"/>
        <v>0.05</v>
      </c>
      <c r="N4566" s="475">
        <f t="shared" si="190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88"/>
        <v>-28732517129153.973</v>
      </c>
      <c r="J4567" s="455">
        <f t="array" ref="J4567">IFERROR(INDEX('Retirement Calculator'!J:J,MATCH('Isaac 401k'!N4567,'Retirement Calculator'!A:A,0),0),0)</f>
        <v>0</v>
      </c>
      <c r="K4567" s="455">
        <f t="shared" ca="1" si="186"/>
        <v>-119718821371.4749</v>
      </c>
      <c r="L4567" s="455">
        <f t="shared" ca="1" si="187"/>
        <v>-28852235950525.449</v>
      </c>
      <c r="M4567" s="471">
        <f t="shared" si="189"/>
        <v>0.05</v>
      </c>
      <c r="N4567" s="475">
        <f t="shared" si="190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88"/>
        <v>-28852235950525.449</v>
      </c>
      <c r="J4568" s="455">
        <f t="array" ref="J4568">IFERROR(INDEX('Retirement Calculator'!J:J,MATCH('Isaac 401k'!N4568,'Retirement Calculator'!A:A,0),0),0)</f>
        <v>0</v>
      </c>
      <c r="K4568" s="455">
        <f t="shared" ca="1" si="186"/>
        <v>-120217649793.85603</v>
      </c>
      <c r="L4568" s="455">
        <f t="shared" ca="1" si="187"/>
        <v>-28972453600319.305</v>
      </c>
      <c r="M4568" s="471">
        <f t="shared" si="189"/>
        <v>0.05</v>
      </c>
      <c r="N4568" s="475">
        <f t="shared" si="190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88"/>
        <v>-28972453600319.305</v>
      </c>
      <c r="J4569" s="455">
        <f t="array" ref="J4569">IFERROR(INDEX('Retirement Calculator'!J:J,MATCH('Isaac 401k'!N4569,'Retirement Calculator'!A:A,0),0),0)</f>
        <v>0</v>
      </c>
      <c r="K4569" s="455">
        <f t="shared" ca="1" si="186"/>
        <v>-120718556667.9971</v>
      </c>
      <c r="L4569" s="455">
        <f t="shared" ca="1" si="187"/>
        <v>-29093172156987.301</v>
      </c>
      <c r="M4569" s="471">
        <f t="shared" si="189"/>
        <v>0.05</v>
      </c>
      <c r="N4569" s="475">
        <f t="shared" si="190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88"/>
        <v>-29093172156987.301</v>
      </c>
      <c r="J4570" s="455">
        <f t="array" ref="J4570">IFERROR(INDEX('Retirement Calculator'!J:J,MATCH('Isaac 401k'!N4570,'Retirement Calculator'!A:A,0),0),0)</f>
        <v>0</v>
      </c>
      <c r="K4570" s="455">
        <f t="shared" ca="1" si="186"/>
        <v>-121221550654.11375</v>
      </c>
      <c r="L4570" s="455">
        <f t="shared" ca="1" si="187"/>
        <v>-29214393707641.414</v>
      </c>
      <c r="M4570" s="471">
        <f t="shared" si="189"/>
        <v>0.05</v>
      </c>
      <c r="N4570" s="475">
        <f t="shared" si="190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88"/>
        <v>-29214393707641.414</v>
      </c>
      <c r="J4571" s="455">
        <f t="array" ref="J4571">IFERROR(INDEX('Retirement Calculator'!J:J,MATCH('Isaac 401k'!N4571,'Retirement Calculator'!A:A,0),0),0)</f>
        <v>0</v>
      </c>
      <c r="K4571" s="455">
        <f t="shared" ca="1" si="186"/>
        <v>-121726640448.50587</v>
      </c>
      <c r="L4571" s="455">
        <f t="shared" ca="1" si="187"/>
        <v>-29336120348089.922</v>
      </c>
      <c r="M4571" s="471">
        <f t="shared" si="189"/>
        <v>0.05</v>
      </c>
      <c r="N4571" s="475">
        <f t="shared" si="190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88"/>
        <v>-29336120348089.922</v>
      </c>
      <c r="J4572" s="455">
        <f t="array" ref="J4572">IFERROR(INDEX('Retirement Calculator'!J:J,MATCH('Isaac 401k'!N4572,'Retirement Calculator'!A:A,0),0),0)</f>
        <v>0</v>
      </c>
      <c r="K4572" s="455">
        <f t="shared" ca="1" si="186"/>
        <v>-122233834783.70801</v>
      </c>
      <c r="L4572" s="455">
        <f t="shared" ca="1" si="187"/>
        <v>-29458354182873.629</v>
      </c>
      <c r="M4572" s="471">
        <f t="shared" si="189"/>
        <v>0.05</v>
      </c>
      <c r="N4572" s="475">
        <f t="shared" si="190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88"/>
        <v>-29458354182873.629</v>
      </c>
      <c r="J4573" s="455">
        <f t="array" ref="J4573">IFERROR(INDEX('Retirement Calculator'!J:J,MATCH('Isaac 401k'!N4573,'Retirement Calculator'!A:A,0),0),0)</f>
        <v>0</v>
      </c>
      <c r="K4573" s="455">
        <f t="shared" ca="1" si="186"/>
        <v>-122743142428.64012</v>
      </c>
      <c r="L4573" s="455">
        <f t="shared" ca="1" si="187"/>
        <v>-29581097325302.27</v>
      </c>
      <c r="M4573" s="471">
        <f t="shared" si="189"/>
        <v>0.05</v>
      </c>
      <c r="N4573" s="475">
        <f t="shared" si="190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88"/>
        <v>-29581097325302.27</v>
      </c>
      <c r="J4574" s="455">
        <f t="array" ref="J4574">IFERROR(INDEX('Retirement Calculator'!J:J,MATCH('Isaac 401k'!N4574,'Retirement Calculator'!A:A,0),0),0)</f>
        <v>0</v>
      </c>
      <c r="K4574" s="455">
        <f t="shared" ca="1" si="186"/>
        <v>-123254572188.75945</v>
      </c>
      <c r="L4574" s="455">
        <f t="shared" ca="1" si="187"/>
        <v>-29704351897491.027</v>
      </c>
      <c r="M4574" s="471">
        <f t="shared" si="189"/>
        <v>0.05</v>
      </c>
      <c r="N4574" s="475">
        <f t="shared" si="190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88"/>
        <v>-29704351897491.027</v>
      </c>
      <c r="J4575" s="455">
        <f t="array" ref="J4575">IFERROR(INDEX('Retirement Calculator'!J:J,MATCH('Isaac 401k'!N4575,'Retirement Calculator'!A:A,0),0),0)</f>
        <v>0</v>
      </c>
      <c r="K4575" s="455">
        <f t="shared" ca="1" si="186"/>
        <v>-123768132906.21262</v>
      </c>
      <c r="L4575" s="455">
        <f t="shared" ca="1" si="187"/>
        <v>-29828120030397.238</v>
      </c>
      <c r="M4575" s="471">
        <f t="shared" si="189"/>
        <v>0.05</v>
      </c>
      <c r="N4575" s="475">
        <f t="shared" si="190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88"/>
        <v>-29828120030397.238</v>
      </c>
      <c r="J4576" s="455">
        <f t="array" ref="J4576">IFERROR(INDEX('Retirement Calculator'!J:J,MATCH('Isaac 401k'!N4576,'Retirement Calculator'!A:A,0),0),0)</f>
        <v>0</v>
      </c>
      <c r="K4576" s="455">
        <f t="shared" ca="1" si="186"/>
        <v>-124283833459.98849</v>
      </c>
      <c r="L4576" s="455">
        <f t="shared" ca="1" si="187"/>
        <v>-29952403863857.227</v>
      </c>
      <c r="M4576" s="471">
        <f t="shared" si="189"/>
        <v>0.05</v>
      </c>
      <c r="N4576" s="475">
        <f t="shared" si="190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88"/>
        <v>-29952403863857.227</v>
      </c>
      <c r="J4577" s="455">
        <f t="array" ref="J4577">IFERROR(INDEX('Retirement Calculator'!J:J,MATCH('Isaac 401k'!N4577,'Retirement Calculator'!A:A,0),0),0)</f>
        <v>0</v>
      </c>
      <c r="K4577" s="455">
        <f t="shared" ca="1" si="186"/>
        <v>-124801682766.07176</v>
      </c>
      <c r="L4577" s="455">
        <f t="shared" ca="1" si="187"/>
        <v>-30077205546623.297</v>
      </c>
      <c r="M4577" s="471">
        <f t="shared" si="189"/>
        <v>0.05</v>
      </c>
      <c r="N4577" s="475">
        <f t="shared" si="190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88"/>
        <v>-30077205546623.297</v>
      </c>
      <c r="J4578" s="455">
        <f t="array" ref="J4578">IFERROR(INDEX('Retirement Calculator'!J:J,MATCH('Isaac 401k'!N4578,'Retirement Calculator'!A:A,0),0),0)</f>
        <v>0</v>
      </c>
      <c r="K4578" s="455">
        <f t="shared" ca="1" si="186"/>
        <v>-125321689777.59706</v>
      </c>
      <c r="L4578" s="455">
        <f t="shared" ca="1" si="187"/>
        <v>-30202527236400.895</v>
      </c>
      <c r="M4578" s="471">
        <f t="shared" si="189"/>
        <v>0.05</v>
      </c>
      <c r="N4578" s="475">
        <f t="shared" si="190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88"/>
        <v>-30202527236400.895</v>
      </c>
      <c r="J4579" s="455">
        <f t="array" ref="J4579">IFERROR(INDEX('Retirement Calculator'!J:J,MATCH('Isaac 401k'!N4579,'Retirement Calculator'!A:A,0),0),0)</f>
        <v>0</v>
      </c>
      <c r="K4579" s="455">
        <f t="shared" ca="1" si="186"/>
        <v>-125843863485.00372</v>
      </c>
      <c r="L4579" s="455">
        <f t="shared" ca="1" si="187"/>
        <v>-30328371099885.898</v>
      </c>
      <c r="M4579" s="471">
        <f t="shared" si="189"/>
        <v>0.05</v>
      </c>
      <c r="N4579" s="475">
        <f t="shared" si="190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88"/>
        <v>-30328371099885.898</v>
      </c>
      <c r="J4580" s="455">
        <f t="array" ref="J4580">IFERROR(INDEX('Retirement Calculator'!J:J,MATCH('Isaac 401k'!N4580,'Retirement Calculator'!A:A,0),0),0)</f>
        <v>0</v>
      </c>
      <c r="K4580" s="455">
        <f t="shared" ca="1" si="186"/>
        <v>-126368212916.19124</v>
      </c>
      <c r="L4580" s="455">
        <f t="shared" ca="1" si="187"/>
        <v>-30454739312802.09</v>
      </c>
      <c r="M4580" s="471">
        <f t="shared" si="189"/>
        <v>0.05</v>
      </c>
      <c r="N4580" s="475">
        <f t="shared" si="190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88"/>
        <v>-30454739312802.09</v>
      </c>
      <c r="J4581" s="455">
        <f t="array" ref="J4581">IFERROR(INDEX('Retirement Calculator'!J:J,MATCH('Isaac 401k'!N4581,'Retirement Calculator'!A:A,0),0),0)</f>
        <v>0</v>
      </c>
      <c r="K4581" s="455">
        <f t="shared" ca="1" si="186"/>
        <v>-126894747136.67537</v>
      </c>
      <c r="L4581" s="455">
        <f t="shared" ca="1" si="187"/>
        <v>-30581634059938.766</v>
      </c>
      <c r="M4581" s="471">
        <f t="shared" si="189"/>
        <v>0.05</v>
      </c>
      <c r="N4581" s="475">
        <f t="shared" si="190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88"/>
        <v>-30581634059938.766</v>
      </c>
      <c r="J4582" s="455">
        <f t="array" ref="J4582">IFERROR(INDEX('Retirement Calculator'!J:J,MATCH('Isaac 401k'!N4582,'Retirement Calculator'!A:A,0),0),0)</f>
        <v>0</v>
      </c>
      <c r="K4582" s="455">
        <f t="shared" ca="1" si="186"/>
        <v>-127423475249.74486</v>
      </c>
      <c r="L4582" s="455">
        <f t="shared" ca="1" si="187"/>
        <v>-30709057535188.512</v>
      </c>
      <c r="M4582" s="471">
        <f t="shared" si="189"/>
        <v>0.05</v>
      </c>
      <c r="N4582" s="475">
        <f t="shared" si="190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88"/>
        <v>-30709057535188.512</v>
      </c>
      <c r="J4583" s="455">
        <f t="array" ref="J4583">IFERROR(INDEX('Retirement Calculator'!J:J,MATCH('Isaac 401k'!N4583,'Retirement Calculator'!A:A,0),0),0)</f>
        <v>0</v>
      </c>
      <c r="K4583" s="455">
        <f t="shared" ca="1" si="186"/>
        <v>-127954406396.61877</v>
      </c>
      <c r="L4583" s="455">
        <f t="shared" ca="1" si="187"/>
        <v>-30837011941585.129</v>
      </c>
      <c r="M4583" s="471">
        <f t="shared" si="189"/>
        <v>0.05</v>
      </c>
      <c r="N4583" s="475">
        <f t="shared" si="190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88"/>
        <v>-30837011941585.129</v>
      </c>
      <c r="J4584" s="455">
        <f t="array" ref="J4584">IFERROR(INDEX('Retirement Calculator'!J:J,MATCH('Isaac 401k'!N4584,'Retirement Calculator'!A:A,0),0),0)</f>
        <v>0</v>
      </c>
      <c r="K4584" s="455">
        <f t="shared" ca="1" si="186"/>
        <v>-128487549756.60471</v>
      </c>
      <c r="L4584" s="455">
        <f t="shared" ca="1" si="187"/>
        <v>-30965499491341.734</v>
      </c>
      <c r="M4584" s="471">
        <f t="shared" si="189"/>
        <v>0.05</v>
      </c>
      <c r="N4584" s="475">
        <f t="shared" si="190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88"/>
        <v>-30965499491341.734</v>
      </c>
      <c r="J4585" s="455">
        <f t="array" ref="J4585">IFERROR(INDEX('Retirement Calculator'!J:J,MATCH('Isaac 401k'!N4585,'Retirement Calculator'!A:A,0),0),0)</f>
        <v>0</v>
      </c>
      <c r="K4585" s="455">
        <f t="shared" ca="1" si="186"/>
        <v>-129022914547.25722</v>
      </c>
      <c r="L4585" s="455">
        <f t="shared" ca="1" si="187"/>
        <v>-31094522405888.992</v>
      </c>
      <c r="M4585" s="471">
        <f t="shared" si="189"/>
        <v>0.05</v>
      </c>
      <c r="N4585" s="475">
        <f t="shared" si="190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88"/>
        <v>-31094522405888.992</v>
      </c>
      <c r="J4586" s="455">
        <f t="array" ref="J4586">IFERROR(INDEX('Retirement Calculator'!J:J,MATCH('Isaac 401k'!N4586,'Retirement Calculator'!A:A,0),0),0)</f>
        <v>0</v>
      </c>
      <c r="K4586" s="455">
        <f t="shared" ca="1" si="186"/>
        <v>-129560510024.53746</v>
      </c>
      <c r="L4586" s="455">
        <f t="shared" ca="1" si="187"/>
        <v>-31224082915913.531</v>
      </c>
      <c r="M4586" s="471">
        <f t="shared" si="189"/>
        <v>0.05</v>
      </c>
      <c r="N4586" s="475">
        <f t="shared" si="190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88"/>
        <v>-31224082915913.531</v>
      </c>
      <c r="J4587" s="455">
        <f t="array" ref="J4587">IFERROR(INDEX('Retirement Calculator'!J:J,MATCH('Isaac 401k'!N4587,'Retirement Calculator'!A:A,0),0),0)</f>
        <v>0</v>
      </c>
      <c r="K4587" s="455">
        <f t="shared" ca="1" si="186"/>
        <v>-130100345482.97304</v>
      </c>
      <c r="L4587" s="455">
        <f t="shared" ca="1" si="187"/>
        <v>-31354183261396.504</v>
      </c>
      <c r="M4587" s="471">
        <f t="shared" si="189"/>
        <v>0.05</v>
      </c>
      <c r="N4587" s="475">
        <f t="shared" si="190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88"/>
        <v>-31354183261396.504</v>
      </c>
      <c r="J4588" s="455">
        <f t="array" ref="J4588">IFERROR(INDEX('Retirement Calculator'!J:J,MATCH('Isaac 401k'!N4588,'Retirement Calculator'!A:A,0),0),0)</f>
        <v>0</v>
      </c>
      <c r="K4588" s="455">
        <f t="shared" ca="1" si="186"/>
        <v>-130642430255.81877</v>
      </c>
      <c r="L4588" s="455">
        <f t="shared" ca="1" si="187"/>
        <v>-31484825691652.324</v>
      </c>
      <c r="M4588" s="471">
        <f t="shared" si="189"/>
        <v>0.05</v>
      </c>
      <c r="N4588" s="475">
        <f t="shared" si="190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88"/>
        <v>-31484825691652.324</v>
      </c>
      <c r="J4589" s="455">
        <f t="array" ref="J4589">IFERROR(INDEX('Retirement Calculator'!J:J,MATCH('Isaac 401k'!N4589,'Retirement Calculator'!A:A,0),0),0)</f>
        <v>0</v>
      </c>
      <c r="K4589" s="455">
        <f t="shared" ca="1" si="186"/>
        <v>-131186773715.21803</v>
      </c>
      <c r="L4589" s="455">
        <f t="shared" ca="1" si="187"/>
        <v>-31616012465367.543</v>
      </c>
      <c r="M4589" s="471">
        <f t="shared" si="189"/>
        <v>0.05</v>
      </c>
      <c r="N4589" s="475">
        <f t="shared" si="190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88"/>
        <v>-31616012465367.543</v>
      </c>
      <c r="J4590" s="455">
        <f t="array" ref="J4590">IFERROR(INDEX('Retirement Calculator'!J:J,MATCH('Isaac 401k'!N4590,'Retirement Calculator'!A:A,0),0),0)</f>
        <v>0</v>
      </c>
      <c r="K4590" s="455">
        <f t="shared" ca="1" si="186"/>
        <v>-131733385272.36476</v>
      </c>
      <c r="L4590" s="455">
        <f t="shared" ca="1" si="187"/>
        <v>-31747745850639.906</v>
      </c>
      <c r="M4590" s="471">
        <f t="shared" si="189"/>
        <v>0.05</v>
      </c>
      <c r="N4590" s="475">
        <f t="shared" si="190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88"/>
        <v>-31747745850639.906</v>
      </c>
      <c r="J4591" s="455">
        <f t="array" ref="J4591">IFERROR(INDEX('Retirement Calculator'!J:J,MATCH('Isaac 401k'!N4591,'Retirement Calculator'!A:A,0),0),0)</f>
        <v>0</v>
      </c>
      <c r="K4591" s="455">
        <f t="shared" ca="1" si="186"/>
        <v>-132282274377.66628</v>
      </c>
      <c r="L4591" s="455">
        <f t="shared" ca="1" si="187"/>
        <v>-31880028125017.574</v>
      </c>
      <c r="M4591" s="471">
        <f t="shared" si="189"/>
        <v>0.05</v>
      </c>
      <c r="N4591" s="475">
        <f t="shared" si="190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88"/>
        <v>-31880028125017.574</v>
      </c>
      <c r="J4592" s="455">
        <f t="array" ref="J4592">IFERROR(INDEX('Retirement Calculator'!J:J,MATCH('Isaac 401k'!N4592,'Retirement Calculator'!A:A,0),0),0)</f>
        <v>0</v>
      </c>
      <c r="K4592" s="455">
        <f t="shared" ca="1" si="186"/>
        <v>-132833450520.90656</v>
      </c>
      <c r="L4592" s="455">
        <f t="shared" ca="1" si="187"/>
        <v>-32012861575538.48</v>
      </c>
      <c r="M4592" s="471">
        <f t="shared" si="189"/>
        <v>0.05</v>
      </c>
      <c r="N4592" s="475">
        <f t="shared" si="190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88"/>
        <v>-32012861575538.48</v>
      </c>
      <c r="J4593" s="455">
        <f t="array" ref="J4593">IFERROR(INDEX('Retirement Calculator'!J:J,MATCH('Isaac 401k'!N4593,'Retirement Calculator'!A:A,0),0),0)</f>
        <v>0</v>
      </c>
      <c r="K4593" s="455">
        <f t="shared" ca="1" si="186"/>
        <v>-133386923231.41034</v>
      </c>
      <c r="L4593" s="455">
        <f t="shared" ca="1" si="187"/>
        <v>-32146248498769.891</v>
      </c>
      <c r="M4593" s="471">
        <f t="shared" si="189"/>
        <v>0.05</v>
      </c>
      <c r="N4593" s="475">
        <f t="shared" si="190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88"/>
        <v>-32146248498769.891</v>
      </c>
      <c r="J4594" s="455">
        <f t="array" ref="J4594">IFERROR(INDEX('Retirement Calculator'!J:J,MATCH('Isaac 401k'!N4594,'Retirement Calculator'!A:A,0),0),0)</f>
        <v>0</v>
      </c>
      <c r="K4594" s="455">
        <f t="shared" ca="1" si="186"/>
        <v>-133942702078.20787</v>
      </c>
      <c r="L4594" s="455">
        <f t="shared" ca="1" si="187"/>
        <v>-32280191200848.098</v>
      </c>
      <c r="M4594" s="471">
        <f t="shared" si="189"/>
        <v>0.05</v>
      </c>
      <c r="N4594" s="475">
        <f t="shared" si="190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88"/>
        <v>-32280191200848.098</v>
      </c>
      <c r="J4595" s="455">
        <f t="array" ref="J4595">IFERROR(INDEX('Retirement Calculator'!J:J,MATCH('Isaac 401k'!N4595,'Retirement Calculator'!A:A,0),0),0)</f>
        <v>0</v>
      </c>
      <c r="K4595" s="455">
        <f t="shared" ca="1" si="186"/>
        <v>-134500796670.20042</v>
      </c>
      <c r="L4595" s="455">
        <f t="shared" ca="1" si="187"/>
        <v>-32414691997518.297</v>
      </c>
      <c r="M4595" s="471">
        <f t="shared" si="189"/>
        <v>0.05</v>
      </c>
      <c r="N4595" s="475">
        <f t="shared" si="190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88"/>
        <v>-32414691997518.297</v>
      </c>
      <c r="J4596" s="455">
        <f t="array" ref="J4596">IFERROR(INDEX('Retirement Calculator'!J:J,MATCH('Isaac 401k'!N4596,'Retirement Calculator'!A:A,0),0),0)</f>
        <v>0</v>
      </c>
      <c r="K4596" s="455">
        <f t="shared" ca="1" si="186"/>
        <v>-135061216656.32623</v>
      </c>
      <c r="L4596" s="455">
        <f t="shared" ca="1" si="187"/>
        <v>-32549753214174.625</v>
      </c>
      <c r="M4596" s="471">
        <f t="shared" si="189"/>
        <v>0.05</v>
      </c>
      <c r="N4596" s="475">
        <f t="shared" si="190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88"/>
        <v>-32549753214174.625</v>
      </c>
      <c r="J4597" s="455">
        <f t="array" ref="J4597">IFERROR(INDEX('Retirement Calculator'!J:J,MATCH('Isaac 401k'!N4597,'Retirement Calculator'!A:A,0),0),0)</f>
        <v>0</v>
      </c>
      <c r="K4597" s="455">
        <f t="shared" ca="1" si="186"/>
        <v>-135623971725.7276</v>
      </c>
      <c r="L4597" s="455">
        <f t="shared" ca="1" si="187"/>
        <v>-32685377185900.352</v>
      </c>
      <c r="M4597" s="471">
        <f t="shared" si="189"/>
        <v>0.05</v>
      </c>
      <c r="N4597" s="475">
        <f t="shared" si="190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88"/>
        <v>-32685377185900.352</v>
      </c>
      <c r="J4598" s="455">
        <f t="array" ref="J4598">IFERROR(INDEX('Retirement Calculator'!J:J,MATCH('Isaac 401k'!N4598,'Retirement Calculator'!A:A,0),0),0)</f>
        <v>0</v>
      </c>
      <c r="K4598" s="455">
        <f t="shared" ref="K4598:K4852" ca="1" si="191">IPMT(M4598/12,1,12,-I4598+J4598,,0)</f>
        <v>-136189071607.91814</v>
      </c>
      <c r="L4598" s="455">
        <f t="shared" ref="L4598:L4852" ca="1" si="192">I4598-J4598+K4598</f>
        <v>-32821566257508.27</v>
      </c>
      <c r="M4598" s="471">
        <f t="shared" si="189"/>
        <v>0.05</v>
      </c>
      <c r="N4598" s="475">
        <f t="shared" si="190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93">L4598</f>
        <v>-32821566257508.27</v>
      </c>
      <c r="J4599" s="455">
        <f t="array" ref="J4599">IFERROR(INDEX('Retirement Calculator'!J:J,MATCH('Isaac 401k'!N4599,'Retirement Calculator'!A:A,0),0),0)</f>
        <v>0</v>
      </c>
      <c r="K4599" s="455">
        <f t="shared" ca="1" si="191"/>
        <v>-136756526072.95111</v>
      </c>
      <c r="L4599" s="455">
        <f t="shared" ca="1" si="192"/>
        <v>-32958322783581.219</v>
      </c>
      <c r="M4599" s="471">
        <f t="shared" ref="M4599:M4853" si="194">M4598</f>
        <v>0.05</v>
      </c>
      <c r="N4599" s="475">
        <f t="shared" ref="N4599:N4853" si="195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93"/>
        <v>-32958322783581.219</v>
      </c>
      <c r="J4600" s="455">
        <f t="array" ref="J4600">IFERROR(INDEX('Retirement Calculator'!J:J,MATCH('Isaac 401k'!N4600,'Retirement Calculator'!A:A,0),0),0)</f>
        <v>0</v>
      </c>
      <c r="K4600" s="455">
        <f t="shared" ca="1" si="191"/>
        <v>-137326344931.58841</v>
      </c>
      <c r="L4600" s="455">
        <f t="shared" ca="1" si="192"/>
        <v>-33095649128512.809</v>
      </c>
      <c r="M4600" s="471">
        <f t="shared" si="194"/>
        <v>0.05</v>
      </c>
      <c r="N4600" s="475">
        <f t="shared" si="195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93"/>
        <v>-33095649128512.809</v>
      </c>
      <c r="J4601" s="455">
        <f t="array" ref="J4601">IFERROR(INDEX('Retirement Calculator'!J:J,MATCH('Isaac 401k'!N4601,'Retirement Calculator'!A:A,0),0),0)</f>
        <v>0</v>
      </c>
      <c r="K4601" s="455">
        <f t="shared" ca="1" si="191"/>
        <v>-137898538035.47003</v>
      </c>
      <c r="L4601" s="455">
        <f t="shared" ca="1" si="192"/>
        <v>-33233547666548.277</v>
      </c>
      <c r="M4601" s="471">
        <f t="shared" si="194"/>
        <v>0.05</v>
      </c>
      <c r="N4601" s="475">
        <f t="shared" si="195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93"/>
        <v>-33233547666548.277</v>
      </c>
      <c r="J4602" s="455">
        <f t="array" ref="J4602">IFERROR(INDEX('Retirement Calculator'!J:J,MATCH('Isaac 401k'!N4602,'Retirement Calculator'!A:A,0),0),0)</f>
        <v>0</v>
      </c>
      <c r="K4602" s="455">
        <f t="shared" ca="1" si="191"/>
        <v>-138473115277.28448</v>
      </c>
      <c r="L4602" s="455">
        <f t="shared" ca="1" si="192"/>
        <v>-33372020781825.563</v>
      </c>
      <c r="M4602" s="471">
        <f t="shared" si="194"/>
        <v>0.05</v>
      </c>
      <c r="N4602" s="475">
        <f t="shared" si="195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93"/>
        <v>-33372020781825.563</v>
      </c>
      <c r="J4603" s="455">
        <f t="array" ref="J4603">IFERROR(INDEX('Retirement Calculator'!J:J,MATCH('Isaac 401k'!N4603,'Retirement Calculator'!A:A,0),0),0)</f>
        <v>0</v>
      </c>
      <c r="K4603" s="455">
        <f t="shared" ca="1" si="191"/>
        <v>-139050086590.93985</v>
      </c>
      <c r="L4603" s="455">
        <f t="shared" ca="1" si="192"/>
        <v>-33511070868416.504</v>
      </c>
      <c r="M4603" s="471">
        <f t="shared" si="194"/>
        <v>0.05</v>
      </c>
      <c r="N4603" s="475">
        <f t="shared" si="195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93"/>
        <v>-33511070868416.504</v>
      </c>
      <c r="J4604" s="455">
        <f t="array" ref="J4604">IFERROR(INDEX('Retirement Calculator'!J:J,MATCH('Isaac 401k'!N4604,'Retirement Calculator'!A:A,0),0),0)</f>
        <v>0</v>
      </c>
      <c r="K4604" s="455">
        <f t="shared" ca="1" si="191"/>
        <v>-139629461951.73544</v>
      </c>
      <c r="L4604" s="455">
        <f t="shared" ca="1" si="192"/>
        <v>-33650700330368.238</v>
      </c>
      <c r="M4604" s="471">
        <f t="shared" si="194"/>
        <v>0.05</v>
      </c>
      <c r="N4604" s="475">
        <f t="shared" si="195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93"/>
        <v>-33650700330368.238</v>
      </c>
      <c r="J4605" s="455">
        <f t="array" ref="J4605">IFERROR(INDEX('Retirement Calculator'!J:J,MATCH('Isaac 401k'!N4605,'Retirement Calculator'!A:A,0),0),0)</f>
        <v>0</v>
      </c>
      <c r="K4605" s="455">
        <f t="shared" ca="1" si="191"/>
        <v>-140211251376.5343</v>
      </c>
      <c r="L4605" s="455">
        <f t="shared" ca="1" si="192"/>
        <v>-33790911581744.773</v>
      </c>
      <c r="M4605" s="471">
        <f t="shared" si="194"/>
        <v>0.05</v>
      </c>
      <c r="N4605" s="475">
        <f t="shared" si="195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93"/>
        <v>-33790911581744.773</v>
      </c>
      <c r="J4606" s="455">
        <f t="array" ref="J4606">IFERROR(INDEX('Retirement Calculator'!J:J,MATCH('Isaac 401k'!N4606,'Retirement Calculator'!A:A,0),0),0)</f>
        <v>0</v>
      </c>
      <c r="K4606" s="455">
        <f t="shared" ca="1" si="191"/>
        <v>-140795464923.93655</v>
      </c>
      <c r="L4606" s="455">
        <f t="shared" ca="1" si="192"/>
        <v>-33931707046668.711</v>
      </c>
      <c r="M4606" s="471">
        <f t="shared" si="194"/>
        <v>0.05</v>
      </c>
      <c r="N4606" s="475">
        <f t="shared" si="195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93"/>
        <v>-33931707046668.711</v>
      </c>
      <c r="J4607" s="455">
        <f t="array" ref="J4607">IFERROR(INDEX('Retirement Calculator'!J:J,MATCH('Isaac 401k'!N4607,'Retirement Calculator'!A:A,0),0),0)</f>
        <v>0</v>
      </c>
      <c r="K4607" s="455">
        <f t="shared" ca="1" si="191"/>
        <v>-141382112694.45294</v>
      </c>
      <c r="L4607" s="455">
        <f t="shared" ca="1" si="192"/>
        <v>-34073089159363.164</v>
      </c>
      <c r="M4607" s="471">
        <f t="shared" si="194"/>
        <v>0.05</v>
      </c>
      <c r="N4607" s="475">
        <f t="shared" si="195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93"/>
        <v>-34073089159363.164</v>
      </c>
      <c r="J4608" s="455">
        <f t="array" ref="J4608">IFERROR(INDEX('Retirement Calculator'!J:J,MATCH('Isaac 401k'!N4608,'Retirement Calculator'!A:A,0),0),0)</f>
        <v>0</v>
      </c>
      <c r="K4608" s="455">
        <f t="shared" ca="1" si="191"/>
        <v>-141971204830.67984</v>
      </c>
      <c r="L4608" s="455">
        <f t="shared" ca="1" si="192"/>
        <v>-34215060364193.844</v>
      </c>
      <c r="M4608" s="471">
        <f t="shared" si="194"/>
        <v>0.05</v>
      </c>
      <c r="N4608" s="475">
        <f t="shared" si="195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93"/>
        <v>-34215060364193.844</v>
      </c>
      <c r="J4609" s="455">
        <f t="array" ref="J4609">IFERROR(INDEX('Retirement Calculator'!J:J,MATCH('Isaac 401k'!N4609,'Retirement Calculator'!A:A,0),0),0)</f>
        <v>0</v>
      </c>
      <c r="K4609" s="455">
        <f t="shared" ca="1" si="191"/>
        <v>-142562751517.47433</v>
      </c>
      <c r="L4609" s="455">
        <f t="shared" ca="1" si="192"/>
        <v>-34357623115711.316</v>
      </c>
      <c r="M4609" s="471">
        <f t="shared" si="194"/>
        <v>0.05</v>
      </c>
      <c r="N4609" s="475">
        <f t="shared" si="195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93"/>
        <v>-34357623115711.316</v>
      </c>
      <c r="J4610" s="455">
        <f t="array" ref="J4610">IFERROR(INDEX('Retirement Calculator'!J:J,MATCH('Isaac 401k'!N4610,'Retirement Calculator'!A:A,0),0),0)</f>
        <v>0</v>
      </c>
      <c r="K4610" s="455">
        <f t="shared" ca="1" si="191"/>
        <v>-143156762982.13049</v>
      </c>
      <c r="L4610" s="455">
        <f t="shared" ca="1" si="192"/>
        <v>-34500779878693.445</v>
      </c>
      <c r="M4610" s="471">
        <f t="shared" si="194"/>
        <v>0.05</v>
      </c>
      <c r="N4610" s="475">
        <f t="shared" si="195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93"/>
        <v>-34500779878693.445</v>
      </c>
      <c r="J4611" s="455">
        <f t="array" ref="J4611">IFERROR(INDEX('Retirement Calculator'!J:J,MATCH('Isaac 401k'!N4611,'Retirement Calculator'!A:A,0),0),0)</f>
        <v>0</v>
      </c>
      <c r="K4611" s="455">
        <f t="shared" ca="1" si="191"/>
        <v>-143753249494.55603</v>
      </c>
      <c r="L4611" s="455">
        <f t="shared" ca="1" si="192"/>
        <v>-34644533128188</v>
      </c>
      <c r="M4611" s="471">
        <f t="shared" si="194"/>
        <v>0.05</v>
      </c>
      <c r="N4611" s="475">
        <f t="shared" si="195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93"/>
        <v>-34644533128188</v>
      </c>
      <c r="J4612" s="455">
        <f t="array" ref="J4612">IFERROR(INDEX('Retirement Calculator'!J:J,MATCH('Isaac 401k'!N4612,'Retirement Calculator'!A:A,0),0),0)</f>
        <v>0</v>
      </c>
      <c r="K4612" s="455">
        <f t="shared" ca="1" si="191"/>
        <v>-144352221367.45001</v>
      </c>
      <c r="L4612" s="455">
        <f t="shared" ca="1" si="192"/>
        <v>-34788885349555.449</v>
      </c>
      <c r="M4612" s="471">
        <f t="shared" si="194"/>
        <v>0.05</v>
      </c>
      <c r="N4612" s="475">
        <f t="shared" si="195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93"/>
        <v>-34788885349555.449</v>
      </c>
      <c r="J4613" s="455">
        <f t="array" ref="J4613">IFERROR(INDEX('Retirement Calculator'!J:J,MATCH('Isaac 401k'!N4613,'Retirement Calculator'!A:A,0),0),0)</f>
        <v>0</v>
      </c>
      <c r="K4613" s="455">
        <f t="shared" ca="1" si="191"/>
        <v>-144953688956.48105</v>
      </c>
      <c r="L4613" s="455">
        <f t="shared" ca="1" si="192"/>
        <v>-34933839038511.93</v>
      </c>
      <c r="M4613" s="471">
        <f t="shared" si="194"/>
        <v>0.05</v>
      </c>
      <c r="N4613" s="475">
        <f t="shared" si="195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93"/>
        <v>-34933839038511.93</v>
      </c>
      <c r="J4614" s="455">
        <f t="array" ref="J4614">IFERROR(INDEX('Retirement Calculator'!J:J,MATCH('Isaac 401k'!N4614,'Retirement Calculator'!A:A,0),0),0)</f>
        <v>0</v>
      </c>
      <c r="K4614" s="455">
        <f t="shared" ca="1" si="191"/>
        <v>-145557662660.46637</v>
      </c>
      <c r="L4614" s="455">
        <f t="shared" ca="1" si="192"/>
        <v>-35079396701172.395</v>
      </c>
      <c r="M4614" s="471">
        <f t="shared" si="194"/>
        <v>0.05</v>
      </c>
      <c r="N4614" s="475">
        <f t="shared" si="195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93"/>
        <v>-35079396701172.395</v>
      </c>
      <c r="J4615" s="455">
        <f t="array" ref="J4615">IFERROR(INDEX('Retirement Calculator'!J:J,MATCH('Isaac 401k'!N4615,'Retirement Calculator'!A:A,0),0),0)</f>
        <v>0</v>
      </c>
      <c r="K4615" s="455">
        <f t="shared" ca="1" si="191"/>
        <v>-146164152921.55164</v>
      </c>
      <c r="L4615" s="455">
        <f t="shared" ca="1" si="192"/>
        <v>-35225560854093.945</v>
      </c>
      <c r="M4615" s="471">
        <f t="shared" si="194"/>
        <v>0.05</v>
      </c>
      <c r="N4615" s="475">
        <f t="shared" si="195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93"/>
        <v>-35225560854093.945</v>
      </c>
      <c r="J4616" s="455">
        <f t="array" ref="J4616">IFERROR(INDEX('Retirement Calculator'!J:J,MATCH('Isaac 401k'!N4616,'Retirement Calculator'!A:A,0),0),0)</f>
        <v>0</v>
      </c>
      <c r="K4616" s="455">
        <f t="shared" ca="1" si="191"/>
        <v>-146773170225.39145</v>
      </c>
      <c r="L4616" s="455">
        <f t="shared" ca="1" si="192"/>
        <v>-35372334024319.336</v>
      </c>
      <c r="M4616" s="471">
        <f t="shared" si="194"/>
        <v>0.05</v>
      </c>
      <c r="N4616" s="475">
        <f t="shared" si="195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93"/>
        <v>-35372334024319.336</v>
      </c>
      <c r="J4617" s="455">
        <f t="array" ref="J4617">IFERROR(INDEX('Retirement Calculator'!J:J,MATCH('Isaac 401k'!N4617,'Retirement Calculator'!A:A,0),0),0)</f>
        <v>0</v>
      </c>
      <c r="K4617" s="455">
        <f t="shared" ca="1" si="191"/>
        <v>-147384725101.33057</v>
      </c>
      <c r="L4617" s="455">
        <f t="shared" ca="1" si="192"/>
        <v>-35519718749420.664</v>
      </c>
      <c r="M4617" s="471">
        <f t="shared" si="194"/>
        <v>0.05</v>
      </c>
      <c r="N4617" s="475">
        <f t="shared" si="195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93"/>
        <v>-35519718749420.664</v>
      </c>
      <c r="J4618" s="455">
        <f t="array" ref="J4618">IFERROR(INDEX('Retirement Calculator'!J:J,MATCH('Isaac 401k'!N4618,'Retirement Calculator'!A:A,0),0),0)</f>
        <v>0</v>
      </c>
      <c r="K4618" s="455">
        <f t="shared" ca="1" si="191"/>
        <v>-147998828122.58609</v>
      </c>
      <c r="L4618" s="455">
        <f t="shared" ca="1" si="192"/>
        <v>-35667717577543.25</v>
      </c>
      <c r="M4618" s="471">
        <f t="shared" si="194"/>
        <v>0.05</v>
      </c>
      <c r="N4618" s="475">
        <f t="shared" si="195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93"/>
        <v>-35667717577543.25</v>
      </c>
      <c r="J4619" s="455">
        <f t="array" ref="J4619">IFERROR(INDEX('Retirement Calculator'!J:J,MATCH('Isaac 401k'!N4619,'Retirement Calculator'!A:A,0),0),0)</f>
        <v>0</v>
      </c>
      <c r="K4619" s="455">
        <f t="shared" ca="1" si="191"/>
        <v>-148615489906.43021</v>
      </c>
      <c r="L4619" s="455">
        <f t="shared" ca="1" si="192"/>
        <v>-35816333067449.68</v>
      </c>
      <c r="M4619" s="471">
        <f t="shared" si="194"/>
        <v>0.05</v>
      </c>
      <c r="N4619" s="475">
        <f t="shared" si="195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93"/>
        <v>-35816333067449.68</v>
      </c>
      <c r="J4620" s="455">
        <f t="array" ref="J4620">IFERROR(INDEX('Retirement Calculator'!J:J,MATCH('Isaac 401k'!N4620,'Retirement Calculator'!A:A,0),0),0)</f>
        <v>0</v>
      </c>
      <c r="K4620" s="455">
        <f t="shared" ca="1" si="191"/>
        <v>-149234721114.37366</v>
      </c>
      <c r="L4620" s="455">
        <f t="shared" ca="1" si="192"/>
        <v>-35965567788564.055</v>
      </c>
      <c r="M4620" s="471">
        <f t="shared" si="194"/>
        <v>0.05</v>
      </c>
      <c r="N4620" s="475">
        <f t="shared" si="195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93"/>
        <v>-35965567788564.055</v>
      </c>
      <c r="J4621" s="455">
        <f t="array" ref="J4621">IFERROR(INDEX('Retirement Calculator'!J:J,MATCH('Isaac 401k'!N4621,'Retirement Calculator'!A:A,0),0),0)</f>
        <v>0</v>
      </c>
      <c r="K4621" s="455">
        <f t="shared" ca="1" si="191"/>
        <v>-149856532452.35022</v>
      </c>
      <c r="L4621" s="455">
        <f t="shared" ca="1" si="192"/>
        <v>-36115424321016.406</v>
      </c>
      <c r="M4621" s="471">
        <f t="shared" si="194"/>
        <v>0.05</v>
      </c>
      <c r="N4621" s="475">
        <f t="shared" si="195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93"/>
        <v>-36115424321016.406</v>
      </c>
      <c r="J4622" s="455">
        <f t="array" ref="J4622">IFERROR(INDEX('Retirement Calculator'!J:J,MATCH('Isaac 401k'!N4622,'Retirement Calculator'!A:A,0),0),0)</f>
        <v>0</v>
      </c>
      <c r="K4622" s="455">
        <f t="shared" ca="1" si="191"/>
        <v>-150480934670.9017</v>
      </c>
      <c r="L4622" s="455">
        <f t="shared" ca="1" si="192"/>
        <v>-36265905255687.305</v>
      </c>
      <c r="M4622" s="471">
        <f t="shared" si="194"/>
        <v>0.05</v>
      </c>
      <c r="N4622" s="475">
        <f t="shared" si="195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93"/>
        <v>-36265905255687.305</v>
      </c>
      <c r="J4623" s="455">
        <f t="array" ref="J4623">IFERROR(INDEX('Retirement Calculator'!J:J,MATCH('Isaac 401k'!N4623,'Retirement Calculator'!A:A,0),0),0)</f>
        <v>0</v>
      </c>
      <c r="K4623" s="455">
        <f t="shared" ca="1" si="191"/>
        <v>-151107938565.36377</v>
      </c>
      <c r="L4623" s="455">
        <f t="shared" ca="1" si="192"/>
        <v>-36417013194252.672</v>
      </c>
      <c r="M4623" s="471">
        <f t="shared" si="194"/>
        <v>0.05</v>
      </c>
      <c r="N4623" s="475">
        <f t="shared" si="195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93"/>
        <v>-36417013194252.672</v>
      </c>
      <c r="J4624" s="455">
        <f t="array" ref="J4624">IFERROR(INDEX('Retirement Calculator'!J:J,MATCH('Isaac 401k'!N4624,'Retirement Calculator'!A:A,0),0),0)</f>
        <v>0</v>
      </c>
      <c r="K4624" s="455">
        <f t="shared" ca="1" si="191"/>
        <v>-151737554976.0528</v>
      </c>
      <c r="L4624" s="455">
        <f t="shared" ca="1" si="192"/>
        <v>-36568750749228.727</v>
      </c>
      <c r="M4624" s="471">
        <f t="shared" si="194"/>
        <v>0.05</v>
      </c>
      <c r="N4624" s="475">
        <f t="shared" si="195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93"/>
        <v>-36568750749228.727</v>
      </c>
      <c r="J4625" s="455">
        <f t="array" ref="J4625">IFERROR(INDEX('Retirement Calculator'!J:J,MATCH('Isaac 401k'!N4625,'Retirement Calculator'!A:A,0),0),0)</f>
        <v>0</v>
      </c>
      <c r="K4625" s="455">
        <f t="shared" ca="1" si="191"/>
        <v>-152369794788.45303</v>
      </c>
      <c r="L4625" s="455">
        <f t="shared" ca="1" si="192"/>
        <v>-36721120544017.18</v>
      </c>
      <c r="M4625" s="471">
        <f t="shared" si="194"/>
        <v>0.05</v>
      </c>
      <c r="N4625" s="475">
        <f t="shared" si="195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93"/>
        <v>-36721120544017.18</v>
      </c>
      <c r="J4626" s="455">
        <f t="array" ref="J4626">IFERROR(INDEX('Retirement Calculator'!J:J,MATCH('Isaac 401k'!N4626,'Retirement Calculator'!A:A,0),0),0)</f>
        <v>0</v>
      </c>
      <c r="K4626" s="455">
        <f t="shared" ca="1" si="191"/>
        <v>-153004668933.40491</v>
      </c>
      <c r="L4626" s="455">
        <f t="shared" ca="1" si="192"/>
        <v>-36874125212950.586</v>
      </c>
      <c r="M4626" s="471">
        <f t="shared" si="194"/>
        <v>0.05</v>
      </c>
      <c r="N4626" s="475">
        <f t="shared" si="195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93"/>
        <v>-36874125212950.586</v>
      </c>
      <c r="J4627" s="455">
        <f t="array" ref="J4627">IFERROR(INDEX('Retirement Calculator'!J:J,MATCH('Isaac 401k'!N4627,'Retirement Calculator'!A:A,0),0),0)</f>
        <v>0</v>
      </c>
      <c r="K4627" s="455">
        <f t="shared" ca="1" si="191"/>
        <v>-153642188387.2941</v>
      </c>
      <c r="L4627" s="455">
        <f t="shared" ca="1" si="192"/>
        <v>-37027767401337.883</v>
      </c>
      <c r="M4627" s="471">
        <f t="shared" si="194"/>
        <v>0.05</v>
      </c>
      <c r="N4627" s="475">
        <f t="shared" si="195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93"/>
        <v>-37027767401337.883</v>
      </c>
      <c r="J4628" s="455">
        <f t="array" ref="J4628">IFERROR(INDEX('Retirement Calculator'!J:J,MATCH('Isaac 401k'!N4628,'Retirement Calculator'!A:A,0),0),0)</f>
        <v>0</v>
      </c>
      <c r="K4628" s="455">
        <f t="shared" ca="1" si="191"/>
        <v>-154282364172.24118</v>
      </c>
      <c r="L4628" s="455">
        <f t="shared" ca="1" si="192"/>
        <v>-37182049765510.125</v>
      </c>
      <c r="M4628" s="471">
        <f t="shared" si="194"/>
        <v>0.05</v>
      </c>
      <c r="N4628" s="475">
        <f t="shared" si="195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93"/>
        <v>-37182049765510.125</v>
      </c>
      <c r="J4629" s="455">
        <f t="array" ref="J4629">IFERROR(INDEX('Retirement Calculator'!J:J,MATCH('Isaac 401k'!N4629,'Retirement Calculator'!A:A,0),0),0)</f>
        <v>0</v>
      </c>
      <c r="K4629" s="455">
        <f t="shared" ca="1" si="191"/>
        <v>-154925207356.29218</v>
      </c>
      <c r="L4629" s="455">
        <f t="shared" ca="1" si="192"/>
        <v>-37336974972866.414</v>
      </c>
      <c r="M4629" s="471">
        <f t="shared" si="194"/>
        <v>0.05</v>
      </c>
      <c r="N4629" s="475">
        <f t="shared" si="195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93"/>
        <v>-37336974972866.414</v>
      </c>
      <c r="J4630" s="455">
        <f t="array" ref="J4630">IFERROR(INDEX('Retirement Calculator'!J:J,MATCH('Isaac 401k'!N4630,'Retirement Calculator'!A:A,0),0),0)</f>
        <v>0</v>
      </c>
      <c r="K4630" s="455">
        <f t="shared" ca="1" si="191"/>
        <v>-155570729053.61005</v>
      </c>
      <c r="L4630" s="455">
        <f t="shared" ca="1" si="192"/>
        <v>-37492545701920.023</v>
      </c>
      <c r="M4630" s="471">
        <f t="shared" si="194"/>
        <v>0.05</v>
      </c>
      <c r="N4630" s="475">
        <f t="shared" si="195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93"/>
        <v>-37492545701920.023</v>
      </c>
      <c r="J4631" s="455">
        <f t="array" ref="J4631">IFERROR(INDEX('Retirement Calculator'!J:J,MATCH('Isaac 401k'!N4631,'Retirement Calculator'!A:A,0),0),0)</f>
        <v>0</v>
      </c>
      <c r="K4631" s="455">
        <f t="shared" ca="1" si="191"/>
        <v>-156218940424.66675</v>
      </c>
      <c r="L4631" s="455">
        <f t="shared" ca="1" si="192"/>
        <v>-37648764642344.688</v>
      </c>
      <c r="M4631" s="471">
        <f t="shared" si="194"/>
        <v>0.05</v>
      </c>
      <c r="N4631" s="475">
        <f t="shared" si="195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93"/>
        <v>-37648764642344.688</v>
      </c>
      <c r="J4632" s="455">
        <f t="array" ref="J4632">IFERROR(INDEX('Retirement Calculator'!J:J,MATCH('Isaac 401k'!N4632,'Retirement Calculator'!A:A,0),0),0)</f>
        <v>0</v>
      </c>
      <c r="K4632" s="455">
        <f t="shared" ca="1" si="191"/>
        <v>-156869852676.43619</v>
      </c>
      <c r="L4632" s="455">
        <f t="shared" ca="1" si="192"/>
        <v>-37805634495021.125</v>
      </c>
      <c r="M4632" s="471">
        <f t="shared" si="194"/>
        <v>0.05</v>
      </c>
      <c r="N4632" s="475">
        <f t="shared" si="195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93"/>
        <v>-37805634495021.125</v>
      </c>
      <c r="J4633" s="455">
        <f t="array" ref="J4633">IFERROR(INDEX('Retirement Calculator'!J:J,MATCH('Isaac 401k'!N4633,'Retirement Calculator'!A:A,0),0),0)</f>
        <v>0</v>
      </c>
      <c r="K4633" s="455">
        <f t="shared" ca="1" si="191"/>
        <v>-157523477062.58801</v>
      </c>
      <c r="L4633" s="455">
        <f t="shared" ca="1" si="192"/>
        <v>-37963157972083.711</v>
      </c>
      <c r="M4633" s="471">
        <f t="shared" si="194"/>
        <v>0.05</v>
      </c>
      <c r="N4633" s="475">
        <f t="shared" si="195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93"/>
        <v>-37963157972083.711</v>
      </c>
      <c r="J4634" s="455">
        <f t="array" ref="J4634">IFERROR(INDEX('Retirement Calculator'!J:J,MATCH('Isaac 401k'!N4634,'Retirement Calculator'!A:A,0),0),0)</f>
        <v>0</v>
      </c>
      <c r="K4634" s="455">
        <f t="shared" ca="1" si="191"/>
        <v>-158179824883.68213</v>
      </c>
      <c r="L4634" s="455">
        <f t="shared" ca="1" si="192"/>
        <v>-38121337796967.391</v>
      </c>
      <c r="M4634" s="471">
        <f t="shared" si="194"/>
        <v>0.05</v>
      </c>
      <c r="N4634" s="475">
        <f t="shared" si="195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93"/>
        <v>-38121337796967.391</v>
      </c>
      <c r="J4635" s="455">
        <f t="array" ref="J4635">IFERROR(INDEX('Retirement Calculator'!J:J,MATCH('Isaac 401k'!N4635,'Retirement Calculator'!A:A,0),0),0)</f>
        <v>0</v>
      </c>
      <c r="K4635" s="455">
        <f t="shared" ca="1" si="191"/>
        <v>-158838907487.36414</v>
      </c>
      <c r="L4635" s="455">
        <f t="shared" ca="1" si="192"/>
        <v>-38280176704454.758</v>
      </c>
      <c r="M4635" s="471">
        <f t="shared" si="194"/>
        <v>0.05</v>
      </c>
      <c r="N4635" s="475">
        <f t="shared" si="195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93"/>
        <v>-38280176704454.758</v>
      </c>
      <c r="J4636" s="455">
        <f t="array" ref="J4636">IFERROR(INDEX('Retirement Calculator'!J:J,MATCH('Isaac 401k'!N4636,'Retirement Calculator'!A:A,0),0),0)</f>
        <v>0</v>
      </c>
      <c r="K4636" s="455">
        <f t="shared" ca="1" si="191"/>
        <v>-159500736268.56149</v>
      </c>
      <c r="L4636" s="455">
        <f t="shared" ca="1" si="192"/>
        <v>-38439677440723.32</v>
      </c>
      <c r="M4636" s="471">
        <f t="shared" si="194"/>
        <v>0.05</v>
      </c>
      <c r="N4636" s="475">
        <f t="shared" si="195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93"/>
        <v>-38439677440723.32</v>
      </c>
      <c r="J4637" s="455">
        <f t="array" ref="J4637">IFERROR(INDEX('Retirement Calculator'!J:J,MATCH('Isaac 401k'!N4637,'Retirement Calculator'!A:A,0),0),0)</f>
        <v>0</v>
      </c>
      <c r="K4637" s="455">
        <f t="shared" ca="1" si="191"/>
        <v>-160165322669.68051</v>
      </c>
      <c r="L4637" s="455">
        <f t="shared" ca="1" si="192"/>
        <v>-38599842763393</v>
      </c>
      <c r="M4637" s="471">
        <f t="shared" si="194"/>
        <v>0.05</v>
      </c>
      <c r="N4637" s="475">
        <f t="shared" si="195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93"/>
        <v>-38599842763393</v>
      </c>
      <c r="J4638" s="455">
        <f t="array" ref="J4638">IFERROR(INDEX('Retirement Calculator'!J:J,MATCH('Isaac 401k'!N4638,'Retirement Calculator'!A:A,0),0),0)</f>
        <v>0</v>
      </c>
      <c r="K4638" s="455">
        <f t="shared" ca="1" si="191"/>
        <v>-160832678180.80417</v>
      </c>
      <c r="L4638" s="455">
        <f t="shared" ca="1" si="192"/>
        <v>-38760675441573.805</v>
      </c>
      <c r="M4638" s="471">
        <f t="shared" si="194"/>
        <v>0.05</v>
      </c>
      <c r="N4638" s="475">
        <f t="shared" si="195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93"/>
        <v>-38760675441573.805</v>
      </c>
      <c r="J4639" s="455">
        <f t="array" ref="J4639">IFERROR(INDEX('Retirement Calculator'!J:J,MATCH('Isaac 401k'!N4639,'Retirement Calculator'!A:A,0),0),0)</f>
        <v>0</v>
      </c>
      <c r="K4639" s="455">
        <f t="shared" ca="1" si="191"/>
        <v>-161502814339.89084</v>
      </c>
      <c r="L4639" s="455">
        <f t="shared" ca="1" si="192"/>
        <v>-38922178255913.695</v>
      </c>
      <c r="M4639" s="471">
        <f t="shared" si="194"/>
        <v>0.05</v>
      </c>
      <c r="N4639" s="475">
        <f t="shared" si="195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93"/>
        <v>-38922178255913.695</v>
      </c>
      <c r="J4640" s="455">
        <f t="array" ref="J4640">IFERROR(INDEX('Retirement Calculator'!J:J,MATCH('Isaac 401k'!N4640,'Retirement Calculator'!A:A,0),0),0)</f>
        <v>0</v>
      </c>
      <c r="K4640" s="455">
        <f t="shared" ca="1" si="191"/>
        <v>-162175742732.97372</v>
      </c>
      <c r="L4640" s="455">
        <f t="shared" ca="1" si="192"/>
        <v>-39084353998646.672</v>
      </c>
      <c r="M4640" s="471">
        <f t="shared" si="194"/>
        <v>0.05</v>
      </c>
      <c r="N4640" s="475">
        <f t="shared" si="195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93"/>
        <v>-39084353998646.672</v>
      </c>
      <c r="J4641" s="455">
        <f t="array" ref="J4641">IFERROR(INDEX('Retirement Calculator'!J:J,MATCH('Isaac 401k'!N4641,'Retirement Calculator'!A:A,0),0),0)</f>
        <v>0</v>
      </c>
      <c r="K4641" s="455">
        <f t="shared" ca="1" si="191"/>
        <v>-162851474994.36115</v>
      </c>
      <c r="L4641" s="455">
        <f t="shared" ca="1" si="192"/>
        <v>-39247205473641.031</v>
      </c>
      <c r="M4641" s="471">
        <f t="shared" si="194"/>
        <v>0.05</v>
      </c>
      <c r="N4641" s="475">
        <f t="shared" si="195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93"/>
        <v>-39247205473641.031</v>
      </c>
      <c r="J4642" s="455">
        <f t="array" ref="J4642">IFERROR(INDEX('Retirement Calculator'!J:J,MATCH('Isaac 401k'!N4642,'Retirement Calculator'!A:A,0),0),0)</f>
        <v>0</v>
      </c>
      <c r="K4642" s="455">
        <f t="shared" ca="1" si="191"/>
        <v>-163530022806.83762</v>
      </c>
      <c r="L4642" s="455">
        <f t="shared" ca="1" si="192"/>
        <v>-39410735496447.867</v>
      </c>
      <c r="M4642" s="471">
        <f t="shared" si="194"/>
        <v>0.05</v>
      </c>
      <c r="N4642" s="475">
        <f t="shared" si="195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93"/>
        <v>-39410735496447.867</v>
      </c>
      <c r="J4643" s="455">
        <f t="array" ref="J4643">IFERROR(INDEX('Retirement Calculator'!J:J,MATCH('Isaac 401k'!N4643,'Retirement Calculator'!A:A,0),0),0)</f>
        <v>0</v>
      </c>
      <c r="K4643" s="455">
        <f t="shared" ca="1" si="191"/>
        <v>-164211397901.86612</v>
      </c>
      <c r="L4643" s="455">
        <f t="shared" ca="1" si="192"/>
        <v>-39574946894349.734</v>
      </c>
      <c r="M4643" s="471">
        <f t="shared" si="194"/>
        <v>0.05</v>
      </c>
      <c r="N4643" s="475">
        <f t="shared" si="195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93"/>
        <v>-39574946894349.734</v>
      </c>
      <c r="J4644" s="455">
        <f t="array" ref="J4644">IFERROR(INDEX('Retirement Calculator'!J:J,MATCH('Isaac 401k'!N4644,'Retirement Calculator'!A:A,0),0),0)</f>
        <v>0</v>
      </c>
      <c r="K4644" s="455">
        <f t="shared" ca="1" si="191"/>
        <v>-164895612059.79056</v>
      </c>
      <c r="L4644" s="455">
        <f t="shared" ca="1" si="192"/>
        <v>-39739842506409.523</v>
      </c>
      <c r="M4644" s="471">
        <f t="shared" si="194"/>
        <v>0.05</v>
      </c>
      <c r="N4644" s="475">
        <f t="shared" si="195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93"/>
        <v>-39739842506409.523</v>
      </c>
      <c r="J4645" s="455">
        <f t="array" ref="J4645">IFERROR(INDEX('Retirement Calculator'!J:J,MATCH('Isaac 401k'!N4645,'Retirement Calculator'!A:A,0),0),0)</f>
        <v>0</v>
      </c>
      <c r="K4645" s="455">
        <f t="shared" ca="1" si="191"/>
        <v>-165582677110.03967</v>
      </c>
      <c r="L4645" s="455">
        <f t="shared" ca="1" si="192"/>
        <v>-39905425183519.563</v>
      </c>
      <c r="M4645" s="471">
        <f t="shared" si="194"/>
        <v>0.05</v>
      </c>
      <c r="N4645" s="475">
        <f t="shared" si="195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93"/>
        <v>-39905425183519.563</v>
      </c>
      <c r="J4646" s="455">
        <f t="array" ref="J4646">IFERROR(INDEX('Retirement Calculator'!J:J,MATCH('Isaac 401k'!N4646,'Retirement Calculator'!A:A,0),0),0)</f>
        <v>0</v>
      </c>
      <c r="K4646" s="455">
        <f t="shared" ca="1" si="191"/>
        <v>-166272604931.33151</v>
      </c>
      <c r="L4646" s="455">
        <f t="shared" ca="1" si="192"/>
        <v>-40071697788450.891</v>
      </c>
      <c r="M4646" s="471">
        <f t="shared" si="194"/>
        <v>0.05</v>
      </c>
      <c r="N4646" s="475">
        <f t="shared" si="195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93"/>
        <v>-40071697788450.891</v>
      </c>
      <c r="J4647" s="455">
        <f t="array" ref="J4647">IFERROR(INDEX('Retirement Calculator'!J:J,MATCH('Isaac 401k'!N4647,'Retirement Calculator'!A:A,0),0),0)</f>
        <v>0</v>
      </c>
      <c r="K4647" s="455">
        <f t="shared" ca="1" si="191"/>
        <v>-166965407451.87872</v>
      </c>
      <c r="L4647" s="455">
        <f t="shared" ca="1" si="192"/>
        <v>-40238663195902.766</v>
      </c>
      <c r="M4647" s="471">
        <f t="shared" si="194"/>
        <v>0.05</v>
      </c>
      <c r="N4647" s="475">
        <f t="shared" si="195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93"/>
        <v>-40238663195902.766</v>
      </c>
      <c r="J4648" s="455">
        <f t="array" ref="J4648">IFERROR(INDEX('Retirement Calculator'!J:J,MATCH('Isaac 401k'!N4648,'Retirement Calculator'!A:A,0),0),0)</f>
        <v>0</v>
      </c>
      <c r="K4648" s="455">
        <f t="shared" ca="1" si="191"/>
        <v>-167661096649.59485</v>
      </c>
      <c r="L4648" s="455">
        <f t="shared" ca="1" si="192"/>
        <v>-40406324292552.359</v>
      </c>
      <c r="M4648" s="471">
        <f t="shared" si="194"/>
        <v>0.05</v>
      </c>
      <c r="N4648" s="475">
        <f t="shared" si="195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93"/>
        <v>-40406324292552.359</v>
      </c>
      <c r="J4649" s="455">
        <f t="array" ref="J4649">IFERROR(INDEX('Retirement Calculator'!J:J,MATCH('Isaac 401k'!N4649,'Retirement Calculator'!A:A,0),0),0)</f>
        <v>0</v>
      </c>
      <c r="K4649" s="455">
        <f t="shared" ca="1" si="191"/>
        <v>-168359684552.30148</v>
      </c>
      <c r="L4649" s="455">
        <f t="shared" ca="1" si="192"/>
        <v>-40574683977104.664</v>
      </c>
      <c r="M4649" s="471">
        <f t="shared" si="194"/>
        <v>0.05</v>
      </c>
      <c r="N4649" s="475">
        <f t="shared" si="195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93"/>
        <v>-40574683977104.664</v>
      </c>
      <c r="J4650" s="455">
        <f t="array" ref="J4650">IFERROR(INDEX('Retirement Calculator'!J:J,MATCH('Isaac 401k'!N4650,'Retirement Calculator'!A:A,0),0),0)</f>
        <v>0</v>
      </c>
      <c r="K4650" s="455">
        <f t="shared" ca="1" si="191"/>
        <v>-169061183237.9361</v>
      </c>
      <c r="L4650" s="455">
        <f t="shared" ca="1" si="192"/>
        <v>-40743745160342.602</v>
      </c>
      <c r="M4650" s="471">
        <f t="shared" si="194"/>
        <v>0.05</v>
      </c>
      <c r="N4650" s="475">
        <f t="shared" si="195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93"/>
        <v>-40743745160342.602</v>
      </c>
      <c r="J4651" s="455">
        <f t="array" ref="J4651">IFERROR(INDEX('Retirement Calculator'!J:J,MATCH('Isaac 401k'!N4651,'Retirement Calculator'!A:A,0),0),0)</f>
        <v>0</v>
      </c>
      <c r="K4651" s="455">
        <f t="shared" ca="1" si="191"/>
        <v>-169765604834.76083</v>
      </c>
      <c r="L4651" s="455">
        <f t="shared" ca="1" si="192"/>
        <v>-40913510765177.359</v>
      </c>
      <c r="M4651" s="471">
        <f t="shared" si="194"/>
        <v>0.05</v>
      </c>
      <c r="N4651" s="475">
        <f t="shared" si="195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93"/>
        <v>-40913510765177.359</v>
      </c>
      <c r="J4652" s="455">
        <f t="array" ref="J4652">IFERROR(INDEX('Retirement Calculator'!J:J,MATCH('Isaac 401k'!N4652,'Retirement Calculator'!A:A,0),0),0)</f>
        <v>0</v>
      </c>
      <c r="K4652" s="455">
        <f t="shared" ca="1" si="191"/>
        <v>-170472961521.57233</v>
      </c>
      <c r="L4652" s="455">
        <f t="shared" ca="1" si="192"/>
        <v>-41083983726698.93</v>
      </c>
      <c r="M4652" s="471">
        <f t="shared" si="194"/>
        <v>0.05</v>
      </c>
      <c r="N4652" s="475">
        <f t="shared" si="195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93"/>
        <v>-41083983726698.93</v>
      </c>
      <c r="J4653" s="455">
        <f t="array" ref="J4653">IFERROR(INDEX('Retirement Calculator'!J:J,MATCH('Isaac 401k'!N4653,'Retirement Calculator'!A:A,0),0),0)</f>
        <v>0</v>
      </c>
      <c r="K4653" s="455">
        <f t="shared" ca="1" si="191"/>
        <v>-171183265527.9122</v>
      </c>
      <c r="L4653" s="455">
        <f t="shared" ca="1" si="192"/>
        <v>-41255166992226.844</v>
      </c>
      <c r="M4653" s="471">
        <f t="shared" si="194"/>
        <v>0.05</v>
      </c>
      <c r="N4653" s="475">
        <f t="shared" si="195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93"/>
        <v>-41255166992226.844</v>
      </c>
      <c r="J4654" s="455">
        <f t="array" ref="J4654">IFERROR(INDEX('Retirement Calculator'!J:J,MATCH('Isaac 401k'!N4654,'Retirement Calculator'!A:A,0),0),0)</f>
        <v>0</v>
      </c>
      <c r="K4654" s="455">
        <f t="shared" ca="1" si="191"/>
        <v>-171896529134.2785</v>
      </c>
      <c r="L4654" s="455">
        <f t="shared" ca="1" si="192"/>
        <v>-41427063521361.125</v>
      </c>
      <c r="M4654" s="471">
        <f t="shared" si="194"/>
        <v>0.05</v>
      </c>
      <c r="N4654" s="475">
        <f t="shared" si="195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93"/>
        <v>-41427063521361.125</v>
      </c>
      <c r="J4655" s="455">
        <f t="array" ref="J4655">IFERROR(INDEX('Retirement Calculator'!J:J,MATCH('Isaac 401k'!N4655,'Retirement Calculator'!A:A,0),0),0)</f>
        <v>0</v>
      </c>
      <c r="K4655" s="455">
        <f t="shared" ca="1" si="191"/>
        <v>-172612764672.33801</v>
      </c>
      <c r="L4655" s="455">
        <f t="shared" ca="1" si="192"/>
        <v>-41599676286033.461</v>
      </c>
      <c r="M4655" s="471">
        <f t="shared" si="194"/>
        <v>0.05</v>
      </c>
      <c r="N4655" s="475">
        <f t="shared" si="195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93"/>
        <v>-41599676286033.461</v>
      </c>
      <c r="J4656" s="455">
        <f t="array" ref="J4656">IFERROR(INDEX('Retirement Calculator'!J:J,MATCH('Isaac 401k'!N4656,'Retirement Calculator'!A:A,0),0),0)</f>
        <v>0</v>
      </c>
      <c r="K4656" s="455">
        <f t="shared" ca="1" si="191"/>
        <v>-173331984525.1394</v>
      </c>
      <c r="L4656" s="455">
        <f t="shared" ca="1" si="192"/>
        <v>-41773008270558.602</v>
      </c>
      <c r="M4656" s="471">
        <f t="shared" si="194"/>
        <v>0.05</v>
      </c>
      <c r="N4656" s="475">
        <f t="shared" si="195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93"/>
        <v>-41773008270558.602</v>
      </c>
      <c r="J4657" s="455">
        <f t="array" ref="J4657">IFERROR(INDEX('Retirement Calculator'!J:J,MATCH('Isaac 401k'!N4657,'Retirement Calculator'!A:A,0),0),0)</f>
        <v>0</v>
      </c>
      <c r="K4657" s="455">
        <f t="shared" ca="1" si="191"/>
        <v>-174054201127.32751</v>
      </c>
      <c r="L4657" s="455">
        <f t="shared" ca="1" si="192"/>
        <v>-41947062471685.93</v>
      </c>
      <c r="M4657" s="471">
        <f t="shared" si="194"/>
        <v>0.05</v>
      </c>
      <c r="N4657" s="475">
        <f t="shared" si="195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93"/>
        <v>-41947062471685.93</v>
      </c>
      <c r="J4658" s="455">
        <f t="array" ref="J4658">IFERROR(INDEX('Retirement Calculator'!J:J,MATCH('Isaac 401k'!N4658,'Retirement Calculator'!A:A,0),0),0)</f>
        <v>0</v>
      </c>
      <c r="K4658" s="455">
        <f t="shared" ca="1" si="191"/>
        <v>-174779426965.35803</v>
      </c>
      <c r="L4658" s="455">
        <f t="shared" ca="1" si="192"/>
        <v>-42121841898651.289</v>
      </c>
      <c r="M4658" s="471">
        <f t="shared" si="194"/>
        <v>0.05</v>
      </c>
      <c r="N4658" s="475">
        <f t="shared" si="195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93"/>
        <v>-42121841898651.289</v>
      </c>
      <c r="J4659" s="455">
        <f t="array" ref="J4659">IFERROR(INDEX('Retirement Calculator'!J:J,MATCH('Isaac 401k'!N4659,'Retirement Calculator'!A:A,0),0),0)</f>
        <v>0</v>
      </c>
      <c r="K4659" s="455">
        <f t="shared" ca="1" si="191"/>
        <v>-175507674577.71371</v>
      </c>
      <c r="L4659" s="455">
        <f t="shared" ca="1" si="192"/>
        <v>-42297349573229</v>
      </c>
      <c r="M4659" s="471">
        <f t="shared" si="194"/>
        <v>0.05</v>
      </c>
      <c r="N4659" s="475">
        <f t="shared" si="195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93"/>
        <v>-42297349573229</v>
      </c>
      <c r="J4660" s="455">
        <f t="array" ref="J4660">IFERROR(INDEX('Retirement Calculator'!J:J,MATCH('Isaac 401k'!N4660,'Retirement Calculator'!A:A,0),0),0)</f>
        <v>0</v>
      </c>
      <c r="K4660" s="455">
        <f t="shared" ca="1" si="191"/>
        <v>-176238956555.12082</v>
      </c>
      <c r="L4660" s="455">
        <f t="shared" ca="1" si="192"/>
        <v>-42473588529784.117</v>
      </c>
      <c r="M4660" s="471">
        <f t="shared" si="194"/>
        <v>0.05</v>
      </c>
      <c r="N4660" s="475">
        <f t="shared" si="195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93"/>
        <v>-42473588529784.117</v>
      </c>
      <c r="J4661" s="455">
        <f t="array" ref="J4661">IFERROR(INDEX('Retirement Calculator'!J:J,MATCH('Isaac 401k'!N4661,'Retirement Calculator'!A:A,0),0),0)</f>
        <v>0</v>
      </c>
      <c r="K4661" s="455">
        <f t="shared" ca="1" si="191"/>
        <v>-176973285540.76715</v>
      </c>
      <c r="L4661" s="455">
        <f t="shared" ca="1" si="192"/>
        <v>-42650561815324.883</v>
      </c>
      <c r="M4661" s="471">
        <f t="shared" si="194"/>
        <v>0.05</v>
      </c>
      <c r="N4661" s="475">
        <f t="shared" si="195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93"/>
        <v>-42650561815324.883</v>
      </c>
      <c r="J4662" s="455">
        <f t="array" ref="J4662">IFERROR(INDEX('Retirement Calculator'!J:J,MATCH('Isaac 401k'!N4662,'Retirement Calculator'!A:A,0),0),0)</f>
        <v>0</v>
      </c>
      <c r="K4662" s="455">
        <f t="shared" ca="1" si="191"/>
        <v>-177710674230.52036</v>
      </c>
      <c r="L4662" s="455">
        <f t="shared" ca="1" si="192"/>
        <v>-42828272489555.406</v>
      </c>
      <c r="M4662" s="471">
        <f t="shared" si="194"/>
        <v>0.05</v>
      </c>
      <c r="N4662" s="475">
        <f t="shared" si="195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93"/>
        <v>-42828272489555.406</v>
      </c>
      <c r="J4663" s="455">
        <f t="array" ref="J4663">IFERROR(INDEX('Retirement Calculator'!J:J,MATCH('Isaac 401k'!N4663,'Retirement Calculator'!A:A,0),0),0)</f>
        <v>0</v>
      </c>
      <c r="K4663" s="455">
        <f t="shared" ca="1" si="191"/>
        <v>-178451135373.14752</v>
      </c>
      <c r="L4663" s="455">
        <f t="shared" ca="1" si="192"/>
        <v>-43006723624928.555</v>
      </c>
      <c r="M4663" s="471">
        <f t="shared" si="194"/>
        <v>0.05</v>
      </c>
      <c r="N4663" s="475">
        <f t="shared" si="195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93"/>
        <v>-43006723624928.555</v>
      </c>
      <c r="J4664" s="455">
        <f t="array" ref="J4664">IFERROR(INDEX('Retirement Calculator'!J:J,MATCH('Isaac 401k'!N4664,'Retirement Calculator'!A:A,0),0),0)</f>
        <v>0</v>
      </c>
      <c r="K4664" s="455">
        <f t="shared" ca="1" si="191"/>
        <v>-179194681770.53564</v>
      </c>
      <c r="L4664" s="455">
        <f t="shared" ca="1" si="192"/>
        <v>-43185918306699.094</v>
      </c>
      <c r="M4664" s="471">
        <f t="shared" si="194"/>
        <v>0.05</v>
      </c>
      <c r="N4664" s="475">
        <f t="shared" si="195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93"/>
        <v>-43185918306699.094</v>
      </c>
      <c r="J4665" s="455">
        <f t="array" ref="J4665">IFERROR(INDEX('Retirement Calculator'!J:J,MATCH('Isaac 401k'!N4665,'Retirement Calculator'!A:A,0),0),0)</f>
        <v>0</v>
      </c>
      <c r="K4665" s="455">
        <f t="shared" ca="1" si="191"/>
        <v>-179941326277.9129</v>
      </c>
      <c r="L4665" s="455">
        <f t="shared" ca="1" si="192"/>
        <v>-43365859632977.008</v>
      </c>
      <c r="M4665" s="471">
        <f t="shared" si="194"/>
        <v>0.05</v>
      </c>
      <c r="N4665" s="475">
        <f t="shared" si="195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93"/>
        <v>-43365859632977.008</v>
      </c>
      <c r="J4666" s="455">
        <f t="array" ref="J4666">IFERROR(INDEX('Retirement Calculator'!J:J,MATCH('Isaac 401k'!N4666,'Retirement Calculator'!A:A,0),0),0)</f>
        <v>0</v>
      </c>
      <c r="K4666" s="455">
        <f t="shared" ca="1" si="191"/>
        <v>-180691081804.07086</v>
      </c>
      <c r="L4666" s="455">
        <f t="shared" ca="1" si="192"/>
        <v>-43546550714781.078</v>
      </c>
      <c r="M4666" s="471">
        <f t="shared" si="194"/>
        <v>0.05</v>
      </c>
      <c r="N4666" s="475">
        <f t="shared" si="195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93"/>
        <v>-43546550714781.078</v>
      </c>
      <c r="J4667" s="455">
        <f t="array" ref="J4667">IFERROR(INDEX('Retirement Calculator'!J:J,MATCH('Isaac 401k'!N4667,'Retirement Calculator'!A:A,0),0),0)</f>
        <v>0</v>
      </c>
      <c r="K4667" s="455">
        <f t="shared" ca="1" si="191"/>
        <v>-181443961311.58783</v>
      </c>
      <c r="L4667" s="455">
        <f t="shared" ca="1" si="192"/>
        <v>-43727994676092.664</v>
      </c>
      <c r="M4667" s="471">
        <f t="shared" si="194"/>
        <v>0.05</v>
      </c>
      <c r="N4667" s="475">
        <f t="shared" si="195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93"/>
        <v>-43727994676092.664</v>
      </c>
      <c r="J4668" s="455">
        <f t="array" ref="J4668">IFERROR(INDEX('Retirement Calculator'!J:J,MATCH('Isaac 401k'!N4668,'Retirement Calculator'!A:A,0),0),0)</f>
        <v>0</v>
      </c>
      <c r="K4668" s="455">
        <f t="shared" ca="1" si="191"/>
        <v>-182199977817.05276</v>
      </c>
      <c r="L4668" s="455">
        <f t="shared" ca="1" si="192"/>
        <v>-43910194653909.719</v>
      </c>
      <c r="M4668" s="471">
        <f t="shared" si="194"/>
        <v>0.05</v>
      </c>
      <c r="N4668" s="475">
        <f t="shared" si="195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93"/>
        <v>-43910194653909.719</v>
      </c>
      <c r="J4669" s="455">
        <f t="array" ref="J4669">IFERROR(INDEX('Retirement Calculator'!J:J,MATCH('Isaac 401k'!N4669,'Retirement Calculator'!A:A,0),0),0)</f>
        <v>0</v>
      </c>
      <c r="K4669" s="455">
        <f t="shared" ca="1" si="191"/>
        <v>-182959144391.2905</v>
      </c>
      <c r="L4669" s="455">
        <f t="shared" ca="1" si="192"/>
        <v>-44093153798301.008</v>
      </c>
      <c r="M4669" s="471">
        <f t="shared" si="194"/>
        <v>0.05</v>
      </c>
      <c r="N4669" s="475">
        <f t="shared" si="195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93"/>
        <v>-44093153798301.008</v>
      </c>
      <c r="J4670" s="455">
        <f t="array" ref="J4670">IFERROR(INDEX('Retirement Calculator'!J:J,MATCH('Isaac 401k'!N4670,'Retirement Calculator'!A:A,0),0),0)</f>
        <v>0</v>
      </c>
      <c r="K4670" s="455">
        <f t="shared" ca="1" si="191"/>
        <v>-183721474159.58752</v>
      </c>
      <c r="L4670" s="455">
        <f t="shared" ca="1" si="192"/>
        <v>-44276875272460.594</v>
      </c>
      <c r="M4670" s="471">
        <f t="shared" si="194"/>
        <v>0.05</v>
      </c>
      <c r="N4670" s="475">
        <f t="shared" si="195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93"/>
        <v>-44276875272460.594</v>
      </c>
      <c r="J4671" s="455">
        <f t="array" ref="J4671">IFERROR(INDEX('Retirement Calculator'!J:J,MATCH('Isaac 401k'!N4671,'Retirement Calculator'!A:A,0),0),0)</f>
        <v>0</v>
      </c>
      <c r="K4671" s="455">
        <f t="shared" ca="1" si="191"/>
        <v>-184486980301.91913</v>
      </c>
      <c r="L4671" s="455">
        <f t="shared" ca="1" si="192"/>
        <v>-44461362252762.516</v>
      </c>
      <c r="M4671" s="471">
        <f t="shared" si="194"/>
        <v>0.05</v>
      </c>
      <c r="N4671" s="475">
        <f t="shared" si="195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93"/>
        <v>-44461362252762.516</v>
      </c>
      <c r="J4672" s="455">
        <f t="array" ref="J4672">IFERROR(INDEX('Retirement Calculator'!J:J,MATCH('Isaac 401k'!N4672,'Retirement Calculator'!A:A,0),0),0)</f>
        <v>0</v>
      </c>
      <c r="K4672" s="455">
        <f t="shared" ca="1" si="191"/>
        <v>-185255676053.17715</v>
      </c>
      <c r="L4672" s="455">
        <f t="shared" ca="1" si="192"/>
        <v>-44646617928815.695</v>
      </c>
      <c r="M4672" s="471">
        <f t="shared" si="194"/>
        <v>0.05</v>
      </c>
      <c r="N4672" s="475">
        <f t="shared" si="195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93"/>
        <v>-44646617928815.695</v>
      </c>
      <c r="J4673" s="455">
        <f t="array" ref="J4673">IFERROR(INDEX('Retirement Calculator'!J:J,MATCH('Isaac 401k'!N4673,'Retirement Calculator'!A:A,0),0),0)</f>
        <v>0</v>
      </c>
      <c r="K4673" s="455">
        <f t="shared" ca="1" si="191"/>
        <v>-186027574703.39874</v>
      </c>
      <c r="L4673" s="455">
        <f t="shared" ca="1" si="192"/>
        <v>-44832645503519.094</v>
      </c>
      <c r="M4673" s="471">
        <f t="shared" si="194"/>
        <v>0.05</v>
      </c>
      <c r="N4673" s="475">
        <f t="shared" si="195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93"/>
        <v>-44832645503519.094</v>
      </c>
      <c r="J4674" s="455">
        <f t="array" ref="J4674">IFERROR(INDEX('Retirement Calculator'!J:J,MATCH('Isaac 401k'!N4674,'Retirement Calculator'!A:A,0),0),0)</f>
        <v>0</v>
      </c>
      <c r="K4674" s="455">
        <f t="shared" ca="1" si="191"/>
        <v>-186802689597.99622</v>
      </c>
      <c r="L4674" s="455">
        <f t="shared" ca="1" si="192"/>
        <v>-45019448193117.094</v>
      </c>
      <c r="M4674" s="471">
        <f t="shared" si="194"/>
        <v>0.05</v>
      </c>
      <c r="N4674" s="475">
        <f t="shared" si="195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93"/>
        <v>-45019448193117.094</v>
      </c>
      <c r="J4675" s="455">
        <f t="array" ref="J4675">IFERROR(INDEX('Retirement Calculator'!J:J,MATCH('Isaac 401k'!N4675,'Retirement Calculator'!A:A,0),0),0)</f>
        <v>0</v>
      </c>
      <c r="K4675" s="455">
        <f t="shared" ca="1" si="191"/>
        <v>-187581034137.98788</v>
      </c>
      <c r="L4675" s="455">
        <f t="shared" ca="1" si="192"/>
        <v>-45207029227255.078</v>
      </c>
      <c r="M4675" s="471">
        <f t="shared" si="194"/>
        <v>0.05</v>
      </c>
      <c r="N4675" s="475">
        <f t="shared" si="195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93"/>
        <v>-45207029227255.078</v>
      </c>
      <c r="J4676" s="455">
        <f t="array" ref="J4676">IFERROR(INDEX('Retirement Calculator'!J:J,MATCH('Isaac 401k'!N4676,'Retirement Calculator'!A:A,0),0),0)</f>
        <v>0</v>
      </c>
      <c r="K4676" s="455">
        <f t="shared" ca="1" si="191"/>
        <v>-188362621780.22949</v>
      </c>
      <c r="L4676" s="455">
        <f t="shared" ca="1" si="192"/>
        <v>-45395391849035.305</v>
      </c>
      <c r="M4676" s="471">
        <f t="shared" si="194"/>
        <v>0.05</v>
      </c>
      <c r="N4676" s="475">
        <f t="shared" si="195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93"/>
        <v>-45395391849035.305</v>
      </c>
      <c r="J4677" s="455">
        <f t="array" ref="J4677">IFERROR(INDEX('Retirement Calculator'!J:J,MATCH('Isaac 401k'!N4677,'Retirement Calculator'!A:A,0),0),0)</f>
        <v>0</v>
      </c>
      <c r="K4677" s="455">
        <f t="shared" ca="1" si="191"/>
        <v>-189147466037.64709</v>
      </c>
      <c r="L4677" s="455">
        <f t="shared" ca="1" si="192"/>
        <v>-45584539315072.953</v>
      </c>
      <c r="M4677" s="471">
        <f t="shared" si="194"/>
        <v>0.05</v>
      </c>
      <c r="N4677" s="475">
        <f t="shared" si="195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93"/>
        <v>-45584539315072.953</v>
      </c>
      <c r="J4678" s="455">
        <f t="array" ref="J4678">IFERROR(INDEX('Retirement Calculator'!J:J,MATCH('Isaac 401k'!N4678,'Retirement Calculator'!A:A,0),0),0)</f>
        <v>0</v>
      </c>
      <c r="K4678" s="455">
        <f t="shared" ca="1" si="191"/>
        <v>-189935580479.47064</v>
      </c>
      <c r="L4678" s="455">
        <f t="shared" ca="1" si="192"/>
        <v>-45774474895552.422</v>
      </c>
      <c r="M4678" s="471">
        <f t="shared" si="194"/>
        <v>0.05</v>
      </c>
      <c r="N4678" s="475">
        <f t="shared" si="195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93"/>
        <v>-45774474895552.422</v>
      </c>
      <c r="J4679" s="455">
        <f t="array" ref="J4679">IFERROR(INDEX('Retirement Calculator'!J:J,MATCH('Isaac 401k'!N4679,'Retirement Calculator'!A:A,0),0),0)</f>
        <v>0</v>
      </c>
      <c r="K4679" s="455">
        <f t="shared" ca="1" si="191"/>
        <v>-190726978731.46841</v>
      </c>
      <c r="L4679" s="455">
        <f t="shared" ca="1" si="192"/>
        <v>-45965201874283.891</v>
      </c>
      <c r="M4679" s="471">
        <f t="shared" si="194"/>
        <v>0.05</v>
      </c>
      <c r="N4679" s="475">
        <f t="shared" si="195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93"/>
        <v>-45965201874283.891</v>
      </c>
      <c r="J4680" s="455">
        <f t="array" ref="J4680">IFERROR(INDEX('Retirement Calculator'!J:J,MATCH('Isaac 401k'!N4680,'Retirement Calculator'!A:A,0),0),0)</f>
        <v>0</v>
      </c>
      <c r="K4680" s="455">
        <f t="shared" ca="1" si="191"/>
        <v>-191521674476.18286</v>
      </c>
      <c r="L4680" s="455">
        <f t="shared" ca="1" si="192"/>
        <v>-46156723548760.07</v>
      </c>
      <c r="M4680" s="471">
        <f t="shared" si="194"/>
        <v>0.05</v>
      </c>
      <c r="N4680" s="475">
        <f t="shared" si="195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93"/>
        <v>-46156723548760.07</v>
      </c>
      <c r="J4681" s="455">
        <f t="array" ref="J4681">IFERROR(INDEX('Retirement Calculator'!J:J,MATCH('Isaac 401k'!N4681,'Retirement Calculator'!A:A,0),0),0)</f>
        <v>0</v>
      </c>
      <c r="K4681" s="455">
        <f t="shared" ca="1" si="191"/>
        <v>-192319681453.16696</v>
      </c>
      <c r="L4681" s="455">
        <f t="shared" ca="1" si="192"/>
        <v>-46349043230213.234</v>
      </c>
      <c r="M4681" s="471">
        <f t="shared" si="194"/>
        <v>0.05</v>
      </c>
      <c r="N4681" s="475">
        <f t="shared" si="195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93"/>
        <v>-46349043230213.234</v>
      </c>
      <c r="J4682" s="455">
        <f t="array" ref="J4682">IFERROR(INDEX('Retirement Calculator'!J:J,MATCH('Isaac 401k'!N4682,'Retirement Calculator'!A:A,0),0),0)</f>
        <v>0</v>
      </c>
      <c r="K4682" s="455">
        <f t="shared" ca="1" si="191"/>
        <v>-193121013459.2218</v>
      </c>
      <c r="L4682" s="455">
        <f t="shared" ca="1" si="192"/>
        <v>-46542164243672.453</v>
      </c>
      <c r="M4682" s="471">
        <f t="shared" si="194"/>
        <v>0.05</v>
      </c>
      <c r="N4682" s="475">
        <f t="shared" si="195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93"/>
        <v>-46542164243672.453</v>
      </c>
      <c r="J4683" s="455">
        <f t="array" ref="J4683">IFERROR(INDEX('Retirement Calculator'!J:J,MATCH('Isaac 401k'!N4683,'Retirement Calculator'!A:A,0),0),0)</f>
        <v>0</v>
      </c>
      <c r="K4683" s="455">
        <f t="shared" ca="1" si="191"/>
        <v>-193925684348.63522</v>
      </c>
      <c r="L4683" s="455">
        <f t="shared" ca="1" si="192"/>
        <v>-46736089928021.086</v>
      </c>
      <c r="M4683" s="471">
        <f t="shared" si="194"/>
        <v>0.05</v>
      </c>
      <c r="N4683" s="475">
        <f t="shared" si="195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93"/>
        <v>-46736089928021.086</v>
      </c>
      <c r="J4684" s="455">
        <f t="array" ref="J4684">IFERROR(INDEX('Retirement Calculator'!J:J,MATCH('Isaac 401k'!N4684,'Retirement Calculator'!A:A,0),0),0)</f>
        <v>0</v>
      </c>
      <c r="K4684" s="455">
        <f t="shared" ca="1" si="191"/>
        <v>-194733708033.4212</v>
      </c>
      <c r="L4684" s="455">
        <f t="shared" ca="1" si="192"/>
        <v>-46930823636054.508</v>
      </c>
      <c r="M4684" s="471">
        <f t="shared" si="194"/>
        <v>0.05</v>
      </c>
      <c r="N4684" s="475">
        <f t="shared" si="195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93"/>
        <v>-46930823636054.508</v>
      </c>
      <c r="J4685" s="455">
        <f t="array" ref="J4685">IFERROR(INDEX('Retirement Calculator'!J:J,MATCH('Isaac 401k'!N4685,'Retirement Calculator'!A:A,0),0),0)</f>
        <v>0</v>
      </c>
      <c r="K4685" s="455">
        <f t="shared" ca="1" si="191"/>
        <v>-195545098483.56046</v>
      </c>
      <c r="L4685" s="455">
        <f t="shared" ca="1" si="192"/>
        <v>-47126368734538.07</v>
      </c>
      <c r="M4685" s="471">
        <f t="shared" si="194"/>
        <v>0.05</v>
      </c>
      <c r="N4685" s="475">
        <f t="shared" si="195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93"/>
        <v>-47126368734538.07</v>
      </c>
      <c r="J4686" s="455">
        <f t="array" ref="J4686">IFERROR(INDEX('Retirement Calculator'!J:J,MATCH('Isaac 401k'!N4686,'Retirement Calculator'!A:A,0),0),0)</f>
        <v>0</v>
      </c>
      <c r="K4686" s="455">
        <f t="shared" ca="1" si="191"/>
        <v>-196359869727.24194</v>
      </c>
      <c r="L4686" s="455">
        <f t="shared" ca="1" si="192"/>
        <v>-47322728604265.313</v>
      </c>
      <c r="M4686" s="471">
        <f t="shared" si="194"/>
        <v>0.05</v>
      </c>
      <c r="N4686" s="475">
        <f t="shared" si="195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93"/>
        <v>-47322728604265.313</v>
      </c>
      <c r="J4687" s="455">
        <f t="array" ref="J4687">IFERROR(INDEX('Retirement Calculator'!J:J,MATCH('Isaac 401k'!N4687,'Retirement Calculator'!A:A,0),0),0)</f>
        <v>0</v>
      </c>
      <c r="K4687" s="455">
        <f t="shared" ca="1" si="191"/>
        <v>-197178035851.10547</v>
      </c>
      <c r="L4687" s="455">
        <f t="shared" ca="1" si="192"/>
        <v>-47519906640116.422</v>
      </c>
      <c r="M4687" s="471">
        <f t="shared" si="194"/>
        <v>0.05</v>
      </c>
      <c r="N4687" s="475">
        <f t="shared" si="195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93"/>
        <v>-47519906640116.422</v>
      </c>
      <c r="J4688" s="455">
        <f t="array" ref="J4688">IFERROR(INDEX('Retirement Calculator'!J:J,MATCH('Isaac 401k'!N4688,'Retirement Calculator'!A:A,0),0),0)</f>
        <v>0</v>
      </c>
      <c r="K4688" s="455">
        <f t="shared" ca="1" si="191"/>
        <v>-197999611000.48508</v>
      </c>
      <c r="L4688" s="455">
        <f t="shared" ca="1" si="192"/>
        <v>-47717906251116.906</v>
      </c>
      <c r="M4688" s="471">
        <f t="shared" si="194"/>
        <v>0.05</v>
      </c>
      <c r="N4688" s="475">
        <f t="shared" si="195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93"/>
        <v>-47717906251116.906</v>
      </c>
      <c r="J4689" s="455">
        <f t="array" ref="J4689">IFERROR(INDEX('Retirement Calculator'!J:J,MATCH('Isaac 401k'!N4689,'Retirement Calculator'!A:A,0),0),0)</f>
        <v>0</v>
      </c>
      <c r="K4689" s="455">
        <f t="shared" ca="1" si="191"/>
        <v>-198824609379.65378</v>
      </c>
      <c r="L4689" s="455">
        <f t="shared" ca="1" si="192"/>
        <v>-47916730860496.563</v>
      </c>
      <c r="M4689" s="471">
        <f t="shared" si="194"/>
        <v>0.05</v>
      </c>
      <c r="N4689" s="475">
        <f t="shared" si="195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93"/>
        <v>-47916730860496.563</v>
      </c>
      <c r="J4690" s="455">
        <f t="array" ref="J4690">IFERROR(INDEX('Retirement Calculator'!J:J,MATCH('Isaac 401k'!N4690,'Retirement Calculator'!A:A,0),0),0)</f>
        <v>0</v>
      </c>
      <c r="K4690" s="455">
        <f t="shared" ca="1" si="191"/>
        <v>-199653045252.069</v>
      </c>
      <c r="L4690" s="455">
        <f t="shared" ca="1" si="192"/>
        <v>-48116383905748.633</v>
      </c>
      <c r="M4690" s="471">
        <f t="shared" si="194"/>
        <v>0.05</v>
      </c>
      <c r="N4690" s="475">
        <f t="shared" si="195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93"/>
        <v>-48116383905748.633</v>
      </c>
      <c r="J4691" s="455">
        <f t="array" ref="J4691">IFERROR(INDEX('Retirement Calculator'!J:J,MATCH('Isaac 401k'!N4691,'Retirement Calculator'!A:A,0),0),0)</f>
        <v>0</v>
      </c>
      <c r="K4691" s="455">
        <f t="shared" ca="1" si="191"/>
        <v>-200484932940.61929</v>
      </c>
      <c r="L4691" s="455">
        <f t="shared" ca="1" si="192"/>
        <v>-48316868838689.25</v>
      </c>
      <c r="M4691" s="471">
        <f t="shared" si="194"/>
        <v>0.05</v>
      </c>
      <c r="N4691" s="475">
        <f t="shared" si="195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93"/>
        <v>-48316868838689.25</v>
      </c>
      <c r="J4692" s="455">
        <f t="array" ref="J4692">IFERROR(INDEX('Retirement Calculator'!J:J,MATCH('Isaac 401k'!N4692,'Retirement Calculator'!A:A,0),0),0)</f>
        <v>0</v>
      </c>
      <c r="K4692" s="455">
        <f t="shared" ca="1" si="191"/>
        <v>-201320286827.87189</v>
      </c>
      <c r="L4692" s="455">
        <f t="shared" ca="1" si="192"/>
        <v>-48518189125517.125</v>
      </c>
      <c r="M4692" s="471">
        <f t="shared" si="194"/>
        <v>0.05</v>
      </c>
      <c r="N4692" s="475">
        <f t="shared" si="195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93"/>
        <v>-48518189125517.125</v>
      </c>
      <c r="J4693" s="455">
        <f t="array" ref="J4693">IFERROR(INDEX('Retirement Calculator'!J:J,MATCH('Isaac 401k'!N4693,'Retirement Calculator'!A:A,0),0),0)</f>
        <v>0</v>
      </c>
      <c r="K4693" s="455">
        <f t="shared" ca="1" si="191"/>
        <v>-202159121356.32135</v>
      </c>
      <c r="L4693" s="455">
        <f t="shared" ca="1" si="192"/>
        <v>-48720348246873.445</v>
      </c>
      <c r="M4693" s="471">
        <f t="shared" si="194"/>
        <v>0.05</v>
      </c>
      <c r="N4693" s="475">
        <f t="shared" si="195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93"/>
        <v>-48720348246873.445</v>
      </c>
      <c r="J4694" s="455">
        <f t="array" ref="J4694">IFERROR(INDEX('Retirement Calculator'!J:J,MATCH('Isaac 401k'!N4694,'Retirement Calculator'!A:A,0),0),0)</f>
        <v>0</v>
      </c>
      <c r="K4694" s="455">
        <f t="shared" ca="1" si="191"/>
        <v>-203001451028.63934</v>
      </c>
      <c r="L4694" s="455">
        <f t="shared" ca="1" si="192"/>
        <v>-48923349697902.086</v>
      </c>
      <c r="M4694" s="471">
        <f t="shared" si="194"/>
        <v>0.05</v>
      </c>
      <c r="N4694" s="475">
        <f t="shared" si="195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93"/>
        <v>-48923349697902.086</v>
      </c>
      <c r="J4695" s="455">
        <f t="array" ref="J4695">IFERROR(INDEX('Retirement Calculator'!J:J,MATCH('Isaac 401k'!N4695,'Retirement Calculator'!A:A,0),0),0)</f>
        <v>0</v>
      </c>
      <c r="K4695" s="455">
        <f t="shared" ca="1" si="191"/>
        <v>-203847290407.92535</v>
      </c>
      <c r="L4695" s="455">
        <f t="shared" ca="1" si="192"/>
        <v>-49127196988310.008</v>
      </c>
      <c r="M4695" s="471">
        <f t="shared" si="194"/>
        <v>0.05</v>
      </c>
      <c r="N4695" s="475">
        <f t="shared" si="195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93"/>
        <v>-49127196988310.008</v>
      </c>
      <c r="J4696" s="455">
        <f t="array" ref="J4696">IFERROR(INDEX('Retirement Calculator'!J:J,MATCH('Isaac 401k'!N4696,'Retirement Calculator'!A:A,0),0),0)</f>
        <v>0</v>
      </c>
      <c r="K4696" s="455">
        <f t="shared" ca="1" si="191"/>
        <v>-204696654117.95837</v>
      </c>
      <c r="L4696" s="455">
        <f t="shared" ca="1" si="192"/>
        <v>-49331893642427.969</v>
      </c>
      <c r="M4696" s="471">
        <f t="shared" si="194"/>
        <v>0.05</v>
      </c>
      <c r="N4696" s="475">
        <f t="shared" si="195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93"/>
        <v>-49331893642427.969</v>
      </c>
      <c r="J4697" s="455">
        <f t="array" ref="J4697">IFERROR(INDEX('Retirement Calculator'!J:J,MATCH('Isaac 401k'!N4697,'Retirement Calculator'!A:A,0),0),0)</f>
        <v>0</v>
      </c>
      <c r="K4697" s="455">
        <f t="shared" ca="1" si="191"/>
        <v>-205549556843.44986</v>
      </c>
      <c r="L4697" s="455">
        <f t="shared" ca="1" si="192"/>
        <v>-49537443199271.422</v>
      </c>
      <c r="M4697" s="471">
        <f t="shared" si="194"/>
        <v>0.05</v>
      </c>
      <c r="N4697" s="475">
        <f t="shared" si="195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93"/>
        <v>-49537443199271.422</v>
      </c>
      <c r="J4698" s="455">
        <f t="array" ref="J4698">IFERROR(INDEX('Retirement Calculator'!J:J,MATCH('Isaac 401k'!N4698,'Retirement Calculator'!A:A,0),0),0)</f>
        <v>0</v>
      </c>
      <c r="K4698" s="455">
        <f t="shared" ca="1" si="191"/>
        <v>-206406013330.29758</v>
      </c>
      <c r="L4698" s="455">
        <f t="shared" ca="1" si="192"/>
        <v>-49743849212601.719</v>
      </c>
      <c r="M4698" s="471">
        <f t="shared" si="194"/>
        <v>0.05</v>
      </c>
      <c r="N4698" s="475">
        <f t="shared" si="195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93"/>
        <v>-49743849212601.719</v>
      </c>
      <c r="J4699" s="455">
        <f t="array" ref="J4699">IFERROR(INDEX('Retirement Calculator'!J:J,MATCH('Isaac 401k'!N4699,'Retirement Calculator'!A:A,0),0),0)</f>
        <v>0</v>
      </c>
      <c r="K4699" s="455">
        <f t="shared" ca="1" si="191"/>
        <v>-207266038385.84048</v>
      </c>
      <c r="L4699" s="455">
        <f t="shared" ca="1" si="192"/>
        <v>-49951115250987.563</v>
      </c>
      <c r="M4699" s="471">
        <f t="shared" si="194"/>
        <v>0.05</v>
      </c>
      <c r="N4699" s="475">
        <f t="shared" si="195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93"/>
        <v>-49951115250987.563</v>
      </c>
      <c r="J4700" s="455">
        <f t="array" ref="J4700">IFERROR(INDEX('Retirement Calculator'!J:J,MATCH('Isaac 401k'!N4700,'Retirement Calculator'!A:A,0),0),0)</f>
        <v>0</v>
      </c>
      <c r="K4700" s="455">
        <f t="shared" ca="1" si="191"/>
        <v>-208129646879.11484</v>
      </c>
      <c r="L4700" s="455">
        <f t="shared" ca="1" si="192"/>
        <v>-50159244897866.68</v>
      </c>
      <c r="M4700" s="471">
        <f t="shared" si="194"/>
        <v>0.05</v>
      </c>
      <c r="N4700" s="475">
        <f t="shared" si="195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93"/>
        <v>-50159244897866.68</v>
      </c>
      <c r="J4701" s="455">
        <f t="array" ref="J4701">IFERROR(INDEX('Retirement Calculator'!J:J,MATCH('Isaac 401k'!N4701,'Retirement Calculator'!A:A,0),0),0)</f>
        <v>0</v>
      </c>
      <c r="K4701" s="455">
        <f t="shared" ca="1" si="191"/>
        <v>-208996853741.11118</v>
      </c>
      <c r="L4701" s="455">
        <f t="shared" ca="1" si="192"/>
        <v>-50368241751607.789</v>
      </c>
      <c r="M4701" s="471">
        <f t="shared" si="194"/>
        <v>0.05</v>
      </c>
      <c r="N4701" s="475">
        <f t="shared" si="195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93"/>
        <v>-50368241751607.789</v>
      </c>
      <c r="J4702" s="455">
        <f t="array" ref="J4702">IFERROR(INDEX('Retirement Calculator'!J:J,MATCH('Isaac 401k'!N4702,'Retirement Calculator'!A:A,0),0),0)</f>
        <v>0</v>
      </c>
      <c r="K4702" s="455">
        <f t="shared" ca="1" si="191"/>
        <v>-209867673965.03244</v>
      </c>
      <c r="L4702" s="455">
        <f t="shared" ca="1" si="192"/>
        <v>-50578109425572.82</v>
      </c>
      <c r="M4702" s="471">
        <f t="shared" si="194"/>
        <v>0.05</v>
      </c>
      <c r="N4702" s="475">
        <f t="shared" si="195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93"/>
        <v>-50578109425572.82</v>
      </c>
      <c r="J4703" s="455">
        <f t="array" ref="J4703">IFERROR(INDEX('Retirement Calculator'!J:J,MATCH('Isaac 401k'!N4703,'Retirement Calculator'!A:A,0),0),0)</f>
        <v>0</v>
      </c>
      <c r="K4703" s="455">
        <f t="shared" ca="1" si="191"/>
        <v>-210742122606.55341</v>
      </c>
      <c r="L4703" s="455">
        <f t="shared" ca="1" si="192"/>
        <v>-50788851548179.375</v>
      </c>
      <c r="M4703" s="471">
        <f t="shared" si="194"/>
        <v>0.05</v>
      </c>
      <c r="N4703" s="475">
        <f t="shared" si="195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93"/>
        <v>-50788851548179.375</v>
      </c>
      <c r="J4704" s="455">
        <f t="array" ref="J4704">IFERROR(INDEX('Retirement Calculator'!J:J,MATCH('Isaac 401k'!N4704,'Retirement Calculator'!A:A,0),0),0)</f>
        <v>0</v>
      </c>
      <c r="K4704" s="455">
        <f t="shared" ca="1" si="191"/>
        <v>-211620214784.08072</v>
      </c>
      <c r="L4704" s="455">
        <f t="shared" ca="1" si="192"/>
        <v>-51000471762963.453</v>
      </c>
      <c r="M4704" s="471">
        <f t="shared" si="194"/>
        <v>0.05</v>
      </c>
      <c r="N4704" s="475">
        <f t="shared" si="195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93"/>
        <v>-51000471762963.453</v>
      </c>
      <c r="J4705" s="455">
        <f t="array" ref="J4705">IFERROR(INDEX('Retirement Calculator'!J:J,MATCH('Isaac 401k'!N4705,'Retirement Calculator'!A:A,0),0),0)</f>
        <v>0</v>
      </c>
      <c r="K4705" s="455">
        <f t="shared" ca="1" si="191"/>
        <v>-212501965679.01437</v>
      </c>
      <c r="L4705" s="455">
        <f t="shared" ca="1" si="192"/>
        <v>-51212973728642.469</v>
      </c>
      <c r="M4705" s="471">
        <f t="shared" si="194"/>
        <v>0.05</v>
      </c>
      <c r="N4705" s="475">
        <f t="shared" si="195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93"/>
        <v>-51212973728642.469</v>
      </c>
      <c r="J4706" s="455">
        <f t="array" ref="J4706">IFERROR(INDEX('Retirement Calculator'!J:J,MATCH('Isaac 401k'!N4706,'Retirement Calculator'!A:A,0),0),0)</f>
        <v>0</v>
      </c>
      <c r="K4706" s="455">
        <f t="shared" ca="1" si="191"/>
        <v>-213387390536.01028</v>
      </c>
      <c r="L4706" s="455">
        <f t="shared" ca="1" si="192"/>
        <v>-51426361119178.477</v>
      </c>
      <c r="M4706" s="471">
        <f t="shared" si="194"/>
        <v>0.05</v>
      </c>
      <c r="N4706" s="475">
        <f t="shared" si="195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93"/>
        <v>-51426361119178.477</v>
      </c>
      <c r="J4707" s="455">
        <f t="array" ref="J4707">IFERROR(INDEX('Retirement Calculator'!J:J,MATCH('Isaac 401k'!N4707,'Retirement Calculator'!A:A,0),0),0)</f>
        <v>0</v>
      </c>
      <c r="K4707" s="455">
        <f t="shared" ca="1" si="191"/>
        <v>-214276504663.24365</v>
      </c>
      <c r="L4707" s="455">
        <f t="shared" ca="1" si="192"/>
        <v>-51640637623841.719</v>
      </c>
      <c r="M4707" s="471">
        <f t="shared" si="194"/>
        <v>0.05</v>
      </c>
      <c r="N4707" s="475">
        <f t="shared" si="195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93"/>
        <v>-51640637623841.719</v>
      </c>
      <c r="J4708" s="455">
        <f t="array" ref="J4708">IFERROR(INDEX('Retirement Calculator'!J:J,MATCH('Isaac 401k'!N4708,'Retirement Calculator'!A:A,0),0),0)</f>
        <v>0</v>
      </c>
      <c r="K4708" s="455">
        <f t="shared" ca="1" si="191"/>
        <v>-215169323432.67383</v>
      </c>
      <c r="L4708" s="455">
        <f t="shared" ca="1" si="192"/>
        <v>-51855806947274.391</v>
      </c>
      <c r="M4708" s="471">
        <f t="shared" si="194"/>
        <v>0.05</v>
      </c>
      <c r="N4708" s="475">
        <f t="shared" si="195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93"/>
        <v>-51855806947274.391</v>
      </c>
      <c r="J4709" s="455">
        <f t="array" ref="J4709">IFERROR(INDEX('Retirement Calculator'!J:J,MATCH('Isaac 401k'!N4709,'Retirement Calculator'!A:A,0),0),0)</f>
        <v>0</v>
      </c>
      <c r="K4709" s="455">
        <f t="shared" ca="1" si="191"/>
        <v>-216065862280.30997</v>
      </c>
      <c r="L4709" s="455">
        <f t="shared" ca="1" si="192"/>
        <v>-52071872809554.703</v>
      </c>
      <c r="M4709" s="471">
        <f t="shared" si="194"/>
        <v>0.05</v>
      </c>
      <c r="N4709" s="475">
        <f t="shared" si="195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93"/>
        <v>-52071872809554.703</v>
      </c>
      <c r="J4710" s="455">
        <f t="array" ref="J4710">IFERROR(INDEX('Retirement Calculator'!J:J,MATCH('Isaac 401k'!N4710,'Retirement Calculator'!A:A,0),0),0)</f>
        <v>0</v>
      </c>
      <c r="K4710" s="455">
        <f t="shared" ca="1" si="191"/>
        <v>-216966136706.47794</v>
      </c>
      <c r="L4710" s="455">
        <f t="shared" ca="1" si="192"/>
        <v>-52288838946261.18</v>
      </c>
      <c r="M4710" s="471">
        <f t="shared" si="194"/>
        <v>0.05</v>
      </c>
      <c r="N4710" s="475">
        <f t="shared" si="195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93"/>
        <v>-52288838946261.18</v>
      </c>
      <c r="J4711" s="455">
        <f t="array" ref="J4711">IFERROR(INDEX('Retirement Calculator'!J:J,MATCH('Isaac 401k'!N4711,'Retirement Calculator'!A:A,0),0),0)</f>
        <v>0</v>
      </c>
      <c r="K4711" s="455">
        <f t="shared" ca="1" si="191"/>
        <v>-217870162276.08826</v>
      </c>
      <c r="L4711" s="455">
        <f t="shared" ca="1" si="192"/>
        <v>-52506709108537.266</v>
      </c>
      <c r="M4711" s="471">
        <f t="shared" si="194"/>
        <v>0.05</v>
      </c>
      <c r="N4711" s="475">
        <f t="shared" si="195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93"/>
        <v>-52506709108537.266</v>
      </c>
      <c r="J4712" s="455">
        <f t="array" ref="J4712">IFERROR(INDEX('Retirement Calculator'!J:J,MATCH('Isaac 401k'!N4712,'Retirement Calculator'!A:A,0),0),0)</f>
        <v>0</v>
      </c>
      <c r="K4712" s="455">
        <f t="shared" ca="1" si="191"/>
        <v>-218777954618.90527</v>
      </c>
      <c r="L4712" s="455">
        <f t="shared" ca="1" si="192"/>
        <v>-52725487063156.172</v>
      </c>
      <c r="M4712" s="471">
        <f t="shared" si="194"/>
        <v>0.05</v>
      </c>
      <c r="N4712" s="475">
        <f t="shared" si="195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93"/>
        <v>-52725487063156.172</v>
      </c>
      <c r="J4713" s="455">
        <f t="array" ref="J4713">IFERROR(INDEX('Retirement Calculator'!J:J,MATCH('Isaac 401k'!N4713,'Retirement Calculator'!A:A,0),0),0)</f>
        <v>0</v>
      </c>
      <c r="K4713" s="455">
        <f t="shared" ca="1" si="191"/>
        <v>-219689529429.81738</v>
      </c>
      <c r="L4713" s="455">
        <f t="shared" ca="1" si="192"/>
        <v>-52945176592585.992</v>
      </c>
      <c r="M4713" s="471">
        <f t="shared" si="194"/>
        <v>0.05</v>
      </c>
      <c r="N4713" s="475">
        <f t="shared" si="195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93"/>
        <v>-52945176592585.992</v>
      </c>
      <c r="J4714" s="455">
        <f t="array" ref="J4714">IFERROR(INDEX('Retirement Calculator'!J:J,MATCH('Isaac 401k'!N4714,'Retirement Calculator'!A:A,0),0),0)</f>
        <v>0</v>
      </c>
      <c r="K4714" s="455">
        <f t="shared" ca="1" si="191"/>
        <v>-220604902469.10831</v>
      </c>
      <c r="L4714" s="455">
        <f t="shared" ca="1" si="192"/>
        <v>-53165781495055.102</v>
      </c>
      <c r="M4714" s="471">
        <f t="shared" si="194"/>
        <v>0.05</v>
      </c>
      <c r="N4714" s="475">
        <f t="shared" si="195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93"/>
        <v>-53165781495055.102</v>
      </c>
      <c r="J4715" s="455">
        <f t="array" ref="J4715">IFERROR(INDEX('Retirement Calculator'!J:J,MATCH('Isaac 401k'!N4715,'Retirement Calculator'!A:A,0),0),0)</f>
        <v>0</v>
      </c>
      <c r="K4715" s="455">
        <f t="shared" ca="1" si="191"/>
        <v>-221524089562.72958</v>
      </c>
      <c r="L4715" s="455">
        <f t="shared" ca="1" si="192"/>
        <v>-53387305584617.828</v>
      </c>
      <c r="M4715" s="471">
        <f t="shared" si="194"/>
        <v>0.05</v>
      </c>
      <c r="N4715" s="475">
        <f t="shared" si="195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93"/>
        <v>-53387305584617.828</v>
      </c>
      <c r="J4716" s="455">
        <f t="array" ref="J4716">IFERROR(INDEX('Retirement Calculator'!J:J,MATCH('Isaac 401k'!N4716,'Retirement Calculator'!A:A,0),0),0)</f>
        <v>0</v>
      </c>
      <c r="K4716" s="455">
        <f t="shared" ca="1" si="191"/>
        <v>-222447106602.57428</v>
      </c>
      <c r="L4716" s="455">
        <f t="shared" ca="1" si="192"/>
        <v>-53609752691220.406</v>
      </c>
      <c r="M4716" s="471">
        <f t="shared" si="194"/>
        <v>0.05</v>
      </c>
      <c r="N4716" s="475">
        <f t="shared" si="195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93"/>
        <v>-53609752691220.406</v>
      </c>
      <c r="J4717" s="455">
        <f t="array" ref="J4717">IFERROR(INDEX('Retirement Calculator'!J:J,MATCH('Isaac 401k'!N4717,'Retirement Calculator'!A:A,0),0),0)</f>
        <v>0</v>
      </c>
      <c r="K4717" s="455">
        <f t="shared" ca="1" si="191"/>
        <v>-223373969546.75168</v>
      </c>
      <c r="L4717" s="455">
        <f t="shared" ca="1" si="192"/>
        <v>-53833126660767.156</v>
      </c>
      <c r="M4717" s="471">
        <f t="shared" si="194"/>
        <v>0.05</v>
      </c>
      <c r="N4717" s="475">
        <f t="shared" si="195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93"/>
        <v>-53833126660767.156</v>
      </c>
      <c r="J4718" s="455">
        <f t="array" ref="J4718">IFERROR(INDEX('Retirement Calculator'!J:J,MATCH('Isaac 401k'!N4718,'Retirement Calculator'!A:A,0),0),0)</f>
        <v>0</v>
      </c>
      <c r="K4718" s="455">
        <f t="shared" ca="1" si="191"/>
        <v>-224304694419.86316</v>
      </c>
      <c r="L4718" s="455">
        <f t="shared" ca="1" si="192"/>
        <v>-54057431355187.016</v>
      </c>
      <c r="M4718" s="471">
        <f t="shared" si="194"/>
        <v>0.05</v>
      </c>
      <c r="N4718" s="475">
        <f t="shared" si="195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93"/>
        <v>-54057431355187.016</v>
      </c>
      <c r="J4719" s="455">
        <f t="array" ref="J4719">IFERROR(INDEX('Retirement Calculator'!J:J,MATCH('Isaac 401k'!N4719,'Retirement Calculator'!A:A,0),0),0)</f>
        <v>0</v>
      </c>
      <c r="K4719" s="455">
        <f t="shared" ca="1" si="191"/>
        <v>-225239297313.27924</v>
      </c>
      <c r="L4719" s="455">
        <f t="shared" ca="1" si="192"/>
        <v>-54282670652500.297</v>
      </c>
      <c r="M4719" s="471">
        <f t="shared" si="194"/>
        <v>0.05</v>
      </c>
      <c r="N4719" s="475">
        <f t="shared" si="195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93"/>
        <v>-54282670652500.297</v>
      </c>
      <c r="J4720" s="455">
        <f t="array" ref="J4720">IFERROR(INDEX('Retirement Calculator'!J:J,MATCH('Isaac 401k'!N4720,'Retirement Calculator'!A:A,0),0),0)</f>
        <v>0</v>
      </c>
      <c r="K4720" s="455">
        <f t="shared" ca="1" si="191"/>
        <v>-226177794385.41791</v>
      </c>
      <c r="L4720" s="455">
        <f t="shared" ca="1" si="192"/>
        <v>-54508848446885.711</v>
      </c>
      <c r="M4720" s="471">
        <f t="shared" si="194"/>
        <v>0.05</v>
      </c>
      <c r="N4720" s="475">
        <f t="shared" si="195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93"/>
        <v>-54508848446885.711</v>
      </c>
      <c r="J4721" s="455">
        <f t="array" ref="J4721">IFERROR(INDEX('Retirement Calculator'!J:J,MATCH('Isaac 401k'!N4721,'Retirement Calculator'!A:A,0),0),0)</f>
        <v>0</v>
      </c>
      <c r="K4721" s="455">
        <f t="shared" ca="1" si="191"/>
        <v>-227120201862.0238</v>
      </c>
      <c r="L4721" s="455">
        <f t="shared" ca="1" si="192"/>
        <v>-54735968648747.734</v>
      </c>
      <c r="M4721" s="471">
        <f t="shared" si="194"/>
        <v>0.05</v>
      </c>
      <c r="N4721" s="475">
        <f t="shared" si="195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93"/>
        <v>-54735968648747.734</v>
      </c>
      <c r="J4722" s="455">
        <f t="array" ref="J4722">IFERROR(INDEX('Retirement Calculator'!J:J,MATCH('Isaac 401k'!N4722,'Retirement Calculator'!A:A,0),0),0)</f>
        <v>0</v>
      </c>
      <c r="K4722" s="455">
        <f t="shared" ca="1" si="191"/>
        <v>-228066536036.44888</v>
      </c>
      <c r="L4722" s="455">
        <f t="shared" ca="1" si="192"/>
        <v>-54964035184784.18</v>
      </c>
      <c r="M4722" s="471">
        <f t="shared" si="194"/>
        <v>0.05</v>
      </c>
      <c r="N4722" s="475">
        <f t="shared" si="195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93"/>
        <v>-54964035184784.18</v>
      </c>
      <c r="J4723" s="455">
        <f t="array" ref="J4723">IFERROR(INDEX('Retirement Calculator'!J:J,MATCH('Isaac 401k'!N4723,'Retirement Calculator'!A:A,0),0),0)</f>
        <v>0</v>
      </c>
      <c r="K4723" s="455">
        <f t="shared" ca="1" si="191"/>
        <v>-229016813269.93408</v>
      </c>
      <c r="L4723" s="455">
        <f t="shared" ca="1" si="192"/>
        <v>-55193051998054.117</v>
      </c>
      <c r="M4723" s="471">
        <f t="shared" si="194"/>
        <v>0.05</v>
      </c>
      <c r="N4723" s="475">
        <f t="shared" si="195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93"/>
        <v>-55193051998054.117</v>
      </c>
      <c r="J4724" s="455">
        <f t="array" ref="J4724">IFERROR(INDEX('Retirement Calculator'!J:J,MATCH('Isaac 401k'!N4724,'Retirement Calculator'!A:A,0),0),0)</f>
        <v>0</v>
      </c>
      <c r="K4724" s="455">
        <f t="shared" ca="1" si="191"/>
        <v>-229971049991.89218</v>
      </c>
      <c r="L4724" s="455">
        <f t="shared" ca="1" si="192"/>
        <v>-55423023048046.008</v>
      </c>
      <c r="M4724" s="471">
        <f t="shared" si="194"/>
        <v>0.05</v>
      </c>
      <c r="N4724" s="475">
        <f t="shared" si="195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93"/>
        <v>-55423023048046.008</v>
      </c>
      <c r="J4725" s="455">
        <f t="array" ref="J4725">IFERROR(INDEX('Retirement Calculator'!J:J,MATCH('Isaac 401k'!N4725,'Retirement Calculator'!A:A,0),0),0)</f>
        <v>0</v>
      </c>
      <c r="K4725" s="455">
        <f t="shared" ca="1" si="191"/>
        <v>-230929262700.19168</v>
      </c>
      <c r="L4725" s="455">
        <f t="shared" ca="1" si="192"/>
        <v>-55653952310746.203</v>
      </c>
      <c r="M4725" s="471">
        <f t="shared" si="194"/>
        <v>0.05</v>
      </c>
      <c r="N4725" s="475">
        <f t="shared" si="195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93"/>
        <v>-55653952310746.203</v>
      </c>
      <c r="J4726" s="455">
        <f t="array" ref="J4726">IFERROR(INDEX('Retirement Calculator'!J:J,MATCH('Isaac 401k'!N4726,'Retirement Calculator'!A:A,0),0),0)</f>
        <v>0</v>
      </c>
      <c r="K4726" s="455">
        <f t="shared" ca="1" si="191"/>
        <v>-231891467961.4425</v>
      </c>
      <c r="L4726" s="455">
        <f t="shared" ca="1" si="192"/>
        <v>-55885843778707.648</v>
      </c>
      <c r="M4726" s="471">
        <f t="shared" si="194"/>
        <v>0.05</v>
      </c>
      <c r="N4726" s="475">
        <f t="shared" si="195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93"/>
        <v>-55885843778707.648</v>
      </c>
      <c r="J4727" s="455">
        <f t="array" ref="J4727">IFERROR(INDEX('Retirement Calculator'!J:J,MATCH('Isaac 401k'!N4727,'Retirement Calculator'!A:A,0),0),0)</f>
        <v>0</v>
      </c>
      <c r="K4727" s="455">
        <f t="shared" ca="1" si="191"/>
        <v>-232857682411.28189</v>
      </c>
      <c r="L4727" s="455">
        <f t="shared" ca="1" si="192"/>
        <v>-56118701461118.93</v>
      </c>
      <c r="M4727" s="471">
        <f t="shared" si="194"/>
        <v>0.05</v>
      </c>
      <c r="N4727" s="475">
        <f t="shared" si="195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93"/>
        <v>-56118701461118.93</v>
      </c>
      <c r="J4728" s="455">
        <f t="array" ref="J4728">IFERROR(INDEX('Retirement Calculator'!J:J,MATCH('Isaac 401k'!N4728,'Retirement Calculator'!A:A,0),0),0)</f>
        <v>0</v>
      </c>
      <c r="K4728" s="455">
        <f t="shared" ca="1" si="191"/>
        <v>-233827922754.6622</v>
      </c>
      <c r="L4728" s="455">
        <f t="shared" ca="1" si="192"/>
        <v>-56352529383873.594</v>
      </c>
      <c r="M4728" s="471">
        <f t="shared" si="194"/>
        <v>0.05</v>
      </c>
      <c r="N4728" s="475">
        <f t="shared" si="195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93"/>
        <v>-56352529383873.594</v>
      </c>
      <c r="J4729" s="455">
        <f t="array" ref="J4729">IFERROR(INDEX('Retirement Calculator'!J:J,MATCH('Isaac 401k'!N4729,'Retirement Calculator'!A:A,0),0),0)</f>
        <v>0</v>
      </c>
      <c r="K4729" s="455">
        <f t="shared" ca="1" si="191"/>
        <v>-234802205766.13998</v>
      </c>
      <c r="L4729" s="455">
        <f t="shared" ca="1" si="192"/>
        <v>-56587331589639.734</v>
      </c>
      <c r="M4729" s="471">
        <f t="shared" si="194"/>
        <v>0.05</v>
      </c>
      <c r="N4729" s="475">
        <f t="shared" si="195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93"/>
        <v>-56587331589639.734</v>
      </c>
      <c r="J4730" s="455">
        <f t="array" ref="J4730">IFERROR(INDEX('Retirement Calculator'!J:J,MATCH('Isaac 401k'!N4730,'Retirement Calculator'!A:A,0),0),0)</f>
        <v>0</v>
      </c>
      <c r="K4730" s="455">
        <f t="shared" ca="1" si="191"/>
        <v>-235780548290.16556</v>
      </c>
      <c r="L4730" s="455">
        <f t="shared" ca="1" si="192"/>
        <v>-56823112137929.898</v>
      </c>
      <c r="M4730" s="471">
        <f t="shared" si="194"/>
        <v>0.05</v>
      </c>
      <c r="N4730" s="475">
        <f t="shared" si="195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93"/>
        <v>-56823112137929.898</v>
      </c>
      <c r="J4731" s="455">
        <f t="array" ref="J4731">IFERROR(INDEX('Retirement Calculator'!J:J,MATCH('Isaac 401k'!N4731,'Retirement Calculator'!A:A,0),0),0)</f>
        <v>0</v>
      </c>
      <c r="K4731" s="455">
        <f t="shared" ca="1" si="191"/>
        <v>-236762967241.37457</v>
      </c>
      <c r="L4731" s="455">
        <f t="shared" ca="1" si="192"/>
        <v>-57059875105171.273</v>
      </c>
      <c r="M4731" s="471">
        <f t="shared" si="194"/>
        <v>0.05</v>
      </c>
      <c r="N4731" s="475">
        <f t="shared" si="195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93"/>
        <v>-57059875105171.273</v>
      </c>
      <c r="J4732" s="455">
        <f t="array" ref="J4732">IFERROR(INDEX('Retirement Calculator'!J:J,MATCH('Isaac 401k'!N4732,'Retirement Calculator'!A:A,0),0),0)</f>
        <v>0</v>
      </c>
      <c r="K4732" s="455">
        <f t="shared" ca="1" si="191"/>
        <v>-237749479604.88028</v>
      </c>
      <c r="L4732" s="455">
        <f t="shared" ca="1" si="192"/>
        <v>-57297624584776.156</v>
      </c>
      <c r="M4732" s="471">
        <f t="shared" si="194"/>
        <v>0.05</v>
      </c>
      <c r="N4732" s="475">
        <f t="shared" si="195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93"/>
        <v>-57297624584776.156</v>
      </c>
      <c r="J4733" s="455">
        <f t="array" ref="J4733">IFERROR(INDEX('Retirement Calculator'!J:J,MATCH('Isaac 401k'!N4733,'Retirement Calculator'!A:A,0),0),0)</f>
        <v>0</v>
      </c>
      <c r="K4733" s="455">
        <f t="shared" ca="1" si="191"/>
        <v>-238740102436.56732</v>
      </c>
      <c r="L4733" s="455">
        <f t="shared" ca="1" si="192"/>
        <v>-57536364687212.727</v>
      </c>
      <c r="M4733" s="471">
        <f t="shared" si="194"/>
        <v>0.05</v>
      </c>
      <c r="N4733" s="475">
        <f t="shared" si="195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93"/>
        <v>-57536364687212.727</v>
      </c>
      <c r="J4734" s="455">
        <f t="array" ref="J4734">IFERROR(INDEX('Retirement Calculator'!J:J,MATCH('Isaac 401k'!N4734,'Retirement Calculator'!A:A,0),0),0)</f>
        <v>0</v>
      </c>
      <c r="K4734" s="455">
        <f t="shared" ca="1" si="191"/>
        <v>-239734852863.38635</v>
      </c>
      <c r="L4734" s="455">
        <f t="shared" ca="1" si="192"/>
        <v>-57776099540076.109</v>
      </c>
      <c r="M4734" s="471">
        <f t="shared" si="194"/>
        <v>0.05</v>
      </c>
      <c r="N4734" s="475">
        <f t="shared" si="195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93"/>
        <v>-57776099540076.109</v>
      </c>
      <c r="J4735" s="455">
        <f t="array" ref="J4735">IFERROR(INDEX('Retirement Calculator'!J:J,MATCH('Isaac 401k'!N4735,'Retirement Calculator'!A:A,0),0),0)</f>
        <v>0</v>
      </c>
      <c r="K4735" s="455">
        <f t="shared" ca="1" si="191"/>
        <v>-240733748083.65042</v>
      </c>
      <c r="L4735" s="455">
        <f t="shared" ca="1" si="192"/>
        <v>-58016833288159.758</v>
      </c>
      <c r="M4735" s="471">
        <f t="shared" si="194"/>
        <v>0.05</v>
      </c>
      <c r="N4735" s="475">
        <f t="shared" si="195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93"/>
        <v>-58016833288159.758</v>
      </c>
      <c r="J4736" s="455">
        <f t="array" ref="J4736">IFERROR(INDEX('Retirement Calculator'!J:J,MATCH('Isaac 401k'!N4736,'Retirement Calculator'!A:A,0),0),0)</f>
        <v>0</v>
      </c>
      <c r="K4736" s="455">
        <f t="shared" ca="1" si="191"/>
        <v>-241736805367.33231</v>
      </c>
      <c r="L4736" s="455">
        <f t="shared" ca="1" si="192"/>
        <v>-58258570093527.094</v>
      </c>
      <c r="M4736" s="471">
        <f t="shared" si="194"/>
        <v>0.05</v>
      </c>
      <c r="N4736" s="475">
        <f t="shared" si="195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93"/>
        <v>-58258570093527.094</v>
      </c>
      <c r="J4737" s="455">
        <f t="array" ref="J4737">IFERROR(INDEX('Retirement Calculator'!J:J,MATCH('Isaac 401k'!N4737,'Retirement Calculator'!A:A,0),0),0)</f>
        <v>0</v>
      </c>
      <c r="K4737" s="455">
        <f t="shared" ca="1" si="191"/>
        <v>-242744042056.36288</v>
      </c>
      <c r="L4737" s="455">
        <f t="shared" ca="1" si="192"/>
        <v>-58501314135583.453</v>
      </c>
      <c r="M4737" s="471">
        <f t="shared" si="194"/>
        <v>0.05</v>
      </c>
      <c r="N4737" s="475">
        <f t="shared" si="195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93"/>
        <v>-58501314135583.453</v>
      </c>
      <c r="J4738" s="455">
        <f t="array" ref="J4738">IFERROR(INDEX('Retirement Calculator'!J:J,MATCH('Isaac 401k'!N4738,'Retirement Calculator'!A:A,0),0),0)</f>
        <v>0</v>
      </c>
      <c r="K4738" s="455">
        <f t="shared" ca="1" si="191"/>
        <v>-243755475564.93106</v>
      </c>
      <c r="L4738" s="455">
        <f t="shared" ca="1" si="192"/>
        <v>-58745069611148.383</v>
      </c>
      <c r="M4738" s="471">
        <f t="shared" si="194"/>
        <v>0.05</v>
      </c>
      <c r="N4738" s="475">
        <f t="shared" si="195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93"/>
        <v>-58745069611148.383</v>
      </c>
      <c r="J4739" s="455">
        <f t="array" ref="J4739">IFERROR(INDEX('Retirement Calculator'!J:J,MATCH('Isaac 401k'!N4739,'Retirement Calculator'!A:A,0),0),0)</f>
        <v>0</v>
      </c>
      <c r="K4739" s="455">
        <f t="shared" ca="1" si="191"/>
        <v>-244771123379.78491</v>
      </c>
      <c r="L4739" s="455">
        <f t="shared" ca="1" si="192"/>
        <v>-58989840734528.164</v>
      </c>
      <c r="M4739" s="471">
        <f t="shared" si="194"/>
        <v>0.05</v>
      </c>
      <c r="N4739" s="475">
        <f t="shared" si="195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93"/>
        <v>-58989840734528.164</v>
      </c>
      <c r="J4740" s="455">
        <f t="array" ref="J4740">IFERROR(INDEX('Retirement Calculator'!J:J,MATCH('Isaac 401k'!N4740,'Retirement Calculator'!A:A,0),0),0)</f>
        <v>0</v>
      </c>
      <c r="K4740" s="455">
        <f t="shared" ca="1" si="191"/>
        <v>-245791003060.53397</v>
      </c>
      <c r="L4740" s="455">
        <f t="shared" ca="1" si="192"/>
        <v>-59235631737588.695</v>
      </c>
      <c r="M4740" s="471">
        <f t="shared" si="194"/>
        <v>0.05</v>
      </c>
      <c r="N4740" s="475">
        <f t="shared" si="195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93"/>
        <v>-59235631737588.695</v>
      </c>
      <c r="J4741" s="455">
        <f t="array" ref="J4741">IFERROR(INDEX('Retirement Calculator'!J:J,MATCH('Isaac 401k'!N4741,'Retirement Calculator'!A:A,0),0),0)</f>
        <v>0</v>
      </c>
      <c r="K4741" s="455">
        <f t="shared" ca="1" si="191"/>
        <v>-246815132239.95288</v>
      </c>
      <c r="L4741" s="455">
        <f t="shared" ca="1" si="192"/>
        <v>-59482446869828.648</v>
      </c>
      <c r="M4741" s="471">
        <f t="shared" si="194"/>
        <v>0.05</v>
      </c>
      <c r="N4741" s="475">
        <f t="shared" si="195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93"/>
        <v>-59482446869828.648</v>
      </c>
      <c r="J4742" s="455">
        <f t="array" ref="J4742">IFERROR(INDEX('Retirement Calculator'!J:J,MATCH('Isaac 401k'!N4742,'Retirement Calculator'!A:A,0),0),0)</f>
        <v>0</v>
      </c>
      <c r="K4742" s="455">
        <f t="shared" ca="1" si="191"/>
        <v>-247843528624.28604</v>
      </c>
      <c r="L4742" s="455">
        <f t="shared" ca="1" si="192"/>
        <v>-59730290398452.938</v>
      </c>
      <c r="M4742" s="471">
        <f t="shared" si="194"/>
        <v>0.05</v>
      </c>
      <c r="N4742" s="475">
        <f t="shared" si="195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93"/>
        <v>-59730290398452.938</v>
      </c>
      <c r="J4743" s="455">
        <f t="array" ref="J4743">IFERROR(INDEX('Retirement Calculator'!J:J,MATCH('Isaac 401k'!N4743,'Retirement Calculator'!A:A,0),0),0)</f>
        <v>0</v>
      </c>
      <c r="K4743" s="455">
        <f t="shared" ca="1" si="191"/>
        <v>-248876209993.55386</v>
      </c>
      <c r="L4743" s="455">
        <f t="shared" ca="1" si="192"/>
        <v>-59979166608446.492</v>
      </c>
      <c r="M4743" s="471">
        <f t="shared" si="194"/>
        <v>0.05</v>
      </c>
      <c r="N4743" s="475">
        <f t="shared" si="195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93"/>
        <v>-59979166608446.492</v>
      </c>
      <c r="J4744" s="455">
        <f t="array" ref="J4744">IFERROR(INDEX('Retirement Calculator'!J:J,MATCH('Isaac 401k'!N4744,'Retirement Calculator'!A:A,0),0),0)</f>
        <v>0</v>
      </c>
      <c r="K4744" s="455">
        <f t="shared" ca="1" si="191"/>
        <v>-249913194201.86038</v>
      </c>
      <c r="L4744" s="455">
        <f t="shared" ca="1" si="192"/>
        <v>-60229079802648.352</v>
      </c>
      <c r="M4744" s="471">
        <f t="shared" si="194"/>
        <v>0.05</v>
      </c>
      <c r="N4744" s="475">
        <f t="shared" si="195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93"/>
        <v>-60229079802648.352</v>
      </c>
      <c r="J4745" s="455">
        <f t="array" ref="J4745">IFERROR(INDEX('Retirement Calculator'!J:J,MATCH('Isaac 401k'!N4745,'Retirement Calculator'!A:A,0),0),0)</f>
        <v>0</v>
      </c>
      <c r="K4745" s="455">
        <f t="shared" ca="1" si="191"/>
        <v>-250954499177.70145</v>
      </c>
      <c r="L4745" s="455">
        <f t="shared" ca="1" si="192"/>
        <v>-60480034301826.055</v>
      </c>
      <c r="M4745" s="471">
        <f t="shared" si="194"/>
        <v>0.05</v>
      </c>
      <c r="N4745" s="475">
        <f t="shared" si="195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93"/>
        <v>-60480034301826.055</v>
      </c>
      <c r="J4746" s="455">
        <f t="array" ref="J4746">IFERROR(INDEX('Retirement Calculator'!J:J,MATCH('Isaac 401k'!N4746,'Retirement Calculator'!A:A,0),0),0)</f>
        <v>0</v>
      </c>
      <c r="K4746" s="455">
        <f t="shared" ca="1" si="191"/>
        <v>-252000142924.27527</v>
      </c>
      <c r="L4746" s="455">
        <f t="shared" ca="1" si="192"/>
        <v>-60732034444750.328</v>
      </c>
      <c r="M4746" s="471">
        <f t="shared" si="194"/>
        <v>0.05</v>
      </c>
      <c r="N4746" s="475">
        <f t="shared" si="195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93"/>
        <v>-60732034444750.328</v>
      </c>
      <c r="J4747" s="455">
        <f t="array" ref="J4747">IFERROR(INDEX('Retirement Calculator'!J:J,MATCH('Isaac 401k'!N4747,'Retirement Calculator'!A:A,0),0),0)</f>
        <v>0</v>
      </c>
      <c r="K4747" s="455">
        <f t="shared" ca="1" si="191"/>
        <v>-253050143519.79303</v>
      </c>
      <c r="L4747" s="455">
        <f t="shared" ca="1" si="192"/>
        <v>-60985084588270.125</v>
      </c>
      <c r="M4747" s="471">
        <f t="shared" si="194"/>
        <v>0.05</v>
      </c>
      <c r="N4747" s="475">
        <f t="shared" si="195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93"/>
        <v>-60985084588270.125</v>
      </c>
      <c r="J4748" s="455">
        <f t="array" ref="J4748">IFERROR(INDEX('Retirement Calculator'!J:J,MATCH('Isaac 401k'!N4748,'Retirement Calculator'!A:A,0),0),0)</f>
        <v>0</v>
      </c>
      <c r="K4748" s="455">
        <f t="shared" ca="1" si="191"/>
        <v>-254104519117.79221</v>
      </c>
      <c r="L4748" s="455">
        <f t="shared" ca="1" si="192"/>
        <v>-61239189107387.914</v>
      </c>
      <c r="M4748" s="471">
        <f t="shared" si="194"/>
        <v>0.05</v>
      </c>
      <c r="N4748" s="475">
        <f t="shared" si="195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93"/>
        <v>-61239189107387.914</v>
      </c>
      <c r="J4749" s="455">
        <f t="array" ref="J4749">IFERROR(INDEX('Retirement Calculator'!J:J,MATCH('Isaac 401k'!N4749,'Retirement Calculator'!A:A,0),0),0)</f>
        <v>0</v>
      </c>
      <c r="K4749" s="455">
        <f t="shared" ca="1" si="191"/>
        <v>-255163287947.44965</v>
      </c>
      <c r="L4749" s="455">
        <f t="shared" ca="1" si="192"/>
        <v>-61494352395335.367</v>
      </c>
      <c r="M4749" s="471">
        <f t="shared" si="194"/>
        <v>0.05</v>
      </c>
      <c r="N4749" s="475">
        <f t="shared" si="195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93"/>
        <v>-61494352395335.367</v>
      </c>
      <c r="J4750" s="455">
        <f t="array" ref="J4750">IFERROR(INDEX('Retirement Calculator'!J:J,MATCH('Isaac 401k'!N4750,'Retirement Calculator'!A:A,0),0),0)</f>
        <v>0</v>
      </c>
      <c r="K4750" s="455">
        <f t="shared" ca="1" si="191"/>
        <v>-256226468313.89734</v>
      </c>
      <c r="L4750" s="455">
        <f t="shared" ca="1" si="192"/>
        <v>-61750578863649.266</v>
      </c>
      <c r="M4750" s="471">
        <f t="shared" si="194"/>
        <v>0.05</v>
      </c>
      <c r="N4750" s="475">
        <f t="shared" si="195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93"/>
        <v>-61750578863649.266</v>
      </c>
      <c r="J4751" s="455">
        <f t="array" ref="J4751">IFERROR(INDEX('Retirement Calculator'!J:J,MATCH('Isaac 401k'!N4751,'Retirement Calculator'!A:A,0),0),0)</f>
        <v>0</v>
      </c>
      <c r="K4751" s="455">
        <f t="shared" ca="1" si="191"/>
        <v>-257294078598.53857</v>
      </c>
      <c r="L4751" s="455">
        <f t="shared" ca="1" si="192"/>
        <v>-62007872942247.805</v>
      </c>
      <c r="M4751" s="471">
        <f t="shared" si="194"/>
        <v>0.05</v>
      </c>
      <c r="N4751" s="475">
        <f t="shared" si="195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93"/>
        <v>-62007872942247.805</v>
      </c>
      <c r="J4752" s="455">
        <f t="array" ref="J4752">IFERROR(INDEX('Retirement Calculator'!J:J,MATCH('Isaac 401k'!N4752,'Retirement Calculator'!A:A,0),0),0)</f>
        <v>0</v>
      </c>
      <c r="K4752" s="455">
        <f t="shared" ca="1" si="191"/>
        <v>-258366137259.36584</v>
      </c>
      <c r="L4752" s="455">
        <f t="shared" ca="1" si="192"/>
        <v>-62266239079507.172</v>
      </c>
      <c r="M4752" s="471">
        <f t="shared" si="194"/>
        <v>0.05</v>
      </c>
      <c r="N4752" s="475">
        <f t="shared" si="195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93"/>
        <v>-62266239079507.172</v>
      </c>
      <c r="J4753" s="455">
        <f t="array" ref="J4753">IFERROR(INDEX('Retirement Calculator'!J:J,MATCH('Isaac 401k'!N4753,'Retirement Calculator'!A:A,0),0),0)</f>
        <v>0</v>
      </c>
      <c r="K4753" s="455">
        <f t="shared" ca="1" si="191"/>
        <v>-259442662831.27985</v>
      </c>
      <c r="L4753" s="455">
        <f t="shared" ca="1" si="192"/>
        <v>-62525681742338.453</v>
      </c>
      <c r="M4753" s="471">
        <f t="shared" si="194"/>
        <v>0.05</v>
      </c>
      <c r="N4753" s="475">
        <f t="shared" si="195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93"/>
        <v>-62525681742338.453</v>
      </c>
      <c r="J4754" s="455">
        <f t="array" ref="J4754">IFERROR(INDEX('Retirement Calculator'!J:J,MATCH('Isaac 401k'!N4754,'Retirement Calculator'!A:A,0),0),0)</f>
        <v>0</v>
      </c>
      <c r="K4754" s="455">
        <f t="shared" ca="1" si="191"/>
        <v>-260523673926.41025</v>
      </c>
      <c r="L4754" s="455">
        <f t="shared" ca="1" si="192"/>
        <v>-62786205416264.867</v>
      </c>
      <c r="M4754" s="471">
        <f t="shared" si="194"/>
        <v>0.05</v>
      </c>
      <c r="N4754" s="475">
        <f t="shared" si="195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93"/>
        <v>-62786205416264.867</v>
      </c>
      <c r="J4755" s="455">
        <f t="array" ref="J4755">IFERROR(INDEX('Retirement Calculator'!J:J,MATCH('Isaac 401k'!N4755,'Retirement Calculator'!A:A,0),0),0)</f>
        <v>0</v>
      </c>
      <c r="K4755" s="455">
        <f t="shared" ca="1" si="191"/>
        <v>-261609189234.43695</v>
      </c>
      <c r="L4755" s="455">
        <f t="shared" ca="1" si="192"/>
        <v>-63047814605499.305</v>
      </c>
      <c r="M4755" s="471">
        <f t="shared" si="194"/>
        <v>0.05</v>
      </c>
      <c r="N4755" s="475">
        <f t="shared" si="195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93"/>
        <v>-63047814605499.305</v>
      </c>
      <c r="J4756" s="455">
        <f t="array" ref="J4756">IFERROR(INDEX('Retirement Calculator'!J:J,MATCH('Isaac 401k'!N4756,'Retirement Calculator'!A:A,0),0),0)</f>
        <v>0</v>
      </c>
      <c r="K4756" s="455">
        <f t="shared" ca="1" si="191"/>
        <v>-262699227522.91376</v>
      </c>
      <c r="L4756" s="455">
        <f t="shared" ca="1" si="192"/>
        <v>-63310513833022.219</v>
      </c>
      <c r="M4756" s="471">
        <f t="shared" si="194"/>
        <v>0.05</v>
      </c>
      <c r="N4756" s="475">
        <f t="shared" si="195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93"/>
        <v>-63310513833022.219</v>
      </c>
      <c r="J4757" s="455">
        <f t="array" ref="J4757">IFERROR(INDEX('Retirement Calculator'!J:J,MATCH('Isaac 401k'!N4757,'Retirement Calculator'!A:A,0),0),0)</f>
        <v>0</v>
      </c>
      <c r="K4757" s="455">
        <f t="shared" ca="1" si="191"/>
        <v>-263793807637.59256</v>
      </c>
      <c r="L4757" s="455">
        <f t="shared" ca="1" si="192"/>
        <v>-63574307640659.813</v>
      </c>
      <c r="M4757" s="471">
        <f t="shared" si="194"/>
        <v>0.05</v>
      </c>
      <c r="N4757" s="475">
        <f t="shared" si="195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93"/>
        <v>-63574307640659.813</v>
      </c>
      <c r="J4758" s="455">
        <f t="array" ref="J4758">IFERROR(INDEX('Retirement Calculator'!J:J,MATCH('Isaac 401k'!N4758,'Retirement Calculator'!A:A,0),0),0)</f>
        <v>0</v>
      </c>
      <c r="K4758" s="455">
        <f t="shared" ca="1" si="191"/>
        <v>-264892948502.74921</v>
      </c>
      <c r="L4758" s="455">
        <f t="shared" ca="1" si="192"/>
        <v>-63839200589162.563</v>
      </c>
      <c r="M4758" s="471">
        <f t="shared" si="194"/>
        <v>0.05</v>
      </c>
      <c r="N4758" s="475">
        <f t="shared" si="195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93"/>
        <v>-63839200589162.563</v>
      </c>
      <c r="J4759" s="455">
        <f t="array" ref="J4759">IFERROR(INDEX('Retirement Calculator'!J:J,MATCH('Isaac 401k'!N4759,'Retirement Calculator'!A:A,0),0),0)</f>
        <v>0</v>
      </c>
      <c r="K4759" s="455">
        <f t="shared" ca="1" si="191"/>
        <v>-265996669121.51068</v>
      </c>
      <c r="L4759" s="455">
        <f t="shared" ca="1" si="192"/>
        <v>-64105197258284.07</v>
      </c>
      <c r="M4759" s="471">
        <f t="shared" si="194"/>
        <v>0.05</v>
      </c>
      <c r="N4759" s="475">
        <f t="shared" si="195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93"/>
        <v>-64105197258284.07</v>
      </c>
      <c r="J4760" s="455">
        <f t="array" ref="J4760">IFERROR(INDEX('Retirement Calculator'!J:J,MATCH('Isaac 401k'!N4760,'Retirement Calculator'!A:A,0),0),0)</f>
        <v>0</v>
      </c>
      <c r="K4760" s="455">
        <f t="shared" ca="1" si="191"/>
        <v>-267104988576.18365</v>
      </c>
      <c r="L4760" s="455">
        <f t="shared" ca="1" si="192"/>
        <v>-64372302246860.258</v>
      </c>
      <c r="M4760" s="471">
        <f t="shared" si="194"/>
        <v>0.05</v>
      </c>
      <c r="N4760" s="475">
        <f t="shared" si="195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93"/>
        <v>-64372302246860.258</v>
      </c>
      <c r="J4761" s="455">
        <f t="array" ref="J4761">IFERROR(INDEX('Retirement Calculator'!J:J,MATCH('Isaac 401k'!N4761,'Retirement Calculator'!A:A,0),0),0)</f>
        <v>0</v>
      </c>
      <c r="K4761" s="455">
        <f t="shared" ca="1" si="191"/>
        <v>-268217926028.58444</v>
      </c>
      <c r="L4761" s="455">
        <f t="shared" ca="1" si="192"/>
        <v>-64640520172888.844</v>
      </c>
      <c r="M4761" s="471">
        <f t="shared" si="194"/>
        <v>0.05</v>
      </c>
      <c r="N4761" s="475">
        <f t="shared" si="195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93"/>
        <v>-64640520172888.844</v>
      </c>
      <c r="J4762" s="455">
        <f t="array" ref="J4762">IFERROR(INDEX('Retirement Calculator'!J:J,MATCH('Isaac 401k'!N4762,'Retirement Calculator'!A:A,0),0),0)</f>
        <v>0</v>
      </c>
      <c r="K4762" s="455">
        <f t="shared" ca="1" si="191"/>
        <v>-269335500720.37018</v>
      </c>
      <c r="L4762" s="455">
        <f t="shared" ca="1" si="192"/>
        <v>-64909855673609.211</v>
      </c>
      <c r="M4762" s="471">
        <f t="shared" si="194"/>
        <v>0.05</v>
      </c>
      <c r="N4762" s="475">
        <f t="shared" si="195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93"/>
        <v>-64909855673609.211</v>
      </c>
      <c r="J4763" s="455">
        <f t="array" ref="J4763">IFERROR(INDEX('Retirement Calculator'!J:J,MATCH('Isaac 401k'!N4763,'Retirement Calculator'!A:A,0),0),0)</f>
        <v>0</v>
      </c>
      <c r="K4763" s="455">
        <f t="shared" ca="1" si="191"/>
        <v>-270457731973.3717</v>
      </c>
      <c r="L4763" s="455">
        <f t="shared" ca="1" si="192"/>
        <v>-65180313405582.586</v>
      </c>
      <c r="M4763" s="471">
        <f t="shared" si="194"/>
        <v>0.05</v>
      </c>
      <c r="N4763" s="475">
        <f t="shared" si="195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93"/>
        <v>-65180313405582.586</v>
      </c>
      <c r="J4764" s="455">
        <f t="array" ref="J4764">IFERROR(INDEX('Retirement Calculator'!J:J,MATCH('Isaac 401k'!N4764,'Retirement Calculator'!A:A,0),0),0)</f>
        <v>0</v>
      </c>
      <c r="K4764" s="455">
        <f t="shared" ca="1" si="191"/>
        <v>-271584639189.9274</v>
      </c>
      <c r="L4764" s="455">
        <f t="shared" ca="1" si="192"/>
        <v>-65451898044772.516</v>
      </c>
      <c r="M4764" s="471">
        <f t="shared" si="194"/>
        <v>0.05</v>
      </c>
      <c r="N4764" s="475">
        <f t="shared" si="195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93"/>
        <v>-65451898044772.516</v>
      </c>
      <c r="J4765" s="455">
        <f t="array" ref="J4765">IFERROR(INDEX('Retirement Calculator'!J:J,MATCH('Isaac 401k'!N4765,'Retirement Calculator'!A:A,0),0),0)</f>
        <v>0</v>
      </c>
      <c r="K4765" s="455">
        <f t="shared" ca="1" si="191"/>
        <v>-272716241853.21884</v>
      </c>
      <c r="L4765" s="455">
        <f t="shared" ca="1" si="192"/>
        <v>-65724614286625.734</v>
      </c>
      <c r="M4765" s="471">
        <f t="shared" si="194"/>
        <v>0.05</v>
      </c>
      <c r="N4765" s="475">
        <f t="shared" si="195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93"/>
        <v>-65724614286625.734</v>
      </c>
      <c r="J4766" s="455">
        <f t="array" ref="J4766">IFERROR(INDEX('Retirement Calculator'!J:J,MATCH('Isaac 401k'!N4766,'Retirement Calculator'!A:A,0),0),0)</f>
        <v>0</v>
      </c>
      <c r="K4766" s="455">
        <f t="shared" ca="1" si="191"/>
        <v>-273852559527.60727</v>
      </c>
      <c r="L4766" s="455">
        <f t="shared" ca="1" si="192"/>
        <v>-65998466846153.344</v>
      </c>
      <c r="M4766" s="471">
        <f t="shared" si="194"/>
        <v>0.05</v>
      </c>
      <c r="N4766" s="475">
        <f t="shared" si="195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93"/>
        <v>-65998466846153.344</v>
      </c>
      <c r="J4767" s="455">
        <f t="array" ref="J4767">IFERROR(INDEX('Retirement Calculator'!J:J,MATCH('Isaac 401k'!N4767,'Retirement Calculator'!A:A,0),0),0)</f>
        <v>0</v>
      </c>
      <c r="K4767" s="455">
        <f t="shared" ca="1" si="191"/>
        <v>-274993611858.97229</v>
      </c>
      <c r="L4767" s="455">
        <f t="shared" ca="1" si="192"/>
        <v>-66273460458012.313</v>
      </c>
      <c r="M4767" s="471">
        <f t="shared" si="194"/>
        <v>0.05</v>
      </c>
      <c r="N4767" s="475">
        <f t="shared" si="195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93"/>
        <v>-66273460458012.313</v>
      </c>
      <c r="J4768" s="455">
        <f t="array" ref="J4768">IFERROR(INDEX('Retirement Calculator'!J:J,MATCH('Isaac 401k'!N4768,'Retirement Calculator'!A:A,0),0),0)</f>
        <v>0</v>
      </c>
      <c r="K4768" s="455">
        <f t="shared" ca="1" si="191"/>
        <v>-276139418575.05127</v>
      </c>
      <c r="L4768" s="455">
        <f t="shared" ca="1" si="192"/>
        <v>-66549599876587.367</v>
      </c>
      <c r="M4768" s="471">
        <f t="shared" si="194"/>
        <v>0.05</v>
      </c>
      <c r="N4768" s="475">
        <f t="shared" si="195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93"/>
        <v>-66549599876587.367</v>
      </c>
      <c r="J4769" s="455">
        <f t="array" ref="J4769">IFERROR(INDEX('Retirement Calculator'!J:J,MATCH('Isaac 401k'!N4769,'Retirement Calculator'!A:A,0),0),0)</f>
        <v>0</v>
      </c>
      <c r="K4769" s="455">
        <f t="shared" ca="1" si="191"/>
        <v>-277289999485.7807</v>
      </c>
      <c r="L4769" s="455">
        <f t="shared" ca="1" si="192"/>
        <v>-66826889876073.148</v>
      </c>
      <c r="M4769" s="471">
        <f t="shared" si="194"/>
        <v>0.05</v>
      </c>
      <c r="N4769" s="475">
        <f t="shared" si="195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93"/>
        <v>-66826889876073.148</v>
      </c>
      <c r="J4770" s="455">
        <f t="array" ref="J4770">IFERROR(INDEX('Retirement Calculator'!J:J,MATCH('Isaac 401k'!N4770,'Retirement Calculator'!A:A,0),0),0)</f>
        <v>0</v>
      </c>
      <c r="K4770" s="455">
        <f t="shared" ca="1" si="191"/>
        <v>-278445374483.63812</v>
      </c>
      <c r="L4770" s="455">
        <f t="shared" ca="1" si="192"/>
        <v>-67105335250556.789</v>
      </c>
      <c r="M4770" s="471">
        <f t="shared" si="194"/>
        <v>0.05</v>
      </c>
      <c r="N4770" s="475">
        <f t="shared" si="195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93"/>
        <v>-67105335250556.789</v>
      </c>
      <c r="J4771" s="455">
        <f t="array" ref="J4771">IFERROR(INDEX('Retirement Calculator'!J:J,MATCH('Isaac 401k'!N4771,'Retirement Calculator'!A:A,0),0),0)</f>
        <v>0</v>
      </c>
      <c r="K4771" s="455">
        <f t="shared" ca="1" si="191"/>
        <v>-279605563543.98663</v>
      </c>
      <c r="L4771" s="455">
        <f t="shared" ca="1" si="192"/>
        <v>-67384940814100.773</v>
      </c>
      <c r="M4771" s="471">
        <f t="shared" si="194"/>
        <v>0.05</v>
      </c>
      <c r="N4771" s="475">
        <f t="shared" si="195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93"/>
        <v>-67384940814100.773</v>
      </c>
      <c r="J4772" s="455">
        <f t="array" ref="J4772">IFERROR(INDEX('Retirement Calculator'!J:J,MATCH('Isaac 401k'!N4772,'Retirement Calculator'!A:A,0),0),0)</f>
        <v>0</v>
      </c>
      <c r="K4772" s="455">
        <f t="shared" ca="1" si="191"/>
        <v>-280770586725.41992</v>
      </c>
      <c r="L4772" s="455">
        <f t="shared" ca="1" si="192"/>
        <v>-67665711400826.195</v>
      </c>
      <c r="M4772" s="471">
        <f t="shared" si="194"/>
        <v>0.05</v>
      </c>
      <c r="N4772" s="475">
        <f t="shared" si="195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93"/>
        <v>-67665711400826.195</v>
      </c>
      <c r="J4773" s="455">
        <f t="array" ref="J4773">IFERROR(INDEX('Retirement Calculator'!J:J,MATCH('Isaac 401k'!N4773,'Retirement Calculator'!A:A,0),0),0)</f>
        <v>0</v>
      </c>
      <c r="K4773" s="455">
        <f t="shared" ca="1" si="191"/>
        <v>-281940464170.10913</v>
      </c>
      <c r="L4773" s="455">
        <f t="shared" ca="1" si="192"/>
        <v>-67947651864996.305</v>
      </c>
      <c r="M4773" s="471">
        <f t="shared" si="194"/>
        <v>0.05</v>
      </c>
      <c r="N4773" s="475">
        <f t="shared" si="195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93"/>
        <v>-67947651864996.305</v>
      </c>
      <c r="J4774" s="455">
        <f t="array" ref="J4774">IFERROR(INDEX('Retirement Calculator'!J:J,MATCH('Isaac 401k'!N4774,'Retirement Calculator'!A:A,0),0),0)</f>
        <v>0</v>
      </c>
      <c r="K4774" s="455">
        <f t="shared" ca="1" si="191"/>
        <v>-283115216104.15125</v>
      </c>
      <c r="L4774" s="455">
        <f t="shared" ca="1" si="192"/>
        <v>-68230767081100.453</v>
      </c>
      <c r="M4774" s="471">
        <f t="shared" si="194"/>
        <v>0.05</v>
      </c>
      <c r="N4774" s="475">
        <f t="shared" si="195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93"/>
        <v>-68230767081100.453</v>
      </c>
      <c r="J4775" s="455">
        <f t="array" ref="J4775">IFERROR(INDEX('Retirement Calculator'!J:J,MATCH('Isaac 401k'!N4775,'Retirement Calculator'!A:A,0),0),0)</f>
        <v>0</v>
      </c>
      <c r="K4775" s="455">
        <f t="shared" ca="1" si="191"/>
        <v>-284294862837.91858</v>
      </c>
      <c r="L4775" s="455">
        <f t="shared" ca="1" si="192"/>
        <v>-68515061943938.375</v>
      </c>
      <c r="M4775" s="471">
        <f t="shared" si="194"/>
        <v>0.05</v>
      </c>
      <c r="N4775" s="475">
        <f t="shared" si="195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93"/>
        <v>-68515061943938.375</v>
      </c>
      <c r="J4776" s="455">
        <f t="array" ref="J4776">IFERROR(INDEX('Retirement Calculator'!J:J,MATCH('Isaac 401k'!N4776,'Retirement Calculator'!A:A,0),0),0)</f>
        <v>0</v>
      </c>
      <c r="K4776" s="455">
        <f t="shared" ca="1" si="191"/>
        <v>-285479424766.40991</v>
      </c>
      <c r="L4776" s="455">
        <f t="shared" ca="1" si="192"/>
        <v>-68800541368704.781</v>
      </c>
      <c r="M4776" s="471">
        <f t="shared" si="194"/>
        <v>0.05</v>
      </c>
      <c r="N4776" s="475">
        <f t="shared" si="195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93"/>
        <v>-68800541368704.781</v>
      </c>
      <c r="J4777" s="455">
        <f t="array" ref="J4777">IFERROR(INDEX('Retirement Calculator'!J:J,MATCH('Isaac 401k'!N4777,'Retirement Calculator'!A:A,0),0),0)</f>
        <v>0</v>
      </c>
      <c r="K4777" s="455">
        <f t="shared" ca="1" si="191"/>
        <v>-286668922369.60327</v>
      </c>
      <c r="L4777" s="455">
        <f t="shared" ca="1" si="192"/>
        <v>-69087210291074.383</v>
      </c>
      <c r="M4777" s="471">
        <f t="shared" si="194"/>
        <v>0.05</v>
      </c>
      <c r="N4777" s="475">
        <f t="shared" si="195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93"/>
        <v>-69087210291074.383</v>
      </c>
      <c r="J4778" s="455">
        <f t="array" ref="J4778">IFERROR(INDEX('Retirement Calculator'!J:J,MATCH('Isaac 401k'!N4778,'Retirement Calculator'!A:A,0),0),0)</f>
        <v>0</v>
      </c>
      <c r="K4778" s="455">
        <f t="shared" ca="1" si="191"/>
        <v>-287863376212.80994</v>
      </c>
      <c r="L4778" s="455">
        <f t="shared" ca="1" si="192"/>
        <v>-69375073667287.195</v>
      </c>
      <c r="M4778" s="471">
        <f t="shared" si="194"/>
        <v>0.05</v>
      </c>
      <c r="N4778" s="475">
        <f t="shared" si="195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93"/>
        <v>-69375073667287.195</v>
      </c>
      <c r="J4779" s="455">
        <f t="array" ref="J4779">IFERROR(INDEX('Retirement Calculator'!J:J,MATCH('Isaac 401k'!N4779,'Retirement Calculator'!A:A,0),0),0)</f>
        <v>0</v>
      </c>
      <c r="K4779" s="455">
        <f t="shared" ca="1" si="191"/>
        <v>-289062806947.02997</v>
      </c>
      <c r="L4779" s="455">
        <f t="shared" ca="1" si="192"/>
        <v>-69664136474234.227</v>
      </c>
      <c r="M4779" s="471">
        <f t="shared" si="194"/>
        <v>0.05</v>
      </c>
      <c r="N4779" s="475">
        <f t="shared" si="195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93"/>
        <v>-69664136474234.227</v>
      </c>
      <c r="J4780" s="455">
        <f t="array" ref="J4780">IFERROR(INDEX('Retirement Calculator'!J:J,MATCH('Isaac 401k'!N4780,'Retirement Calculator'!A:A,0),0),0)</f>
        <v>0</v>
      </c>
      <c r="K4780" s="455">
        <f t="shared" ca="1" si="191"/>
        <v>-290267235309.30927</v>
      </c>
      <c r="L4780" s="455">
        <f t="shared" ca="1" si="192"/>
        <v>-69954403709543.539</v>
      </c>
      <c r="M4780" s="471">
        <f t="shared" si="194"/>
        <v>0.05</v>
      </c>
      <c r="N4780" s="475">
        <f t="shared" si="195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93"/>
        <v>-69954403709543.539</v>
      </c>
      <c r="J4781" s="455">
        <f t="array" ref="J4781">IFERROR(INDEX('Retirement Calculator'!J:J,MATCH('Isaac 401k'!N4781,'Retirement Calculator'!A:A,0),0),0)</f>
        <v>0</v>
      </c>
      <c r="K4781" s="455">
        <f t="shared" ca="1" si="191"/>
        <v>-291476682123.09808</v>
      </c>
      <c r="L4781" s="455">
        <f t="shared" ca="1" si="192"/>
        <v>-70245880391666.641</v>
      </c>
      <c r="M4781" s="471">
        <f t="shared" si="194"/>
        <v>0.05</v>
      </c>
      <c r="N4781" s="475">
        <f t="shared" si="195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93"/>
        <v>-70245880391666.641</v>
      </c>
      <c r="J4782" s="455">
        <f t="array" ref="J4782">IFERROR(INDEX('Retirement Calculator'!J:J,MATCH('Isaac 401k'!N4782,'Retirement Calculator'!A:A,0),0),0)</f>
        <v>0</v>
      </c>
      <c r="K4782" s="455">
        <f t="shared" ca="1" si="191"/>
        <v>-292691168298.61096</v>
      </c>
      <c r="L4782" s="455">
        <f t="shared" ca="1" si="192"/>
        <v>-70538571559965.25</v>
      </c>
      <c r="M4782" s="471">
        <f t="shared" si="194"/>
        <v>0.05</v>
      </c>
      <c r="N4782" s="475">
        <f t="shared" si="195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93"/>
        <v>-70538571559965.25</v>
      </c>
      <c r="J4783" s="455">
        <f t="array" ref="J4783">IFERROR(INDEX('Retirement Calculator'!J:J,MATCH('Isaac 401k'!N4783,'Retirement Calculator'!A:A,0),0),0)</f>
        <v>0</v>
      </c>
      <c r="K4783" s="455">
        <f t="shared" ca="1" si="191"/>
        <v>-293910714833.18854</v>
      </c>
      <c r="L4783" s="455">
        <f t="shared" ca="1" si="192"/>
        <v>-70832482274798.438</v>
      </c>
      <c r="M4783" s="471">
        <f t="shared" si="194"/>
        <v>0.05</v>
      </c>
      <c r="N4783" s="475">
        <f t="shared" si="195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93"/>
        <v>-70832482274798.438</v>
      </c>
      <c r="J4784" s="455">
        <f t="array" ref="J4784">IFERROR(INDEX('Retirement Calculator'!J:J,MATCH('Isaac 401k'!N4784,'Retirement Calculator'!A:A,0),0),0)</f>
        <v>0</v>
      </c>
      <c r="K4784" s="455">
        <f t="shared" ca="1" si="191"/>
        <v>-295135342811.66016</v>
      </c>
      <c r="L4784" s="455">
        <f t="shared" ca="1" si="192"/>
        <v>-71127617617610.094</v>
      </c>
      <c r="M4784" s="471">
        <f t="shared" si="194"/>
        <v>0.05</v>
      </c>
      <c r="N4784" s="475">
        <f t="shared" si="195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93"/>
        <v>-71127617617610.094</v>
      </c>
      <c r="J4785" s="455">
        <f t="array" ref="J4785">IFERROR(INDEX('Retirement Calculator'!J:J,MATCH('Isaac 401k'!N4785,'Retirement Calculator'!A:A,0),0),0)</f>
        <v>0</v>
      </c>
      <c r="K4785" s="455">
        <f t="shared" ca="1" si="191"/>
        <v>-296365073406.70874</v>
      </c>
      <c r="L4785" s="455">
        <f t="shared" ca="1" si="192"/>
        <v>-71423982691016.797</v>
      </c>
      <c r="M4785" s="471">
        <f t="shared" si="194"/>
        <v>0.05</v>
      </c>
      <c r="N4785" s="475">
        <f t="shared" si="195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93"/>
        <v>-71423982691016.797</v>
      </c>
      <c r="J4786" s="455">
        <f t="array" ref="J4786">IFERROR(INDEX('Retirement Calculator'!J:J,MATCH('Isaac 401k'!N4786,'Retirement Calculator'!A:A,0),0),0)</f>
        <v>0</v>
      </c>
      <c r="K4786" s="455">
        <f t="shared" ca="1" si="191"/>
        <v>-297599927879.23663</v>
      </c>
      <c r="L4786" s="455">
        <f t="shared" ca="1" si="192"/>
        <v>-71721582618896.031</v>
      </c>
      <c r="M4786" s="471">
        <f t="shared" si="194"/>
        <v>0.05</v>
      </c>
      <c r="N4786" s="475">
        <f t="shared" si="195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93"/>
        <v>-71721582618896.031</v>
      </c>
      <c r="J4787" s="455">
        <f t="array" ref="J4787">IFERROR(INDEX('Retirement Calculator'!J:J,MATCH('Isaac 401k'!N4787,'Retirement Calculator'!A:A,0),0),0)</f>
        <v>0</v>
      </c>
      <c r="K4787" s="455">
        <f t="shared" ca="1" si="191"/>
        <v>-298839927578.73346</v>
      </c>
      <c r="L4787" s="455">
        <f t="shared" ca="1" si="192"/>
        <v>-72020422546474.766</v>
      </c>
      <c r="M4787" s="471">
        <f t="shared" si="194"/>
        <v>0.05</v>
      </c>
      <c r="N4787" s="475">
        <f t="shared" si="195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93"/>
        <v>-72020422546474.766</v>
      </c>
      <c r="J4788" s="455">
        <f t="array" ref="J4788">IFERROR(INDEX('Retirement Calculator'!J:J,MATCH('Isaac 401k'!N4788,'Retirement Calculator'!A:A,0),0),0)</f>
        <v>0</v>
      </c>
      <c r="K4788" s="455">
        <f t="shared" ca="1" si="191"/>
        <v>-300085093943.64484</v>
      </c>
      <c r="L4788" s="455">
        <f t="shared" ca="1" si="192"/>
        <v>-72320507640418.406</v>
      </c>
      <c r="M4788" s="471">
        <f t="shared" si="194"/>
        <v>0.05</v>
      </c>
      <c r="N4788" s="475">
        <f t="shared" si="195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93"/>
        <v>-72320507640418.406</v>
      </c>
      <c r="J4789" s="455">
        <f t="array" ref="J4789">IFERROR(INDEX('Retirement Calculator'!J:J,MATCH('Isaac 401k'!N4789,'Retirement Calculator'!A:A,0),0),0)</f>
        <v>0</v>
      </c>
      <c r="K4789" s="455">
        <f t="shared" ca="1" si="191"/>
        <v>-301335448501.74335</v>
      </c>
      <c r="L4789" s="455">
        <f t="shared" ca="1" si="192"/>
        <v>-72621843088920.156</v>
      </c>
      <c r="M4789" s="471">
        <f t="shared" si="194"/>
        <v>0.05</v>
      </c>
      <c r="N4789" s="475">
        <f t="shared" si="195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93"/>
        <v>-72621843088920.156</v>
      </c>
      <c r="J4790" s="455">
        <f t="array" ref="J4790">IFERROR(INDEX('Retirement Calculator'!J:J,MATCH('Isaac 401k'!N4790,'Retirement Calculator'!A:A,0),0),0)</f>
        <v>0</v>
      </c>
      <c r="K4790" s="455">
        <f t="shared" ca="1" si="191"/>
        <v>-302591012870.50067</v>
      </c>
      <c r="L4790" s="455">
        <f t="shared" ca="1" si="192"/>
        <v>-72924434101790.656</v>
      </c>
      <c r="M4790" s="471">
        <f t="shared" si="194"/>
        <v>0.05</v>
      </c>
      <c r="N4790" s="475">
        <f t="shared" si="195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93"/>
        <v>-72924434101790.656</v>
      </c>
      <c r="J4791" s="455">
        <f t="array" ref="J4791">IFERROR(INDEX('Retirement Calculator'!J:J,MATCH('Isaac 401k'!N4791,'Retirement Calculator'!A:A,0),0),0)</f>
        <v>0</v>
      </c>
      <c r="K4791" s="455">
        <f t="shared" ca="1" si="191"/>
        <v>-303851808757.46106</v>
      </c>
      <c r="L4791" s="455">
        <f t="shared" ca="1" si="192"/>
        <v>-73228285910548.125</v>
      </c>
      <c r="M4791" s="471">
        <f t="shared" si="194"/>
        <v>0.05</v>
      </c>
      <c r="N4791" s="475">
        <f t="shared" si="195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93"/>
        <v>-73228285910548.125</v>
      </c>
      <c r="J4792" s="455">
        <f t="array" ref="J4792">IFERROR(INDEX('Retirement Calculator'!J:J,MATCH('Isaac 401k'!N4792,'Retirement Calculator'!A:A,0),0),0)</f>
        <v>0</v>
      </c>
      <c r="K4792" s="455">
        <f t="shared" ca="1" si="191"/>
        <v>-305117857960.61719</v>
      </c>
      <c r="L4792" s="455">
        <f t="shared" ca="1" si="192"/>
        <v>-73533403768508.75</v>
      </c>
      <c r="M4792" s="471">
        <f t="shared" si="194"/>
        <v>0.05</v>
      </c>
      <c r="N4792" s="475">
        <f t="shared" si="195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93"/>
        <v>-73533403768508.75</v>
      </c>
      <c r="J4793" s="455">
        <f t="array" ref="J4793">IFERROR(INDEX('Retirement Calculator'!J:J,MATCH('Isaac 401k'!N4793,'Retirement Calculator'!A:A,0),0),0)</f>
        <v>0</v>
      </c>
      <c r="K4793" s="455">
        <f t="shared" ca="1" si="191"/>
        <v>-306389182368.78644</v>
      </c>
      <c r="L4793" s="455">
        <f t="shared" ca="1" si="192"/>
        <v>-73839792950877.531</v>
      </c>
      <c r="M4793" s="471">
        <f t="shared" si="194"/>
        <v>0.05</v>
      </c>
      <c r="N4793" s="475">
        <f t="shared" si="195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93"/>
        <v>-73839792950877.531</v>
      </c>
      <c r="J4794" s="455">
        <f t="array" ref="J4794">IFERROR(INDEX('Retirement Calculator'!J:J,MATCH('Isaac 401k'!N4794,'Retirement Calculator'!A:A,0),0),0)</f>
        <v>0</v>
      </c>
      <c r="K4794" s="455">
        <f t="shared" ca="1" si="191"/>
        <v>-307665803961.98969</v>
      </c>
      <c r="L4794" s="455">
        <f t="shared" ca="1" si="192"/>
        <v>-74147458754839.516</v>
      </c>
      <c r="M4794" s="471">
        <f t="shared" si="194"/>
        <v>0.05</v>
      </c>
      <c r="N4794" s="475">
        <f t="shared" si="195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93"/>
        <v>-74147458754839.516</v>
      </c>
      <c r="J4795" s="455">
        <f t="array" ref="J4795">IFERROR(INDEX('Retirement Calculator'!J:J,MATCH('Isaac 401k'!N4795,'Retirement Calculator'!A:A,0),0),0)</f>
        <v>0</v>
      </c>
      <c r="K4795" s="455">
        <f t="shared" ca="1" si="191"/>
        <v>-308947744811.8313</v>
      </c>
      <c r="L4795" s="455">
        <f t="shared" ca="1" si="192"/>
        <v>-74456406499651.344</v>
      </c>
      <c r="M4795" s="471">
        <f t="shared" si="194"/>
        <v>0.05</v>
      </c>
      <c r="N4795" s="475">
        <f t="shared" si="195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93"/>
        <v>-74456406499651.344</v>
      </c>
      <c r="J4796" s="455">
        <f t="array" ref="J4796">IFERROR(INDEX('Retirement Calculator'!J:J,MATCH('Isaac 401k'!N4796,'Retirement Calculator'!A:A,0),0),0)</f>
        <v>0</v>
      </c>
      <c r="K4796" s="455">
        <f t="shared" ca="1" si="191"/>
        <v>-310235027081.88062</v>
      </c>
      <c r="L4796" s="455">
        <f t="shared" ca="1" si="192"/>
        <v>-74766641526733.219</v>
      </c>
      <c r="M4796" s="471">
        <f t="shared" si="194"/>
        <v>0.05</v>
      </c>
      <c r="N4796" s="475">
        <f t="shared" si="195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93"/>
        <v>-74766641526733.219</v>
      </c>
      <c r="J4797" s="455">
        <f t="array" ref="J4797">IFERROR(INDEX('Retirement Calculator'!J:J,MATCH('Isaac 401k'!N4797,'Retirement Calculator'!A:A,0),0),0)</f>
        <v>0</v>
      </c>
      <c r="K4797" s="455">
        <f t="shared" ca="1" si="191"/>
        <v>-311527673028.05505</v>
      </c>
      <c r="L4797" s="455">
        <f t="shared" ca="1" si="192"/>
        <v>-75078169199761.281</v>
      </c>
      <c r="M4797" s="471">
        <f t="shared" si="194"/>
        <v>0.05</v>
      </c>
      <c r="N4797" s="475">
        <f t="shared" si="195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93"/>
        <v>-75078169199761.281</v>
      </c>
      <c r="J4798" s="455">
        <f t="array" ref="J4798">IFERROR(INDEX('Retirement Calculator'!J:J,MATCH('Isaac 401k'!N4798,'Retirement Calculator'!A:A,0),0),0)</f>
        <v>0</v>
      </c>
      <c r="K4798" s="455">
        <f t="shared" ca="1" si="191"/>
        <v>-312825704999.00531</v>
      </c>
      <c r="L4798" s="455">
        <f t="shared" ca="1" si="192"/>
        <v>-75390994904760.281</v>
      </c>
      <c r="M4798" s="471">
        <f t="shared" si="194"/>
        <v>0.05</v>
      </c>
      <c r="N4798" s="475">
        <f t="shared" si="195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93"/>
        <v>-75390994904760.281</v>
      </c>
      <c r="J4799" s="455">
        <f t="array" ref="J4799">IFERROR(INDEX('Retirement Calculator'!J:J,MATCH('Isaac 401k'!N4799,'Retirement Calculator'!A:A,0),0),0)</f>
        <v>0</v>
      </c>
      <c r="K4799" s="455">
        <f t="shared" ca="1" si="191"/>
        <v>-314129145436.50116</v>
      </c>
      <c r="L4799" s="455">
        <f t="shared" ca="1" si="192"/>
        <v>-75705124050196.781</v>
      </c>
      <c r="M4799" s="471">
        <f t="shared" si="194"/>
        <v>0.05</v>
      </c>
      <c r="N4799" s="475">
        <f t="shared" si="195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93"/>
        <v>-75705124050196.781</v>
      </c>
      <c r="J4800" s="455">
        <f t="array" ref="J4800">IFERROR(INDEX('Retirement Calculator'!J:J,MATCH('Isaac 401k'!N4800,'Retirement Calculator'!A:A,0),0),0)</f>
        <v>0</v>
      </c>
      <c r="K4800" s="455">
        <f t="shared" ca="1" si="191"/>
        <v>-315438016875.81995</v>
      </c>
      <c r="L4800" s="455">
        <f t="shared" ca="1" si="192"/>
        <v>-76020562067072.594</v>
      </c>
      <c r="M4800" s="471">
        <f t="shared" si="194"/>
        <v>0.05</v>
      </c>
      <c r="N4800" s="475">
        <f t="shared" si="195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93"/>
        <v>-76020562067072.594</v>
      </c>
      <c r="J4801" s="455">
        <f t="array" ref="J4801">IFERROR(INDEX('Retirement Calculator'!J:J,MATCH('Isaac 401k'!N4801,'Retirement Calculator'!A:A,0),0),0)</f>
        <v>0</v>
      </c>
      <c r="K4801" s="455">
        <f t="shared" ca="1" si="191"/>
        <v>-316752341946.1358</v>
      </c>
      <c r="L4801" s="455">
        <f t="shared" ca="1" si="192"/>
        <v>-76337314409018.734</v>
      </c>
      <c r="M4801" s="471">
        <f t="shared" si="194"/>
        <v>0.05</v>
      </c>
      <c r="N4801" s="475">
        <f t="shared" si="195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93"/>
        <v>-76337314409018.734</v>
      </c>
      <c r="J4802" s="455">
        <f t="array" ref="J4802">IFERROR(INDEX('Retirement Calculator'!J:J,MATCH('Isaac 401k'!N4802,'Retirement Calculator'!A:A,0),0),0)</f>
        <v>0</v>
      </c>
      <c r="K4802" s="455">
        <f t="shared" ca="1" si="191"/>
        <v>-318072143370.91138</v>
      </c>
      <c r="L4802" s="455">
        <f t="shared" ca="1" si="192"/>
        <v>-76655386552389.641</v>
      </c>
      <c r="M4802" s="471">
        <f t="shared" si="194"/>
        <v>0.05</v>
      </c>
      <c r="N4802" s="475">
        <f t="shared" si="195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93"/>
        <v>-76655386552389.641</v>
      </c>
      <c r="J4803" s="455">
        <f t="array" ref="J4803">IFERROR(INDEX('Retirement Calculator'!J:J,MATCH('Isaac 401k'!N4803,'Retirement Calculator'!A:A,0),0),0)</f>
        <v>0</v>
      </c>
      <c r="K4803" s="455">
        <f t="shared" ca="1" si="191"/>
        <v>-319397443968.29016</v>
      </c>
      <c r="L4803" s="455">
        <f t="shared" ca="1" si="192"/>
        <v>-76974783996357.938</v>
      </c>
      <c r="M4803" s="471">
        <f t="shared" si="194"/>
        <v>0.05</v>
      </c>
      <c r="N4803" s="475">
        <f t="shared" si="195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93"/>
        <v>-76974783996357.938</v>
      </c>
      <c r="J4804" s="455">
        <f t="array" ref="J4804">IFERROR(INDEX('Retirement Calculator'!J:J,MATCH('Isaac 401k'!N4804,'Retirement Calculator'!A:A,0),0),0)</f>
        <v>0</v>
      </c>
      <c r="K4804" s="455">
        <f t="shared" ca="1" si="191"/>
        <v>-320728266651.49139</v>
      </c>
      <c r="L4804" s="455">
        <f t="shared" ca="1" si="192"/>
        <v>-77295512263009.422</v>
      </c>
      <c r="M4804" s="471">
        <f t="shared" si="194"/>
        <v>0.05</v>
      </c>
      <c r="N4804" s="475">
        <f t="shared" si="195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93"/>
        <v>-77295512263009.422</v>
      </c>
      <c r="J4805" s="455">
        <f t="array" ref="J4805">IFERROR(INDEX('Retirement Calculator'!J:J,MATCH('Isaac 401k'!N4805,'Retirement Calculator'!A:A,0),0),0)</f>
        <v>0</v>
      </c>
      <c r="K4805" s="455">
        <f t="shared" ca="1" si="191"/>
        <v>-322064634429.20593</v>
      </c>
      <c r="L4805" s="455">
        <f t="shared" ca="1" si="192"/>
        <v>-77617576897438.625</v>
      </c>
      <c r="M4805" s="471">
        <f t="shared" si="194"/>
        <v>0.05</v>
      </c>
      <c r="N4805" s="475">
        <f t="shared" si="195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93"/>
        <v>-77617576897438.625</v>
      </c>
      <c r="J4806" s="455">
        <f t="array" ref="J4806">IFERROR(INDEX('Retirement Calculator'!J:J,MATCH('Isaac 401k'!N4806,'Retirement Calculator'!A:A,0),0),0)</f>
        <v>0</v>
      </c>
      <c r="K4806" s="455">
        <f t="shared" ca="1" si="191"/>
        <v>-323406570405.99426</v>
      </c>
      <c r="L4806" s="455">
        <f t="shared" ca="1" si="192"/>
        <v>-77940983467844.625</v>
      </c>
      <c r="M4806" s="471">
        <f t="shared" si="194"/>
        <v>0.05</v>
      </c>
      <c r="N4806" s="475">
        <f t="shared" si="195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93"/>
        <v>-77940983467844.625</v>
      </c>
      <c r="J4807" s="455">
        <f t="array" ref="J4807">IFERROR(INDEX('Retirement Calculator'!J:J,MATCH('Isaac 401k'!N4807,'Retirement Calculator'!A:A,0),0),0)</f>
        <v>0</v>
      </c>
      <c r="K4807" s="455">
        <f t="shared" ca="1" si="191"/>
        <v>-324754097782.68591</v>
      </c>
      <c r="L4807" s="455">
        <f t="shared" ca="1" si="192"/>
        <v>-78265737565627.313</v>
      </c>
      <c r="M4807" s="471">
        <f t="shared" si="194"/>
        <v>0.05</v>
      </c>
      <c r="N4807" s="475">
        <f t="shared" si="195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93"/>
        <v>-78265737565627.313</v>
      </c>
      <c r="J4808" s="455">
        <f t="array" ref="J4808">IFERROR(INDEX('Retirement Calculator'!J:J,MATCH('Isaac 401k'!N4808,'Retirement Calculator'!A:A,0),0),0)</f>
        <v>0</v>
      </c>
      <c r="K4808" s="455">
        <f t="shared" ca="1" si="191"/>
        <v>-326107239856.78046</v>
      </c>
      <c r="L4808" s="455">
        <f t="shared" ca="1" si="192"/>
        <v>-78591844805484.094</v>
      </c>
      <c r="M4808" s="471">
        <f t="shared" si="194"/>
        <v>0.05</v>
      </c>
      <c r="N4808" s="475">
        <f t="shared" si="195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93"/>
        <v>-78591844805484.094</v>
      </c>
      <c r="J4809" s="455">
        <f t="array" ref="J4809">IFERROR(INDEX('Retirement Calculator'!J:J,MATCH('Isaac 401k'!N4809,'Retirement Calculator'!A:A,0),0),0)</f>
        <v>0</v>
      </c>
      <c r="K4809" s="455">
        <f t="shared" ca="1" si="191"/>
        <v>-327466020022.8504</v>
      </c>
      <c r="L4809" s="455">
        <f t="shared" ca="1" si="192"/>
        <v>-78919310825506.938</v>
      </c>
      <c r="M4809" s="471">
        <f t="shared" si="194"/>
        <v>0.05</v>
      </c>
      <c r="N4809" s="475">
        <f t="shared" si="195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93"/>
        <v>-78919310825506.938</v>
      </c>
      <c r="J4810" s="455">
        <f t="array" ref="J4810">IFERROR(INDEX('Retirement Calculator'!J:J,MATCH('Isaac 401k'!N4810,'Retirement Calculator'!A:A,0),0),0)</f>
        <v>0</v>
      </c>
      <c r="K4810" s="455">
        <f t="shared" ca="1" si="191"/>
        <v>-328830461772.94556</v>
      </c>
      <c r="L4810" s="455">
        <f t="shared" ca="1" si="192"/>
        <v>-79248141287279.891</v>
      </c>
      <c r="M4810" s="471">
        <f t="shared" si="194"/>
        <v>0.05</v>
      </c>
      <c r="N4810" s="475">
        <f t="shared" si="195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93"/>
        <v>-79248141287279.891</v>
      </c>
      <c r="J4811" s="455">
        <f t="array" ref="J4811">IFERROR(INDEX('Retirement Calculator'!J:J,MATCH('Isaac 401k'!N4811,'Retirement Calculator'!A:A,0),0),0)</f>
        <v>0</v>
      </c>
      <c r="K4811" s="455">
        <f t="shared" ca="1" si="191"/>
        <v>-330200588696.99951</v>
      </c>
      <c r="L4811" s="455">
        <f t="shared" ca="1" si="192"/>
        <v>-79578341875976.891</v>
      </c>
      <c r="M4811" s="471">
        <f t="shared" si="194"/>
        <v>0.05</v>
      </c>
      <c r="N4811" s="475">
        <f t="shared" si="195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93"/>
        <v>-79578341875976.891</v>
      </c>
      <c r="J4812" s="455">
        <f t="array" ref="J4812">IFERROR(INDEX('Retirement Calculator'!J:J,MATCH('Isaac 401k'!N4812,'Retirement Calculator'!A:A,0),0),0)</f>
        <v>0</v>
      </c>
      <c r="K4812" s="455">
        <f t="shared" ca="1" si="191"/>
        <v>-331576424483.23706</v>
      </c>
      <c r="L4812" s="455">
        <f t="shared" ca="1" si="192"/>
        <v>-79909918300460.125</v>
      </c>
      <c r="M4812" s="471">
        <f t="shared" si="194"/>
        <v>0.05</v>
      </c>
      <c r="N4812" s="475">
        <f t="shared" si="195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93"/>
        <v>-79909918300460.125</v>
      </c>
      <c r="J4813" s="455">
        <f t="array" ref="J4813">IFERROR(INDEX('Retirement Calculator'!J:J,MATCH('Isaac 401k'!N4813,'Retirement Calculator'!A:A,0),0),0)</f>
        <v>0</v>
      </c>
      <c r="K4813" s="455">
        <f t="shared" ca="1" si="191"/>
        <v>-332957992918.58386</v>
      </c>
      <c r="L4813" s="455">
        <f t="shared" ca="1" si="192"/>
        <v>-80242876293378.703</v>
      </c>
      <c r="M4813" s="471">
        <f t="shared" si="194"/>
        <v>0.05</v>
      </c>
      <c r="N4813" s="475">
        <f t="shared" si="195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93"/>
        <v>-80242876293378.703</v>
      </c>
      <c r="J4814" s="455">
        <f t="array" ref="J4814">IFERROR(INDEX('Retirement Calculator'!J:J,MATCH('Isaac 401k'!N4814,'Retirement Calculator'!A:A,0),0),0)</f>
        <v>0</v>
      </c>
      <c r="K4814" s="455">
        <f t="shared" ca="1" si="191"/>
        <v>-334345317889.07794</v>
      </c>
      <c r="L4814" s="455">
        <f t="shared" ca="1" si="192"/>
        <v>-80577221611267.781</v>
      </c>
      <c r="M4814" s="471">
        <f t="shared" si="194"/>
        <v>0.05</v>
      </c>
      <c r="N4814" s="475">
        <f t="shared" si="195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93"/>
        <v>-80577221611267.781</v>
      </c>
      <c r="J4815" s="455">
        <f t="array" ref="J4815">IFERROR(INDEX('Retirement Calculator'!J:J,MATCH('Isaac 401k'!N4815,'Retirement Calculator'!A:A,0),0),0)</f>
        <v>0</v>
      </c>
      <c r="K4815" s="455">
        <f t="shared" ca="1" si="191"/>
        <v>-335738423380.28241</v>
      </c>
      <c r="L4815" s="455">
        <f t="shared" ca="1" si="192"/>
        <v>-80912960034648.063</v>
      </c>
      <c r="M4815" s="471">
        <f t="shared" si="194"/>
        <v>0.05</v>
      </c>
      <c r="N4815" s="475">
        <f t="shared" si="195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93"/>
        <v>-80912960034648.063</v>
      </c>
      <c r="J4816" s="455">
        <f t="array" ref="J4816">IFERROR(INDEX('Retirement Calculator'!J:J,MATCH('Isaac 401k'!N4816,'Retirement Calculator'!A:A,0),0),0)</f>
        <v>0</v>
      </c>
      <c r="K4816" s="455">
        <f t="shared" ca="1" si="191"/>
        <v>-337137333477.70026</v>
      </c>
      <c r="L4816" s="455">
        <f t="shared" ca="1" si="192"/>
        <v>-81250097368125.766</v>
      </c>
      <c r="M4816" s="471">
        <f t="shared" si="194"/>
        <v>0.05</v>
      </c>
      <c r="N4816" s="475">
        <f t="shared" si="195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93"/>
        <v>-81250097368125.766</v>
      </c>
      <c r="J4817" s="455">
        <f t="array" ref="J4817">IFERROR(INDEX('Retirement Calculator'!J:J,MATCH('Isaac 401k'!N4817,'Retirement Calculator'!A:A,0),0),0)</f>
        <v>0</v>
      </c>
      <c r="K4817" s="455">
        <f t="shared" ca="1" si="191"/>
        <v>-338542072367.19067</v>
      </c>
      <c r="L4817" s="455">
        <f t="shared" ca="1" si="192"/>
        <v>-81588639440492.953</v>
      </c>
      <c r="M4817" s="471">
        <f t="shared" si="194"/>
        <v>0.05</v>
      </c>
      <c r="N4817" s="475">
        <f t="shared" si="195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93"/>
        <v>-81588639440492.953</v>
      </c>
      <c r="J4818" s="455">
        <f t="array" ref="J4818">IFERROR(INDEX('Retirement Calculator'!J:J,MATCH('Isaac 401k'!N4818,'Retirement Calculator'!A:A,0),0),0)</f>
        <v>0</v>
      </c>
      <c r="K4818" s="455">
        <f t="shared" ca="1" si="191"/>
        <v>-339952664335.38733</v>
      </c>
      <c r="L4818" s="455">
        <f t="shared" ca="1" si="192"/>
        <v>-81928592104828.344</v>
      </c>
      <c r="M4818" s="471">
        <f t="shared" si="194"/>
        <v>0.05</v>
      </c>
      <c r="N4818" s="475">
        <f t="shared" si="195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93"/>
        <v>-81928592104828.344</v>
      </c>
      <c r="J4819" s="455">
        <f t="array" ref="J4819">IFERROR(INDEX('Retirement Calculator'!J:J,MATCH('Isaac 401k'!N4819,'Retirement Calculator'!A:A,0),0),0)</f>
        <v>0</v>
      </c>
      <c r="K4819" s="455">
        <f t="shared" ca="1" si="191"/>
        <v>-341369133770.1181</v>
      </c>
      <c r="L4819" s="455">
        <f t="shared" ca="1" si="192"/>
        <v>-82269961238598.469</v>
      </c>
      <c r="M4819" s="471">
        <f t="shared" si="194"/>
        <v>0.05</v>
      </c>
      <c r="N4819" s="475">
        <f t="shared" si="195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93"/>
        <v>-82269961238598.469</v>
      </c>
      <c r="J4820" s="455">
        <f t="array" ref="J4820">IFERROR(INDEX('Retirement Calculator'!J:J,MATCH('Isaac 401k'!N4820,'Retirement Calculator'!A:A,0),0),0)</f>
        <v>0</v>
      </c>
      <c r="K4820" s="455">
        <f t="shared" ca="1" si="191"/>
        <v>-342791505160.82697</v>
      </c>
      <c r="L4820" s="455">
        <f t="shared" ca="1" si="192"/>
        <v>-82612752743759.297</v>
      </c>
      <c r="M4820" s="471">
        <f t="shared" si="194"/>
        <v>0.05</v>
      </c>
      <c r="N4820" s="475">
        <f t="shared" si="195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93"/>
        <v>-82612752743759.297</v>
      </c>
      <c r="J4821" s="455">
        <f t="array" ref="J4821">IFERROR(INDEX('Retirement Calculator'!J:J,MATCH('Isaac 401k'!N4821,'Retirement Calculator'!A:A,0),0),0)</f>
        <v>0</v>
      </c>
      <c r="K4821" s="455">
        <f t="shared" ca="1" si="191"/>
        <v>-344219803098.99707</v>
      </c>
      <c r="L4821" s="455">
        <f t="shared" ca="1" si="192"/>
        <v>-82956972546858.297</v>
      </c>
      <c r="M4821" s="471">
        <f t="shared" si="194"/>
        <v>0.05</v>
      </c>
      <c r="N4821" s="475">
        <f t="shared" si="195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93"/>
        <v>-82956972546858.297</v>
      </c>
      <c r="J4822" s="455">
        <f t="array" ref="J4822">IFERROR(INDEX('Retirement Calculator'!J:J,MATCH('Isaac 401k'!N4822,'Retirement Calculator'!A:A,0),0),0)</f>
        <v>0</v>
      </c>
      <c r="K4822" s="455">
        <f t="shared" ca="1" si="191"/>
        <v>-345654052278.57623</v>
      </c>
      <c r="L4822" s="455">
        <f t="shared" ca="1" si="192"/>
        <v>-83302626599136.875</v>
      </c>
      <c r="M4822" s="471">
        <f t="shared" si="194"/>
        <v>0.05</v>
      </c>
      <c r="N4822" s="475">
        <f t="shared" si="195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93"/>
        <v>-83302626599136.875</v>
      </c>
      <c r="J4823" s="455">
        <f t="array" ref="J4823">IFERROR(INDEX('Retirement Calculator'!J:J,MATCH('Isaac 401k'!N4823,'Retirement Calculator'!A:A,0),0),0)</f>
        <v>0</v>
      </c>
      <c r="K4823" s="455">
        <f t="shared" ca="1" si="191"/>
        <v>-347094277496.40363</v>
      </c>
      <c r="L4823" s="455">
        <f t="shared" ca="1" si="192"/>
        <v>-83649720876633.281</v>
      </c>
      <c r="M4823" s="471">
        <f t="shared" si="194"/>
        <v>0.05</v>
      </c>
      <c r="N4823" s="475">
        <f t="shared" si="195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93"/>
        <v>-83649720876633.281</v>
      </c>
      <c r="J4824" s="455">
        <f t="array" ref="J4824">IFERROR(INDEX('Retirement Calculator'!J:J,MATCH('Isaac 401k'!N4824,'Retirement Calculator'!A:A,0),0),0)</f>
        <v>0</v>
      </c>
      <c r="K4824" s="455">
        <f t="shared" ca="1" si="191"/>
        <v>-348540503652.63867</v>
      </c>
      <c r="L4824" s="455">
        <f t="shared" ca="1" si="192"/>
        <v>-83998261380285.922</v>
      </c>
      <c r="M4824" s="471">
        <f t="shared" si="194"/>
        <v>0.05</v>
      </c>
      <c r="N4824" s="475">
        <f t="shared" si="195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93"/>
        <v>-83998261380285.922</v>
      </c>
      <c r="J4825" s="455">
        <f t="array" ref="J4825">IFERROR(INDEX('Retirement Calculator'!J:J,MATCH('Isaac 401k'!N4825,'Retirement Calculator'!A:A,0),0),0)</f>
        <v>0</v>
      </c>
      <c r="K4825" s="455">
        <f t="shared" ca="1" si="191"/>
        <v>-349992755751.19135</v>
      </c>
      <c r="L4825" s="455">
        <f t="shared" ca="1" si="192"/>
        <v>-84348254136037.109</v>
      </c>
      <c r="M4825" s="471">
        <f t="shared" si="194"/>
        <v>0.05</v>
      </c>
      <c r="N4825" s="475">
        <f t="shared" si="195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93"/>
        <v>-84348254136037.109</v>
      </c>
      <c r="J4826" s="455">
        <f t="array" ref="J4826">IFERROR(INDEX('Retirement Calculator'!J:J,MATCH('Isaac 401k'!N4826,'Retirement Calculator'!A:A,0),0),0)</f>
        <v>0</v>
      </c>
      <c r="K4826" s="455">
        <f t="shared" ca="1" si="191"/>
        <v>-351451058900.1546</v>
      </c>
      <c r="L4826" s="455">
        <f t="shared" ca="1" si="192"/>
        <v>-84699705194937.266</v>
      </c>
      <c r="M4826" s="471">
        <f t="shared" si="194"/>
        <v>0.05</v>
      </c>
      <c r="N4826" s="475">
        <f t="shared" si="195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93"/>
        <v>-84699705194937.266</v>
      </c>
      <c r="J4827" s="455">
        <f t="array" ref="J4827">IFERROR(INDEX('Retirement Calculator'!J:J,MATCH('Isaac 401k'!N4827,'Retirement Calculator'!A:A,0),0),0)</f>
        <v>0</v>
      </c>
      <c r="K4827" s="455">
        <f t="shared" ca="1" si="191"/>
        <v>-352915438312.23859</v>
      </c>
      <c r="L4827" s="455">
        <f t="shared" ca="1" si="192"/>
        <v>-85052620633249.5</v>
      </c>
      <c r="M4827" s="471">
        <f t="shared" si="194"/>
        <v>0.05</v>
      </c>
      <c r="N4827" s="475">
        <f t="shared" si="195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93"/>
        <v>-85052620633249.5</v>
      </c>
      <c r="J4828" s="455">
        <f t="array" ref="J4828">IFERROR(INDEX('Retirement Calculator'!J:J,MATCH('Isaac 401k'!N4828,'Retirement Calculator'!A:A,0),0),0)</f>
        <v>0</v>
      </c>
      <c r="K4828" s="455">
        <f t="shared" ca="1" si="191"/>
        <v>-354385919305.20624</v>
      </c>
      <c r="L4828" s="455">
        <f t="shared" ca="1" si="192"/>
        <v>-85407006552554.703</v>
      </c>
      <c r="M4828" s="471">
        <f t="shared" si="194"/>
        <v>0.05</v>
      </c>
      <c r="N4828" s="475">
        <f t="shared" si="195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93"/>
        <v>-85407006552554.703</v>
      </c>
      <c r="J4829" s="455">
        <f t="array" ref="J4829">IFERROR(INDEX('Retirement Calculator'!J:J,MATCH('Isaac 401k'!N4829,'Retirement Calculator'!A:A,0),0),0)</f>
        <v>0</v>
      </c>
      <c r="K4829" s="455">
        <f t="shared" ca="1" si="191"/>
        <v>-355862527302.31128</v>
      </c>
      <c r="L4829" s="455">
        <f t="shared" ca="1" si="192"/>
        <v>-85762869079857.016</v>
      </c>
      <c r="M4829" s="471">
        <f t="shared" si="194"/>
        <v>0.05</v>
      </c>
      <c r="N4829" s="475">
        <f t="shared" si="195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93"/>
        <v>-85762869079857.016</v>
      </c>
      <c r="J4830" s="455">
        <f t="array" ref="J4830">IFERROR(INDEX('Retirement Calculator'!J:J,MATCH('Isaac 401k'!N4830,'Retirement Calculator'!A:A,0),0),0)</f>
        <v>0</v>
      </c>
      <c r="K4830" s="455">
        <f t="shared" ca="1" si="191"/>
        <v>-357345287832.73755</v>
      </c>
      <c r="L4830" s="455">
        <f t="shared" ca="1" si="192"/>
        <v>-86120214367689.75</v>
      </c>
      <c r="M4830" s="471">
        <f t="shared" si="194"/>
        <v>0.05</v>
      </c>
      <c r="N4830" s="475">
        <f t="shared" si="195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93"/>
        <v>-86120214367689.75</v>
      </c>
      <c r="J4831" s="455">
        <f t="array" ref="J4831">IFERROR(INDEX('Retirement Calculator'!J:J,MATCH('Isaac 401k'!N4831,'Retirement Calculator'!A:A,0),0),0)</f>
        <v>0</v>
      </c>
      <c r="K4831" s="455">
        <f t="shared" ca="1" si="191"/>
        <v>-358834226532.04065</v>
      </c>
      <c r="L4831" s="455">
        <f t="shared" ca="1" si="192"/>
        <v>-86479048594221.797</v>
      </c>
      <c r="M4831" s="471">
        <f t="shared" si="194"/>
        <v>0.05</v>
      </c>
      <c r="N4831" s="475">
        <f t="shared" si="195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93"/>
        <v>-86479048594221.797</v>
      </c>
      <c r="J4832" s="455">
        <f t="array" ref="J4832">IFERROR(INDEX('Retirement Calculator'!J:J,MATCH('Isaac 401k'!N4832,'Retirement Calculator'!A:A,0),0),0)</f>
        <v>0</v>
      </c>
      <c r="K4832" s="455">
        <f t="shared" ca="1" si="191"/>
        <v>-360329369142.59082</v>
      </c>
      <c r="L4832" s="455">
        <f t="shared" ca="1" si="192"/>
        <v>-86839377963364.391</v>
      </c>
      <c r="M4832" s="471">
        <f t="shared" si="194"/>
        <v>0.05</v>
      </c>
      <c r="N4832" s="475">
        <f t="shared" si="195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93"/>
        <v>-86839377963364.391</v>
      </c>
      <c r="J4833" s="455">
        <f t="array" ref="J4833">IFERROR(INDEX('Retirement Calculator'!J:J,MATCH('Isaac 401k'!N4833,'Retirement Calculator'!A:A,0),0),0)</f>
        <v>0</v>
      </c>
      <c r="K4833" s="455">
        <f t="shared" ca="1" si="191"/>
        <v>-361830741514.01831</v>
      </c>
      <c r="L4833" s="455">
        <f t="shared" ca="1" si="192"/>
        <v>-87201208704878.406</v>
      </c>
      <c r="M4833" s="471">
        <f t="shared" si="194"/>
        <v>0.05</v>
      </c>
      <c r="N4833" s="475">
        <f t="shared" si="195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93"/>
        <v>-87201208704878.406</v>
      </c>
      <c r="J4834" s="455">
        <f t="array" ref="J4834">IFERROR(INDEX('Retirement Calculator'!J:J,MATCH('Isaac 401k'!N4834,'Retirement Calculator'!A:A,0),0),0)</f>
        <v>0</v>
      </c>
      <c r="K4834" s="455">
        <f t="shared" ca="1" si="191"/>
        <v>-363338369603.66003</v>
      </c>
      <c r="L4834" s="455">
        <f t="shared" ca="1" si="192"/>
        <v>-87564547074482.063</v>
      </c>
      <c r="M4834" s="471">
        <f t="shared" si="194"/>
        <v>0.05</v>
      </c>
      <c r="N4834" s="475">
        <f t="shared" si="195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93"/>
        <v>-87564547074482.063</v>
      </c>
      <c r="J4835" s="455">
        <f t="array" ref="J4835">IFERROR(INDEX('Retirement Calculator'!J:J,MATCH('Isaac 401k'!N4835,'Retirement Calculator'!A:A,0),0),0)</f>
        <v>0</v>
      </c>
      <c r="K4835" s="455">
        <f t="shared" ca="1" si="191"/>
        <v>-364852279477.00861</v>
      </c>
      <c r="L4835" s="455">
        <f t="shared" ca="1" si="192"/>
        <v>-87929399353959.078</v>
      </c>
      <c r="M4835" s="471">
        <f t="shared" si="194"/>
        <v>0.05</v>
      </c>
      <c r="N4835" s="475">
        <f t="shared" si="195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93"/>
        <v>-87929399353959.078</v>
      </c>
      <c r="J4836" s="455">
        <f t="array" ref="J4836">IFERROR(INDEX('Retirement Calculator'!J:J,MATCH('Isaac 401k'!N4836,'Retirement Calculator'!A:A,0),0),0)</f>
        <v>0</v>
      </c>
      <c r="K4836" s="455">
        <f t="shared" ca="1" si="191"/>
        <v>-366372497308.16284</v>
      </c>
      <c r="L4836" s="455">
        <f t="shared" ca="1" si="192"/>
        <v>-88295771851267.234</v>
      </c>
      <c r="M4836" s="471">
        <f t="shared" si="194"/>
        <v>0.05</v>
      </c>
      <c r="N4836" s="475">
        <f t="shared" si="195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93"/>
        <v>-88295771851267.234</v>
      </c>
      <c r="J4837" s="455">
        <f t="array" ref="J4837">IFERROR(INDEX('Retirement Calculator'!J:J,MATCH('Isaac 401k'!N4837,'Retirement Calculator'!A:A,0),0),0)</f>
        <v>0</v>
      </c>
      <c r="K4837" s="455">
        <f t="shared" ca="1" si="191"/>
        <v>-367899049380.28015</v>
      </c>
      <c r="L4837" s="455">
        <f t="shared" ca="1" si="192"/>
        <v>-88663670900647.516</v>
      </c>
      <c r="M4837" s="471">
        <f t="shared" si="194"/>
        <v>0.05</v>
      </c>
      <c r="N4837" s="475">
        <f t="shared" si="195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93"/>
        <v>-88663670900647.516</v>
      </c>
      <c r="J4838" s="455">
        <f t="array" ref="J4838">IFERROR(INDEX('Retirement Calculator'!J:J,MATCH('Isaac 401k'!N4838,'Retirement Calculator'!A:A,0),0),0)</f>
        <v>0</v>
      </c>
      <c r="K4838" s="455">
        <f t="shared" ca="1" si="191"/>
        <v>-369431962086.03131</v>
      </c>
      <c r="L4838" s="455">
        <f t="shared" ca="1" si="192"/>
        <v>-89033102862733.547</v>
      </c>
      <c r="M4838" s="471">
        <f t="shared" si="194"/>
        <v>0.05</v>
      </c>
      <c r="N4838" s="475">
        <f t="shared" si="195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93"/>
        <v>-89033102862733.547</v>
      </c>
      <c r="J4839" s="455">
        <f t="array" ref="J4839">IFERROR(INDEX('Retirement Calculator'!J:J,MATCH('Isaac 401k'!N4839,'Retirement Calculator'!A:A,0),0),0)</f>
        <v>0</v>
      </c>
      <c r="K4839" s="455">
        <f t="shared" ca="1" si="191"/>
        <v>-370971261928.05646</v>
      </c>
      <c r="L4839" s="455">
        <f t="shared" ca="1" si="192"/>
        <v>-89404074124661.609</v>
      </c>
      <c r="M4839" s="471">
        <f t="shared" si="194"/>
        <v>0.05</v>
      </c>
      <c r="N4839" s="475">
        <f t="shared" si="195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93"/>
        <v>-89404074124661.609</v>
      </c>
      <c r="J4840" s="455">
        <f t="array" ref="J4840">IFERROR(INDEX('Retirement Calculator'!J:J,MATCH('Isaac 401k'!N4840,'Retirement Calculator'!A:A,0),0),0)</f>
        <v>0</v>
      </c>
      <c r="K4840" s="455">
        <f t="shared" ca="1" si="191"/>
        <v>-372516975519.42334</v>
      </c>
      <c r="L4840" s="455">
        <f t="shared" ca="1" si="192"/>
        <v>-89776591100181.031</v>
      </c>
      <c r="M4840" s="471">
        <f t="shared" si="194"/>
        <v>0.05</v>
      </c>
      <c r="N4840" s="475">
        <f t="shared" si="195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93"/>
        <v>-89776591100181.031</v>
      </c>
      <c r="J4841" s="455">
        <f t="array" ref="J4841">IFERROR(INDEX('Retirement Calculator'!J:J,MATCH('Isaac 401k'!N4841,'Retirement Calculator'!A:A,0),0),0)</f>
        <v>0</v>
      </c>
      <c r="K4841" s="455">
        <f t="shared" ca="1" si="191"/>
        <v>-374069129584.08765</v>
      </c>
      <c r="L4841" s="455">
        <f t="shared" ca="1" si="192"/>
        <v>-90150660229765.125</v>
      </c>
      <c r="M4841" s="471">
        <f t="shared" si="194"/>
        <v>0.05</v>
      </c>
      <c r="N4841" s="475">
        <f t="shared" si="195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93"/>
        <v>-90150660229765.125</v>
      </c>
      <c r="J4842" s="455">
        <f t="array" ref="J4842">IFERROR(INDEX('Retirement Calculator'!J:J,MATCH('Isaac 401k'!N4842,'Retirement Calculator'!A:A,0),0),0)</f>
        <v>0</v>
      </c>
      <c r="K4842" s="455">
        <f t="shared" ca="1" si="191"/>
        <v>-375627750957.35468</v>
      </c>
      <c r="L4842" s="455">
        <f t="shared" ca="1" si="192"/>
        <v>-90526287980722.484</v>
      </c>
      <c r="M4842" s="471">
        <f t="shared" si="194"/>
        <v>0.05</v>
      </c>
      <c r="N4842" s="475">
        <f t="shared" si="195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93"/>
        <v>-90526287980722.484</v>
      </c>
      <c r="J4843" s="455">
        <f t="array" ref="J4843">IFERROR(INDEX('Retirement Calculator'!J:J,MATCH('Isaac 401k'!N4843,'Retirement Calculator'!A:A,0),0),0)</f>
        <v>0</v>
      </c>
      <c r="K4843" s="455">
        <f t="shared" ca="1" si="191"/>
        <v>-377192866586.34369</v>
      </c>
      <c r="L4843" s="455">
        <f t="shared" ca="1" si="192"/>
        <v>-90903480847308.828</v>
      </c>
      <c r="M4843" s="471">
        <f t="shared" si="194"/>
        <v>0.05</v>
      </c>
      <c r="N4843" s="475">
        <f t="shared" si="195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93"/>
        <v>-90903480847308.828</v>
      </c>
      <c r="J4844" s="455">
        <f t="array" ref="J4844">IFERROR(INDEX('Retirement Calculator'!J:J,MATCH('Isaac 401k'!N4844,'Retirement Calculator'!A:A,0),0),0)</f>
        <v>0</v>
      </c>
      <c r="K4844" s="455">
        <f t="shared" ca="1" si="191"/>
        <v>-378764503530.45343</v>
      </c>
      <c r="L4844" s="455">
        <f t="shared" ca="1" si="192"/>
        <v>-91282245350839.281</v>
      </c>
      <c r="M4844" s="471">
        <f t="shared" si="194"/>
        <v>0.05</v>
      </c>
      <c r="N4844" s="475">
        <f t="shared" si="195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93"/>
        <v>-91282245350839.281</v>
      </c>
      <c r="J4845" s="455">
        <f t="array" ref="J4845">IFERROR(INDEX('Retirement Calculator'!J:J,MATCH('Isaac 401k'!N4845,'Retirement Calculator'!A:A,0),0),0)</f>
        <v>0</v>
      </c>
      <c r="K4845" s="455">
        <f t="shared" ca="1" si="191"/>
        <v>-380342688961.83032</v>
      </c>
      <c r="L4845" s="455">
        <f t="shared" ca="1" si="192"/>
        <v>-91662588039801.109</v>
      </c>
      <c r="M4845" s="471">
        <f t="shared" si="194"/>
        <v>0.05</v>
      </c>
      <c r="N4845" s="475">
        <f t="shared" si="195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93"/>
        <v>-91662588039801.109</v>
      </c>
      <c r="J4846" s="455">
        <f t="array" ref="J4846">IFERROR(INDEX('Retirement Calculator'!J:J,MATCH('Isaac 401k'!N4846,'Retirement Calculator'!A:A,0),0),0)</f>
        <v>0</v>
      </c>
      <c r="K4846" s="455">
        <f t="shared" ca="1" si="191"/>
        <v>-381927450165.83795</v>
      </c>
      <c r="L4846" s="455">
        <f t="shared" ca="1" si="192"/>
        <v>-92044515489966.953</v>
      </c>
      <c r="M4846" s="471">
        <f t="shared" si="194"/>
        <v>0.05</v>
      </c>
      <c r="N4846" s="475">
        <f t="shared" si="195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93"/>
        <v>-92044515489966.953</v>
      </c>
      <c r="J4847" s="455">
        <f t="array" ref="J4847">IFERROR(INDEX('Retirement Calculator'!J:J,MATCH('Isaac 401k'!N4847,'Retirement Calculator'!A:A,0),0),0)</f>
        <v>0</v>
      </c>
      <c r="K4847" s="455">
        <f t="shared" ca="1" si="191"/>
        <v>-383518814541.52899</v>
      </c>
      <c r="L4847" s="455">
        <f t="shared" ca="1" si="192"/>
        <v>-92428034304508.484</v>
      </c>
      <c r="M4847" s="471">
        <f t="shared" si="194"/>
        <v>0.05</v>
      </c>
      <c r="N4847" s="475">
        <f t="shared" si="195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93"/>
        <v>-92428034304508.484</v>
      </c>
      <c r="J4848" s="455">
        <f t="array" ref="J4848">IFERROR(INDEX('Retirement Calculator'!J:J,MATCH('Isaac 401k'!N4848,'Retirement Calculator'!A:A,0),0),0)</f>
        <v>0</v>
      </c>
      <c r="K4848" s="455">
        <f t="shared" ca="1" si="191"/>
        <v>-385116809602.11865</v>
      </c>
      <c r="L4848" s="455">
        <f t="shared" ca="1" si="192"/>
        <v>-92813151114110.609</v>
      </c>
      <c r="M4848" s="471">
        <f t="shared" si="194"/>
        <v>0.05</v>
      </c>
      <c r="N4848" s="475">
        <f t="shared" si="195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93"/>
        <v>-92813151114110.609</v>
      </c>
      <c r="J4849" s="455">
        <f t="array" ref="J4849">IFERROR(INDEX('Retirement Calculator'!J:J,MATCH('Isaac 401k'!N4849,'Retirement Calculator'!A:A,0),0),0)</f>
        <v>0</v>
      </c>
      <c r="K4849" s="455">
        <f t="shared" ca="1" si="191"/>
        <v>-386721462975.46088</v>
      </c>
      <c r="L4849" s="455">
        <f t="shared" ca="1" si="192"/>
        <v>-93199872577086.063</v>
      </c>
      <c r="M4849" s="471">
        <f t="shared" si="194"/>
        <v>0.05</v>
      </c>
      <c r="N4849" s="475">
        <f t="shared" si="195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93"/>
        <v>-93199872577086.063</v>
      </c>
      <c r="J4850" s="455">
        <f t="array" ref="J4850">IFERROR(INDEX('Retirement Calculator'!J:J,MATCH('Isaac 401k'!N4850,'Retirement Calculator'!A:A,0),0),0)</f>
        <v>0</v>
      </c>
      <c r="K4850" s="455">
        <f t="shared" ca="1" si="191"/>
        <v>-388332802404.52527</v>
      </c>
      <c r="L4850" s="455">
        <f t="shared" ca="1" si="192"/>
        <v>-93588205379490.594</v>
      </c>
      <c r="M4850" s="471">
        <f t="shared" si="194"/>
        <v>0.05</v>
      </c>
      <c r="N4850" s="475">
        <f t="shared" si="195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93"/>
        <v>-93588205379490.594</v>
      </c>
      <c r="J4851" s="455">
        <f t="array" ref="J4851">IFERROR(INDEX('Retirement Calculator'!J:J,MATCH('Isaac 401k'!N4851,'Retirement Calculator'!A:A,0),0),0)</f>
        <v>0</v>
      </c>
      <c r="K4851" s="455">
        <f t="shared" ca="1" si="191"/>
        <v>-389950855747.87744</v>
      </c>
      <c r="L4851" s="455">
        <f t="shared" ca="1" si="192"/>
        <v>-93978156235238.469</v>
      </c>
      <c r="M4851" s="471">
        <f t="shared" si="194"/>
        <v>0.05</v>
      </c>
      <c r="N4851" s="475">
        <f t="shared" si="195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93"/>
        <v>-93978156235238.469</v>
      </c>
      <c r="J4852" s="455">
        <f t="array" ref="J4852">IFERROR(INDEX('Retirement Calculator'!J:J,MATCH('Isaac 401k'!N4852,'Retirement Calculator'!A:A,0),0),0)</f>
        <v>0</v>
      </c>
      <c r="K4852" s="455">
        <f t="shared" ca="1" si="191"/>
        <v>-391575650980.16028</v>
      </c>
      <c r="L4852" s="455">
        <f t="shared" ca="1" si="192"/>
        <v>-94369731886218.625</v>
      </c>
      <c r="M4852" s="471">
        <f t="shared" si="194"/>
        <v>0.05</v>
      </c>
      <c r="N4852" s="475">
        <f t="shared" si="195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93"/>
        <v>-94369731886218.625</v>
      </c>
      <c r="J4853" s="455">
        <f t="array" ref="J4853">IFERROR(INDEX('Retirement Calculator'!J:J,MATCH('Isaac 401k'!N4853,'Retirement Calculator'!A:A,0),0),0)</f>
        <v>0</v>
      </c>
      <c r="K4853" s="455">
        <f t="shared" ref="K4853:K5107" ca="1" si="196">IPMT(M4853/12,1,12,-I4853+J4853,,0)</f>
        <v>-393207216192.57758</v>
      </c>
      <c r="L4853" s="455">
        <f t="shared" ref="L4853:L5107" ca="1" si="197">I4853-J4853+K4853</f>
        <v>-94762939102411.203</v>
      </c>
      <c r="M4853" s="471">
        <f t="shared" si="194"/>
        <v>0.05</v>
      </c>
      <c r="N4853" s="475">
        <f t="shared" si="195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98">L4853</f>
        <v>-94762939102411.203</v>
      </c>
      <c r="J4854" s="455">
        <f t="array" ref="J4854">IFERROR(INDEX('Retirement Calculator'!J:J,MATCH('Isaac 401k'!N4854,'Retirement Calculator'!A:A,0),0),0)</f>
        <v>0</v>
      </c>
      <c r="K4854" s="455">
        <f t="shared" ca="1" si="196"/>
        <v>-394845579593.38</v>
      </c>
      <c r="L4854" s="455">
        <f t="shared" ca="1" si="197"/>
        <v>-95157784682004.578</v>
      </c>
      <c r="M4854" s="471">
        <f t="shared" ref="M4854:M5108" si="199">M4853</f>
        <v>0.05</v>
      </c>
      <c r="N4854" s="475">
        <f t="shared" ref="N4854:N5108" si="200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98"/>
        <v>-95157784682004.578</v>
      </c>
      <c r="J4855" s="455">
        <f t="array" ref="J4855">IFERROR(INDEX('Retirement Calculator'!J:J,MATCH('Isaac 401k'!N4855,'Retirement Calculator'!A:A,0),0),0)</f>
        <v>0</v>
      </c>
      <c r="K4855" s="455">
        <f t="shared" ca="1" si="196"/>
        <v>-396490769508.35242</v>
      </c>
      <c r="L4855" s="455">
        <f t="shared" ca="1" si="197"/>
        <v>-95554275451512.938</v>
      </c>
      <c r="M4855" s="471">
        <f t="shared" si="199"/>
        <v>0.05</v>
      </c>
      <c r="N4855" s="475">
        <f t="shared" si="200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98"/>
        <v>-95554275451512.938</v>
      </c>
      <c r="J4856" s="455">
        <f t="array" ref="J4856">IFERROR(INDEX('Retirement Calculator'!J:J,MATCH('Isaac 401k'!N4856,'Retirement Calculator'!A:A,0),0),0)</f>
        <v>0</v>
      </c>
      <c r="K4856" s="455">
        <f t="shared" ca="1" si="196"/>
        <v>-398142814381.30389</v>
      </c>
      <c r="L4856" s="455">
        <f t="shared" ca="1" si="197"/>
        <v>-95952418265894.234</v>
      </c>
      <c r="M4856" s="471">
        <f t="shared" si="199"/>
        <v>0.05</v>
      </c>
      <c r="N4856" s="475">
        <f t="shared" si="200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98"/>
        <v>-95952418265894.234</v>
      </c>
      <c r="J4857" s="455">
        <f t="array" ref="J4857">IFERROR(INDEX('Retirement Calculator'!J:J,MATCH('Isaac 401k'!N4857,'Retirement Calculator'!A:A,0),0),0)</f>
        <v>0</v>
      </c>
      <c r="K4857" s="455">
        <f t="shared" ca="1" si="196"/>
        <v>-399801742774.55933</v>
      </c>
      <c r="L4857" s="455">
        <f t="shared" ca="1" si="197"/>
        <v>-96352220008668.797</v>
      </c>
      <c r="M4857" s="471">
        <f t="shared" si="199"/>
        <v>0.05</v>
      </c>
      <c r="N4857" s="475">
        <f t="shared" si="200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98"/>
        <v>-96352220008668.797</v>
      </c>
      <c r="J4858" s="455">
        <f t="array" ref="J4858">IFERROR(INDEX('Retirement Calculator'!J:J,MATCH('Isaac 401k'!N4858,'Retirement Calculator'!A:A,0),0),0)</f>
        <v>0</v>
      </c>
      <c r="K4858" s="455">
        <f t="shared" ca="1" si="196"/>
        <v>-401467583369.45331</v>
      </c>
      <c r="L4858" s="455">
        <f t="shared" ca="1" si="197"/>
        <v>-96753687592038.25</v>
      </c>
      <c r="M4858" s="471">
        <f t="shared" si="199"/>
        <v>0.05</v>
      </c>
      <c r="N4858" s="475">
        <f t="shared" si="200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98"/>
        <v>-96753687592038.25</v>
      </c>
      <c r="J4859" s="455">
        <f t="array" ref="J4859">IFERROR(INDEX('Retirement Calculator'!J:J,MATCH('Isaac 401k'!N4859,'Retirement Calculator'!A:A,0),0),0)</f>
        <v>0</v>
      </c>
      <c r="K4859" s="455">
        <f t="shared" ca="1" si="196"/>
        <v>-403140364966.82605</v>
      </c>
      <c r="L4859" s="455">
        <f t="shared" ca="1" si="197"/>
        <v>-97156827957005.078</v>
      </c>
      <c r="M4859" s="471">
        <f t="shared" si="199"/>
        <v>0.05</v>
      </c>
      <c r="N4859" s="475">
        <f t="shared" si="200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98"/>
        <v>-97156827957005.078</v>
      </c>
      <c r="J4860" s="455">
        <f t="array" ref="J4860">IFERROR(INDEX('Retirement Calculator'!J:J,MATCH('Isaac 401k'!N4860,'Retirement Calculator'!A:A,0),0),0)</f>
        <v>0</v>
      </c>
      <c r="K4860" s="455">
        <f t="shared" ca="1" si="196"/>
        <v>-404820116487.52118</v>
      </c>
      <c r="L4860" s="455">
        <f t="shared" ca="1" si="197"/>
        <v>-97561648073492.594</v>
      </c>
      <c r="M4860" s="471">
        <f t="shared" si="199"/>
        <v>0.05</v>
      </c>
      <c r="N4860" s="475">
        <f t="shared" si="200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98"/>
        <v>-97561648073492.594</v>
      </c>
      <c r="J4861" s="455">
        <f t="array" ref="J4861">IFERROR(INDEX('Retirement Calculator'!J:J,MATCH('Isaac 401k'!N4861,'Retirement Calculator'!A:A,0),0),0)</f>
        <v>0</v>
      </c>
      <c r="K4861" s="455">
        <f t="shared" ca="1" si="196"/>
        <v>-406506866972.8858</v>
      </c>
      <c r="L4861" s="455">
        <f t="shared" ca="1" si="197"/>
        <v>-97968154940465.484</v>
      </c>
      <c r="M4861" s="471">
        <f t="shared" si="199"/>
        <v>0.05</v>
      </c>
      <c r="N4861" s="475">
        <f t="shared" si="200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98"/>
        <v>-97968154940465.484</v>
      </c>
      <c r="J4862" s="455">
        <f t="array" ref="J4862">IFERROR(INDEX('Retirement Calculator'!J:J,MATCH('Isaac 401k'!N4862,'Retirement Calculator'!A:A,0),0),0)</f>
        <v>0</v>
      </c>
      <c r="K4862" s="455">
        <f t="shared" ca="1" si="196"/>
        <v>-408200645585.27283</v>
      </c>
      <c r="L4862" s="455">
        <f t="shared" ca="1" si="197"/>
        <v>-98376355586050.75</v>
      </c>
      <c r="M4862" s="471">
        <f t="shared" si="199"/>
        <v>0.05</v>
      </c>
      <c r="N4862" s="475">
        <f t="shared" si="200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98"/>
        <v>-98376355586050.75</v>
      </c>
      <c r="J4863" s="455">
        <f t="array" ref="J4863">IFERROR(INDEX('Retirement Calculator'!J:J,MATCH('Isaac 401k'!N4863,'Retirement Calculator'!A:A,0),0),0)</f>
        <v>0</v>
      </c>
      <c r="K4863" s="455">
        <f t="shared" ca="1" si="196"/>
        <v>-409901481608.5448</v>
      </c>
      <c r="L4863" s="455">
        <f t="shared" ca="1" si="197"/>
        <v>-98786257067659.297</v>
      </c>
      <c r="M4863" s="471">
        <f t="shared" si="199"/>
        <v>0.05</v>
      </c>
      <c r="N4863" s="475">
        <f t="shared" si="200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98"/>
        <v>-98786257067659.297</v>
      </c>
      <c r="J4864" s="455">
        <f t="array" ref="J4864">IFERROR(INDEX('Retirement Calculator'!J:J,MATCH('Isaac 401k'!N4864,'Retirement Calculator'!A:A,0),0),0)</f>
        <v>0</v>
      </c>
      <c r="K4864" s="455">
        <f t="shared" ca="1" si="196"/>
        <v>-411609404448.58038</v>
      </c>
      <c r="L4864" s="455">
        <f t="shared" ca="1" si="197"/>
        <v>-99197866472107.875</v>
      </c>
      <c r="M4864" s="471">
        <f t="shared" si="199"/>
        <v>0.05</v>
      </c>
      <c r="N4864" s="475">
        <f t="shared" si="200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98"/>
        <v>-99197866472107.875</v>
      </c>
      <c r="J4865" s="455">
        <f t="array" ref="J4865">IFERROR(INDEX('Retirement Calculator'!J:J,MATCH('Isaac 401k'!N4865,'Retirement Calculator'!A:A,0),0),0)</f>
        <v>0</v>
      </c>
      <c r="K4865" s="455">
        <f t="shared" ca="1" si="196"/>
        <v>-413324443633.78284</v>
      </c>
      <c r="L4865" s="455">
        <f t="shared" ca="1" si="197"/>
        <v>-99611190915741.656</v>
      </c>
      <c r="M4865" s="471">
        <f t="shared" si="199"/>
        <v>0.05</v>
      </c>
      <c r="N4865" s="475">
        <f t="shared" si="200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98"/>
        <v>-99611190915741.656</v>
      </c>
      <c r="J4866" s="455">
        <f t="array" ref="J4866">IFERROR(INDEX('Retirement Calculator'!J:J,MATCH('Isaac 401k'!N4866,'Retirement Calculator'!A:A,0),0),0)</f>
        <v>0</v>
      </c>
      <c r="K4866" s="455">
        <f t="shared" ca="1" si="196"/>
        <v>-415046628815.59021</v>
      </c>
      <c r="L4866" s="455">
        <f t="shared" ca="1" si="197"/>
        <v>-100026237544557.25</v>
      </c>
      <c r="M4866" s="471">
        <f t="shared" si="199"/>
        <v>0.05</v>
      </c>
      <c r="N4866" s="475">
        <f t="shared" si="200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98"/>
        <v>-100026237544557.25</v>
      </c>
      <c r="J4867" s="455">
        <f t="array" ref="J4867">IFERROR(INDEX('Retirement Calculator'!J:J,MATCH('Isaac 401k'!N4867,'Retirement Calculator'!A:A,0),0),0)</f>
        <v>0</v>
      </c>
      <c r="K4867" s="455">
        <f t="shared" ca="1" si="196"/>
        <v>-416775989768.98853</v>
      </c>
      <c r="L4867" s="455">
        <f t="shared" ca="1" si="197"/>
        <v>-100443013534326.23</v>
      </c>
      <c r="M4867" s="471">
        <f t="shared" si="199"/>
        <v>0.05</v>
      </c>
      <c r="N4867" s="475">
        <f t="shared" si="200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98"/>
        <v>-100443013534326.23</v>
      </c>
      <c r="J4868" s="455">
        <f t="array" ref="J4868">IFERROR(INDEX('Retirement Calculator'!J:J,MATCH('Isaac 401k'!N4868,'Retirement Calculator'!A:A,0),0),0)</f>
        <v>0</v>
      </c>
      <c r="K4868" s="455">
        <f t="shared" ca="1" si="196"/>
        <v>-418512556393.026</v>
      </c>
      <c r="L4868" s="455">
        <f t="shared" ca="1" si="197"/>
        <v>-100861526090719.27</v>
      </c>
      <c r="M4868" s="471">
        <f t="shared" si="199"/>
        <v>0.05</v>
      </c>
      <c r="N4868" s="475">
        <f t="shared" si="200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98"/>
        <v>-100861526090719.27</v>
      </c>
      <c r="J4869" s="455">
        <f t="array" ref="J4869">IFERROR(INDEX('Retirement Calculator'!J:J,MATCH('Isaac 401k'!N4869,'Retirement Calculator'!A:A,0),0),0)</f>
        <v>0</v>
      </c>
      <c r="K4869" s="455">
        <f t="shared" ca="1" si="196"/>
        <v>-420256358711.33026</v>
      </c>
      <c r="L4869" s="455">
        <f t="shared" ca="1" si="197"/>
        <v>-101281782449430.59</v>
      </c>
      <c r="M4869" s="471">
        <f t="shared" si="199"/>
        <v>0.05</v>
      </c>
      <c r="N4869" s="475">
        <f t="shared" si="200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98"/>
        <v>-101281782449430.59</v>
      </c>
      <c r="J4870" s="455">
        <f t="array" ref="J4870">IFERROR(INDEX('Retirement Calculator'!J:J,MATCH('Isaac 401k'!N4870,'Retirement Calculator'!A:A,0),0),0)</f>
        <v>0</v>
      </c>
      <c r="K4870" s="455">
        <f t="shared" ca="1" si="196"/>
        <v>-422007426872.62744</v>
      </c>
      <c r="L4870" s="455">
        <f t="shared" ca="1" si="197"/>
        <v>-101703789876303.22</v>
      </c>
      <c r="M4870" s="471">
        <f t="shared" si="199"/>
        <v>0.05</v>
      </c>
      <c r="N4870" s="475">
        <f t="shared" si="200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98"/>
        <v>-101703789876303.22</v>
      </c>
      <c r="J4871" s="455">
        <f t="array" ref="J4871">IFERROR(INDEX('Retirement Calculator'!J:J,MATCH('Isaac 401k'!N4871,'Retirement Calculator'!A:A,0),0),0)</f>
        <v>0</v>
      </c>
      <c r="K4871" s="455">
        <f t="shared" ca="1" si="196"/>
        <v>-423765791151.26343</v>
      </c>
      <c r="L4871" s="455">
        <f t="shared" ca="1" si="197"/>
        <v>-102127555667454.48</v>
      </c>
      <c r="M4871" s="471">
        <f t="shared" si="199"/>
        <v>0.05</v>
      </c>
      <c r="N4871" s="475">
        <f t="shared" si="200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98"/>
        <v>-102127555667454.48</v>
      </c>
      <c r="J4872" s="455">
        <f t="array" ref="J4872">IFERROR(INDEX('Retirement Calculator'!J:J,MATCH('Isaac 401k'!N4872,'Retirement Calculator'!A:A,0),0),0)</f>
        <v>0</v>
      </c>
      <c r="K4872" s="455">
        <f t="shared" ca="1" si="196"/>
        <v>-425531481947.72699</v>
      </c>
      <c r="L4872" s="455">
        <f t="shared" ca="1" si="197"/>
        <v>-102553087149402.22</v>
      </c>
      <c r="M4872" s="471">
        <f t="shared" si="199"/>
        <v>0.05</v>
      </c>
      <c r="N4872" s="475">
        <f t="shared" si="200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98"/>
        <v>-102553087149402.22</v>
      </c>
      <c r="J4873" s="455">
        <f t="array" ref="J4873">IFERROR(INDEX('Retirement Calculator'!J:J,MATCH('Isaac 401k'!N4873,'Retirement Calculator'!A:A,0),0),0)</f>
        <v>0</v>
      </c>
      <c r="K4873" s="455">
        <f t="shared" ca="1" si="196"/>
        <v>-427304529789.1759</v>
      </c>
      <c r="L4873" s="455">
        <f t="shared" ca="1" si="197"/>
        <v>-102980391679191.39</v>
      </c>
      <c r="M4873" s="471">
        <f t="shared" si="199"/>
        <v>0.05</v>
      </c>
      <c r="N4873" s="475">
        <f t="shared" si="200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98"/>
        <v>-102980391679191.39</v>
      </c>
      <c r="J4874" s="455">
        <f t="array" ref="J4874">IFERROR(INDEX('Retirement Calculator'!J:J,MATCH('Isaac 401k'!N4874,'Retirement Calculator'!A:A,0),0),0)</f>
        <v>0</v>
      </c>
      <c r="K4874" s="455">
        <f t="shared" ca="1" si="196"/>
        <v>-429084965329.96411</v>
      </c>
      <c r="L4874" s="455">
        <f t="shared" ca="1" si="197"/>
        <v>-103409476644521.36</v>
      </c>
      <c r="M4874" s="471">
        <f t="shared" si="199"/>
        <v>0.05</v>
      </c>
      <c r="N4874" s="475">
        <f t="shared" si="200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98"/>
        <v>-103409476644521.36</v>
      </c>
      <c r="J4875" s="455">
        <f t="array" ref="J4875">IFERROR(INDEX('Retirement Calculator'!J:J,MATCH('Isaac 401k'!N4875,'Retirement Calculator'!A:A,0),0),0)</f>
        <v>0</v>
      </c>
      <c r="K4875" s="455">
        <f t="shared" ca="1" si="196"/>
        <v>-430872819352.1723</v>
      </c>
      <c r="L4875" s="455">
        <f t="shared" ca="1" si="197"/>
        <v>-103840349463873.53</v>
      </c>
      <c r="M4875" s="471">
        <f t="shared" si="199"/>
        <v>0.05</v>
      </c>
      <c r="N4875" s="475">
        <f t="shared" si="200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98"/>
        <v>-103840349463873.53</v>
      </c>
      <c r="J4876" s="455">
        <f t="array" ref="J4876">IFERROR(INDEX('Retirement Calculator'!J:J,MATCH('Isaac 401k'!N4876,'Retirement Calculator'!A:A,0),0),0)</f>
        <v>0</v>
      </c>
      <c r="K4876" s="455">
        <f t="shared" ca="1" si="196"/>
        <v>-432668122766.13971</v>
      </c>
      <c r="L4876" s="455">
        <f t="shared" ca="1" si="197"/>
        <v>-104273017586639.67</v>
      </c>
      <c r="M4876" s="471">
        <f t="shared" si="199"/>
        <v>0.05</v>
      </c>
      <c r="N4876" s="475">
        <f t="shared" si="200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98"/>
        <v>-104273017586639.67</v>
      </c>
      <c r="J4877" s="455">
        <f t="array" ref="J4877">IFERROR(INDEX('Retirement Calculator'!J:J,MATCH('Isaac 401k'!N4877,'Retirement Calculator'!A:A,0),0),0)</f>
        <v>0</v>
      </c>
      <c r="K4877" s="455">
        <f t="shared" ca="1" si="196"/>
        <v>-434470906610.99866</v>
      </c>
      <c r="L4877" s="455">
        <f t="shared" ca="1" si="197"/>
        <v>-104707488493250.67</v>
      </c>
      <c r="M4877" s="471">
        <f t="shared" si="199"/>
        <v>0.05</v>
      </c>
      <c r="N4877" s="475">
        <f t="shared" si="200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98"/>
        <v>-104707488493250.67</v>
      </c>
      <c r="J4878" s="455">
        <f t="array" ref="J4878">IFERROR(INDEX('Retirement Calculator'!J:J,MATCH('Isaac 401k'!N4878,'Retirement Calculator'!A:A,0),0),0)</f>
        <v>0</v>
      </c>
      <c r="K4878" s="455">
        <f t="shared" ca="1" si="196"/>
        <v>-436281202055.21112</v>
      </c>
      <c r="L4878" s="455">
        <f t="shared" ca="1" si="197"/>
        <v>-105143769695305.89</v>
      </c>
      <c r="M4878" s="471">
        <f t="shared" si="199"/>
        <v>0.05</v>
      </c>
      <c r="N4878" s="475">
        <f t="shared" si="200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98"/>
        <v>-105143769695305.89</v>
      </c>
      <c r="J4879" s="455">
        <f t="array" ref="J4879">IFERROR(INDEX('Retirement Calculator'!J:J,MATCH('Isaac 401k'!N4879,'Retirement Calculator'!A:A,0),0),0)</f>
        <v>0</v>
      </c>
      <c r="K4879" s="455">
        <f t="shared" ca="1" si="196"/>
        <v>-438099040397.10785</v>
      </c>
      <c r="L4879" s="455">
        <f t="shared" ca="1" si="197"/>
        <v>-105581868735703</v>
      </c>
      <c r="M4879" s="471">
        <f t="shared" si="199"/>
        <v>0.05</v>
      </c>
      <c r="N4879" s="475">
        <f t="shared" si="200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98"/>
        <v>-105581868735703</v>
      </c>
      <c r="J4880" s="455">
        <f t="array" ref="J4880">IFERROR(INDEX('Retirement Calculator'!J:J,MATCH('Isaac 401k'!N4880,'Retirement Calculator'!A:A,0),0),0)</f>
        <v>0</v>
      </c>
      <c r="K4880" s="455">
        <f t="shared" ca="1" si="196"/>
        <v>-439924453065.42914</v>
      </c>
      <c r="L4880" s="455">
        <f t="shared" ca="1" si="197"/>
        <v>-106021793188768.42</v>
      </c>
      <c r="M4880" s="471">
        <f t="shared" si="199"/>
        <v>0.05</v>
      </c>
      <c r="N4880" s="475">
        <f t="shared" si="200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98"/>
        <v>-106021793188768.42</v>
      </c>
      <c r="J4881" s="455">
        <f t="array" ref="J4881">IFERROR(INDEX('Retirement Calculator'!J:J,MATCH('Isaac 401k'!N4881,'Retirement Calculator'!A:A,0),0),0)</f>
        <v>0</v>
      </c>
      <c r="K4881" s="455">
        <f t="shared" ca="1" si="196"/>
        <v>-441757471619.86841</v>
      </c>
      <c r="L4881" s="455">
        <f t="shared" ca="1" si="197"/>
        <v>-106463550660388.3</v>
      </c>
      <c r="M4881" s="471">
        <f t="shared" si="199"/>
        <v>0.05</v>
      </c>
      <c r="N4881" s="475">
        <f t="shared" si="200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98"/>
        <v>-106463550660388.3</v>
      </c>
      <c r="J4882" s="455">
        <f t="array" ref="J4882">IFERROR(INDEX('Retirement Calculator'!J:J,MATCH('Isaac 401k'!N4882,'Retirement Calculator'!A:A,0),0),0)</f>
        <v>0</v>
      </c>
      <c r="K4882" s="455">
        <f t="shared" ca="1" si="196"/>
        <v>-443598127751.61792</v>
      </c>
      <c r="L4882" s="455">
        <f t="shared" ca="1" si="197"/>
        <v>-106907148788139.92</v>
      </c>
      <c r="M4882" s="471">
        <f t="shared" si="199"/>
        <v>0.05</v>
      </c>
      <c r="N4882" s="475">
        <f t="shared" si="200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98"/>
        <v>-106907148788139.92</v>
      </c>
      <c r="J4883" s="455">
        <f t="array" ref="J4883">IFERROR(INDEX('Retirement Calculator'!J:J,MATCH('Isaac 401k'!N4883,'Retirement Calculator'!A:A,0),0),0)</f>
        <v>0</v>
      </c>
      <c r="K4883" s="455">
        <f t="shared" ca="1" si="196"/>
        <v>-445446453283.91632</v>
      </c>
      <c r="L4883" s="455">
        <f t="shared" ca="1" si="197"/>
        <v>-107352595241423.84</v>
      </c>
      <c r="M4883" s="471">
        <f t="shared" si="199"/>
        <v>0.05</v>
      </c>
      <c r="N4883" s="475">
        <f t="shared" si="200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98"/>
        <v>-107352595241423.84</v>
      </c>
      <c r="J4884" s="455">
        <f t="array" ref="J4884">IFERROR(INDEX('Retirement Calculator'!J:J,MATCH('Isaac 401k'!N4884,'Retirement Calculator'!A:A,0),0),0)</f>
        <v>0</v>
      </c>
      <c r="K4884" s="455">
        <f t="shared" ca="1" si="196"/>
        <v>-447302480172.59937</v>
      </c>
      <c r="L4884" s="455">
        <f t="shared" ca="1" si="197"/>
        <v>-107799897721596.44</v>
      </c>
      <c r="M4884" s="471">
        <f t="shared" si="199"/>
        <v>0.05</v>
      </c>
      <c r="N4884" s="475">
        <f t="shared" si="200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98"/>
        <v>-107799897721596.44</v>
      </c>
      <c r="J4885" s="455">
        <f t="array" ref="J4885">IFERROR(INDEX('Retirement Calculator'!J:J,MATCH('Isaac 401k'!N4885,'Retirement Calculator'!A:A,0),0),0)</f>
        <v>0</v>
      </c>
      <c r="K4885" s="455">
        <f t="shared" ca="1" si="196"/>
        <v>-449166240506.65179</v>
      </c>
      <c r="L4885" s="455">
        <f t="shared" ca="1" si="197"/>
        <v>-108249063962103.09</v>
      </c>
      <c r="M4885" s="471">
        <f t="shared" si="199"/>
        <v>0.05</v>
      </c>
      <c r="N4885" s="475">
        <f t="shared" si="200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98"/>
        <v>-108249063962103.09</v>
      </c>
      <c r="J4886" s="455">
        <f t="array" ref="J4886">IFERROR(INDEX('Retirement Calculator'!J:J,MATCH('Isaac 401k'!N4886,'Retirement Calculator'!A:A,0),0),0)</f>
        <v>0</v>
      </c>
      <c r="K4886" s="455">
        <f t="shared" ca="1" si="196"/>
        <v>-451037766508.76288</v>
      </c>
      <c r="L4886" s="455">
        <f t="shared" ca="1" si="197"/>
        <v>-108700101728611.86</v>
      </c>
      <c r="M4886" s="471">
        <f t="shared" si="199"/>
        <v>0.05</v>
      </c>
      <c r="N4886" s="475">
        <f t="shared" si="200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98"/>
        <v>-108700101728611.86</v>
      </c>
      <c r="J4887" s="455">
        <f t="array" ref="J4887">IFERROR(INDEX('Retirement Calculator'!J:J,MATCH('Isaac 401k'!N4887,'Retirement Calculator'!A:A,0),0),0)</f>
        <v>0</v>
      </c>
      <c r="K4887" s="455">
        <f t="shared" ca="1" si="196"/>
        <v>-452917090535.88275</v>
      </c>
      <c r="L4887" s="455">
        <f t="shared" ca="1" si="197"/>
        <v>-109153018819147.73</v>
      </c>
      <c r="M4887" s="471">
        <f t="shared" si="199"/>
        <v>0.05</v>
      </c>
      <c r="N4887" s="475">
        <f t="shared" si="200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98"/>
        <v>-109153018819147.73</v>
      </c>
      <c r="J4888" s="455">
        <f t="array" ref="J4888">IFERROR(INDEX('Retirement Calculator'!J:J,MATCH('Isaac 401k'!N4888,'Retirement Calculator'!A:A,0),0),0)</f>
        <v>0</v>
      </c>
      <c r="K4888" s="455">
        <f t="shared" ca="1" si="196"/>
        <v>-454804245079.78223</v>
      </c>
      <c r="L4888" s="455">
        <f t="shared" ca="1" si="197"/>
        <v>-109607823064227.52</v>
      </c>
      <c r="M4888" s="471">
        <f t="shared" si="199"/>
        <v>0.05</v>
      </c>
      <c r="N4888" s="475">
        <f t="shared" si="200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98"/>
        <v>-109607823064227.52</v>
      </c>
      <c r="J4889" s="455">
        <f t="array" ref="J4889">IFERROR(INDEX('Retirement Calculator'!J:J,MATCH('Isaac 401k'!N4889,'Retirement Calculator'!A:A,0),0),0)</f>
        <v>0</v>
      </c>
      <c r="K4889" s="455">
        <f t="shared" ca="1" si="196"/>
        <v>-456699262767.61469</v>
      </c>
      <c r="L4889" s="455">
        <f t="shared" ca="1" si="197"/>
        <v>-110064522326995.13</v>
      </c>
      <c r="M4889" s="471">
        <f t="shared" si="199"/>
        <v>0.05</v>
      </c>
      <c r="N4889" s="475">
        <f t="shared" si="200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98"/>
        <v>-110064522326995.13</v>
      </c>
      <c r="J4890" s="455">
        <f t="array" ref="J4890">IFERROR(INDEX('Retirement Calculator'!J:J,MATCH('Isaac 401k'!N4890,'Retirement Calculator'!A:A,0),0),0)</f>
        <v>0</v>
      </c>
      <c r="K4890" s="455">
        <f t="shared" ca="1" si="196"/>
        <v>-458602176362.47968</v>
      </c>
      <c r="L4890" s="455">
        <f t="shared" ca="1" si="197"/>
        <v>-110523124503357.61</v>
      </c>
      <c r="M4890" s="471">
        <f t="shared" si="199"/>
        <v>0.05</v>
      </c>
      <c r="N4890" s="475">
        <f t="shared" si="200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98"/>
        <v>-110523124503357.61</v>
      </c>
      <c r="J4891" s="455">
        <f t="array" ref="J4891">IFERROR(INDEX('Retirement Calculator'!J:J,MATCH('Isaac 401k'!N4891,'Retirement Calculator'!A:A,0),0),0)</f>
        <v>0</v>
      </c>
      <c r="K4891" s="455">
        <f t="shared" ca="1" si="196"/>
        <v>-460513018763.98999</v>
      </c>
      <c r="L4891" s="455">
        <f t="shared" ca="1" si="197"/>
        <v>-110983637522121.59</v>
      </c>
      <c r="M4891" s="471">
        <f t="shared" si="199"/>
        <v>0.05</v>
      </c>
      <c r="N4891" s="475">
        <f t="shared" si="200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98"/>
        <v>-110983637522121.59</v>
      </c>
      <c r="J4892" s="455">
        <f t="array" ref="J4892">IFERROR(INDEX('Retirement Calculator'!J:J,MATCH('Isaac 401k'!N4892,'Retirement Calculator'!A:A,0),0),0)</f>
        <v>0</v>
      </c>
      <c r="K4892" s="455">
        <f t="shared" ca="1" si="196"/>
        <v>-462431823008.84003</v>
      </c>
      <c r="L4892" s="455">
        <f t="shared" ca="1" si="197"/>
        <v>-111446069345130.44</v>
      </c>
      <c r="M4892" s="471">
        <f t="shared" si="199"/>
        <v>0.05</v>
      </c>
      <c r="N4892" s="475">
        <f t="shared" si="200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98"/>
        <v>-111446069345130.44</v>
      </c>
      <c r="J4893" s="455">
        <f t="array" ref="J4893">IFERROR(INDEX('Retirement Calculator'!J:J,MATCH('Isaac 401k'!N4893,'Retirement Calculator'!A:A,0),0),0)</f>
        <v>0</v>
      </c>
      <c r="K4893" s="455">
        <f t="shared" ca="1" si="196"/>
        <v>-464358622271.37677</v>
      </c>
      <c r="L4893" s="455">
        <f t="shared" ca="1" si="197"/>
        <v>-111910427967401.81</v>
      </c>
      <c r="M4893" s="471">
        <f t="shared" si="199"/>
        <v>0.05</v>
      </c>
      <c r="N4893" s="475">
        <f t="shared" si="200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98"/>
        <v>-111910427967401.81</v>
      </c>
      <c r="J4894" s="455">
        <f t="array" ref="J4894">IFERROR(INDEX('Retirement Calculator'!J:J,MATCH('Isaac 401k'!N4894,'Retirement Calculator'!A:A,0),0),0)</f>
        <v>0</v>
      </c>
      <c r="K4894" s="455">
        <f t="shared" ca="1" si="196"/>
        <v>-466293449864.17413</v>
      </c>
      <c r="L4894" s="455">
        <f t="shared" ca="1" si="197"/>
        <v>-112376721417265.98</v>
      </c>
      <c r="M4894" s="471">
        <f t="shared" si="199"/>
        <v>0.05</v>
      </c>
      <c r="N4894" s="475">
        <f t="shared" si="200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98"/>
        <v>-112376721417265.98</v>
      </c>
      <c r="J4895" s="455">
        <f t="array" ref="J4895">IFERROR(INDEX('Retirement Calculator'!J:J,MATCH('Isaac 401k'!N4895,'Retirement Calculator'!A:A,0),0),0)</f>
        <v>0</v>
      </c>
      <c r="K4895" s="455">
        <f t="shared" ca="1" si="196"/>
        <v>-468236339238.60828</v>
      </c>
      <c r="L4895" s="455">
        <f t="shared" ca="1" si="197"/>
        <v>-112844957756504.59</v>
      </c>
      <c r="M4895" s="471">
        <f t="shared" si="199"/>
        <v>0.05</v>
      </c>
      <c r="N4895" s="475">
        <f t="shared" si="200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98"/>
        <v>-112844957756504.59</v>
      </c>
      <c r="J4896" s="455">
        <f t="array" ref="J4896">IFERROR(INDEX('Retirement Calculator'!J:J,MATCH('Isaac 401k'!N4896,'Retirement Calculator'!A:A,0),0),0)</f>
        <v>0</v>
      </c>
      <c r="K4896" s="455">
        <f t="shared" ca="1" si="196"/>
        <v>-470187323985.43585</v>
      </c>
      <c r="L4896" s="455">
        <f t="shared" ca="1" si="197"/>
        <v>-113315145080490.03</v>
      </c>
      <c r="M4896" s="471">
        <f t="shared" si="199"/>
        <v>0.05</v>
      </c>
      <c r="N4896" s="475">
        <f t="shared" si="200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98"/>
        <v>-113315145080490.03</v>
      </c>
      <c r="J4897" s="455">
        <f t="array" ref="J4897">IFERROR(INDEX('Retirement Calculator'!J:J,MATCH('Isaac 401k'!N4897,'Retirement Calculator'!A:A,0),0),0)</f>
        <v>0</v>
      </c>
      <c r="K4897" s="455">
        <f t="shared" ca="1" si="196"/>
        <v>-472146437835.37512</v>
      </c>
      <c r="L4897" s="455">
        <f t="shared" ca="1" si="197"/>
        <v>-113787291518325.41</v>
      </c>
      <c r="M4897" s="471">
        <f t="shared" si="199"/>
        <v>0.05</v>
      </c>
      <c r="N4897" s="475">
        <f t="shared" si="200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98"/>
        <v>-113787291518325.41</v>
      </c>
      <c r="J4898" s="455">
        <f t="array" ref="J4898">IFERROR(INDEX('Retirement Calculator'!J:J,MATCH('Isaac 401k'!N4898,'Retirement Calculator'!A:A,0),0),0)</f>
        <v>0</v>
      </c>
      <c r="K4898" s="455">
        <f t="shared" ca="1" si="196"/>
        <v>-474113714659.68915</v>
      </c>
      <c r="L4898" s="455">
        <f t="shared" ca="1" si="197"/>
        <v>-114261405232985.09</v>
      </c>
      <c r="M4898" s="471">
        <f t="shared" si="199"/>
        <v>0.05</v>
      </c>
      <c r="N4898" s="475">
        <f t="shared" si="200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98"/>
        <v>-114261405232985.09</v>
      </c>
      <c r="J4899" s="455">
        <f t="array" ref="J4899">IFERROR(INDEX('Retirement Calculator'!J:J,MATCH('Isaac 401k'!N4899,'Retirement Calculator'!A:A,0),0),0)</f>
        <v>0</v>
      </c>
      <c r="K4899" s="455">
        <f t="shared" ca="1" si="196"/>
        <v>-476089188470.77118</v>
      </c>
      <c r="L4899" s="455">
        <f t="shared" ca="1" si="197"/>
        <v>-114737494421455.86</v>
      </c>
      <c r="M4899" s="471">
        <f t="shared" si="199"/>
        <v>0.05</v>
      </c>
      <c r="N4899" s="475">
        <f t="shared" si="200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98"/>
        <v>-114737494421455.86</v>
      </c>
      <c r="J4900" s="455">
        <f t="array" ref="J4900">IFERROR(INDEX('Retirement Calculator'!J:J,MATCH('Isaac 401k'!N4900,'Retirement Calculator'!A:A,0),0),0)</f>
        <v>0</v>
      </c>
      <c r="K4900" s="455">
        <f t="shared" ca="1" si="196"/>
        <v>-478072893422.73273</v>
      </c>
      <c r="L4900" s="455">
        <f t="shared" ca="1" si="197"/>
        <v>-115215567314878.59</v>
      </c>
      <c r="M4900" s="471">
        <f t="shared" si="199"/>
        <v>0.05</v>
      </c>
      <c r="N4900" s="475">
        <f t="shared" si="200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98"/>
        <v>-115215567314878.59</v>
      </c>
      <c r="J4901" s="455">
        <f t="array" ref="J4901">IFERROR(INDEX('Retirement Calculator'!J:J,MATCH('Isaac 401k'!N4901,'Retirement Calculator'!A:A,0),0),0)</f>
        <v>0</v>
      </c>
      <c r="K4901" s="455">
        <f t="shared" ca="1" si="196"/>
        <v>-480064863811.99408</v>
      </c>
      <c r="L4901" s="455">
        <f t="shared" ca="1" si="197"/>
        <v>-115695632178690.59</v>
      </c>
      <c r="M4901" s="471">
        <f t="shared" si="199"/>
        <v>0.05</v>
      </c>
      <c r="N4901" s="475">
        <f t="shared" si="200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98"/>
        <v>-115695632178690.59</v>
      </c>
      <c r="J4902" s="455">
        <f t="array" ref="J4902">IFERROR(INDEX('Retirement Calculator'!J:J,MATCH('Isaac 401k'!N4902,'Retirement Calculator'!A:A,0),0),0)</f>
        <v>0</v>
      </c>
      <c r="K4902" s="455">
        <f t="shared" ca="1" si="196"/>
        <v>-482065134077.87738</v>
      </c>
      <c r="L4902" s="455">
        <f t="shared" ca="1" si="197"/>
        <v>-116177697312768.47</v>
      </c>
      <c r="M4902" s="471">
        <f t="shared" si="199"/>
        <v>0.05</v>
      </c>
      <c r="N4902" s="475">
        <f t="shared" si="200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98"/>
        <v>-116177697312768.47</v>
      </c>
      <c r="J4903" s="455">
        <f t="array" ref="J4903">IFERROR(INDEX('Retirement Calculator'!J:J,MATCH('Isaac 401k'!N4903,'Retirement Calculator'!A:A,0),0),0)</f>
        <v>0</v>
      </c>
      <c r="K4903" s="455">
        <f t="shared" ca="1" si="196"/>
        <v>-484073738803.20197</v>
      </c>
      <c r="L4903" s="455">
        <f t="shared" ca="1" si="197"/>
        <v>-116661771051571.67</v>
      </c>
      <c r="M4903" s="471">
        <f t="shared" si="199"/>
        <v>0.05</v>
      </c>
      <c r="N4903" s="475">
        <f t="shared" si="200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98"/>
        <v>-116661771051571.67</v>
      </c>
      <c r="J4904" s="455">
        <f t="array" ref="J4904">IFERROR(INDEX('Retirement Calculator'!J:J,MATCH('Isaac 401k'!N4904,'Retirement Calculator'!A:A,0),0),0)</f>
        <v>0</v>
      </c>
      <c r="K4904" s="455">
        <f t="shared" ca="1" si="196"/>
        <v>-486090712714.88196</v>
      </c>
      <c r="L4904" s="455">
        <f t="shared" ca="1" si="197"/>
        <v>-117147861764286.55</v>
      </c>
      <c r="M4904" s="471">
        <f t="shared" si="199"/>
        <v>0.05</v>
      </c>
      <c r="N4904" s="475">
        <f t="shared" si="200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98"/>
        <v>-117147861764286.55</v>
      </c>
      <c r="J4905" s="455">
        <f t="array" ref="J4905">IFERROR(INDEX('Retirement Calculator'!J:J,MATCH('Isaac 401k'!N4905,'Retirement Calculator'!A:A,0),0),0)</f>
        <v>0</v>
      </c>
      <c r="K4905" s="455">
        <f t="shared" ca="1" si="196"/>
        <v>-488116090684.52728</v>
      </c>
      <c r="L4905" s="455">
        <f t="shared" ca="1" si="197"/>
        <v>-117635977854971.08</v>
      </c>
      <c r="M4905" s="471">
        <f t="shared" si="199"/>
        <v>0.05</v>
      </c>
      <c r="N4905" s="475">
        <f t="shared" si="200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98"/>
        <v>-117635977854971.08</v>
      </c>
      <c r="J4906" s="455">
        <f t="array" ref="J4906">IFERROR(INDEX('Retirement Calculator'!J:J,MATCH('Isaac 401k'!N4906,'Retirement Calculator'!A:A,0),0),0)</f>
        <v>0</v>
      </c>
      <c r="K4906" s="455">
        <f t="shared" ca="1" si="196"/>
        <v>-490149907729.04608</v>
      </c>
      <c r="L4906" s="455">
        <f t="shared" ca="1" si="197"/>
        <v>-118126127762700.13</v>
      </c>
      <c r="M4906" s="471">
        <f t="shared" si="199"/>
        <v>0.05</v>
      </c>
      <c r="N4906" s="475">
        <f t="shared" si="200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98"/>
        <v>-118126127762700.13</v>
      </c>
      <c r="J4907" s="455">
        <f t="array" ref="J4907">IFERROR(INDEX('Retirement Calculator'!J:J,MATCH('Isaac 401k'!N4907,'Retirement Calculator'!A:A,0),0),0)</f>
        <v>0</v>
      </c>
      <c r="K4907" s="455">
        <f t="shared" ca="1" si="196"/>
        <v>-492192199011.25049</v>
      </c>
      <c r="L4907" s="455">
        <f t="shared" ca="1" si="197"/>
        <v>-118618319961711.38</v>
      </c>
      <c r="M4907" s="471">
        <f t="shared" si="199"/>
        <v>0.05</v>
      </c>
      <c r="N4907" s="475">
        <f t="shared" si="200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98"/>
        <v>-118618319961711.38</v>
      </c>
      <c r="J4908" s="455">
        <f t="array" ref="J4908">IFERROR(INDEX('Retirement Calculator'!J:J,MATCH('Isaac 401k'!N4908,'Retirement Calculator'!A:A,0),0),0)</f>
        <v>0</v>
      </c>
      <c r="K4908" s="455">
        <f t="shared" ca="1" si="196"/>
        <v>-494242999840.46405</v>
      </c>
      <c r="L4908" s="455">
        <f t="shared" ca="1" si="197"/>
        <v>-119112562961551.84</v>
      </c>
      <c r="M4908" s="471">
        <f t="shared" si="199"/>
        <v>0.05</v>
      </c>
      <c r="N4908" s="475">
        <f t="shared" si="200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98"/>
        <v>-119112562961551.84</v>
      </c>
      <c r="J4909" s="455">
        <f t="array" ref="J4909">IFERROR(INDEX('Retirement Calculator'!J:J,MATCH('Isaac 401k'!N4909,'Retirement Calculator'!A:A,0),0),0)</f>
        <v>0</v>
      </c>
      <c r="K4909" s="455">
        <f t="shared" ca="1" si="196"/>
        <v>-496302345673.13269</v>
      </c>
      <c r="L4909" s="455">
        <f t="shared" ca="1" si="197"/>
        <v>-119608865307224.97</v>
      </c>
      <c r="M4909" s="471">
        <f t="shared" si="199"/>
        <v>0.05</v>
      </c>
      <c r="N4909" s="475">
        <f t="shared" si="200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98"/>
        <v>-119608865307224.97</v>
      </c>
      <c r="J4910" s="455">
        <f t="array" ref="J4910">IFERROR(INDEX('Retirement Calculator'!J:J,MATCH('Isaac 401k'!N4910,'Retirement Calculator'!A:A,0),0),0)</f>
        <v>0</v>
      </c>
      <c r="K4910" s="455">
        <f t="shared" ca="1" si="196"/>
        <v>-498370272113.43738</v>
      </c>
      <c r="L4910" s="455">
        <f t="shared" ca="1" si="197"/>
        <v>-120107235579338.41</v>
      </c>
      <c r="M4910" s="471">
        <f t="shared" si="199"/>
        <v>0.05</v>
      </c>
      <c r="N4910" s="475">
        <f t="shared" si="200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98"/>
        <v>-120107235579338.41</v>
      </c>
      <c r="J4911" s="455">
        <f t="array" ref="J4911">IFERROR(INDEX('Retirement Calculator'!J:J,MATCH('Isaac 401k'!N4911,'Retirement Calculator'!A:A,0),0),0)</f>
        <v>0</v>
      </c>
      <c r="K4911" s="455">
        <f t="shared" ca="1" si="196"/>
        <v>-500446814913.91003</v>
      </c>
      <c r="L4911" s="455">
        <f t="shared" ca="1" si="197"/>
        <v>-120607682394252.31</v>
      </c>
      <c r="M4911" s="471">
        <f t="shared" si="199"/>
        <v>0.05</v>
      </c>
      <c r="N4911" s="475">
        <f t="shared" si="200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98"/>
        <v>-120607682394252.31</v>
      </c>
      <c r="J4912" s="455">
        <f t="array" ref="J4912">IFERROR(INDEX('Retirement Calculator'!J:J,MATCH('Isaac 401k'!N4912,'Retirement Calculator'!A:A,0),0),0)</f>
        <v>0</v>
      </c>
      <c r="K4912" s="455">
        <f t="shared" ca="1" si="196"/>
        <v>-502532009976.05133</v>
      </c>
      <c r="L4912" s="455">
        <f t="shared" ca="1" si="197"/>
        <v>-121110214404228.36</v>
      </c>
      <c r="M4912" s="471">
        <f t="shared" si="199"/>
        <v>0.05</v>
      </c>
      <c r="N4912" s="475">
        <f t="shared" si="200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98"/>
        <v>-121110214404228.36</v>
      </c>
      <c r="J4913" s="455">
        <f t="array" ref="J4913">IFERROR(INDEX('Retirement Calculator'!J:J,MATCH('Isaac 401k'!N4913,'Retirement Calculator'!A:A,0),0),0)</f>
        <v>0</v>
      </c>
      <c r="K4913" s="455">
        <f t="shared" ca="1" si="196"/>
        <v>-504625893350.95148</v>
      </c>
      <c r="L4913" s="455">
        <f t="shared" ca="1" si="197"/>
        <v>-121614840297579.31</v>
      </c>
      <c r="M4913" s="471">
        <f t="shared" si="199"/>
        <v>0.05</v>
      </c>
      <c r="N4913" s="475">
        <f t="shared" si="200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98"/>
        <v>-121614840297579.31</v>
      </c>
      <c r="J4914" s="455">
        <f t="array" ref="J4914">IFERROR(INDEX('Retirement Calculator'!J:J,MATCH('Isaac 401k'!N4914,'Retirement Calculator'!A:A,0),0),0)</f>
        <v>0</v>
      </c>
      <c r="K4914" s="455">
        <f t="shared" ca="1" si="196"/>
        <v>-506728501239.91376</v>
      </c>
      <c r="L4914" s="455">
        <f t="shared" ca="1" si="197"/>
        <v>-122121568798819.22</v>
      </c>
      <c r="M4914" s="471">
        <f t="shared" si="199"/>
        <v>0.05</v>
      </c>
      <c r="N4914" s="475">
        <f t="shared" si="200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98"/>
        <v>-122121568798819.22</v>
      </c>
      <c r="J4915" s="455">
        <f t="array" ref="J4915">IFERROR(INDEX('Retirement Calculator'!J:J,MATCH('Isaac 401k'!N4915,'Retirement Calculator'!A:A,0),0),0)</f>
        <v>0</v>
      </c>
      <c r="K4915" s="455">
        <f t="shared" ca="1" si="196"/>
        <v>-508839869995.08008</v>
      </c>
      <c r="L4915" s="455">
        <f t="shared" ca="1" si="197"/>
        <v>-122630408668814.3</v>
      </c>
      <c r="M4915" s="471">
        <f t="shared" si="199"/>
        <v>0.05</v>
      </c>
      <c r="N4915" s="475">
        <f t="shared" si="200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98"/>
        <v>-122630408668814.3</v>
      </c>
      <c r="J4916" s="455">
        <f t="array" ref="J4916">IFERROR(INDEX('Retirement Calculator'!J:J,MATCH('Isaac 401k'!N4916,'Retirement Calculator'!A:A,0),0),0)</f>
        <v>0</v>
      </c>
      <c r="K4916" s="455">
        <f t="shared" ca="1" si="196"/>
        <v>-510960036120.05957</v>
      </c>
      <c r="L4916" s="455">
        <f t="shared" ca="1" si="197"/>
        <v>-123141368704934.36</v>
      </c>
      <c r="M4916" s="471">
        <f t="shared" si="199"/>
        <v>0.05</v>
      </c>
      <c r="N4916" s="475">
        <f t="shared" si="200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98"/>
        <v>-123141368704934.36</v>
      </c>
      <c r="J4917" s="455">
        <f t="array" ref="J4917">IFERROR(INDEX('Retirement Calculator'!J:J,MATCH('Isaac 401k'!N4917,'Retirement Calculator'!A:A,0),0),0)</f>
        <v>0</v>
      </c>
      <c r="K4917" s="455">
        <f t="shared" ca="1" si="196"/>
        <v>-513089036270.55975</v>
      </c>
      <c r="L4917" s="455">
        <f t="shared" ca="1" si="197"/>
        <v>-123654457741204.92</v>
      </c>
      <c r="M4917" s="471">
        <f t="shared" si="199"/>
        <v>0.05</v>
      </c>
      <c r="N4917" s="475">
        <f t="shared" si="200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98"/>
        <v>-123654457741204.92</v>
      </c>
      <c r="J4918" s="455">
        <f t="array" ref="J4918">IFERROR(INDEX('Retirement Calculator'!J:J,MATCH('Isaac 401k'!N4918,'Retirement Calculator'!A:A,0),0),0)</f>
        <v>0</v>
      </c>
      <c r="K4918" s="455">
        <f t="shared" ca="1" si="196"/>
        <v>-515226907255.02051</v>
      </c>
      <c r="L4918" s="455">
        <f t="shared" ca="1" si="197"/>
        <v>-124169684648459.94</v>
      </c>
      <c r="M4918" s="471">
        <f t="shared" si="199"/>
        <v>0.05</v>
      </c>
      <c r="N4918" s="475">
        <f t="shared" si="200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98"/>
        <v>-124169684648459.94</v>
      </c>
      <c r="J4919" s="455">
        <f t="array" ref="J4919">IFERROR(INDEX('Retirement Calculator'!J:J,MATCH('Isaac 401k'!N4919,'Retirement Calculator'!A:A,0),0),0)</f>
        <v>0</v>
      </c>
      <c r="K4919" s="455">
        <f t="shared" ca="1" si="196"/>
        <v>-517373686035.24969</v>
      </c>
      <c r="L4919" s="455">
        <f t="shared" ca="1" si="197"/>
        <v>-124687058334495.19</v>
      </c>
      <c r="M4919" s="471">
        <f t="shared" si="199"/>
        <v>0.05</v>
      </c>
      <c r="N4919" s="475">
        <f t="shared" si="200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98"/>
        <v>-124687058334495.19</v>
      </c>
      <c r="J4920" s="455">
        <f t="array" ref="J4920">IFERROR(INDEX('Retirement Calculator'!J:J,MATCH('Isaac 401k'!N4920,'Retirement Calculator'!A:A,0),0),0)</f>
        <v>0</v>
      </c>
      <c r="K4920" s="455">
        <f t="shared" ca="1" si="196"/>
        <v>-519529409727.06329</v>
      </c>
      <c r="L4920" s="455">
        <f t="shared" ca="1" si="197"/>
        <v>-125206587744222.25</v>
      </c>
      <c r="M4920" s="471">
        <f t="shared" si="199"/>
        <v>0.05</v>
      </c>
      <c r="N4920" s="475">
        <f t="shared" si="200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98"/>
        <v>-125206587744222.25</v>
      </c>
      <c r="J4921" s="455">
        <f t="array" ref="J4921">IFERROR(INDEX('Retirement Calculator'!J:J,MATCH('Isaac 401k'!N4921,'Retirement Calculator'!A:A,0),0),0)</f>
        <v>0</v>
      </c>
      <c r="K4921" s="455">
        <f t="shared" ca="1" si="196"/>
        <v>-521694115600.92609</v>
      </c>
      <c r="L4921" s="455">
        <f t="shared" ca="1" si="197"/>
        <v>-125728281859823.17</v>
      </c>
      <c r="M4921" s="471">
        <f t="shared" si="199"/>
        <v>0.05</v>
      </c>
      <c r="N4921" s="475">
        <f t="shared" si="200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98"/>
        <v>-125728281859823.17</v>
      </c>
      <c r="J4922" s="455">
        <f t="array" ref="J4922">IFERROR(INDEX('Retirement Calculator'!J:J,MATCH('Isaac 401k'!N4922,'Retirement Calculator'!A:A,0),0),0)</f>
        <v>0</v>
      </c>
      <c r="K4922" s="455">
        <f t="shared" ca="1" si="196"/>
        <v>-523867841082.59656</v>
      </c>
      <c r="L4922" s="455">
        <f t="shared" ca="1" si="197"/>
        <v>-126252149700905.77</v>
      </c>
      <c r="M4922" s="471">
        <f t="shared" si="199"/>
        <v>0.05</v>
      </c>
      <c r="N4922" s="475">
        <f t="shared" si="200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98"/>
        <v>-126252149700905.77</v>
      </c>
      <c r="J4923" s="455">
        <f t="array" ref="J4923">IFERROR(INDEX('Retirement Calculator'!J:J,MATCH('Isaac 401k'!N4923,'Retirement Calculator'!A:A,0),0),0)</f>
        <v>0</v>
      </c>
      <c r="K4923" s="455">
        <f t="shared" ca="1" si="196"/>
        <v>-526050623753.77399</v>
      </c>
      <c r="L4923" s="455">
        <f t="shared" ca="1" si="197"/>
        <v>-126778200324659.55</v>
      </c>
      <c r="M4923" s="471">
        <f t="shared" si="199"/>
        <v>0.05</v>
      </c>
      <c r="N4923" s="475">
        <f t="shared" si="200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98"/>
        <v>-126778200324659.55</v>
      </c>
      <c r="J4924" s="455">
        <f t="array" ref="J4924">IFERROR(INDEX('Retirement Calculator'!J:J,MATCH('Isaac 401k'!N4924,'Retirement Calculator'!A:A,0),0),0)</f>
        <v>0</v>
      </c>
      <c r="K4924" s="455">
        <f t="shared" ca="1" si="196"/>
        <v>-528242501352.74811</v>
      </c>
      <c r="L4924" s="455">
        <f t="shared" ca="1" si="197"/>
        <v>-127306442826012.3</v>
      </c>
      <c r="M4924" s="471">
        <f t="shared" si="199"/>
        <v>0.05</v>
      </c>
      <c r="N4924" s="475">
        <f t="shared" si="200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98"/>
        <v>-127306442826012.3</v>
      </c>
      <c r="J4925" s="455">
        <f t="array" ref="J4925">IFERROR(INDEX('Retirement Calculator'!J:J,MATCH('Isaac 401k'!N4925,'Retirement Calculator'!A:A,0),0),0)</f>
        <v>0</v>
      </c>
      <c r="K4925" s="455">
        <f t="shared" ca="1" si="196"/>
        <v>-530443511775.05121</v>
      </c>
      <c r="L4925" s="455">
        <f t="shared" ca="1" si="197"/>
        <v>-127836886337787.34</v>
      </c>
      <c r="M4925" s="471">
        <f t="shared" si="199"/>
        <v>0.05</v>
      </c>
      <c r="N4925" s="475">
        <f t="shared" si="200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98"/>
        <v>-127836886337787.34</v>
      </c>
      <c r="J4926" s="455">
        <f t="array" ref="J4926">IFERROR(INDEX('Retirement Calculator'!J:J,MATCH('Isaac 401k'!N4926,'Retirement Calculator'!A:A,0),0),0)</f>
        <v>0</v>
      </c>
      <c r="K4926" s="455">
        <f t="shared" ca="1" si="196"/>
        <v>-532653693074.11395</v>
      </c>
      <c r="L4926" s="455">
        <f t="shared" ca="1" si="197"/>
        <v>-128369540030861.45</v>
      </c>
      <c r="M4926" s="471">
        <f t="shared" si="199"/>
        <v>0.05</v>
      </c>
      <c r="N4926" s="475">
        <f t="shared" si="200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98"/>
        <v>-128369540030861.45</v>
      </c>
      <c r="J4927" s="455">
        <f t="array" ref="J4927">IFERROR(INDEX('Retirement Calculator'!J:J,MATCH('Isaac 401k'!N4927,'Retirement Calculator'!A:A,0),0),0)</f>
        <v>0</v>
      </c>
      <c r="K4927" s="455">
        <f t="shared" ca="1" si="196"/>
        <v>-534873083461.92279</v>
      </c>
      <c r="L4927" s="455">
        <f t="shared" ca="1" si="197"/>
        <v>-128904413114323.38</v>
      </c>
      <c r="M4927" s="471">
        <f t="shared" si="199"/>
        <v>0.05</v>
      </c>
      <c r="N4927" s="475">
        <f t="shared" si="200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98"/>
        <v>-128904413114323.38</v>
      </c>
      <c r="J4928" s="455">
        <f t="array" ref="J4928">IFERROR(INDEX('Retirement Calculator'!J:J,MATCH('Isaac 401k'!N4928,'Retirement Calculator'!A:A,0),0),0)</f>
        <v>0</v>
      </c>
      <c r="K4928" s="455">
        <f t="shared" ca="1" si="196"/>
        <v>-537101721309.68073</v>
      </c>
      <c r="L4928" s="455">
        <f t="shared" ca="1" si="197"/>
        <v>-129441514835633.06</v>
      </c>
      <c r="M4928" s="471">
        <f t="shared" si="199"/>
        <v>0.05</v>
      </c>
      <c r="N4928" s="475">
        <f t="shared" si="200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98"/>
        <v>-129441514835633.06</v>
      </c>
      <c r="J4929" s="455">
        <f t="array" ref="J4929">IFERROR(INDEX('Retirement Calculator'!J:J,MATCH('Isaac 401k'!N4929,'Retirement Calculator'!A:A,0),0),0)</f>
        <v>0</v>
      </c>
      <c r="K4929" s="455">
        <f t="shared" ca="1" si="196"/>
        <v>-539339645148.47101</v>
      </c>
      <c r="L4929" s="455">
        <f t="shared" ca="1" si="197"/>
        <v>-129980854480781.53</v>
      </c>
      <c r="M4929" s="471">
        <f t="shared" si="199"/>
        <v>0.05</v>
      </c>
      <c r="N4929" s="475">
        <f t="shared" si="200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98"/>
        <v>-129980854480781.53</v>
      </c>
      <c r="J4930" s="455">
        <f t="array" ref="J4930">IFERROR(INDEX('Retirement Calculator'!J:J,MATCH('Isaac 401k'!N4930,'Retirement Calculator'!A:A,0),0),0)</f>
        <v>0</v>
      </c>
      <c r="K4930" s="455">
        <f t="shared" ca="1" si="196"/>
        <v>-541586893669.92297</v>
      </c>
      <c r="L4930" s="455">
        <f t="shared" ca="1" si="197"/>
        <v>-130522441374451.45</v>
      </c>
      <c r="M4930" s="471">
        <f t="shared" si="199"/>
        <v>0.05</v>
      </c>
      <c r="N4930" s="475">
        <f t="shared" si="200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98"/>
        <v>-130522441374451.45</v>
      </c>
      <c r="J4931" s="455">
        <f t="array" ref="J4931">IFERROR(INDEX('Retirement Calculator'!J:J,MATCH('Isaac 401k'!N4931,'Retirement Calculator'!A:A,0),0),0)</f>
        <v>0</v>
      </c>
      <c r="K4931" s="455">
        <f t="shared" ca="1" si="196"/>
        <v>-543843505726.88104</v>
      </c>
      <c r="L4931" s="455">
        <f t="shared" ca="1" si="197"/>
        <v>-131066284880178.33</v>
      </c>
      <c r="M4931" s="471">
        <f t="shared" si="199"/>
        <v>0.05</v>
      </c>
      <c r="N4931" s="475">
        <f t="shared" si="200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98"/>
        <v>-131066284880178.33</v>
      </c>
      <c r="J4932" s="455">
        <f t="array" ref="J4932">IFERROR(INDEX('Retirement Calculator'!J:J,MATCH('Isaac 401k'!N4932,'Retirement Calculator'!A:A,0),0),0)</f>
        <v>0</v>
      </c>
      <c r="K4932" s="455">
        <f t="shared" ca="1" si="196"/>
        <v>-546109520334.07635</v>
      </c>
      <c r="L4932" s="455">
        <f t="shared" ca="1" si="197"/>
        <v>-131612394400512.41</v>
      </c>
      <c r="M4932" s="471">
        <f t="shared" si="199"/>
        <v>0.05</v>
      </c>
      <c r="N4932" s="475">
        <f t="shared" si="200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98"/>
        <v>-131612394400512.41</v>
      </c>
      <c r="J4933" s="455">
        <f t="array" ref="J4933">IFERROR(INDEX('Retirement Calculator'!J:J,MATCH('Isaac 401k'!N4933,'Retirement Calculator'!A:A,0),0),0)</f>
        <v>0</v>
      </c>
      <c r="K4933" s="455">
        <f t="shared" ca="1" si="196"/>
        <v>-548384976668.8017</v>
      </c>
      <c r="L4933" s="455">
        <f t="shared" ca="1" si="197"/>
        <v>-132160779377181.2</v>
      </c>
      <c r="M4933" s="471">
        <f t="shared" si="199"/>
        <v>0.05</v>
      </c>
      <c r="N4933" s="475">
        <f t="shared" si="200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98"/>
        <v>-132160779377181.2</v>
      </c>
      <c r="J4934" s="455">
        <f t="array" ref="J4934">IFERROR(INDEX('Retirement Calculator'!J:J,MATCH('Isaac 401k'!N4934,'Retirement Calculator'!A:A,0),0),0)</f>
        <v>0</v>
      </c>
      <c r="K4934" s="455">
        <f t="shared" ca="1" si="196"/>
        <v>-550669914071.58838</v>
      </c>
      <c r="L4934" s="455">
        <f t="shared" ca="1" si="197"/>
        <v>-132711449291252.8</v>
      </c>
      <c r="M4934" s="471">
        <f t="shared" si="199"/>
        <v>0.05</v>
      </c>
      <c r="N4934" s="475">
        <f t="shared" si="200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98"/>
        <v>-132711449291252.8</v>
      </c>
      <c r="J4935" s="455">
        <f t="array" ref="J4935">IFERROR(INDEX('Retirement Calculator'!J:J,MATCH('Isaac 401k'!N4935,'Retirement Calculator'!A:A,0),0),0)</f>
        <v>0</v>
      </c>
      <c r="K4935" s="455">
        <f t="shared" ca="1" si="196"/>
        <v>-552964372046.8866</v>
      </c>
      <c r="L4935" s="455">
        <f t="shared" ca="1" si="197"/>
        <v>-133264413663299.69</v>
      </c>
      <c r="M4935" s="471">
        <f t="shared" si="199"/>
        <v>0.05</v>
      </c>
      <c r="N4935" s="475">
        <f t="shared" si="200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98"/>
        <v>-133264413663299.69</v>
      </c>
      <c r="J4936" s="455">
        <f t="array" ref="J4936">IFERROR(INDEX('Retirement Calculator'!J:J,MATCH('Isaac 401k'!N4936,'Retirement Calculator'!A:A,0),0),0)</f>
        <v>0</v>
      </c>
      <c r="K4936" s="455">
        <f t="shared" ca="1" si="196"/>
        <v>-555268390263.74866</v>
      </c>
      <c r="L4936" s="455">
        <f t="shared" ca="1" si="197"/>
        <v>-133819682053563.44</v>
      </c>
      <c r="M4936" s="471">
        <f t="shared" si="199"/>
        <v>0.05</v>
      </c>
      <c r="N4936" s="475">
        <f t="shared" si="200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98"/>
        <v>-133819682053563.44</v>
      </c>
      <c r="J4937" s="455">
        <f t="array" ref="J4937">IFERROR(INDEX('Retirement Calculator'!J:J,MATCH('Isaac 401k'!N4937,'Retirement Calculator'!A:A,0),0),0)</f>
        <v>0</v>
      </c>
      <c r="K4937" s="455">
        <f t="shared" ca="1" si="196"/>
        <v>-557582008556.51428</v>
      </c>
      <c r="L4937" s="455">
        <f t="shared" ca="1" si="197"/>
        <v>-134377264062119.95</v>
      </c>
      <c r="M4937" s="471">
        <f t="shared" si="199"/>
        <v>0.05</v>
      </c>
      <c r="N4937" s="475">
        <f t="shared" si="200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98"/>
        <v>-134377264062119.95</v>
      </c>
      <c r="J4938" s="455">
        <f t="array" ref="J4938">IFERROR(INDEX('Retirement Calculator'!J:J,MATCH('Isaac 401k'!N4938,'Retirement Calculator'!A:A,0),0),0)</f>
        <v>0</v>
      </c>
      <c r="K4938" s="455">
        <f t="shared" ca="1" si="196"/>
        <v>-559905266925.49976</v>
      </c>
      <c r="L4938" s="455">
        <f t="shared" ca="1" si="197"/>
        <v>-134937169329045.45</v>
      </c>
      <c r="M4938" s="471">
        <f t="shared" si="199"/>
        <v>0.05</v>
      </c>
      <c r="N4938" s="475">
        <f t="shared" si="200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98"/>
        <v>-134937169329045.45</v>
      </c>
      <c r="J4939" s="455">
        <f t="array" ref="J4939">IFERROR(INDEX('Retirement Calculator'!J:J,MATCH('Isaac 401k'!N4939,'Retirement Calculator'!A:A,0),0),0)</f>
        <v>0</v>
      </c>
      <c r="K4939" s="455">
        <f t="shared" ca="1" si="196"/>
        <v>-562238205537.68933</v>
      </c>
      <c r="L4939" s="455">
        <f t="shared" ca="1" si="197"/>
        <v>-135499407534583.14</v>
      </c>
      <c r="M4939" s="471">
        <f t="shared" si="199"/>
        <v>0.05</v>
      </c>
      <c r="N4939" s="475">
        <f t="shared" si="200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98"/>
        <v>-135499407534583.14</v>
      </c>
      <c r="J4940" s="455">
        <f t="array" ref="J4940">IFERROR(INDEX('Retirement Calculator'!J:J,MATCH('Isaac 401k'!N4940,'Retirement Calculator'!A:A,0),0),0)</f>
        <v>0</v>
      </c>
      <c r="K4940" s="455">
        <f t="shared" ca="1" si="196"/>
        <v>-564580864727.42969</v>
      </c>
      <c r="L4940" s="455">
        <f t="shared" ca="1" si="197"/>
        <v>-136063988399310.56</v>
      </c>
      <c r="M4940" s="471">
        <f t="shared" si="199"/>
        <v>0.05</v>
      </c>
      <c r="N4940" s="475">
        <f t="shared" si="200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98"/>
        <v>-136063988399310.56</v>
      </c>
      <c r="J4941" s="455">
        <f t="array" ref="J4941">IFERROR(INDEX('Retirement Calculator'!J:J,MATCH('Isaac 401k'!N4941,'Retirement Calculator'!A:A,0),0),0)</f>
        <v>0</v>
      </c>
      <c r="K4941" s="455">
        <f t="shared" ca="1" si="196"/>
        <v>-566933284997.12732</v>
      </c>
      <c r="L4941" s="455">
        <f t="shared" ca="1" si="197"/>
        <v>-136630921684307.69</v>
      </c>
      <c r="M4941" s="471">
        <f t="shared" si="199"/>
        <v>0.05</v>
      </c>
      <c r="N4941" s="475">
        <f t="shared" si="200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98"/>
        <v>-136630921684307.69</v>
      </c>
      <c r="J4942" s="455">
        <f t="array" ref="J4942">IFERROR(INDEX('Retirement Calculator'!J:J,MATCH('Isaac 401k'!N4942,'Retirement Calculator'!A:A,0),0),0)</f>
        <v>0</v>
      </c>
      <c r="K4942" s="455">
        <f t="shared" ca="1" si="196"/>
        <v>-569295507017.94873</v>
      </c>
      <c r="L4942" s="455">
        <f t="shared" ca="1" si="197"/>
        <v>-137200217191325.64</v>
      </c>
      <c r="M4942" s="471">
        <f t="shared" si="199"/>
        <v>0.05</v>
      </c>
      <c r="N4942" s="475">
        <f t="shared" si="200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98"/>
        <v>-137200217191325.64</v>
      </c>
      <c r="J4943" s="455">
        <f t="array" ref="J4943">IFERROR(INDEX('Retirement Calculator'!J:J,MATCH('Isaac 401k'!N4943,'Retirement Calculator'!A:A,0),0),0)</f>
        <v>0</v>
      </c>
      <c r="K4943" s="455">
        <f t="shared" ca="1" si="196"/>
        <v>-571667571630.52344</v>
      </c>
      <c r="L4943" s="455">
        <f t="shared" ca="1" si="197"/>
        <v>-137771884762956.16</v>
      </c>
      <c r="M4943" s="471">
        <f t="shared" si="199"/>
        <v>0.05</v>
      </c>
      <c r="N4943" s="475">
        <f t="shared" si="200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98"/>
        <v>-137771884762956.16</v>
      </c>
      <c r="J4944" s="455">
        <f t="array" ref="J4944">IFERROR(INDEX('Retirement Calculator'!J:J,MATCH('Isaac 401k'!N4944,'Retirement Calculator'!A:A,0),0),0)</f>
        <v>0</v>
      </c>
      <c r="K4944" s="455">
        <f t="shared" ca="1" si="196"/>
        <v>-574049519845.65063</v>
      </c>
      <c r="L4944" s="455">
        <f t="shared" ca="1" si="197"/>
        <v>-138345934282801.81</v>
      </c>
      <c r="M4944" s="471">
        <f t="shared" si="199"/>
        <v>0.05</v>
      </c>
      <c r="N4944" s="475">
        <f t="shared" si="200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98"/>
        <v>-138345934282801.81</v>
      </c>
      <c r="J4945" s="455">
        <f t="array" ref="J4945">IFERROR(INDEX('Retirement Calculator'!J:J,MATCH('Isaac 401k'!N4945,'Retirement Calculator'!A:A,0),0),0)</f>
        <v>0</v>
      </c>
      <c r="K4945" s="455">
        <f t="shared" ca="1" si="196"/>
        <v>-576441392845.00757</v>
      </c>
      <c r="L4945" s="455">
        <f t="shared" ca="1" si="197"/>
        <v>-138922375675646.81</v>
      </c>
      <c r="M4945" s="471">
        <f t="shared" si="199"/>
        <v>0.05</v>
      </c>
      <c r="N4945" s="475">
        <f t="shared" si="200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98"/>
        <v>-138922375675646.81</v>
      </c>
      <c r="J4946" s="455">
        <f t="array" ref="J4946">IFERROR(INDEX('Retirement Calculator'!J:J,MATCH('Isaac 401k'!N4946,'Retirement Calculator'!A:A,0),0),0)</f>
        <v>0</v>
      </c>
      <c r="K4946" s="455">
        <f t="shared" ca="1" si="196"/>
        <v>-578843231981.86169</v>
      </c>
      <c r="L4946" s="455">
        <f t="shared" ca="1" si="197"/>
        <v>-139501218907628.67</v>
      </c>
      <c r="M4946" s="471">
        <f t="shared" si="199"/>
        <v>0.05</v>
      </c>
      <c r="N4946" s="475">
        <f t="shared" si="200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98"/>
        <v>-139501218907628.67</v>
      </c>
      <c r="J4947" s="455">
        <f t="array" ref="J4947">IFERROR(INDEX('Retirement Calculator'!J:J,MATCH('Isaac 401k'!N4947,'Retirement Calculator'!A:A,0),0),0)</f>
        <v>0</v>
      </c>
      <c r="K4947" s="455">
        <f t="shared" ca="1" si="196"/>
        <v>-581255078781.78613</v>
      </c>
      <c r="L4947" s="455">
        <f t="shared" ca="1" si="197"/>
        <v>-140082473986410.45</v>
      </c>
      <c r="M4947" s="471">
        <f t="shared" si="199"/>
        <v>0.05</v>
      </c>
      <c r="N4947" s="475">
        <f t="shared" si="200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98"/>
        <v>-140082473986410.45</v>
      </c>
      <c r="J4948" s="455">
        <f t="array" ref="J4948">IFERROR(INDEX('Retirement Calculator'!J:J,MATCH('Isaac 401k'!N4948,'Retirement Calculator'!A:A,0),0),0)</f>
        <v>0</v>
      </c>
      <c r="K4948" s="455">
        <f t="shared" ca="1" si="196"/>
        <v>-583676974943.37695</v>
      </c>
      <c r="L4948" s="455">
        <f t="shared" ca="1" si="197"/>
        <v>-140666150961353.83</v>
      </c>
      <c r="M4948" s="471">
        <f t="shared" si="199"/>
        <v>0.05</v>
      </c>
      <c r="N4948" s="475">
        <f t="shared" si="200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98"/>
        <v>-140666150961353.83</v>
      </c>
      <c r="J4949" s="455">
        <f t="array" ref="J4949">IFERROR(INDEX('Retirement Calculator'!J:J,MATCH('Isaac 401k'!N4949,'Retirement Calculator'!A:A,0),0),0)</f>
        <v>0</v>
      </c>
      <c r="K4949" s="455">
        <f t="shared" ca="1" si="196"/>
        <v>-586108962338.97437</v>
      </c>
      <c r="L4949" s="455">
        <f t="shared" ca="1" si="197"/>
        <v>-141252259923692.81</v>
      </c>
      <c r="M4949" s="471">
        <f t="shared" si="199"/>
        <v>0.05</v>
      </c>
      <c r="N4949" s="475">
        <f t="shared" si="200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98"/>
        <v>-141252259923692.81</v>
      </c>
      <c r="J4950" s="455">
        <f t="array" ref="J4950">IFERROR(INDEX('Retirement Calculator'!J:J,MATCH('Isaac 401k'!N4950,'Retirement Calculator'!A:A,0),0),0)</f>
        <v>0</v>
      </c>
      <c r="K4950" s="455">
        <f t="shared" ca="1" si="196"/>
        <v>-588551083015.38672</v>
      </c>
      <c r="L4950" s="455">
        <f t="shared" ca="1" si="197"/>
        <v>-141840811006708.19</v>
      </c>
      <c r="M4950" s="471">
        <f t="shared" si="199"/>
        <v>0.05</v>
      </c>
      <c r="N4950" s="475">
        <f t="shared" si="200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98"/>
        <v>-141840811006708.19</v>
      </c>
      <c r="J4951" s="455">
        <f t="array" ref="J4951">IFERROR(INDEX('Retirement Calculator'!J:J,MATCH('Isaac 401k'!N4951,'Retirement Calculator'!A:A,0),0),0)</f>
        <v>0</v>
      </c>
      <c r="K4951" s="455">
        <f t="shared" ca="1" si="196"/>
        <v>-591003379194.61743</v>
      </c>
      <c r="L4951" s="455">
        <f t="shared" ca="1" si="197"/>
        <v>-142431814385902.81</v>
      </c>
      <c r="M4951" s="471">
        <f t="shared" si="199"/>
        <v>0.05</v>
      </c>
      <c r="N4951" s="475">
        <f t="shared" si="200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98"/>
        <v>-142431814385902.81</v>
      </c>
      <c r="J4952" s="455">
        <f t="array" ref="J4952">IFERROR(INDEX('Retirement Calculator'!J:J,MATCH('Isaac 401k'!N4952,'Retirement Calculator'!A:A,0),0),0)</f>
        <v>0</v>
      </c>
      <c r="K4952" s="455">
        <f t="shared" ca="1" si="196"/>
        <v>-593465893274.59509</v>
      </c>
      <c r="L4952" s="455">
        <f t="shared" ca="1" si="197"/>
        <v>-143025280279177.41</v>
      </c>
      <c r="M4952" s="471">
        <f t="shared" si="199"/>
        <v>0.05</v>
      </c>
      <c r="N4952" s="475">
        <f t="shared" si="200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98"/>
        <v>-143025280279177.41</v>
      </c>
      <c r="J4953" s="455">
        <f t="array" ref="J4953">IFERROR(INDEX('Retirement Calculator'!J:J,MATCH('Isaac 401k'!N4953,'Retirement Calculator'!A:A,0),0),0)</f>
        <v>0</v>
      </c>
      <c r="K4953" s="455">
        <f t="shared" ca="1" si="196"/>
        <v>-595938667829.90588</v>
      </c>
      <c r="L4953" s="455">
        <f t="shared" ca="1" si="197"/>
        <v>-143621218947007.31</v>
      </c>
      <c r="M4953" s="471">
        <f t="shared" si="199"/>
        <v>0.05</v>
      </c>
      <c r="N4953" s="475">
        <f t="shared" si="200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98"/>
        <v>-143621218947007.31</v>
      </c>
      <c r="J4954" s="455">
        <f t="array" ref="J4954">IFERROR(INDEX('Retirement Calculator'!J:J,MATCH('Isaac 401k'!N4954,'Retirement Calculator'!A:A,0),0),0)</f>
        <v>0</v>
      </c>
      <c r="K4954" s="455">
        <f t="shared" ca="1" si="196"/>
        <v>-598421745612.53052</v>
      </c>
      <c r="L4954" s="455">
        <f t="shared" ca="1" si="197"/>
        <v>-144219640692619.84</v>
      </c>
      <c r="M4954" s="471">
        <f t="shared" si="199"/>
        <v>0.05</v>
      </c>
      <c r="N4954" s="475">
        <f t="shared" si="200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98"/>
        <v>-144219640692619.84</v>
      </c>
      <c r="J4955" s="455">
        <f t="array" ref="J4955">IFERROR(INDEX('Retirement Calculator'!J:J,MATCH('Isaac 401k'!N4955,'Retirement Calculator'!A:A,0),0),0)</f>
        <v>0</v>
      </c>
      <c r="K4955" s="455">
        <f t="shared" ca="1" si="196"/>
        <v>-600915169552.58264</v>
      </c>
      <c r="L4955" s="455">
        <f t="shared" ca="1" si="197"/>
        <v>-144820555862172.44</v>
      </c>
      <c r="M4955" s="471">
        <f t="shared" si="199"/>
        <v>0.05</v>
      </c>
      <c r="N4955" s="475">
        <f t="shared" si="200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98"/>
        <v>-144820555862172.44</v>
      </c>
      <c r="J4956" s="455">
        <f t="array" ref="J4956">IFERROR(INDEX('Retirement Calculator'!J:J,MATCH('Isaac 401k'!N4956,'Retirement Calculator'!A:A,0),0),0)</f>
        <v>0</v>
      </c>
      <c r="K4956" s="455">
        <f t="shared" ca="1" si="196"/>
        <v>-603418982759.05176</v>
      </c>
      <c r="L4956" s="455">
        <f t="shared" ca="1" si="197"/>
        <v>-145423974844931.5</v>
      </c>
      <c r="M4956" s="471">
        <f t="shared" si="199"/>
        <v>0.05</v>
      </c>
      <c r="N4956" s="475">
        <f t="shared" si="200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98"/>
        <v>-145423974844931.5</v>
      </c>
      <c r="J4957" s="455">
        <f t="array" ref="J4957">IFERROR(INDEX('Retirement Calculator'!J:J,MATCH('Isaac 401k'!N4957,'Retirement Calculator'!A:A,0),0),0)</f>
        <v>0</v>
      </c>
      <c r="K4957" s="455">
        <f t="shared" ca="1" si="196"/>
        <v>-605933228520.54785</v>
      </c>
      <c r="L4957" s="455">
        <f t="shared" ca="1" si="197"/>
        <v>-146029908073452.06</v>
      </c>
      <c r="M4957" s="471">
        <f t="shared" si="199"/>
        <v>0.05</v>
      </c>
      <c r="N4957" s="475">
        <f t="shared" si="200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98"/>
        <v>-146029908073452.06</v>
      </c>
      <c r="J4958" s="455">
        <f t="array" ref="J4958">IFERROR(INDEX('Retirement Calculator'!J:J,MATCH('Isaac 401k'!N4958,'Retirement Calculator'!A:A,0),0),0)</f>
        <v>0</v>
      </c>
      <c r="K4958" s="455">
        <f t="shared" ca="1" si="196"/>
        <v>-608457950306.05029</v>
      </c>
      <c r="L4958" s="455">
        <f t="shared" ca="1" si="197"/>
        <v>-146638366023758.13</v>
      </c>
      <c r="M4958" s="471">
        <f t="shared" si="199"/>
        <v>0.05</v>
      </c>
      <c r="N4958" s="475">
        <f t="shared" si="200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98"/>
        <v>-146638366023758.13</v>
      </c>
      <c r="J4959" s="455">
        <f t="array" ref="J4959">IFERROR(INDEX('Retirement Calculator'!J:J,MATCH('Isaac 401k'!N4959,'Retirement Calculator'!A:A,0),0),0)</f>
        <v>0</v>
      </c>
      <c r="K4959" s="455">
        <f t="shared" ca="1" si="196"/>
        <v>-610993191765.65881</v>
      </c>
      <c r="L4959" s="455">
        <f t="shared" ca="1" si="197"/>
        <v>-147249359215523.78</v>
      </c>
      <c r="M4959" s="471">
        <f t="shared" si="199"/>
        <v>0.05</v>
      </c>
      <c r="N4959" s="475">
        <f t="shared" si="200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98"/>
        <v>-147249359215523.78</v>
      </c>
      <c r="J4960" s="455">
        <f t="array" ref="J4960">IFERROR(INDEX('Retirement Calculator'!J:J,MATCH('Isaac 401k'!N4960,'Retirement Calculator'!A:A,0),0),0)</f>
        <v>0</v>
      </c>
      <c r="K4960" s="455">
        <f t="shared" ca="1" si="196"/>
        <v>-613538996731.34912</v>
      </c>
      <c r="L4960" s="455">
        <f t="shared" ca="1" si="197"/>
        <v>-147862898212255.13</v>
      </c>
      <c r="M4960" s="471">
        <f t="shared" si="199"/>
        <v>0.05</v>
      </c>
      <c r="N4960" s="475">
        <f t="shared" si="200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98"/>
        <v>-147862898212255.13</v>
      </c>
      <c r="J4961" s="455">
        <f t="array" ref="J4961">IFERROR(INDEX('Retirement Calculator'!J:J,MATCH('Isaac 401k'!N4961,'Retirement Calculator'!A:A,0),0),0)</f>
        <v>0</v>
      </c>
      <c r="K4961" s="455">
        <f t="shared" ca="1" si="196"/>
        <v>-616095409217.72974</v>
      </c>
      <c r="L4961" s="455">
        <f t="shared" ca="1" si="197"/>
        <v>-148478993621472.84</v>
      </c>
      <c r="M4961" s="471">
        <f t="shared" si="199"/>
        <v>0.05</v>
      </c>
      <c r="N4961" s="475">
        <f t="shared" si="200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98"/>
        <v>-148478993621472.84</v>
      </c>
      <c r="J4962" s="455">
        <f t="array" ref="J4962">IFERROR(INDEX('Retirement Calculator'!J:J,MATCH('Isaac 401k'!N4962,'Retirement Calculator'!A:A,0),0),0)</f>
        <v>0</v>
      </c>
      <c r="K4962" s="455">
        <f t="shared" ca="1" si="196"/>
        <v>-618662473422.80347</v>
      </c>
      <c r="L4962" s="455">
        <f t="shared" ca="1" si="197"/>
        <v>-149097656094895.66</v>
      </c>
      <c r="M4962" s="471">
        <f t="shared" si="199"/>
        <v>0.05</v>
      </c>
      <c r="N4962" s="475">
        <f t="shared" si="200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98"/>
        <v>-149097656094895.66</v>
      </c>
      <c r="J4963" s="455">
        <f t="array" ref="J4963">IFERROR(INDEX('Retirement Calculator'!J:J,MATCH('Isaac 401k'!N4963,'Retirement Calculator'!A:A,0),0),0)</f>
        <v>0</v>
      </c>
      <c r="K4963" s="455">
        <f t="shared" ca="1" si="196"/>
        <v>-621240233728.73193</v>
      </c>
      <c r="L4963" s="455">
        <f t="shared" ca="1" si="197"/>
        <v>-149718896328624.38</v>
      </c>
      <c r="M4963" s="471">
        <f t="shared" si="199"/>
        <v>0.05</v>
      </c>
      <c r="N4963" s="475">
        <f t="shared" si="200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98"/>
        <v>-149718896328624.38</v>
      </c>
      <c r="J4964" s="455">
        <f t="array" ref="J4964">IFERROR(INDEX('Retirement Calculator'!J:J,MATCH('Isaac 401k'!N4964,'Retirement Calculator'!A:A,0),0),0)</f>
        <v>0</v>
      </c>
      <c r="K4964" s="455">
        <f t="shared" ca="1" si="196"/>
        <v>-623828734702.60156</v>
      </c>
      <c r="L4964" s="455">
        <f t="shared" ca="1" si="197"/>
        <v>-150342725063326.97</v>
      </c>
      <c r="M4964" s="471">
        <f t="shared" si="199"/>
        <v>0.05</v>
      </c>
      <c r="N4964" s="475">
        <f t="shared" si="200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98"/>
        <v>-150342725063326.97</v>
      </c>
      <c r="J4965" s="455">
        <f t="array" ref="J4965">IFERROR(INDEX('Retirement Calculator'!J:J,MATCH('Isaac 401k'!N4965,'Retirement Calculator'!A:A,0),0),0)</f>
        <v>0</v>
      </c>
      <c r="K4965" s="455">
        <f t="shared" ca="1" si="196"/>
        <v>-626428021097.19568</v>
      </c>
      <c r="L4965" s="455">
        <f t="shared" ca="1" si="197"/>
        <v>-150969153084424.16</v>
      </c>
      <c r="M4965" s="471">
        <f t="shared" si="199"/>
        <v>0.05</v>
      </c>
      <c r="N4965" s="475">
        <f t="shared" si="200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98"/>
        <v>-150969153084424.16</v>
      </c>
      <c r="J4966" s="455">
        <f t="array" ref="J4966">IFERROR(INDEX('Retirement Calculator'!J:J,MATCH('Isaac 401k'!N4966,'Retirement Calculator'!A:A,0),0),0)</f>
        <v>0</v>
      </c>
      <c r="K4966" s="455">
        <f t="shared" ca="1" si="196"/>
        <v>-629038137851.76733</v>
      </c>
      <c r="L4966" s="455">
        <f t="shared" ca="1" si="197"/>
        <v>-151598191222275.94</v>
      </c>
      <c r="M4966" s="471">
        <f t="shared" si="199"/>
        <v>0.05</v>
      </c>
      <c r="N4966" s="475">
        <f t="shared" si="200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98"/>
        <v>-151598191222275.94</v>
      </c>
      <c r="J4967" s="455">
        <f t="array" ref="J4967">IFERROR(INDEX('Retirement Calculator'!J:J,MATCH('Isaac 401k'!N4967,'Retirement Calculator'!A:A,0),0),0)</f>
        <v>0</v>
      </c>
      <c r="K4967" s="455">
        <f t="shared" ca="1" si="196"/>
        <v>-631659130092.81641</v>
      </c>
      <c r="L4967" s="455">
        <f t="shared" ca="1" si="197"/>
        <v>-152229850352368.75</v>
      </c>
      <c r="M4967" s="471">
        <f t="shared" si="199"/>
        <v>0.05</v>
      </c>
      <c r="N4967" s="475">
        <f t="shared" si="200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98"/>
        <v>-152229850352368.75</v>
      </c>
      <c r="J4968" s="455">
        <f t="array" ref="J4968">IFERROR(INDEX('Retirement Calculator'!J:J,MATCH('Isaac 401k'!N4968,'Retirement Calculator'!A:A,0),0),0)</f>
        <v>0</v>
      </c>
      <c r="K4968" s="455">
        <f t="shared" ca="1" si="196"/>
        <v>-634291043134.86975</v>
      </c>
      <c r="L4968" s="455">
        <f t="shared" ca="1" si="197"/>
        <v>-152864141395503.63</v>
      </c>
      <c r="M4968" s="471">
        <f t="shared" si="199"/>
        <v>0.05</v>
      </c>
      <c r="N4968" s="475">
        <f t="shared" si="200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98"/>
        <v>-152864141395503.63</v>
      </c>
      <c r="J4969" s="455">
        <f t="array" ref="J4969">IFERROR(INDEX('Retirement Calculator'!J:J,MATCH('Isaac 401k'!N4969,'Retirement Calculator'!A:A,0),0),0)</f>
        <v>0</v>
      </c>
      <c r="K4969" s="455">
        <f t="shared" ca="1" si="196"/>
        <v>-636933922481.26514</v>
      </c>
      <c r="L4969" s="455">
        <f t="shared" ca="1" si="197"/>
        <v>-153501075317984.88</v>
      </c>
      <c r="M4969" s="471">
        <f t="shared" si="199"/>
        <v>0.05</v>
      </c>
      <c r="N4969" s="475">
        <f t="shared" si="200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98"/>
        <v>-153501075317984.88</v>
      </c>
      <c r="J4970" s="455">
        <f t="array" ref="J4970">IFERROR(INDEX('Retirement Calculator'!J:J,MATCH('Isaac 401k'!N4970,'Retirement Calculator'!A:A,0),0),0)</f>
        <v>0</v>
      </c>
      <c r="K4970" s="455">
        <f t="shared" ca="1" si="196"/>
        <v>-639587813824.93701</v>
      </c>
      <c r="L4970" s="455">
        <f t="shared" ca="1" si="197"/>
        <v>-154140663131809.81</v>
      </c>
      <c r="M4970" s="471">
        <f t="shared" si="199"/>
        <v>0.05</v>
      </c>
      <c r="N4970" s="475">
        <f t="shared" si="200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98"/>
        <v>-154140663131809.81</v>
      </c>
      <c r="J4971" s="455">
        <f t="array" ref="J4971">IFERROR(INDEX('Retirement Calculator'!J:J,MATCH('Isaac 401k'!N4971,'Retirement Calculator'!A:A,0),0),0)</f>
        <v>0</v>
      </c>
      <c r="K4971" s="455">
        <f t="shared" ca="1" si="196"/>
        <v>-642252763049.20752</v>
      </c>
      <c r="L4971" s="455">
        <f t="shared" ca="1" si="197"/>
        <v>-154782915894859.03</v>
      </c>
      <c r="M4971" s="471">
        <f t="shared" si="199"/>
        <v>0.05</v>
      </c>
      <c r="N4971" s="475">
        <f t="shared" si="200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98"/>
        <v>-154782915894859.03</v>
      </c>
      <c r="J4972" s="455">
        <f t="array" ref="J4972">IFERROR(INDEX('Retirement Calculator'!J:J,MATCH('Isaac 401k'!N4972,'Retirement Calculator'!A:A,0),0),0)</f>
        <v>0</v>
      </c>
      <c r="K4972" s="455">
        <f t="shared" ca="1" si="196"/>
        <v>-644928816228.57935</v>
      </c>
      <c r="L4972" s="455">
        <f t="shared" ca="1" si="197"/>
        <v>-155427844711087.63</v>
      </c>
      <c r="M4972" s="471">
        <f t="shared" si="199"/>
        <v>0.05</v>
      </c>
      <c r="N4972" s="475">
        <f t="shared" si="200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98"/>
        <v>-155427844711087.63</v>
      </c>
      <c r="J4973" s="455">
        <f t="array" ref="J4973">IFERROR(INDEX('Retirement Calculator'!J:J,MATCH('Isaac 401k'!N4973,'Retirement Calculator'!A:A,0),0),0)</f>
        <v>0</v>
      </c>
      <c r="K4973" s="455">
        <f t="shared" ca="1" si="196"/>
        <v>-647616019629.53174</v>
      </c>
      <c r="L4973" s="455">
        <f t="shared" ca="1" si="197"/>
        <v>-156075460730717.16</v>
      </c>
      <c r="M4973" s="471">
        <f t="shared" si="199"/>
        <v>0.05</v>
      </c>
      <c r="N4973" s="475">
        <f t="shared" si="200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98"/>
        <v>-156075460730717.16</v>
      </c>
      <c r="J4974" s="455">
        <f t="array" ref="J4974">IFERROR(INDEX('Retirement Calculator'!J:J,MATCH('Isaac 401k'!N4974,'Retirement Calculator'!A:A,0),0),0)</f>
        <v>0</v>
      </c>
      <c r="K4974" s="455">
        <f t="shared" ca="1" si="196"/>
        <v>-650314419711.32153</v>
      </c>
      <c r="L4974" s="455">
        <f t="shared" ca="1" si="197"/>
        <v>-156725775150428.47</v>
      </c>
      <c r="M4974" s="471">
        <f t="shared" si="199"/>
        <v>0.05</v>
      </c>
      <c r="N4974" s="475">
        <f t="shared" si="200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98"/>
        <v>-156725775150428.47</v>
      </c>
      <c r="J4975" s="455">
        <f t="array" ref="J4975">IFERROR(INDEX('Retirement Calculator'!J:J,MATCH('Isaac 401k'!N4975,'Retirement Calculator'!A:A,0),0),0)</f>
        <v>0</v>
      </c>
      <c r="K4975" s="455">
        <f t="shared" ca="1" si="196"/>
        <v>-653024063126.78528</v>
      </c>
      <c r="L4975" s="455">
        <f t="shared" ca="1" si="197"/>
        <v>-157378799213555.25</v>
      </c>
      <c r="M4975" s="471">
        <f t="shared" si="199"/>
        <v>0.05</v>
      </c>
      <c r="N4975" s="475">
        <f t="shared" si="200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98"/>
        <v>-157378799213555.25</v>
      </c>
      <c r="J4976" s="455">
        <f t="array" ref="J4976">IFERROR(INDEX('Retirement Calculator'!J:J,MATCH('Isaac 401k'!N4976,'Retirement Calculator'!A:A,0),0),0)</f>
        <v>0</v>
      </c>
      <c r="K4976" s="455">
        <f t="shared" ca="1" si="196"/>
        <v>-655744996723.14685</v>
      </c>
      <c r="L4976" s="455">
        <f t="shared" ca="1" si="197"/>
        <v>-158034544210278.41</v>
      </c>
      <c r="M4976" s="471">
        <f t="shared" si="199"/>
        <v>0.05</v>
      </c>
      <c r="N4976" s="475">
        <f t="shared" si="200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98"/>
        <v>-158034544210278.41</v>
      </c>
      <c r="J4977" s="455">
        <f t="array" ref="J4977">IFERROR(INDEX('Retirement Calculator'!J:J,MATCH('Isaac 401k'!N4977,'Retirement Calculator'!A:A,0),0),0)</f>
        <v>0</v>
      </c>
      <c r="K4977" s="455">
        <f t="shared" ca="1" si="196"/>
        <v>-658477267542.82666</v>
      </c>
      <c r="L4977" s="455">
        <f t="shared" ca="1" si="197"/>
        <v>-158693021477821.22</v>
      </c>
      <c r="M4977" s="471">
        <f t="shared" si="199"/>
        <v>0.05</v>
      </c>
      <c r="N4977" s="475">
        <f t="shared" si="200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98"/>
        <v>-158693021477821.22</v>
      </c>
      <c r="J4978" s="455">
        <f t="array" ref="J4978">IFERROR(INDEX('Retirement Calculator'!J:J,MATCH('Isaac 401k'!N4978,'Retirement Calculator'!A:A,0),0),0)</f>
        <v>0</v>
      </c>
      <c r="K4978" s="455">
        <f t="shared" ca="1" si="196"/>
        <v>-661220922824.25513</v>
      </c>
      <c r="L4978" s="455">
        <f t="shared" ca="1" si="197"/>
        <v>-159354242400645.47</v>
      </c>
      <c r="M4978" s="471">
        <f t="shared" si="199"/>
        <v>0.05</v>
      </c>
      <c r="N4978" s="475">
        <f t="shared" si="200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98"/>
        <v>-159354242400645.47</v>
      </c>
      <c r="J4979" s="455">
        <f t="array" ref="J4979">IFERROR(INDEX('Retirement Calculator'!J:J,MATCH('Isaac 401k'!N4979,'Retirement Calculator'!A:A,0),0),0)</f>
        <v>0</v>
      </c>
      <c r="K4979" s="455">
        <f t="shared" ca="1" si="196"/>
        <v>-663976010002.68945</v>
      </c>
      <c r="L4979" s="455">
        <f t="shared" ca="1" si="197"/>
        <v>-160018218410648.16</v>
      </c>
      <c r="M4979" s="471">
        <f t="shared" si="199"/>
        <v>0.05</v>
      </c>
      <c r="N4979" s="475">
        <f t="shared" si="200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98"/>
        <v>-160018218410648.16</v>
      </c>
      <c r="J4980" s="455">
        <f t="array" ref="J4980">IFERROR(INDEX('Retirement Calculator'!J:J,MATCH('Isaac 401k'!N4980,'Retirement Calculator'!A:A,0),0),0)</f>
        <v>0</v>
      </c>
      <c r="K4980" s="455">
        <f t="shared" ca="1" si="196"/>
        <v>-666742576711.03394</v>
      </c>
      <c r="L4980" s="455">
        <f t="shared" ca="1" si="197"/>
        <v>-160684960987359.19</v>
      </c>
      <c r="M4980" s="471">
        <f t="shared" si="199"/>
        <v>0.05</v>
      </c>
      <c r="N4980" s="475">
        <f t="shared" si="200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98"/>
        <v>-160684960987359.19</v>
      </c>
      <c r="J4981" s="455">
        <f t="array" ref="J4981">IFERROR(INDEX('Retirement Calculator'!J:J,MATCH('Isaac 401k'!N4981,'Retirement Calculator'!A:A,0),0),0)</f>
        <v>0</v>
      </c>
      <c r="K4981" s="455">
        <f t="shared" ca="1" si="196"/>
        <v>-669520670780.66333</v>
      </c>
      <c r="L4981" s="455">
        <f t="shared" ca="1" si="197"/>
        <v>-161354481658139.84</v>
      </c>
      <c r="M4981" s="471">
        <f t="shared" si="199"/>
        <v>0.05</v>
      </c>
      <c r="N4981" s="475">
        <f t="shared" si="200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98"/>
        <v>-161354481658139.84</v>
      </c>
      <c r="J4982" s="455">
        <f t="array" ref="J4982">IFERROR(INDEX('Retirement Calculator'!J:J,MATCH('Isaac 401k'!N4982,'Retirement Calculator'!A:A,0),0),0)</f>
        <v>0</v>
      </c>
      <c r="K4982" s="455">
        <f t="shared" ca="1" si="196"/>
        <v>-672310340242.24939</v>
      </c>
      <c r="L4982" s="455">
        <f t="shared" ca="1" si="197"/>
        <v>-162026791998382.09</v>
      </c>
      <c r="M4982" s="471">
        <f t="shared" si="199"/>
        <v>0.05</v>
      </c>
      <c r="N4982" s="475">
        <f t="shared" si="200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98"/>
        <v>-162026791998382.09</v>
      </c>
      <c r="J4983" s="455">
        <f t="array" ref="J4983">IFERROR(INDEX('Retirement Calculator'!J:J,MATCH('Isaac 401k'!N4983,'Retirement Calculator'!A:A,0),0),0)</f>
        <v>0</v>
      </c>
      <c r="K4983" s="455">
        <f t="shared" ca="1" si="196"/>
        <v>-675111633326.59204</v>
      </c>
      <c r="L4983" s="455">
        <f t="shared" ca="1" si="197"/>
        <v>-162701903631708.69</v>
      </c>
      <c r="M4983" s="471">
        <f t="shared" si="199"/>
        <v>0.05</v>
      </c>
      <c r="N4983" s="475">
        <f t="shared" si="200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98"/>
        <v>-162701903631708.69</v>
      </c>
      <c r="J4984" s="455">
        <f t="array" ref="J4984">IFERROR(INDEX('Retirement Calculator'!J:J,MATCH('Isaac 401k'!N4984,'Retirement Calculator'!A:A,0),0),0)</f>
        <v>0</v>
      </c>
      <c r="K4984" s="455">
        <f t="shared" ca="1" si="196"/>
        <v>-677924598465.45288</v>
      </c>
      <c r="L4984" s="455">
        <f t="shared" ca="1" si="197"/>
        <v>-163379828230174.13</v>
      </c>
      <c r="M4984" s="471">
        <f t="shared" si="199"/>
        <v>0.05</v>
      </c>
      <c r="N4984" s="475">
        <f t="shared" si="200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98"/>
        <v>-163379828230174.13</v>
      </c>
      <c r="J4985" s="455">
        <f t="array" ref="J4985">IFERROR(INDEX('Retirement Calculator'!J:J,MATCH('Isaac 401k'!N4985,'Retirement Calculator'!A:A,0),0),0)</f>
        <v>0</v>
      </c>
      <c r="K4985" s="455">
        <f t="shared" ca="1" si="196"/>
        <v>-680749284292.39221</v>
      </c>
      <c r="L4985" s="455">
        <f t="shared" ca="1" si="197"/>
        <v>-164060577514466.53</v>
      </c>
      <c r="M4985" s="471">
        <f t="shared" si="199"/>
        <v>0.05</v>
      </c>
      <c r="N4985" s="475">
        <f t="shared" si="200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98"/>
        <v>-164060577514466.53</v>
      </c>
      <c r="J4986" s="455">
        <f t="array" ref="J4986">IFERROR(INDEX('Retirement Calculator'!J:J,MATCH('Isaac 401k'!N4986,'Retirement Calculator'!A:A,0),0),0)</f>
        <v>0</v>
      </c>
      <c r="K4986" s="455">
        <f t="shared" ca="1" si="196"/>
        <v>-683585739643.6106</v>
      </c>
      <c r="L4986" s="455">
        <f t="shared" ca="1" si="197"/>
        <v>-164744163254110.16</v>
      </c>
      <c r="M4986" s="471">
        <f t="shared" si="199"/>
        <v>0.05</v>
      </c>
      <c r="N4986" s="475">
        <f t="shared" si="200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98"/>
        <v>-164744163254110.16</v>
      </c>
      <c r="J4987" s="455">
        <f t="array" ref="J4987">IFERROR(INDEX('Retirement Calculator'!J:J,MATCH('Isaac 401k'!N4987,'Retirement Calculator'!A:A,0),0),0)</f>
        <v>0</v>
      </c>
      <c r="K4987" s="455">
        <f t="shared" ca="1" si="196"/>
        <v>-686434013558.79236</v>
      </c>
      <c r="L4987" s="455">
        <f t="shared" ca="1" si="197"/>
        <v>-165430597267668.94</v>
      </c>
      <c r="M4987" s="471">
        <f t="shared" si="199"/>
        <v>0.05</v>
      </c>
      <c r="N4987" s="475">
        <f t="shared" si="200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98"/>
        <v>-165430597267668.94</v>
      </c>
      <c r="J4988" s="455">
        <f t="array" ref="J4988">IFERROR(INDEX('Retirement Calculator'!J:J,MATCH('Isaac 401k'!N4988,'Retirement Calculator'!A:A,0),0),0)</f>
        <v>0</v>
      </c>
      <c r="K4988" s="455">
        <f t="shared" ca="1" si="196"/>
        <v>-689294155281.95386</v>
      </c>
      <c r="L4988" s="455">
        <f t="shared" ca="1" si="197"/>
        <v>-166119891422950.91</v>
      </c>
      <c r="M4988" s="471">
        <f t="shared" si="199"/>
        <v>0.05</v>
      </c>
      <c r="N4988" s="475">
        <f t="shared" si="200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98"/>
        <v>-166119891422950.91</v>
      </c>
      <c r="J4989" s="455">
        <f t="array" ref="J4989">IFERROR(INDEX('Retirement Calculator'!J:J,MATCH('Isaac 401k'!N4989,'Retirement Calculator'!A:A,0),0),0)</f>
        <v>0</v>
      </c>
      <c r="K4989" s="455">
        <f t="shared" ca="1" si="196"/>
        <v>-692166214262.29541</v>
      </c>
      <c r="L4989" s="455">
        <f t="shared" ca="1" si="197"/>
        <v>-166812057637213.19</v>
      </c>
      <c r="M4989" s="471">
        <f t="shared" si="199"/>
        <v>0.05</v>
      </c>
      <c r="N4989" s="475">
        <f t="shared" si="200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98"/>
        <v>-166812057637213.19</v>
      </c>
      <c r="J4990" s="455">
        <f t="array" ref="J4990">IFERROR(INDEX('Retirement Calculator'!J:J,MATCH('Isaac 401k'!N4990,'Retirement Calculator'!A:A,0),0),0)</f>
        <v>0</v>
      </c>
      <c r="K4990" s="455">
        <f t="shared" ca="1" si="196"/>
        <v>-695050240155.05493</v>
      </c>
      <c r="L4990" s="455">
        <f t="shared" ca="1" si="197"/>
        <v>-167507107877368.25</v>
      </c>
      <c r="M4990" s="471">
        <f t="shared" si="199"/>
        <v>0.05</v>
      </c>
      <c r="N4990" s="475">
        <f t="shared" si="200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98"/>
        <v>-167507107877368.25</v>
      </c>
      <c r="J4991" s="455">
        <f t="array" ref="J4991">IFERROR(INDEX('Retirement Calculator'!J:J,MATCH('Isaac 401k'!N4991,'Retirement Calculator'!A:A,0),0),0)</f>
        <v>0</v>
      </c>
      <c r="K4991" s="455">
        <f t="shared" ca="1" si="196"/>
        <v>-697946282822.36768</v>
      </c>
      <c r="L4991" s="455">
        <f t="shared" ca="1" si="197"/>
        <v>-168205054160190.63</v>
      </c>
      <c r="M4991" s="471">
        <f t="shared" si="199"/>
        <v>0.05</v>
      </c>
      <c r="N4991" s="475">
        <f t="shared" si="200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98"/>
        <v>-168205054160190.63</v>
      </c>
      <c r="J4992" s="455">
        <f t="array" ref="J4992">IFERROR(INDEX('Retirement Calculator'!J:J,MATCH('Isaac 401k'!N4992,'Retirement Calculator'!A:A,0),0),0)</f>
        <v>0</v>
      </c>
      <c r="K4992" s="455">
        <f t="shared" ca="1" si="196"/>
        <v>-700854392334.12756</v>
      </c>
      <c r="L4992" s="455">
        <f t="shared" ca="1" si="197"/>
        <v>-168905908552524.75</v>
      </c>
      <c r="M4992" s="471">
        <f t="shared" si="199"/>
        <v>0.05</v>
      </c>
      <c r="N4992" s="475">
        <f t="shared" si="200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98"/>
        <v>-168905908552524.75</v>
      </c>
      <c r="J4993" s="455">
        <f t="array" ref="J4993">IFERROR(INDEX('Retirement Calculator'!J:J,MATCH('Isaac 401k'!N4993,'Retirement Calculator'!A:A,0),0),0)</f>
        <v>0</v>
      </c>
      <c r="K4993" s="455">
        <f t="shared" ca="1" si="196"/>
        <v>-703774618968.85315</v>
      </c>
      <c r="L4993" s="455">
        <f t="shared" ca="1" si="197"/>
        <v>-169609683171493.59</v>
      </c>
      <c r="M4993" s="471">
        <f t="shared" si="199"/>
        <v>0.05</v>
      </c>
      <c r="N4993" s="475">
        <f t="shared" si="200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98"/>
        <v>-169609683171493.59</v>
      </c>
      <c r="J4994" s="455">
        <f t="array" ref="J4994">IFERROR(INDEX('Retirement Calculator'!J:J,MATCH('Isaac 401k'!N4994,'Retirement Calculator'!A:A,0),0),0)</f>
        <v>0</v>
      </c>
      <c r="K4994" s="455">
        <f t="shared" ca="1" si="196"/>
        <v>-706707013214.55664</v>
      </c>
      <c r="L4994" s="455">
        <f t="shared" ca="1" si="197"/>
        <v>-170316390184708.16</v>
      </c>
      <c r="M4994" s="471">
        <f t="shared" si="199"/>
        <v>0.05</v>
      </c>
      <c r="N4994" s="475">
        <f t="shared" si="200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98"/>
        <v>-170316390184708.16</v>
      </c>
      <c r="J4995" s="455">
        <f t="array" ref="J4995">IFERROR(INDEX('Retirement Calculator'!J:J,MATCH('Isaac 401k'!N4995,'Retirement Calculator'!A:A,0),0),0)</f>
        <v>0</v>
      </c>
      <c r="K4995" s="455">
        <f t="shared" ca="1" si="196"/>
        <v>-709651625769.61731</v>
      </c>
      <c r="L4995" s="455">
        <f t="shared" ca="1" si="197"/>
        <v>-171026041810477.78</v>
      </c>
      <c r="M4995" s="471">
        <f t="shared" si="199"/>
        <v>0.05</v>
      </c>
      <c r="N4995" s="475">
        <f t="shared" si="200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98"/>
        <v>-171026041810477.78</v>
      </c>
      <c r="J4996" s="455">
        <f t="array" ref="J4996">IFERROR(INDEX('Retirement Calculator'!J:J,MATCH('Isaac 401k'!N4996,'Retirement Calculator'!A:A,0),0),0)</f>
        <v>0</v>
      </c>
      <c r="K4996" s="455">
        <f t="shared" ca="1" si="196"/>
        <v>-712608507543.65747</v>
      </c>
      <c r="L4996" s="455">
        <f t="shared" ca="1" si="197"/>
        <v>-171738650318021.44</v>
      </c>
      <c r="M4996" s="471">
        <f t="shared" si="199"/>
        <v>0.05</v>
      </c>
      <c r="N4996" s="475">
        <f t="shared" si="200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98"/>
        <v>-171738650318021.44</v>
      </c>
      <c r="J4997" s="455">
        <f t="array" ref="J4997">IFERROR(INDEX('Retirement Calculator'!J:J,MATCH('Isaac 401k'!N4997,'Retirement Calculator'!A:A,0),0),0)</f>
        <v>0</v>
      </c>
      <c r="K4997" s="455">
        <f t="shared" ca="1" si="196"/>
        <v>-715577709658.42261</v>
      </c>
      <c r="L4997" s="455">
        <f t="shared" ca="1" si="197"/>
        <v>-172454228027679.88</v>
      </c>
      <c r="M4997" s="471">
        <f t="shared" si="199"/>
        <v>0.05</v>
      </c>
      <c r="N4997" s="475">
        <f t="shared" si="200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98"/>
        <v>-172454228027679.88</v>
      </c>
      <c r="J4998" s="455">
        <f t="array" ref="J4998">IFERROR(INDEX('Retirement Calculator'!J:J,MATCH('Isaac 401k'!N4998,'Retirement Calculator'!A:A,0),0),0)</f>
        <v>0</v>
      </c>
      <c r="K4998" s="455">
        <f t="shared" ca="1" si="196"/>
        <v>-718559283448.66614</v>
      </c>
      <c r="L4998" s="455">
        <f t="shared" ca="1" si="197"/>
        <v>-173172787311128.53</v>
      </c>
      <c r="M4998" s="471">
        <f t="shared" si="199"/>
        <v>0.05</v>
      </c>
      <c r="N4998" s="475">
        <f t="shared" si="200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98"/>
        <v>-173172787311128.53</v>
      </c>
      <c r="J4999" s="455">
        <f t="array" ref="J4999">IFERROR(INDEX('Retirement Calculator'!J:J,MATCH('Isaac 401k'!N4999,'Retirement Calculator'!A:A,0),0),0)</f>
        <v>0</v>
      </c>
      <c r="K4999" s="455">
        <f t="shared" ca="1" si="196"/>
        <v>-721553280463.03552</v>
      </c>
      <c r="L4999" s="455">
        <f t="shared" ca="1" si="197"/>
        <v>-173894340591591.56</v>
      </c>
      <c r="M4999" s="471">
        <f t="shared" si="199"/>
        <v>0.05</v>
      </c>
      <c r="N4999" s="475">
        <f t="shared" si="200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98"/>
        <v>-173894340591591.56</v>
      </c>
      <c r="J5000" s="455">
        <f t="array" ref="J5000">IFERROR(INDEX('Retirement Calculator'!J:J,MATCH('Isaac 401k'!N5000,'Retirement Calculator'!A:A,0),0),0)</f>
        <v>0</v>
      </c>
      <c r="K5000" s="455">
        <f t="shared" ca="1" si="196"/>
        <v>-724559752464.96484</v>
      </c>
      <c r="L5000" s="455">
        <f t="shared" ca="1" si="197"/>
        <v>-174618900344056.53</v>
      </c>
      <c r="M5000" s="471">
        <f t="shared" si="199"/>
        <v>0.05</v>
      </c>
      <c r="N5000" s="475">
        <f t="shared" si="200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98"/>
        <v>-174618900344056.53</v>
      </c>
      <c r="J5001" s="455">
        <f t="array" ref="J5001">IFERROR(INDEX('Retirement Calculator'!J:J,MATCH('Isaac 401k'!N5001,'Retirement Calculator'!A:A,0),0),0)</f>
        <v>0</v>
      </c>
      <c r="K5001" s="455">
        <f t="shared" ca="1" si="196"/>
        <v>-727578751433.56885</v>
      </c>
      <c r="L5001" s="455">
        <f t="shared" ca="1" si="197"/>
        <v>-175346479095490.09</v>
      </c>
      <c r="M5001" s="471">
        <f t="shared" si="199"/>
        <v>0.05</v>
      </c>
      <c r="N5001" s="475">
        <f t="shared" si="200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98"/>
        <v>-175346479095490.09</v>
      </c>
      <c r="J5002" s="455">
        <f t="array" ref="J5002">IFERROR(INDEX('Retirement Calculator'!J:J,MATCH('Isaac 401k'!N5002,'Retirement Calculator'!A:A,0),0),0)</f>
        <v>0</v>
      </c>
      <c r="K5002" s="455">
        <f t="shared" ca="1" si="196"/>
        <v>-730610329564.54199</v>
      </c>
      <c r="L5002" s="455">
        <f t="shared" ca="1" si="197"/>
        <v>-176077089425054.63</v>
      </c>
      <c r="M5002" s="471">
        <f t="shared" si="199"/>
        <v>0.05</v>
      </c>
      <c r="N5002" s="475">
        <f t="shared" si="200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98"/>
        <v>-176077089425054.63</v>
      </c>
      <c r="J5003" s="455">
        <f t="array" ref="J5003">IFERROR(INDEX('Retirement Calculator'!J:J,MATCH('Isaac 401k'!N5003,'Retirement Calculator'!A:A,0),0),0)</f>
        <v>0</v>
      </c>
      <c r="K5003" s="455">
        <f t="shared" ca="1" si="196"/>
        <v>-733654539271.06091</v>
      </c>
      <c r="L5003" s="455">
        <f t="shared" ca="1" si="197"/>
        <v>-176810743964325.69</v>
      </c>
      <c r="M5003" s="471">
        <f t="shared" si="199"/>
        <v>0.05</v>
      </c>
      <c r="N5003" s="475">
        <f t="shared" si="200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98"/>
        <v>-176810743964325.69</v>
      </c>
      <c r="J5004" s="455">
        <f t="array" ref="J5004">IFERROR(INDEX('Retirement Calculator'!J:J,MATCH('Isaac 401k'!N5004,'Retirement Calculator'!A:A,0),0),0)</f>
        <v>0</v>
      </c>
      <c r="K5004" s="455">
        <f t="shared" ca="1" si="196"/>
        <v>-736711433184.69031</v>
      </c>
      <c r="L5004" s="455">
        <f t="shared" ca="1" si="197"/>
        <v>-177547455397510.38</v>
      </c>
      <c r="M5004" s="471">
        <f t="shared" si="199"/>
        <v>0.05</v>
      </c>
      <c r="N5004" s="475">
        <f t="shared" si="200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98"/>
        <v>-177547455397510.38</v>
      </c>
      <c r="J5005" s="455">
        <f t="array" ref="J5005">IFERROR(INDEX('Retirement Calculator'!J:J,MATCH('Isaac 401k'!N5005,'Retirement Calculator'!A:A,0),0),0)</f>
        <v>0</v>
      </c>
      <c r="K5005" s="455">
        <f t="shared" ca="1" si="196"/>
        <v>-739781064156.29321</v>
      </c>
      <c r="L5005" s="455">
        <f t="shared" ca="1" si="197"/>
        <v>-178287236461666.66</v>
      </c>
      <c r="M5005" s="471">
        <f t="shared" si="199"/>
        <v>0.05</v>
      </c>
      <c r="N5005" s="475">
        <f t="shared" si="200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98"/>
        <v>-178287236461666.66</v>
      </c>
      <c r="J5006" s="455">
        <f t="array" ref="J5006">IFERROR(INDEX('Retirement Calculator'!J:J,MATCH('Isaac 401k'!N5006,'Retirement Calculator'!A:A,0),0),0)</f>
        <v>0</v>
      </c>
      <c r="K5006" s="455">
        <f t="shared" ca="1" si="196"/>
        <v>-742863485256.94434</v>
      </c>
      <c r="L5006" s="455">
        <f t="shared" ca="1" si="197"/>
        <v>-179030099946923.59</v>
      </c>
      <c r="M5006" s="471">
        <f t="shared" si="199"/>
        <v>0.05</v>
      </c>
      <c r="N5006" s="475">
        <f t="shared" si="200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98"/>
        <v>-179030099946923.59</v>
      </c>
      <c r="J5007" s="455">
        <f t="array" ref="J5007">IFERROR(INDEX('Retirement Calculator'!J:J,MATCH('Isaac 401k'!N5007,'Retirement Calculator'!A:A,0),0),0)</f>
        <v>0</v>
      </c>
      <c r="K5007" s="455">
        <f t="shared" ca="1" si="196"/>
        <v>-745958749778.84827</v>
      </c>
      <c r="L5007" s="455">
        <f t="shared" ca="1" si="197"/>
        <v>-179776058696702.44</v>
      </c>
      <c r="M5007" s="471">
        <f t="shared" si="199"/>
        <v>0.05</v>
      </c>
      <c r="N5007" s="475">
        <f t="shared" si="200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98"/>
        <v>-179776058696702.44</v>
      </c>
      <c r="J5008" s="455">
        <f t="array" ref="J5008">IFERROR(INDEX('Retirement Calculator'!J:J,MATCH('Isaac 401k'!N5008,'Retirement Calculator'!A:A,0),0),0)</f>
        <v>0</v>
      </c>
      <c r="K5008" s="455">
        <f t="shared" ca="1" si="196"/>
        <v>-749066911236.26013</v>
      </c>
      <c r="L5008" s="455">
        <f t="shared" ca="1" si="197"/>
        <v>-180525125607938.69</v>
      </c>
      <c r="M5008" s="471">
        <f t="shared" si="199"/>
        <v>0.05</v>
      </c>
      <c r="N5008" s="475">
        <f t="shared" si="200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98"/>
        <v>-180525125607938.69</v>
      </c>
      <c r="J5009" s="455">
        <f t="array" ref="J5009">IFERROR(INDEX('Retirement Calculator'!J:J,MATCH('Isaac 401k'!N5009,'Retirement Calculator'!A:A,0),0),0)</f>
        <v>0</v>
      </c>
      <c r="K5009" s="455">
        <f t="shared" ca="1" si="196"/>
        <v>-752188023366.41113</v>
      </c>
      <c r="L5009" s="455">
        <f t="shared" ca="1" si="197"/>
        <v>-181277313631305.09</v>
      </c>
      <c r="M5009" s="471">
        <f t="shared" si="199"/>
        <v>0.05</v>
      </c>
      <c r="N5009" s="475">
        <f t="shared" si="200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98"/>
        <v>-181277313631305.09</v>
      </c>
      <c r="J5010" s="455">
        <f t="array" ref="J5010">IFERROR(INDEX('Retirement Calculator'!J:J,MATCH('Isaac 401k'!N5010,'Retirement Calculator'!A:A,0),0),0)</f>
        <v>0</v>
      </c>
      <c r="K5010" s="455">
        <f t="shared" ca="1" si="196"/>
        <v>-755322140130.43787</v>
      </c>
      <c r="L5010" s="455">
        <f t="shared" ca="1" si="197"/>
        <v>-182032635771435.53</v>
      </c>
      <c r="M5010" s="471">
        <f t="shared" si="199"/>
        <v>0.05</v>
      </c>
      <c r="N5010" s="475">
        <f t="shared" si="200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98"/>
        <v>-182032635771435.53</v>
      </c>
      <c r="J5011" s="455">
        <f t="array" ref="J5011">IFERROR(INDEX('Retirement Calculator'!J:J,MATCH('Isaac 401k'!N5011,'Retirement Calculator'!A:A,0),0),0)</f>
        <v>0</v>
      </c>
      <c r="K5011" s="455">
        <f t="shared" ca="1" si="196"/>
        <v>-758469315714.3147</v>
      </c>
      <c r="L5011" s="455">
        <f t="shared" ca="1" si="197"/>
        <v>-182791105087149.84</v>
      </c>
      <c r="M5011" s="471">
        <f t="shared" si="199"/>
        <v>0.05</v>
      </c>
      <c r="N5011" s="475">
        <f t="shared" si="200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98"/>
        <v>-182791105087149.84</v>
      </c>
      <c r="J5012" s="455">
        <f t="array" ref="J5012">IFERROR(INDEX('Retirement Calculator'!J:J,MATCH('Isaac 401k'!N5012,'Retirement Calculator'!A:A,0),0),0)</f>
        <v>0</v>
      </c>
      <c r="K5012" s="455">
        <f t="shared" ca="1" si="196"/>
        <v>-761629604529.79102</v>
      </c>
      <c r="L5012" s="455">
        <f t="shared" ca="1" si="197"/>
        <v>-183552734691679.63</v>
      </c>
      <c r="M5012" s="471">
        <f t="shared" si="199"/>
        <v>0.05</v>
      </c>
      <c r="N5012" s="475">
        <f t="shared" si="200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98"/>
        <v>-183552734691679.63</v>
      </c>
      <c r="J5013" s="455">
        <f t="array" ref="J5013">IFERROR(INDEX('Retirement Calculator'!J:J,MATCH('Isaac 401k'!N5013,'Retirement Calculator'!A:A,0),0),0)</f>
        <v>0</v>
      </c>
      <c r="K5013" s="455">
        <f t="shared" ca="1" si="196"/>
        <v>-764803061215.33179</v>
      </c>
      <c r="L5013" s="455">
        <f t="shared" ca="1" si="197"/>
        <v>-184317537752894.97</v>
      </c>
      <c r="M5013" s="471">
        <f t="shared" si="199"/>
        <v>0.05</v>
      </c>
      <c r="N5013" s="475">
        <f t="shared" si="200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98"/>
        <v>-184317537752894.97</v>
      </c>
      <c r="J5014" s="455">
        <f t="array" ref="J5014">IFERROR(INDEX('Retirement Calculator'!J:J,MATCH('Isaac 401k'!N5014,'Retirement Calculator'!A:A,0),0),0)</f>
        <v>0</v>
      </c>
      <c r="K5014" s="455">
        <f t="shared" ca="1" si="196"/>
        <v>-767989740637.06238</v>
      </c>
      <c r="L5014" s="455">
        <f t="shared" ca="1" si="197"/>
        <v>-185085527493532.03</v>
      </c>
      <c r="M5014" s="471">
        <f t="shared" si="199"/>
        <v>0.05</v>
      </c>
      <c r="N5014" s="475">
        <f t="shared" si="200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98"/>
        <v>-185085527493532.03</v>
      </c>
      <c r="J5015" s="455">
        <f t="array" ref="J5015">IFERROR(INDEX('Retirement Calculator'!J:J,MATCH('Isaac 401k'!N5015,'Retirement Calculator'!A:A,0),0),0)</f>
        <v>0</v>
      </c>
      <c r="K5015" s="455">
        <f t="shared" ca="1" si="196"/>
        <v>-771189697889.7168</v>
      </c>
      <c r="L5015" s="455">
        <f t="shared" ca="1" si="197"/>
        <v>-185856717191421.75</v>
      </c>
      <c r="M5015" s="471">
        <f t="shared" si="199"/>
        <v>0.05</v>
      </c>
      <c r="N5015" s="475">
        <f t="shared" si="200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98"/>
        <v>-185856717191421.75</v>
      </c>
      <c r="J5016" s="455">
        <f t="array" ref="J5016">IFERROR(INDEX('Retirement Calculator'!J:J,MATCH('Isaac 401k'!N5016,'Retirement Calculator'!A:A,0),0),0)</f>
        <v>0</v>
      </c>
      <c r="K5016" s="455">
        <f t="shared" ca="1" si="196"/>
        <v>-774402988297.59058</v>
      </c>
      <c r="L5016" s="455">
        <f t="shared" ca="1" si="197"/>
        <v>-186631120179719.34</v>
      </c>
      <c r="M5016" s="471">
        <f t="shared" si="199"/>
        <v>0.05</v>
      </c>
      <c r="N5016" s="475">
        <f t="shared" si="200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98"/>
        <v>-186631120179719.34</v>
      </c>
      <c r="J5017" s="455">
        <f t="array" ref="J5017">IFERROR(INDEX('Retirement Calculator'!J:J,MATCH('Isaac 401k'!N5017,'Retirement Calculator'!A:A,0),0),0)</f>
        <v>0</v>
      </c>
      <c r="K5017" s="455">
        <f t="shared" ca="1" si="196"/>
        <v>-777629667415.49731</v>
      </c>
      <c r="L5017" s="455">
        <f t="shared" ca="1" si="197"/>
        <v>-187408749847134.84</v>
      </c>
      <c r="M5017" s="471">
        <f t="shared" si="199"/>
        <v>0.05</v>
      </c>
      <c r="N5017" s="475">
        <f t="shared" si="200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98"/>
        <v>-187408749847134.84</v>
      </c>
      <c r="J5018" s="455">
        <f t="array" ref="J5018">IFERROR(INDEX('Retirement Calculator'!J:J,MATCH('Isaac 401k'!N5018,'Retirement Calculator'!A:A,0),0),0)</f>
        <v>0</v>
      </c>
      <c r="K5018" s="455">
        <f t="shared" ca="1" si="196"/>
        <v>-780869791029.72852</v>
      </c>
      <c r="L5018" s="455">
        <f t="shared" ca="1" si="197"/>
        <v>-188189619638164.56</v>
      </c>
      <c r="M5018" s="471">
        <f t="shared" si="199"/>
        <v>0.05</v>
      </c>
      <c r="N5018" s="475">
        <f t="shared" si="200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98"/>
        <v>-188189619638164.56</v>
      </c>
      <c r="J5019" s="455">
        <f t="array" ref="J5019">IFERROR(INDEX('Retirement Calculator'!J:J,MATCH('Isaac 401k'!N5019,'Retirement Calculator'!A:A,0),0),0)</f>
        <v>0</v>
      </c>
      <c r="K5019" s="455">
        <f t="shared" ca="1" si="196"/>
        <v>-784123415159.01904</v>
      </c>
      <c r="L5019" s="455">
        <f t="shared" ca="1" si="197"/>
        <v>-188973743053323.59</v>
      </c>
      <c r="M5019" s="471">
        <f t="shared" si="199"/>
        <v>0.05</v>
      </c>
      <c r="N5019" s="475">
        <f t="shared" si="200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98"/>
        <v>-188973743053323.59</v>
      </c>
      <c r="J5020" s="455">
        <f t="array" ref="J5020">IFERROR(INDEX('Retirement Calculator'!J:J,MATCH('Isaac 401k'!N5020,'Retirement Calculator'!A:A,0),0),0)</f>
        <v>0</v>
      </c>
      <c r="K5020" s="455">
        <f t="shared" ca="1" si="196"/>
        <v>-787390596055.51501</v>
      </c>
      <c r="L5020" s="455">
        <f t="shared" ca="1" si="197"/>
        <v>-189761133649379.09</v>
      </c>
      <c r="M5020" s="471">
        <f t="shared" si="199"/>
        <v>0.05</v>
      </c>
      <c r="N5020" s="475">
        <f t="shared" si="200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98"/>
        <v>-189761133649379.09</v>
      </c>
      <c r="J5021" s="455">
        <f t="array" ref="J5021">IFERROR(INDEX('Retirement Calculator'!J:J,MATCH('Isaac 401k'!N5021,'Retirement Calculator'!A:A,0),0),0)</f>
        <v>0</v>
      </c>
      <c r="K5021" s="455">
        <f t="shared" ca="1" si="196"/>
        <v>-790671390205.74622</v>
      </c>
      <c r="L5021" s="455">
        <f t="shared" ca="1" si="197"/>
        <v>-190551805039584.84</v>
      </c>
      <c r="M5021" s="471">
        <f t="shared" si="199"/>
        <v>0.05</v>
      </c>
      <c r="N5021" s="475">
        <f t="shared" si="200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98"/>
        <v>-190551805039584.84</v>
      </c>
      <c r="J5022" s="455">
        <f t="array" ref="J5022">IFERROR(INDEX('Retirement Calculator'!J:J,MATCH('Isaac 401k'!N5022,'Retirement Calculator'!A:A,0),0),0)</f>
        <v>0</v>
      </c>
      <c r="K5022" s="455">
        <f t="shared" ca="1" si="196"/>
        <v>-793965854331.60352</v>
      </c>
      <c r="L5022" s="455">
        <f t="shared" ca="1" si="197"/>
        <v>-191345770893916.44</v>
      </c>
      <c r="M5022" s="471">
        <f t="shared" si="199"/>
        <v>0.05</v>
      </c>
      <c r="N5022" s="475">
        <f t="shared" si="200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98"/>
        <v>-191345770893916.44</v>
      </c>
      <c r="J5023" s="455">
        <f t="array" ref="J5023">IFERROR(INDEX('Retirement Calculator'!J:J,MATCH('Isaac 401k'!N5023,'Retirement Calculator'!A:A,0),0),0)</f>
        <v>0</v>
      </c>
      <c r="K5023" s="455">
        <f t="shared" ca="1" si="196"/>
        <v>-797274045391.31848</v>
      </c>
      <c r="L5023" s="455">
        <f t="shared" ca="1" si="197"/>
        <v>-192143044939307.75</v>
      </c>
      <c r="M5023" s="471">
        <f t="shared" si="199"/>
        <v>0.05</v>
      </c>
      <c r="N5023" s="475">
        <f t="shared" si="200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98"/>
        <v>-192143044939307.75</v>
      </c>
      <c r="J5024" s="455">
        <f t="array" ref="J5024">IFERROR(INDEX('Retirement Calculator'!J:J,MATCH('Isaac 401k'!N5024,'Retirement Calculator'!A:A,0),0),0)</f>
        <v>0</v>
      </c>
      <c r="K5024" s="455">
        <f t="shared" ca="1" si="196"/>
        <v>-800596020580.44897</v>
      </c>
      <c r="L5024" s="455">
        <f t="shared" ca="1" si="197"/>
        <v>-192943640959888.19</v>
      </c>
      <c r="M5024" s="471">
        <f t="shared" si="199"/>
        <v>0.05</v>
      </c>
      <c r="N5024" s="475">
        <f t="shared" si="200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98"/>
        <v>-192943640959888.19</v>
      </c>
      <c r="J5025" s="455">
        <f t="array" ref="J5025">IFERROR(INDEX('Retirement Calculator'!J:J,MATCH('Isaac 401k'!N5025,'Retirement Calculator'!A:A,0),0),0)</f>
        <v>0</v>
      </c>
      <c r="K5025" s="455">
        <f t="shared" ca="1" si="196"/>
        <v>-803931837332.86743</v>
      </c>
      <c r="L5025" s="455">
        <f t="shared" ca="1" si="197"/>
        <v>-193747572797221.06</v>
      </c>
      <c r="M5025" s="471">
        <f t="shared" si="199"/>
        <v>0.05</v>
      </c>
      <c r="N5025" s="475">
        <f t="shared" si="200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98"/>
        <v>-193747572797221.06</v>
      </c>
      <c r="J5026" s="455">
        <f t="array" ref="J5026">IFERROR(INDEX('Retirement Calculator'!J:J,MATCH('Isaac 401k'!N5026,'Retirement Calculator'!A:A,0),0),0)</f>
        <v>0</v>
      </c>
      <c r="K5026" s="455">
        <f t="shared" ca="1" si="196"/>
        <v>-807281553321.75439</v>
      </c>
      <c r="L5026" s="455">
        <f t="shared" ca="1" si="197"/>
        <v>-194554854350542.81</v>
      </c>
      <c r="M5026" s="471">
        <f t="shared" si="199"/>
        <v>0.05</v>
      </c>
      <c r="N5026" s="475">
        <f t="shared" si="200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98"/>
        <v>-194554854350542.81</v>
      </c>
      <c r="J5027" s="455">
        <f t="array" ref="J5027">IFERROR(INDEX('Retirement Calculator'!J:J,MATCH('Isaac 401k'!N5027,'Retirement Calculator'!A:A,0),0),0)</f>
        <v>0</v>
      </c>
      <c r="K5027" s="455">
        <f t="shared" ca="1" si="196"/>
        <v>-810645226460.59509</v>
      </c>
      <c r="L5027" s="455">
        <f t="shared" ca="1" si="197"/>
        <v>-195365499577003.41</v>
      </c>
      <c r="M5027" s="471">
        <f t="shared" si="199"/>
        <v>0.05</v>
      </c>
      <c r="N5027" s="475">
        <f t="shared" si="200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98"/>
        <v>-195365499577003.41</v>
      </c>
      <c r="J5028" s="455">
        <f t="array" ref="J5028">IFERROR(INDEX('Retirement Calculator'!J:J,MATCH('Isaac 401k'!N5028,'Retirement Calculator'!A:A,0),0),0)</f>
        <v>0</v>
      </c>
      <c r="K5028" s="455">
        <f t="shared" ca="1" si="196"/>
        <v>-814022914904.18091</v>
      </c>
      <c r="L5028" s="455">
        <f t="shared" ca="1" si="197"/>
        <v>-196179522491907.59</v>
      </c>
      <c r="M5028" s="471">
        <f t="shared" si="199"/>
        <v>0.05</v>
      </c>
      <c r="N5028" s="475">
        <f t="shared" si="200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98"/>
        <v>-196179522491907.59</v>
      </c>
      <c r="J5029" s="455">
        <f t="array" ref="J5029">IFERROR(INDEX('Retirement Calculator'!J:J,MATCH('Isaac 401k'!N5029,'Retirement Calculator'!A:A,0),0),0)</f>
        <v>0</v>
      </c>
      <c r="K5029" s="455">
        <f t="shared" ca="1" si="196"/>
        <v>-817414677049.61499</v>
      </c>
      <c r="L5029" s="455">
        <f t="shared" ca="1" si="197"/>
        <v>-196996937168957.22</v>
      </c>
      <c r="M5029" s="471">
        <f t="shared" si="199"/>
        <v>0.05</v>
      </c>
      <c r="N5029" s="475">
        <f t="shared" si="200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98"/>
        <v>-196996937168957.22</v>
      </c>
      <c r="J5030" s="455">
        <f t="array" ref="J5030">IFERROR(INDEX('Retirement Calculator'!J:J,MATCH('Isaac 401k'!N5030,'Retirement Calculator'!A:A,0),0),0)</f>
        <v>0</v>
      </c>
      <c r="K5030" s="455">
        <f t="shared" ca="1" si="196"/>
        <v>-820820571537.32178</v>
      </c>
      <c r="L5030" s="455">
        <f t="shared" ca="1" si="197"/>
        <v>-197817757740494.53</v>
      </c>
      <c r="M5030" s="471">
        <f t="shared" si="199"/>
        <v>0.05</v>
      </c>
      <c r="N5030" s="475">
        <f t="shared" si="200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98"/>
        <v>-197817757740494.53</v>
      </c>
      <c r="J5031" s="455">
        <f t="array" ref="J5031">IFERROR(INDEX('Retirement Calculator'!J:J,MATCH('Isaac 401k'!N5031,'Retirement Calculator'!A:A,0),0),0)</f>
        <v>0</v>
      </c>
      <c r="K5031" s="455">
        <f t="shared" ca="1" si="196"/>
        <v>-824240657252.06055</v>
      </c>
      <c r="L5031" s="455">
        <f t="shared" ca="1" si="197"/>
        <v>-198641998397746.59</v>
      </c>
      <c r="M5031" s="471">
        <f t="shared" si="199"/>
        <v>0.05</v>
      </c>
      <c r="N5031" s="475">
        <f t="shared" si="200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98"/>
        <v>-198641998397746.59</v>
      </c>
      <c r="J5032" s="455">
        <f t="array" ref="J5032">IFERROR(INDEX('Retirement Calculator'!J:J,MATCH('Isaac 401k'!N5032,'Retirement Calculator'!A:A,0),0),0)</f>
        <v>0</v>
      </c>
      <c r="K5032" s="455">
        <f t="shared" ca="1" si="196"/>
        <v>-827674993323.94409</v>
      </c>
      <c r="L5032" s="455">
        <f t="shared" ca="1" si="197"/>
        <v>-199469673391070.53</v>
      </c>
      <c r="M5032" s="471">
        <f t="shared" si="199"/>
        <v>0.05</v>
      </c>
      <c r="N5032" s="475">
        <f t="shared" si="200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98"/>
        <v>-199469673391070.53</v>
      </c>
      <c r="J5033" s="455">
        <f t="array" ref="J5033">IFERROR(INDEX('Retirement Calculator'!J:J,MATCH('Isaac 401k'!N5033,'Retirement Calculator'!A:A,0),0),0)</f>
        <v>0</v>
      </c>
      <c r="K5033" s="455">
        <f t="shared" ca="1" si="196"/>
        <v>-831123639129.46057</v>
      </c>
      <c r="L5033" s="455">
        <f t="shared" ca="1" si="197"/>
        <v>-200300797030200</v>
      </c>
      <c r="M5033" s="471">
        <f t="shared" si="199"/>
        <v>0.05</v>
      </c>
      <c r="N5033" s="475">
        <f t="shared" si="200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98"/>
        <v>-200300797030200</v>
      </c>
      <c r="J5034" s="455">
        <f t="array" ref="J5034">IFERROR(INDEX('Retirement Calculator'!J:J,MATCH('Isaac 401k'!N5034,'Retirement Calculator'!A:A,0),0),0)</f>
        <v>0</v>
      </c>
      <c r="K5034" s="455">
        <f t="shared" ca="1" si="196"/>
        <v>-834586654292.5</v>
      </c>
      <c r="L5034" s="455">
        <f t="shared" ca="1" si="197"/>
        <v>-201135383684492.5</v>
      </c>
      <c r="M5034" s="471">
        <f t="shared" si="199"/>
        <v>0.05</v>
      </c>
      <c r="N5034" s="475">
        <f t="shared" si="200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98"/>
        <v>-201135383684492.5</v>
      </c>
      <c r="J5035" s="455">
        <f t="array" ref="J5035">IFERROR(INDEX('Retirement Calculator'!J:J,MATCH('Isaac 401k'!N5035,'Retirement Calculator'!A:A,0),0),0)</f>
        <v>0</v>
      </c>
      <c r="K5035" s="455">
        <f t="shared" ca="1" si="196"/>
        <v>-838064098685.38538</v>
      </c>
      <c r="L5035" s="455">
        <f t="shared" ca="1" si="197"/>
        <v>-201973447783177.88</v>
      </c>
      <c r="M5035" s="471">
        <f t="shared" si="199"/>
        <v>0.05</v>
      </c>
      <c r="N5035" s="475">
        <f t="shared" si="200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98"/>
        <v>-201973447783177.88</v>
      </c>
      <c r="J5036" s="455">
        <f t="array" ref="J5036">IFERROR(INDEX('Retirement Calculator'!J:J,MATCH('Isaac 401k'!N5036,'Retirement Calculator'!A:A,0),0),0)</f>
        <v>0</v>
      </c>
      <c r="K5036" s="455">
        <f t="shared" ca="1" si="196"/>
        <v>-841556032429.90784</v>
      </c>
      <c r="L5036" s="455">
        <f t="shared" ca="1" si="197"/>
        <v>-202815003815607.78</v>
      </c>
      <c r="M5036" s="471">
        <f t="shared" si="199"/>
        <v>0.05</v>
      </c>
      <c r="N5036" s="475">
        <f t="shared" si="200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98"/>
        <v>-202815003815607.78</v>
      </c>
      <c r="J5037" s="455">
        <f t="array" ref="J5037">IFERROR(INDEX('Retirement Calculator'!J:J,MATCH('Isaac 401k'!N5037,'Retirement Calculator'!A:A,0),0),0)</f>
        <v>0</v>
      </c>
      <c r="K5037" s="455">
        <f t="shared" ca="1" si="196"/>
        <v>-845062515898.36572</v>
      </c>
      <c r="L5037" s="455">
        <f t="shared" ca="1" si="197"/>
        <v>-203660066331506.16</v>
      </c>
      <c r="M5037" s="471">
        <f t="shared" si="199"/>
        <v>0.05</v>
      </c>
      <c r="N5037" s="475">
        <f t="shared" si="200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98"/>
        <v>-203660066331506.16</v>
      </c>
      <c r="J5038" s="455">
        <f t="array" ref="J5038">IFERROR(INDEX('Retirement Calculator'!J:J,MATCH('Isaac 401k'!N5038,'Retirement Calculator'!A:A,0),0),0)</f>
        <v>0</v>
      </c>
      <c r="K5038" s="455">
        <f t="shared" ca="1" si="196"/>
        <v>-848583609714.60901</v>
      </c>
      <c r="L5038" s="455">
        <f t="shared" ca="1" si="197"/>
        <v>-204508649941220.75</v>
      </c>
      <c r="M5038" s="471">
        <f t="shared" si="199"/>
        <v>0.05</v>
      </c>
      <c r="N5038" s="475">
        <f t="shared" si="200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98"/>
        <v>-204508649941220.75</v>
      </c>
      <c r="J5039" s="455">
        <f t="array" ref="J5039">IFERROR(INDEX('Retirement Calculator'!J:J,MATCH('Isaac 401k'!N5039,'Retirement Calculator'!A:A,0),0),0)</f>
        <v>0</v>
      </c>
      <c r="K5039" s="455">
        <f t="shared" ca="1" si="196"/>
        <v>-852119374755.08643</v>
      </c>
      <c r="L5039" s="455">
        <f t="shared" ca="1" si="197"/>
        <v>-205360769315975.84</v>
      </c>
      <c r="M5039" s="471">
        <f t="shared" si="199"/>
        <v>0.05</v>
      </c>
      <c r="N5039" s="475">
        <f t="shared" si="200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98"/>
        <v>-205360769315975.84</v>
      </c>
      <c r="J5040" s="455">
        <f t="array" ref="J5040">IFERROR(INDEX('Retirement Calculator'!J:J,MATCH('Isaac 401k'!N5040,'Retirement Calculator'!A:A,0),0),0)</f>
        <v>0</v>
      </c>
      <c r="K5040" s="455">
        <f t="shared" ca="1" si="196"/>
        <v>-855669872149.89929</v>
      </c>
      <c r="L5040" s="455">
        <f t="shared" ca="1" si="197"/>
        <v>-206216439188125.75</v>
      </c>
      <c r="M5040" s="471">
        <f t="shared" si="199"/>
        <v>0.05</v>
      </c>
      <c r="N5040" s="475">
        <f t="shared" si="200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98"/>
        <v>-206216439188125.75</v>
      </c>
      <c r="J5041" s="455">
        <f t="array" ref="J5041">IFERROR(INDEX('Retirement Calculator'!J:J,MATCH('Isaac 401k'!N5041,'Retirement Calculator'!A:A,0),0),0)</f>
        <v>0</v>
      </c>
      <c r="K5041" s="455">
        <f t="shared" ca="1" si="196"/>
        <v>-859235163283.8573</v>
      </c>
      <c r="L5041" s="455">
        <f t="shared" ca="1" si="197"/>
        <v>-207075674351409.59</v>
      </c>
      <c r="M5041" s="471">
        <f t="shared" si="199"/>
        <v>0.05</v>
      </c>
      <c r="N5041" s="475">
        <f t="shared" si="200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98"/>
        <v>-207075674351409.59</v>
      </c>
      <c r="J5042" s="455">
        <f t="array" ref="J5042">IFERROR(INDEX('Retirement Calculator'!J:J,MATCH('Isaac 401k'!N5042,'Retirement Calculator'!A:A,0),0),0)</f>
        <v>0</v>
      </c>
      <c r="K5042" s="455">
        <f t="shared" ca="1" si="196"/>
        <v>-862815309797.53992</v>
      </c>
      <c r="L5042" s="455">
        <f t="shared" ca="1" si="197"/>
        <v>-207938489661207.13</v>
      </c>
      <c r="M5042" s="471">
        <f t="shared" si="199"/>
        <v>0.05</v>
      </c>
      <c r="N5042" s="475">
        <f t="shared" si="200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98"/>
        <v>-207938489661207.13</v>
      </c>
      <c r="J5043" s="455">
        <f t="array" ref="J5043">IFERROR(INDEX('Retirement Calculator'!J:J,MATCH('Isaac 401k'!N5043,'Retirement Calculator'!A:A,0),0),0)</f>
        <v>0</v>
      </c>
      <c r="K5043" s="455">
        <f t="shared" ca="1" si="196"/>
        <v>-866410373588.36304</v>
      </c>
      <c r="L5043" s="455">
        <f t="shared" ca="1" si="197"/>
        <v>-208804900034795.5</v>
      </c>
      <c r="M5043" s="471">
        <f t="shared" si="199"/>
        <v>0.05</v>
      </c>
      <c r="N5043" s="475">
        <f t="shared" si="200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98"/>
        <v>-208804900034795.5</v>
      </c>
      <c r="J5044" s="455">
        <f t="array" ref="J5044">IFERROR(INDEX('Retirement Calculator'!J:J,MATCH('Isaac 401k'!N5044,'Retirement Calculator'!A:A,0),0),0)</f>
        <v>0</v>
      </c>
      <c r="K5044" s="455">
        <f t="shared" ca="1" si="196"/>
        <v>-870020416811.64795</v>
      </c>
      <c r="L5044" s="455">
        <f t="shared" ca="1" si="197"/>
        <v>-209674920451607.16</v>
      </c>
      <c r="M5044" s="471">
        <f t="shared" si="199"/>
        <v>0.05</v>
      </c>
      <c r="N5044" s="475">
        <f t="shared" si="200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98"/>
        <v>-209674920451607.16</v>
      </c>
      <c r="J5045" s="455">
        <f t="array" ref="J5045">IFERROR(INDEX('Retirement Calculator'!J:J,MATCH('Isaac 401k'!N5045,'Retirement Calculator'!A:A,0),0),0)</f>
        <v>0</v>
      </c>
      <c r="K5045" s="455">
        <f t="shared" ca="1" si="196"/>
        <v>-873645501881.69653</v>
      </c>
      <c r="L5045" s="455">
        <f t="shared" ca="1" si="197"/>
        <v>-210548565953488.84</v>
      </c>
      <c r="M5045" s="471">
        <f t="shared" si="199"/>
        <v>0.05</v>
      </c>
      <c r="N5045" s="475">
        <f t="shared" si="200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98"/>
        <v>-210548565953488.84</v>
      </c>
      <c r="J5046" s="455">
        <f t="array" ref="J5046">IFERROR(INDEX('Retirement Calculator'!J:J,MATCH('Isaac 401k'!N5046,'Retirement Calculator'!A:A,0),0),0)</f>
        <v>0</v>
      </c>
      <c r="K5046" s="455">
        <f t="shared" ca="1" si="196"/>
        <v>-877285691472.87012</v>
      </c>
      <c r="L5046" s="455">
        <f t="shared" ca="1" si="197"/>
        <v>-211425851644961.72</v>
      </c>
      <c r="M5046" s="471">
        <f t="shared" si="199"/>
        <v>0.05</v>
      </c>
      <c r="N5046" s="475">
        <f t="shared" si="200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98"/>
        <v>-211425851644961.72</v>
      </c>
      <c r="J5047" s="455">
        <f t="array" ref="J5047">IFERROR(INDEX('Retirement Calculator'!J:J,MATCH('Isaac 401k'!N5047,'Retirement Calculator'!A:A,0),0),0)</f>
        <v>0</v>
      </c>
      <c r="K5047" s="455">
        <f t="shared" ca="1" si="196"/>
        <v>-880941048520.67383</v>
      </c>
      <c r="L5047" s="455">
        <f t="shared" ca="1" si="197"/>
        <v>-212306792693482.41</v>
      </c>
      <c r="M5047" s="471">
        <f t="shared" si="199"/>
        <v>0.05</v>
      </c>
      <c r="N5047" s="475">
        <f t="shared" si="200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98"/>
        <v>-212306792693482.41</v>
      </c>
      <c r="J5048" s="455">
        <f t="array" ref="J5048">IFERROR(INDEX('Retirement Calculator'!J:J,MATCH('Isaac 401k'!N5048,'Retirement Calculator'!A:A,0),0),0)</f>
        <v>0</v>
      </c>
      <c r="K5048" s="455">
        <f t="shared" ca="1" si="196"/>
        <v>-884611636222.84338</v>
      </c>
      <c r="L5048" s="455">
        <f t="shared" ca="1" si="197"/>
        <v>-213191404329705.25</v>
      </c>
      <c r="M5048" s="471">
        <f t="shared" si="199"/>
        <v>0.05</v>
      </c>
      <c r="N5048" s="475">
        <f t="shared" si="200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98"/>
        <v>-213191404329705.25</v>
      </c>
      <c r="J5049" s="455">
        <f t="array" ref="J5049">IFERROR(INDEX('Retirement Calculator'!J:J,MATCH('Isaac 401k'!N5049,'Retirement Calculator'!A:A,0),0),0)</f>
        <v>0</v>
      </c>
      <c r="K5049" s="455">
        <f t="shared" ca="1" si="196"/>
        <v>-888297518040.43848</v>
      </c>
      <c r="L5049" s="455">
        <f t="shared" ca="1" si="197"/>
        <v>-214079701847745.69</v>
      </c>
      <c r="M5049" s="471">
        <f t="shared" si="199"/>
        <v>0.05</v>
      </c>
      <c r="N5049" s="475">
        <f t="shared" si="200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98"/>
        <v>-214079701847745.69</v>
      </c>
      <c r="J5050" s="455">
        <f t="array" ref="J5050">IFERROR(INDEX('Retirement Calculator'!J:J,MATCH('Isaac 401k'!N5050,'Retirement Calculator'!A:A,0),0),0)</f>
        <v>0</v>
      </c>
      <c r="K5050" s="455">
        <f t="shared" ca="1" si="196"/>
        <v>-891998757698.94031</v>
      </c>
      <c r="L5050" s="455">
        <f t="shared" ca="1" si="197"/>
        <v>-214971700605444.63</v>
      </c>
      <c r="M5050" s="471">
        <f t="shared" si="199"/>
        <v>0.05</v>
      </c>
      <c r="N5050" s="475">
        <f t="shared" si="200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98"/>
        <v>-214971700605444.63</v>
      </c>
      <c r="J5051" s="455">
        <f t="array" ref="J5051">IFERROR(INDEX('Retirement Calculator'!J:J,MATCH('Isaac 401k'!N5051,'Retirement Calculator'!A:A,0),0),0)</f>
        <v>0</v>
      </c>
      <c r="K5051" s="455">
        <f t="shared" ca="1" si="196"/>
        <v>-895715419189.35254</v>
      </c>
      <c r="L5051" s="455">
        <f t="shared" ca="1" si="197"/>
        <v>-215867416024633.97</v>
      </c>
      <c r="M5051" s="471">
        <f t="shared" si="199"/>
        <v>0.05</v>
      </c>
      <c r="N5051" s="475">
        <f t="shared" si="200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98"/>
        <v>-215867416024633.97</v>
      </c>
      <c r="J5052" s="455">
        <f t="array" ref="J5052">IFERROR(INDEX('Retirement Calculator'!J:J,MATCH('Isaac 401k'!N5052,'Retirement Calculator'!A:A,0),0),0)</f>
        <v>0</v>
      </c>
      <c r="K5052" s="455">
        <f t="shared" ca="1" si="196"/>
        <v>-899447566769.30823</v>
      </c>
      <c r="L5052" s="455">
        <f t="shared" ca="1" si="197"/>
        <v>-216766863591403.28</v>
      </c>
      <c r="M5052" s="471">
        <f t="shared" si="199"/>
        <v>0.05</v>
      </c>
      <c r="N5052" s="475">
        <f t="shared" si="200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98"/>
        <v>-216766863591403.28</v>
      </c>
      <c r="J5053" s="455">
        <f t="array" ref="J5053">IFERROR(INDEX('Retirement Calculator'!J:J,MATCH('Isaac 401k'!N5053,'Retirement Calculator'!A:A,0),0),0)</f>
        <v>0</v>
      </c>
      <c r="K5053" s="455">
        <f t="shared" ca="1" si="196"/>
        <v>-903195264964.1803</v>
      </c>
      <c r="L5053" s="455">
        <f t="shared" ca="1" si="197"/>
        <v>-217670058856367.47</v>
      </c>
      <c r="M5053" s="471">
        <f t="shared" si="199"/>
        <v>0.05</v>
      </c>
      <c r="N5053" s="475">
        <f t="shared" si="200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98"/>
        <v>-217670058856367.47</v>
      </c>
      <c r="J5054" s="455">
        <f t="array" ref="J5054">IFERROR(INDEX('Retirement Calculator'!J:J,MATCH('Isaac 401k'!N5054,'Retirement Calculator'!A:A,0),0),0)</f>
        <v>0</v>
      </c>
      <c r="K5054" s="455">
        <f t="shared" ca="1" si="196"/>
        <v>-906958578568.19775</v>
      </c>
      <c r="L5054" s="455">
        <f t="shared" ca="1" si="197"/>
        <v>-218577017434935.66</v>
      </c>
      <c r="M5054" s="471">
        <f t="shared" si="199"/>
        <v>0.05</v>
      </c>
      <c r="N5054" s="475">
        <f t="shared" si="200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98"/>
        <v>-218577017434935.66</v>
      </c>
      <c r="J5055" s="455">
        <f t="array" ref="J5055">IFERROR(INDEX('Retirement Calculator'!J:J,MATCH('Isaac 401k'!N5055,'Retirement Calculator'!A:A,0),0),0)</f>
        <v>0</v>
      </c>
      <c r="K5055" s="455">
        <f t="shared" ca="1" si="196"/>
        <v>-910737572645.56519</v>
      </c>
      <c r="L5055" s="455">
        <f t="shared" ca="1" si="197"/>
        <v>-219487755007581.22</v>
      </c>
      <c r="M5055" s="471">
        <f t="shared" si="199"/>
        <v>0.05</v>
      </c>
      <c r="N5055" s="475">
        <f t="shared" si="200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98"/>
        <v>-219487755007581.22</v>
      </c>
      <c r="J5056" s="455">
        <f t="array" ref="J5056">IFERROR(INDEX('Retirement Calculator'!J:J,MATCH('Isaac 401k'!N5056,'Retirement Calculator'!A:A,0),0),0)</f>
        <v>0</v>
      </c>
      <c r="K5056" s="455">
        <f t="shared" ca="1" si="196"/>
        <v>-914532312531.5885</v>
      </c>
      <c r="L5056" s="455">
        <f t="shared" ca="1" si="197"/>
        <v>-220402287320112.81</v>
      </c>
      <c r="M5056" s="471">
        <f t="shared" si="199"/>
        <v>0.05</v>
      </c>
      <c r="N5056" s="475">
        <f t="shared" si="200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98"/>
        <v>-220402287320112.81</v>
      </c>
      <c r="J5057" s="455">
        <f t="array" ref="J5057">IFERROR(INDEX('Retirement Calculator'!J:J,MATCH('Isaac 401k'!N5057,'Retirement Calculator'!A:A,0),0),0)</f>
        <v>0</v>
      </c>
      <c r="K5057" s="455">
        <f t="shared" ca="1" si="196"/>
        <v>-918342863833.80334</v>
      </c>
      <c r="L5057" s="455">
        <f t="shared" ca="1" si="197"/>
        <v>-221320630183946.63</v>
      </c>
      <c r="M5057" s="471">
        <f t="shared" si="199"/>
        <v>0.05</v>
      </c>
      <c r="N5057" s="475">
        <f t="shared" si="200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98"/>
        <v>-221320630183946.63</v>
      </c>
      <c r="J5058" s="455">
        <f t="array" ref="J5058">IFERROR(INDEX('Retirement Calculator'!J:J,MATCH('Isaac 401k'!N5058,'Retirement Calculator'!A:A,0),0),0)</f>
        <v>0</v>
      </c>
      <c r="K5058" s="455">
        <f t="shared" ca="1" si="196"/>
        <v>-922169292433.11096</v>
      </c>
      <c r="L5058" s="455">
        <f t="shared" ca="1" si="197"/>
        <v>-222242799476379.75</v>
      </c>
      <c r="M5058" s="471">
        <f t="shared" si="199"/>
        <v>0.05</v>
      </c>
      <c r="N5058" s="475">
        <f t="shared" si="200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98"/>
        <v>-222242799476379.75</v>
      </c>
      <c r="J5059" s="455">
        <f t="array" ref="J5059">IFERROR(INDEX('Retirement Calculator'!J:J,MATCH('Isaac 401k'!N5059,'Retirement Calculator'!A:A,0),0),0)</f>
        <v>0</v>
      </c>
      <c r="K5059" s="455">
        <f t="shared" ca="1" si="196"/>
        <v>-926011664484.91577</v>
      </c>
      <c r="L5059" s="455">
        <f t="shared" ca="1" si="197"/>
        <v>-223168811140864.66</v>
      </c>
      <c r="M5059" s="471">
        <f t="shared" si="199"/>
        <v>0.05</v>
      </c>
      <c r="N5059" s="475">
        <f t="shared" si="200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98"/>
        <v>-223168811140864.66</v>
      </c>
      <c r="J5060" s="455">
        <f t="array" ref="J5060">IFERROR(INDEX('Retirement Calculator'!J:J,MATCH('Isaac 401k'!N5060,'Retirement Calculator'!A:A,0),0),0)</f>
        <v>0</v>
      </c>
      <c r="K5060" s="455">
        <f t="shared" ca="1" si="196"/>
        <v>-929870046420.26953</v>
      </c>
      <c r="L5060" s="455">
        <f t="shared" ca="1" si="197"/>
        <v>-224098681187284.94</v>
      </c>
      <c r="M5060" s="471">
        <f t="shared" si="199"/>
        <v>0.05</v>
      </c>
      <c r="N5060" s="475">
        <f t="shared" si="200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98"/>
        <v>-224098681187284.94</v>
      </c>
      <c r="J5061" s="455">
        <f t="array" ref="J5061">IFERROR(INDEX('Retirement Calculator'!J:J,MATCH('Isaac 401k'!N5061,'Retirement Calculator'!A:A,0),0),0)</f>
        <v>0</v>
      </c>
      <c r="K5061" s="455">
        <f t="shared" ca="1" si="196"/>
        <v>-933744504947.02051</v>
      </c>
      <c r="L5061" s="455">
        <f t="shared" ca="1" si="197"/>
        <v>-225032425692231.97</v>
      </c>
      <c r="M5061" s="471">
        <f t="shared" si="199"/>
        <v>0.05</v>
      </c>
      <c r="N5061" s="475">
        <f t="shared" si="200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98"/>
        <v>-225032425692231.97</v>
      </c>
      <c r="J5062" s="455">
        <f t="array" ref="J5062">IFERROR(INDEX('Retirement Calculator'!J:J,MATCH('Isaac 401k'!N5062,'Retirement Calculator'!A:A,0),0),0)</f>
        <v>0</v>
      </c>
      <c r="K5062" s="455">
        <f t="shared" ca="1" si="196"/>
        <v>-937635107050.96643</v>
      </c>
      <c r="L5062" s="455">
        <f t="shared" ca="1" si="197"/>
        <v>-225970060799282.94</v>
      </c>
      <c r="M5062" s="471">
        <f t="shared" si="199"/>
        <v>0.05</v>
      </c>
      <c r="N5062" s="475">
        <f t="shared" si="200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98"/>
        <v>-225970060799282.94</v>
      </c>
      <c r="J5063" s="455">
        <f t="array" ref="J5063">IFERROR(INDEX('Retirement Calculator'!J:J,MATCH('Isaac 401k'!N5063,'Retirement Calculator'!A:A,0),0),0)</f>
        <v>0</v>
      </c>
      <c r="K5063" s="455">
        <f t="shared" ca="1" si="196"/>
        <v>-941541919997.01221</v>
      </c>
      <c r="L5063" s="455">
        <f t="shared" ca="1" si="197"/>
        <v>-226911602719279.94</v>
      </c>
      <c r="M5063" s="471">
        <f t="shared" si="199"/>
        <v>0.05</v>
      </c>
      <c r="N5063" s="475">
        <f t="shared" si="200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98"/>
        <v>-226911602719279.94</v>
      </c>
      <c r="J5064" s="455">
        <f t="array" ref="J5064">IFERROR(INDEX('Retirement Calculator'!J:J,MATCH('Isaac 401k'!N5064,'Retirement Calculator'!A:A,0),0),0)</f>
        <v>0</v>
      </c>
      <c r="K5064" s="455">
        <f t="shared" ca="1" si="196"/>
        <v>-945465011330.33301</v>
      </c>
      <c r="L5064" s="455">
        <f t="shared" ca="1" si="197"/>
        <v>-227857067730610.28</v>
      </c>
      <c r="M5064" s="471">
        <f t="shared" si="199"/>
        <v>0.05</v>
      </c>
      <c r="N5064" s="475">
        <f t="shared" si="200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98"/>
        <v>-227857067730610.28</v>
      </c>
      <c r="J5065" s="455">
        <f t="array" ref="J5065">IFERROR(INDEX('Retirement Calculator'!J:J,MATCH('Isaac 401k'!N5065,'Retirement Calculator'!A:A,0),0),0)</f>
        <v>0</v>
      </c>
      <c r="K5065" s="455">
        <f t="shared" ca="1" si="196"/>
        <v>-949404448877.54285</v>
      </c>
      <c r="L5065" s="455">
        <f t="shared" ca="1" si="197"/>
        <v>-228806472179487.81</v>
      </c>
      <c r="M5065" s="471">
        <f t="shared" si="199"/>
        <v>0.05</v>
      </c>
      <c r="N5065" s="475">
        <f t="shared" si="200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98"/>
        <v>-228806472179487.81</v>
      </c>
      <c r="J5066" s="455">
        <f t="array" ref="J5066">IFERROR(INDEX('Retirement Calculator'!J:J,MATCH('Isaac 401k'!N5066,'Retirement Calculator'!A:A,0),0),0)</f>
        <v>0</v>
      </c>
      <c r="K5066" s="455">
        <f t="shared" ca="1" si="196"/>
        <v>-953360300747.86584</v>
      </c>
      <c r="L5066" s="455">
        <f t="shared" ca="1" si="197"/>
        <v>-229759832480235.69</v>
      </c>
      <c r="M5066" s="471">
        <f t="shared" si="199"/>
        <v>0.05</v>
      </c>
      <c r="N5066" s="475">
        <f t="shared" si="200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98"/>
        <v>-229759832480235.69</v>
      </c>
      <c r="J5067" s="455">
        <f t="array" ref="J5067">IFERROR(INDEX('Retirement Calculator'!J:J,MATCH('Isaac 401k'!N5067,'Retirement Calculator'!A:A,0),0),0)</f>
        <v>0</v>
      </c>
      <c r="K5067" s="455">
        <f t="shared" ca="1" si="196"/>
        <v>-957332635334.31519</v>
      </c>
      <c r="L5067" s="455">
        <f t="shared" ca="1" si="197"/>
        <v>-230717165115570</v>
      </c>
      <c r="M5067" s="471">
        <f t="shared" si="199"/>
        <v>0.05</v>
      </c>
      <c r="N5067" s="475">
        <f t="shared" si="200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98"/>
        <v>-230717165115570</v>
      </c>
      <c r="J5068" s="455">
        <f t="array" ref="J5068">IFERROR(INDEX('Retirement Calculator'!J:J,MATCH('Isaac 401k'!N5068,'Retirement Calculator'!A:A,0),0),0)</f>
        <v>0</v>
      </c>
      <c r="K5068" s="455">
        <f t="shared" ca="1" si="196"/>
        <v>-961321521314.87488</v>
      </c>
      <c r="L5068" s="455">
        <f t="shared" ca="1" si="197"/>
        <v>-231678486636884.88</v>
      </c>
      <c r="M5068" s="471">
        <f t="shared" si="199"/>
        <v>0.05</v>
      </c>
      <c r="N5068" s="475">
        <f t="shared" si="200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98"/>
        <v>-231678486636884.88</v>
      </c>
      <c r="J5069" s="455">
        <f t="array" ref="J5069">IFERROR(INDEX('Retirement Calculator'!J:J,MATCH('Isaac 401k'!N5069,'Retirement Calculator'!A:A,0),0),0)</f>
        <v>0</v>
      </c>
      <c r="K5069" s="455">
        <f t="shared" ca="1" si="196"/>
        <v>-965327027653.68701</v>
      </c>
      <c r="L5069" s="455">
        <f t="shared" ca="1" si="197"/>
        <v>-232643813664538.56</v>
      </c>
      <c r="M5069" s="471">
        <f t="shared" si="199"/>
        <v>0.05</v>
      </c>
      <c r="N5069" s="475">
        <f t="shared" si="200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98"/>
        <v>-232643813664538.56</v>
      </c>
      <c r="J5070" s="455">
        <f t="array" ref="J5070">IFERROR(INDEX('Retirement Calculator'!J:J,MATCH('Isaac 401k'!N5070,'Retirement Calculator'!A:A,0),0),0)</f>
        <v>0</v>
      </c>
      <c r="K5070" s="455">
        <f t="shared" ca="1" si="196"/>
        <v>-969349223602.24402</v>
      </c>
      <c r="L5070" s="455">
        <f t="shared" ca="1" si="197"/>
        <v>-233613162888140.81</v>
      </c>
      <c r="M5070" s="471">
        <f t="shared" si="199"/>
        <v>0.05</v>
      </c>
      <c r="N5070" s="475">
        <f t="shared" si="200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98"/>
        <v>-233613162888140.81</v>
      </c>
      <c r="J5071" s="455">
        <f t="array" ref="J5071">IFERROR(INDEX('Retirement Calculator'!J:J,MATCH('Isaac 401k'!N5071,'Retirement Calculator'!A:A,0),0),0)</f>
        <v>0</v>
      </c>
      <c r="K5071" s="455">
        <f t="shared" ca="1" si="196"/>
        <v>-973388178700.58667</v>
      </c>
      <c r="L5071" s="455">
        <f t="shared" ca="1" si="197"/>
        <v>-234586551066841.41</v>
      </c>
      <c r="M5071" s="471">
        <f t="shared" si="199"/>
        <v>0.05</v>
      </c>
      <c r="N5071" s="475">
        <f t="shared" si="200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98"/>
        <v>-234586551066841.41</v>
      </c>
      <c r="J5072" s="455">
        <f t="array" ref="J5072">IFERROR(INDEX('Retirement Calculator'!J:J,MATCH('Isaac 401k'!N5072,'Retirement Calculator'!A:A,0),0),0)</f>
        <v>0</v>
      </c>
      <c r="K5072" s="455">
        <f t="shared" ca="1" si="196"/>
        <v>-977443962778.50598</v>
      </c>
      <c r="L5072" s="455">
        <f t="shared" ca="1" si="197"/>
        <v>-235563995029619.91</v>
      </c>
      <c r="M5072" s="471">
        <f t="shared" si="199"/>
        <v>0.05</v>
      </c>
      <c r="N5072" s="475">
        <f t="shared" si="200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98"/>
        <v>-235563995029619.91</v>
      </c>
      <c r="J5073" s="455">
        <f t="array" ref="J5073">IFERROR(INDEX('Retirement Calculator'!J:J,MATCH('Isaac 401k'!N5073,'Retirement Calculator'!A:A,0),0),0)</f>
        <v>0</v>
      </c>
      <c r="K5073" s="455">
        <f t="shared" ca="1" si="196"/>
        <v>-981516645956.74951</v>
      </c>
      <c r="L5073" s="455">
        <f t="shared" ca="1" si="197"/>
        <v>-236545511675576.66</v>
      </c>
      <c r="M5073" s="471">
        <f t="shared" si="199"/>
        <v>0.05</v>
      </c>
      <c r="N5073" s="475">
        <f t="shared" si="200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98"/>
        <v>-236545511675576.66</v>
      </c>
      <c r="J5074" s="455">
        <f t="array" ref="J5074">IFERROR(INDEX('Retirement Calculator'!J:J,MATCH('Isaac 401k'!N5074,'Retirement Calculator'!A:A,0),0),0)</f>
        <v>0</v>
      </c>
      <c r="K5074" s="455">
        <f t="shared" ca="1" si="196"/>
        <v>-985606298648.23608</v>
      </c>
      <c r="L5074" s="455">
        <f t="shared" ca="1" si="197"/>
        <v>-237531117974224.91</v>
      </c>
      <c r="M5074" s="471">
        <f t="shared" si="199"/>
        <v>0.05</v>
      </c>
      <c r="N5074" s="475">
        <f t="shared" si="200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98"/>
        <v>-237531117974224.91</v>
      </c>
      <c r="J5075" s="455">
        <f t="array" ref="J5075">IFERROR(INDEX('Retirement Calculator'!J:J,MATCH('Isaac 401k'!N5075,'Retirement Calculator'!A:A,0),0),0)</f>
        <v>0</v>
      </c>
      <c r="K5075" s="455">
        <f t="shared" ca="1" si="196"/>
        <v>-989712991559.27039</v>
      </c>
      <c r="L5075" s="455">
        <f t="shared" ca="1" si="197"/>
        <v>-238520830965784.19</v>
      </c>
      <c r="M5075" s="471">
        <f t="shared" si="199"/>
        <v>0.05</v>
      </c>
      <c r="N5075" s="475">
        <f t="shared" si="200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98"/>
        <v>-238520830965784.19</v>
      </c>
      <c r="J5076" s="455">
        <f t="array" ref="J5076">IFERROR(INDEX('Retirement Calculator'!J:J,MATCH('Isaac 401k'!N5076,'Retirement Calculator'!A:A,0),0),0)</f>
        <v>0</v>
      </c>
      <c r="K5076" s="455">
        <f t="shared" ca="1" si="196"/>
        <v>-993836795690.76746</v>
      </c>
      <c r="L5076" s="455">
        <f t="shared" ca="1" si="197"/>
        <v>-239514667761474.97</v>
      </c>
      <c r="M5076" s="471">
        <f t="shared" si="199"/>
        <v>0.05</v>
      </c>
      <c r="N5076" s="475">
        <f t="shared" si="200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98"/>
        <v>-239514667761474.97</v>
      </c>
      <c r="J5077" s="455">
        <f t="array" ref="J5077">IFERROR(INDEX('Retirement Calculator'!J:J,MATCH('Isaac 401k'!N5077,'Retirement Calculator'!A:A,0),0),0)</f>
        <v>0</v>
      </c>
      <c r="K5077" s="455">
        <f t="shared" ca="1" si="196"/>
        <v>-997977782339.47913</v>
      </c>
      <c r="L5077" s="455">
        <f t="shared" ca="1" si="197"/>
        <v>-240512645543814.44</v>
      </c>
      <c r="M5077" s="471">
        <f t="shared" si="199"/>
        <v>0.05</v>
      </c>
      <c r="N5077" s="475">
        <f t="shared" si="200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98"/>
        <v>-240512645543814.44</v>
      </c>
      <c r="J5078" s="455">
        <f t="array" ref="J5078">IFERROR(INDEX('Retirement Calculator'!J:J,MATCH('Isaac 401k'!N5078,'Retirement Calculator'!A:A,0),0),0)</f>
        <v>0</v>
      </c>
      <c r="K5078" s="455">
        <f t="shared" ca="1" si="196"/>
        <v>-1002136023099.2269</v>
      </c>
      <c r="L5078" s="455">
        <f t="shared" ca="1" si="197"/>
        <v>-241514781566913.66</v>
      </c>
      <c r="M5078" s="471">
        <f t="shared" si="199"/>
        <v>0.05</v>
      </c>
      <c r="N5078" s="475">
        <f t="shared" si="200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98"/>
        <v>-241514781566913.66</v>
      </c>
      <c r="J5079" s="455">
        <f t="array" ref="J5079">IFERROR(INDEX('Retirement Calculator'!J:J,MATCH('Isaac 401k'!N5079,'Retirement Calculator'!A:A,0),0),0)</f>
        <v>0</v>
      </c>
      <c r="K5079" s="455">
        <f t="shared" ca="1" si="196"/>
        <v>-1006311589862.1404</v>
      </c>
      <c r="L5079" s="455">
        <f t="shared" ca="1" si="197"/>
        <v>-242521093156775.78</v>
      </c>
      <c r="M5079" s="471">
        <f t="shared" si="199"/>
        <v>0.05</v>
      </c>
      <c r="N5079" s="475">
        <f t="shared" si="200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98"/>
        <v>-242521093156775.78</v>
      </c>
      <c r="J5080" s="455">
        <f t="array" ref="J5080">IFERROR(INDEX('Retirement Calculator'!J:J,MATCH('Isaac 401k'!N5080,'Retirement Calculator'!A:A,0),0),0)</f>
        <v>0</v>
      </c>
      <c r="K5080" s="455">
        <f t="shared" ca="1" si="196"/>
        <v>-1010504554819.8989</v>
      </c>
      <c r="L5080" s="455">
        <f t="shared" ca="1" si="197"/>
        <v>-243531597711595.69</v>
      </c>
      <c r="M5080" s="471">
        <f t="shared" si="199"/>
        <v>0.05</v>
      </c>
      <c r="N5080" s="475">
        <f t="shared" si="200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98"/>
        <v>-243531597711595.69</v>
      </c>
      <c r="J5081" s="455">
        <f t="array" ref="J5081">IFERROR(INDEX('Retirement Calculator'!J:J,MATCH('Isaac 401k'!N5081,'Retirement Calculator'!A:A,0),0),0)</f>
        <v>0</v>
      </c>
      <c r="K5081" s="455">
        <f t="shared" ca="1" si="196"/>
        <v>-1014714990464.9819</v>
      </c>
      <c r="L5081" s="455">
        <f t="shared" ca="1" si="197"/>
        <v>-244546312702060.66</v>
      </c>
      <c r="M5081" s="471">
        <f t="shared" si="199"/>
        <v>0.05</v>
      </c>
      <c r="N5081" s="475">
        <f t="shared" si="200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98"/>
        <v>-244546312702060.66</v>
      </c>
      <c r="J5082" s="455">
        <f t="array" ref="J5082">IFERROR(INDEX('Retirement Calculator'!J:J,MATCH('Isaac 401k'!N5082,'Retirement Calculator'!A:A,0),0),0)</f>
        <v>0</v>
      </c>
      <c r="K5082" s="455">
        <f t="shared" ca="1" si="196"/>
        <v>-1018942969591.9194</v>
      </c>
      <c r="L5082" s="455">
        <f t="shared" ca="1" si="197"/>
        <v>-245565255671652.56</v>
      </c>
      <c r="M5082" s="471">
        <f t="shared" si="199"/>
        <v>0.05</v>
      </c>
      <c r="N5082" s="475">
        <f t="shared" si="200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98"/>
        <v>-245565255671652.56</v>
      </c>
      <c r="J5083" s="455">
        <f t="array" ref="J5083">IFERROR(INDEX('Retirement Calculator'!J:J,MATCH('Isaac 401k'!N5083,'Retirement Calculator'!A:A,0),0),0)</f>
        <v>0</v>
      </c>
      <c r="K5083" s="455">
        <f t="shared" ca="1" si="196"/>
        <v>-1023188565298.5524</v>
      </c>
      <c r="L5083" s="455">
        <f t="shared" ca="1" si="197"/>
        <v>-246588444236951.13</v>
      </c>
      <c r="M5083" s="471">
        <f t="shared" si="199"/>
        <v>0.05</v>
      </c>
      <c r="N5083" s="475">
        <f t="shared" si="200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98"/>
        <v>-246588444236951.13</v>
      </c>
      <c r="J5084" s="455">
        <f t="array" ref="J5084">IFERROR(INDEX('Retirement Calculator'!J:J,MATCH('Isaac 401k'!N5084,'Retirement Calculator'!A:A,0),0),0)</f>
        <v>0</v>
      </c>
      <c r="K5084" s="455">
        <f t="shared" ca="1" si="196"/>
        <v>-1027451850987.2965</v>
      </c>
      <c r="L5084" s="455">
        <f t="shared" ca="1" si="197"/>
        <v>-247615896087938.41</v>
      </c>
      <c r="M5084" s="471">
        <f t="shared" si="199"/>
        <v>0.05</v>
      </c>
      <c r="N5084" s="475">
        <f t="shared" si="200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98"/>
        <v>-247615896087938.41</v>
      </c>
      <c r="J5085" s="455">
        <f t="array" ref="J5085">IFERROR(INDEX('Retirement Calculator'!J:J,MATCH('Isaac 401k'!N5085,'Retirement Calculator'!A:A,0),0),0)</f>
        <v>0</v>
      </c>
      <c r="K5085" s="455">
        <f t="shared" ca="1" si="196"/>
        <v>-1031732900366.4099</v>
      </c>
      <c r="L5085" s="455">
        <f t="shared" ca="1" si="197"/>
        <v>-248647628988304.81</v>
      </c>
      <c r="M5085" s="471">
        <f t="shared" si="199"/>
        <v>0.05</v>
      </c>
      <c r="N5085" s="475">
        <f t="shared" si="200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98"/>
        <v>-248647628988304.81</v>
      </c>
      <c r="J5086" s="455">
        <f t="array" ref="J5086">IFERROR(INDEX('Retirement Calculator'!J:J,MATCH('Isaac 401k'!N5086,'Retirement Calculator'!A:A,0),0),0)</f>
        <v>0</v>
      </c>
      <c r="K5086" s="455">
        <f t="shared" ca="1" si="196"/>
        <v>-1036031787451.2701</v>
      </c>
      <c r="L5086" s="455">
        <f t="shared" ca="1" si="197"/>
        <v>-249683660775756.09</v>
      </c>
      <c r="M5086" s="471">
        <f t="shared" si="199"/>
        <v>0.05</v>
      </c>
      <c r="N5086" s="475">
        <f t="shared" si="200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98"/>
        <v>-249683660775756.09</v>
      </c>
      <c r="J5087" s="455">
        <f t="array" ref="J5087">IFERROR(INDEX('Retirement Calculator'!J:J,MATCH('Isaac 401k'!N5087,'Retirement Calculator'!A:A,0),0),0)</f>
        <v>0</v>
      </c>
      <c r="K5087" s="455">
        <f t="shared" ca="1" si="196"/>
        <v>-1040348586565.6505</v>
      </c>
      <c r="L5087" s="455">
        <f t="shared" ca="1" si="197"/>
        <v>-250724009362321.75</v>
      </c>
      <c r="M5087" s="471">
        <f t="shared" si="199"/>
        <v>0.05</v>
      </c>
      <c r="N5087" s="475">
        <f t="shared" si="200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98"/>
        <v>-250724009362321.75</v>
      </c>
      <c r="J5088" s="455">
        <f t="array" ref="J5088">IFERROR(INDEX('Retirement Calculator'!J:J,MATCH('Isaac 401k'!N5088,'Retirement Calculator'!A:A,0),0),0)</f>
        <v>0</v>
      </c>
      <c r="K5088" s="455">
        <f t="shared" ca="1" si="196"/>
        <v>-1044683372343.0073</v>
      </c>
      <c r="L5088" s="455">
        <f t="shared" ca="1" si="197"/>
        <v>-251768692734664.75</v>
      </c>
      <c r="M5088" s="471">
        <f t="shared" si="199"/>
        <v>0.05</v>
      </c>
      <c r="N5088" s="475">
        <f t="shared" si="200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98"/>
        <v>-251768692734664.75</v>
      </c>
      <c r="J5089" s="455">
        <f t="array" ref="J5089">IFERROR(INDEX('Retirement Calculator'!J:J,MATCH('Isaac 401k'!N5089,'Retirement Calculator'!A:A,0),0),0)</f>
        <v>0</v>
      </c>
      <c r="K5089" s="455">
        <f t="shared" ca="1" si="196"/>
        <v>-1049036219727.7697</v>
      </c>
      <c r="L5089" s="455">
        <f t="shared" ca="1" si="197"/>
        <v>-252817728954392.53</v>
      </c>
      <c r="M5089" s="471">
        <f t="shared" si="199"/>
        <v>0.05</v>
      </c>
      <c r="N5089" s="475">
        <f t="shared" si="200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98"/>
        <v>-252817728954392.53</v>
      </c>
      <c r="J5090" s="455">
        <f t="array" ref="J5090">IFERROR(INDEX('Retirement Calculator'!J:J,MATCH('Isaac 401k'!N5090,'Retirement Calculator'!A:A,0),0),0)</f>
        <v>0</v>
      </c>
      <c r="K5090" s="455">
        <f t="shared" ca="1" si="196"/>
        <v>-1053407203976.6356</v>
      </c>
      <c r="L5090" s="455">
        <f t="shared" ca="1" si="197"/>
        <v>-253871136158369.16</v>
      </c>
      <c r="M5090" s="471">
        <f t="shared" si="199"/>
        <v>0.05</v>
      </c>
      <c r="N5090" s="475">
        <f t="shared" si="200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98"/>
        <v>-253871136158369.16</v>
      </c>
      <c r="J5091" s="455">
        <f t="array" ref="J5091">IFERROR(INDEX('Retirement Calculator'!J:J,MATCH('Isaac 401k'!N5091,'Retirement Calculator'!A:A,0),0),0)</f>
        <v>0</v>
      </c>
      <c r="K5091" s="455">
        <f t="shared" ca="1" si="196"/>
        <v>-1057796400659.8715</v>
      </c>
      <c r="L5091" s="455">
        <f t="shared" ca="1" si="197"/>
        <v>-254928932559029.03</v>
      </c>
      <c r="M5091" s="471">
        <f t="shared" si="199"/>
        <v>0.05</v>
      </c>
      <c r="N5091" s="475">
        <f t="shared" si="200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98"/>
        <v>-254928932559029.03</v>
      </c>
      <c r="J5092" s="455">
        <f t="array" ref="J5092">IFERROR(INDEX('Retirement Calculator'!J:J,MATCH('Isaac 401k'!N5092,'Retirement Calculator'!A:A,0),0),0)</f>
        <v>0</v>
      </c>
      <c r="K5092" s="455">
        <f t="shared" ca="1" si="196"/>
        <v>-1062203885662.621</v>
      </c>
      <c r="L5092" s="455">
        <f t="shared" ca="1" si="197"/>
        <v>-255991136444691.66</v>
      </c>
      <c r="M5092" s="471">
        <f t="shared" si="199"/>
        <v>0.05</v>
      </c>
      <c r="N5092" s="475">
        <f t="shared" si="200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98"/>
        <v>-255991136444691.66</v>
      </c>
      <c r="J5093" s="455">
        <f t="array" ref="J5093">IFERROR(INDEX('Retirement Calculator'!J:J,MATCH('Isaac 401k'!N5093,'Retirement Calculator'!A:A,0),0),0)</f>
        <v>0</v>
      </c>
      <c r="K5093" s="455">
        <f t="shared" ca="1" si="196"/>
        <v>-1066629735186.2152</v>
      </c>
      <c r="L5093" s="455">
        <f t="shared" ca="1" si="197"/>
        <v>-257057766179877.88</v>
      </c>
      <c r="M5093" s="471">
        <f t="shared" si="199"/>
        <v>0.05</v>
      </c>
      <c r="N5093" s="475">
        <f t="shared" si="200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98"/>
        <v>-257057766179877.88</v>
      </c>
      <c r="J5094" s="455">
        <f t="array" ref="J5094">IFERROR(INDEX('Retirement Calculator'!J:J,MATCH('Isaac 401k'!N5094,'Retirement Calculator'!A:A,0),0),0)</f>
        <v>0</v>
      </c>
      <c r="K5094" s="455">
        <f t="shared" ca="1" si="196"/>
        <v>-1071074025749.4911</v>
      </c>
      <c r="L5094" s="455">
        <f t="shared" ca="1" si="197"/>
        <v>-258128840205627.38</v>
      </c>
      <c r="M5094" s="471">
        <f t="shared" si="199"/>
        <v>0.05</v>
      </c>
      <c r="N5094" s="475">
        <f t="shared" si="200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98"/>
        <v>-258128840205627.38</v>
      </c>
      <c r="J5095" s="455">
        <f t="array" ref="J5095">IFERROR(INDEX('Retirement Calculator'!J:J,MATCH('Isaac 401k'!N5095,'Retirement Calculator'!A:A,0),0),0)</f>
        <v>0</v>
      </c>
      <c r="K5095" s="455">
        <f t="shared" ca="1" si="196"/>
        <v>-1075536834190.114</v>
      </c>
      <c r="L5095" s="455">
        <f t="shared" ca="1" si="197"/>
        <v>-259204377039817.5</v>
      </c>
      <c r="M5095" s="471">
        <f t="shared" si="199"/>
        <v>0.05</v>
      </c>
      <c r="N5095" s="475">
        <f t="shared" si="200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98"/>
        <v>-259204377039817.5</v>
      </c>
      <c r="J5096" s="455">
        <f t="array" ref="J5096">IFERROR(INDEX('Retirement Calculator'!J:J,MATCH('Isaac 401k'!N5096,'Retirement Calculator'!A:A,0),0),0)</f>
        <v>0</v>
      </c>
      <c r="K5096" s="455">
        <f t="shared" ca="1" si="196"/>
        <v>-1080018237665.9064</v>
      </c>
      <c r="L5096" s="455">
        <f t="shared" ca="1" si="197"/>
        <v>-260284395277483.41</v>
      </c>
      <c r="M5096" s="471">
        <f t="shared" si="199"/>
        <v>0.05</v>
      </c>
      <c r="N5096" s="475">
        <f t="shared" si="200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98"/>
        <v>-260284395277483.41</v>
      </c>
      <c r="J5097" s="455">
        <f t="array" ref="J5097">IFERROR(INDEX('Retirement Calculator'!J:J,MATCH('Isaac 401k'!N5097,'Retirement Calculator'!A:A,0),0),0)</f>
        <v>0</v>
      </c>
      <c r="K5097" s="455">
        <f t="shared" ca="1" si="196"/>
        <v>-1084518313656.1808</v>
      </c>
      <c r="L5097" s="455">
        <f t="shared" ca="1" si="197"/>
        <v>-261368913591139.59</v>
      </c>
      <c r="M5097" s="471">
        <f t="shared" si="199"/>
        <v>0.05</v>
      </c>
      <c r="N5097" s="475">
        <f t="shared" si="200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98"/>
        <v>-261368913591139.59</v>
      </c>
      <c r="J5098" s="455">
        <f t="array" ref="J5098">IFERROR(INDEX('Retirement Calculator'!J:J,MATCH('Isaac 401k'!N5098,'Retirement Calculator'!A:A,0),0),0)</f>
        <v>0</v>
      </c>
      <c r="K5098" s="455">
        <f t="shared" ca="1" si="196"/>
        <v>-1089037139963.0817</v>
      </c>
      <c r="L5098" s="455">
        <f t="shared" ca="1" si="197"/>
        <v>-262457950731102.69</v>
      </c>
      <c r="M5098" s="471">
        <f t="shared" si="199"/>
        <v>0.05</v>
      </c>
      <c r="N5098" s="475">
        <f t="shared" si="200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98"/>
        <v>-262457950731102.69</v>
      </c>
      <c r="J5099" s="455">
        <f t="array" ref="J5099">IFERROR(INDEX('Retirement Calculator'!J:J,MATCH('Isaac 401k'!N5099,'Retirement Calculator'!A:A,0),0),0)</f>
        <v>0</v>
      </c>
      <c r="K5099" s="455">
        <f t="shared" ca="1" si="196"/>
        <v>-1093574794712.9277</v>
      </c>
      <c r="L5099" s="455">
        <f t="shared" ca="1" si="197"/>
        <v>-263551525525815.63</v>
      </c>
      <c r="M5099" s="471">
        <f t="shared" si="199"/>
        <v>0.05</v>
      </c>
      <c r="N5099" s="475">
        <f t="shared" si="200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98"/>
        <v>-263551525525815.63</v>
      </c>
      <c r="J5100" s="455">
        <f t="array" ref="J5100">IFERROR(INDEX('Retirement Calculator'!J:J,MATCH('Isaac 401k'!N5100,'Retirement Calculator'!A:A,0),0),0)</f>
        <v>0</v>
      </c>
      <c r="K5100" s="455">
        <f t="shared" ca="1" si="196"/>
        <v>-1098131356357.5651</v>
      </c>
      <c r="L5100" s="455">
        <f t="shared" ca="1" si="197"/>
        <v>-264649656882173.19</v>
      </c>
      <c r="M5100" s="471">
        <f t="shared" si="199"/>
        <v>0.05</v>
      </c>
      <c r="N5100" s="475">
        <f t="shared" si="200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98"/>
        <v>-264649656882173.19</v>
      </c>
      <c r="J5101" s="455">
        <f t="array" ref="J5101">IFERROR(INDEX('Retirement Calculator'!J:J,MATCH('Isaac 401k'!N5101,'Retirement Calculator'!A:A,0),0),0)</f>
        <v>0</v>
      </c>
      <c r="K5101" s="455">
        <f t="shared" ca="1" si="196"/>
        <v>-1102706903675.7217</v>
      </c>
      <c r="L5101" s="455">
        <f t="shared" ca="1" si="197"/>
        <v>-265752363785848.91</v>
      </c>
      <c r="M5101" s="471">
        <f t="shared" si="199"/>
        <v>0.05</v>
      </c>
      <c r="N5101" s="475">
        <f t="shared" si="200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98"/>
        <v>-265752363785848.91</v>
      </c>
      <c r="J5102" s="455">
        <f t="array" ref="J5102">IFERROR(INDEX('Retirement Calculator'!J:J,MATCH('Isaac 401k'!N5102,'Retirement Calculator'!A:A,0),0),0)</f>
        <v>0</v>
      </c>
      <c r="K5102" s="455">
        <f t="shared" ca="1" si="196"/>
        <v>-1107301515774.3704</v>
      </c>
      <c r="L5102" s="455">
        <f t="shared" ca="1" si="197"/>
        <v>-266859665301623.28</v>
      </c>
      <c r="M5102" s="471">
        <f t="shared" si="199"/>
        <v>0.05</v>
      </c>
      <c r="N5102" s="475">
        <f t="shared" si="200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98"/>
        <v>-266859665301623.28</v>
      </c>
      <c r="J5103" s="455">
        <f t="array" ref="J5103">IFERROR(INDEX('Retirement Calculator'!J:J,MATCH('Isaac 401k'!N5103,'Retirement Calculator'!A:A,0),0),0)</f>
        <v>0</v>
      </c>
      <c r="K5103" s="455">
        <f t="shared" ca="1" si="196"/>
        <v>-1111915272090.0972</v>
      </c>
      <c r="L5103" s="455">
        <f t="shared" ca="1" si="197"/>
        <v>-267971580573713.38</v>
      </c>
      <c r="M5103" s="471">
        <f t="shared" si="199"/>
        <v>0.05</v>
      </c>
      <c r="N5103" s="475">
        <f t="shared" si="200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98"/>
        <v>-267971580573713.38</v>
      </c>
      <c r="J5104" s="455">
        <f t="array" ref="J5104">IFERROR(INDEX('Retirement Calculator'!J:J,MATCH('Isaac 401k'!N5104,'Retirement Calculator'!A:A,0),0),0)</f>
        <v>0</v>
      </c>
      <c r="K5104" s="455">
        <f t="shared" ca="1" si="196"/>
        <v>-1116548252390.4724</v>
      </c>
      <c r="L5104" s="455">
        <f t="shared" ca="1" si="197"/>
        <v>-269088128826103.84</v>
      </c>
      <c r="M5104" s="471">
        <f t="shared" si="199"/>
        <v>0.05</v>
      </c>
      <c r="N5104" s="475">
        <f t="shared" si="200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98"/>
        <v>-269088128826103.84</v>
      </c>
      <c r="J5105" s="455">
        <f t="array" ref="J5105">IFERROR(INDEX('Retirement Calculator'!J:J,MATCH('Isaac 401k'!N5105,'Retirement Calculator'!A:A,0),0),0)</f>
        <v>0</v>
      </c>
      <c r="K5105" s="455">
        <f t="shared" ca="1" si="196"/>
        <v>-1121200536775.4329</v>
      </c>
      <c r="L5105" s="455">
        <f t="shared" ca="1" si="197"/>
        <v>-270209329362879.28</v>
      </c>
      <c r="M5105" s="471">
        <f t="shared" si="199"/>
        <v>0.05</v>
      </c>
      <c r="N5105" s="475">
        <f t="shared" si="200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98"/>
        <v>-270209329362879.28</v>
      </c>
      <c r="J5106" s="455">
        <f t="array" ref="J5106">IFERROR(INDEX('Retirement Calculator'!J:J,MATCH('Isaac 401k'!N5106,'Retirement Calculator'!A:A,0),0),0)</f>
        <v>0</v>
      </c>
      <c r="K5106" s="455">
        <f t="shared" ca="1" si="196"/>
        <v>-1125872205678.6636</v>
      </c>
      <c r="L5106" s="455">
        <f t="shared" ca="1" si="197"/>
        <v>-271335201568557.94</v>
      </c>
      <c r="M5106" s="471">
        <f t="shared" si="199"/>
        <v>0.05</v>
      </c>
      <c r="N5106" s="475">
        <f t="shared" si="200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98"/>
        <v>-271335201568557.94</v>
      </c>
      <c r="J5107" s="455">
        <f t="array" ref="J5107">IFERROR(INDEX('Retirement Calculator'!J:J,MATCH('Isaac 401k'!N5107,'Retirement Calculator'!A:A,0),0),0)</f>
        <v>0</v>
      </c>
      <c r="K5107" s="455">
        <f t="shared" ca="1" si="196"/>
        <v>-1130563339868.9915</v>
      </c>
      <c r="L5107" s="455">
        <f t="shared" ca="1" si="197"/>
        <v>-272465764908426.94</v>
      </c>
      <c r="M5107" s="471">
        <f t="shared" si="199"/>
        <v>0.05</v>
      </c>
      <c r="N5107" s="475">
        <f t="shared" si="200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98"/>
        <v>-272465764908426.94</v>
      </c>
      <c r="J5108" s="455">
        <f t="array" ref="J5108">IFERROR(INDEX('Retirement Calculator'!J:J,MATCH('Isaac 401k'!N5108,'Retirement Calculator'!A:A,0),0),0)</f>
        <v>0</v>
      </c>
      <c r="K5108" s="455">
        <f t="shared" ref="K5108:K5362" ca="1" si="201">IPMT(M5108/12,1,12,-I5108+J5108,,0)</f>
        <v>-1135274020451.7788</v>
      </c>
      <c r="L5108" s="455">
        <f t="shared" ref="L5108:L5362" ca="1" si="202">I5108-J5108+K5108</f>
        <v>-273601038928878.72</v>
      </c>
      <c r="M5108" s="471">
        <f t="shared" si="199"/>
        <v>0.05</v>
      </c>
      <c r="N5108" s="475">
        <f t="shared" si="200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203">L5108</f>
        <v>-273601038928878.72</v>
      </c>
      <c r="J5109" s="455">
        <f t="array" ref="J5109">IFERROR(INDEX('Retirement Calculator'!J:J,MATCH('Isaac 401k'!N5109,'Retirement Calculator'!A:A,0),0),0)</f>
        <v>0</v>
      </c>
      <c r="K5109" s="455">
        <f t="shared" ca="1" si="201"/>
        <v>-1140004328870.3279</v>
      </c>
      <c r="L5109" s="455">
        <f t="shared" ca="1" si="202"/>
        <v>-274741043257749.03</v>
      </c>
      <c r="M5109" s="471">
        <f t="shared" ref="M5109:M5363" si="204">M5108</f>
        <v>0.05</v>
      </c>
      <c r="N5109" s="475">
        <f t="shared" ref="N5109:N5363" si="205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203"/>
        <v>-274741043257749.03</v>
      </c>
      <c r="J5110" s="455">
        <f t="array" ref="J5110">IFERROR(INDEX('Retirement Calculator'!J:J,MATCH('Isaac 401k'!N5110,'Retirement Calculator'!A:A,0),0),0)</f>
        <v>0</v>
      </c>
      <c r="K5110" s="455">
        <f t="shared" ca="1" si="201"/>
        <v>-1144754346907.2876</v>
      </c>
      <c r="L5110" s="455">
        <f t="shared" ca="1" si="202"/>
        <v>-275885797604656.31</v>
      </c>
      <c r="M5110" s="471">
        <f t="shared" si="204"/>
        <v>0.05</v>
      </c>
      <c r="N5110" s="475">
        <f t="shared" si="205"/>
        <v>206577</v>
      </c>
    </row>
    <row r="5111" spans="7:14" ht="11.25" customHeight="1" x14ac:dyDescent="0.3">
      <c r="G5111" s="470"/>
      <c r="H5111" s="470">
        <v>5104</v>
      </c>
      <c r="I5111" s="455">
        <f t="shared" ca="1" si="203"/>
        <v>-275885797604656.31</v>
      </c>
      <c r="J5111" s="455">
        <f t="array" ref="J5111">IFERROR(INDEX('Retirement Calculator'!J:J,MATCH('Isaac 401k'!N5111,'Retirement Calculator'!A:A,0),0),0)</f>
        <v>0</v>
      </c>
      <c r="K5111" s="455">
        <f t="shared" ca="1" si="201"/>
        <v>-1149524156686.0679</v>
      </c>
      <c r="L5111" s="455">
        <f t="shared" ca="1" si="202"/>
        <v>-277035321761342.38</v>
      </c>
      <c r="M5111" s="471">
        <f t="shared" si="204"/>
        <v>0.05</v>
      </c>
      <c r="N5111" s="475">
        <f t="shared" si="205"/>
        <v>206608</v>
      </c>
    </row>
    <row r="5112" spans="7:14" ht="11.25" customHeight="1" x14ac:dyDescent="0.3">
      <c r="G5112" s="470"/>
      <c r="H5112" s="470">
        <v>5105</v>
      </c>
      <c r="I5112" s="455">
        <f t="shared" ca="1" si="203"/>
        <v>-277035321761342.38</v>
      </c>
      <c r="J5112" s="455">
        <f t="array" ref="J5112">IFERROR(INDEX('Retirement Calculator'!J:J,MATCH('Isaac 401k'!N5112,'Retirement Calculator'!A:A,0),0),0)</f>
        <v>0</v>
      </c>
      <c r="K5112" s="455">
        <f t="shared" ca="1" si="201"/>
        <v>-1154313840672.2598</v>
      </c>
      <c r="L5112" s="455">
        <f t="shared" ca="1" si="202"/>
        <v>-278189635602014.63</v>
      </c>
      <c r="M5112" s="471">
        <f t="shared" si="204"/>
        <v>0.05</v>
      </c>
      <c r="N5112" s="475">
        <f t="shared" si="205"/>
        <v>206638</v>
      </c>
    </row>
    <row r="5113" spans="7:14" ht="11.25" customHeight="1" x14ac:dyDescent="0.3">
      <c r="G5113" s="470"/>
      <c r="H5113" s="470">
        <v>5106</v>
      </c>
      <c r="I5113" s="455">
        <f t="shared" ca="1" si="203"/>
        <v>-278189635602014.63</v>
      </c>
      <c r="J5113" s="455">
        <f t="array" ref="J5113">IFERROR(INDEX('Retirement Calculator'!J:J,MATCH('Isaac 401k'!N5113,'Retirement Calculator'!A:A,0),0),0)</f>
        <v>0</v>
      </c>
      <c r="K5113" s="455">
        <f t="shared" ca="1" si="201"/>
        <v>-1159123481675.061</v>
      </c>
      <c r="L5113" s="455">
        <f t="shared" ca="1" si="202"/>
        <v>-279348759083689.69</v>
      </c>
      <c r="M5113" s="471">
        <f t="shared" si="204"/>
        <v>0.05</v>
      </c>
      <c r="N5113" s="475">
        <f t="shared" si="205"/>
        <v>206669</v>
      </c>
    </row>
    <row r="5114" spans="7:14" ht="11.25" customHeight="1" x14ac:dyDescent="0.3">
      <c r="G5114" s="470"/>
      <c r="H5114" s="470">
        <v>5107</v>
      </c>
      <c r="I5114" s="455">
        <f t="shared" ca="1" si="203"/>
        <v>-279348759083689.69</v>
      </c>
      <c r="J5114" s="455">
        <f t="array" ref="J5114">IFERROR(INDEX('Retirement Calculator'!J:J,MATCH('Isaac 401k'!N5114,'Retirement Calculator'!A:A,0),0),0)</f>
        <v>0</v>
      </c>
      <c r="K5114" s="455">
        <f t="shared" ca="1" si="201"/>
        <v>-1163953162848.707</v>
      </c>
      <c r="L5114" s="455">
        <f t="shared" ca="1" si="202"/>
        <v>-280512712246538.41</v>
      </c>
      <c r="M5114" s="471">
        <f t="shared" si="204"/>
        <v>0.05</v>
      </c>
      <c r="N5114" s="475">
        <f t="shared" si="205"/>
        <v>206699</v>
      </c>
    </row>
    <row r="5115" spans="7:14" ht="11.25" customHeight="1" x14ac:dyDescent="0.3">
      <c r="G5115" s="470"/>
      <c r="H5115" s="470">
        <v>5108</v>
      </c>
      <c r="I5115" s="455">
        <f t="shared" ca="1" si="203"/>
        <v>-280512712246538.41</v>
      </c>
      <c r="J5115" s="455">
        <f t="array" ref="J5115">IFERROR(INDEX('Retirement Calculator'!J:J,MATCH('Isaac 401k'!N5115,'Retirement Calculator'!A:A,0),0),0)</f>
        <v>0</v>
      </c>
      <c r="K5115" s="455">
        <f t="shared" ca="1" si="201"/>
        <v>-1168802967693.9102</v>
      </c>
      <c r="L5115" s="455">
        <f t="shared" ca="1" si="202"/>
        <v>-281681515214232.31</v>
      </c>
      <c r="M5115" s="471">
        <f t="shared" si="204"/>
        <v>0.05</v>
      </c>
      <c r="N5115" s="475">
        <f t="shared" si="205"/>
        <v>206730</v>
      </c>
    </row>
    <row r="5116" spans="7:14" ht="11.25" customHeight="1" x14ac:dyDescent="0.3">
      <c r="G5116" s="470"/>
      <c r="H5116" s="470">
        <v>5109</v>
      </c>
      <c r="I5116" s="455">
        <f t="shared" ca="1" si="203"/>
        <v>-281681515214232.31</v>
      </c>
      <c r="J5116" s="455">
        <f t="array" ref="J5116">IFERROR(INDEX('Retirement Calculator'!J:J,MATCH('Isaac 401k'!N5116,'Retirement Calculator'!A:A,0),0),0)</f>
        <v>0</v>
      </c>
      <c r="K5116" s="455">
        <f t="shared" ca="1" si="201"/>
        <v>-1173672980059.3013</v>
      </c>
      <c r="L5116" s="455">
        <f t="shared" ca="1" si="202"/>
        <v>-282855188194291.63</v>
      </c>
      <c r="M5116" s="471">
        <f t="shared" si="204"/>
        <v>0.05</v>
      </c>
      <c r="N5116" s="475">
        <f t="shared" si="205"/>
        <v>206761</v>
      </c>
    </row>
    <row r="5117" spans="7:14" ht="11.25" customHeight="1" x14ac:dyDescent="0.3">
      <c r="G5117" s="470"/>
      <c r="H5117" s="470">
        <v>5110</v>
      </c>
      <c r="I5117" s="455">
        <f t="shared" ca="1" si="203"/>
        <v>-282855188194291.63</v>
      </c>
      <c r="J5117" s="455">
        <f t="array" ref="J5117">IFERROR(INDEX('Retirement Calculator'!J:J,MATCH('Isaac 401k'!N5117,'Retirement Calculator'!A:A,0),0),0)</f>
        <v>0</v>
      </c>
      <c r="K5117" s="455">
        <f t="shared" ca="1" si="201"/>
        <v>-1178563284142.8818</v>
      </c>
      <c r="L5117" s="455">
        <f t="shared" ca="1" si="202"/>
        <v>-284033751478434.5</v>
      </c>
      <c r="M5117" s="471">
        <f t="shared" si="204"/>
        <v>0.05</v>
      </c>
      <c r="N5117" s="475">
        <f t="shared" si="205"/>
        <v>206789</v>
      </c>
    </row>
    <row r="5118" spans="7:14" ht="11.25" customHeight="1" x14ac:dyDescent="0.3">
      <c r="G5118" s="470"/>
      <c r="H5118" s="470">
        <v>5111</v>
      </c>
      <c r="I5118" s="455">
        <f t="shared" ca="1" si="203"/>
        <v>-284033751478434.5</v>
      </c>
      <c r="J5118" s="455">
        <f t="array" ref="J5118">IFERROR(INDEX('Retirement Calculator'!J:J,MATCH('Isaac 401k'!N5118,'Retirement Calculator'!A:A,0),0),0)</f>
        <v>0</v>
      </c>
      <c r="K5118" s="455">
        <f t="shared" ca="1" si="201"/>
        <v>-1183473964493.4771</v>
      </c>
      <c r="L5118" s="455">
        <f t="shared" ca="1" si="202"/>
        <v>-285217225442928</v>
      </c>
      <c r="M5118" s="471">
        <f t="shared" si="204"/>
        <v>0.05</v>
      </c>
      <c r="N5118" s="475">
        <f t="shared" si="205"/>
        <v>206820</v>
      </c>
    </row>
    <row r="5119" spans="7:14" ht="11.25" customHeight="1" x14ac:dyDescent="0.3">
      <c r="G5119" s="470"/>
      <c r="H5119" s="470">
        <v>5112</v>
      </c>
      <c r="I5119" s="455">
        <f t="shared" ca="1" si="203"/>
        <v>-285217225442928</v>
      </c>
      <c r="J5119" s="455">
        <f t="array" ref="J5119">IFERROR(INDEX('Retirement Calculator'!J:J,MATCH('Isaac 401k'!N5119,'Retirement Calculator'!A:A,0),0),0)</f>
        <v>0</v>
      </c>
      <c r="K5119" s="455">
        <f t="shared" ca="1" si="201"/>
        <v>-1188405106012.2</v>
      </c>
      <c r="L5119" s="455">
        <f t="shared" ca="1" si="202"/>
        <v>-286405630548940.19</v>
      </c>
      <c r="M5119" s="471">
        <f t="shared" si="204"/>
        <v>0.05</v>
      </c>
      <c r="N5119" s="475">
        <f t="shared" si="205"/>
        <v>206850</v>
      </c>
    </row>
    <row r="5120" spans="7:14" ht="11.25" customHeight="1" x14ac:dyDescent="0.3">
      <c r="G5120" s="470"/>
      <c r="H5120" s="470">
        <v>5113</v>
      </c>
      <c r="I5120" s="455">
        <f t="shared" ca="1" si="203"/>
        <v>-286405630548940.19</v>
      </c>
      <c r="J5120" s="455">
        <f t="array" ref="J5120">IFERROR(INDEX('Retirement Calculator'!J:J,MATCH('Isaac 401k'!N5120,'Retirement Calculator'!A:A,0),0),0)</f>
        <v>0</v>
      </c>
      <c r="K5120" s="455">
        <f t="shared" ca="1" si="201"/>
        <v>-1193356793953.9175</v>
      </c>
      <c r="L5120" s="455">
        <f t="shared" ca="1" si="202"/>
        <v>-287598987342894.13</v>
      </c>
      <c r="M5120" s="471">
        <f t="shared" si="204"/>
        <v>0.05</v>
      </c>
      <c r="N5120" s="475">
        <f t="shared" si="205"/>
        <v>206881</v>
      </c>
    </row>
    <row r="5121" spans="7:14" ht="11.25" customHeight="1" x14ac:dyDescent="0.3">
      <c r="G5121" s="470"/>
      <c r="H5121" s="470">
        <v>5114</v>
      </c>
      <c r="I5121" s="455">
        <f t="shared" ca="1" si="203"/>
        <v>-287598987342894.13</v>
      </c>
      <c r="J5121" s="455">
        <f t="array" ref="J5121">IFERROR(INDEX('Retirement Calculator'!J:J,MATCH('Isaac 401k'!N5121,'Retirement Calculator'!A:A,0),0),0)</f>
        <v>0</v>
      </c>
      <c r="K5121" s="455">
        <f t="shared" ca="1" si="201"/>
        <v>-1198329113928.7256</v>
      </c>
      <c r="L5121" s="455">
        <f t="shared" ca="1" si="202"/>
        <v>-288797316456822.88</v>
      </c>
      <c r="M5121" s="471">
        <f t="shared" si="204"/>
        <v>0.05</v>
      </c>
      <c r="N5121" s="475">
        <f t="shared" si="205"/>
        <v>206911</v>
      </c>
    </row>
    <row r="5122" spans="7:14" ht="11.25" customHeight="1" x14ac:dyDescent="0.3">
      <c r="G5122" s="470"/>
      <c r="H5122" s="470">
        <v>5115</v>
      </c>
      <c r="I5122" s="455">
        <f t="shared" ca="1" si="203"/>
        <v>-288797316456822.88</v>
      </c>
      <c r="J5122" s="455">
        <f t="array" ref="J5122">IFERROR(INDEX('Retirement Calculator'!J:J,MATCH('Isaac 401k'!N5122,'Retirement Calculator'!A:A,0),0),0)</f>
        <v>0</v>
      </c>
      <c r="K5122" s="455">
        <f t="shared" ca="1" si="201"/>
        <v>-1203322151903.4287</v>
      </c>
      <c r="L5122" s="455">
        <f t="shared" ca="1" si="202"/>
        <v>-290000638608726.31</v>
      </c>
      <c r="M5122" s="471">
        <f t="shared" si="204"/>
        <v>0.05</v>
      </c>
      <c r="N5122" s="475">
        <f t="shared" si="205"/>
        <v>206942</v>
      </c>
    </row>
    <row r="5123" spans="7:14" ht="11.25" customHeight="1" x14ac:dyDescent="0.3">
      <c r="G5123" s="470"/>
      <c r="H5123" s="470">
        <v>5116</v>
      </c>
      <c r="I5123" s="455">
        <f t="shared" ca="1" si="203"/>
        <v>-290000638608726.31</v>
      </c>
      <c r="J5123" s="455">
        <f t="array" ref="J5123">IFERROR(INDEX('Retirement Calculator'!J:J,MATCH('Isaac 401k'!N5123,'Retirement Calculator'!A:A,0),0),0)</f>
        <v>0</v>
      </c>
      <c r="K5123" s="455">
        <f t="shared" ca="1" si="201"/>
        <v>-1208335994203.0264</v>
      </c>
      <c r="L5123" s="455">
        <f t="shared" ca="1" si="202"/>
        <v>-291208974602929.31</v>
      </c>
      <c r="M5123" s="471">
        <f t="shared" si="204"/>
        <v>0.05</v>
      </c>
      <c r="N5123" s="475">
        <f t="shared" si="205"/>
        <v>206973</v>
      </c>
    </row>
    <row r="5124" spans="7:14" ht="11.25" customHeight="1" x14ac:dyDescent="0.3">
      <c r="G5124" s="470"/>
      <c r="H5124" s="470">
        <v>5117</v>
      </c>
      <c r="I5124" s="455">
        <f t="shared" ca="1" si="203"/>
        <v>-291208974602929.31</v>
      </c>
      <c r="J5124" s="455">
        <f t="array" ref="J5124">IFERROR(INDEX('Retirement Calculator'!J:J,MATCH('Isaac 401k'!N5124,'Retirement Calculator'!A:A,0),0),0)</f>
        <v>0</v>
      </c>
      <c r="K5124" s="455">
        <f t="shared" ca="1" si="201"/>
        <v>-1213370727512.2056</v>
      </c>
      <c r="L5124" s="455">
        <f t="shared" ca="1" si="202"/>
        <v>-292422345330441.5</v>
      </c>
      <c r="M5124" s="471">
        <f t="shared" si="204"/>
        <v>0.05</v>
      </c>
      <c r="N5124" s="475">
        <f t="shared" si="205"/>
        <v>207003</v>
      </c>
    </row>
    <row r="5125" spans="7:14" ht="11.25" customHeight="1" x14ac:dyDescent="0.3">
      <c r="G5125" s="470"/>
      <c r="H5125" s="470">
        <v>5118</v>
      </c>
      <c r="I5125" s="455">
        <f t="shared" ca="1" si="203"/>
        <v>-292422345330441.5</v>
      </c>
      <c r="J5125" s="455">
        <f t="array" ref="J5125">IFERROR(INDEX('Retirement Calculator'!J:J,MATCH('Isaac 401k'!N5125,'Retirement Calculator'!A:A,0),0),0)</f>
        <v>0</v>
      </c>
      <c r="K5125" s="455">
        <f t="shared" ca="1" si="201"/>
        <v>-1218426438876.8396</v>
      </c>
      <c r="L5125" s="455">
        <f t="shared" ca="1" si="202"/>
        <v>-293640771769318.31</v>
      </c>
      <c r="M5125" s="471">
        <f t="shared" si="204"/>
        <v>0.05</v>
      </c>
      <c r="N5125" s="475">
        <f t="shared" si="205"/>
        <v>207034</v>
      </c>
    </row>
    <row r="5126" spans="7:14" ht="11.25" customHeight="1" x14ac:dyDescent="0.3">
      <c r="G5126" s="470"/>
      <c r="H5126" s="470">
        <v>5119</v>
      </c>
      <c r="I5126" s="455">
        <f t="shared" ca="1" si="203"/>
        <v>-293640771769318.31</v>
      </c>
      <c r="J5126" s="455">
        <f t="array" ref="J5126">IFERROR(INDEX('Retirement Calculator'!J:J,MATCH('Isaac 401k'!N5126,'Retirement Calculator'!A:A,0),0),0)</f>
        <v>0</v>
      </c>
      <c r="K5126" s="455">
        <f t="shared" ca="1" si="201"/>
        <v>-1223503215705.4929</v>
      </c>
      <c r="L5126" s="455">
        <f t="shared" ca="1" si="202"/>
        <v>-294864274985023.81</v>
      </c>
      <c r="M5126" s="471">
        <f t="shared" si="204"/>
        <v>0.05</v>
      </c>
      <c r="N5126" s="475">
        <f t="shared" si="205"/>
        <v>207064</v>
      </c>
    </row>
    <row r="5127" spans="7:14" ht="11.25" customHeight="1" x14ac:dyDescent="0.3">
      <c r="G5127" s="470"/>
      <c r="H5127" s="470">
        <v>5120</v>
      </c>
      <c r="I5127" s="455">
        <f t="shared" ca="1" si="203"/>
        <v>-294864274985023.81</v>
      </c>
      <c r="J5127" s="455">
        <f t="array" ref="J5127">IFERROR(INDEX('Retirement Calculator'!J:J,MATCH('Isaac 401k'!N5127,'Retirement Calculator'!A:A,0),0),0)</f>
        <v>0</v>
      </c>
      <c r="K5127" s="455">
        <f t="shared" ca="1" si="201"/>
        <v>-1228601145770.9326</v>
      </c>
      <c r="L5127" s="455">
        <f t="shared" ca="1" si="202"/>
        <v>-296092876130794.75</v>
      </c>
      <c r="M5127" s="471">
        <f t="shared" si="204"/>
        <v>0.05</v>
      </c>
      <c r="N5127" s="475">
        <f t="shared" si="205"/>
        <v>207095</v>
      </c>
    </row>
    <row r="5128" spans="7:14" ht="11.25" customHeight="1" x14ac:dyDescent="0.3">
      <c r="G5128" s="470"/>
      <c r="H5128" s="470">
        <v>5121</v>
      </c>
      <c r="I5128" s="455">
        <f t="shared" ca="1" si="203"/>
        <v>-296092876130794.75</v>
      </c>
      <c r="J5128" s="455">
        <f t="array" ref="J5128">IFERROR(INDEX('Retirement Calculator'!J:J,MATCH('Isaac 401k'!N5128,'Retirement Calculator'!A:A,0),0),0)</f>
        <v>0</v>
      </c>
      <c r="K5128" s="455">
        <f t="shared" ca="1" si="201"/>
        <v>-1233720317211.6448</v>
      </c>
      <c r="L5128" s="455">
        <f t="shared" ca="1" si="202"/>
        <v>-297326596448006.38</v>
      </c>
      <c r="M5128" s="471">
        <f t="shared" si="204"/>
        <v>0.05</v>
      </c>
      <c r="N5128" s="475">
        <f t="shared" si="205"/>
        <v>207126</v>
      </c>
    </row>
    <row r="5129" spans="7:14" ht="11.25" customHeight="1" x14ac:dyDescent="0.3">
      <c r="G5129" s="470"/>
      <c r="H5129" s="470">
        <v>5122</v>
      </c>
      <c r="I5129" s="455">
        <f t="shared" ca="1" si="203"/>
        <v>-297326596448006.38</v>
      </c>
      <c r="J5129" s="455">
        <f t="array" ref="J5129">IFERROR(INDEX('Retirement Calculator'!J:J,MATCH('Isaac 401k'!N5129,'Retirement Calculator'!A:A,0),0),0)</f>
        <v>0</v>
      </c>
      <c r="K5129" s="455">
        <f t="shared" ca="1" si="201"/>
        <v>-1238860818533.3599</v>
      </c>
      <c r="L5129" s="455">
        <f t="shared" ca="1" si="202"/>
        <v>-298565457266539.75</v>
      </c>
      <c r="M5129" s="471">
        <f t="shared" si="204"/>
        <v>0.05</v>
      </c>
      <c r="N5129" s="475">
        <f t="shared" si="205"/>
        <v>207154</v>
      </c>
    </row>
    <row r="5130" spans="7:14" ht="11.25" customHeight="1" x14ac:dyDescent="0.3">
      <c r="G5130" s="470"/>
      <c r="H5130" s="470">
        <v>5123</v>
      </c>
      <c r="I5130" s="455">
        <f t="shared" ca="1" si="203"/>
        <v>-298565457266539.75</v>
      </c>
      <c r="J5130" s="455">
        <f t="array" ref="J5130">IFERROR(INDEX('Retirement Calculator'!J:J,MATCH('Isaac 401k'!N5130,'Retirement Calculator'!A:A,0),0),0)</f>
        <v>0</v>
      </c>
      <c r="K5130" s="455">
        <f t="shared" ca="1" si="201"/>
        <v>-1244022738610.5823</v>
      </c>
      <c r="L5130" s="455">
        <f t="shared" ca="1" si="202"/>
        <v>-299809480005150.31</v>
      </c>
      <c r="M5130" s="471">
        <f t="shared" si="204"/>
        <v>0.05</v>
      </c>
      <c r="N5130" s="475">
        <f t="shared" si="205"/>
        <v>207185</v>
      </c>
    </row>
    <row r="5131" spans="7:14" ht="11.25" customHeight="1" x14ac:dyDescent="0.3">
      <c r="G5131" s="470"/>
      <c r="H5131" s="470">
        <v>5124</v>
      </c>
      <c r="I5131" s="455">
        <f t="shared" ca="1" si="203"/>
        <v>-299809480005150.31</v>
      </c>
      <c r="J5131" s="455">
        <f t="array" ref="J5131">IFERROR(INDEX('Retirement Calculator'!J:J,MATCH('Isaac 401k'!N5131,'Retirement Calculator'!A:A,0),0),0)</f>
        <v>0</v>
      </c>
      <c r="K5131" s="455">
        <f t="shared" ca="1" si="201"/>
        <v>-1249206166688.1262</v>
      </c>
      <c r="L5131" s="455">
        <f t="shared" ca="1" si="202"/>
        <v>-301058686171838.44</v>
      </c>
      <c r="M5131" s="471">
        <f t="shared" si="204"/>
        <v>0.05</v>
      </c>
      <c r="N5131" s="475">
        <f t="shared" si="205"/>
        <v>207215</v>
      </c>
    </row>
    <row r="5132" spans="7:14" ht="11.25" customHeight="1" x14ac:dyDescent="0.3">
      <c r="G5132" s="470"/>
      <c r="H5132" s="470">
        <v>5125</v>
      </c>
      <c r="I5132" s="455">
        <f t="shared" ca="1" si="203"/>
        <v>-301058686171838.44</v>
      </c>
      <c r="J5132" s="455">
        <f t="array" ref="J5132">IFERROR(INDEX('Retirement Calculator'!J:J,MATCH('Isaac 401k'!N5132,'Retirement Calculator'!A:A,0),0),0)</f>
        <v>0</v>
      </c>
      <c r="K5132" s="455">
        <f t="shared" ca="1" si="201"/>
        <v>-1254411192382.6602</v>
      </c>
      <c r="L5132" s="455">
        <f t="shared" ca="1" si="202"/>
        <v>-302313097364221.13</v>
      </c>
      <c r="M5132" s="471">
        <f t="shared" si="204"/>
        <v>0.05</v>
      </c>
      <c r="N5132" s="475">
        <f t="shared" si="205"/>
        <v>207246</v>
      </c>
    </row>
    <row r="5133" spans="7:14" ht="11.25" customHeight="1" x14ac:dyDescent="0.3">
      <c r="G5133" s="470"/>
      <c r="H5133" s="470">
        <v>5126</v>
      </c>
      <c r="I5133" s="455">
        <f t="shared" ca="1" si="203"/>
        <v>-302313097364221.13</v>
      </c>
      <c r="J5133" s="455">
        <f t="array" ref="J5133">IFERROR(INDEX('Retirement Calculator'!J:J,MATCH('Isaac 401k'!N5133,'Retirement Calculator'!A:A,0),0),0)</f>
        <v>0</v>
      </c>
      <c r="K5133" s="455">
        <f t="shared" ca="1" si="201"/>
        <v>-1259637905684.2546</v>
      </c>
      <c r="L5133" s="455">
        <f t="shared" ca="1" si="202"/>
        <v>-303572735269905.38</v>
      </c>
      <c r="M5133" s="471">
        <f t="shared" si="204"/>
        <v>0.05</v>
      </c>
      <c r="N5133" s="475">
        <f t="shared" si="205"/>
        <v>207276</v>
      </c>
    </row>
    <row r="5134" spans="7:14" ht="11.25" customHeight="1" x14ac:dyDescent="0.3">
      <c r="G5134" s="470"/>
      <c r="H5134" s="470">
        <v>5127</v>
      </c>
      <c r="I5134" s="455">
        <f t="shared" ca="1" si="203"/>
        <v>-303572735269905.38</v>
      </c>
      <c r="J5134" s="455">
        <f t="array" ref="J5134">IFERROR(INDEX('Retirement Calculator'!J:J,MATCH('Isaac 401k'!N5134,'Retirement Calculator'!A:A,0),0),0)</f>
        <v>0</v>
      </c>
      <c r="K5134" s="455">
        <f t="shared" ca="1" si="201"/>
        <v>-1264886396957.939</v>
      </c>
      <c r="L5134" s="455">
        <f t="shared" ca="1" si="202"/>
        <v>-304837621666863.31</v>
      </c>
      <c r="M5134" s="471">
        <f t="shared" si="204"/>
        <v>0.05</v>
      </c>
      <c r="N5134" s="475">
        <f t="shared" si="205"/>
        <v>207307</v>
      </c>
    </row>
    <row r="5135" spans="7:14" ht="11.25" customHeight="1" x14ac:dyDescent="0.3">
      <c r="G5135" s="470"/>
      <c r="H5135" s="470">
        <v>5128</v>
      </c>
      <c r="I5135" s="455">
        <f t="shared" ca="1" si="203"/>
        <v>-304837621666863.31</v>
      </c>
      <c r="J5135" s="455">
        <f t="array" ref="J5135">IFERROR(INDEX('Retirement Calculator'!J:J,MATCH('Isaac 401k'!N5135,'Retirement Calculator'!A:A,0),0),0)</f>
        <v>0</v>
      </c>
      <c r="K5135" s="455">
        <f t="shared" ca="1" si="201"/>
        <v>-1270156756945.2637</v>
      </c>
      <c r="L5135" s="455">
        <f t="shared" ca="1" si="202"/>
        <v>-306107778423808.56</v>
      </c>
      <c r="M5135" s="471">
        <f t="shared" si="204"/>
        <v>0.05</v>
      </c>
      <c r="N5135" s="475">
        <f t="shared" si="205"/>
        <v>207338</v>
      </c>
    </row>
    <row r="5136" spans="7:14" ht="11.25" customHeight="1" x14ac:dyDescent="0.3">
      <c r="G5136" s="470"/>
      <c r="H5136" s="470">
        <v>5129</v>
      </c>
      <c r="I5136" s="455">
        <f t="shared" ca="1" si="203"/>
        <v>-306107778423808.56</v>
      </c>
      <c r="J5136" s="455">
        <f t="array" ref="J5136">IFERROR(INDEX('Retirement Calculator'!J:J,MATCH('Isaac 401k'!N5136,'Retirement Calculator'!A:A,0),0),0)</f>
        <v>0</v>
      </c>
      <c r="K5136" s="455">
        <f t="shared" ca="1" si="201"/>
        <v>-1275449076765.8689</v>
      </c>
      <c r="L5136" s="455">
        <f t="shared" ca="1" si="202"/>
        <v>-307383227500574.44</v>
      </c>
      <c r="M5136" s="471">
        <f t="shared" si="204"/>
        <v>0.05</v>
      </c>
      <c r="N5136" s="475">
        <f t="shared" si="205"/>
        <v>207368</v>
      </c>
    </row>
    <row r="5137" spans="7:14" ht="11.25" customHeight="1" x14ac:dyDescent="0.3">
      <c r="G5137" s="470"/>
      <c r="H5137" s="470">
        <v>5130</v>
      </c>
      <c r="I5137" s="455">
        <f t="shared" ca="1" si="203"/>
        <v>-307383227500574.44</v>
      </c>
      <c r="J5137" s="455">
        <f t="array" ref="J5137">IFERROR(INDEX('Retirement Calculator'!J:J,MATCH('Isaac 401k'!N5137,'Retirement Calculator'!A:A,0),0),0)</f>
        <v>0</v>
      </c>
      <c r="K5137" s="455">
        <f t="shared" ca="1" si="201"/>
        <v>-1280763447919.0601</v>
      </c>
      <c r="L5137" s="455">
        <f t="shared" ca="1" si="202"/>
        <v>-308663990948493.5</v>
      </c>
      <c r="M5137" s="471">
        <f t="shared" si="204"/>
        <v>0.05</v>
      </c>
      <c r="N5137" s="475">
        <f t="shared" si="205"/>
        <v>207399</v>
      </c>
    </row>
    <row r="5138" spans="7:14" ht="11.25" customHeight="1" x14ac:dyDescent="0.3">
      <c r="G5138" s="470"/>
      <c r="H5138" s="470">
        <v>5131</v>
      </c>
      <c r="I5138" s="455">
        <f t="shared" ca="1" si="203"/>
        <v>-308663990948493.5</v>
      </c>
      <c r="J5138" s="455">
        <f t="array" ref="J5138">IFERROR(INDEX('Retirement Calculator'!J:J,MATCH('Isaac 401k'!N5138,'Retirement Calculator'!A:A,0),0),0)</f>
        <v>0</v>
      </c>
      <c r="K5138" s="455">
        <f t="shared" ca="1" si="201"/>
        <v>-1286099962285.3896</v>
      </c>
      <c r="L5138" s="455">
        <f t="shared" ca="1" si="202"/>
        <v>-309950090910778.88</v>
      </c>
      <c r="M5138" s="471">
        <f t="shared" si="204"/>
        <v>0.05</v>
      </c>
      <c r="N5138" s="475">
        <f t="shared" si="205"/>
        <v>207429</v>
      </c>
    </row>
    <row r="5139" spans="7:14" ht="11.25" customHeight="1" x14ac:dyDescent="0.3">
      <c r="G5139" s="470"/>
      <c r="H5139" s="470">
        <v>5132</v>
      </c>
      <c r="I5139" s="455">
        <f t="shared" ca="1" si="203"/>
        <v>-309950090910778.88</v>
      </c>
      <c r="J5139" s="455">
        <f t="array" ref="J5139">IFERROR(INDEX('Retirement Calculator'!J:J,MATCH('Isaac 401k'!N5139,'Retirement Calculator'!A:A,0),0),0)</f>
        <v>0</v>
      </c>
      <c r="K5139" s="455">
        <f t="shared" ca="1" si="201"/>
        <v>-1291458712128.2454</v>
      </c>
      <c r="L5139" s="455">
        <f t="shared" ca="1" si="202"/>
        <v>-311241549622907.13</v>
      </c>
      <c r="M5139" s="471">
        <f t="shared" si="204"/>
        <v>0.05</v>
      </c>
      <c r="N5139" s="475">
        <f t="shared" si="205"/>
        <v>207460</v>
      </c>
    </row>
    <row r="5140" spans="7:14" ht="11.25" customHeight="1" x14ac:dyDescent="0.3">
      <c r="G5140" s="470"/>
      <c r="H5140" s="470">
        <v>5133</v>
      </c>
      <c r="I5140" s="455">
        <f t="shared" ca="1" si="203"/>
        <v>-311241549622907.13</v>
      </c>
      <c r="J5140" s="455">
        <f t="array" ref="J5140">IFERROR(INDEX('Retirement Calculator'!J:J,MATCH('Isaac 401k'!N5140,'Retirement Calculator'!A:A,0),0),0)</f>
        <v>0</v>
      </c>
      <c r="K5140" s="455">
        <f t="shared" ca="1" si="201"/>
        <v>-1296839790095.4463</v>
      </c>
      <c r="L5140" s="455">
        <f t="shared" ca="1" si="202"/>
        <v>-312538389413002.56</v>
      </c>
      <c r="M5140" s="471">
        <f t="shared" si="204"/>
        <v>0.05</v>
      </c>
      <c r="N5140" s="475">
        <f t="shared" si="205"/>
        <v>207491</v>
      </c>
    </row>
    <row r="5141" spans="7:14" ht="11.25" customHeight="1" x14ac:dyDescent="0.3">
      <c r="G5141" s="470"/>
      <c r="H5141" s="470">
        <v>5134</v>
      </c>
      <c r="I5141" s="455">
        <f t="shared" ca="1" si="203"/>
        <v>-312538389413002.56</v>
      </c>
      <c r="J5141" s="455">
        <f t="array" ref="J5141">IFERROR(INDEX('Retirement Calculator'!J:J,MATCH('Isaac 401k'!N5141,'Retirement Calculator'!A:A,0),0),0)</f>
        <v>0</v>
      </c>
      <c r="K5141" s="455">
        <f t="shared" ca="1" si="201"/>
        <v>-1302243289220.844</v>
      </c>
      <c r="L5141" s="455">
        <f t="shared" ca="1" si="202"/>
        <v>-313840632702223.44</v>
      </c>
      <c r="M5141" s="471">
        <f t="shared" si="204"/>
        <v>0.05</v>
      </c>
      <c r="N5141" s="475">
        <f t="shared" si="205"/>
        <v>207520</v>
      </c>
    </row>
    <row r="5142" spans="7:14" ht="11.25" customHeight="1" x14ac:dyDescent="0.3">
      <c r="G5142" s="470"/>
      <c r="H5142" s="470">
        <v>5135</v>
      </c>
      <c r="I5142" s="455">
        <f t="shared" ca="1" si="203"/>
        <v>-313840632702223.44</v>
      </c>
      <c r="J5142" s="455">
        <f t="array" ref="J5142">IFERROR(INDEX('Retirement Calculator'!J:J,MATCH('Isaac 401k'!N5142,'Retirement Calculator'!A:A,0),0),0)</f>
        <v>0</v>
      </c>
      <c r="K5142" s="455">
        <f t="shared" ca="1" si="201"/>
        <v>-1307669302925.9309</v>
      </c>
      <c r="L5142" s="455">
        <f t="shared" ca="1" si="202"/>
        <v>-315148302005149.38</v>
      </c>
      <c r="M5142" s="471">
        <f t="shared" si="204"/>
        <v>0.05</v>
      </c>
      <c r="N5142" s="475">
        <f t="shared" si="205"/>
        <v>207551</v>
      </c>
    </row>
    <row r="5143" spans="7:14" ht="11.25" customHeight="1" x14ac:dyDescent="0.3">
      <c r="G5143" s="470"/>
      <c r="H5143" s="470">
        <v>5136</v>
      </c>
      <c r="I5143" s="455">
        <f t="shared" ca="1" si="203"/>
        <v>-315148302005149.38</v>
      </c>
      <c r="J5143" s="455">
        <f t="array" ref="J5143">IFERROR(INDEX('Retirement Calculator'!J:J,MATCH('Isaac 401k'!N5143,'Retirement Calculator'!A:A,0),0),0)</f>
        <v>0</v>
      </c>
      <c r="K5143" s="455">
        <f t="shared" ca="1" si="201"/>
        <v>-1313117925021.4558</v>
      </c>
      <c r="L5143" s="455">
        <f t="shared" ca="1" si="202"/>
        <v>-316461419930170.81</v>
      </c>
      <c r="M5143" s="471">
        <f t="shared" si="204"/>
        <v>0.05</v>
      </c>
      <c r="N5143" s="475">
        <f t="shared" si="205"/>
        <v>207581</v>
      </c>
    </row>
    <row r="5144" spans="7:14" ht="11.25" customHeight="1" x14ac:dyDescent="0.3">
      <c r="G5144" s="470"/>
      <c r="H5144" s="470">
        <v>5137</v>
      </c>
      <c r="I5144" s="455">
        <f t="shared" ca="1" si="203"/>
        <v>-316461419930170.81</v>
      </c>
      <c r="J5144" s="455">
        <f t="array" ref="J5144">IFERROR(INDEX('Retirement Calculator'!J:J,MATCH('Isaac 401k'!N5144,'Retirement Calculator'!A:A,0),0),0)</f>
        <v>0</v>
      </c>
      <c r="K5144" s="455">
        <f t="shared" ca="1" si="201"/>
        <v>-1318589249709.0449</v>
      </c>
      <c r="L5144" s="455">
        <f t="shared" ca="1" si="202"/>
        <v>-317780009179879.88</v>
      </c>
      <c r="M5144" s="471">
        <f t="shared" si="204"/>
        <v>0.05</v>
      </c>
      <c r="N5144" s="475">
        <f t="shared" si="205"/>
        <v>207612</v>
      </c>
    </row>
    <row r="5145" spans="7:14" ht="11.25" customHeight="1" x14ac:dyDescent="0.3">
      <c r="G5145" s="470"/>
      <c r="H5145" s="470">
        <v>5138</v>
      </c>
      <c r="I5145" s="455">
        <f t="shared" ca="1" si="203"/>
        <v>-317780009179879.88</v>
      </c>
      <c r="J5145" s="455">
        <f t="array" ref="J5145">IFERROR(INDEX('Retirement Calculator'!J:J,MATCH('Isaac 401k'!N5145,'Retirement Calculator'!A:A,0),0),0)</f>
        <v>0</v>
      </c>
      <c r="K5145" s="455">
        <f t="shared" ca="1" si="201"/>
        <v>-1324083371582.8328</v>
      </c>
      <c r="L5145" s="455">
        <f t="shared" ca="1" si="202"/>
        <v>-319104092551462.69</v>
      </c>
      <c r="M5145" s="471">
        <f t="shared" si="204"/>
        <v>0.05</v>
      </c>
      <c r="N5145" s="475">
        <f t="shared" si="205"/>
        <v>207642</v>
      </c>
    </row>
    <row r="5146" spans="7:14" ht="11.25" customHeight="1" x14ac:dyDescent="0.3">
      <c r="G5146" s="470"/>
      <c r="H5146" s="470">
        <v>5139</v>
      </c>
      <c r="I5146" s="455">
        <f t="shared" ca="1" si="203"/>
        <v>-319104092551462.69</v>
      </c>
      <c r="J5146" s="455">
        <f t="array" ref="J5146">IFERROR(INDEX('Retirement Calculator'!J:J,MATCH('Isaac 401k'!N5146,'Retirement Calculator'!A:A,0),0),0)</f>
        <v>0</v>
      </c>
      <c r="K5146" s="455">
        <f t="shared" ca="1" si="201"/>
        <v>-1329600385631.0945</v>
      </c>
      <c r="L5146" s="455">
        <f t="shared" ca="1" si="202"/>
        <v>-320433692937093.81</v>
      </c>
      <c r="M5146" s="471">
        <f t="shared" si="204"/>
        <v>0.05</v>
      </c>
      <c r="N5146" s="475">
        <f t="shared" si="205"/>
        <v>207673</v>
      </c>
    </row>
    <row r="5147" spans="7:14" ht="11.25" customHeight="1" x14ac:dyDescent="0.3">
      <c r="G5147" s="470"/>
      <c r="H5147" s="470">
        <v>5140</v>
      </c>
      <c r="I5147" s="455">
        <f t="shared" ca="1" si="203"/>
        <v>-320433692937093.81</v>
      </c>
      <c r="J5147" s="455">
        <f t="array" ref="J5147">IFERROR(INDEX('Retirement Calculator'!J:J,MATCH('Isaac 401k'!N5147,'Retirement Calculator'!A:A,0),0),0)</f>
        <v>0</v>
      </c>
      <c r="K5147" s="455">
        <f t="shared" ca="1" si="201"/>
        <v>-1335140387237.8909</v>
      </c>
      <c r="L5147" s="455">
        <f t="shared" ca="1" si="202"/>
        <v>-321768833324331.69</v>
      </c>
      <c r="M5147" s="471">
        <f t="shared" si="204"/>
        <v>0.05</v>
      </c>
      <c r="N5147" s="475">
        <f t="shared" si="205"/>
        <v>207704</v>
      </c>
    </row>
    <row r="5148" spans="7:14" ht="11.25" customHeight="1" x14ac:dyDescent="0.3">
      <c r="G5148" s="470"/>
      <c r="H5148" s="470">
        <v>5141</v>
      </c>
      <c r="I5148" s="455">
        <f t="shared" ca="1" si="203"/>
        <v>-321768833324331.69</v>
      </c>
      <c r="J5148" s="455">
        <f t="array" ref="J5148">IFERROR(INDEX('Retirement Calculator'!J:J,MATCH('Isaac 401k'!N5148,'Retirement Calculator'!A:A,0),0),0)</f>
        <v>0</v>
      </c>
      <c r="K5148" s="455">
        <f t="shared" ca="1" si="201"/>
        <v>-1340703472184.7153</v>
      </c>
      <c r="L5148" s="455">
        <f t="shared" ca="1" si="202"/>
        <v>-323109536796516.38</v>
      </c>
      <c r="M5148" s="471">
        <f t="shared" si="204"/>
        <v>0.05</v>
      </c>
      <c r="N5148" s="475">
        <f t="shared" si="205"/>
        <v>207734</v>
      </c>
    </row>
    <row r="5149" spans="7:14" ht="11.25" customHeight="1" x14ac:dyDescent="0.3">
      <c r="G5149" s="470"/>
      <c r="H5149" s="470">
        <v>5142</v>
      </c>
      <c r="I5149" s="455">
        <f t="shared" ca="1" si="203"/>
        <v>-323109536796516.38</v>
      </c>
      <c r="J5149" s="455">
        <f t="array" ref="J5149">IFERROR(INDEX('Retirement Calculator'!J:J,MATCH('Isaac 401k'!N5149,'Retirement Calculator'!A:A,0),0),0)</f>
        <v>0</v>
      </c>
      <c r="K5149" s="455">
        <f t="shared" ca="1" si="201"/>
        <v>-1346289736652.1516</v>
      </c>
      <c r="L5149" s="455">
        <f t="shared" ca="1" si="202"/>
        <v>-324455826533168.5</v>
      </c>
      <c r="M5149" s="471">
        <f t="shared" si="204"/>
        <v>0.05</v>
      </c>
      <c r="N5149" s="475">
        <f t="shared" si="205"/>
        <v>207765</v>
      </c>
    </row>
    <row r="5150" spans="7:14" ht="11.25" customHeight="1" x14ac:dyDescent="0.3">
      <c r="G5150" s="470"/>
      <c r="H5150" s="470">
        <v>5143</v>
      </c>
      <c r="I5150" s="455">
        <f t="shared" ca="1" si="203"/>
        <v>-324455826533168.5</v>
      </c>
      <c r="J5150" s="455">
        <f t="array" ref="J5150">IFERROR(INDEX('Retirement Calculator'!J:J,MATCH('Isaac 401k'!N5150,'Retirement Calculator'!A:A,0),0),0)</f>
        <v>0</v>
      </c>
      <c r="K5150" s="455">
        <f t="shared" ca="1" si="201"/>
        <v>-1351899277221.5354</v>
      </c>
      <c r="L5150" s="455">
        <f t="shared" ca="1" si="202"/>
        <v>-325807725810390.06</v>
      </c>
      <c r="M5150" s="471">
        <f t="shared" si="204"/>
        <v>0.05</v>
      </c>
      <c r="N5150" s="475">
        <f t="shared" si="205"/>
        <v>207795</v>
      </c>
    </row>
    <row r="5151" spans="7:14" ht="11.25" customHeight="1" x14ac:dyDescent="0.3">
      <c r="G5151" s="470"/>
      <c r="H5151" s="470">
        <v>5144</v>
      </c>
      <c r="I5151" s="455">
        <f t="shared" ca="1" si="203"/>
        <v>-325807725810390.06</v>
      </c>
      <c r="J5151" s="455">
        <f t="array" ref="J5151">IFERROR(INDEX('Retirement Calculator'!J:J,MATCH('Isaac 401k'!N5151,'Retirement Calculator'!A:A,0),0),0)</f>
        <v>0</v>
      </c>
      <c r="K5151" s="455">
        <f t="shared" ca="1" si="201"/>
        <v>-1357532190876.6252</v>
      </c>
      <c r="L5151" s="455">
        <f t="shared" ca="1" si="202"/>
        <v>-327165258001266.69</v>
      </c>
      <c r="M5151" s="471">
        <f t="shared" si="204"/>
        <v>0.05</v>
      </c>
      <c r="N5151" s="475">
        <f t="shared" si="205"/>
        <v>207826</v>
      </c>
    </row>
    <row r="5152" spans="7:14" ht="11.25" customHeight="1" x14ac:dyDescent="0.3">
      <c r="G5152" s="470"/>
      <c r="H5152" s="470">
        <v>5145</v>
      </c>
      <c r="I5152" s="455">
        <f t="shared" ca="1" si="203"/>
        <v>-327165258001266.69</v>
      </c>
      <c r="J5152" s="455">
        <f t="array" ref="J5152">IFERROR(INDEX('Retirement Calculator'!J:J,MATCH('Isaac 401k'!N5152,'Retirement Calculator'!A:A,0),0),0)</f>
        <v>0</v>
      </c>
      <c r="K5152" s="455">
        <f t="shared" ca="1" si="201"/>
        <v>-1363188575005.2778</v>
      </c>
      <c r="L5152" s="455">
        <f t="shared" ca="1" si="202"/>
        <v>-328528446576271.94</v>
      </c>
      <c r="M5152" s="471">
        <f t="shared" si="204"/>
        <v>0.05</v>
      </c>
      <c r="N5152" s="475">
        <f t="shared" si="205"/>
        <v>207857</v>
      </c>
    </row>
    <row r="5153" spans="7:14" ht="11.25" customHeight="1" x14ac:dyDescent="0.3">
      <c r="G5153" s="470"/>
      <c r="H5153" s="470">
        <v>5146</v>
      </c>
      <c r="I5153" s="455">
        <f t="shared" ca="1" si="203"/>
        <v>-328528446576271.94</v>
      </c>
      <c r="J5153" s="455">
        <f t="array" ref="J5153">IFERROR(INDEX('Retirement Calculator'!J:J,MATCH('Isaac 401k'!N5153,'Retirement Calculator'!A:A,0),0),0)</f>
        <v>0</v>
      </c>
      <c r="K5153" s="455">
        <f t="shared" ca="1" si="201"/>
        <v>-1368868527401.1331</v>
      </c>
      <c r="L5153" s="455">
        <f t="shared" ca="1" si="202"/>
        <v>-329897315103673.06</v>
      </c>
      <c r="M5153" s="471">
        <f t="shared" si="204"/>
        <v>0.05</v>
      </c>
      <c r="N5153" s="475">
        <f t="shared" si="205"/>
        <v>207885</v>
      </c>
    </row>
    <row r="5154" spans="7:14" ht="11.25" customHeight="1" x14ac:dyDescent="0.3">
      <c r="G5154" s="470"/>
      <c r="H5154" s="470">
        <v>5147</v>
      </c>
      <c r="I5154" s="455">
        <f t="shared" ca="1" si="203"/>
        <v>-329897315103673.06</v>
      </c>
      <c r="J5154" s="455">
        <f t="array" ref="J5154">IFERROR(INDEX('Retirement Calculator'!J:J,MATCH('Isaac 401k'!N5154,'Retirement Calculator'!A:A,0),0),0)</f>
        <v>0</v>
      </c>
      <c r="K5154" s="455">
        <f t="shared" ca="1" si="201"/>
        <v>-1374572146265.3044</v>
      </c>
      <c r="L5154" s="455">
        <f t="shared" ca="1" si="202"/>
        <v>-331271887249938.38</v>
      </c>
      <c r="M5154" s="471">
        <f t="shared" si="204"/>
        <v>0.05</v>
      </c>
      <c r="N5154" s="475">
        <f t="shared" si="205"/>
        <v>207916</v>
      </c>
    </row>
    <row r="5155" spans="7:14" ht="11.25" customHeight="1" x14ac:dyDescent="0.3">
      <c r="G5155" s="470"/>
      <c r="H5155" s="470">
        <v>5148</v>
      </c>
      <c r="I5155" s="455">
        <f t="shared" ca="1" si="203"/>
        <v>-331271887249938.38</v>
      </c>
      <c r="J5155" s="455">
        <f t="array" ref="J5155">IFERROR(INDEX('Retirement Calculator'!J:J,MATCH('Isaac 401k'!N5155,'Retirement Calculator'!A:A,0),0),0)</f>
        <v>0</v>
      </c>
      <c r="K5155" s="455">
        <f t="shared" ca="1" si="201"/>
        <v>-1380299530208.0767</v>
      </c>
      <c r="L5155" s="455">
        <f t="shared" ca="1" si="202"/>
        <v>-332652186780146.44</v>
      </c>
      <c r="M5155" s="471">
        <f t="shared" si="204"/>
        <v>0.05</v>
      </c>
      <c r="N5155" s="475">
        <f t="shared" si="205"/>
        <v>207946</v>
      </c>
    </row>
    <row r="5156" spans="7:14" ht="11.25" customHeight="1" x14ac:dyDescent="0.3">
      <c r="G5156" s="470"/>
      <c r="H5156" s="470">
        <v>5149</v>
      </c>
      <c r="I5156" s="455">
        <f t="shared" ca="1" si="203"/>
        <v>-332652186780146.44</v>
      </c>
      <c r="J5156" s="455">
        <f t="array" ref="J5156">IFERROR(INDEX('Retirement Calculator'!J:J,MATCH('Isaac 401k'!N5156,'Retirement Calculator'!A:A,0),0),0)</f>
        <v>0</v>
      </c>
      <c r="K5156" s="455">
        <f t="shared" ca="1" si="201"/>
        <v>-1386050778250.6101</v>
      </c>
      <c r="L5156" s="455">
        <f t="shared" ca="1" si="202"/>
        <v>-334038237558397.06</v>
      </c>
      <c r="M5156" s="471">
        <f t="shared" si="204"/>
        <v>0.05</v>
      </c>
      <c r="N5156" s="475">
        <f t="shared" si="205"/>
        <v>207977</v>
      </c>
    </row>
    <row r="5157" spans="7:14" ht="11.25" customHeight="1" x14ac:dyDescent="0.3">
      <c r="G5157" s="470"/>
      <c r="H5157" s="470">
        <v>5150</v>
      </c>
      <c r="I5157" s="455">
        <f t="shared" ca="1" si="203"/>
        <v>-334038237558397.06</v>
      </c>
      <c r="J5157" s="455">
        <f t="array" ref="J5157">IFERROR(INDEX('Retirement Calculator'!J:J,MATCH('Isaac 401k'!N5157,'Retirement Calculator'!A:A,0),0),0)</f>
        <v>0</v>
      </c>
      <c r="K5157" s="455">
        <f t="shared" ca="1" si="201"/>
        <v>-1391825989826.6543</v>
      </c>
      <c r="L5157" s="455">
        <f t="shared" ca="1" si="202"/>
        <v>-335430063548223.69</v>
      </c>
      <c r="M5157" s="471">
        <f t="shared" si="204"/>
        <v>0.05</v>
      </c>
      <c r="N5157" s="475">
        <f t="shared" si="205"/>
        <v>208007</v>
      </c>
    </row>
    <row r="5158" spans="7:14" ht="11.25" customHeight="1" x14ac:dyDescent="0.3">
      <c r="G5158" s="470"/>
      <c r="H5158" s="470">
        <v>5151</v>
      </c>
      <c r="I5158" s="455">
        <f t="shared" ca="1" si="203"/>
        <v>-335430063548223.69</v>
      </c>
      <c r="J5158" s="455">
        <f t="array" ref="J5158">IFERROR(INDEX('Retirement Calculator'!J:J,MATCH('Isaac 401k'!N5158,'Retirement Calculator'!A:A,0),0),0)</f>
        <v>0</v>
      </c>
      <c r="K5158" s="455">
        <f t="shared" ca="1" si="201"/>
        <v>-1397625264784.2654</v>
      </c>
      <c r="L5158" s="455">
        <f t="shared" ca="1" si="202"/>
        <v>-336827688813007.94</v>
      </c>
      <c r="M5158" s="471">
        <f t="shared" si="204"/>
        <v>0.05</v>
      </c>
      <c r="N5158" s="475">
        <f t="shared" si="205"/>
        <v>208038</v>
      </c>
    </row>
    <row r="5159" spans="7:14" ht="11.25" customHeight="1" x14ac:dyDescent="0.3">
      <c r="G5159" s="470"/>
      <c r="H5159" s="470">
        <v>5152</v>
      </c>
      <c r="I5159" s="455">
        <f t="shared" ca="1" si="203"/>
        <v>-336827688813007.94</v>
      </c>
      <c r="J5159" s="455">
        <f t="array" ref="J5159">IFERROR(INDEX('Retirement Calculator'!J:J,MATCH('Isaac 401k'!N5159,'Retirement Calculator'!A:A,0),0),0)</f>
        <v>0</v>
      </c>
      <c r="K5159" s="455">
        <f t="shared" ca="1" si="201"/>
        <v>-1403448703387.533</v>
      </c>
      <c r="L5159" s="455">
        <f t="shared" ca="1" si="202"/>
        <v>-338231137516395.5</v>
      </c>
      <c r="M5159" s="471">
        <f t="shared" si="204"/>
        <v>0.05</v>
      </c>
      <c r="N5159" s="475">
        <f t="shared" si="205"/>
        <v>208069</v>
      </c>
    </row>
    <row r="5160" spans="7:14" ht="11.25" customHeight="1" x14ac:dyDescent="0.3">
      <c r="G5160" s="470"/>
      <c r="H5160" s="470">
        <v>5153</v>
      </c>
      <c r="I5160" s="455">
        <f t="shared" ca="1" si="203"/>
        <v>-338231137516395.5</v>
      </c>
      <c r="J5160" s="455">
        <f t="array" ref="J5160">IFERROR(INDEX('Retirement Calculator'!J:J,MATCH('Isaac 401k'!N5160,'Retirement Calculator'!A:A,0),0),0)</f>
        <v>0</v>
      </c>
      <c r="K5160" s="455">
        <f t="shared" ca="1" si="201"/>
        <v>-1409296406318.3145</v>
      </c>
      <c r="L5160" s="455">
        <f t="shared" ca="1" si="202"/>
        <v>-339640433922713.81</v>
      </c>
      <c r="M5160" s="471">
        <f t="shared" si="204"/>
        <v>0.05</v>
      </c>
      <c r="N5160" s="475">
        <f t="shared" si="205"/>
        <v>208099</v>
      </c>
    </row>
    <row r="5161" spans="7:14" ht="11.25" customHeight="1" x14ac:dyDescent="0.3">
      <c r="G5161" s="470"/>
      <c r="H5161" s="470">
        <v>5154</v>
      </c>
      <c r="I5161" s="455">
        <f t="shared" ca="1" si="203"/>
        <v>-339640433922713.81</v>
      </c>
      <c r="J5161" s="455">
        <f t="array" ref="J5161">IFERROR(INDEX('Retirement Calculator'!J:J,MATCH('Isaac 401k'!N5161,'Retirement Calculator'!A:A,0),0),0)</f>
        <v>0</v>
      </c>
      <c r="K5161" s="455">
        <f t="shared" ca="1" si="201"/>
        <v>-1415168474677.9741</v>
      </c>
      <c r="L5161" s="455">
        <f t="shared" ca="1" si="202"/>
        <v>-341055602397391.81</v>
      </c>
      <c r="M5161" s="471">
        <f t="shared" si="204"/>
        <v>0.05</v>
      </c>
      <c r="N5161" s="475">
        <f t="shared" si="205"/>
        <v>208130</v>
      </c>
    </row>
    <row r="5162" spans="7:14" ht="11.25" customHeight="1" x14ac:dyDescent="0.3">
      <c r="G5162" s="470"/>
      <c r="H5162" s="470">
        <v>5155</v>
      </c>
      <c r="I5162" s="455">
        <f t="shared" ca="1" si="203"/>
        <v>-341055602397391.81</v>
      </c>
      <c r="J5162" s="455">
        <f t="array" ref="J5162">IFERROR(INDEX('Retirement Calculator'!J:J,MATCH('Isaac 401k'!N5162,'Retirement Calculator'!A:A,0),0),0)</f>
        <v>0</v>
      </c>
      <c r="K5162" s="455">
        <f t="shared" ca="1" si="201"/>
        <v>-1421065009989.1326</v>
      </c>
      <c r="L5162" s="455">
        <f t="shared" ca="1" si="202"/>
        <v>-342476667407380.94</v>
      </c>
      <c r="M5162" s="471">
        <f t="shared" si="204"/>
        <v>0.05</v>
      </c>
      <c r="N5162" s="475">
        <f t="shared" si="205"/>
        <v>208160</v>
      </c>
    </row>
    <row r="5163" spans="7:14" ht="11.25" customHeight="1" x14ac:dyDescent="0.3">
      <c r="G5163" s="470"/>
      <c r="H5163" s="470">
        <v>5156</v>
      </c>
      <c r="I5163" s="455">
        <f t="shared" ca="1" si="203"/>
        <v>-342476667407380.94</v>
      </c>
      <c r="J5163" s="455">
        <f t="array" ref="J5163">IFERROR(INDEX('Retirement Calculator'!J:J,MATCH('Isaac 401k'!N5163,'Retirement Calculator'!A:A,0),0),0)</f>
        <v>0</v>
      </c>
      <c r="K5163" s="455">
        <f t="shared" ca="1" si="201"/>
        <v>-1426986114197.4207</v>
      </c>
      <c r="L5163" s="455">
        <f t="shared" ca="1" si="202"/>
        <v>-343903653521578.38</v>
      </c>
      <c r="M5163" s="471">
        <f t="shared" si="204"/>
        <v>0.05</v>
      </c>
      <c r="N5163" s="475">
        <f t="shared" si="205"/>
        <v>208191</v>
      </c>
    </row>
    <row r="5164" spans="7:14" ht="11.25" customHeight="1" x14ac:dyDescent="0.3">
      <c r="G5164" s="470"/>
      <c r="H5164" s="470">
        <v>5157</v>
      </c>
      <c r="I5164" s="455">
        <f t="shared" ca="1" si="203"/>
        <v>-343903653521578.38</v>
      </c>
      <c r="J5164" s="455">
        <f t="array" ref="J5164">IFERROR(INDEX('Retirement Calculator'!J:J,MATCH('Isaac 401k'!N5164,'Retirement Calculator'!A:A,0),0),0)</f>
        <v>0</v>
      </c>
      <c r="K5164" s="455">
        <f t="shared" ca="1" si="201"/>
        <v>-1432931889673.2432</v>
      </c>
      <c r="L5164" s="455">
        <f t="shared" ca="1" si="202"/>
        <v>-345336585411251.63</v>
      </c>
      <c r="M5164" s="471">
        <f t="shared" si="204"/>
        <v>0.05</v>
      </c>
      <c r="N5164" s="475">
        <f t="shared" si="205"/>
        <v>208222</v>
      </c>
    </row>
    <row r="5165" spans="7:14" ht="11.25" customHeight="1" x14ac:dyDescent="0.3">
      <c r="G5165" s="470"/>
      <c r="H5165" s="470">
        <v>5158</v>
      </c>
      <c r="I5165" s="455">
        <f t="shared" ca="1" si="203"/>
        <v>-345336585411251.63</v>
      </c>
      <c r="J5165" s="455">
        <f t="array" ref="J5165">IFERROR(INDEX('Retirement Calculator'!J:J,MATCH('Isaac 401k'!N5165,'Retirement Calculator'!A:A,0),0),0)</f>
        <v>0</v>
      </c>
      <c r="K5165" s="455">
        <f t="shared" ca="1" si="201"/>
        <v>-1438902439213.5483</v>
      </c>
      <c r="L5165" s="455">
        <f t="shared" ca="1" si="202"/>
        <v>-346775487850465.19</v>
      </c>
      <c r="M5165" s="471">
        <f t="shared" si="204"/>
        <v>0.05</v>
      </c>
      <c r="N5165" s="475">
        <f t="shared" si="205"/>
        <v>208250</v>
      </c>
    </row>
    <row r="5166" spans="7:14" ht="11.25" customHeight="1" x14ac:dyDescent="0.3">
      <c r="G5166" s="470"/>
      <c r="H5166" s="470">
        <v>5159</v>
      </c>
      <c r="I5166" s="455">
        <f t="shared" ca="1" si="203"/>
        <v>-346775487850465.19</v>
      </c>
      <c r="J5166" s="455">
        <f t="array" ref="J5166">IFERROR(INDEX('Retirement Calculator'!J:J,MATCH('Isaac 401k'!N5166,'Retirement Calculator'!A:A,0),0),0)</f>
        <v>0</v>
      </c>
      <c r="K5166" s="455">
        <f t="shared" ca="1" si="201"/>
        <v>-1444897866043.605</v>
      </c>
      <c r="L5166" s="455">
        <f t="shared" ca="1" si="202"/>
        <v>-348220385716508.81</v>
      </c>
      <c r="M5166" s="471">
        <f t="shared" si="204"/>
        <v>0.05</v>
      </c>
      <c r="N5166" s="475">
        <f t="shared" si="205"/>
        <v>208281</v>
      </c>
    </row>
    <row r="5167" spans="7:14" ht="11.25" customHeight="1" x14ac:dyDescent="0.3">
      <c r="G5167" s="470"/>
      <c r="H5167" s="470">
        <v>5160</v>
      </c>
      <c r="I5167" s="455">
        <f t="shared" ca="1" si="203"/>
        <v>-348220385716508.81</v>
      </c>
      <c r="J5167" s="455">
        <f t="array" ref="J5167">IFERROR(INDEX('Retirement Calculator'!J:J,MATCH('Isaac 401k'!N5167,'Retirement Calculator'!A:A,0),0),0)</f>
        <v>0</v>
      </c>
      <c r="K5167" s="455">
        <f t="shared" ca="1" si="201"/>
        <v>-1450918273818.7866</v>
      </c>
      <c r="L5167" s="455">
        <f t="shared" ca="1" si="202"/>
        <v>-349671303990327.63</v>
      </c>
      <c r="M5167" s="471">
        <f t="shared" si="204"/>
        <v>0.05</v>
      </c>
      <c r="N5167" s="475">
        <f t="shared" si="205"/>
        <v>208311</v>
      </c>
    </row>
    <row r="5168" spans="7:14" ht="11.25" customHeight="1" x14ac:dyDescent="0.3">
      <c r="G5168" s="470"/>
      <c r="H5168" s="470">
        <v>5161</v>
      </c>
      <c r="I5168" s="455">
        <f t="shared" ca="1" si="203"/>
        <v>-349671303990327.63</v>
      </c>
      <c r="J5168" s="455">
        <f t="array" ref="J5168">IFERROR(INDEX('Retirement Calculator'!J:J,MATCH('Isaac 401k'!N5168,'Retirement Calculator'!A:A,0),0),0)</f>
        <v>0</v>
      </c>
      <c r="K5168" s="455">
        <f t="shared" ca="1" si="201"/>
        <v>-1456963766626.365</v>
      </c>
      <c r="L5168" s="455">
        <f t="shared" ca="1" si="202"/>
        <v>-351128267756954</v>
      </c>
      <c r="M5168" s="471">
        <f t="shared" si="204"/>
        <v>0.05</v>
      </c>
      <c r="N5168" s="475">
        <f t="shared" si="205"/>
        <v>208342</v>
      </c>
    </row>
    <row r="5169" spans="7:14" ht="11.25" customHeight="1" x14ac:dyDescent="0.3">
      <c r="G5169" s="470"/>
      <c r="H5169" s="470">
        <v>5162</v>
      </c>
      <c r="I5169" s="455">
        <f t="shared" ca="1" si="203"/>
        <v>-351128267756954</v>
      </c>
      <c r="J5169" s="455">
        <f t="array" ref="J5169">IFERROR(INDEX('Retirement Calculator'!J:J,MATCH('Isaac 401k'!N5169,'Retirement Calculator'!A:A,0),0),0)</f>
        <v>0</v>
      </c>
      <c r="K5169" s="455">
        <f t="shared" ca="1" si="201"/>
        <v>-1463034448987.3083</v>
      </c>
      <c r="L5169" s="455">
        <f t="shared" ca="1" si="202"/>
        <v>-352591302205941.31</v>
      </c>
      <c r="M5169" s="471">
        <f t="shared" si="204"/>
        <v>0.05</v>
      </c>
      <c r="N5169" s="475">
        <f t="shared" si="205"/>
        <v>208372</v>
      </c>
    </row>
    <row r="5170" spans="7:14" ht="11.25" customHeight="1" x14ac:dyDescent="0.3">
      <c r="G5170" s="470"/>
      <c r="H5170" s="470">
        <v>5163</v>
      </c>
      <c r="I5170" s="455">
        <f t="shared" ca="1" si="203"/>
        <v>-352591302205941.31</v>
      </c>
      <c r="J5170" s="455">
        <f t="array" ref="J5170">IFERROR(INDEX('Retirement Calculator'!J:J,MATCH('Isaac 401k'!N5170,'Retirement Calculator'!A:A,0),0),0)</f>
        <v>0</v>
      </c>
      <c r="K5170" s="455">
        <f t="shared" ca="1" si="201"/>
        <v>-1469130425858.0889</v>
      </c>
      <c r="L5170" s="455">
        <f t="shared" ca="1" si="202"/>
        <v>-354060432631799.38</v>
      </c>
      <c r="M5170" s="471">
        <f t="shared" si="204"/>
        <v>0.05</v>
      </c>
      <c r="N5170" s="475">
        <f t="shared" si="205"/>
        <v>208403</v>
      </c>
    </row>
    <row r="5171" spans="7:14" ht="11.25" customHeight="1" x14ac:dyDescent="0.3">
      <c r="G5171" s="470"/>
      <c r="H5171" s="470">
        <v>5164</v>
      </c>
      <c r="I5171" s="455">
        <f t="shared" ca="1" si="203"/>
        <v>-354060432631799.38</v>
      </c>
      <c r="J5171" s="455">
        <f t="array" ref="J5171">IFERROR(INDEX('Retirement Calculator'!J:J,MATCH('Isaac 401k'!N5171,'Retirement Calculator'!A:A,0),0),0)</f>
        <v>0</v>
      </c>
      <c r="K5171" s="455">
        <f t="shared" ca="1" si="201"/>
        <v>-1475251802632.4973</v>
      </c>
      <c r="L5171" s="455">
        <f t="shared" ca="1" si="202"/>
        <v>-355535684434431.88</v>
      </c>
      <c r="M5171" s="471">
        <f t="shared" si="204"/>
        <v>0.05</v>
      </c>
      <c r="N5171" s="475">
        <f t="shared" si="205"/>
        <v>208434</v>
      </c>
    </row>
    <row r="5172" spans="7:14" ht="11.25" customHeight="1" x14ac:dyDescent="0.3">
      <c r="G5172" s="470"/>
      <c r="H5172" s="470">
        <v>5165</v>
      </c>
      <c r="I5172" s="455">
        <f t="shared" ca="1" si="203"/>
        <v>-355535684434431.88</v>
      </c>
      <c r="J5172" s="455">
        <f t="array" ref="J5172">IFERROR(INDEX('Retirement Calculator'!J:J,MATCH('Isaac 401k'!N5172,'Retirement Calculator'!A:A,0),0),0)</f>
        <v>0</v>
      </c>
      <c r="K5172" s="455">
        <f t="shared" ca="1" si="201"/>
        <v>-1481398685143.4661</v>
      </c>
      <c r="L5172" s="455">
        <f t="shared" ca="1" si="202"/>
        <v>-357017083119575.31</v>
      </c>
      <c r="M5172" s="471">
        <f t="shared" si="204"/>
        <v>0.05</v>
      </c>
      <c r="N5172" s="475">
        <f t="shared" si="205"/>
        <v>208464</v>
      </c>
    </row>
    <row r="5173" spans="7:14" ht="11.25" customHeight="1" x14ac:dyDescent="0.3">
      <c r="G5173" s="470"/>
      <c r="H5173" s="470">
        <v>5166</v>
      </c>
      <c r="I5173" s="455">
        <f t="shared" ca="1" si="203"/>
        <v>-357017083119575.31</v>
      </c>
      <c r="J5173" s="455">
        <f t="array" ref="J5173">IFERROR(INDEX('Retirement Calculator'!J:J,MATCH('Isaac 401k'!N5173,'Retirement Calculator'!A:A,0),0),0)</f>
        <v>0</v>
      </c>
      <c r="K5173" s="455">
        <f t="shared" ca="1" si="201"/>
        <v>-1487571179664.8972</v>
      </c>
      <c r="L5173" s="455">
        <f t="shared" ca="1" si="202"/>
        <v>-358504654299240.19</v>
      </c>
      <c r="M5173" s="471">
        <f t="shared" si="204"/>
        <v>0.05</v>
      </c>
      <c r="N5173" s="475">
        <f t="shared" si="205"/>
        <v>208495</v>
      </c>
    </row>
    <row r="5174" spans="7:14" ht="11.25" customHeight="1" x14ac:dyDescent="0.3">
      <c r="G5174" s="470"/>
      <c r="H5174" s="470">
        <v>5167</v>
      </c>
      <c r="I5174" s="455">
        <f t="shared" ca="1" si="203"/>
        <v>-358504654299240.19</v>
      </c>
      <c r="J5174" s="455">
        <f t="array" ref="J5174">IFERROR(INDEX('Retirement Calculator'!J:J,MATCH('Isaac 401k'!N5174,'Retirement Calculator'!A:A,0),0),0)</f>
        <v>0</v>
      </c>
      <c r="K5174" s="455">
        <f t="shared" ca="1" si="201"/>
        <v>-1493769392913.5007</v>
      </c>
      <c r="L5174" s="455">
        <f t="shared" ca="1" si="202"/>
        <v>-359998423692153.69</v>
      </c>
      <c r="M5174" s="471">
        <f t="shared" si="204"/>
        <v>0.05</v>
      </c>
      <c r="N5174" s="475">
        <f t="shared" si="205"/>
        <v>208525</v>
      </c>
    </row>
    <row r="5175" spans="7:14" ht="11.25" customHeight="1" x14ac:dyDescent="0.3">
      <c r="G5175" s="470"/>
      <c r="H5175" s="470">
        <v>5168</v>
      </c>
      <c r="I5175" s="455">
        <f t="shared" ca="1" si="203"/>
        <v>-359998423692153.69</v>
      </c>
      <c r="J5175" s="455">
        <f t="array" ref="J5175">IFERROR(INDEX('Retirement Calculator'!J:J,MATCH('Isaac 401k'!N5175,'Retirement Calculator'!A:A,0),0),0)</f>
        <v>0</v>
      </c>
      <c r="K5175" s="455">
        <f t="shared" ca="1" si="201"/>
        <v>-1499993432050.6404</v>
      </c>
      <c r="L5175" s="455">
        <f t="shared" ca="1" si="202"/>
        <v>-361498417124204.31</v>
      </c>
      <c r="M5175" s="471">
        <f t="shared" si="204"/>
        <v>0.05</v>
      </c>
      <c r="N5175" s="475">
        <f t="shared" si="205"/>
        <v>208556</v>
      </c>
    </row>
    <row r="5176" spans="7:14" ht="11.25" customHeight="1" x14ac:dyDescent="0.3">
      <c r="G5176" s="470"/>
      <c r="H5176" s="470">
        <v>5169</v>
      </c>
      <c r="I5176" s="455">
        <f t="shared" ca="1" si="203"/>
        <v>-361498417124204.31</v>
      </c>
      <c r="J5176" s="455">
        <f t="array" ref="J5176">IFERROR(INDEX('Retirement Calculator'!J:J,MATCH('Isaac 401k'!N5176,'Retirement Calculator'!A:A,0),0),0)</f>
        <v>0</v>
      </c>
      <c r="K5176" s="455">
        <f t="shared" ca="1" si="201"/>
        <v>-1506243404684.1846</v>
      </c>
      <c r="L5176" s="455">
        <f t="shared" ca="1" si="202"/>
        <v>-363004660528888.5</v>
      </c>
      <c r="M5176" s="471">
        <f t="shared" si="204"/>
        <v>0.05</v>
      </c>
      <c r="N5176" s="475">
        <f t="shared" si="205"/>
        <v>208587</v>
      </c>
    </row>
    <row r="5177" spans="7:14" ht="11.25" customHeight="1" x14ac:dyDescent="0.3">
      <c r="G5177" s="470"/>
      <c r="H5177" s="470">
        <v>5170</v>
      </c>
      <c r="I5177" s="455">
        <f t="shared" ca="1" si="203"/>
        <v>-363004660528888.5</v>
      </c>
      <c r="J5177" s="455">
        <f t="array" ref="J5177">IFERROR(INDEX('Retirement Calculator'!J:J,MATCH('Isaac 401k'!N5177,'Retirement Calculator'!A:A,0),0),0)</f>
        <v>0</v>
      </c>
      <c r="K5177" s="455">
        <f t="shared" ca="1" si="201"/>
        <v>-1512519418870.3687</v>
      </c>
      <c r="L5177" s="455">
        <f t="shared" ca="1" si="202"/>
        <v>-364517179947758.88</v>
      </c>
      <c r="M5177" s="471">
        <f t="shared" si="204"/>
        <v>0.05</v>
      </c>
      <c r="N5177" s="475">
        <f t="shared" si="205"/>
        <v>208615</v>
      </c>
    </row>
    <row r="5178" spans="7:14" ht="11.25" customHeight="1" x14ac:dyDescent="0.3">
      <c r="G5178" s="470"/>
      <c r="H5178" s="470">
        <v>5171</v>
      </c>
      <c r="I5178" s="455">
        <f t="shared" ca="1" si="203"/>
        <v>-364517179947758.88</v>
      </c>
      <c r="J5178" s="455">
        <f t="array" ref="J5178">IFERROR(INDEX('Retirement Calculator'!J:J,MATCH('Isaac 401k'!N5178,'Retirement Calculator'!A:A,0),0),0)</f>
        <v>0</v>
      </c>
      <c r="K5178" s="455">
        <f t="shared" ca="1" si="201"/>
        <v>-1518821583115.6619</v>
      </c>
      <c r="L5178" s="455">
        <f t="shared" ca="1" si="202"/>
        <v>-366036001530874.56</v>
      </c>
      <c r="M5178" s="471">
        <f t="shared" si="204"/>
        <v>0.05</v>
      </c>
      <c r="N5178" s="475">
        <f t="shared" si="205"/>
        <v>208646</v>
      </c>
    </row>
    <row r="5179" spans="7:14" ht="11.25" customHeight="1" x14ac:dyDescent="0.3">
      <c r="G5179" s="470"/>
      <c r="H5179" s="470">
        <v>5172</v>
      </c>
      <c r="I5179" s="455">
        <f t="shared" ca="1" si="203"/>
        <v>-366036001530874.56</v>
      </c>
      <c r="J5179" s="455">
        <f t="array" ref="J5179">IFERROR(INDEX('Retirement Calculator'!J:J,MATCH('Isaac 401k'!N5179,'Retirement Calculator'!A:A,0),0),0)</f>
        <v>0</v>
      </c>
      <c r="K5179" s="455">
        <f t="shared" ca="1" si="201"/>
        <v>-1525150006378.644</v>
      </c>
      <c r="L5179" s="455">
        <f t="shared" ca="1" si="202"/>
        <v>-367561151537253.19</v>
      </c>
      <c r="M5179" s="471">
        <f t="shared" si="204"/>
        <v>0.05</v>
      </c>
      <c r="N5179" s="475">
        <f t="shared" si="205"/>
        <v>208676</v>
      </c>
    </row>
    <row r="5180" spans="7:14" ht="11.25" customHeight="1" x14ac:dyDescent="0.3">
      <c r="G5180" s="470"/>
      <c r="H5180" s="470">
        <v>5173</v>
      </c>
      <c r="I5180" s="455">
        <f t="shared" ca="1" si="203"/>
        <v>-367561151537253.19</v>
      </c>
      <c r="J5180" s="455">
        <f t="array" ref="J5180">IFERROR(INDEX('Retirement Calculator'!J:J,MATCH('Isaac 401k'!N5180,'Retirement Calculator'!A:A,0),0),0)</f>
        <v>0</v>
      </c>
      <c r="K5180" s="455">
        <f t="shared" ca="1" si="201"/>
        <v>-1531504798071.8882</v>
      </c>
      <c r="L5180" s="455">
        <f t="shared" ca="1" si="202"/>
        <v>-369092656335325.06</v>
      </c>
      <c r="M5180" s="471">
        <f t="shared" si="204"/>
        <v>0.05</v>
      </c>
      <c r="N5180" s="475">
        <f t="shared" si="205"/>
        <v>208707</v>
      </c>
    </row>
    <row r="5181" spans="7:14" ht="11.25" customHeight="1" x14ac:dyDescent="0.3">
      <c r="G5181" s="470"/>
      <c r="H5181" s="470">
        <v>5174</v>
      </c>
      <c r="I5181" s="455">
        <f t="shared" ca="1" si="203"/>
        <v>-369092656335325.06</v>
      </c>
      <c r="J5181" s="455">
        <f t="array" ref="J5181">IFERROR(INDEX('Retirement Calculator'!J:J,MATCH('Isaac 401k'!N5181,'Retirement Calculator'!A:A,0),0),0)</f>
        <v>0</v>
      </c>
      <c r="K5181" s="455">
        <f t="shared" ca="1" si="201"/>
        <v>-1537886068063.8545</v>
      </c>
      <c r="L5181" s="455">
        <f t="shared" ca="1" si="202"/>
        <v>-370630542403388.94</v>
      </c>
      <c r="M5181" s="471">
        <f t="shared" si="204"/>
        <v>0.05</v>
      </c>
      <c r="N5181" s="475">
        <f t="shared" si="205"/>
        <v>208737</v>
      </c>
    </row>
    <row r="5182" spans="7:14" ht="11.25" customHeight="1" x14ac:dyDescent="0.3">
      <c r="G5182" s="470"/>
      <c r="H5182" s="470">
        <v>5175</v>
      </c>
      <c r="I5182" s="455">
        <f t="shared" ca="1" si="203"/>
        <v>-370630542403388.94</v>
      </c>
      <c r="J5182" s="455">
        <f t="array" ref="J5182">IFERROR(INDEX('Retirement Calculator'!J:J,MATCH('Isaac 401k'!N5182,'Retirement Calculator'!A:A,0),0),0)</f>
        <v>0</v>
      </c>
      <c r="K5182" s="455">
        <f t="shared" ca="1" si="201"/>
        <v>-1544293926680.7871</v>
      </c>
      <c r="L5182" s="455">
        <f t="shared" ca="1" si="202"/>
        <v>-372174836330069.75</v>
      </c>
      <c r="M5182" s="471">
        <f t="shared" si="204"/>
        <v>0.05</v>
      </c>
      <c r="N5182" s="475">
        <f t="shared" si="205"/>
        <v>208768</v>
      </c>
    </row>
    <row r="5183" spans="7:14" ht="11.25" customHeight="1" x14ac:dyDescent="0.3">
      <c r="G5183" s="470"/>
      <c r="H5183" s="470">
        <v>5176</v>
      </c>
      <c r="I5183" s="455">
        <f t="shared" ca="1" si="203"/>
        <v>-372174836330069.75</v>
      </c>
      <c r="J5183" s="455">
        <f t="array" ref="J5183">IFERROR(INDEX('Retirement Calculator'!J:J,MATCH('Isaac 401k'!N5183,'Retirement Calculator'!A:A,0),0),0)</f>
        <v>0</v>
      </c>
      <c r="K5183" s="455">
        <f t="shared" ca="1" si="201"/>
        <v>-1550728484708.624</v>
      </c>
      <c r="L5183" s="455">
        <f t="shared" ca="1" si="202"/>
        <v>-373725564814778.38</v>
      </c>
      <c r="M5183" s="471">
        <f t="shared" si="204"/>
        <v>0.05</v>
      </c>
      <c r="N5183" s="475">
        <f t="shared" si="205"/>
        <v>208799</v>
      </c>
    </row>
    <row r="5184" spans="7:14" ht="11.25" customHeight="1" x14ac:dyDescent="0.3">
      <c r="G5184" s="470"/>
      <c r="H5184" s="470">
        <v>5177</v>
      </c>
      <c r="I5184" s="455">
        <f t="shared" ca="1" si="203"/>
        <v>-373725564814778.38</v>
      </c>
      <c r="J5184" s="455">
        <f t="array" ref="J5184">IFERROR(INDEX('Retirement Calculator'!J:J,MATCH('Isaac 401k'!N5184,'Retirement Calculator'!A:A,0),0),0)</f>
        <v>0</v>
      </c>
      <c r="K5184" s="455">
        <f t="shared" ca="1" si="201"/>
        <v>-1557189853394.9099</v>
      </c>
      <c r="L5184" s="455">
        <f t="shared" ca="1" si="202"/>
        <v>-375282754668173.31</v>
      </c>
      <c r="M5184" s="471">
        <f t="shared" si="204"/>
        <v>0.05</v>
      </c>
      <c r="N5184" s="475">
        <f t="shared" si="205"/>
        <v>208829</v>
      </c>
    </row>
    <row r="5185" spans="7:14" ht="11.25" customHeight="1" x14ac:dyDescent="0.3">
      <c r="G5185" s="470"/>
      <c r="H5185" s="470">
        <v>5178</v>
      </c>
      <c r="I5185" s="455">
        <f t="shared" ca="1" si="203"/>
        <v>-375282754668173.31</v>
      </c>
      <c r="J5185" s="455">
        <f t="array" ref="J5185">IFERROR(INDEX('Retirement Calculator'!J:J,MATCH('Isaac 401k'!N5185,'Retirement Calculator'!A:A,0),0),0)</f>
        <v>0</v>
      </c>
      <c r="K5185" s="455">
        <f t="shared" ca="1" si="201"/>
        <v>-1563678144450.7222</v>
      </c>
      <c r="L5185" s="455">
        <f t="shared" ca="1" si="202"/>
        <v>-376846432812624.06</v>
      </c>
      <c r="M5185" s="471">
        <f t="shared" si="204"/>
        <v>0.05</v>
      </c>
      <c r="N5185" s="475">
        <f t="shared" si="205"/>
        <v>208860</v>
      </c>
    </row>
    <row r="5186" spans="7:14" ht="11.25" customHeight="1" x14ac:dyDescent="0.3">
      <c r="G5186" s="470"/>
      <c r="H5186" s="470">
        <v>5179</v>
      </c>
      <c r="I5186" s="455">
        <f t="shared" ca="1" si="203"/>
        <v>-376846432812624.06</v>
      </c>
      <c r="J5186" s="455">
        <f t="array" ref="J5186">IFERROR(INDEX('Retirement Calculator'!J:J,MATCH('Isaac 401k'!N5186,'Retirement Calculator'!A:A,0),0),0)</f>
        <v>0</v>
      </c>
      <c r="K5186" s="455">
        <f t="shared" ca="1" si="201"/>
        <v>-1570193470052.6003</v>
      </c>
      <c r="L5186" s="455">
        <f t="shared" ca="1" si="202"/>
        <v>-378416626282676.69</v>
      </c>
      <c r="M5186" s="471">
        <f t="shared" si="204"/>
        <v>0.05</v>
      </c>
      <c r="N5186" s="475">
        <f t="shared" si="205"/>
        <v>208890</v>
      </c>
    </row>
    <row r="5187" spans="7:14" ht="11.25" customHeight="1" x14ac:dyDescent="0.3">
      <c r="G5187" s="470"/>
      <c r="H5187" s="470">
        <v>5180</v>
      </c>
      <c r="I5187" s="455">
        <f t="shared" ca="1" si="203"/>
        <v>-378416626282676.69</v>
      </c>
      <c r="J5187" s="455">
        <f t="array" ref="J5187">IFERROR(INDEX('Retirement Calculator'!J:J,MATCH('Isaac 401k'!N5187,'Retirement Calculator'!A:A,0),0),0)</f>
        <v>0</v>
      </c>
      <c r="K5187" s="455">
        <f t="shared" ca="1" si="201"/>
        <v>-1576735942844.4861</v>
      </c>
      <c r="L5187" s="455">
        <f t="shared" ca="1" si="202"/>
        <v>-379993362225521.19</v>
      </c>
      <c r="M5187" s="471">
        <f t="shared" si="204"/>
        <v>0.05</v>
      </c>
      <c r="N5187" s="475">
        <f t="shared" si="205"/>
        <v>208921</v>
      </c>
    </row>
    <row r="5188" spans="7:14" ht="11.25" customHeight="1" x14ac:dyDescent="0.3">
      <c r="G5188" s="470"/>
      <c r="H5188" s="470">
        <v>5181</v>
      </c>
      <c r="I5188" s="455">
        <f t="shared" ca="1" si="203"/>
        <v>-379993362225521.19</v>
      </c>
      <c r="J5188" s="455">
        <f t="array" ref="J5188">IFERROR(INDEX('Retirement Calculator'!J:J,MATCH('Isaac 401k'!N5188,'Retirement Calculator'!A:A,0),0),0)</f>
        <v>0</v>
      </c>
      <c r="K5188" s="455">
        <f t="shared" ca="1" si="201"/>
        <v>-1583305675939.6716</v>
      </c>
      <c r="L5188" s="455">
        <f t="shared" ca="1" si="202"/>
        <v>-381576667901460.88</v>
      </c>
      <c r="M5188" s="471">
        <f t="shared" si="204"/>
        <v>0.05</v>
      </c>
      <c r="N5188" s="475">
        <f t="shared" si="205"/>
        <v>208952</v>
      </c>
    </row>
    <row r="5189" spans="7:14" ht="11.25" customHeight="1" x14ac:dyDescent="0.3">
      <c r="G5189" s="470"/>
      <c r="H5189" s="470">
        <v>5182</v>
      </c>
      <c r="I5189" s="455">
        <f t="shared" ca="1" si="203"/>
        <v>-381576667901460.88</v>
      </c>
      <c r="J5189" s="455">
        <f t="array" ref="J5189">IFERROR(INDEX('Retirement Calculator'!J:J,MATCH('Isaac 401k'!N5189,'Retirement Calculator'!A:A,0),0),0)</f>
        <v>0</v>
      </c>
      <c r="K5189" s="455">
        <f t="shared" ca="1" si="201"/>
        <v>-1589902782922.7537</v>
      </c>
      <c r="L5189" s="455">
        <f t="shared" ca="1" si="202"/>
        <v>-383166570684383.63</v>
      </c>
      <c r="M5189" s="471">
        <f t="shared" si="204"/>
        <v>0.05</v>
      </c>
      <c r="N5189" s="475">
        <f t="shared" si="205"/>
        <v>208981</v>
      </c>
    </row>
    <row r="5190" spans="7:14" ht="11.25" customHeight="1" x14ac:dyDescent="0.3">
      <c r="G5190" s="470"/>
      <c r="H5190" s="470">
        <v>5183</v>
      </c>
      <c r="I5190" s="455">
        <f t="shared" ca="1" si="203"/>
        <v>-383166570684383.63</v>
      </c>
      <c r="J5190" s="455">
        <f t="array" ref="J5190">IFERROR(INDEX('Retirement Calculator'!J:J,MATCH('Isaac 401k'!N5190,'Retirement Calculator'!A:A,0),0),0)</f>
        <v>0</v>
      </c>
      <c r="K5190" s="455">
        <f t="shared" ca="1" si="201"/>
        <v>-1596527377851.5984</v>
      </c>
      <c r="L5190" s="455">
        <f t="shared" ca="1" si="202"/>
        <v>-384763098062235.25</v>
      </c>
      <c r="M5190" s="471">
        <f t="shared" si="204"/>
        <v>0.05</v>
      </c>
      <c r="N5190" s="475">
        <f t="shared" si="205"/>
        <v>209012</v>
      </c>
    </row>
    <row r="5191" spans="7:14" ht="11.25" customHeight="1" x14ac:dyDescent="0.3">
      <c r="G5191" s="470"/>
      <c r="H5191" s="470">
        <v>5184</v>
      </c>
      <c r="I5191" s="455">
        <f t="shared" ca="1" si="203"/>
        <v>-384763098062235.25</v>
      </c>
      <c r="J5191" s="455">
        <f t="array" ref="J5191">IFERROR(INDEX('Retirement Calculator'!J:J,MATCH('Isaac 401k'!N5191,'Retirement Calculator'!A:A,0),0),0)</f>
        <v>0</v>
      </c>
      <c r="K5191" s="455">
        <f t="shared" ca="1" si="201"/>
        <v>-1603179575259.3135</v>
      </c>
      <c r="L5191" s="455">
        <f t="shared" ca="1" si="202"/>
        <v>-386366277637494.56</v>
      </c>
      <c r="M5191" s="471">
        <f t="shared" si="204"/>
        <v>0.05</v>
      </c>
      <c r="N5191" s="475">
        <f t="shared" si="205"/>
        <v>209042</v>
      </c>
    </row>
    <row r="5192" spans="7:14" ht="11.25" customHeight="1" x14ac:dyDescent="0.3">
      <c r="G5192" s="470"/>
      <c r="H5192" s="470">
        <v>5185</v>
      </c>
      <c r="I5192" s="455">
        <f t="shared" ca="1" si="203"/>
        <v>-386366277637494.56</v>
      </c>
      <c r="J5192" s="455">
        <f t="array" ref="J5192">IFERROR(INDEX('Retirement Calculator'!J:J,MATCH('Isaac 401k'!N5192,'Retirement Calculator'!A:A,0),0),0)</f>
        <v>0</v>
      </c>
      <c r="K5192" s="455">
        <f t="shared" ca="1" si="201"/>
        <v>-1609859490156.2273</v>
      </c>
      <c r="L5192" s="455">
        <f t="shared" ca="1" si="202"/>
        <v>-387976137127650.81</v>
      </c>
      <c r="M5192" s="471">
        <f t="shared" si="204"/>
        <v>0.05</v>
      </c>
      <c r="N5192" s="475">
        <f t="shared" si="205"/>
        <v>209073</v>
      </c>
    </row>
    <row r="5193" spans="7:14" ht="11.25" customHeight="1" x14ac:dyDescent="0.3">
      <c r="G5193" s="470"/>
      <c r="H5193" s="470">
        <v>5186</v>
      </c>
      <c r="I5193" s="455">
        <f t="shared" ca="1" si="203"/>
        <v>-387976137127650.81</v>
      </c>
      <c r="J5193" s="455">
        <f t="array" ref="J5193">IFERROR(INDEX('Retirement Calculator'!J:J,MATCH('Isaac 401k'!N5193,'Retirement Calculator'!A:A,0),0),0)</f>
        <v>0</v>
      </c>
      <c r="K5193" s="455">
        <f t="shared" ca="1" si="201"/>
        <v>-1616567238031.8784</v>
      </c>
      <c r="L5193" s="455">
        <f t="shared" ca="1" si="202"/>
        <v>-389592704365682.69</v>
      </c>
      <c r="M5193" s="471">
        <f t="shared" si="204"/>
        <v>0.05</v>
      </c>
      <c r="N5193" s="475">
        <f t="shared" si="205"/>
        <v>209103</v>
      </c>
    </row>
    <row r="5194" spans="7:14" ht="11.25" customHeight="1" x14ac:dyDescent="0.3">
      <c r="G5194" s="470"/>
      <c r="H5194" s="470">
        <v>5187</v>
      </c>
      <c r="I5194" s="455">
        <f t="shared" ca="1" si="203"/>
        <v>-389592704365682.69</v>
      </c>
      <c r="J5194" s="455">
        <f t="array" ref="J5194">IFERROR(INDEX('Retirement Calculator'!J:J,MATCH('Isaac 401k'!N5194,'Retirement Calculator'!A:A,0),0),0)</f>
        <v>0</v>
      </c>
      <c r="K5194" s="455">
        <f t="shared" ca="1" si="201"/>
        <v>-1623302934857.0112</v>
      </c>
      <c r="L5194" s="455">
        <f t="shared" ca="1" si="202"/>
        <v>-391216007300539.69</v>
      </c>
      <c r="M5194" s="471">
        <f t="shared" si="204"/>
        <v>0.05</v>
      </c>
      <c r="N5194" s="475">
        <f t="shared" si="205"/>
        <v>209134</v>
      </c>
    </row>
    <row r="5195" spans="7:14" ht="11.25" customHeight="1" x14ac:dyDescent="0.3">
      <c r="G5195" s="470"/>
      <c r="H5195" s="470">
        <v>5188</v>
      </c>
      <c r="I5195" s="455">
        <f t="shared" ca="1" si="203"/>
        <v>-391216007300539.69</v>
      </c>
      <c r="J5195" s="455">
        <f t="array" ref="J5195">IFERROR(INDEX('Retirement Calculator'!J:J,MATCH('Isaac 401k'!N5195,'Retirement Calculator'!A:A,0),0),0)</f>
        <v>0</v>
      </c>
      <c r="K5195" s="455">
        <f t="shared" ca="1" si="201"/>
        <v>-1630066697085.582</v>
      </c>
      <c r="L5195" s="455">
        <f t="shared" ca="1" si="202"/>
        <v>-392846073997625.25</v>
      </c>
      <c r="M5195" s="471">
        <f t="shared" si="204"/>
        <v>0.05</v>
      </c>
      <c r="N5195" s="475">
        <f t="shared" si="205"/>
        <v>209165</v>
      </c>
    </row>
    <row r="5196" spans="7:14" ht="11.25" customHeight="1" x14ac:dyDescent="0.3">
      <c r="G5196" s="470"/>
      <c r="H5196" s="470">
        <v>5189</v>
      </c>
      <c r="I5196" s="455">
        <f t="shared" ca="1" si="203"/>
        <v>-392846073997625.25</v>
      </c>
      <c r="J5196" s="455">
        <f t="array" ref="J5196">IFERROR(INDEX('Retirement Calculator'!J:J,MATCH('Isaac 401k'!N5196,'Retirement Calculator'!A:A,0),0),0)</f>
        <v>0</v>
      </c>
      <c r="K5196" s="455">
        <f t="shared" ca="1" si="201"/>
        <v>-1636858641656.772</v>
      </c>
      <c r="L5196" s="455">
        <f t="shared" ca="1" si="202"/>
        <v>-394482932639282</v>
      </c>
      <c r="M5196" s="471">
        <f t="shared" si="204"/>
        <v>0.05</v>
      </c>
      <c r="N5196" s="475">
        <f t="shared" si="205"/>
        <v>209195</v>
      </c>
    </row>
    <row r="5197" spans="7:14" ht="11.25" customHeight="1" x14ac:dyDescent="0.3">
      <c r="G5197" s="470"/>
      <c r="H5197" s="470">
        <v>5190</v>
      </c>
      <c r="I5197" s="455">
        <f t="shared" ca="1" si="203"/>
        <v>-394482932639282</v>
      </c>
      <c r="J5197" s="455">
        <f t="array" ref="J5197">IFERROR(INDEX('Retirement Calculator'!J:J,MATCH('Isaac 401k'!N5197,'Retirement Calculator'!A:A,0),0),0)</f>
        <v>0</v>
      </c>
      <c r="K5197" s="455">
        <f t="shared" ca="1" si="201"/>
        <v>-1643678885997.0083</v>
      </c>
      <c r="L5197" s="455">
        <f t="shared" ca="1" si="202"/>
        <v>-396126611525279</v>
      </c>
      <c r="M5197" s="471">
        <f t="shared" si="204"/>
        <v>0.05</v>
      </c>
      <c r="N5197" s="475">
        <f t="shared" si="205"/>
        <v>209226</v>
      </c>
    </row>
    <row r="5198" spans="7:14" ht="11.25" customHeight="1" x14ac:dyDescent="0.3">
      <c r="G5198" s="470"/>
      <c r="H5198" s="470">
        <v>5191</v>
      </c>
      <c r="I5198" s="455">
        <f t="shared" ca="1" si="203"/>
        <v>-396126611525279</v>
      </c>
      <c r="J5198" s="455">
        <f t="array" ref="J5198">IFERROR(INDEX('Retirement Calculator'!J:J,MATCH('Isaac 401k'!N5198,'Retirement Calculator'!A:A,0),0),0)</f>
        <v>0</v>
      </c>
      <c r="K5198" s="455">
        <f t="shared" ca="1" si="201"/>
        <v>-1650527548021.9958</v>
      </c>
      <c r="L5198" s="455">
        <f t="shared" ca="1" si="202"/>
        <v>-397777139073301</v>
      </c>
      <c r="M5198" s="471">
        <f t="shared" si="204"/>
        <v>0.05</v>
      </c>
      <c r="N5198" s="475">
        <f t="shared" si="205"/>
        <v>209256</v>
      </c>
    </row>
    <row r="5199" spans="7:14" ht="11.25" customHeight="1" x14ac:dyDescent="0.3">
      <c r="G5199" s="470"/>
      <c r="H5199" s="470">
        <v>5192</v>
      </c>
      <c r="I5199" s="455">
        <f t="shared" ca="1" si="203"/>
        <v>-397777139073301</v>
      </c>
      <c r="J5199" s="455">
        <f t="array" ref="J5199">IFERROR(INDEX('Retirement Calculator'!J:J,MATCH('Isaac 401k'!N5199,'Retirement Calculator'!A:A,0),0),0)</f>
        <v>0</v>
      </c>
      <c r="K5199" s="455">
        <f t="shared" ca="1" si="201"/>
        <v>-1657404746138.7542</v>
      </c>
      <c r="L5199" s="455">
        <f t="shared" ca="1" si="202"/>
        <v>-399434543819439.75</v>
      </c>
      <c r="M5199" s="471">
        <f t="shared" si="204"/>
        <v>0.05</v>
      </c>
      <c r="N5199" s="475">
        <f t="shared" si="205"/>
        <v>209287</v>
      </c>
    </row>
    <row r="5200" spans="7:14" ht="11.25" customHeight="1" x14ac:dyDescent="0.3">
      <c r="G5200" s="470"/>
      <c r="H5200" s="470">
        <v>5193</v>
      </c>
      <c r="I5200" s="455">
        <f t="shared" ca="1" si="203"/>
        <v>-399434543819439.75</v>
      </c>
      <c r="J5200" s="455">
        <f t="array" ref="J5200">IFERROR(INDEX('Retirement Calculator'!J:J,MATCH('Isaac 401k'!N5200,'Retirement Calculator'!A:A,0),0),0)</f>
        <v>0</v>
      </c>
      <c r="K5200" s="455">
        <f t="shared" ca="1" si="201"/>
        <v>-1664310599247.6655</v>
      </c>
      <c r="L5200" s="455">
        <f t="shared" ca="1" si="202"/>
        <v>-401098854418687.44</v>
      </c>
      <c r="M5200" s="471">
        <f t="shared" si="204"/>
        <v>0.05</v>
      </c>
      <c r="N5200" s="475">
        <f t="shared" si="205"/>
        <v>209318</v>
      </c>
    </row>
    <row r="5201" spans="7:14" ht="11.25" customHeight="1" x14ac:dyDescent="0.3">
      <c r="G5201" s="470"/>
      <c r="H5201" s="470">
        <v>5194</v>
      </c>
      <c r="I5201" s="455">
        <f t="shared" ca="1" si="203"/>
        <v>-401098854418687.44</v>
      </c>
      <c r="J5201" s="455">
        <f t="array" ref="J5201">IFERROR(INDEX('Retirement Calculator'!J:J,MATCH('Isaac 401k'!N5201,'Retirement Calculator'!A:A,0),0),0)</f>
        <v>0</v>
      </c>
      <c r="K5201" s="455">
        <f t="shared" ca="1" si="201"/>
        <v>-1671245226744.531</v>
      </c>
      <c r="L5201" s="455">
        <f t="shared" ca="1" si="202"/>
        <v>-402770099645431.94</v>
      </c>
      <c r="M5201" s="471">
        <f t="shared" si="204"/>
        <v>0.05</v>
      </c>
      <c r="N5201" s="475">
        <f t="shared" si="205"/>
        <v>209346</v>
      </c>
    </row>
    <row r="5202" spans="7:14" ht="11.25" customHeight="1" x14ac:dyDescent="0.3">
      <c r="G5202" s="470"/>
      <c r="H5202" s="470">
        <v>5195</v>
      </c>
      <c r="I5202" s="455">
        <f t="shared" ca="1" si="203"/>
        <v>-402770099645431.94</v>
      </c>
      <c r="J5202" s="455">
        <f t="array" ref="J5202">IFERROR(INDEX('Retirement Calculator'!J:J,MATCH('Isaac 401k'!N5202,'Retirement Calculator'!A:A,0),0),0)</f>
        <v>0</v>
      </c>
      <c r="K5202" s="455">
        <f t="shared" ca="1" si="201"/>
        <v>-1678208748522.6331</v>
      </c>
      <c r="L5202" s="455">
        <f t="shared" ca="1" si="202"/>
        <v>-404448308393954.56</v>
      </c>
      <c r="M5202" s="471">
        <f t="shared" si="204"/>
        <v>0.05</v>
      </c>
      <c r="N5202" s="475">
        <f t="shared" si="205"/>
        <v>209377</v>
      </c>
    </row>
    <row r="5203" spans="7:14" ht="11.25" customHeight="1" x14ac:dyDescent="0.3">
      <c r="G5203" s="470"/>
      <c r="H5203" s="470">
        <v>5196</v>
      </c>
      <c r="I5203" s="455">
        <f t="shared" ca="1" si="203"/>
        <v>-404448308393954.56</v>
      </c>
      <c r="J5203" s="455">
        <f t="array" ref="J5203">IFERROR(INDEX('Retirement Calculator'!J:J,MATCH('Isaac 401k'!N5203,'Retirement Calculator'!A:A,0),0),0)</f>
        <v>0</v>
      </c>
      <c r="K5203" s="455">
        <f t="shared" ca="1" si="201"/>
        <v>-1685201284974.8105</v>
      </c>
      <c r="L5203" s="455">
        <f t="shared" ca="1" si="202"/>
        <v>-406133509678929.38</v>
      </c>
      <c r="M5203" s="471">
        <f t="shared" si="204"/>
        <v>0.05</v>
      </c>
      <c r="N5203" s="475">
        <f t="shared" si="205"/>
        <v>209407</v>
      </c>
    </row>
    <row r="5204" spans="7:14" ht="11.25" customHeight="1" x14ac:dyDescent="0.3">
      <c r="G5204" s="470"/>
      <c r="H5204" s="470">
        <v>5197</v>
      </c>
      <c r="I5204" s="455">
        <f t="shared" ca="1" si="203"/>
        <v>-406133509678929.38</v>
      </c>
      <c r="J5204" s="455">
        <f t="array" ref="J5204">IFERROR(INDEX('Retirement Calculator'!J:J,MATCH('Isaac 401k'!N5204,'Retirement Calculator'!A:A,0),0),0)</f>
        <v>0</v>
      </c>
      <c r="K5204" s="455">
        <f t="shared" ca="1" si="201"/>
        <v>-1692222956995.5391</v>
      </c>
      <c r="L5204" s="455">
        <f t="shared" ca="1" si="202"/>
        <v>-407825732635924.94</v>
      </c>
      <c r="M5204" s="471">
        <f t="shared" si="204"/>
        <v>0.05</v>
      </c>
      <c r="N5204" s="475">
        <f t="shared" si="205"/>
        <v>209438</v>
      </c>
    </row>
    <row r="5205" spans="7:14" ht="11.25" customHeight="1" x14ac:dyDescent="0.3">
      <c r="G5205" s="470"/>
      <c r="H5205" s="470">
        <v>5198</v>
      </c>
      <c r="I5205" s="455">
        <f t="shared" ca="1" si="203"/>
        <v>-407825732635924.94</v>
      </c>
      <c r="J5205" s="455">
        <f t="array" ref="J5205">IFERROR(INDEX('Retirement Calculator'!J:J,MATCH('Isaac 401k'!N5205,'Retirement Calculator'!A:A,0),0),0)</f>
        <v>0</v>
      </c>
      <c r="K5205" s="455">
        <f t="shared" ca="1" si="201"/>
        <v>-1699273885983.0205</v>
      </c>
      <c r="L5205" s="455">
        <f t="shared" ca="1" si="202"/>
        <v>-409525006521907.94</v>
      </c>
      <c r="M5205" s="471">
        <f t="shared" si="204"/>
        <v>0.05</v>
      </c>
      <c r="N5205" s="475">
        <f t="shared" si="205"/>
        <v>209468</v>
      </c>
    </row>
    <row r="5206" spans="7:14" ht="11.25" customHeight="1" x14ac:dyDescent="0.3">
      <c r="G5206" s="470"/>
      <c r="H5206" s="470">
        <v>5199</v>
      </c>
      <c r="I5206" s="455">
        <f t="shared" ca="1" si="203"/>
        <v>-409525006521907.94</v>
      </c>
      <c r="J5206" s="455">
        <f t="array" ref="J5206">IFERROR(INDEX('Retirement Calculator'!J:J,MATCH('Isaac 401k'!N5206,'Retirement Calculator'!A:A,0),0),0)</f>
        <v>0</v>
      </c>
      <c r="K5206" s="455">
        <f t="shared" ca="1" si="201"/>
        <v>-1706354193841.283</v>
      </c>
      <c r="L5206" s="455">
        <f t="shared" ca="1" si="202"/>
        <v>-411231360715749.25</v>
      </c>
      <c r="M5206" s="471">
        <f t="shared" si="204"/>
        <v>0.05</v>
      </c>
      <c r="N5206" s="475">
        <f t="shared" si="205"/>
        <v>209499</v>
      </c>
    </row>
    <row r="5207" spans="7:14" ht="11.25" customHeight="1" x14ac:dyDescent="0.3">
      <c r="G5207" s="470"/>
      <c r="H5207" s="470">
        <v>5200</v>
      </c>
      <c r="I5207" s="455">
        <f t="shared" ca="1" si="203"/>
        <v>-411231360715749.25</v>
      </c>
      <c r="J5207" s="455">
        <f t="array" ref="J5207">IFERROR(INDEX('Retirement Calculator'!J:J,MATCH('Isaac 401k'!N5207,'Retirement Calculator'!A:A,0),0),0)</f>
        <v>0</v>
      </c>
      <c r="K5207" s="455">
        <f t="shared" ca="1" si="201"/>
        <v>-1713464002982.2886</v>
      </c>
      <c r="L5207" s="455">
        <f t="shared" ca="1" si="202"/>
        <v>-412944824718731.56</v>
      </c>
      <c r="M5207" s="471">
        <f t="shared" si="204"/>
        <v>0.05</v>
      </c>
      <c r="N5207" s="475">
        <f t="shared" si="205"/>
        <v>209530</v>
      </c>
    </row>
    <row r="5208" spans="7:14" ht="11.25" customHeight="1" x14ac:dyDescent="0.3">
      <c r="G5208" s="470"/>
      <c r="H5208" s="470">
        <v>5201</v>
      </c>
      <c r="I5208" s="455">
        <f t="shared" ca="1" si="203"/>
        <v>-412944824718731.56</v>
      </c>
      <c r="J5208" s="455">
        <f t="array" ref="J5208">IFERROR(INDEX('Retirement Calculator'!J:J,MATCH('Isaac 401k'!N5208,'Retirement Calculator'!A:A,0),0),0)</f>
        <v>0</v>
      </c>
      <c r="K5208" s="455">
        <f t="shared" ca="1" si="201"/>
        <v>-1720603436328.0481</v>
      </c>
      <c r="L5208" s="455">
        <f t="shared" ca="1" si="202"/>
        <v>-414665428155059.63</v>
      </c>
      <c r="M5208" s="471">
        <f t="shared" si="204"/>
        <v>0.05</v>
      </c>
      <c r="N5208" s="475">
        <f t="shared" si="205"/>
        <v>209560</v>
      </c>
    </row>
    <row r="5209" spans="7:14" ht="11.25" customHeight="1" x14ac:dyDescent="0.3">
      <c r="G5209" s="470"/>
      <c r="H5209" s="470">
        <v>5202</v>
      </c>
      <c r="I5209" s="455">
        <f t="shared" ca="1" si="203"/>
        <v>-414665428155059.63</v>
      </c>
      <c r="J5209" s="455">
        <f t="array" ref="J5209">IFERROR(INDEX('Retirement Calculator'!J:J,MATCH('Isaac 401k'!N5209,'Retirement Calculator'!A:A,0),0),0)</f>
        <v>0</v>
      </c>
      <c r="K5209" s="455">
        <f t="shared" ca="1" si="201"/>
        <v>-1727772617312.7485</v>
      </c>
      <c r="L5209" s="455">
        <f t="shared" ca="1" si="202"/>
        <v>-416393200772372.38</v>
      </c>
      <c r="M5209" s="471">
        <f t="shared" si="204"/>
        <v>0.05</v>
      </c>
      <c r="N5209" s="475">
        <f t="shared" si="205"/>
        <v>209591</v>
      </c>
    </row>
    <row r="5210" spans="7:14" ht="11.25" customHeight="1" x14ac:dyDescent="0.3">
      <c r="G5210" s="470"/>
      <c r="H5210" s="470">
        <v>5203</v>
      </c>
      <c r="I5210" s="455">
        <f t="shared" ca="1" si="203"/>
        <v>-416393200772372.38</v>
      </c>
      <c r="J5210" s="455">
        <f t="array" ref="J5210">IFERROR(INDEX('Retirement Calculator'!J:J,MATCH('Isaac 401k'!N5210,'Retirement Calculator'!A:A,0),0),0)</f>
        <v>0</v>
      </c>
      <c r="K5210" s="455">
        <f t="shared" ca="1" si="201"/>
        <v>-1734971669884.8848</v>
      </c>
      <c r="L5210" s="455">
        <f t="shared" ca="1" si="202"/>
        <v>-418128172442257.25</v>
      </c>
      <c r="M5210" s="471">
        <f t="shared" si="204"/>
        <v>0.05</v>
      </c>
      <c r="N5210" s="475">
        <f t="shared" si="205"/>
        <v>209621</v>
      </c>
    </row>
    <row r="5211" spans="7:14" ht="11.25" customHeight="1" x14ac:dyDescent="0.3">
      <c r="G5211" s="470"/>
      <c r="H5211" s="470">
        <v>5204</v>
      </c>
      <c r="I5211" s="455">
        <f t="shared" ca="1" si="203"/>
        <v>-418128172442257.25</v>
      </c>
      <c r="J5211" s="455">
        <f t="array" ref="J5211">IFERROR(INDEX('Retirement Calculator'!J:J,MATCH('Isaac 401k'!N5211,'Retirement Calculator'!A:A,0),0),0)</f>
        <v>0</v>
      </c>
      <c r="K5211" s="455">
        <f t="shared" ca="1" si="201"/>
        <v>-1742200718509.4053</v>
      </c>
      <c r="L5211" s="455">
        <f t="shared" ca="1" si="202"/>
        <v>-419870373160766.63</v>
      </c>
      <c r="M5211" s="471">
        <f t="shared" si="204"/>
        <v>0.05</v>
      </c>
      <c r="N5211" s="475">
        <f t="shared" si="205"/>
        <v>209652</v>
      </c>
    </row>
    <row r="5212" spans="7:14" ht="11.25" customHeight="1" x14ac:dyDescent="0.3">
      <c r="G5212" s="470"/>
      <c r="H5212" s="470">
        <v>5205</v>
      </c>
      <c r="I5212" s="455">
        <f t="shared" ca="1" si="203"/>
        <v>-419870373160766.63</v>
      </c>
      <c r="J5212" s="455">
        <f t="array" ref="J5212">IFERROR(INDEX('Retirement Calculator'!J:J,MATCH('Isaac 401k'!N5212,'Retirement Calculator'!A:A,0),0),0)</f>
        <v>0</v>
      </c>
      <c r="K5212" s="455">
        <f t="shared" ca="1" si="201"/>
        <v>-1749459888169.8608</v>
      </c>
      <c r="L5212" s="455">
        <f t="shared" ca="1" si="202"/>
        <v>-421619833048936.5</v>
      </c>
      <c r="M5212" s="471">
        <f t="shared" si="204"/>
        <v>0.05</v>
      </c>
      <c r="N5212" s="475">
        <f t="shared" si="205"/>
        <v>209683</v>
      </c>
    </row>
    <row r="5213" spans="7:14" ht="11.25" customHeight="1" x14ac:dyDescent="0.3">
      <c r="G5213" s="470"/>
      <c r="H5213" s="470">
        <v>5206</v>
      </c>
      <c r="I5213" s="455">
        <f t="shared" ca="1" si="203"/>
        <v>-421619833048936.5</v>
      </c>
      <c r="J5213" s="455">
        <f t="array" ref="J5213">IFERROR(INDEX('Retirement Calculator'!J:J,MATCH('Isaac 401k'!N5213,'Retirement Calculator'!A:A,0),0),0)</f>
        <v>0</v>
      </c>
      <c r="K5213" s="455">
        <f t="shared" ca="1" si="201"/>
        <v>-1756749304370.5688</v>
      </c>
      <c r="L5213" s="455">
        <f t="shared" ca="1" si="202"/>
        <v>-423376582353307.06</v>
      </c>
      <c r="M5213" s="471">
        <f t="shared" si="204"/>
        <v>0.05</v>
      </c>
      <c r="N5213" s="475">
        <f t="shared" si="205"/>
        <v>209711</v>
      </c>
    </row>
    <row r="5214" spans="7:14" ht="11.25" customHeight="1" x14ac:dyDescent="0.3">
      <c r="G5214" s="470"/>
      <c r="H5214" s="470">
        <v>5207</v>
      </c>
      <c r="I5214" s="455">
        <f t="shared" ca="1" si="203"/>
        <v>-423376582353307.06</v>
      </c>
      <c r="J5214" s="455">
        <f t="array" ref="J5214">IFERROR(INDEX('Retirement Calculator'!J:J,MATCH('Isaac 401k'!N5214,'Retirement Calculator'!A:A,0),0),0)</f>
        <v>0</v>
      </c>
      <c r="K5214" s="455">
        <f t="shared" ca="1" si="201"/>
        <v>-1764069093138.7793</v>
      </c>
      <c r="L5214" s="455">
        <f t="shared" ca="1" si="202"/>
        <v>-425140651446445.81</v>
      </c>
      <c r="M5214" s="471">
        <f t="shared" si="204"/>
        <v>0.05</v>
      </c>
      <c r="N5214" s="475">
        <f t="shared" si="205"/>
        <v>209742</v>
      </c>
    </row>
    <row r="5215" spans="7:14" ht="11.25" customHeight="1" x14ac:dyDescent="0.3">
      <c r="G5215" s="470"/>
      <c r="H5215" s="470">
        <v>5208</v>
      </c>
      <c r="I5215" s="455">
        <f t="shared" ca="1" si="203"/>
        <v>-425140651446445.81</v>
      </c>
      <c r="J5215" s="455">
        <f t="array" ref="J5215">IFERROR(INDEX('Retirement Calculator'!J:J,MATCH('Isaac 401k'!N5215,'Retirement Calculator'!A:A,0),0),0)</f>
        <v>0</v>
      </c>
      <c r="K5215" s="455">
        <f t="shared" ca="1" si="201"/>
        <v>-1771419381026.8574</v>
      </c>
      <c r="L5215" s="455">
        <f t="shared" ca="1" si="202"/>
        <v>-426912070827472.69</v>
      </c>
      <c r="M5215" s="471">
        <f t="shared" si="204"/>
        <v>0.05</v>
      </c>
      <c r="N5215" s="475">
        <f t="shared" si="205"/>
        <v>209772</v>
      </c>
    </row>
    <row r="5216" spans="7:14" ht="11.25" customHeight="1" x14ac:dyDescent="0.3">
      <c r="G5216" s="470"/>
      <c r="H5216" s="470">
        <v>5209</v>
      </c>
      <c r="I5216" s="455">
        <f t="shared" ca="1" si="203"/>
        <v>-426912070827472.69</v>
      </c>
      <c r="J5216" s="455">
        <f t="array" ref="J5216">IFERROR(INDEX('Retirement Calculator'!J:J,MATCH('Isaac 401k'!N5216,'Retirement Calculator'!A:A,0),0),0)</f>
        <v>0</v>
      </c>
      <c r="K5216" s="455">
        <f t="shared" ca="1" si="201"/>
        <v>-1778800295114.4695</v>
      </c>
      <c r="L5216" s="455">
        <f t="shared" ca="1" si="202"/>
        <v>-428690871122587.19</v>
      </c>
      <c r="M5216" s="471">
        <f t="shared" si="204"/>
        <v>0.05</v>
      </c>
      <c r="N5216" s="475">
        <f t="shared" si="205"/>
        <v>209803</v>
      </c>
    </row>
    <row r="5217" spans="7:14" ht="11.25" customHeight="1" x14ac:dyDescent="0.3">
      <c r="G5217" s="470"/>
      <c r="H5217" s="470">
        <v>5210</v>
      </c>
      <c r="I5217" s="455">
        <f t="shared" ca="1" si="203"/>
        <v>-428690871122587.19</v>
      </c>
      <c r="J5217" s="455">
        <f t="array" ref="J5217">IFERROR(INDEX('Retirement Calculator'!J:J,MATCH('Isaac 401k'!N5217,'Retirement Calculator'!A:A,0),0),0)</f>
        <v>0</v>
      </c>
      <c r="K5217" s="455">
        <f t="shared" ca="1" si="201"/>
        <v>-1786211963010.78</v>
      </c>
      <c r="L5217" s="455">
        <f t="shared" ca="1" si="202"/>
        <v>-430477083085597.94</v>
      </c>
      <c r="M5217" s="471">
        <f t="shared" si="204"/>
        <v>0.05</v>
      </c>
      <c r="N5217" s="475">
        <f t="shared" si="205"/>
        <v>209833</v>
      </c>
    </row>
    <row r="5218" spans="7:14" ht="11.25" customHeight="1" x14ac:dyDescent="0.3">
      <c r="G5218" s="470"/>
      <c r="H5218" s="470">
        <v>5211</v>
      </c>
      <c r="I5218" s="455">
        <f t="shared" ca="1" si="203"/>
        <v>-430477083085597.94</v>
      </c>
      <c r="J5218" s="455">
        <f t="array" ref="J5218">IFERROR(INDEX('Retirement Calculator'!J:J,MATCH('Isaac 401k'!N5218,'Retirement Calculator'!A:A,0),0),0)</f>
        <v>0</v>
      </c>
      <c r="K5218" s="455">
        <f t="shared" ca="1" si="201"/>
        <v>-1793654512856.658</v>
      </c>
      <c r="L5218" s="455">
        <f t="shared" ca="1" si="202"/>
        <v>-432270737598454.63</v>
      </c>
      <c r="M5218" s="471">
        <f t="shared" si="204"/>
        <v>0.05</v>
      </c>
      <c r="N5218" s="475">
        <f t="shared" si="205"/>
        <v>209864</v>
      </c>
    </row>
    <row r="5219" spans="7:14" ht="11.25" customHeight="1" x14ac:dyDescent="0.3">
      <c r="G5219" s="470"/>
      <c r="H5219" s="470">
        <v>5212</v>
      </c>
      <c r="I5219" s="455">
        <f t="shared" ca="1" si="203"/>
        <v>-432270737598454.63</v>
      </c>
      <c r="J5219" s="455">
        <f t="array" ref="J5219">IFERROR(INDEX('Retirement Calculator'!J:J,MATCH('Isaac 401k'!N5219,'Retirement Calculator'!A:A,0),0),0)</f>
        <v>0</v>
      </c>
      <c r="K5219" s="455">
        <f t="shared" ca="1" si="201"/>
        <v>-1801128073326.8943</v>
      </c>
      <c r="L5219" s="455">
        <f t="shared" ca="1" si="202"/>
        <v>-434071865671781.5</v>
      </c>
      <c r="M5219" s="471">
        <f t="shared" si="204"/>
        <v>0.05</v>
      </c>
      <c r="N5219" s="475">
        <f t="shared" si="205"/>
        <v>209895</v>
      </c>
    </row>
    <row r="5220" spans="7:14" ht="11.25" customHeight="1" x14ac:dyDescent="0.3">
      <c r="G5220" s="470"/>
      <c r="H5220" s="470">
        <v>5213</v>
      </c>
      <c r="I5220" s="455">
        <f t="shared" ca="1" si="203"/>
        <v>-434071865671781.5</v>
      </c>
      <c r="J5220" s="455">
        <f t="array" ref="J5220">IFERROR(INDEX('Retirement Calculator'!J:J,MATCH('Isaac 401k'!N5220,'Retirement Calculator'!A:A,0),0),0)</f>
        <v>0</v>
      </c>
      <c r="K5220" s="455">
        <f t="shared" ca="1" si="201"/>
        <v>-1808632773632.4229</v>
      </c>
      <c r="L5220" s="455">
        <f t="shared" ca="1" si="202"/>
        <v>-435880498445413.94</v>
      </c>
      <c r="M5220" s="471">
        <f t="shared" si="204"/>
        <v>0.05</v>
      </c>
      <c r="N5220" s="475">
        <f t="shared" si="205"/>
        <v>209925</v>
      </c>
    </row>
    <row r="5221" spans="7:14" ht="11.25" customHeight="1" x14ac:dyDescent="0.3">
      <c r="G5221" s="470"/>
      <c r="H5221" s="470">
        <v>5214</v>
      </c>
      <c r="I5221" s="455">
        <f t="shared" ca="1" si="203"/>
        <v>-435880498445413.94</v>
      </c>
      <c r="J5221" s="455">
        <f t="array" ref="J5221">IFERROR(INDEX('Retirement Calculator'!J:J,MATCH('Isaac 401k'!N5221,'Retirement Calculator'!A:A,0),0),0)</f>
        <v>0</v>
      </c>
      <c r="K5221" s="455">
        <f t="shared" ca="1" si="201"/>
        <v>-1816168743522.5581</v>
      </c>
      <c r="L5221" s="455">
        <f t="shared" ca="1" si="202"/>
        <v>-437696667188936.5</v>
      </c>
      <c r="M5221" s="471">
        <f t="shared" si="204"/>
        <v>0.05</v>
      </c>
      <c r="N5221" s="475">
        <f t="shared" si="205"/>
        <v>209956</v>
      </c>
    </row>
    <row r="5222" spans="7:14" ht="11.25" customHeight="1" x14ac:dyDescent="0.3">
      <c r="G5222" s="470"/>
      <c r="H5222" s="470">
        <v>5215</v>
      </c>
      <c r="I5222" s="455">
        <f t="shared" ca="1" si="203"/>
        <v>-437696667188936.5</v>
      </c>
      <c r="J5222" s="455">
        <f t="array" ref="J5222">IFERROR(INDEX('Retirement Calculator'!J:J,MATCH('Isaac 401k'!N5222,'Retirement Calculator'!A:A,0),0),0)</f>
        <v>0</v>
      </c>
      <c r="K5222" s="455">
        <f t="shared" ca="1" si="201"/>
        <v>-1823736113287.2354</v>
      </c>
      <c r="L5222" s="455">
        <f t="shared" ca="1" si="202"/>
        <v>-439520403302223.75</v>
      </c>
      <c r="M5222" s="471">
        <f t="shared" si="204"/>
        <v>0.05</v>
      </c>
      <c r="N5222" s="475">
        <f t="shared" si="205"/>
        <v>209986</v>
      </c>
    </row>
    <row r="5223" spans="7:14" ht="11.25" customHeight="1" x14ac:dyDescent="0.3">
      <c r="G5223" s="470"/>
      <c r="H5223" s="470">
        <v>5216</v>
      </c>
      <c r="I5223" s="455">
        <f t="shared" ca="1" si="203"/>
        <v>-439520403302223.75</v>
      </c>
      <c r="J5223" s="455">
        <f t="array" ref="J5223">IFERROR(INDEX('Retirement Calculator'!J:J,MATCH('Isaac 401k'!N5223,'Retirement Calculator'!A:A,0),0),0)</f>
        <v>0</v>
      </c>
      <c r="K5223" s="455">
        <f t="shared" ca="1" si="201"/>
        <v>-1831335013759.2656</v>
      </c>
      <c r="L5223" s="455">
        <f t="shared" ca="1" si="202"/>
        <v>-441351738315983</v>
      </c>
      <c r="M5223" s="471">
        <f t="shared" si="204"/>
        <v>0.05</v>
      </c>
      <c r="N5223" s="475">
        <f t="shared" si="205"/>
        <v>210017</v>
      </c>
    </row>
    <row r="5224" spans="7:14" ht="11.25" customHeight="1" x14ac:dyDescent="0.3">
      <c r="G5224" s="470"/>
      <c r="H5224" s="470">
        <v>5217</v>
      </c>
      <c r="I5224" s="455">
        <f t="shared" ca="1" si="203"/>
        <v>-441351738315983</v>
      </c>
      <c r="J5224" s="455">
        <f t="array" ref="J5224">IFERROR(INDEX('Retirement Calculator'!J:J,MATCH('Isaac 401k'!N5224,'Retirement Calculator'!A:A,0),0),0)</f>
        <v>0</v>
      </c>
      <c r="K5224" s="455">
        <f t="shared" ca="1" si="201"/>
        <v>-1838965576316.5957</v>
      </c>
      <c r="L5224" s="455">
        <f t="shared" ca="1" si="202"/>
        <v>-443190703892299.63</v>
      </c>
      <c r="M5224" s="471">
        <f t="shared" si="204"/>
        <v>0.05</v>
      </c>
      <c r="N5224" s="475">
        <f t="shared" si="205"/>
        <v>210048</v>
      </c>
    </row>
    <row r="5225" spans="7:14" ht="11.25" customHeight="1" x14ac:dyDescent="0.3">
      <c r="G5225" s="470"/>
      <c r="H5225" s="470">
        <v>5218</v>
      </c>
      <c r="I5225" s="455">
        <f t="shared" ca="1" si="203"/>
        <v>-443190703892299.63</v>
      </c>
      <c r="J5225" s="455">
        <f t="array" ref="J5225">IFERROR(INDEX('Retirement Calculator'!J:J,MATCH('Isaac 401k'!N5225,'Retirement Calculator'!A:A,0),0),0)</f>
        <v>0</v>
      </c>
      <c r="K5225" s="455">
        <f t="shared" ca="1" si="201"/>
        <v>-1846627932884.5818</v>
      </c>
      <c r="L5225" s="455">
        <f t="shared" ca="1" si="202"/>
        <v>-445037331825184.19</v>
      </c>
      <c r="M5225" s="471">
        <f t="shared" si="204"/>
        <v>0.05</v>
      </c>
      <c r="N5225" s="475">
        <f t="shared" si="205"/>
        <v>210076</v>
      </c>
    </row>
    <row r="5226" spans="7:14" ht="11.25" customHeight="1" x14ac:dyDescent="0.3">
      <c r="G5226" s="470"/>
      <c r="H5226" s="470">
        <v>5219</v>
      </c>
      <c r="I5226" s="455">
        <f t="shared" ca="1" si="203"/>
        <v>-445037331825184.19</v>
      </c>
      <c r="J5226" s="455">
        <f t="array" ref="J5226">IFERROR(INDEX('Retirement Calculator'!J:J,MATCH('Isaac 401k'!N5226,'Retirement Calculator'!A:A,0),0),0)</f>
        <v>0</v>
      </c>
      <c r="K5226" s="455">
        <f t="shared" ca="1" si="201"/>
        <v>-1854322215938.2673</v>
      </c>
      <c r="L5226" s="455">
        <f t="shared" ca="1" si="202"/>
        <v>-446891654041122.44</v>
      </c>
      <c r="M5226" s="471">
        <f t="shared" si="204"/>
        <v>0.05</v>
      </c>
      <c r="N5226" s="475">
        <f t="shared" si="205"/>
        <v>210107</v>
      </c>
    </row>
    <row r="5227" spans="7:14" ht="11.25" customHeight="1" x14ac:dyDescent="0.3">
      <c r="G5227" s="470"/>
      <c r="H5227" s="470">
        <v>5220</v>
      </c>
      <c r="I5227" s="455">
        <f t="shared" ca="1" si="203"/>
        <v>-446891654041122.44</v>
      </c>
      <c r="J5227" s="455">
        <f t="array" ref="J5227">IFERROR(INDEX('Retirement Calculator'!J:J,MATCH('Isaac 401k'!N5227,'Retirement Calculator'!A:A,0),0),0)</f>
        <v>0</v>
      </c>
      <c r="K5227" s="455">
        <f t="shared" ca="1" si="201"/>
        <v>-1862048558504.6768</v>
      </c>
      <c r="L5227" s="455">
        <f t="shared" ca="1" si="202"/>
        <v>-448753702599627.13</v>
      </c>
      <c r="M5227" s="471">
        <f t="shared" si="204"/>
        <v>0.05</v>
      </c>
      <c r="N5227" s="475">
        <f t="shared" si="205"/>
        <v>210137</v>
      </c>
    </row>
    <row r="5228" spans="7:14" ht="11.25" customHeight="1" x14ac:dyDescent="0.3">
      <c r="G5228" s="470"/>
      <c r="H5228" s="470">
        <v>5221</v>
      </c>
      <c r="I5228" s="455">
        <f t="shared" ca="1" si="203"/>
        <v>-448753702599627.13</v>
      </c>
      <c r="J5228" s="455">
        <f t="array" ref="J5228">IFERROR(INDEX('Retirement Calculator'!J:J,MATCH('Isaac 401k'!N5228,'Retirement Calculator'!A:A,0),0),0)</f>
        <v>0</v>
      </c>
      <c r="K5228" s="455">
        <f t="shared" ca="1" si="201"/>
        <v>-1869807094165.113</v>
      </c>
      <c r="L5228" s="455">
        <f t="shared" ca="1" si="202"/>
        <v>-450623509693792.25</v>
      </c>
      <c r="M5228" s="471">
        <f t="shared" si="204"/>
        <v>0.05</v>
      </c>
      <c r="N5228" s="475">
        <f t="shared" si="205"/>
        <v>210168</v>
      </c>
    </row>
    <row r="5229" spans="7:14" ht="11.25" customHeight="1" x14ac:dyDescent="0.3">
      <c r="G5229" s="470"/>
      <c r="H5229" s="470">
        <v>5222</v>
      </c>
      <c r="I5229" s="455">
        <f t="shared" ca="1" si="203"/>
        <v>-450623509693792.25</v>
      </c>
      <c r="J5229" s="455">
        <f t="array" ref="J5229">IFERROR(INDEX('Retirement Calculator'!J:J,MATCH('Isaac 401k'!N5229,'Retirement Calculator'!A:A,0),0),0)</f>
        <v>0</v>
      </c>
      <c r="K5229" s="455">
        <f t="shared" ca="1" si="201"/>
        <v>-1877597957057.4678</v>
      </c>
      <c r="L5229" s="455">
        <f t="shared" ca="1" si="202"/>
        <v>-452501107650849.69</v>
      </c>
      <c r="M5229" s="471">
        <f t="shared" si="204"/>
        <v>0.05</v>
      </c>
      <c r="N5229" s="475">
        <f t="shared" si="205"/>
        <v>210198</v>
      </c>
    </row>
    <row r="5230" spans="7:14" ht="11.25" customHeight="1" x14ac:dyDescent="0.3">
      <c r="G5230" s="470"/>
      <c r="H5230" s="470">
        <v>5223</v>
      </c>
      <c r="I5230" s="455">
        <f t="shared" ca="1" si="203"/>
        <v>-452501107650849.69</v>
      </c>
      <c r="J5230" s="455">
        <f t="array" ref="J5230">IFERROR(INDEX('Retirement Calculator'!J:J,MATCH('Isaac 401k'!N5230,'Retirement Calculator'!A:A,0),0),0)</f>
        <v>0</v>
      </c>
      <c r="K5230" s="455">
        <f t="shared" ca="1" si="201"/>
        <v>-1885421281878.5403</v>
      </c>
      <c r="L5230" s="455">
        <f t="shared" ca="1" si="202"/>
        <v>-454386528932728.25</v>
      </c>
      <c r="M5230" s="471">
        <f t="shared" si="204"/>
        <v>0.05</v>
      </c>
      <c r="N5230" s="475">
        <f t="shared" si="205"/>
        <v>210229</v>
      </c>
    </row>
    <row r="5231" spans="7:14" ht="11.25" customHeight="1" x14ac:dyDescent="0.3">
      <c r="G5231" s="470"/>
      <c r="H5231" s="470">
        <v>5224</v>
      </c>
      <c r="I5231" s="455">
        <f t="shared" ca="1" si="203"/>
        <v>-454386528932728.25</v>
      </c>
      <c r="J5231" s="455">
        <f t="array" ref="J5231">IFERROR(INDEX('Retirement Calculator'!J:J,MATCH('Isaac 401k'!N5231,'Retirement Calculator'!A:A,0),0),0)</f>
        <v>0</v>
      </c>
      <c r="K5231" s="455">
        <f t="shared" ca="1" si="201"/>
        <v>-1893277203886.3677</v>
      </c>
      <c r="L5231" s="455">
        <f t="shared" ca="1" si="202"/>
        <v>-456279806136614.63</v>
      </c>
      <c r="M5231" s="471">
        <f t="shared" si="204"/>
        <v>0.05</v>
      </c>
      <c r="N5231" s="475">
        <f t="shared" si="205"/>
        <v>210260</v>
      </c>
    </row>
    <row r="5232" spans="7:14" ht="11.25" customHeight="1" x14ac:dyDescent="0.3">
      <c r="G5232" s="470"/>
      <c r="H5232" s="470">
        <v>5225</v>
      </c>
      <c r="I5232" s="455">
        <f t="shared" ca="1" si="203"/>
        <v>-456279806136614.63</v>
      </c>
      <c r="J5232" s="455">
        <f t="array" ref="J5232">IFERROR(INDEX('Retirement Calculator'!J:J,MATCH('Isaac 401k'!N5232,'Retirement Calculator'!A:A,0),0),0)</f>
        <v>0</v>
      </c>
      <c r="K5232" s="455">
        <f t="shared" ca="1" si="201"/>
        <v>-1901165858902.5608</v>
      </c>
      <c r="L5232" s="455">
        <f t="shared" ca="1" si="202"/>
        <v>-458180971995517.19</v>
      </c>
      <c r="M5232" s="471">
        <f t="shared" si="204"/>
        <v>0.05</v>
      </c>
      <c r="N5232" s="475">
        <f t="shared" si="205"/>
        <v>210290</v>
      </c>
    </row>
    <row r="5233" spans="7:14" ht="11.25" customHeight="1" x14ac:dyDescent="0.3">
      <c r="G5233" s="470"/>
      <c r="H5233" s="470">
        <v>5226</v>
      </c>
      <c r="I5233" s="455">
        <f t="shared" ca="1" si="203"/>
        <v>-458180971995517.19</v>
      </c>
      <c r="J5233" s="455">
        <f t="array" ref="J5233">IFERROR(INDEX('Retirement Calculator'!J:J,MATCH('Isaac 401k'!N5233,'Retirement Calculator'!A:A,0),0),0)</f>
        <v>0</v>
      </c>
      <c r="K5233" s="455">
        <f t="shared" ca="1" si="201"/>
        <v>-1909087383314.6553</v>
      </c>
      <c r="L5233" s="455">
        <f t="shared" ca="1" si="202"/>
        <v>-460090059378831.81</v>
      </c>
      <c r="M5233" s="471">
        <f t="shared" si="204"/>
        <v>0.05</v>
      </c>
      <c r="N5233" s="475">
        <f t="shared" si="205"/>
        <v>210321</v>
      </c>
    </row>
    <row r="5234" spans="7:14" ht="11.25" customHeight="1" x14ac:dyDescent="0.3">
      <c r="G5234" s="470"/>
      <c r="H5234" s="470">
        <v>5227</v>
      </c>
      <c r="I5234" s="455">
        <f t="shared" ca="1" si="203"/>
        <v>-460090059378831.81</v>
      </c>
      <c r="J5234" s="455">
        <f t="array" ref="J5234">IFERROR(INDEX('Retirement Calculator'!J:J,MATCH('Isaac 401k'!N5234,'Retirement Calculator'!A:A,0),0),0)</f>
        <v>0</v>
      </c>
      <c r="K5234" s="455">
        <f t="shared" ca="1" si="201"/>
        <v>-1917041914078.4661</v>
      </c>
      <c r="L5234" s="455">
        <f t="shared" ca="1" si="202"/>
        <v>-462007101292910.25</v>
      </c>
      <c r="M5234" s="471">
        <f t="shared" si="204"/>
        <v>0.05</v>
      </c>
      <c r="N5234" s="475">
        <f t="shared" si="205"/>
        <v>210351</v>
      </c>
    </row>
    <row r="5235" spans="7:14" ht="11.25" customHeight="1" x14ac:dyDescent="0.3">
      <c r="G5235" s="470"/>
      <c r="H5235" s="470">
        <v>5228</v>
      </c>
      <c r="I5235" s="455">
        <f t="shared" ca="1" si="203"/>
        <v>-462007101292910.25</v>
      </c>
      <c r="J5235" s="455">
        <f t="array" ref="J5235">IFERROR(INDEX('Retirement Calculator'!J:J,MATCH('Isaac 401k'!N5235,'Retirement Calculator'!A:A,0),0),0)</f>
        <v>0</v>
      </c>
      <c r="K5235" s="455">
        <f t="shared" ca="1" si="201"/>
        <v>-1925029588720.4592</v>
      </c>
      <c r="L5235" s="455">
        <f t="shared" ca="1" si="202"/>
        <v>-463932130881630.69</v>
      </c>
      <c r="M5235" s="471">
        <f t="shared" si="204"/>
        <v>0.05</v>
      </c>
      <c r="N5235" s="475">
        <f t="shared" si="205"/>
        <v>210382</v>
      </c>
    </row>
    <row r="5236" spans="7:14" ht="11.25" customHeight="1" x14ac:dyDescent="0.3">
      <c r="G5236" s="470"/>
      <c r="H5236" s="470">
        <v>5229</v>
      </c>
      <c r="I5236" s="455">
        <f t="shared" ca="1" si="203"/>
        <v>-463932130881630.69</v>
      </c>
      <c r="J5236" s="455">
        <f t="array" ref="J5236">IFERROR(INDEX('Retirement Calculator'!J:J,MATCH('Isaac 401k'!N5236,'Retirement Calculator'!A:A,0),0),0)</f>
        <v>0</v>
      </c>
      <c r="K5236" s="455">
        <f t="shared" ca="1" si="201"/>
        <v>-1933050545340.1279</v>
      </c>
      <c r="L5236" s="455">
        <f t="shared" ca="1" si="202"/>
        <v>-465865181426970.81</v>
      </c>
      <c r="M5236" s="471">
        <f t="shared" si="204"/>
        <v>0.05</v>
      </c>
      <c r="N5236" s="475">
        <f t="shared" si="205"/>
        <v>210413</v>
      </c>
    </row>
    <row r="5237" spans="7:14" ht="11.25" customHeight="1" x14ac:dyDescent="0.3">
      <c r="G5237" s="470"/>
      <c r="H5237" s="470">
        <v>5230</v>
      </c>
      <c r="I5237" s="455">
        <f t="shared" ca="1" si="203"/>
        <v>-465865181426970.81</v>
      </c>
      <c r="J5237" s="455">
        <f t="array" ref="J5237">IFERROR(INDEX('Retirement Calculator'!J:J,MATCH('Isaac 401k'!N5237,'Retirement Calculator'!A:A,0),0),0)</f>
        <v>0</v>
      </c>
      <c r="K5237" s="455">
        <f t="shared" ca="1" si="201"/>
        <v>-1941104922612.3784</v>
      </c>
      <c r="L5237" s="455">
        <f t="shared" ca="1" si="202"/>
        <v>-467806286349583.19</v>
      </c>
      <c r="M5237" s="471">
        <f t="shared" si="204"/>
        <v>0.05</v>
      </c>
      <c r="N5237" s="475">
        <f t="shared" si="205"/>
        <v>210442</v>
      </c>
    </row>
    <row r="5238" spans="7:14" ht="11.25" customHeight="1" x14ac:dyDescent="0.3">
      <c r="G5238" s="470"/>
      <c r="H5238" s="470">
        <v>5231</v>
      </c>
      <c r="I5238" s="455">
        <f t="shared" ca="1" si="203"/>
        <v>-467806286349583.19</v>
      </c>
      <c r="J5238" s="455">
        <f t="array" ref="J5238">IFERROR(INDEX('Retirement Calculator'!J:J,MATCH('Isaac 401k'!N5238,'Retirement Calculator'!A:A,0),0),0)</f>
        <v>0</v>
      </c>
      <c r="K5238" s="455">
        <f t="shared" ca="1" si="201"/>
        <v>-1949192859789.9299</v>
      </c>
      <c r="L5238" s="455">
        <f t="shared" ca="1" si="202"/>
        <v>-469755479209373.13</v>
      </c>
      <c r="M5238" s="471">
        <f t="shared" si="204"/>
        <v>0.05</v>
      </c>
      <c r="N5238" s="475">
        <f t="shared" si="205"/>
        <v>210473</v>
      </c>
    </row>
    <row r="5239" spans="7:14" ht="11.25" customHeight="1" x14ac:dyDescent="0.3">
      <c r="G5239" s="470"/>
      <c r="H5239" s="470">
        <v>5232</v>
      </c>
      <c r="I5239" s="455">
        <f t="shared" ca="1" si="203"/>
        <v>-469755479209373.13</v>
      </c>
      <c r="J5239" s="455">
        <f t="array" ref="J5239">IFERROR(INDEX('Retirement Calculator'!J:J,MATCH('Isaac 401k'!N5239,'Retirement Calculator'!A:A,0),0),0)</f>
        <v>0</v>
      </c>
      <c r="K5239" s="455">
        <f t="shared" ca="1" si="201"/>
        <v>-1957314496705.7214</v>
      </c>
      <c r="L5239" s="455">
        <f t="shared" ca="1" si="202"/>
        <v>-471712793706078.88</v>
      </c>
      <c r="M5239" s="471">
        <f t="shared" si="204"/>
        <v>0.05</v>
      </c>
      <c r="N5239" s="475">
        <f t="shared" si="205"/>
        <v>210503</v>
      </c>
    </row>
    <row r="5240" spans="7:14" ht="11.25" customHeight="1" x14ac:dyDescent="0.3">
      <c r="G5240" s="470"/>
      <c r="H5240" s="470">
        <v>5233</v>
      </c>
      <c r="I5240" s="455">
        <f t="shared" ca="1" si="203"/>
        <v>-471712793706078.88</v>
      </c>
      <c r="J5240" s="455">
        <f t="array" ref="J5240">IFERROR(INDEX('Retirement Calculator'!J:J,MATCH('Isaac 401k'!N5240,'Retirement Calculator'!A:A,0),0),0)</f>
        <v>0</v>
      </c>
      <c r="K5240" s="455">
        <f t="shared" ca="1" si="201"/>
        <v>-1965469973775.3286</v>
      </c>
      <c r="L5240" s="455">
        <f t="shared" ca="1" si="202"/>
        <v>-473678263679854.19</v>
      </c>
      <c r="M5240" s="471">
        <f t="shared" si="204"/>
        <v>0.05</v>
      </c>
      <c r="N5240" s="475">
        <f t="shared" si="205"/>
        <v>210534</v>
      </c>
    </row>
    <row r="5241" spans="7:14" ht="11.25" customHeight="1" x14ac:dyDescent="0.3">
      <c r="G5241" s="470"/>
      <c r="H5241" s="470">
        <v>5234</v>
      </c>
      <c r="I5241" s="455">
        <f t="shared" ca="1" si="203"/>
        <v>-473678263679854.19</v>
      </c>
      <c r="J5241" s="455">
        <f t="array" ref="J5241">IFERROR(INDEX('Retirement Calculator'!J:J,MATCH('Isaac 401k'!N5241,'Retirement Calculator'!A:A,0),0),0)</f>
        <v>0</v>
      </c>
      <c r="K5241" s="455">
        <f t="shared" ca="1" si="201"/>
        <v>-1973659431999.3923</v>
      </c>
      <c r="L5241" s="455">
        <f t="shared" ca="1" si="202"/>
        <v>-475651923111853.56</v>
      </c>
      <c r="M5241" s="471">
        <f t="shared" si="204"/>
        <v>0.05</v>
      </c>
      <c r="N5241" s="475">
        <f t="shared" si="205"/>
        <v>210564</v>
      </c>
    </row>
    <row r="5242" spans="7:14" ht="11.25" customHeight="1" x14ac:dyDescent="0.3">
      <c r="G5242" s="470"/>
      <c r="H5242" s="470">
        <v>5235</v>
      </c>
      <c r="I5242" s="455">
        <f t="shared" ca="1" si="203"/>
        <v>-475651923111853.56</v>
      </c>
      <c r="J5242" s="455">
        <f t="array" ref="J5242">IFERROR(INDEX('Retirement Calculator'!J:J,MATCH('Isaac 401k'!N5242,'Retirement Calculator'!A:A,0),0),0)</f>
        <v>0</v>
      </c>
      <c r="K5242" s="455">
        <f t="shared" ca="1" si="201"/>
        <v>-1981883012966.0566</v>
      </c>
      <c r="L5242" s="455">
        <f t="shared" ca="1" si="202"/>
        <v>-477633806124819.63</v>
      </c>
      <c r="M5242" s="471">
        <f t="shared" si="204"/>
        <v>0.05</v>
      </c>
      <c r="N5242" s="475">
        <f t="shared" si="205"/>
        <v>210595</v>
      </c>
    </row>
    <row r="5243" spans="7:14" ht="11.25" customHeight="1" x14ac:dyDescent="0.3">
      <c r="G5243" s="470"/>
      <c r="H5243" s="470">
        <v>5236</v>
      </c>
      <c r="I5243" s="455">
        <f t="shared" ca="1" si="203"/>
        <v>-477633806124819.63</v>
      </c>
      <c r="J5243" s="455">
        <f t="array" ref="J5243">IFERROR(INDEX('Retirement Calculator'!J:J,MATCH('Isaac 401k'!N5243,'Retirement Calculator'!A:A,0),0),0)</f>
        <v>0</v>
      </c>
      <c r="K5243" s="455">
        <f t="shared" ca="1" si="201"/>
        <v>-1990140858853.415</v>
      </c>
      <c r="L5243" s="455">
        <f t="shared" ca="1" si="202"/>
        <v>-479623946983673.06</v>
      </c>
      <c r="M5243" s="471">
        <f t="shared" si="204"/>
        <v>0.05</v>
      </c>
      <c r="N5243" s="475">
        <f t="shared" si="205"/>
        <v>210626</v>
      </c>
    </row>
    <row r="5244" spans="7:14" ht="11.25" customHeight="1" x14ac:dyDescent="0.3">
      <c r="G5244" s="470"/>
      <c r="H5244" s="470">
        <v>5237</v>
      </c>
      <c r="I5244" s="455">
        <f t="shared" ca="1" si="203"/>
        <v>-479623946983673.06</v>
      </c>
      <c r="J5244" s="455">
        <f t="array" ref="J5244">IFERROR(INDEX('Retirement Calculator'!J:J,MATCH('Isaac 401k'!N5244,'Retirement Calculator'!A:A,0),0),0)</f>
        <v>0</v>
      </c>
      <c r="K5244" s="455">
        <f t="shared" ca="1" si="201"/>
        <v>-1998433112431.9709</v>
      </c>
      <c r="L5244" s="455">
        <f t="shared" ca="1" si="202"/>
        <v>-481622380096105.06</v>
      </c>
      <c r="M5244" s="471">
        <f t="shared" si="204"/>
        <v>0.05</v>
      </c>
      <c r="N5244" s="475">
        <f t="shared" si="205"/>
        <v>210656</v>
      </c>
    </row>
    <row r="5245" spans="7:14" ht="11.25" customHeight="1" x14ac:dyDescent="0.3">
      <c r="G5245" s="470"/>
      <c r="H5245" s="470">
        <v>5238</v>
      </c>
      <c r="I5245" s="455">
        <f t="shared" ca="1" si="203"/>
        <v>-481622380096105.06</v>
      </c>
      <c r="J5245" s="455">
        <f t="array" ref="J5245">IFERROR(INDEX('Retirement Calculator'!J:J,MATCH('Isaac 401k'!N5245,'Retirement Calculator'!A:A,0),0),0)</f>
        <v>0</v>
      </c>
      <c r="K5245" s="455">
        <f t="shared" ca="1" si="201"/>
        <v>-2006759917067.1045</v>
      </c>
      <c r="L5245" s="455">
        <f t="shared" ca="1" si="202"/>
        <v>-483629140013172.19</v>
      </c>
      <c r="M5245" s="471">
        <f t="shared" si="204"/>
        <v>0.05</v>
      </c>
      <c r="N5245" s="475">
        <f t="shared" si="205"/>
        <v>210687</v>
      </c>
    </row>
    <row r="5246" spans="7:14" ht="11.25" customHeight="1" x14ac:dyDescent="0.3">
      <c r="G5246" s="470"/>
      <c r="H5246" s="470">
        <v>5239</v>
      </c>
      <c r="I5246" s="455">
        <f t="shared" ca="1" si="203"/>
        <v>-483629140013172.19</v>
      </c>
      <c r="J5246" s="455">
        <f t="array" ref="J5246">IFERROR(INDEX('Retirement Calculator'!J:J,MATCH('Isaac 401k'!N5246,'Retirement Calculator'!A:A,0),0),0)</f>
        <v>0</v>
      </c>
      <c r="K5246" s="455">
        <f t="shared" ca="1" si="201"/>
        <v>-2015121416721.5508</v>
      </c>
      <c r="L5246" s="455">
        <f t="shared" ca="1" si="202"/>
        <v>-485644261429893.75</v>
      </c>
      <c r="M5246" s="471">
        <f t="shared" si="204"/>
        <v>0.05</v>
      </c>
      <c r="N5246" s="475">
        <f t="shared" si="205"/>
        <v>210717</v>
      </c>
    </row>
    <row r="5247" spans="7:14" ht="11.25" customHeight="1" x14ac:dyDescent="0.3">
      <c r="G5247" s="470"/>
      <c r="H5247" s="470">
        <v>5240</v>
      </c>
      <c r="I5247" s="455">
        <f t="shared" ca="1" si="203"/>
        <v>-485644261429893.75</v>
      </c>
      <c r="J5247" s="455">
        <f t="array" ref="J5247">IFERROR(INDEX('Retirement Calculator'!J:J,MATCH('Isaac 401k'!N5247,'Retirement Calculator'!A:A,0),0),0)</f>
        <v>0</v>
      </c>
      <c r="K5247" s="455">
        <f t="shared" ca="1" si="201"/>
        <v>-2023517755957.8906</v>
      </c>
      <c r="L5247" s="455">
        <f t="shared" ca="1" si="202"/>
        <v>-487667779185851.63</v>
      </c>
      <c r="M5247" s="471">
        <f t="shared" si="204"/>
        <v>0.05</v>
      </c>
      <c r="N5247" s="475">
        <f t="shared" si="205"/>
        <v>210748</v>
      </c>
    </row>
    <row r="5248" spans="7:14" ht="11.25" customHeight="1" x14ac:dyDescent="0.3">
      <c r="G5248" s="470"/>
      <c r="H5248" s="470">
        <v>5241</v>
      </c>
      <c r="I5248" s="455">
        <f t="shared" ca="1" si="203"/>
        <v>-487667779185851.63</v>
      </c>
      <c r="J5248" s="455">
        <f t="array" ref="J5248">IFERROR(INDEX('Retirement Calculator'!J:J,MATCH('Isaac 401k'!N5248,'Retirement Calculator'!A:A,0),0),0)</f>
        <v>0</v>
      </c>
      <c r="K5248" s="455">
        <f t="shared" ca="1" si="201"/>
        <v>-2031949079941.0483</v>
      </c>
      <c r="L5248" s="455">
        <f t="shared" ca="1" si="202"/>
        <v>-489699728265792.69</v>
      </c>
      <c r="M5248" s="471">
        <f t="shared" si="204"/>
        <v>0.05</v>
      </c>
      <c r="N5248" s="475">
        <f t="shared" si="205"/>
        <v>210779</v>
      </c>
    </row>
    <row r="5249" spans="7:14" ht="11.25" customHeight="1" x14ac:dyDescent="0.3">
      <c r="G5249" s="470"/>
      <c r="H5249" s="470">
        <v>5242</v>
      </c>
      <c r="I5249" s="455">
        <f t="shared" ca="1" si="203"/>
        <v>-489699728265792.69</v>
      </c>
      <c r="J5249" s="455">
        <f t="array" ref="J5249">IFERROR(INDEX('Retirement Calculator'!J:J,MATCH('Isaac 401k'!N5249,'Retirement Calculator'!A:A,0),0),0)</f>
        <v>0</v>
      </c>
      <c r="K5249" s="455">
        <f t="shared" ca="1" si="201"/>
        <v>-2040415534440.8027</v>
      </c>
      <c r="L5249" s="455">
        <f t="shared" ca="1" si="202"/>
        <v>-491740143800233.5</v>
      </c>
      <c r="M5249" s="471">
        <f t="shared" si="204"/>
        <v>0.05</v>
      </c>
      <c r="N5249" s="475">
        <f t="shared" si="205"/>
        <v>210807</v>
      </c>
    </row>
    <row r="5250" spans="7:14" ht="11.25" customHeight="1" x14ac:dyDescent="0.3">
      <c r="G5250" s="470"/>
      <c r="H5250" s="470">
        <v>5243</v>
      </c>
      <c r="I5250" s="455">
        <f t="shared" ca="1" si="203"/>
        <v>-491740143800233.5</v>
      </c>
      <c r="J5250" s="455">
        <f t="array" ref="J5250">IFERROR(INDEX('Retirement Calculator'!J:J,MATCH('Isaac 401k'!N5250,'Retirement Calculator'!A:A,0),0),0)</f>
        <v>0</v>
      </c>
      <c r="K5250" s="455">
        <f t="shared" ca="1" si="201"/>
        <v>-2048917265834.3064</v>
      </c>
      <c r="L5250" s="455">
        <f t="shared" ca="1" si="202"/>
        <v>-493789061066067.81</v>
      </c>
      <c r="M5250" s="471">
        <f t="shared" si="204"/>
        <v>0.05</v>
      </c>
      <c r="N5250" s="475">
        <f t="shared" si="205"/>
        <v>210838</v>
      </c>
    </row>
    <row r="5251" spans="7:14" ht="11.25" customHeight="1" x14ac:dyDescent="0.3">
      <c r="G5251" s="470"/>
      <c r="H5251" s="470">
        <v>5244</v>
      </c>
      <c r="I5251" s="455">
        <f t="shared" ca="1" si="203"/>
        <v>-493789061066067.81</v>
      </c>
      <c r="J5251" s="455">
        <f t="array" ref="J5251">IFERROR(INDEX('Retirement Calculator'!J:J,MATCH('Isaac 401k'!N5251,'Retirement Calculator'!A:A,0),0),0)</f>
        <v>0</v>
      </c>
      <c r="K5251" s="455">
        <f t="shared" ca="1" si="201"/>
        <v>-2057454421108.616</v>
      </c>
      <c r="L5251" s="455">
        <f t="shared" ca="1" si="202"/>
        <v>-495846515487176.44</v>
      </c>
      <c r="M5251" s="471">
        <f t="shared" si="204"/>
        <v>0.05</v>
      </c>
      <c r="N5251" s="475">
        <f t="shared" si="205"/>
        <v>210868</v>
      </c>
    </row>
    <row r="5252" spans="7:14" ht="11.25" customHeight="1" x14ac:dyDescent="0.3">
      <c r="G5252" s="470"/>
      <c r="H5252" s="470">
        <v>5245</v>
      </c>
      <c r="I5252" s="455">
        <f t="shared" ca="1" si="203"/>
        <v>-495846515487176.44</v>
      </c>
      <c r="J5252" s="455">
        <f t="array" ref="J5252">IFERROR(INDEX('Retirement Calculator'!J:J,MATCH('Isaac 401k'!N5252,'Retirement Calculator'!A:A,0),0),0)</f>
        <v>0</v>
      </c>
      <c r="K5252" s="455">
        <f t="shared" ca="1" si="201"/>
        <v>-2066027147863.2351</v>
      </c>
      <c r="L5252" s="455">
        <f t="shared" ca="1" si="202"/>
        <v>-497912542635039.69</v>
      </c>
      <c r="M5252" s="471">
        <f t="shared" si="204"/>
        <v>0.05</v>
      </c>
      <c r="N5252" s="475">
        <f t="shared" si="205"/>
        <v>210899</v>
      </c>
    </row>
    <row r="5253" spans="7:14" ht="11.25" customHeight="1" x14ac:dyDescent="0.3">
      <c r="G5253" s="470"/>
      <c r="H5253" s="470">
        <v>5246</v>
      </c>
      <c r="I5253" s="455">
        <f t="shared" ca="1" si="203"/>
        <v>-497912542635039.69</v>
      </c>
      <c r="J5253" s="455">
        <f t="array" ref="J5253">IFERROR(INDEX('Retirement Calculator'!J:J,MATCH('Isaac 401k'!N5253,'Retirement Calculator'!A:A,0),0),0)</f>
        <v>0</v>
      </c>
      <c r="K5253" s="455">
        <f t="shared" ca="1" si="201"/>
        <v>-2074635594312.6653</v>
      </c>
      <c r="L5253" s="455">
        <f t="shared" ca="1" si="202"/>
        <v>-499987178229352.38</v>
      </c>
      <c r="M5253" s="471">
        <f t="shared" si="204"/>
        <v>0.05</v>
      </c>
      <c r="N5253" s="475">
        <f t="shared" si="205"/>
        <v>210929</v>
      </c>
    </row>
    <row r="5254" spans="7:14" ht="11.25" customHeight="1" x14ac:dyDescent="0.3">
      <c r="G5254" s="470"/>
      <c r="H5254" s="470">
        <v>5247</v>
      </c>
      <c r="I5254" s="455">
        <f t="shared" ca="1" si="203"/>
        <v>-499987178229352.38</v>
      </c>
      <c r="J5254" s="455">
        <f t="array" ref="J5254">IFERROR(INDEX('Retirement Calculator'!J:J,MATCH('Isaac 401k'!N5254,'Retirement Calculator'!A:A,0),0),0)</f>
        <v>0</v>
      </c>
      <c r="K5254" s="455">
        <f t="shared" ca="1" si="201"/>
        <v>-2083279909288.9683</v>
      </c>
      <c r="L5254" s="455">
        <f t="shared" ca="1" si="202"/>
        <v>-502070458138641.31</v>
      </c>
      <c r="M5254" s="471">
        <f t="shared" si="204"/>
        <v>0.05</v>
      </c>
      <c r="N5254" s="475">
        <f t="shared" si="205"/>
        <v>210960</v>
      </c>
    </row>
    <row r="5255" spans="7:14" ht="11.25" customHeight="1" x14ac:dyDescent="0.3">
      <c r="G5255" s="470"/>
      <c r="H5255" s="470">
        <v>5248</v>
      </c>
      <c r="I5255" s="455">
        <f t="shared" ca="1" si="203"/>
        <v>-502070458138641.31</v>
      </c>
      <c r="J5255" s="455">
        <f t="array" ref="J5255">IFERROR(INDEX('Retirement Calculator'!J:J,MATCH('Isaac 401k'!N5255,'Retirement Calculator'!A:A,0),0),0)</f>
        <v>0</v>
      </c>
      <c r="K5255" s="455">
        <f t="shared" ca="1" si="201"/>
        <v>-2091960242244.3389</v>
      </c>
      <c r="L5255" s="455">
        <f t="shared" ca="1" si="202"/>
        <v>-504162418380885.63</v>
      </c>
      <c r="M5255" s="471">
        <f t="shared" si="204"/>
        <v>0.05</v>
      </c>
      <c r="N5255" s="475">
        <f t="shared" si="205"/>
        <v>210991</v>
      </c>
    </row>
    <row r="5256" spans="7:14" ht="11.25" customHeight="1" x14ac:dyDescent="0.3">
      <c r="G5256" s="470"/>
      <c r="H5256" s="470">
        <v>5249</v>
      </c>
      <c r="I5256" s="455">
        <f t="shared" ca="1" si="203"/>
        <v>-504162418380885.63</v>
      </c>
      <c r="J5256" s="455">
        <f t="array" ref="J5256">IFERROR(INDEX('Retirement Calculator'!J:J,MATCH('Isaac 401k'!N5256,'Retirement Calculator'!A:A,0),0),0)</f>
        <v>0</v>
      </c>
      <c r="K5256" s="455">
        <f t="shared" ca="1" si="201"/>
        <v>-2100676743253.6897</v>
      </c>
      <c r="L5256" s="455">
        <f t="shared" ca="1" si="202"/>
        <v>-506263095124139.31</v>
      </c>
      <c r="M5256" s="471">
        <f t="shared" si="204"/>
        <v>0.05</v>
      </c>
      <c r="N5256" s="475">
        <f t="shared" si="205"/>
        <v>211021</v>
      </c>
    </row>
    <row r="5257" spans="7:14" ht="11.25" customHeight="1" x14ac:dyDescent="0.3">
      <c r="G5257" s="470"/>
      <c r="H5257" s="470">
        <v>5250</v>
      </c>
      <c r="I5257" s="455">
        <f t="shared" ca="1" si="203"/>
        <v>-506263095124139.31</v>
      </c>
      <c r="J5257" s="455">
        <f t="array" ref="J5257">IFERROR(INDEX('Retirement Calculator'!J:J,MATCH('Isaac 401k'!N5257,'Retirement Calculator'!A:A,0),0),0)</f>
        <v>0</v>
      </c>
      <c r="K5257" s="455">
        <f t="shared" ca="1" si="201"/>
        <v>-2109429563017.2471</v>
      </c>
      <c r="L5257" s="455">
        <f t="shared" ca="1" si="202"/>
        <v>-508372524687156.56</v>
      </c>
      <c r="M5257" s="471">
        <f t="shared" si="204"/>
        <v>0.05</v>
      </c>
      <c r="N5257" s="475">
        <f t="shared" si="205"/>
        <v>211052</v>
      </c>
    </row>
    <row r="5258" spans="7:14" ht="11.25" customHeight="1" x14ac:dyDescent="0.3">
      <c r="G5258" s="470"/>
      <c r="H5258" s="470">
        <v>5251</v>
      </c>
      <c r="I5258" s="455">
        <f t="shared" ca="1" si="203"/>
        <v>-508372524687156.56</v>
      </c>
      <c r="J5258" s="455">
        <f t="array" ref="J5258">IFERROR(INDEX('Retirement Calculator'!J:J,MATCH('Isaac 401k'!N5258,'Retirement Calculator'!A:A,0),0),0)</f>
        <v>0</v>
      </c>
      <c r="K5258" s="455">
        <f t="shared" ca="1" si="201"/>
        <v>-2118218852863.1521</v>
      </c>
      <c r="L5258" s="455">
        <f t="shared" ca="1" si="202"/>
        <v>-510490743540019.69</v>
      </c>
      <c r="M5258" s="471">
        <f t="shared" si="204"/>
        <v>0.05</v>
      </c>
      <c r="N5258" s="475">
        <f t="shared" si="205"/>
        <v>211082</v>
      </c>
    </row>
    <row r="5259" spans="7:14" ht="11.25" customHeight="1" x14ac:dyDescent="0.3">
      <c r="G5259" s="470"/>
      <c r="H5259" s="470">
        <v>5252</v>
      </c>
      <c r="I5259" s="455">
        <f t="shared" ca="1" si="203"/>
        <v>-510490743540019.69</v>
      </c>
      <c r="J5259" s="455">
        <f t="array" ref="J5259">IFERROR(INDEX('Retirement Calculator'!J:J,MATCH('Isaac 401k'!N5259,'Retirement Calculator'!A:A,0),0),0)</f>
        <v>0</v>
      </c>
      <c r="K5259" s="455">
        <f t="shared" ca="1" si="201"/>
        <v>-2127044764750.0823</v>
      </c>
      <c r="L5259" s="455">
        <f t="shared" ca="1" si="202"/>
        <v>-512617788304769.75</v>
      </c>
      <c r="M5259" s="471">
        <f t="shared" si="204"/>
        <v>0.05</v>
      </c>
      <c r="N5259" s="475">
        <f t="shared" si="205"/>
        <v>211113</v>
      </c>
    </row>
    <row r="5260" spans="7:14" ht="11.25" customHeight="1" x14ac:dyDescent="0.3">
      <c r="G5260" s="470"/>
      <c r="H5260" s="470">
        <v>5253</v>
      </c>
      <c r="I5260" s="455">
        <f t="shared" ca="1" si="203"/>
        <v>-512617788304769.75</v>
      </c>
      <c r="J5260" s="455">
        <f t="array" ref="J5260">IFERROR(INDEX('Retirement Calculator'!J:J,MATCH('Isaac 401k'!N5260,'Retirement Calculator'!A:A,0),0),0)</f>
        <v>0</v>
      </c>
      <c r="K5260" s="455">
        <f t="shared" ca="1" si="201"/>
        <v>-2135907451269.874</v>
      </c>
      <c r="L5260" s="455">
        <f t="shared" ca="1" si="202"/>
        <v>-514753695756039.63</v>
      </c>
      <c r="M5260" s="471">
        <f t="shared" si="204"/>
        <v>0.05</v>
      </c>
      <c r="N5260" s="475">
        <f t="shared" si="205"/>
        <v>211144</v>
      </c>
    </row>
    <row r="5261" spans="7:14" ht="11.25" customHeight="1" x14ac:dyDescent="0.3">
      <c r="G5261" s="470"/>
      <c r="H5261" s="470">
        <v>5254</v>
      </c>
      <c r="I5261" s="455">
        <f t="shared" ca="1" si="203"/>
        <v>-514753695756039.63</v>
      </c>
      <c r="J5261" s="455">
        <f t="array" ref="J5261">IFERROR(INDEX('Retirement Calculator'!J:J,MATCH('Isaac 401k'!N5261,'Retirement Calculator'!A:A,0),0),0)</f>
        <v>0</v>
      </c>
      <c r="K5261" s="455">
        <f t="shared" ca="1" si="201"/>
        <v>-2144807065650.1648</v>
      </c>
      <c r="L5261" s="455">
        <f t="shared" ca="1" si="202"/>
        <v>-516898502821689.81</v>
      </c>
      <c r="M5261" s="471">
        <f t="shared" si="204"/>
        <v>0.05</v>
      </c>
      <c r="N5261" s="475">
        <f t="shared" si="205"/>
        <v>211172</v>
      </c>
    </row>
    <row r="5262" spans="7:14" ht="11.25" customHeight="1" x14ac:dyDescent="0.3">
      <c r="G5262" s="470"/>
      <c r="H5262" s="470">
        <v>5255</v>
      </c>
      <c r="I5262" s="455">
        <f t="shared" ca="1" si="203"/>
        <v>-516898502821689.81</v>
      </c>
      <c r="J5262" s="455">
        <f t="array" ref="J5262">IFERROR(INDEX('Retirement Calculator'!J:J,MATCH('Isaac 401k'!N5262,'Retirement Calculator'!A:A,0),0),0)</f>
        <v>0</v>
      </c>
      <c r="K5262" s="455">
        <f t="shared" ca="1" si="201"/>
        <v>-2153743761757.0408</v>
      </c>
      <c r="L5262" s="455">
        <f t="shared" ca="1" si="202"/>
        <v>-519052246583446.88</v>
      </c>
      <c r="M5262" s="471">
        <f t="shared" si="204"/>
        <v>0.05</v>
      </c>
      <c r="N5262" s="475">
        <f t="shared" si="205"/>
        <v>211203</v>
      </c>
    </row>
    <row r="5263" spans="7:14" ht="11.25" customHeight="1" x14ac:dyDescent="0.3">
      <c r="G5263" s="470"/>
      <c r="H5263" s="470">
        <v>5256</v>
      </c>
      <c r="I5263" s="455">
        <f t="shared" ca="1" si="203"/>
        <v>-519052246583446.88</v>
      </c>
      <c r="J5263" s="455">
        <f t="array" ref="J5263">IFERROR(INDEX('Retirement Calculator'!J:J,MATCH('Isaac 401k'!N5263,'Retirement Calculator'!A:A,0),0),0)</f>
        <v>0</v>
      </c>
      <c r="K5263" s="455">
        <f t="shared" ca="1" si="201"/>
        <v>-2162717694097.6951</v>
      </c>
      <c r="L5263" s="455">
        <f t="shared" ca="1" si="202"/>
        <v>-521214964277544.56</v>
      </c>
      <c r="M5263" s="471">
        <f t="shared" si="204"/>
        <v>0.05</v>
      </c>
      <c r="N5263" s="475">
        <f t="shared" si="205"/>
        <v>211233</v>
      </c>
    </row>
    <row r="5264" spans="7:14" ht="11.25" customHeight="1" x14ac:dyDescent="0.3">
      <c r="G5264" s="470"/>
      <c r="H5264" s="470">
        <v>5257</v>
      </c>
      <c r="I5264" s="455">
        <f t="shared" ca="1" si="203"/>
        <v>-521214964277544.56</v>
      </c>
      <c r="J5264" s="455">
        <f t="array" ref="J5264">IFERROR(INDEX('Retirement Calculator'!J:J,MATCH('Isaac 401k'!N5264,'Retirement Calculator'!A:A,0),0),0)</f>
        <v>0</v>
      </c>
      <c r="K5264" s="455">
        <f t="shared" ca="1" si="201"/>
        <v>-2171729017823.1023</v>
      </c>
      <c r="L5264" s="455">
        <f t="shared" ca="1" si="202"/>
        <v>-523386693295367.69</v>
      </c>
      <c r="M5264" s="471">
        <f t="shared" si="204"/>
        <v>0.05</v>
      </c>
      <c r="N5264" s="475">
        <f t="shared" si="205"/>
        <v>211264</v>
      </c>
    </row>
    <row r="5265" spans="7:14" ht="11.25" customHeight="1" x14ac:dyDescent="0.3">
      <c r="G5265" s="470"/>
      <c r="H5265" s="470">
        <v>5258</v>
      </c>
      <c r="I5265" s="455">
        <f t="shared" ca="1" si="203"/>
        <v>-523386693295367.69</v>
      </c>
      <c r="J5265" s="455">
        <f t="array" ref="J5265">IFERROR(INDEX('Retirement Calculator'!J:J,MATCH('Isaac 401k'!N5265,'Retirement Calculator'!A:A,0),0),0)</f>
        <v>0</v>
      </c>
      <c r="K5265" s="455">
        <f t="shared" ca="1" si="201"/>
        <v>-2180777888730.6985</v>
      </c>
      <c r="L5265" s="455">
        <f t="shared" ca="1" si="202"/>
        <v>-525567471184098.38</v>
      </c>
      <c r="M5265" s="471">
        <f t="shared" si="204"/>
        <v>0.05</v>
      </c>
      <c r="N5265" s="475">
        <f t="shared" si="205"/>
        <v>211294</v>
      </c>
    </row>
    <row r="5266" spans="7:14" ht="11.25" customHeight="1" x14ac:dyDescent="0.3">
      <c r="G5266" s="470"/>
      <c r="H5266" s="470">
        <v>5259</v>
      </c>
      <c r="I5266" s="455">
        <f t="shared" ca="1" si="203"/>
        <v>-525567471184098.38</v>
      </c>
      <c r="J5266" s="455">
        <f t="array" ref="J5266">IFERROR(INDEX('Retirement Calculator'!J:J,MATCH('Isaac 401k'!N5266,'Retirement Calculator'!A:A,0),0),0)</f>
        <v>0</v>
      </c>
      <c r="K5266" s="455">
        <f t="shared" ca="1" si="201"/>
        <v>-2189864463267.0764</v>
      </c>
      <c r="L5266" s="455">
        <f t="shared" ca="1" si="202"/>
        <v>-527757335647365.44</v>
      </c>
      <c r="M5266" s="471">
        <f t="shared" si="204"/>
        <v>0.05</v>
      </c>
      <c r="N5266" s="475">
        <f t="shared" si="205"/>
        <v>211325</v>
      </c>
    </row>
    <row r="5267" spans="7:14" ht="11.25" customHeight="1" x14ac:dyDescent="0.3">
      <c r="G5267" s="470"/>
      <c r="H5267" s="470">
        <v>5260</v>
      </c>
      <c r="I5267" s="455">
        <f t="shared" ca="1" si="203"/>
        <v>-527757335647365.44</v>
      </c>
      <c r="J5267" s="455">
        <f t="array" ref="J5267">IFERROR(INDEX('Retirement Calculator'!J:J,MATCH('Isaac 401k'!N5267,'Retirement Calculator'!A:A,0),0),0)</f>
        <v>0</v>
      </c>
      <c r="K5267" s="455">
        <f t="shared" ca="1" si="201"/>
        <v>-2198988898530.6895</v>
      </c>
      <c r="L5267" s="455">
        <f t="shared" ca="1" si="202"/>
        <v>-529956324545896.13</v>
      </c>
      <c r="M5267" s="471">
        <f t="shared" si="204"/>
        <v>0.05</v>
      </c>
      <c r="N5267" s="475">
        <f t="shared" si="205"/>
        <v>211356</v>
      </c>
    </row>
    <row r="5268" spans="7:14" ht="11.25" customHeight="1" x14ac:dyDescent="0.3">
      <c r="G5268" s="470"/>
      <c r="H5268" s="470">
        <v>5261</v>
      </c>
      <c r="I5268" s="455">
        <f t="shared" ca="1" si="203"/>
        <v>-529956324545896.13</v>
      </c>
      <c r="J5268" s="455">
        <f t="array" ref="J5268">IFERROR(INDEX('Retirement Calculator'!J:J,MATCH('Isaac 401k'!N5268,'Retirement Calculator'!A:A,0),0),0)</f>
        <v>0</v>
      </c>
      <c r="K5268" s="455">
        <f t="shared" ca="1" si="201"/>
        <v>-2208151352274.5669</v>
      </c>
      <c r="L5268" s="455">
        <f t="shared" ca="1" si="202"/>
        <v>-532164475898170.69</v>
      </c>
      <c r="M5268" s="471">
        <f t="shared" si="204"/>
        <v>0.05</v>
      </c>
      <c r="N5268" s="475">
        <f t="shared" si="205"/>
        <v>211386</v>
      </c>
    </row>
    <row r="5269" spans="7:14" ht="11.25" customHeight="1" x14ac:dyDescent="0.3">
      <c r="G5269" s="470"/>
      <c r="H5269" s="470">
        <v>5262</v>
      </c>
      <c r="I5269" s="455">
        <f t="shared" ca="1" si="203"/>
        <v>-532164475898170.69</v>
      </c>
      <c r="J5269" s="455">
        <f t="array" ref="J5269">IFERROR(INDEX('Retirement Calculator'!J:J,MATCH('Isaac 401k'!N5269,'Retirement Calculator'!A:A,0),0),0)</f>
        <v>0</v>
      </c>
      <c r="K5269" s="455">
        <f t="shared" ca="1" si="201"/>
        <v>-2217351982909.0444</v>
      </c>
      <c r="L5269" s="455">
        <f t="shared" ca="1" si="202"/>
        <v>-534381827881079.75</v>
      </c>
      <c r="M5269" s="471">
        <f t="shared" si="204"/>
        <v>0.05</v>
      </c>
      <c r="N5269" s="475">
        <f t="shared" si="205"/>
        <v>211417</v>
      </c>
    </row>
    <row r="5270" spans="7:14" ht="11.25" customHeight="1" x14ac:dyDescent="0.3">
      <c r="G5270" s="470"/>
      <c r="H5270" s="470">
        <v>5263</v>
      </c>
      <c r="I5270" s="455">
        <f t="shared" ca="1" si="203"/>
        <v>-534381827881079.75</v>
      </c>
      <c r="J5270" s="455">
        <f t="array" ref="J5270">IFERROR(INDEX('Retirement Calculator'!J:J,MATCH('Isaac 401k'!N5270,'Retirement Calculator'!A:A,0),0),0)</f>
        <v>0</v>
      </c>
      <c r="K5270" s="455">
        <f t="shared" ca="1" si="201"/>
        <v>-2226590949504.499</v>
      </c>
      <c r="L5270" s="455">
        <f t="shared" ca="1" si="202"/>
        <v>-536608418830584.25</v>
      </c>
      <c r="M5270" s="471">
        <f t="shared" si="204"/>
        <v>0.05</v>
      </c>
      <c r="N5270" s="475">
        <f t="shared" si="205"/>
        <v>211447</v>
      </c>
    </row>
    <row r="5271" spans="7:14" ht="11.25" customHeight="1" x14ac:dyDescent="0.3">
      <c r="G5271" s="470"/>
      <c r="H5271" s="470">
        <v>5264</v>
      </c>
      <c r="I5271" s="455">
        <f t="shared" ca="1" si="203"/>
        <v>-536608418830584.25</v>
      </c>
      <c r="J5271" s="455">
        <f t="array" ref="J5271">IFERROR(INDEX('Retirement Calculator'!J:J,MATCH('Isaac 401k'!N5271,'Retirement Calculator'!A:A,0),0),0)</f>
        <v>0</v>
      </c>
      <c r="K5271" s="455">
        <f t="shared" ca="1" si="201"/>
        <v>-2235868411794.1011</v>
      </c>
      <c r="L5271" s="455">
        <f t="shared" ca="1" si="202"/>
        <v>-538844287242378.38</v>
      </c>
      <c r="M5271" s="471">
        <f t="shared" si="204"/>
        <v>0.05</v>
      </c>
      <c r="N5271" s="475">
        <f t="shared" si="205"/>
        <v>211478</v>
      </c>
    </row>
    <row r="5272" spans="7:14" ht="11.25" customHeight="1" x14ac:dyDescent="0.3">
      <c r="G5272" s="470"/>
      <c r="H5272" s="470">
        <v>5265</v>
      </c>
      <c r="I5272" s="455">
        <f t="shared" ca="1" si="203"/>
        <v>-538844287242378.38</v>
      </c>
      <c r="J5272" s="455">
        <f t="array" ref="J5272">IFERROR(INDEX('Retirement Calculator'!J:J,MATCH('Isaac 401k'!N5272,'Retirement Calculator'!A:A,0),0),0)</f>
        <v>0</v>
      </c>
      <c r="K5272" s="455">
        <f t="shared" ca="1" si="201"/>
        <v>-2245184530176.5767</v>
      </c>
      <c r="L5272" s="455">
        <f t="shared" ca="1" si="202"/>
        <v>-541089471772554.94</v>
      </c>
      <c r="M5272" s="471">
        <f t="shared" si="204"/>
        <v>0.05</v>
      </c>
      <c r="N5272" s="475">
        <f t="shared" si="205"/>
        <v>211509</v>
      </c>
    </row>
    <row r="5273" spans="7:14" ht="11.25" customHeight="1" x14ac:dyDescent="0.3">
      <c r="G5273" s="470"/>
      <c r="H5273" s="470">
        <v>5266</v>
      </c>
      <c r="I5273" s="455">
        <f t="shared" ca="1" si="203"/>
        <v>-541089471772554.94</v>
      </c>
      <c r="J5273" s="455">
        <f t="array" ref="J5273">IFERROR(INDEX('Retirement Calculator'!J:J,MATCH('Isaac 401k'!N5273,'Retirement Calculator'!A:A,0),0),0)</f>
        <v>0</v>
      </c>
      <c r="K5273" s="455">
        <f t="shared" ca="1" si="201"/>
        <v>-2254539465718.9785</v>
      </c>
      <c r="L5273" s="455">
        <f t="shared" ca="1" si="202"/>
        <v>-543344011238273.94</v>
      </c>
      <c r="M5273" s="471">
        <f t="shared" si="204"/>
        <v>0.05</v>
      </c>
      <c r="N5273" s="475">
        <f t="shared" si="205"/>
        <v>211537</v>
      </c>
    </row>
    <row r="5274" spans="7:14" ht="11.25" customHeight="1" x14ac:dyDescent="0.3">
      <c r="G5274" s="470"/>
      <c r="H5274" s="470">
        <v>5267</v>
      </c>
      <c r="I5274" s="455">
        <f t="shared" ca="1" si="203"/>
        <v>-543344011238273.94</v>
      </c>
      <c r="J5274" s="455">
        <f t="array" ref="J5274">IFERROR(INDEX('Retirement Calculator'!J:J,MATCH('Isaac 401k'!N5274,'Retirement Calculator'!A:A,0),0),0)</f>
        <v>0</v>
      </c>
      <c r="K5274" s="455">
        <f t="shared" ca="1" si="201"/>
        <v>-2263933380159.4746</v>
      </c>
      <c r="L5274" s="455">
        <f t="shared" ca="1" si="202"/>
        <v>-545607944618433.44</v>
      </c>
      <c r="M5274" s="471">
        <f t="shared" si="204"/>
        <v>0.05</v>
      </c>
      <c r="N5274" s="475">
        <f t="shared" si="205"/>
        <v>211568</v>
      </c>
    </row>
    <row r="5275" spans="7:14" ht="11.25" customHeight="1" x14ac:dyDescent="0.3">
      <c r="G5275" s="470"/>
      <c r="H5275" s="470">
        <v>5268</v>
      </c>
      <c r="I5275" s="455">
        <f t="shared" ca="1" si="203"/>
        <v>-545607944618433.44</v>
      </c>
      <c r="J5275" s="455">
        <f t="array" ref="J5275">IFERROR(INDEX('Retirement Calculator'!J:J,MATCH('Isaac 401k'!N5275,'Retirement Calculator'!A:A,0),0),0)</f>
        <v>0</v>
      </c>
      <c r="K5275" s="455">
        <f t="shared" ca="1" si="201"/>
        <v>-2273366435910.1392</v>
      </c>
      <c r="L5275" s="455">
        <f t="shared" ca="1" si="202"/>
        <v>-547881311054343.56</v>
      </c>
      <c r="M5275" s="471">
        <f t="shared" si="204"/>
        <v>0.05</v>
      </c>
      <c r="N5275" s="475">
        <f t="shared" si="205"/>
        <v>211598</v>
      </c>
    </row>
    <row r="5276" spans="7:14" ht="11.25" customHeight="1" x14ac:dyDescent="0.3">
      <c r="G5276" s="470"/>
      <c r="H5276" s="470">
        <v>5269</v>
      </c>
      <c r="I5276" s="455">
        <f t="shared" ca="1" si="203"/>
        <v>-547881311054343.56</v>
      </c>
      <c r="J5276" s="455">
        <f t="array" ref="J5276">IFERROR(INDEX('Retirement Calculator'!J:J,MATCH('Isaac 401k'!N5276,'Retirement Calculator'!A:A,0),0),0)</f>
        <v>0</v>
      </c>
      <c r="K5276" s="455">
        <f t="shared" ca="1" si="201"/>
        <v>-2282838796059.7646</v>
      </c>
      <c r="L5276" s="455">
        <f t="shared" ca="1" si="202"/>
        <v>-550164149850403.31</v>
      </c>
      <c r="M5276" s="471">
        <f t="shared" si="204"/>
        <v>0.05</v>
      </c>
      <c r="N5276" s="475">
        <f t="shared" si="205"/>
        <v>211629</v>
      </c>
    </row>
    <row r="5277" spans="7:14" ht="11.25" customHeight="1" x14ac:dyDescent="0.3">
      <c r="G5277" s="470"/>
      <c r="H5277" s="470">
        <v>5270</v>
      </c>
      <c r="I5277" s="455">
        <f t="shared" ca="1" si="203"/>
        <v>-550164149850403.31</v>
      </c>
      <c r="J5277" s="455">
        <f t="array" ref="J5277">IFERROR(INDEX('Retirement Calculator'!J:J,MATCH('Isaac 401k'!N5277,'Retirement Calculator'!A:A,0),0),0)</f>
        <v>0</v>
      </c>
      <c r="K5277" s="455">
        <f t="shared" ca="1" si="201"/>
        <v>-2292350624376.6807</v>
      </c>
      <c r="L5277" s="455">
        <f t="shared" ca="1" si="202"/>
        <v>-552456500474780</v>
      </c>
      <c r="M5277" s="471">
        <f t="shared" si="204"/>
        <v>0.05</v>
      </c>
      <c r="N5277" s="475">
        <f t="shared" si="205"/>
        <v>211659</v>
      </c>
    </row>
    <row r="5278" spans="7:14" ht="11.25" customHeight="1" x14ac:dyDescent="0.3">
      <c r="G5278" s="470"/>
      <c r="H5278" s="470">
        <v>5271</v>
      </c>
      <c r="I5278" s="455">
        <f t="shared" ca="1" si="203"/>
        <v>-552456500474780</v>
      </c>
      <c r="J5278" s="455">
        <f t="array" ref="J5278">IFERROR(INDEX('Retirement Calculator'!J:J,MATCH('Isaac 401k'!N5278,'Retirement Calculator'!A:A,0),0),0)</f>
        <v>0</v>
      </c>
      <c r="K5278" s="455">
        <f t="shared" ca="1" si="201"/>
        <v>-2301902085311.5835</v>
      </c>
      <c r="L5278" s="455">
        <f t="shared" ca="1" si="202"/>
        <v>-554758402560091.56</v>
      </c>
      <c r="M5278" s="471">
        <f t="shared" si="204"/>
        <v>0.05</v>
      </c>
      <c r="N5278" s="475">
        <f t="shared" si="205"/>
        <v>211690</v>
      </c>
    </row>
    <row r="5279" spans="7:14" ht="11.25" customHeight="1" x14ac:dyDescent="0.3">
      <c r="G5279" s="470"/>
      <c r="H5279" s="470">
        <v>5272</v>
      </c>
      <c r="I5279" s="455">
        <f t="shared" ca="1" si="203"/>
        <v>-554758402560091.56</v>
      </c>
      <c r="J5279" s="455">
        <f t="array" ref="J5279">IFERROR(INDEX('Retirement Calculator'!J:J,MATCH('Isaac 401k'!N5279,'Retirement Calculator'!A:A,0),0),0)</f>
        <v>0</v>
      </c>
      <c r="K5279" s="455">
        <f t="shared" ca="1" si="201"/>
        <v>-2311493344000.3818</v>
      </c>
      <c r="L5279" s="455">
        <f t="shared" ca="1" si="202"/>
        <v>-557069895904091.94</v>
      </c>
      <c r="M5279" s="471">
        <f t="shared" si="204"/>
        <v>0.05</v>
      </c>
      <c r="N5279" s="475">
        <f t="shared" si="205"/>
        <v>211721</v>
      </c>
    </row>
    <row r="5280" spans="7:14" ht="11.25" customHeight="1" x14ac:dyDescent="0.3">
      <c r="G5280" s="470"/>
      <c r="H5280" s="470">
        <v>5273</v>
      </c>
      <c r="I5280" s="455">
        <f t="shared" ca="1" si="203"/>
        <v>-557069895904091.94</v>
      </c>
      <c r="J5280" s="455">
        <f t="array" ref="J5280">IFERROR(INDEX('Retirement Calculator'!J:J,MATCH('Isaac 401k'!N5280,'Retirement Calculator'!A:A,0),0),0)</f>
        <v>0</v>
      </c>
      <c r="K5280" s="455">
        <f t="shared" ca="1" si="201"/>
        <v>-2321124566267.0498</v>
      </c>
      <c r="L5280" s="455">
        <f t="shared" ca="1" si="202"/>
        <v>-559391020470359</v>
      </c>
      <c r="M5280" s="471">
        <f t="shared" si="204"/>
        <v>0.05</v>
      </c>
      <c r="N5280" s="475">
        <f t="shared" si="205"/>
        <v>211751</v>
      </c>
    </row>
    <row r="5281" spans="7:14" ht="11.25" customHeight="1" x14ac:dyDescent="0.3">
      <c r="G5281" s="470"/>
      <c r="H5281" s="470">
        <v>5274</v>
      </c>
      <c r="I5281" s="455">
        <f t="shared" ca="1" si="203"/>
        <v>-559391020470359</v>
      </c>
      <c r="J5281" s="455">
        <f t="array" ref="J5281">IFERROR(INDEX('Retirement Calculator'!J:J,MATCH('Isaac 401k'!N5281,'Retirement Calculator'!A:A,0),0),0)</f>
        <v>0</v>
      </c>
      <c r="K5281" s="455">
        <f t="shared" ca="1" si="201"/>
        <v>-2330795918626.4956</v>
      </c>
      <c r="L5281" s="455">
        <f t="shared" ca="1" si="202"/>
        <v>-561721816388985.5</v>
      </c>
      <c r="M5281" s="471">
        <f t="shared" si="204"/>
        <v>0.05</v>
      </c>
      <c r="N5281" s="475">
        <f t="shared" si="205"/>
        <v>211782</v>
      </c>
    </row>
    <row r="5282" spans="7:14" ht="11.25" customHeight="1" x14ac:dyDescent="0.3">
      <c r="G5282" s="470"/>
      <c r="H5282" s="470">
        <v>5275</v>
      </c>
      <c r="I5282" s="455">
        <f t="shared" ca="1" si="203"/>
        <v>-561721816388985.5</v>
      </c>
      <c r="J5282" s="455">
        <f t="array" ref="J5282">IFERROR(INDEX('Retirement Calculator'!J:J,MATCH('Isaac 401k'!N5282,'Retirement Calculator'!A:A,0),0),0)</f>
        <v>0</v>
      </c>
      <c r="K5282" s="455">
        <f t="shared" ca="1" si="201"/>
        <v>-2340507568287.4395</v>
      </c>
      <c r="L5282" s="455">
        <f t="shared" ca="1" si="202"/>
        <v>-564062323957273</v>
      </c>
      <c r="M5282" s="471">
        <f t="shared" si="204"/>
        <v>0.05</v>
      </c>
      <c r="N5282" s="475">
        <f t="shared" si="205"/>
        <v>211812</v>
      </c>
    </row>
    <row r="5283" spans="7:14" ht="11.25" customHeight="1" x14ac:dyDescent="0.3">
      <c r="G5283" s="470"/>
      <c r="H5283" s="470">
        <v>5276</v>
      </c>
      <c r="I5283" s="455">
        <f t="shared" ca="1" si="203"/>
        <v>-564062323957273</v>
      </c>
      <c r="J5283" s="455">
        <f t="array" ref="J5283">IFERROR(INDEX('Retirement Calculator'!J:J,MATCH('Isaac 401k'!N5283,'Retirement Calculator'!A:A,0),0),0)</f>
        <v>0</v>
      </c>
      <c r="K5283" s="455">
        <f t="shared" ca="1" si="201"/>
        <v>-2350259683155.3042</v>
      </c>
      <c r="L5283" s="455">
        <f t="shared" ca="1" si="202"/>
        <v>-566412583640428.25</v>
      </c>
      <c r="M5283" s="471">
        <f t="shared" si="204"/>
        <v>0.05</v>
      </c>
      <c r="N5283" s="475">
        <f t="shared" si="205"/>
        <v>211843</v>
      </c>
    </row>
    <row r="5284" spans="7:14" ht="11.25" customHeight="1" x14ac:dyDescent="0.3">
      <c r="G5284" s="470"/>
      <c r="H5284" s="470">
        <v>5277</v>
      </c>
      <c r="I5284" s="455">
        <f t="shared" ca="1" si="203"/>
        <v>-566412583640428.25</v>
      </c>
      <c r="J5284" s="455">
        <f t="array" ref="J5284">IFERROR(INDEX('Retirement Calculator'!J:J,MATCH('Isaac 401k'!N5284,'Retirement Calculator'!A:A,0),0),0)</f>
        <v>0</v>
      </c>
      <c r="K5284" s="455">
        <f t="shared" ca="1" si="201"/>
        <v>-2360052431835.1177</v>
      </c>
      <c r="L5284" s="455">
        <f t="shared" ca="1" si="202"/>
        <v>-568772636072263.38</v>
      </c>
      <c r="M5284" s="471">
        <f t="shared" si="204"/>
        <v>0.05</v>
      </c>
      <c r="N5284" s="475">
        <f t="shared" si="205"/>
        <v>211874</v>
      </c>
    </row>
    <row r="5285" spans="7:14" ht="11.25" customHeight="1" x14ac:dyDescent="0.3">
      <c r="G5285" s="470"/>
      <c r="H5285" s="470">
        <v>5278</v>
      </c>
      <c r="I5285" s="455">
        <f t="shared" ca="1" si="203"/>
        <v>-568772636072263.38</v>
      </c>
      <c r="J5285" s="455">
        <f t="array" ref="J5285">IFERROR(INDEX('Retirement Calculator'!J:J,MATCH('Isaac 401k'!N5285,'Retirement Calculator'!A:A,0),0),0)</f>
        <v>0</v>
      </c>
      <c r="K5285" s="455">
        <f t="shared" ca="1" si="201"/>
        <v>-2369885983634.4307</v>
      </c>
      <c r="L5285" s="455">
        <f t="shared" ca="1" si="202"/>
        <v>-571142522055897.75</v>
      </c>
      <c r="M5285" s="471">
        <f t="shared" si="204"/>
        <v>0.05</v>
      </c>
      <c r="N5285" s="475">
        <f t="shared" si="205"/>
        <v>211903</v>
      </c>
    </row>
    <row r="5286" spans="7:14" ht="11.25" customHeight="1" x14ac:dyDescent="0.3">
      <c r="G5286" s="470"/>
      <c r="H5286" s="470">
        <v>5279</v>
      </c>
      <c r="I5286" s="455">
        <f t="shared" ca="1" si="203"/>
        <v>-571142522055897.75</v>
      </c>
      <c r="J5286" s="455">
        <f t="array" ref="J5286">IFERROR(INDEX('Retirement Calculator'!J:J,MATCH('Isaac 401k'!N5286,'Retirement Calculator'!A:A,0),0),0)</f>
        <v>0</v>
      </c>
      <c r="K5286" s="455">
        <f t="shared" ca="1" si="201"/>
        <v>-2379760508566.2407</v>
      </c>
      <c r="L5286" s="455">
        <f t="shared" ca="1" si="202"/>
        <v>-573522282564464</v>
      </c>
      <c r="M5286" s="471">
        <f t="shared" si="204"/>
        <v>0.05</v>
      </c>
      <c r="N5286" s="475">
        <f t="shared" si="205"/>
        <v>211934</v>
      </c>
    </row>
    <row r="5287" spans="7:14" ht="11.25" customHeight="1" x14ac:dyDescent="0.3">
      <c r="G5287" s="470"/>
      <c r="H5287" s="470">
        <v>5280</v>
      </c>
      <c r="I5287" s="455">
        <f t="shared" ca="1" si="203"/>
        <v>-573522282564464</v>
      </c>
      <c r="J5287" s="455">
        <f t="array" ref="J5287">IFERROR(INDEX('Retirement Calculator'!J:J,MATCH('Isaac 401k'!N5287,'Retirement Calculator'!A:A,0),0),0)</f>
        <v>0</v>
      </c>
      <c r="K5287" s="455">
        <f t="shared" ca="1" si="201"/>
        <v>-2389676177351.9331</v>
      </c>
      <c r="L5287" s="455">
        <f t="shared" ca="1" si="202"/>
        <v>-575911958741815.88</v>
      </c>
      <c r="M5287" s="471">
        <f t="shared" si="204"/>
        <v>0.05</v>
      </c>
      <c r="N5287" s="475">
        <f t="shared" si="205"/>
        <v>211964</v>
      </c>
    </row>
    <row r="5288" spans="7:14" ht="11.25" customHeight="1" x14ac:dyDescent="0.3">
      <c r="G5288" s="470"/>
      <c r="H5288" s="470">
        <v>5281</v>
      </c>
      <c r="I5288" s="455">
        <f t="shared" ca="1" si="203"/>
        <v>-575911958741815.88</v>
      </c>
      <c r="J5288" s="455">
        <f t="array" ref="J5288">IFERROR(INDEX('Retirement Calculator'!J:J,MATCH('Isaac 401k'!N5288,'Retirement Calculator'!A:A,0),0),0)</f>
        <v>0</v>
      </c>
      <c r="K5288" s="455">
        <f t="shared" ca="1" si="201"/>
        <v>-2399633161424.2329</v>
      </c>
      <c r="L5288" s="455">
        <f t="shared" ca="1" si="202"/>
        <v>-578311591903240.13</v>
      </c>
      <c r="M5288" s="471">
        <f t="shared" si="204"/>
        <v>0.05</v>
      </c>
      <c r="N5288" s="475">
        <f t="shared" si="205"/>
        <v>211995</v>
      </c>
    </row>
    <row r="5289" spans="7:14" ht="11.25" customHeight="1" x14ac:dyDescent="0.3">
      <c r="G5289" s="470"/>
      <c r="H5289" s="470">
        <v>5282</v>
      </c>
      <c r="I5289" s="455">
        <f t="shared" ca="1" si="203"/>
        <v>-578311591903240.13</v>
      </c>
      <c r="J5289" s="455">
        <f t="array" ref="J5289">IFERROR(INDEX('Retirement Calculator'!J:J,MATCH('Isaac 401k'!N5289,'Retirement Calculator'!A:A,0),0),0)</f>
        <v>0</v>
      </c>
      <c r="K5289" s="455">
        <f t="shared" ca="1" si="201"/>
        <v>-2409631632930.167</v>
      </c>
      <c r="L5289" s="455">
        <f t="shared" ca="1" si="202"/>
        <v>-580721223536170.25</v>
      </c>
      <c r="M5289" s="471">
        <f t="shared" si="204"/>
        <v>0.05</v>
      </c>
      <c r="N5289" s="475">
        <f t="shared" si="205"/>
        <v>212025</v>
      </c>
    </row>
    <row r="5290" spans="7:14" ht="11.25" customHeight="1" x14ac:dyDescent="0.3">
      <c r="G5290" s="470"/>
      <c r="H5290" s="470">
        <v>5283</v>
      </c>
      <c r="I5290" s="455">
        <f t="shared" ca="1" si="203"/>
        <v>-580721223536170.25</v>
      </c>
      <c r="J5290" s="455">
        <f t="array" ref="J5290">IFERROR(INDEX('Retirement Calculator'!J:J,MATCH('Isaac 401k'!N5290,'Retirement Calculator'!A:A,0),0),0)</f>
        <v>0</v>
      </c>
      <c r="K5290" s="455">
        <f t="shared" ca="1" si="201"/>
        <v>-2419671764734.0425</v>
      </c>
      <c r="L5290" s="455">
        <f t="shared" ca="1" si="202"/>
        <v>-583140895300904.25</v>
      </c>
      <c r="M5290" s="471">
        <f t="shared" si="204"/>
        <v>0.05</v>
      </c>
      <c r="N5290" s="475">
        <f t="shared" si="205"/>
        <v>212056</v>
      </c>
    </row>
    <row r="5291" spans="7:14" ht="11.25" customHeight="1" x14ac:dyDescent="0.3">
      <c r="G5291" s="470"/>
      <c r="H5291" s="470">
        <v>5284</v>
      </c>
      <c r="I5291" s="455">
        <f t="shared" ca="1" si="203"/>
        <v>-583140895300904.25</v>
      </c>
      <c r="J5291" s="455">
        <f t="array" ref="J5291">IFERROR(INDEX('Retirement Calculator'!J:J,MATCH('Isaac 401k'!N5291,'Retirement Calculator'!A:A,0),0),0)</f>
        <v>0</v>
      </c>
      <c r="K5291" s="455">
        <f t="shared" ca="1" si="201"/>
        <v>-2429753730420.4346</v>
      </c>
      <c r="L5291" s="455">
        <f t="shared" ca="1" si="202"/>
        <v>-585570649031324.63</v>
      </c>
      <c r="M5291" s="471">
        <f t="shared" si="204"/>
        <v>0.05</v>
      </c>
      <c r="N5291" s="475">
        <f t="shared" si="205"/>
        <v>212087</v>
      </c>
    </row>
    <row r="5292" spans="7:14" ht="11.25" customHeight="1" x14ac:dyDescent="0.3">
      <c r="G5292" s="470"/>
      <c r="H5292" s="470">
        <v>5285</v>
      </c>
      <c r="I5292" s="455">
        <f t="shared" ca="1" si="203"/>
        <v>-585570649031324.63</v>
      </c>
      <c r="J5292" s="455">
        <f t="array" ref="J5292">IFERROR(INDEX('Retirement Calculator'!J:J,MATCH('Isaac 401k'!N5292,'Retirement Calculator'!A:A,0),0),0)</f>
        <v>0</v>
      </c>
      <c r="K5292" s="455">
        <f t="shared" ca="1" si="201"/>
        <v>-2439877704297.186</v>
      </c>
      <c r="L5292" s="455">
        <f t="shared" ca="1" si="202"/>
        <v>-588010526735621.75</v>
      </c>
      <c r="M5292" s="471">
        <f t="shared" si="204"/>
        <v>0.05</v>
      </c>
      <c r="N5292" s="475">
        <f t="shared" si="205"/>
        <v>212117</v>
      </c>
    </row>
    <row r="5293" spans="7:14" ht="11.25" customHeight="1" x14ac:dyDescent="0.3">
      <c r="G5293" s="470"/>
      <c r="H5293" s="470">
        <v>5286</v>
      </c>
      <c r="I5293" s="455">
        <f t="shared" ca="1" si="203"/>
        <v>-588010526735621.75</v>
      </c>
      <c r="J5293" s="455">
        <f t="array" ref="J5293">IFERROR(INDEX('Retirement Calculator'!J:J,MATCH('Isaac 401k'!N5293,'Retirement Calculator'!A:A,0),0),0)</f>
        <v>0</v>
      </c>
      <c r="K5293" s="455">
        <f t="shared" ca="1" si="201"/>
        <v>-2450043861398.4238</v>
      </c>
      <c r="L5293" s="455">
        <f t="shared" ca="1" si="202"/>
        <v>-590460570597020.13</v>
      </c>
      <c r="M5293" s="471">
        <f t="shared" si="204"/>
        <v>0.05</v>
      </c>
      <c r="N5293" s="475">
        <f t="shared" si="205"/>
        <v>212148</v>
      </c>
    </row>
    <row r="5294" spans="7:14" ht="11.25" customHeight="1" x14ac:dyDescent="0.3">
      <c r="G5294" s="470"/>
      <c r="H5294" s="470">
        <v>5287</v>
      </c>
      <c r="I5294" s="455">
        <f t="shared" ca="1" si="203"/>
        <v>-590460570597020.13</v>
      </c>
      <c r="J5294" s="455">
        <f t="array" ref="J5294">IFERROR(INDEX('Retirement Calculator'!J:J,MATCH('Isaac 401k'!N5294,'Retirement Calculator'!A:A,0),0),0)</f>
        <v>0</v>
      </c>
      <c r="K5294" s="455">
        <f t="shared" ca="1" si="201"/>
        <v>-2460252377487.584</v>
      </c>
      <c r="L5294" s="455">
        <f t="shared" ca="1" si="202"/>
        <v>-592920822974507.75</v>
      </c>
      <c r="M5294" s="471">
        <f t="shared" si="204"/>
        <v>0.05</v>
      </c>
      <c r="N5294" s="475">
        <f t="shared" si="205"/>
        <v>212178</v>
      </c>
    </row>
    <row r="5295" spans="7:14" ht="11.25" customHeight="1" x14ac:dyDescent="0.3">
      <c r="G5295" s="470"/>
      <c r="H5295" s="470">
        <v>5288</v>
      </c>
      <c r="I5295" s="455">
        <f t="shared" ca="1" si="203"/>
        <v>-592920822974507.75</v>
      </c>
      <c r="J5295" s="455">
        <f t="array" ref="J5295">IFERROR(INDEX('Retirement Calculator'!J:J,MATCH('Isaac 401k'!N5295,'Retirement Calculator'!A:A,0),0),0)</f>
        <v>0</v>
      </c>
      <c r="K5295" s="455">
        <f t="shared" ca="1" si="201"/>
        <v>-2470503429060.4487</v>
      </c>
      <c r="L5295" s="455">
        <f t="shared" ca="1" si="202"/>
        <v>-595391326403568.25</v>
      </c>
      <c r="M5295" s="471">
        <f t="shared" si="204"/>
        <v>0.05</v>
      </c>
      <c r="N5295" s="475">
        <f t="shared" si="205"/>
        <v>212209</v>
      </c>
    </row>
    <row r="5296" spans="7:14" ht="11.25" customHeight="1" x14ac:dyDescent="0.3">
      <c r="G5296" s="470"/>
      <c r="H5296" s="470">
        <v>5289</v>
      </c>
      <c r="I5296" s="455">
        <f t="shared" ca="1" si="203"/>
        <v>-595391326403568.25</v>
      </c>
      <c r="J5296" s="455">
        <f t="array" ref="J5296">IFERROR(INDEX('Retirement Calculator'!J:J,MATCH('Isaac 401k'!N5296,'Retirement Calculator'!A:A,0),0),0)</f>
        <v>0</v>
      </c>
      <c r="K5296" s="455">
        <f t="shared" ca="1" si="201"/>
        <v>-2480797193348.2012</v>
      </c>
      <c r="L5296" s="455">
        <f t="shared" ca="1" si="202"/>
        <v>-597872123596916.5</v>
      </c>
      <c r="M5296" s="471">
        <f t="shared" si="204"/>
        <v>0.05</v>
      </c>
      <c r="N5296" s="475">
        <f t="shared" si="205"/>
        <v>212240</v>
      </c>
    </row>
    <row r="5297" spans="7:14" ht="11.25" customHeight="1" x14ac:dyDescent="0.3">
      <c r="G5297" s="470"/>
      <c r="H5297" s="470">
        <v>5290</v>
      </c>
      <c r="I5297" s="455">
        <f t="shared" ca="1" si="203"/>
        <v>-597872123596916.5</v>
      </c>
      <c r="J5297" s="455">
        <f t="array" ref="J5297">IFERROR(INDEX('Retirement Calculator'!J:J,MATCH('Isaac 401k'!N5297,'Retirement Calculator'!A:A,0),0),0)</f>
        <v>0</v>
      </c>
      <c r="K5297" s="455">
        <f t="shared" ca="1" si="201"/>
        <v>-2491133848320.4854</v>
      </c>
      <c r="L5297" s="455">
        <f t="shared" ca="1" si="202"/>
        <v>-600363257445237</v>
      </c>
      <c r="M5297" s="471">
        <f t="shared" si="204"/>
        <v>0.05</v>
      </c>
      <c r="N5297" s="475">
        <f t="shared" si="205"/>
        <v>212268</v>
      </c>
    </row>
    <row r="5298" spans="7:14" ht="11.25" customHeight="1" x14ac:dyDescent="0.3">
      <c r="G5298" s="470"/>
      <c r="H5298" s="470">
        <v>5291</v>
      </c>
      <c r="I5298" s="455">
        <f t="shared" ca="1" si="203"/>
        <v>-600363257445237</v>
      </c>
      <c r="J5298" s="455">
        <f t="array" ref="J5298">IFERROR(INDEX('Retirement Calculator'!J:J,MATCH('Isaac 401k'!N5298,'Retirement Calculator'!A:A,0),0),0)</f>
        <v>0</v>
      </c>
      <c r="K5298" s="455">
        <f t="shared" ca="1" si="201"/>
        <v>-2501513572688.4873</v>
      </c>
      <c r="L5298" s="455">
        <f t="shared" ca="1" si="202"/>
        <v>-602864771017925.5</v>
      </c>
      <c r="M5298" s="471">
        <f t="shared" si="204"/>
        <v>0.05</v>
      </c>
      <c r="N5298" s="475">
        <f t="shared" si="205"/>
        <v>212299</v>
      </c>
    </row>
    <row r="5299" spans="7:14" ht="11.25" customHeight="1" x14ac:dyDescent="0.3">
      <c r="G5299" s="470"/>
      <c r="H5299" s="470">
        <v>5292</v>
      </c>
      <c r="I5299" s="455">
        <f t="shared" ca="1" si="203"/>
        <v>-602864771017925.5</v>
      </c>
      <c r="J5299" s="455">
        <f t="array" ref="J5299">IFERROR(INDEX('Retirement Calculator'!J:J,MATCH('Isaac 401k'!N5299,'Retirement Calculator'!A:A,0),0),0)</f>
        <v>0</v>
      </c>
      <c r="K5299" s="455">
        <f t="shared" ca="1" si="201"/>
        <v>-2511936545908.0229</v>
      </c>
      <c r="L5299" s="455">
        <f t="shared" ca="1" si="202"/>
        <v>-605376707563833.5</v>
      </c>
      <c r="M5299" s="471">
        <f t="shared" si="204"/>
        <v>0.05</v>
      </c>
      <c r="N5299" s="475">
        <f t="shared" si="205"/>
        <v>212329</v>
      </c>
    </row>
    <row r="5300" spans="7:14" ht="11.25" customHeight="1" x14ac:dyDescent="0.3">
      <c r="G5300" s="470"/>
      <c r="H5300" s="470">
        <v>5293</v>
      </c>
      <c r="I5300" s="455">
        <f t="shared" ca="1" si="203"/>
        <v>-605376707563833.5</v>
      </c>
      <c r="J5300" s="455">
        <f t="array" ref="J5300">IFERROR(INDEX('Retirement Calculator'!J:J,MATCH('Isaac 401k'!N5300,'Retirement Calculator'!A:A,0),0),0)</f>
        <v>0</v>
      </c>
      <c r="K5300" s="455">
        <f t="shared" ca="1" si="201"/>
        <v>-2522402948182.6396</v>
      </c>
      <c r="L5300" s="455">
        <f t="shared" ca="1" si="202"/>
        <v>-607899110512016.13</v>
      </c>
      <c r="M5300" s="471">
        <f t="shared" si="204"/>
        <v>0.05</v>
      </c>
      <c r="N5300" s="475">
        <f t="shared" si="205"/>
        <v>212360</v>
      </c>
    </row>
    <row r="5301" spans="7:14" ht="11.25" customHeight="1" x14ac:dyDescent="0.3">
      <c r="G5301" s="470"/>
      <c r="H5301" s="470">
        <v>5294</v>
      </c>
      <c r="I5301" s="455">
        <f t="shared" ca="1" si="203"/>
        <v>-607899110512016.13</v>
      </c>
      <c r="J5301" s="455">
        <f t="array" ref="J5301">IFERROR(INDEX('Retirement Calculator'!J:J,MATCH('Isaac 401k'!N5301,'Retirement Calculator'!A:A,0),0),0)</f>
        <v>0</v>
      </c>
      <c r="K5301" s="455">
        <f t="shared" ca="1" si="201"/>
        <v>-2532912960466.7339</v>
      </c>
      <c r="L5301" s="455">
        <f t="shared" ca="1" si="202"/>
        <v>-610432023472482.88</v>
      </c>
      <c r="M5301" s="471">
        <f t="shared" si="204"/>
        <v>0.05</v>
      </c>
      <c r="N5301" s="475">
        <f t="shared" si="205"/>
        <v>212390</v>
      </c>
    </row>
    <row r="5302" spans="7:14" ht="11.25" customHeight="1" x14ac:dyDescent="0.3">
      <c r="G5302" s="470"/>
      <c r="H5302" s="470">
        <v>5295</v>
      </c>
      <c r="I5302" s="455">
        <f t="shared" ca="1" si="203"/>
        <v>-610432023472482.88</v>
      </c>
      <c r="J5302" s="455">
        <f t="array" ref="J5302">IFERROR(INDEX('Retirement Calculator'!J:J,MATCH('Isaac 401k'!N5302,'Retirement Calculator'!A:A,0),0),0)</f>
        <v>0</v>
      </c>
      <c r="K5302" s="455">
        <f t="shared" ca="1" si="201"/>
        <v>-2543466764468.6787</v>
      </c>
      <c r="L5302" s="455">
        <f t="shared" ca="1" si="202"/>
        <v>-612975490236951.5</v>
      </c>
      <c r="M5302" s="471">
        <f t="shared" si="204"/>
        <v>0.05</v>
      </c>
      <c r="N5302" s="475">
        <f t="shared" si="205"/>
        <v>212421</v>
      </c>
    </row>
    <row r="5303" spans="7:14" ht="11.25" customHeight="1" x14ac:dyDescent="0.3">
      <c r="G5303" s="470"/>
      <c r="H5303" s="470">
        <v>5296</v>
      </c>
      <c r="I5303" s="455">
        <f t="shared" ca="1" si="203"/>
        <v>-612975490236951.5</v>
      </c>
      <c r="J5303" s="455">
        <f t="array" ref="J5303">IFERROR(INDEX('Retirement Calculator'!J:J,MATCH('Isaac 401k'!N5303,'Retirement Calculator'!A:A,0),0),0)</f>
        <v>0</v>
      </c>
      <c r="K5303" s="455">
        <f t="shared" ca="1" si="201"/>
        <v>-2554064542653.9644</v>
      </c>
      <c r="L5303" s="455">
        <f t="shared" ca="1" si="202"/>
        <v>-615529554779605.5</v>
      </c>
      <c r="M5303" s="471">
        <f t="shared" si="204"/>
        <v>0.05</v>
      </c>
      <c r="N5303" s="475">
        <f t="shared" si="205"/>
        <v>212452</v>
      </c>
    </row>
    <row r="5304" spans="7:14" ht="11.25" customHeight="1" x14ac:dyDescent="0.3">
      <c r="G5304" s="470"/>
      <c r="H5304" s="470">
        <v>5297</v>
      </c>
      <c r="I5304" s="455">
        <f t="shared" ca="1" si="203"/>
        <v>-615529554779605.5</v>
      </c>
      <c r="J5304" s="455">
        <f t="array" ref="J5304">IFERROR(INDEX('Retirement Calculator'!J:J,MATCH('Isaac 401k'!N5304,'Retirement Calculator'!A:A,0),0),0)</f>
        <v>0</v>
      </c>
      <c r="K5304" s="455">
        <f t="shared" ca="1" si="201"/>
        <v>-2564706478248.3564</v>
      </c>
      <c r="L5304" s="455">
        <f t="shared" ca="1" si="202"/>
        <v>-618094261257853.88</v>
      </c>
      <c r="M5304" s="471">
        <f t="shared" si="204"/>
        <v>0.05</v>
      </c>
      <c r="N5304" s="475">
        <f t="shared" si="205"/>
        <v>212482</v>
      </c>
    </row>
    <row r="5305" spans="7:14" ht="11.25" customHeight="1" x14ac:dyDescent="0.3">
      <c r="G5305" s="470"/>
      <c r="H5305" s="470">
        <v>5298</v>
      </c>
      <c r="I5305" s="455">
        <f t="shared" ca="1" si="203"/>
        <v>-618094261257853.88</v>
      </c>
      <c r="J5305" s="455">
        <f t="array" ref="J5305">IFERROR(INDEX('Retirement Calculator'!J:J,MATCH('Isaac 401k'!N5305,'Retirement Calculator'!A:A,0),0),0)</f>
        <v>0</v>
      </c>
      <c r="K5305" s="455">
        <f t="shared" ca="1" si="201"/>
        <v>-2575392755241.0576</v>
      </c>
      <c r="L5305" s="455">
        <f t="shared" ca="1" si="202"/>
        <v>-620669654013094.88</v>
      </c>
      <c r="M5305" s="471">
        <f t="shared" si="204"/>
        <v>0.05</v>
      </c>
      <c r="N5305" s="475">
        <f t="shared" si="205"/>
        <v>212513</v>
      </c>
    </row>
    <row r="5306" spans="7:14" ht="11.25" customHeight="1" x14ac:dyDescent="0.3">
      <c r="G5306" s="470"/>
      <c r="H5306" s="470">
        <v>5299</v>
      </c>
      <c r="I5306" s="455">
        <f t="shared" ca="1" si="203"/>
        <v>-620669654013094.88</v>
      </c>
      <c r="J5306" s="455">
        <f t="array" ref="J5306">IFERROR(INDEX('Retirement Calculator'!J:J,MATCH('Isaac 401k'!N5306,'Retirement Calculator'!A:A,0),0),0)</f>
        <v>0</v>
      </c>
      <c r="K5306" s="455">
        <f t="shared" ca="1" si="201"/>
        <v>-2586123558387.8955</v>
      </c>
      <c r="L5306" s="455">
        <f t="shared" ca="1" si="202"/>
        <v>-623255777571482.75</v>
      </c>
      <c r="M5306" s="471">
        <f t="shared" si="204"/>
        <v>0.05</v>
      </c>
      <c r="N5306" s="475">
        <f t="shared" si="205"/>
        <v>212543</v>
      </c>
    </row>
    <row r="5307" spans="7:14" ht="11.25" customHeight="1" x14ac:dyDescent="0.3">
      <c r="G5307" s="470"/>
      <c r="H5307" s="470">
        <v>5300</v>
      </c>
      <c r="I5307" s="455">
        <f t="shared" ca="1" si="203"/>
        <v>-623255777571482.75</v>
      </c>
      <c r="J5307" s="455">
        <f t="array" ref="J5307">IFERROR(INDEX('Retirement Calculator'!J:J,MATCH('Isaac 401k'!N5307,'Retirement Calculator'!A:A,0),0),0)</f>
        <v>0</v>
      </c>
      <c r="K5307" s="455">
        <f t="shared" ca="1" si="201"/>
        <v>-2596899073214.5112</v>
      </c>
      <c r="L5307" s="455">
        <f t="shared" ca="1" si="202"/>
        <v>-625852676644697.25</v>
      </c>
      <c r="M5307" s="471">
        <f t="shared" si="204"/>
        <v>0.05</v>
      </c>
      <c r="N5307" s="475">
        <f t="shared" si="205"/>
        <v>212574</v>
      </c>
    </row>
    <row r="5308" spans="7:14" ht="11.25" customHeight="1" x14ac:dyDescent="0.3">
      <c r="G5308" s="470"/>
      <c r="H5308" s="470">
        <v>5301</v>
      </c>
      <c r="I5308" s="455">
        <f t="shared" ca="1" si="203"/>
        <v>-625852676644697.25</v>
      </c>
      <c r="J5308" s="455">
        <f t="array" ref="J5308">IFERROR(INDEX('Retirement Calculator'!J:J,MATCH('Isaac 401k'!N5308,'Retirement Calculator'!A:A,0),0),0)</f>
        <v>0</v>
      </c>
      <c r="K5308" s="455">
        <f t="shared" ca="1" si="201"/>
        <v>-2607719486019.5718</v>
      </c>
      <c r="L5308" s="455">
        <f t="shared" ca="1" si="202"/>
        <v>-628460396130716.88</v>
      </c>
      <c r="M5308" s="471">
        <f t="shared" si="204"/>
        <v>0.05</v>
      </c>
      <c r="N5308" s="475">
        <f t="shared" si="205"/>
        <v>212605</v>
      </c>
    </row>
    <row r="5309" spans="7:14" ht="11.25" customHeight="1" x14ac:dyDescent="0.3">
      <c r="G5309" s="470"/>
      <c r="H5309" s="470">
        <v>5302</v>
      </c>
      <c r="I5309" s="455">
        <f t="shared" ca="1" si="203"/>
        <v>-628460396130716.88</v>
      </c>
      <c r="J5309" s="455">
        <f t="array" ref="J5309">IFERROR(INDEX('Retirement Calculator'!J:J,MATCH('Isaac 401k'!N5309,'Retirement Calculator'!A:A,0),0),0)</f>
        <v>0</v>
      </c>
      <c r="K5309" s="455">
        <f t="shared" ca="1" si="201"/>
        <v>-2618584983877.9868</v>
      </c>
      <c r="L5309" s="455">
        <f t="shared" ca="1" si="202"/>
        <v>-631078981114594.88</v>
      </c>
      <c r="M5309" s="471">
        <f t="shared" si="204"/>
        <v>0.05</v>
      </c>
      <c r="N5309" s="475">
        <f t="shared" si="205"/>
        <v>212633</v>
      </c>
    </row>
    <row r="5310" spans="7:14" ht="11.25" customHeight="1" x14ac:dyDescent="0.3">
      <c r="G5310" s="470"/>
      <c r="H5310" s="470">
        <v>5303</v>
      </c>
      <c r="I5310" s="455">
        <f t="shared" ca="1" si="203"/>
        <v>-631078981114594.88</v>
      </c>
      <c r="J5310" s="455">
        <f t="array" ref="J5310">IFERROR(INDEX('Retirement Calculator'!J:J,MATCH('Isaac 401k'!N5310,'Retirement Calculator'!A:A,0),0),0)</f>
        <v>0</v>
      </c>
      <c r="K5310" s="455">
        <f t="shared" ca="1" si="201"/>
        <v>-2629495754644.1455</v>
      </c>
      <c r="L5310" s="455">
        <f t="shared" ca="1" si="202"/>
        <v>-633708476869239</v>
      </c>
      <c r="M5310" s="471">
        <f t="shared" si="204"/>
        <v>0.05</v>
      </c>
      <c r="N5310" s="475">
        <f t="shared" si="205"/>
        <v>212664</v>
      </c>
    </row>
    <row r="5311" spans="7:14" ht="11.25" customHeight="1" x14ac:dyDescent="0.3">
      <c r="G5311" s="470"/>
      <c r="H5311" s="470">
        <v>5304</v>
      </c>
      <c r="I5311" s="455">
        <f t="shared" ca="1" si="203"/>
        <v>-633708476869239</v>
      </c>
      <c r="J5311" s="455">
        <f t="array" ref="J5311">IFERROR(INDEX('Retirement Calculator'!J:J,MATCH('Isaac 401k'!N5311,'Retirement Calculator'!A:A,0),0),0)</f>
        <v>0</v>
      </c>
      <c r="K5311" s="455">
        <f t="shared" ca="1" si="201"/>
        <v>-2640451986955.1626</v>
      </c>
      <c r="L5311" s="455">
        <f t="shared" ca="1" si="202"/>
        <v>-636348928856194.13</v>
      </c>
      <c r="M5311" s="471">
        <f t="shared" si="204"/>
        <v>0.05</v>
      </c>
      <c r="N5311" s="475">
        <f t="shared" si="205"/>
        <v>212694</v>
      </c>
    </row>
    <row r="5312" spans="7:14" ht="11.25" customHeight="1" x14ac:dyDescent="0.3">
      <c r="G5312" s="470"/>
      <c r="H5312" s="470">
        <v>5305</v>
      </c>
      <c r="I5312" s="455">
        <f t="shared" ca="1" si="203"/>
        <v>-636348928856194.13</v>
      </c>
      <c r="J5312" s="455">
        <f t="array" ref="J5312">IFERROR(INDEX('Retirement Calculator'!J:J,MATCH('Isaac 401k'!N5312,'Retirement Calculator'!A:A,0),0),0)</f>
        <v>0</v>
      </c>
      <c r="K5312" s="455">
        <f t="shared" ca="1" si="201"/>
        <v>-2651453870234.1421</v>
      </c>
      <c r="L5312" s="455">
        <f t="shared" ca="1" si="202"/>
        <v>-639000382726428.25</v>
      </c>
      <c r="M5312" s="471">
        <f t="shared" si="204"/>
        <v>0.05</v>
      </c>
      <c r="N5312" s="475">
        <f t="shared" si="205"/>
        <v>212725</v>
      </c>
    </row>
    <row r="5313" spans="7:14" ht="11.25" customHeight="1" x14ac:dyDescent="0.3">
      <c r="G5313" s="470"/>
      <c r="H5313" s="470">
        <v>5306</v>
      </c>
      <c r="I5313" s="455">
        <f t="shared" ca="1" si="203"/>
        <v>-639000382726428.25</v>
      </c>
      <c r="J5313" s="455">
        <f t="array" ref="J5313">IFERROR(INDEX('Retirement Calculator'!J:J,MATCH('Isaac 401k'!N5313,'Retirement Calculator'!A:A,0),0),0)</f>
        <v>0</v>
      </c>
      <c r="K5313" s="455">
        <f t="shared" ca="1" si="201"/>
        <v>-2662501594693.4512</v>
      </c>
      <c r="L5313" s="455">
        <f t="shared" ca="1" si="202"/>
        <v>-641662884321121.75</v>
      </c>
      <c r="M5313" s="471">
        <f t="shared" si="204"/>
        <v>0.05</v>
      </c>
      <c r="N5313" s="475">
        <f t="shared" si="205"/>
        <v>212755</v>
      </c>
    </row>
    <row r="5314" spans="7:14" ht="11.25" customHeight="1" x14ac:dyDescent="0.3">
      <c r="G5314" s="470"/>
      <c r="H5314" s="470">
        <v>5307</v>
      </c>
      <c r="I5314" s="455">
        <f t="shared" ca="1" si="203"/>
        <v>-641662884321121.75</v>
      </c>
      <c r="J5314" s="455">
        <f t="array" ref="J5314">IFERROR(INDEX('Retirement Calculator'!J:J,MATCH('Isaac 401k'!N5314,'Retirement Calculator'!A:A,0),0),0)</f>
        <v>0</v>
      </c>
      <c r="K5314" s="455">
        <f t="shared" ca="1" si="201"/>
        <v>-2673595351338.0073</v>
      </c>
      <c r="L5314" s="455">
        <f t="shared" ca="1" si="202"/>
        <v>-644336479672459.75</v>
      </c>
      <c r="M5314" s="471">
        <f t="shared" si="204"/>
        <v>0.05</v>
      </c>
      <c r="N5314" s="475">
        <f t="shared" si="205"/>
        <v>212786</v>
      </c>
    </row>
    <row r="5315" spans="7:14" ht="11.25" customHeight="1" x14ac:dyDescent="0.3">
      <c r="G5315" s="470"/>
      <c r="H5315" s="470">
        <v>5308</v>
      </c>
      <c r="I5315" s="455">
        <f t="shared" ca="1" si="203"/>
        <v>-644336479672459.75</v>
      </c>
      <c r="J5315" s="455">
        <f t="array" ref="J5315">IFERROR(INDEX('Retirement Calculator'!J:J,MATCH('Isaac 401k'!N5315,'Retirement Calculator'!A:A,0),0),0)</f>
        <v>0</v>
      </c>
      <c r="K5315" s="455">
        <f t="shared" ca="1" si="201"/>
        <v>-2684735331968.582</v>
      </c>
      <c r="L5315" s="455">
        <f t="shared" ca="1" si="202"/>
        <v>-647021215004428.38</v>
      </c>
      <c r="M5315" s="471">
        <f t="shared" si="204"/>
        <v>0.05</v>
      </c>
      <c r="N5315" s="475">
        <f t="shared" si="205"/>
        <v>212817</v>
      </c>
    </row>
    <row r="5316" spans="7:14" ht="11.25" customHeight="1" x14ac:dyDescent="0.3">
      <c r="G5316" s="470"/>
      <c r="H5316" s="470">
        <v>5309</v>
      </c>
      <c r="I5316" s="455">
        <f t="shared" ca="1" si="203"/>
        <v>-647021215004428.38</v>
      </c>
      <c r="J5316" s="455">
        <f t="array" ref="J5316">IFERROR(INDEX('Retirement Calculator'!J:J,MATCH('Isaac 401k'!N5316,'Retirement Calculator'!A:A,0),0),0)</f>
        <v>0</v>
      </c>
      <c r="K5316" s="455">
        <f t="shared" ca="1" si="201"/>
        <v>-2695921729185.1182</v>
      </c>
      <c r="L5316" s="455">
        <f t="shared" ca="1" si="202"/>
        <v>-649717136733613.5</v>
      </c>
      <c r="M5316" s="471">
        <f t="shared" si="204"/>
        <v>0.05</v>
      </c>
      <c r="N5316" s="475">
        <f t="shared" si="205"/>
        <v>212847</v>
      </c>
    </row>
    <row r="5317" spans="7:14" ht="11.25" customHeight="1" x14ac:dyDescent="0.3">
      <c r="G5317" s="470"/>
      <c r="H5317" s="470">
        <v>5310</v>
      </c>
      <c r="I5317" s="455">
        <f t="shared" ca="1" si="203"/>
        <v>-649717136733613.5</v>
      </c>
      <c r="J5317" s="455">
        <f t="array" ref="J5317">IFERROR(INDEX('Retirement Calculator'!J:J,MATCH('Isaac 401k'!N5317,'Retirement Calculator'!A:A,0),0),0)</f>
        <v>0</v>
      </c>
      <c r="K5317" s="455">
        <f t="shared" ca="1" si="201"/>
        <v>-2707154736390.0562</v>
      </c>
      <c r="L5317" s="455">
        <f t="shared" ca="1" si="202"/>
        <v>-652424291470003.5</v>
      </c>
      <c r="M5317" s="471">
        <f t="shared" si="204"/>
        <v>0.05</v>
      </c>
      <c r="N5317" s="475">
        <f t="shared" si="205"/>
        <v>212878</v>
      </c>
    </row>
    <row r="5318" spans="7:14" ht="11.25" customHeight="1" x14ac:dyDescent="0.3">
      <c r="G5318" s="470"/>
      <c r="H5318" s="470">
        <v>5311</v>
      </c>
      <c r="I5318" s="455">
        <f t="shared" ca="1" si="203"/>
        <v>-652424291470003.5</v>
      </c>
      <c r="J5318" s="455">
        <f t="array" ref="J5318">IFERROR(INDEX('Retirement Calculator'!J:J,MATCH('Isaac 401k'!N5318,'Retirement Calculator'!A:A,0),0),0)</f>
        <v>0</v>
      </c>
      <c r="K5318" s="455">
        <f t="shared" ca="1" si="201"/>
        <v>-2718434547791.6812</v>
      </c>
      <c r="L5318" s="455">
        <f t="shared" ca="1" si="202"/>
        <v>-655142726017795.13</v>
      </c>
      <c r="M5318" s="471">
        <f t="shared" si="204"/>
        <v>0.05</v>
      </c>
      <c r="N5318" s="475">
        <f t="shared" si="205"/>
        <v>212908</v>
      </c>
    </row>
    <row r="5319" spans="7:14" ht="11.25" customHeight="1" x14ac:dyDescent="0.3">
      <c r="G5319" s="470"/>
      <c r="H5319" s="470">
        <v>5312</v>
      </c>
      <c r="I5319" s="455">
        <f t="shared" ca="1" si="203"/>
        <v>-655142726017795.13</v>
      </c>
      <c r="J5319" s="455">
        <f t="array" ref="J5319">IFERROR(INDEX('Retirement Calculator'!J:J,MATCH('Isaac 401k'!N5319,'Retirement Calculator'!A:A,0),0),0)</f>
        <v>0</v>
      </c>
      <c r="K5319" s="455">
        <f t="shared" ca="1" si="201"/>
        <v>-2729761358407.4795</v>
      </c>
      <c r="L5319" s="455">
        <f t="shared" ca="1" si="202"/>
        <v>-657872487376202.63</v>
      </c>
      <c r="M5319" s="471">
        <f t="shared" si="204"/>
        <v>0.05</v>
      </c>
      <c r="N5319" s="475">
        <f t="shared" si="205"/>
        <v>212939</v>
      </c>
    </row>
    <row r="5320" spans="7:14" ht="11.25" customHeight="1" x14ac:dyDescent="0.3">
      <c r="G5320" s="470"/>
      <c r="H5320" s="470">
        <v>5313</v>
      </c>
      <c r="I5320" s="455">
        <f t="shared" ca="1" si="203"/>
        <v>-657872487376202.63</v>
      </c>
      <c r="J5320" s="455">
        <f t="array" ref="J5320">IFERROR(INDEX('Retirement Calculator'!J:J,MATCH('Isaac 401k'!N5320,'Retirement Calculator'!A:A,0),0),0)</f>
        <v>0</v>
      </c>
      <c r="K5320" s="455">
        <f t="shared" ca="1" si="201"/>
        <v>-2741135364067.5107</v>
      </c>
      <c r="L5320" s="455">
        <f t="shared" ca="1" si="202"/>
        <v>-660613622740270.13</v>
      </c>
      <c r="M5320" s="471">
        <f t="shared" si="204"/>
        <v>0.05</v>
      </c>
      <c r="N5320" s="475">
        <f t="shared" si="205"/>
        <v>212970</v>
      </c>
    </row>
    <row r="5321" spans="7:14" ht="11.25" customHeight="1" x14ac:dyDescent="0.3">
      <c r="G5321" s="470"/>
      <c r="H5321" s="470">
        <v>5314</v>
      </c>
      <c r="I5321" s="455">
        <f t="shared" ca="1" si="203"/>
        <v>-660613622740270.13</v>
      </c>
      <c r="J5321" s="455">
        <f t="array" ref="J5321">IFERROR(INDEX('Retirement Calculator'!J:J,MATCH('Isaac 401k'!N5321,'Retirement Calculator'!A:A,0),0),0)</f>
        <v>0</v>
      </c>
      <c r="K5321" s="455">
        <f t="shared" ca="1" si="201"/>
        <v>-2752556761417.792</v>
      </c>
      <c r="L5321" s="455">
        <f t="shared" ca="1" si="202"/>
        <v>-663366179501687.88</v>
      </c>
      <c r="M5321" s="471">
        <f t="shared" si="204"/>
        <v>0.05</v>
      </c>
      <c r="N5321" s="475">
        <f t="shared" si="205"/>
        <v>212998</v>
      </c>
    </row>
    <row r="5322" spans="7:14" ht="11.25" customHeight="1" x14ac:dyDescent="0.3">
      <c r="G5322" s="470"/>
      <c r="H5322" s="470">
        <v>5315</v>
      </c>
      <c r="I5322" s="455">
        <f t="shared" ca="1" si="203"/>
        <v>-663366179501687.88</v>
      </c>
      <c r="J5322" s="455">
        <f t="array" ref="J5322">IFERROR(INDEX('Retirement Calculator'!J:J,MATCH('Isaac 401k'!N5322,'Retirement Calculator'!A:A,0),0),0)</f>
        <v>0</v>
      </c>
      <c r="K5322" s="455">
        <f t="shared" ca="1" si="201"/>
        <v>-2764025747923.6992</v>
      </c>
      <c r="L5322" s="455">
        <f t="shared" ca="1" si="202"/>
        <v>-666130205249611.63</v>
      </c>
      <c r="M5322" s="471">
        <f t="shared" si="204"/>
        <v>0.05</v>
      </c>
      <c r="N5322" s="475">
        <f t="shared" si="205"/>
        <v>213029</v>
      </c>
    </row>
    <row r="5323" spans="7:14" ht="11.25" customHeight="1" x14ac:dyDescent="0.3">
      <c r="G5323" s="470"/>
      <c r="H5323" s="470">
        <v>5316</v>
      </c>
      <c r="I5323" s="455">
        <f t="shared" ca="1" si="203"/>
        <v>-666130205249611.63</v>
      </c>
      <c r="J5323" s="455">
        <f t="array" ref="J5323">IFERROR(INDEX('Retirement Calculator'!J:J,MATCH('Isaac 401k'!N5323,'Retirement Calculator'!A:A,0),0),0)</f>
        <v>0</v>
      </c>
      <c r="K5323" s="455">
        <f t="shared" ca="1" si="201"/>
        <v>-2775542521873.3818</v>
      </c>
      <c r="L5323" s="455">
        <f t="shared" ca="1" si="202"/>
        <v>-668905747771485</v>
      </c>
      <c r="M5323" s="471">
        <f t="shared" si="204"/>
        <v>0.05</v>
      </c>
      <c r="N5323" s="475">
        <f t="shared" si="205"/>
        <v>213059</v>
      </c>
    </row>
    <row r="5324" spans="7:14" ht="11.25" customHeight="1" x14ac:dyDescent="0.3">
      <c r="G5324" s="470"/>
      <c r="H5324" s="470">
        <v>5317</v>
      </c>
      <c r="I5324" s="455">
        <f t="shared" ca="1" si="203"/>
        <v>-668905747771485</v>
      </c>
      <c r="J5324" s="455">
        <f t="array" ref="J5324">IFERROR(INDEX('Retirement Calculator'!J:J,MATCH('Isaac 401k'!N5324,'Retirement Calculator'!A:A,0),0),0)</f>
        <v>0</v>
      </c>
      <c r="K5324" s="455">
        <f t="shared" ca="1" si="201"/>
        <v>-2787107282381.1875</v>
      </c>
      <c r="L5324" s="455">
        <f t="shared" ca="1" si="202"/>
        <v>-671692855053866.25</v>
      </c>
      <c r="M5324" s="471">
        <f t="shared" si="204"/>
        <v>0.05</v>
      </c>
      <c r="N5324" s="475">
        <f t="shared" si="205"/>
        <v>213090</v>
      </c>
    </row>
    <row r="5325" spans="7:14" ht="11.25" customHeight="1" x14ac:dyDescent="0.3">
      <c r="G5325" s="470"/>
      <c r="H5325" s="470">
        <v>5318</v>
      </c>
      <c r="I5325" s="455">
        <f t="shared" ca="1" si="203"/>
        <v>-671692855053866.25</v>
      </c>
      <c r="J5325" s="455">
        <f t="array" ref="J5325">IFERROR(INDEX('Retirement Calculator'!J:J,MATCH('Isaac 401k'!N5325,'Retirement Calculator'!A:A,0),0),0)</f>
        <v>0</v>
      </c>
      <c r="K5325" s="455">
        <f t="shared" ca="1" si="201"/>
        <v>-2798720229391.1094</v>
      </c>
      <c r="L5325" s="455">
        <f t="shared" ca="1" si="202"/>
        <v>-674491575283257.38</v>
      </c>
      <c r="M5325" s="471">
        <f t="shared" si="204"/>
        <v>0.05</v>
      </c>
      <c r="N5325" s="475">
        <f t="shared" si="205"/>
        <v>213120</v>
      </c>
    </row>
    <row r="5326" spans="7:14" ht="11.25" customHeight="1" x14ac:dyDescent="0.3">
      <c r="G5326" s="470"/>
      <c r="H5326" s="470">
        <v>5319</v>
      </c>
      <c r="I5326" s="455">
        <f t="shared" ca="1" si="203"/>
        <v>-674491575283257.38</v>
      </c>
      <c r="J5326" s="455">
        <f t="array" ref="J5326">IFERROR(INDEX('Retirement Calculator'!J:J,MATCH('Isaac 401k'!N5326,'Retirement Calculator'!A:A,0),0),0)</f>
        <v>0</v>
      </c>
      <c r="K5326" s="455">
        <f t="shared" ca="1" si="201"/>
        <v>-2810381563680.2393</v>
      </c>
      <c r="L5326" s="455">
        <f t="shared" ca="1" si="202"/>
        <v>-677301956846937.63</v>
      </c>
      <c r="M5326" s="471">
        <f t="shared" si="204"/>
        <v>0.05</v>
      </c>
      <c r="N5326" s="475">
        <f t="shared" si="205"/>
        <v>213151</v>
      </c>
    </row>
    <row r="5327" spans="7:14" ht="11.25" customHeight="1" x14ac:dyDescent="0.3">
      <c r="G5327" s="470"/>
      <c r="H5327" s="470">
        <v>5320</v>
      </c>
      <c r="I5327" s="455">
        <f t="shared" ca="1" si="203"/>
        <v>-677301956846937.63</v>
      </c>
      <c r="J5327" s="455">
        <f t="array" ref="J5327">IFERROR(INDEX('Retirement Calculator'!J:J,MATCH('Isaac 401k'!N5327,'Retirement Calculator'!A:A,0),0),0)</f>
        <v>0</v>
      </c>
      <c r="K5327" s="455">
        <f t="shared" ca="1" si="201"/>
        <v>-2822091486862.2402</v>
      </c>
      <c r="L5327" s="455">
        <f t="shared" ca="1" si="202"/>
        <v>-680124048333799.88</v>
      </c>
      <c r="M5327" s="471">
        <f t="shared" si="204"/>
        <v>0.05</v>
      </c>
      <c r="N5327" s="475">
        <f t="shared" si="205"/>
        <v>213182</v>
      </c>
    </row>
    <row r="5328" spans="7:14" ht="11.25" customHeight="1" x14ac:dyDescent="0.3">
      <c r="G5328" s="470"/>
      <c r="H5328" s="470">
        <v>5321</v>
      </c>
      <c r="I5328" s="455">
        <f t="shared" ca="1" si="203"/>
        <v>-680124048333799.88</v>
      </c>
      <c r="J5328" s="455">
        <f t="array" ref="J5328">IFERROR(INDEX('Retirement Calculator'!J:J,MATCH('Isaac 401k'!N5328,'Retirement Calculator'!A:A,0),0),0)</f>
        <v>0</v>
      </c>
      <c r="K5328" s="455">
        <f t="shared" ca="1" si="201"/>
        <v>-2833850201390.833</v>
      </c>
      <c r="L5328" s="455">
        <f t="shared" ca="1" si="202"/>
        <v>-682957898535190.75</v>
      </c>
      <c r="M5328" s="471">
        <f t="shared" si="204"/>
        <v>0.05</v>
      </c>
      <c r="N5328" s="475">
        <f t="shared" si="205"/>
        <v>213212</v>
      </c>
    </row>
    <row r="5329" spans="7:14" ht="11.25" customHeight="1" x14ac:dyDescent="0.3">
      <c r="G5329" s="470"/>
      <c r="H5329" s="470">
        <v>5322</v>
      </c>
      <c r="I5329" s="455">
        <f t="shared" ca="1" si="203"/>
        <v>-682957898535190.75</v>
      </c>
      <c r="J5329" s="455">
        <f t="array" ref="J5329">IFERROR(INDEX('Retirement Calculator'!J:J,MATCH('Isaac 401k'!N5329,'Retirement Calculator'!A:A,0),0),0)</f>
        <v>0</v>
      </c>
      <c r="K5329" s="455">
        <f t="shared" ca="1" si="201"/>
        <v>-2845657910563.2949</v>
      </c>
      <c r="L5329" s="455">
        <f t="shared" ca="1" si="202"/>
        <v>-685803556445754</v>
      </c>
      <c r="M5329" s="471">
        <f t="shared" si="204"/>
        <v>0.05</v>
      </c>
      <c r="N5329" s="475">
        <f t="shared" si="205"/>
        <v>213243</v>
      </c>
    </row>
    <row r="5330" spans="7:14" ht="11.25" customHeight="1" x14ac:dyDescent="0.3">
      <c r="G5330" s="470"/>
      <c r="H5330" s="470">
        <v>5323</v>
      </c>
      <c r="I5330" s="455">
        <f t="shared" ca="1" si="203"/>
        <v>-685803556445754</v>
      </c>
      <c r="J5330" s="455">
        <f t="array" ref="J5330">IFERROR(INDEX('Retirement Calculator'!J:J,MATCH('Isaac 401k'!N5330,'Retirement Calculator'!A:A,0),0),0)</f>
        <v>0</v>
      </c>
      <c r="K5330" s="455">
        <f t="shared" ca="1" si="201"/>
        <v>-2857514818523.9751</v>
      </c>
      <c r="L5330" s="455">
        <f t="shared" ca="1" si="202"/>
        <v>-688661071264278</v>
      </c>
      <c r="M5330" s="471">
        <f t="shared" si="204"/>
        <v>0.05</v>
      </c>
      <c r="N5330" s="475">
        <f t="shared" si="205"/>
        <v>213273</v>
      </c>
    </row>
    <row r="5331" spans="7:14" ht="11.25" customHeight="1" x14ac:dyDescent="0.3">
      <c r="G5331" s="470"/>
      <c r="H5331" s="470">
        <v>5324</v>
      </c>
      <c r="I5331" s="455">
        <f t="shared" ca="1" si="203"/>
        <v>-688661071264278</v>
      </c>
      <c r="J5331" s="455">
        <f t="array" ref="J5331">IFERROR(INDEX('Retirement Calculator'!J:J,MATCH('Isaac 401k'!N5331,'Retirement Calculator'!A:A,0),0),0)</f>
        <v>0</v>
      </c>
      <c r="K5331" s="455">
        <f t="shared" ca="1" si="201"/>
        <v>-2869421130267.8252</v>
      </c>
      <c r="L5331" s="455">
        <f t="shared" ca="1" si="202"/>
        <v>-691530492394545.88</v>
      </c>
      <c r="M5331" s="471">
        <f t="shared" si="204"/>
        <v>0.05</v>
      </c>
      <c r="N5331" s="475">
        <f t="shared" si="205"/>
        <v>213304</v>
      </c>
    </row>
    <row r="5332" spans="7:14" ht="11.25" customHeight="1" x14ac:dyDescent="0.3">
      <c r="G5332" s="470"/>
      <c r="H5332" s="470">
        <v>5325</v>
      </c>
      <c r="I5332" s="455">
        <f t="shared" ca="1" si="203"/>
        <v>-691530492394545.88</v>
      </c>
      <c r="J5332" s="455">
        <f t="array" ref="J5332">IFERROR(INDEX('Retirement Calculator'!J:J,MATCH('Isaac 401k'!N5332,'Retirement Calculator'!A:A,0),0),0)</f>
        <v>0</v>
      </c>
      <c r="K5332" s="455">
        <f t="shared" ca="1" si="201"/>
        <v>-2881377051643.9409</v>
      </c>
      <c r="L5332" s="455">
        <f t="shared" ca="1" si="202"/>
        <v>-694411869446189.88</v>
      </c>
      <c r="M5332" s="471">
        <f t="shared" si="204"/>
        <v>0.05</v>
      </c>
      <c r="N5332" s="475">
        <f t="shared" si="205"/>
        <v>213335</v>
      </c>
    </row>
    <row r="5333" spans="7:14" ht="11.25" customHeight="1" x14ac:dyDescent="0.3">
      <c r="G5333" s="470"/>
      <c r="H5333" s="470">
        <v>5326</v>
      </c>
      <c r="I5333" s="455">
        <f t="shared" ca="1" si="203"/>
        <v>-694411869446189.88</v>
      </c>
      <c r="J5333" s="455">
        <f t="array" ref="J5333">IFERROR(INDEX('Retirement Calculator'!J:J,MATCH('Isaac 401k'!N5333,'Retirement Calculator'!A:A,0),0),0)</f>
        <v>0</v>
      </c>
      <c r="K5333" s="455">
        <f t="shared" ca="1" si="201"/>
        <v>-2893382789359.1245</v>
      </c>
      <c r="L5333" s="455">
        <f t="shared" ca="1" si="202"/>
        <v>-697305252235549</v>
      </c>
      <c r="M5333" s="471">
        <f t="shared" si="204"/>
        <v>0.05</v>
      </c>
      <c r="N5333" s="475">
        <f t="shared" si="205"/>
        <v>213364</v>
      </c>
    </row>
    <row r="5334" spans="7:14" ht="11.25" customHeight="1" x14ac:dyDescent="0.3">
      <c r="G5334" s="470"/>
      <c r="H5334" s="470">
        <v>5327</v>
      </c>
      <c r="I5334" s="455">
        <f t="shared" ca="1" si="203"/>
        <v>-697305252235549</v>
      </c>
      <c r="J5334" s="455">
        <f t="array" ref="J5334">IFERROR(INDEX('Retirement Calculator'!J:J,MATCH('Isaac 401k'!N5334,'Retirement Calculator'!A:A,0),0),0)</f>
        <v>0</v>
      </c>
      <c r="K5334" s="455">
        <f t="shared" ca="1" si="201"/>
        <v>-2905438550981.4541</v>
      </c>
      <c r="L5334" s="455">
        <f t="shared" ca="1" si="202"/>
        <v>-700210690786530.5</v>
      </c>
      <c r="M5334" s="471">
        <f t="shared" si="204"/>
        <v>0.05</v>
      </c>
      <c r="N5334" s="475">
        <f t="shared" si="205"/>
        <v>213395</v>
      </c>
    </row>
    <row r="5335" spans="7:14" ht="11.25" customHeight="1" x14ac:dyDescent="0.3">
      <c r="G5335" s="470"/>
      <c r="H5335" s="470">
        <v>5328</v>
      </c>
      <c r="I5335" s="455">
        <f t="shared" ca="1" si="203"/>
        <v>-700210690786530.5</v>
      </c>
      <c r="J5335" s="455">
        <f t="array" ref="J5335">IFERROR(INDEX('Retirement Calculator'!J:J,MATCH('Isaac 401k'!N5335,'Retirement Calculator'!A:A,0),0),0)</f>
        <v>0</v>
      </c>
      <c r="K5335" s="455">
        <f t="shared" ca="1" si="201"/>
        <v>-2917544544943.877</v>
      </c>
      <c r="L5335" s="455">
        <f t="shared" ca="1" si="202"/>
        <v>-703128235331474.38</v>
      </c>
      <c r="M5335" s="471">
        <f t="shared" si="204"/>
        <v>0.05</v>
      </c>
      <c r="N5335" s="475">
        <f t="shared" si="205"/>
        <v>213425</v>
      </c>
    </row>
    <row r="5336" spans="7:14" ht="11.25" customHeight="1" x14ac:dyDescent="0.3">
      <c r="G5336" s="470"/>
      <c r="H5336" s="470">
        <v>5329</v>
      </c>
      <c r="I5336" s="455">
        <f t="shared" ca="1" si="203"/>
        <v>-703128235331474.38</v>
      </c>
      <c r="J5336" s="455">
        <f t="array" ref="J5336">IFERROR(INDEX('Retirement Calculator'!J:J,MATCH('Isaac 401k'!N5336,'Retirement Calculator'!A:A,0),0),0)</f>
        <v>0</v>
      </c>
      <c r="K5336" s="455">
        <f t="shared" ca="1" si="201"/>
        <v>-2929700980547.8101</v>
      </c>
      <c r="L5336" s="455">
        <f t="shared" ca="1" si="202"/>
        <v>-706057936312022.13</v>
      </c>
      <c r="M5336" s="471">
        <f t="shared" si="204"/>
        <v>0.05</v>
      </c>
      <c r="N5336" s="475">
        <f t="shared" si="205"/>
        <v>213456</v>
      </c>
    </row>
    <row r="5337" spans="7:14" ht="11.25" customHeight="1" x14ac:dyDescent="0.3">
      <c r="G5337" s="470"/>
      <c r="H5337" s="470">
        <v>5330</v>
      </c>
      <c r="I5337" s="455">
        <f t="shared" ca="1" si="203"/>
        <v>-706057936312022.13</v>
      </c>
      <c r="J5337" s="455">
        <f t="array" ref="J5337">IFERROR(INDEX('Retirement Calculator'!J:J,MATCH('Isaac 401k'!N5337,'Retirement Calculator'!A:A,0),0),0)</f>
        <v>0</v>
      </c>
      <c r="K5337" s="455">
        <f t="shared" ca="1" si="201"/>
        <v>-2941908067966.7588</v>
      </c>
      <c r="L5337" s="455">
        <f t="shared" ca="1" si="202"/>
        <v>-708999844379988.88</v>
      </c>
      <c r="M5337" s="471">
        <f t="shared" si="204"/>
        <v>0.05</v>
      </c>
      <c r="N5337" s="475">
        <f t="shared" si="205"/>
        <v>213486</v>
      </c>
    </row>
    <row r="5338" spans="7:14" ht="11.25" customHeight="1" x14ac:dyDescent="0.3">
      <c r="G5338" s="470"/>
      <c r="H5338" s="470">
        <v>5331</v>
      </c>
      <c r="I5338" s="455">
        <f t="shared" ca="1" si="203"/>
        <v>-708999844379988.88</v>
      </c>
      <c r="J5338" s="455">
        <f t="array" ref="J5338">IFERROR(INDEX('Retirement Calculator'!J:J,MATCH('Isaac 401k'!N5338,'Retirement Calculator'!A:A,0),0),0)</f>
        <v>0</v>
      </c>
      <c r="K5338" s="455">
        <f t="shared" ca="1" si="201"/>
        <v>-2954166018249.9536</v>
      </c>
      <c r="L5338" s="455">
        <f t="shared" ca="1" si="202"/>
        <v>-711954010398238.88</v>
      </c>
      <c r="M5338" s="471">
        <f t="shared" si="204"/>
        <v>0.05</v>
      </c>
      <c r="N5338" s="475">
        <f t="shared" si="205"/>
        <v>213517</v>
      </c>
    </row>
    <row r="5339" spans="7:14" ht="11.25" customHeight="1" x14ac:dyDescent="0.3">
      <c r="G5339" s="470"/>
      <c r="H5339" s="470">
        <v>5332</v>
      </c>
      <c r="I5339" s="455">
        <f t="shared" ca="1" si="203"/>
        <v>-711954010398238.88</v>
      </c>
      <c r="J5339" s="455">
        <f t="array" ref="J5339">IFERROR(INDEX('Retirement Calculator'!J:J,MATCH('Isaac 401k'!N5339,'Retirement Calculator'!A:A,0),0),0)</f>
        <v>0</v>
      </c>
      <c r="K5339" s="455">
        <f t="shared" ca="1" si="201"/>
        <v>-2966475043325.9951</v>
      </c>
      <c r="L5339" s="455">
        <f t="shared" ca="1" si="202"/>
        <v>-714920485441564.88</v>
      </c>
      <c r="M5339" s="471">
        <f t="shared" si="204"/>
        <v>0.05</v>
      </c>
      <c r="N5339" s="475">
        <f t="shared" si="205"/>
        <v>213548</v>
      </c>
    </row>
    <row r="5340" spans="7:14" ht="11.25" customHeight="1" x14ac:dyDescent="0.3">
      <c r="G5340" s="470"/>
      <c r="H5340" s="470">
        <v>5333</v>
      </c>
      <c r="I5340" s="455">
        <f t="shared" ca="1" si="203"/>
        <v>-714920485441564.88</v>
      </c>
      <c r="J5340" s="455">
        <f t="array" ref="J5340">IFERROR(INDEX('Retirement Calculator'!J:J,MATCH('Isaac 401k'!N5340,'Retirement Calculator'!A:A,0),0),0)</f>
        <v>0</v>
      </c>
      <c r="K5340" s="455">
        <f t="shared" ca="1" si="201"/>
        <v>-2978835356006.5205</v>
      </c>
      <c r="L5340" s="455">
        <f t="shared" ca="1" si="202"/>
        <v>-717899320797571.38</v>
      </c>
      <c r="M5340" s="471">
        <f t="shared" si="204"/>
        <v>0.05</v>
      </c>
      <c r="N5340" s="475">
        <f t="shared" si="205"/>
        <v>213578</v>
      </c>
    </row>
    <row r="5341" spans="7:14" ht="11.25" customHeight="1" x14ac:dyDescent="0.3">
      <c r="G5341" s="470"/>
      <c r="H5341" s="470">
        <v>5334</v>
      </c>
      <c r="I5341" s="455">
        <f t="shared" ca="1" si="203"/>
        <v>-717899320797571.38</v>
      </c>
      <c r="J5341" s="455">
        <f t="array" ref="J5341">IFERROR(INDEX('Retirement Calculator'!J:J,MATCH('Isaac 401k'!N5341,'Retirement Calculator'!A:A,0),0),0)</f>
        <v>0</v>
      </c>
      <c r="K5341" s="455">
        <f t="shared" ca="1" si="201"/>
        <v>-2991247169989.8809</v>
      </c>
      <c r="L5341" s="455">
        <f t="shared" ca="1" si="202"/>
        <v>-720890567967561.25</v>
      </c>
      <c r="M5341" s="471">
        <f t="shared" si="204"/>
        <v>0.05</v>
      </c>
      <c r="N5341" s="475">
        <f t="shared" si="205"/>
        <v>213609</v>
      </c>
    </row>
    <row r="5342" spans="7:14" ht="11.25" customHeight="1" x14ac:dyDescent="0.3">
      <c r="G5342" s="470"/>
      <c r="H5342" s="470">
        <v>5335</v>
      </c>
      <c r="I5342" s="455">
        <f t="shared" ca="1" si="203"/>
        <v>-720890567967561.25</v>
      </c>
      <c r="J5342" s="455">
        <f t="array" ref="J5342">IFERROR(INDEX('Retirement Calculator'!J:J,MATCH('Isaac 401k'!N5342,'Retirement Calculator'!A:A,0),0),0)</f>
        <v>0</v>
      </c>
      <c r="K5342" s="455">
        <f t="shared" ca="1" si="201"/>
        <v>-3003710699864.8384</v>
      </c>
      <c r="L5342" s="455">
        <f t="shared" ca="1" si="202"/>
        <v>-723894278667426.13</v>
      </c>
      <c r="M5342" s="471">
        <f t="shared" si="204"/>
        <v>0.05</v>
      </c>
      <c r="N5342" s="475">
        <f t="shared" si="205"/>
        <v>213639</v>
      </c>
    </row>
    <row r="5343" spans="7:14" ht="11.25" customHeight="1" x14ac:dyDescent="0.3">
      <c r="G5343" s="470"/>
      <c r="H5343" s="470">
        <v>5336</v>
      </c>
      <c r="I5343" s="455">
        <f t="shared" ca="1" si="203"/>
        <v>-723894278667426.13</v>
      </c>
      <c r="J5343" s="455">
        <f t="array" ref="J5343">IFERROR(INDEX('Retirement Calculator'!J:J,MATCH('Isaac 401k'!N5343,'Retirement Calculator'!A:A,0),0),0)</f>
        <v>0</v>
      </c>
      <c r="K5343" s="455">
        <f t="shared" ca="1" si="201"/>
        <v>-3016226161114.2754</v>
      </c>
      <c r="L5343" s="455">
        <f t="shared" ca="1" si="202"/>
        <v>-726910504828540.38</v>
      </c>
      <c r="M5343" s="471">
        <f t="shared" si="204"/>
        <v>0.05</v>
      </c>
      <c r="N5343" s="475">
        <f t="shared" si="205"/>
        <v>213670</v>
      </c>
    </row>
    <row r="5344" spans="7:14" ht="11.25" customHeight="1" x14ac:dyDescent="0.3">
      <c r="G5344" s="470"/>
      <c r="H5344" s="470">
        <v>5337</v>
      </c>
      <c r="I5344" s="455">
        <f t="shared" ca="1" si="203"/>
        <v>-726910504828540.38</v>
      </c>
      <c r="J5344" s="455">
        <f t="array" ref="J5344">IFERROR(INDEX('Retirement Calculator'!J:J,MATCH('Isaac 401k'!N5344,'Retirement Calculator'!A:A,0),0),0)</f>
        <v>0</v>
      </c>
      <c r="K5344" s="455">
        <f t="shared" ca="1" si="201"/>
        <v>-3028793770118.918</v>
      </c>
      <c r="L5344" s="455">
        <f t="shared" ca="1" si="202"/>
        <v>-729939298598659.25</v>
      </c>
      <c r="M5344" s="471">
        <f t="shared" si="204"/>
        <v>0.05</v>
      </c>
      <c r="N5344" s="475">
        <f t="shared" si="205"/>
        <v>213701</v>
      </c>
    </row>
    <row r="5345" spans="7:14" ht="11.25" customHeight="1" x14ac:dyDescent="0.3">
      <c r="G5345" s="470"/>
      <c r="H5345" s="470">
        <v>5338</v>
      </c>
      <c r="I5345" s="455">
        <f t="shared" ca="1" si="203"/>
        <v>-729939298598659.25</v>
      </c>
      <c r="J5345" s="455">
        <f t="array" ref="J5345">IFERROR(INDEX('Retirement Calculator'!J:J,MATCH('Isaac 401k'!N5345,'Retirement Calculator'!A:A,0),0),0)</f>
        <v>0</v>
      </c>
      <c r="K5345" s="455">
        <f t="shared" ca="1" si="201"/>
        <v>-3041413744161.0801</v>
      </c>
      <c r="L5345" s="455">
        <f t="shared" ca="1" si="202"/>
        <v>-732980712342820.38</v>
      </c>
      <c r="M5345" s="471">
        <f t="shared" si="204"/>
        <v>0.05</v>
      </c>
      <c r="N5345" s="475">
        <f t="shared" si="205"/>
        <v>213729</v>
      </c>
    </row>
    <row r="5346" spans="7:14" ht="11.25" customHeight="1" x14ac:dyDescent="0.3">
      <c r="G5346" s="470"/>
      <c r="H5346" s="470">
        <v>5339</v>
      </c>
      <c r="I5346" s="455">
        <f t="shared" ca="1" si="203"/>
        <v>-732980712342820.38</v>
      </c>
      <c r="J5346" s="455">
        <f t="array" ref="J5346">IFERROR(INDEX('Retirement Calculator'!J:J,MATCH('Isaac 401k'!N5346,'Retirement Calculator'!A:A,0),0),0)</f>
        <v>0</v>
      </c>
      <c r="K5346" s="455">
        <f t="shared" ca="1" si="201"/>
        <v>-3054086301428.418</v>
      </c>
      <c r="L5346" s="455">
        <f t="shared" ca="1" si="202"/>
        <v>-736034798644248.75</v>
      </c>
      <c r="M5346" s="471">
        <f t="shared" si="204"/>
        <v>0.05</v>
      </c>
      <c r="N5346" s="475">
        <f t="shared" si="205"/>
        <v>213760</v>
      </c>
    </row>
    <row r="5347" spans="7:14" ht="11.25" customHeight="1" x14ac:dyDescent="0.3">
      <c r="G5347" s="470"/>
      <c r="H5347" s="470">
        <v>5340</v>
      </c>
      <c r="I5347" s="455">
        <f t="shared" ca="1" si="203"/>
        <v>-736034798644248.75</v>
      </c>
      <c r="J5347" s="455">
        <f t="array" ref="J5347">IFERROR(INDEX('Retirement Calculator'!J:J,MATCH('Isaac 401k'!N5347,'Retirement Calculator'!A:A,0),0),0)</f>
        <v>0</v>
      </c>
      <c r="K5347" s="455">
        <f t="shared" ca="1" si="201"/>
        <v>-3066811661017.7031</v>
      </c>
      <c r="L5347" s="455">
        <f t="shared" ca="1" si="202"/>
        <v>-739101610305266.5</v>
      </c>
      <c r="M5347" s="471">
        <f t="shared" si="204"/>
        <v>0.05</v>
      </c>
      <c r="N5347" s="475">
        <f t="shared" si="205"/>
        <v>213790</v>
      </c>
    </row>
    <row r="5348" spans="7:14" ht="11.25" customHeight="1" x14ac:dyDescent="0.3">
      <c r="G5348" s="470"/>
      <c r="H5348" s="470">
        <v>5341</v>
      </c>
      <c r="I5348" s="455">
        <f t="shared" ca="1" si="203"/>
        <v>-739101610305266.5</v>
      </c>
      <c r="J5348" s="455">
        <f t="array" ref="J5348">IFERROR(INDEX('Retirement Calculator'!J:J,MATCH('Isaac 401k'!N5348,'Retirement Calculator'!A:A,0),0),0)</f>
        <v>0</v>
      </c>
      <c r="K5348" s="455">
        <f t="shared" ca="1" si="201"/>
        <v>-3079590042938.6104</v>
      </c>
      <c r="L5348" s="455">
        <f t="shared" ca="1" si="202"/>
        <v>-742181200348205.13</v>
      </c>
      <c r="M5348" s="471">
        <f t="shared" si="204"/>
        <v>0.05</v>
      </c>
      <c r="N5348" s="475">
        <f t="shared" si="205"/>
        <v>213821</v>
      </c>
    </row>
    <row r="5349" spans="7:14" ht="11.25" customHeight="1" x14ac:dyDescent="0.3">
      <c r="G5349" s="470"/>
      <c r="H5349" s="470">
        <v>5342</v>
      </c>
      <c r="I5349" s="455">
        <f t="shared" ca="1" si="203"/>
        <v>-742181200348205.13</v>
      </c>
      <c r="J5349" s="455">
        <f t="array" ref="J5349">IFERROR(INDEX('Retirement Calculator'!J:J,MATCH('Isaac 401k'!N5349,'Retirement Calculator'!A:A,0),0),0)</f>
        <v>0</v>
      </c>
      <c r="K5349" s="455">
        <f t="shared" ca="1" si="201"/>
        <v>-3092421668117.5215</v>
      </c>
      <c r="L5349" s="455">
        <f t="shared" ca="1" si="202"/>
        <v>-745273622016322.63</v>
      </c>
      <c r="M5349" s="471">
        <f t="shared" si="204"/>
        <v>0.05</v>
      </c>
      <c r="N5349" s="475">
        <f t="shared" si="205"/>
        <v>213851</v>
      </c>
    </row>
    <row r="5350" spans="7:14" ht="11.25" customHeight="1" x14ac:dyDescent="0.3">
      <c r="G5350" s="470"/>
      <c r="H5350" s="470">
        <v>5343</v>
      </c>
      <c r="I5350" s="455">
        <f t="shared" ca="1" si="203"/>
        <v>-745273622016322.63</v>
      </c>
      <c r="J5350" s="455">
        <f t="array" ref="J5350">IFERROR(INDEX('Retirement Calculator'!J:J,MATCH('Isaac 401k'!N5350,'Retirement Calculator'!A:A,0),0),0)</f>
        <v>0</v>
      </c>
      <c r="K5350" s="455">
        <f t="shared" ca="1" si="201"/>
        <v>-3105306758401.3442</v>
      </c>
      <c r="L5350" s="455">
        <f t="shared" ca="1" si="202"/>
        <v>-748378928774724</v>
      </c>
      <c r="M5350" s="471">
        <f t="shared" si="204"/>
        <v>0.05</v>
      </c>
      <c r="N5350" s="475">
        <f t="shared" si="205"/>
        <v>213882</v>
      </c>
    </row>
    <row r="5351" spans="7:14" ht="11.25" customHeight="1" x14ac:dyDescent="0.3">
      <c r="G5351" s="470"/>
      <c r="H5351" s="470">
        <v>5344</v>
      </c>
      <c r="I5351" s="455">
        <f t="shared" ca="1" si="203"/>
        <v>-748378928774724</v>
      </c>
      <c r="J5351" s="455">
        <f t="array" ref="J5351">IFERROR(INDEX('Retirement Calculator'!J:J,MATCH('Isaac 401k'!N5351,'Retirement Calculator'!A:A,0),0),0)</f>
        <v>0</v>
      </c>
      <c r="K5351" s="455">
        <f t="shared" ca="1" si="201"/>
        <v>-3118245536561.3501</v>
      </c>
      <c r="L5351" s="455">
        <f t="shared" ca="1" si="202"/>
        <v>-751497174311285.38</v>
      </c>
      <c r="M5351" s="471">
        <f t="shared" si="204"/>
        <v>0.05</v>
      </c>
      <c r="N5351" s="475">
        <f t="shared" si="205"/>
        <v>213913</v>
      </c>
    </row>
    <row r="5352" spans="7:14" ht="11.25" customHeight="1" x14ac:dyDescent="0.3">
      <c r="G5352" s="470"/>
      <c r="H5352" s="470">
        <v>5345</v>
      </c>
      <c r="I5352" s="455">
        <f t="shared" ca="1" si="203"/>
        <v>-751497174311285.38</v>
      </c>
      <c r="J5352" s="455">
        <f t="array" ref="J5352">IFERROR(INDEX('Retirement Calculator'!J:J,MATCH('Isaac 401k'!N5352,'Retirement Calculator'!A:A,0),0),0)</f>
        <v>0</v>
      </c>
      <c r="K5352" s="455">
        <f t="shared" ca="1" si="201"/>
        <v>-3131238226297.0225</v>
      </c>
      <c r="L5352" s="455">
        <f t="shared" ca="1" si="202"/>
        <v>-754628412537582.38</v>
      </c>
      <c r="M5352" s="471">
        <f t="shared" si="204"/>
        <v>0.05</v>
      </c>
      <c r="N5352" s="475">
        <f t="shared" si="205"/>
        <v>213943</v>
      </c>
    </row>
    <row r="5353" spans="7:14" ht="11.25" customHeight="1" x14ac:dyDescent="0.3">
      <c r="G5353" s="470"/>
      <c r="H5353" s="470">
        <v>5346</v>
      </c>
      <c r="I5353" s="455">
        <f t="shared" ca="1" si="203"/>
        <v>-754628412537582.38</v>
      </c>
      <c r="J5353" s="455">
        <f t="array" ref="J5353">IFERROR(INDEX('Retirement Calculator'!J:J,MATCH('Isaac 401k'!N5353,'Retirement Calculator'!A:A,0),0),0)</f>
        <v>0</v>
      </c>
      <c r="K5353" s="455">
        <f t="shared" ca="1" si="201"/>
        <v>-3144285052239.9268</v>
      </c>
      <c r="L5353" s="455">
        <f t="shared" ca="1" si="202"/>
        <v>-757772697589822.25</v>
      </c>
      <c r="M5353" s="471">
        <f t="shared" si="204"/>
        <v>0.05</v>
      </c>
      <c r="N5353" s="475">
        <f t="shared" si="205"/>
        <v>213974</v>
      </c>
    </row>
    <row r="5354" spans="7:14" ht="11.25" customHeight="1" x14ac:dyDescent="0.3">
      <c r="G5354" s="470"/>
      <c r="H5354" s="470">
        <v>5347</v>
      </c>
      <c r="I5354" s="455">
        <f t="shared" ca="1" si="203"/>
        <v>-757772697589822.25</v>
      </c>
      <c r="J5354" s="455">
        <f t="array" ref="J5354">IFERROR(INDEX('Retirement Calculator'!J:J,MATCH('Isaac 401k'!N5354,'Retirement Calculator'!A:A,0),0),0)</f>
        <v>0</v>
      </c>
      <c r="K5354" s="455">
        <f t="shared" ca="1" si="201"/>
        <v>-3157386239957.5928</v>
      </c>
      <c r="L5354" s="455">
        <f t="shared" ca="1" si="202"/>
        <v>-760930083829779.88</v>
      </c>
      <c r="M5354" s="471">
        <f t="shared" si="204"/>
        <v>0.05</v>
      </c>
      <c r="N5354" s="475">
        <f t="shared" si="205"/>
        <v>214004</v>
      </c>
    </row>
    <row r="5355" spans="7:14" ht="11.25" customHeight="1" x14ac:dyDescent="0.3">
      <c r="G5355" s="470"/>
      <c r="H5355" s="470">
        <v>5348</v>
      </c>
      <c r="I5355" s="455">
        <f t="shared" ca="1" si="203"/>
        <v>-760930083829779.88</v>
      </c>
      <c r="J5355" s="455">
        <f t="array" ref="J5355">IFERROR(INDEX('Retirement Calculator'!J:J,MATCH('Isaac 401k'!N5355,'Retirement Calculator'!A:A,0),0),0)</f>
        <v>0</v>
      </c>
      <c r="K5355" s="455">
        <f t="shared" ca="1" si="201"/>
        <v>-3170542015957.416</v>
      </c>
      <c r="L5355" s="455">
        <f t="shared" ca="1" si="202"/>
        <v>-764100625845737.25</v>
      </c>
      <c r="M5355" s="471">
        <f t="shared" si="204"/>
        <v>0.05</v>
      </c>
      <c r="N5355" s="475">
        <f t="shared" si="205"/>
        <v>214035</v>
      </c>
    </row>
    <row r="5356" spans="7:14" ht="11.25" customHeight="1" x14ac:dyDescent="0.3">
      <c r="G5356" s="470"/>
      <c r="H5356" s="470">
        <v>5349</v>
      </c>
      <c r="I5356" s="455">
        <f t="shared" ca="1" si="203"/>
        <v>-764100625845737.25</v>
      </c>
      <c r="J5356" s="455">
        <f t="array" ref="J5356">IFERROR(INDEX('Retirement Calculator'!J:J,MATCH('Isaac 401k'!N5356,'Retirement Calculator'!A:A,0),0),0)</f>
        <v>0</v>
      </c>
      <c r="K5356" s="455">
        <f t="shared" ca="1" si="201"/>
        <v>-3183752607690.5718</v>
      </c>
      <c r="L5356" s="455">
        <f t="shared" ca="1" si="202"/>
        <v>-767284378453427.88</v>
      </c>
      <c r="M5356" s="471">
        <f t="shared" si="204"/>
        <v>0.05</v>
      </c>
      <c r="N5356" s="475">
        <f t="shared" si="205"/>
        <v>214066</v>
      </c>
    </row>
    <row r="5357" spans="7:14" ht="11.25" customHeight="1" x14ac:dyDescent="0.3">
      <c r="G5357" s="470"/>
      <c r="H5357" s="470">
        <v>5350</v>
      </c>
      <c r="I5357" s="455">
        <f t="shared" ca="1" si="203"/>
        <v>-767284378453427.88</v>
      </c>
      <c r="J5357" s="455">
        <f t="array" ref="J5357">IFERROR(INDEX('Retirement Calculator'!J:J,MATCH('Isaac 401k'!N5357,'Retirement Calculator'!A:A,0),0),0)</f>
        <v>0</v>
      </c>
      <c r="K5357" s="455">
        <f t="shared" ca="1" si="201"/>
        <v>-3197018243555.9492</v>
      </c>
      <c r="L5357" s="455">
        <f t="shared" ca="1" si="202"/>
        <v>-770481396696983.88</v>
      </c>
      <c r="M5357" s="471">
        <f t="shared" si="204"/>
        <v>0.05</v>
      </c>
      <c r="N5357" s="475">
        <f t="shared" si="205"/>
        <v>214094</v>
      </c>
    </row>
    <row r="5358" spans="7:14" ht="11.25" customHeight="1" x14ac:dyDescent="0.3">
      <c r="G5358" s="470"/>
      <c r="H5358" s="470">
        <v>5351</v>
      </c>
      <c r="I5358" s="455">
        <f t="shared" ca="1" si="203"/>
        <v>-770481396696983.88</v>
      </c>
      <c r="J5358" s="455">
        <f t="array" ref="J5358">IFERROR(INDEX('Retirement Calculator'!J:J,MATCH('Isaac 401k'!N5358,'Retirement Calculator'!A:A,0),0),0)</f>
        <v>0</v>
      </c>
      <c r="K5358" s="455">
        <f t="shared" ca="1" si="201"/>
        <v>-3210339152904.0996</v>
      </c>
      <c r="L5358" s="455">
        <f t="shared" ca="1" si="202"/>
        <v>-773691735849888</v>
      </c>
      <c r="M5358" s="471">
        <f t="shared" si="204"/>
        <v>0.05</v>
      </c>
      <c r="N5358" s="475">
        <f t="shared" si="205"/>
        <v>214125</v>
      </c>
    </row>
    <row r="5359" spans="7:14" ht="11.25" customHeight="1" x14ac:dyDescent="0.3">
      <c r="G5359" s="470"/>
      <c r="H5359" s="470">
        <v>5352</v>
      </c>
      <c r="I5359" s="455">
        <f t="shared" ca="1" si="203"/>
        <v>-773691735849888</v>
      </c>
      <c r="J5359" s="455">
        <f t="array" ref="J5359">IFERROR(INDEX('Retirement Calculator'!J:J,MATCH('Isaac 401k'!N5359,'Retirement Calculator'!A:A,0),0),0)</f>
        <v>0</v>
      </c>
      <c r="K5359" s="455">
        <f t="shared" ca="1" si="201"/>
        <v>-3223715566041.2002</v>
      </c>
      <c r="L5359" s="455">
        <f t="shared" ca="1" si="202"/>
        <v>-776915451415929.25</v>
      </c>
      <c r="M5359" s="471">
        <f t="shared" si="204"/>
        <v>0.05</v>
      </c>
      <c r="N5359" s="475">
        <f t="shared" si="205"/>
        <v>214155</v>
      </c>
    </row>
    <row r="5360" spans="7:14" ht="11.25" customHeight="1" x14ac:dyDescent="0.3">
      <c r="G5360" s="470"/>
      <c r="H5360" s="470">
        <v>5353</v>
      </c>
      <c r="I5360" s="455">
        <f t="shared" ca="1" si="203"/>
        <v>-776915451415929.25</v>
      </c>
      <c r="J5360" s="455">
        <f t="array" ref="J5360">IFERROR(INDEX('Retirement Calculator'!J:J,MATCH('Isaac 401k'!N5360,'Retirement Calculator'!A:A,0),0),0)</f>
        <v>0</v>
      </c>
      <c r="K5360" s="455">
        <f t="shared" ca="1" si="201"/>
        <v>-3237147714233.0386</v>
      </c>
      <c r="L5360" s="455">
        <f t="shared" ca="1" si="202"/>
        <v>-780152599130162.25</v>
      </c>
      <c r="M5360" s="471">
        <f t="shared" si="204"/>
        <v>0.05</v>
      </c>
      <c r="N5360" s="475">
        <f t="shared" si="205"/>
        <v>214186</v>
      </c>
    </row>
    <row r="5361" spans="7:14" ht="11.25" customHeight="1" x14ac:dyDescent="0.3">
      <c r="G5361" s="470"/>
      <c r="H5361" s="470">
        <v>5354</v>
      </c>
      <c r="I5361" s="455">
        <f t="shared" ca="1" si="203"/>
        <v>-780152599130162.25</v>
      </c>
      <c r="J5361" s="455">
        <f t="array" ref="J5361">IFERROR(INDEX('Retirement Calculator'!J:J,MATCH('Isaac 401k'!N5361,'Retirement Calculator'!A:A,0),0),0)</f>
        <v>0</v>
      </c>
      <c r="K5361" s="455">
        <f t="shared" ca="1" si="201"/>
        <v>-3250635829709.0093</v>
      </c>
      <c r="L5361" s="455">
        <f t="shared" ca="1" si="202"/>
        <v>-783403234959871.25</v>
      </c>
      <c r="M5361" s="471">
        <f t="shared" si="204"/>
        <v>0.05</v>
      </c>
      <c r="N5361" s="475">
        <f t="shared" si="205"/>
        <v>214216</v>
      </c>
    </row>
    <row r="5362" spans="7:14" ht="11.25" customHeight="1" x14ac:dyDescent="0.3">
      <c r="G5362" s="470"/>
      <c r="H5362" s="470">
        <v>5355</v>
      </c>
      <c r="I5362" s="455">
        <f t="shared" ca="1" si="203"/>
        <v>-783403234959871.25</v>
      </c>
      <c r="J5362" s="455">
        <f t="array" ref="J5362">IFERROR(INDEX('Retirement Calculator'!J:J,MATCH('Isaac 401k'!N5362,'Retirement Calculator'!A:A,0),0),0)</f>
        <v>0</v>
      </c>
      <c r="K5362" s="455">
        <f t="shared" ca="1" si="201"/>
        <v>-3264180145666.1304</v>
      </c>
      <c r="L5362" s="455">
        <f t="shared" ca="1" si="202"/>
        <v>-786667415105537.38</v>
      </c>
      <c r="M5362" s="471">
        <f t="shared" si="204"/>
        <v>0.05</v>
      </c>
      <c r="N5362" s="475">
        <f t="shared" si="205"/>
        <v>214247</v>
      </c>
    </row>
    <row r="5363" spans="7:14" ht="11.25" customHeight="1" x14ac:dyDescent="0.3">
      <c r="G5363" s="470"/>
      <c r="H5363" s="470">
        <v>5356</v>
      </c>
      <c r="I5363" s="455">
        <f t="shared" ca="1" si="203"/>
        <v>-786667415105537.38</v>
      </c>
      <c r="J5363" s="455">
        <f t="array" ref="J5363">IFERROR(INDEX('Retirement Calculator'!J:J,MATCH('Isaac 401k'!N5363,'Retirement Calculator'!A:A,0),0),0)</f>
        <v>0</v>
      </c>
      <c r="K5363" s="455">
        <f t="shared" ref="K5363:K5617" ca="1" si="206">IPMT(M5363/12,1,12,-I5363+J5363,,0)</f>
        <v>-3277780896273.0723</v>
      </c>
      <c r="L5363" s="455">
        <f t="shared" ref="L5363:L5617" ca="1" si="207">I5363-J5363+K5363</f>
        <v>-789945196001810.5</v>
      </c>
      <c r="M5363" s="471">
        <f t="shared" si="204"/>
        <v>0.05</v>
      </c>
      <c r="N5363" s="475">
        <f t="shared" si="205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208">L5363</f>
        <v>-789945196001810.5</v>
      </c>
      <c r="J5364" s="455">
        <f t="array" ref="J5364">IFERROR(INDEX('Retirement Calculator'!J:J,MATCH('Isaac 401k'!N5364,'Retirement Calculator'!A:A,0),0),0)</f>
        <v>0</v>
      </c>
      <c r="K5364" s="455">
        <f t="shared" ca="1" si="206"/>
        <v>-3291438316674.2104</v>
      </c>
      <c r="L5364" s="455">
        <f t="shared" ca="1" si="207"/>
        <v>-793236634318484.75</v>
      </c>
      <c r="M5364" s="471">
        <f t="shared" ref="M5364:M5618" si="209">M5363</f>
        <v>0.05</v>
      </c>
      <c r="N5364" s="475">
        <f t="shared" ref="N5364:N5618" si="210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208"/>
        <v>-793236634318484.75</v>
      </c>
      <c r="J5365" s="455">
        <f t="array" ref="J5365">IFERROR(INDEX('Retirement Calculator'!J:J,MATCH('Isaac 401k'!N5365,'Retirement Calculator'!A:A,0),0),0)</f>
        <v>0</v>
      </c>
      <c r="K5365" s="455">
        <f t="shared" ca="1" si="206"/>
        <v>-3305152642993.6865</v>
      </c>
      <c r="L5365" s="455">
        <f t="shared" ca="1" si="207"/>
        <v>-796541786961478.38</v>
      </c>
      <c r="M5365" s="471">
        <f t="shared" si="209"/>
        <v>0.05</v>
      </c>
      <c r="N5365" s="475">
        <f t="shared" si="210"/>
        <v>214339</v>
      </c>
    </row>
    <row r="5366" spans="7:14" ht="11.25" customHeight="1" x14ac:dyDescent="0.3">
      <c r="G5366" s="470"/>
      <c r="H5366" s="470">
        <v>5359</v>
      </c>
      <c r="I5366" s="455">
        <f t="shared" ca="1" si="208"/>
        <v>-796541786961478.38</v>
      </c>
      <c r="J5366" s="455">
        <f t="array" ref="J5366">IFERROR(INDEX('Retirement Calculator'!J:J,MATCH('Isaac 401k'!N5366,'Retirement Calculator'!A:A,0),0),0)</f>
        <v>0</v>
      </c>
      <c r="K5366" s="455">
        <f t="shared" ca="1" si="206"/>
        <v>-3318924112339.4932</v>
      </c>
      <c r="L5366" s="455">
        <f t="shared" ca="1" si="207"/>
        <v>-799860711073817.88</v>
      </c>
      <c r="M5366" s="471">
        <f t="shared" si="209"/>
        <v>0.05</v>
      </c>
      <c r="N5366" s="475">
        <f t="shared" si="210"/>
        <v>214369</v>
      </c>
    </row>
    <row r="5367" spans="7:14" ht="11.25" customHeight="1" x14ac:dyDescent="0.3">
      <c r="G5367" s="470"/>
      <c r="H5367" s="470">
        <v>5360</v>
      </c>
      <c r="I5367" s="455">
        <f t="shared" ca="1" si="208"/>
        <v>-799860711073817.88</v>
      </c>
      <c r="J5367" s="455">
        <f t="array" ref="J5367">IFERROR(INDEX('Retirement Calculator'!J:J,MATCH('Isaac 401k'!N5367,'Retirement Calculator'!A:A,0),0),0)</f>
        <v>0</v>
      </c>
      <c r="K5367" s="455">
        <f t="shared" ca="1" si="206"/>
        <v>-3332752962807.5742</v>
      </c>
      <c r="L5367" s="455">
        <f t="shared" ca="1" si="207"/>
        <v>-803193464036625.5</v>
      </c>
      <c r="M5367" s="471">
        <f t="shared" si="209"/>
        <v>0.05</v>
      </c>
      <c r="N5367" s="475">
        <f t="shared" si="210"/>
        <v>214400</v>
      </c>
    </row>
    <row r="5368" spans="7:14" ht="11.25" customHeight="1" x14ac:dyDescent="0.3">
      <c r="G5368" s="470"/>
      <c r="H5368" s="470">
        <v>5361</v>
      </c>
      <c r="I5368" s="455">
        <f t="shared" ca="1" si="208"/>
        <v>-803193464036625.5</v>
      </c>
      <c r="J5368" s="455">
        <f t="array" ref="J5368">IFERROR(INDEX('Retirement Calculator'!J:J,MATCH('Isaac 401k'!N5368,'Retirement Calculator'!A:A,0),0),0)</f>
        <v>0</v>
      </c>
      <c r="K5368" s="455">
        <f t="shared" ca="1" si="206"/>
        <v>-3346639433485.9395</v>
      </c>
      <c r="L5368" s="455">
        <f t="shared" ca="1" si="207"/>
        <v>-806540103470111.5</v>
      </c>
      <c r="M5368" s="471">
        <f t="shared" si="209"/>
        <v>0.05</v>
      </c>
      <c r="N5368" s="475">
        <f t="shared" si="210"/>
        <v>214431</v>
      </c>
    </row>
    <row r="5369" spans="7:14" ht="11.25" customHeight="1" x14ac:dyDescent="0.3">
      <c r="G5369" s="470"/>
      <c r="H5369" s="470">
        <v>5362</v>
      </c>
      <c r="I5369" s="455">
        <f t="shared" ca="1" si="208"/>
        <v>-806540103470111.5</v>
      </c>
      <c r="J5369" s="455">
        <f t="array" ref="J5369">IFERROR(INDEX('Retirement Calculator'!J:J,MATCH('Isaac 401k'!N5369,'Retirement Calculator'!A:A,0),0),0)</f>
        <v>0</v>
      </c>
      <c r="K5369" s="455">
        <f t="shared" ca="1" si="206"/>
        <v>-3360583764458.7979</v>
      </c>
      <c r="L5369" s="455">
        <f t="shared" ca="1" si="207"/>
        <v>-809900687234570.25</v>
      </c>
      <c r="M5369" s="471">
        <f t="shared" si="209"/>
        <v>0.05</v>
      </c>
      <c r="N5369" s="475">
        <f t="shared" si="210"/>
        <v>214459</v>
      </c>
    </row>
    <row r="5370" spans="7:14" ht="11.25" customHeight="1" x14ac:dyDescent="0.3">
      <c r="G5370" s="470"/>
      <c r="H5370" s="470">
        <v>5363</v>
      </c>
      <c r="I5370" s="455">
        <f t="shared" ca="1" si="208"/>
        <v>-809900687234570.25</v>
      </c>
      <c r="J5370" s="455">
        <f t="array" ref="J5370">IFERROR(INDEX('Retirement Calculator'!J:J,MATCH('Isaac 401k'!N5370,'Retirement Calculator'!A:A,0),0),0)</f>
        <v>0</v>
      </c>
      <c r="K5370" s="455">
        <f t="shared" ca="1" si="206"/>
        <v>-3374586196810.7095</v>
      </c>
      <c r="L5370" s="455">
        <f t="shared" ca="1" si="207"/>
        <v>-813275273431381</v>
      </c>
      <c r="M5370" s="471">
        <f t="shared" si="209"/>
        <v>0.05</v>
      </c>
      <c r="N5370" s="475">
        <f t="shared" si="210"/>
        <v>214490</v>
      </c>
    </row>
    <row r="5371" spans="7:14" ht="11.25" customHeight="1" x14ac:dyDescent="0.3">
      <c r="G5371" s="470"/>
      <c r="H5371" s="470">
        <v>5364</v>
      </c>
      <c r="I5371" s="455">
        <f t="shared" ca="1" si="208"/>
        <v>-813275273431381</v>
      </c>
      <c r="J5371" s="455">
        <f t="array" ref="J5371">IFERROR(INDEX('Retirement Calculator'!J:J,MATCH('Isaac 401k'!N5371,'Retirement Calculator'!A:A,0),0),0)</f>
        <v>0</v>
      </c>
      <c r="K5371" s="455">
        <f t="shared" ca="1" si="206"/>
        <v>-3388646972630.7539</v>
      </c>
      <c r="L5371" s="455">
        <f t="shared" ca="1" si="207"/>
        <v>-816663920404011.75</v>
      </c>
      <c r="M5371" s="471">
        <f t="shared" si="209"/>
        <v>0.05</v>
      </c>
      <c r="N5371" s="475">
        <f t="shared" si="210"/>
        <v>214520</v>
      </c>
    </row>
    <row r="5372" spans="7:14" ht="11.25" customHeight="1" x14ac:dyDescent="0.3">
      <c r="G5372" s="470"/>
      <c r="H5372" s="470">
        <v>5365</v>
      </c>
      <c r="I5372" s="455">
        <f t="shared" ca="1" si="208"/>
        <v>-816663920404011.75</v>
      </c>
      <c r="J5372" s="455">
        <f t="array" ref="J5372">IFERROR(INDEX('Retirement Calculator'!J:J,MATCH('Isaac 401k'!N5372,'Retirement Calculator'!A:A,0),0),0)</f>
        <v>0</v>
      </c>
      <c r="K5372" s="455">
        <f t="shared" ca="1" si="206"/>
        <v>-3402766335016.7158</v>
      </c>
      <c r="L5372" s="455">
        <f t="shared" ca="1" si="207"/>
        <v>-820066686739028.5</v>
      </c>
      <c r="M5372" s="471">
        <f t="shared" si="209"/>
        <v>0.05</v>
      </c>
      <c r="N5372" s="475">
        <f t="shared" si="210"/>
        <v>214551</v>
      </c>
    </row>
    <row r="5373" spans="7:14" ht="11.25" customHeight="1" x14ac:dyDescent="0.3">
      <c r="G5373" s="470"/>
      <c r="H5373" s="470">
        <v>5366</v>
      </c>
      <c r="I5373" s="455">
        <f t="shared" ca="1" si="208"/>
        <v>-820066686739028.5</v>
      </c>
      <c r="J5373" s="455">
        <f t="array" ref="J5373">IFERROR(INDEX('Retirement Calculator'!J:J,MATCH('Isaac 401k'!N5373,'Retirement Calculator'!A:A,0),0),0)</f>
        <v>0</v>
      </c>
      <c r="K5373" s="455">
        <f t="shared" ca="1" si="206"/>
        <v>-3416944528079.2852</v>
      </c>
      <c r="L5373" s="455">
        <f t="shared" ca="1" si="207"/>
        <v>-823483631267107.75</v>
      </c>
      <c r="M5373" s="471">
        <f t="shared" si="209"/>
        <v>0.05</v>
      </c>
      <c r="N5373" s="475">
        <f t="shared" si="210"/>
        <v>214581</v>
      </c>
    </row>
    <row r="5374" spans="7:14" ht="11.25" customHeight="1" x14ac:dyDescent="0.3">
      <c r="G5374" s="470"/>
      <c r="H5374" s="470">
        <v>5367</v>
      </c>
      <c r="I5374" s="455">
        <f t="shared" ca="1" si="208"/>
        <v>-823483631267107.75</v>
      </c>
      <c r="J5374" s="455">
        <f t="array" ref="J5374">IFERROR(INDEX('Retirement Calculator'!J:J,MATCH('Isaac 401k'!N5374,'Retirement Calculator'!A:A,0),0),0)</f>
        <v>0</v>
      </c>
      <c r="K5374" s="455">
        <f t="shared" ca="1" si="206"/>
        <v>-3431181796946.2822</v>
      </c>
      <c r="L5374" s="455">
        <f t="shared" ca="1" si="207"/>
        <v>-826914813064054</v>
      </c>
      <c r="M5374" s="471">
        <f t="shared" si="209"/>
        <v>0.05</v>
      </c>
      <c r="N5374" s="475">
        <f t="shared" si="210"/>
        <v>214612</v>
      </c>
    </row>
    <row r="5375" spans="7:14" ht="11.25" customHeight="1" x14ac:dyDescent="0.3">
      <c r="G5375" s="470"/>
      <c r="H5375" s="470">
        <v>5368</v>
      </c>
      <c r="I5375" s="455">
        <f t="shared" ca="1" si="208"/>
        <v>-826914813064054</v>
      </c>
      <c r="J5375" s="455">
        <f t="array" ref="J5375">IFERROR(INDEX('Retirement Calculator'!J:J,MATCH('Isaac 401k'!N5375,'Retirement Calculator'!A:A,0),0),0)</f>
        <v>0</v>
      </c>
      <c r="K5375" s="455">
        <f t="shared" ca="1" si="206"/>
        <v>-3445478387766.8916</v>
      </c>
      <c r="L5375" s="455">
        <f t="shared" ca="1" si="207"/>
        <v>-830360291451820.88</v>
      </c>
      <c r="M5375" s="471">
        <f t="shared" si="209"/>
        <v>0.05</v>
      </c>
      <c r="N5375" s="475">
        <f t="shared" si="210"/>
        <v>214643</v>
      </c>
    </row>
    <row r="5376" spans="7:14" ht="11.25" customHeight="1" x14ac:dyDescent="0.3">
      <c r="G5376" s="470"/>
      <c r="H5376" s="470">
        <v>5369</v>
      </c>
      <c r="I5376" s="455">
        <f t="shared" ca="1" si="208"/>
        <v>-830360291451820.88</v>
      </c>
      <c r="J5376" s="455">
        <f t="array" ref="J5376">IFERROR(INDEX('Retirement Calculator'!J:J,MATCH('Isaac 401k'!N5376,'Retirement Calculator'!A:A,0),0),0)</f>
        <v>0</v>
      </c>
      <c r="K5376" s="455">
        <f t="shared" ca="1" si="206"/>
        <v>-3459834547715.9204</v>
      </c>
      <c r="L5376" s="455">
        <f t="shared" ca="1" si="207"/>
        <v>-833820125999536.75</v>
      </c>
      <c r="M5376" s="471">
        <f t="shared" si="209"/>
        <v>0.05</v>
      </c>
      <c r="N5376" s="475">
        <f t="shared" si="210"/>
        <v>214673</v>
      </c>
    </row>
    <row r="5377" spans="7:14" ht="11.25" customHeight="1" x14ac:dyDescent="0.3">
      <c r="G5377" s="470"/>
      <c r="H5377" s="470">
        <v>5370</v>
      </c>
      <c r="I5377" s="455">
        <f t="shared" ca="1" si="208"/>
        <v>-833820125999536.75</v>
      </c>
      <c r="J5377" s="455">
        <f t="array" ref="J5377">IFERROR(INDEX('Retirement Calculator'!J:J,MATCH('Isaac 401k'!N5377,'Retirement Calculator'!A:A,0),0),0)</f>
        <v>0</v>
      </c>
      <c r="K5377" s="455">
        <f t="shared" ca="1" si="206"/>
        <v>-3474250524998.0698</v>
      </c>
      <c r="L5377" s="455">
        <f t="shared" ca="1" si="207"/>
        <v>-837294376524534.88</v>
      </c>
      <c r="M5377" s="471">
        <f t="shared" si="209"/>
        <v>0.05</v>
      </c>
      <c r="N5377" s="475">
        <f t="shared" si="210"/>
        <v>214704</v>
      </c>
    </row>
    <row r="5378" spans="7:14" ht="11.25" customHeight="1" x14ac:dyDescent="0.3">
      <c r="G5378" s="470"/>
      <c r="H5378" s="470">
        <v>5371</v>
      </c>
      <c r="I5378" s="455">
        <f t="shared" ca="1" si="208"/>
        <v>-837294376524534.88</v>
      </c>
      <c r="J5378" s="455">
        <f t="array" ref="J5378">IFERROR(INDEX('Retirement Calculator'!J:J,MATCH('Isaac 401k'!N5378,'Retirement Calculator'!A:A,0),0),0)</f>
        <v>0</v>
      </c>
      <c r="K5378" s="455">
        <f t="shared" ca="1" si="206"/>
        <v>-3488726568852.2285</v>
      </c>
      <c r="L5378" s="455">
        <f t="shared" ca="1" si="207"/>
        <v>-840783103093387.13</v>
      </c>
      <c r="M5378" s="471">
        <f t="shared" si="209"/>
        <v>0.05</v>
      </c>
      <c r="N5378" s="475">
        <f t="shared" si="210"/>
        <v>214734</v>
      </c>
    </row>
    <row r="5379" spans="7:14" ht="11.25" customHeight="1" x14ac:dyDescent="0.3">
      <c r="G5379" s="470"/>
      <c r="H5379" s="470">
        <v>5372</v>
      </c>
      <c r="I5379" s="455">
        <f t="shared" ca="1" si="208"/>
        <v>-840783103093387.13</v>
      </c>
      <c r="J5379" s="455">
        <f t="array" ref="J5379">IFERROR(INDEX('Retirement Calculator'!J:J,MATCH('Isaac 401k'!N5379,'Retirement Calculator'!A:A,0),0),0)</f>
        <v>0</v>
      </c>
      <c r="K5379" s="455">
        <f t="shared" ca="1" si="206"/>
        <v>-3503262929555.7798</v>
      </c>
      <c r="L5379" s="455">
        <f t="shared" ca="1" si="207"/>
        <v>-844286366022942.88</v>
      </c>
      <c r="M5379" s="471">
        <f t="shared" si="209"/>
        <v>0.05</v>
      </c>
      <c r="N5379" s="475">
        <f t="shared" si="210"/>
        <v>214765</v>
      </c>
    </row>
    <row r="5380" spans="7:14" ht="11.25" customHeight="1" x14ac:dyDescent="0.3">
      <c r="G5380" s="470"/>
      <c r="H5380" s="470">
        <v>5373</v>
      </c>
      <c r="I5380" s="455">
        <f t="shared" ca="1" si="208"/>
        <v>-844286366022942.88</v>
      </c>
      <c r="J5380" s="455">
        <f t="array" ref="J5380">IFERROR(INDEX('Retirement Calculator'!J:J,MATCH('Isaac 401k'!N5380,'Retirement Calculator'!A:A,0),0),0)</f>
        <v>0</v>
      </c>
      <c r="K5380" s="455">
        <f t="shared" ca="1" si="206"/>
        <v>-3517859858428.9287</v>
      </c>
      <c r="L5380" s="455">
        <f t="shared" ca="1" si="207"/>
        <v>-847804225881371.75</v>
      </c>
      <c r="M5380" s="471">
        <f t="shared" si="209"/>
        <v>0.05</v>
      </c>
      <c r="N5380" s="475">
        <f t="shared" si="210"/>
        <v>214796</v>
      </c>
    </row>
    <row r="5381" spans="7:14" ht="11.25" customHeight="1" x14ac:dyDescent="0.3">
      <c r="G5381" s="470"/>
      <c r="H5381" s="470">
        <v>5374</v>
      </c>
      <c r="I5381" s="455">
        <f t="shared" ca="1" si="208"/>
        <v>-847804225881371.75</v>
      </c>
      <c r="J5381" s="455">
        <f t="array" ref="J5381">IFERROR(INDEX('Retirement Calculator'!J:J,MATCH('Isaac 401k'!N5381,'Retirement Calculator'!A:A,0),0),0)</f>
        <v>0</v>
      </c>
      <c r="K5381" s="455">
        <f t="shared" ca="1" si="206"/>
        <v>-3532517607839.0488</v>
      </c>
      <c r="L5381" s="455">
        <f t="shared" ca="1" si="207"/>
        <v>-851336743489210.75</v>
      </c>
      <c r="M5381" s="471">
        <f t="shared" si="209"/>
        <v>0.05</v>
      </c>
      <c r="N5381" s="475">
        <f t="shared" si="210"/>
        <v>214825</v>
      </c>
    </row>
    <row r="5382" spans="7:14" ht="11.25" customHeight="1" x14ac:dyDescent="0.3">
      <c r="G5382" s="470"/>
      <c r="H5382" s="470">
        <v>5375</v>
      </c>
      <c r="I5382" s="455">
        <f t="shared" ca="1" si="208"/>
        <v>-851336743489210.75</v>
      </c>
      <c r="J5382" s="455">
        <f t="array" ref="J5382">IFERROR(INDEX('Retirement Calculator'!J:J,MATCH('Isaac 401k'!N5382,'Retirement Calculator'!A:A,0),0),0)</f>
        <v>0</v>
      </c>
      <c r="K5382" s="455">
        <f t="shared" ca="1" si="206"/>
        <v>-3547236431205.0449</v>
      </c>
      <c r="L5382" s="455">
        <f t="shared" ca="1" si="207"/>
        <v>-854883979920415.75</v>
      </c>
      <c r="M5382" s="471">
        <f t="shared" si="209"/>
        <v>0.05</v>
      </c>
      <c r="N5382" s="475">
        <f t="shared" si="210"/>
        <v>214856</v>
      </c>
    </row>
    <row r="5383" spans="7:14" ht="11.25" customHeight="1" x14ac:dyDescent="0.3">
      <c r="G5383" s="470"/>
      <c r="H5383" s="470">
        <v>5376</v>
      </c>
      <c r="I5383" s="455">
        <f t="shared" ca="1" si="208"/>
        <v>-854883979920415.75</v>
      </c>
      <c r="J5383" s="455">
        <f t="array" ref="J5383">IFERROR(INDEX('Retirement Calculator'!J:J,MATCH('Isaac 401k'!N5383,'Retirement Calculator'!A:A,0),0),0)</f>
        <v>0</v>
      </c>
      <c r="K5383" s="455">
        <f t="shared" ca="1" si="206"/>
        <v>-3562016583001.7324</v>
      </c>
      <c r="L5383" s="455">
        <f t="shared" ca="1" si="207"/>
        <v>-858445996503417.5</v>
      </c>
      <c r="M5383" s="471">
        <f t="shared" si="209"/>
        <v>0.05</v>
      </c>
      <c r="N5383" s="475">
        <f t="shared" si="210"/>
        <v>214886</v>
      </c>
    </row>
    <row r="5384" spans="7:14" ht="11.25" customHeight="1" x14ac:dyDescent="0.3">
      <c r="G5384" s="470"/>
      <c r="H5384" s="470">
        <v>5377</v>
      </c>
      <c r="I5384" s="455">
        <f t="shared" ca="1" si="208"/>
        <v>-858445996503417.5</v>
      </c>
      <c r="J5384" s="455">
        <f t="array" ref="J5384">IFERROR(INDEX('Retirement Calculator'!J:J,MATCH('Isaac 401k'!N5384,'Retirement Calculator'!A:A,0),0),0)</f>
        <v>0</v>
      </c>
      <c r="K5384" s="455">
        <f t="shared" ca="1" si="206"/>
        <v>-3576858318764.2397</v>
      </c>
      <c r="L5384" s="455">
        <f t="shared" ca="1" si="207"/>
        <v>-862022854822181.75</v>
      </c>
      <c r="M5384" s="471">
        <f t="shared" si="209"/>
        <v>0.05</v>
      </c>
      <c r="N5384" s="475">
        <f t="shared" si="210"/>
        <v>214917</v>
      </c>
    </row>
    <row r="5385" spans="7:14" ht="11.25" customHeight="1" x14ac:dyDescent="0.3">
      <c r="G5385" s="470"/>
      <c r="H5385" s="470">
        <v>5378</v>
      </c>
      <c r="I5385" s="455">
        <f t="shared" ca="1" si="208"/>
        <v>-862022854822181.75</v>
      </c>
      <c r="J5385" s="455">
        <f t="array" ref="J5385">IFERROR(INDEX('Retirement Calculator'!J:J,MATCH('Isaac 401k'!N5385,'Retirement Calculator'!A:A,0),0),0)</f>
        <v>0</v>
      </c>
      <c r="K5385" s="455">
        <f t="shared" ca="1" si="206"/>
        <v>-3591761895092.4238</v>
      </c>
      <c r="L5385" s="455">
        <f t="shared" ca="1" si="207"/>
        <v>-865614616717274.13</v>
      </c>
      <c r="M5385" s="471">
        <f t="shared" si="209"/>
        <v>0.05</v>
      </c>
      <c r="N5385" s="475">
        <f t="shared" si="210"/>
        <v>214947</v>
      </c>
    </row>
    <row r="5386" spans="7:14" ht="11.25" customHeight="1" x14ac:dyDescent="0.3">
      <c r="G5386" s="470"/>
      <c r="H5386" s="470">
        <v>5379</v>
      </c>
      <c r="I5386" s="455">
        <f t="shared" ca="1" si="208"/>
        <v>-865614616717274.13</v>
      </c>
      <c r="J5386" s="455">
        <f t="array" ref="J5386">IFERROR(INDEX('Retirement Calculator'!J:J,MATCH('Isaac 401k'!N5386,'Retirement Calculator'!A:A,0),0),0)</f>
        <v>0</v>
      </c>
      <c r="K5386" s="455">
        <f t="shared" ca="1" si="206"/>
        <v>-3606727569655.3086</v>
      </c>
      <c r="L5386" s="455">
        <f t="shared" ca="1" si="207"/>
        <v>-869221344286929.38</v>
      </c>
      <c r="M5386" s="471">
        <f t="shared" si="209"/>
        <v>0.05</v>
      </c>
      <c r="N5386" s="475">
        <f t="shared" si="210"/>
        <v>214978</v>
      </c>
    </row>
    <row r="5387" spans="7:14" ht="11.25" customHeight="1" x14ac:dyDescent="0.3">
      <c r="G5387" s="470"/>
      <c r="H5387" s="470">
        <v>5380</v>
      </c>
      <c r="I5387" s="455">
        <f t="shared" ca="1" si="208"/>
        <v>-869221344286929.38</v>
      </c>
      <c r="J5387" s="455">
        <f t="array" ref="J5387">IFERROR(INDEX('Retirement Calculator'!J:J,MATCH('Isaac 401k'!N5387,'Retirement Calculator'!A:A,0),0),0)</f>
        <v>0</v>
      </c>
      <c r="K5387" s="455">
        <f t="shared" ca="1" si="206"/>
        <v>-3621755601195.5391</v>
      </c>
      <c r="L5387" s="455">
        <f t="shared" ca="1" si="207"/>
        <v>-872843099888124.88</v>
      </c>
      <c r="M5387" s="471">
        <f t="shared" si="209"/>
        <v>0.05</v>
      </c>
      <c r="N5387" s="475">
        <f t="shared" si="210"/>
        <v>215009</v>
      </c>
    </row>
    <row r="5388" spans="7:14" ht="11.25" customHeight="1" x14ac:dyDescent="0.3">
      <c r="G5388" s="470"/>
      <c r="H5388" s="470">
        <v>5381</v>
      </c>
      <c r="I5388" s="455">
        <f t="shared" ca="1" si="208"/>
        <v>-872843099888124.88</v>
      </c>
      <c r="J5388" s="455">
        <f t="array" ref="J5388">IFERROR(INDEX('Retirement Calculator'!J:J,MATCH('Isaac 401k'!N5388,'Retirement Calculator'!A:A,0),0),0)</f>
        <v>0</v>
      </c>
      <c r="K5388" s="455">
        <f t="shared" ca="1" si="206"/>
        <v>-3636846249533.8535</v>
      </c>
      <c r="L5388" s="455">
        <f t="shared" ca="1" si="207"/>
        <v>-876479946137658.75</v>
      </c>
      <c r="M5388" s="471">
        <f t="shared" si="209"/>
        <v>0.05</v>
      </c>
      <c r="N5388" s="475">
        <f t="shared" si="210"/>
        <v>215039</v>
      </c>
    </row>
    <row r="5389" spans="7:14" ht="11.25" customHeight="1" x14ac:dyDescent="0.3">
      <c r="G5389" s="470"/>
      <c r="H5389" s="470">
        <v>5382</v>
      </c>
      <c r="I5389" s="455">
        <f t="shared" ca="1" si="208"/>
        <v>-876479946137658.75</v>
      </c>
      <c r="J5389" s="455">
        <f t="array" ref="J5389">IFERROR(INDEX('Retirement Calculator'!J:J,MATCH('Isaac 401k'!N5389,'Retirement Calculator'!A:A,0),0),0)</f>
        <v>0</v>
      </c>
      <c r="K5389" s="455">
        <f t="shared" ca="1" si="206"/>
        <v>-3651999775573.5781</v>
      </c>
      <c r="L5389" s="455">
        <f t="shared" ca="1" si="207"/>
        <v>-880131945913232.38</v>
      </c>
      <c r="M5389" s="471">
        <f t="shared" si="209"/>
        <v>0.05</v>
      </c>
      <c r="N5389" s="475">
        <f t="shared" si="210"/>
        <v>215070</v>
      </c>
    </row>
    <row r="5390" spans="7:14" ht="11.25" customHeight="1" x14ac:dyDescent="0.3">
      <c r="G5390" s="470"/>
      <c r="H5390" s="470">
        <v>5383</v>
      </c>
      <c r="I5390" s="455">
        <f t="shared" ca="1" si="208"/>
        <v>-880131945913232.38</v>
      </c>
      <c r="J5390" s="455">
        <f t="array" ref="J5390">IFERROR(INDEX('Retirement Calculator'!J:J,MATCH('Isaac 401k'!N5390,'Retirement Calculator'!A:A,0),0),0)</f>
        <v>0</v>
      </c>
      <c r="K5390" s="455">
        <f t="shared" ca="1" si="206"/>
        <v>-3667216441305.1353</v>
      </c>
      <c r="L5390" s="455">
        <f t="shared" ca="1" si="207"/>
        <v>-883799162354537.5</v>
      </c>
      <c r="M5390" s="471">
        <f t="shared" si="209"/>
        <v>0.05</v>
      </c>
      <c r="N5390" s="475">
        <f t="shared" si="210"/>
        <v>215100</v>
      </c>
    </row>
    <row r="5391" spans="7:14" ht="11.25" customHeight="1" x14ac:dyDescent="0.3">
      <c r="G5391" s="470"/>
      <c r="H5391" s="470">
        <v>5384</v>
      </c>
      <c r="I5391" s="455">
        <f t="shared" ca="1" si="208"/>
        <v>-883799162354537.5</v>
      </c>
      <c r="J5391" s="455">
        <f t="array" ref="J5391">IFERROR(INDEX('Retirement Calculator'!J:J,MATCH('Isaac 401k'!N5391,'Retirement Calculator'!A:A,0),0),0)</f>
        <v>0</v>
      </c>
      <c r="K5391" s="455">
        <f t="shared" ca="1" si="206"/>
        <v>-3682496509810.5723</v>
      </c>
      <c r="L5391" s="455">
        <f t="shared" ca="1" si="207"/>
        <v>-887481658864348.13</v>
      </c>
      <c r="M5391" s="471">
        <f t="shared" si="209"/>
        <v>0.05</v>
      </c>
      <c r="N5391" s="475">
        <f t="shared" si="210"/>
        <v>215131</v>
      </c>
    </row>
    <row r="5392" spans="7:14" ht="11.25" customHeight="1" x14ac:dyDescent="0.3">
      <c r="G5392" s="470"/>
      <c r="H5392" s="470">
        <v>5385</v>
      </c>
      <c r="I5392" s="455">
        <f t="shared" ca="1" si="208"/>
        <v>-887481658864348.13</v>
      </c>
      <c r="J5392" s="455">
        <f t="array" ref="J5392">IFERROR(INDEX('Retirement Calculator'!J:J,MATCH('Isaac 401k'!N5392,'Retirement Calculator'!A:A,0),0),0)</f>
        <v>0</v>
      </c>
      <c r="K5392" s="455">
        <f t="shared" ca="1" si="206"/>
        <v>-3697840245268.1172</v>
      </c>
      <c r="L5392" s="455">
        <f t="shared" ca="1" si="207"/>
        <v>-891179499109616.25</v>
      </c>
      <c r="M5392" s="471">
        <f t="shared" si="209"/>
        <v>0.05</v>
      </c>
      <c r="N5392" s="475">
        <f t="shared" si="210"/>
        <v>215162</v>
      </c>
    </row>
    <row r="5393" spans="7:14" ht="11.25" customHeight="1" x14ac:dyDescent="0.3">
      <c r="G5393" s="470"/>
      <c r="H5393" s="470">
        <v>5386</v>
      </c>
      <c r="I5393" s="455">
        <f t="shared" ca="1" si="208"/>
        <v>-891179499109616.25</v>
      </c>
      <c r="J5393" s="455">
        <f t="array" ref="J5393">IFERROR(INDEX('Retirement Calculator'!J:J,MATCH('Isaac 401k'!N5393,'Retirement Calculator'!A:A,0),0),0)</f>
        <v>0</v>
      </c>
      <c r="K5393" s="455">
        <f t="shared" ca="1" si="206"/>
        <v>-3713247912956.7344</v>
      </c>
      <c r="L5393" s="455">
        <f t="shared" ca="1" si="207"/>
        <v>-894892747022573</v>
      </c>
      <c r="M5393" s="471">
        <f t="shared" si="209"/>
        <v>0.05</v>
      </c>
      <c r="N5393" s="475">
        <f t="shared" si="210"/>
        <v>215190</v>
      </c>
    </row>
    <row r="5394" spans="7:14" ht="11.25" customHeight="1" x14ac:dyDescent="0.3">
      <c r="G5394" s="470"/>
      <c r="H5394" s="470">
        <v>5387</v>
      </c>
      <c r="I5394" s="455">
        <f t="shared" ca="1" si="208"/>
        <v>-894892747022573</v>
      </c>
      <c r="J5394" s="455">
        <f t="array" ref="J5394">IFERROR(INDEX('Retirement Calculator'!J:J,MATCH('Isaac 401k'!N5394,'Retirement Calculator'!A:A,0),0),0)</f>
        <v>0</v>
      </c>
      <c r="K5394" s="455">
        <f t="shared" ca="1" si="206"/>
        <v>-3728719779260.7202</v>
      </c>
      <c r="L5394" s="455">
        <f t="shared" ca="1" si="207"/>
        <v>-898621466801833.75</v>
      </c>
      <c r="M5394" s="471">
        <f t="shared" si="209"/>
        <v>0.05</v>
      </c>
      <c r="N5394" s="475">
        <f t="shared" si="210"/>
        <v>215221</v>
      </c>
    </row>
    <row r="5395" spans="7:14" ht="11.25" customHeight="1" x14ac:dyDescent="0.3">
      <c r="G5395" s="470"/>
      <c r="H5395" s="470">
        <v>5388</v>
      </c>
      <c r="I5395" s="455">
        <f t="shared" ca="1" si="208"/>
        <v>-898621466801833.75</v>
      </c>
      <c r="J5395" s="455">
        <f t="array" ref="J5395">IFERROR(INDEX('Retirement Calculator'!J:J,MATCH('Isaac 401k'!N5395,'Retirement Calculator'!A:A,0),0),0)</f>
        <v>0</v>
      </c>
      <c r="K5395" s="455">
        <f t="shared" ca="1" si="206"/>
        <v>-3744256111674.3071</v>
      </c>
      <c r="L5395" s="455">
        <f t="shared" ca="1" si="207"/>
        <v>-902365722913508</v>
      </c>
      <c r="M5395" s="471">
        <f t="shared" si="209"/>
        <v>0.05</v>
      </c>
      <c r="N5395" s="475">
        <f t="shared" si="210"/>
        <v>215251</v>
      </c>
    </row>
    <row r="5396" spans="7:14" ht="11.25" customHeight="1" x14ac:dyDescent="0.3">
      <c r="G5396" s="470"/>
      <c r="H5396" s="470">
        <v>5389</v>
      </c>
      <c r="I5396" s="455">
        <f t="shared" ca="1" si="208"/>
        <v>-902365722913508</v>
      </c>
      <c r="J5396" s="455">
        <f t="array" ref="J5396">IFERROR(INDEX('Retirement Calculator'!J:J,MATCH('Isaac 401k'!N5396,'Retirement Calculator'!A:A,0),0),0)</f>
        <v>0</v>
      </c>
      <c r="K5396" s="455">
        <f t="shared" ca="1" si="206"/>
        <v>-3759857178806.2832</v>
      </c>
      <c r="L5396" s="455">
        <f t="shared" ca="1" si="207"/>
        <v>-906125580092314.25</v>
      </c>
      <c r="M5396" s="471">
        <f t="shared" si="209"/>
        <v>0.05</v>
      </c>
      <c r="N5396" s="475">
        <f t="shared" si="210"/>
        <v>215282</v>
      </c>
    </row>
    <row r="5397" spans="7:14" ht="11.25" customHeight="1" x14ac:dyDescent="0.3">
      <c r="G5397" s="470"/>
      <c r="H5397" s="470">
        <v>5390</v>
      </c>
      <c r="I5397" s="455">
        <f t="shared" ca="1" si="208"/>
        <v>-906125580092314.25</v>
      </c>
      <c r="J5397" s="455">
        <f t="array" ref="J5397">IFERROR(INDEX('Retirement Calculator'!J:J,MATCH('Isaac 401k'!N5397,'Retirement Calculator'!A:A,0),0),0)</f>
        <v>0</v>
      </c>
      <c r="K5397" s="455">
        <f t="shared" ca="1" si="206"/>
        <v>-3775523250384.6421</v>
      </c>
      <c r="L5397" s="455">
        <f t="shared" ca="1" si="207"/>
        <v>-909901103342698.88</v>
      </c>
      <c r="M5397" s="471">
        <f t="shared" si="209"/>
        <v>0.05</v>
      </c>
      <c r="N5397" s="475">
        <f t="shared" si="210"/>
        <v>215312</v>
      </c>
    </row>
    <row r="5398" spans="7:14" ht="11.25" customHeight="1" x14ac:dyDescent="0.3">
      <c r="G5398" s="470"/>
      <c r="H5398" s="470">
        <v>5391</v>
      </c>
      <c r="I5398" s="455">
        <f t="shared" ca="1" si="208"/>
        <v>-909901103342698.88</v>
      </c>
      <c r="J5398" s="455">
        <f t="array" ref="J5398">IFERROR(INDEX('Retirement Calculator'!J:J,MATCH('Isaac 401k'!N5398,'Retirement Calculator'!A:A,0),0),0)</f>
        <v>0</v>
      </c>
      <c r="K5398" s="455">
        <f t="shared" ca="1" si="206"/>
        <v>-3791254597261.2446</v>
      </c>
      <c r="L5398" s="455">
        <f t="shared" ca="1" si="207"/>
        <v>-913692357939960.13</v>
      </c>
      <c r="M5398" s="471">
        <f t="shared" si="209"/>
        <v>0.05</v>
      </c>
      <c r="N5398" s="475">
        <f t="shared" si="210"/>
        <v>215343</v>
      </c>
    </row>
    <row r="5399" spans="7:14" ht="11.25" customHeight="1" x14ac:dyDescent="0.3">
      <c r="G5399" s="470"/>
      <c r="H5399" s="470">
        <v>5392</v>
      </c>
      <c r="I5399" s="455">
        <f t="shared" ca="1" si="208"/>
        <v>-913692357939960.13</v>
      </c>
      <c r="J5399" s="455">
        <f t="array" ref="J5399">IFERROR(INDEX('Retirement Calculator'!J:J,MATCH('Isaac 401k'!N5399,'Retirement Calculator'!A:A,0),0),0)</f>
        <v>0</v>
      </c>
      <c r="K5399" s="455">
        <f t="shared" ca="1" si="206"/>
        <v>-3807051491416.501</v>
      </c>
      <c r="L5399" s="455">
        <f t="shared" ca="1" si="207"/>
        <v>-917499409431376.63</v>
      </c>
      <c r="M5399" s="471">
        <f t="shared" si="209"/>
        <v>0.05</v>
      </c>
      <c r="N5399" s="475">
        <f t="shared" si="210"/>
        <v>215374</v>
      </c>
    </row>
    <row r="5400" spans="7:14" ht="11.25" customHeight="1" x14ac:dyDescent="0.3">
      <c r="G5400" s="470"/>
      <c r="H5400" s="470">
        <v>5393</v>
      </c>
      <c r="I5400" s="455">
        <f t="shared" ca="1" si="208"/>
        <v>-917499409431376.63</v>
      </c>
      <c r="J5400" s="455">
        <f t="array" ref="J5400">IFERROR(INDEX('Retirement Calculator'!J:J,MATCH('Isaac 401k'!N5400,'Retirement Calculator'!A:A,0),0),0)</f>
        <v>0</v>
      </c>
      <c r="K5400" s="455">
        <f t="shared" ca="1" si="206"/>
        <v>-3822914205964.0693</v>
      </c>
      <c r="L5400" s="455">
        <f t="shared" ca="1" si="207"/>
        <v>-921322323637340.75</v>
      </c>
      <c r="M5400" s="471">
        <f t="shared" si="209"/>
        <v>0.05</v>
      </c>
      <c r="N5400" s="475">
        <f t="shared" si="210"/>
        <v>215404</v>
      </c>
    </row>
    <row r="5401" spans="7:14" ht="11.25" customHeight="1" x14ac:dyDescent="0.3">
      <c r="G5401" s="470"/>
      <c r="H5401" s="470">
        <v>5394</v>
      </c>
      <c r="I5401" s="455">
        <f t="shared" ca="1" si="208"/>
        <v>-921322323637340.75</v>
      </c>
      <c r="J5401" s="455">
        <f t="array" ref="J5401">IFERROR(INDEX('Retirement Calculator'!J:J,MATCH('Isaac 401k'!N5401,'Retirement Calculator'!A:A,0),0),0)</f>
        <v>0</v>
      </c>
      <c r="K5401" s="455">
        <f t="shared" ca="1" si="206"/>
        <v>-3838843015155.5864</v>
      </c>
      <c r="L5401" s="455">
        <f t="shared" ca="1" si="207"/>
        <v>-925161166652496.38</v>
      </c>
      <c r="M5401" s="471">
        <f t="shared" si="209"/>
        <v>0.05</v>
      </c>
      <c r="N5401" s="475">
        <f t="shared" si="210"/>
        <v>215435</v>
      </c>
    </row>
    <row r="5402" spans="7:14" ht="11.25" customHeight="1" x14ac:dyDescent="0.3">
      <c r="G5402" s="470"/>
      <c r="H5402" s="470">
        <v>5395</v>
      </c>
      <c r="I5402" s="455">
        <f t="shared" ca="1" si="208"/>
        <v>-925161166652496.38</v>
      </c>
      <c r="J5402" s="455">
        <f t="array" ref="J5402">IFERROR(INDEX('Retirement Calculator'!J:J,MATCH('Isaac 401k'!N5402,'Retirement Calculator'!A:A,0),0),0)</f>
        <v>0</v>
      </c>
      <c r="K5402" s="455">
        <f t="shared" ca="1" si="206"/>
        <v>-3854838194385.4014</v>
      </c>
      <c r="L5402" s="455">
        <f t="shared" ca="1" si="207"/>
        <v>-929016004846881.75</v>
      </c>
      <c r="M5402" s="471">
        <f t="shared" si="209"/>
        <v>0.05</v>
      </c>
      <c r="N5402" s="475">
        <f t="shared" si="210"/>
        <v>215465</v>
      </c>
    </row>
    <row r="5403" spans="7:14" ht="11.25" customHeight="1" x14ac:dyDescent="0.3">
      <c r="G5403" s="470"/>
      <c r="H5403" s="470">
        <v>5396</v>
      </c>
      <c r="I5403" s="455">
        <f t="shared" ca="1" si="208"/>
        <v>-929016004846881.75</v>
      </c>
      <c r="J5403" s="455">
        <f t="array" ref="J5403">IFERROR(INDEX('Retirement Calculator'!J:J,MATCH('Isaac 401k'!N5403,'Retirement Calculator'!A:A,0),0),0)</f>
        <v>0</v>
      </c>
      <c r="K5403" s="455">
        <f t="shared" ca="1" si="206"/>
        <v>-3870900020195.3403</v>
      </c>
      <c r="L5403" s="455">
        <f t="shared" ca="1" si="207"/>
        <v>-932886904867077.13</v>
      </c>
      <c r="M5403" s="471">
        <f t="shared" si="209"/>
        <v>0.05</v>
      </c>
      <c r="N5403" s="475">
        <f t="shared" si="210"/>
        <v>215496</v>
      </c>
    </row>
    <row r="5404" spans="7:14" ht="11.25" customHeight="1" x14ac:dyDescent="0.3">
      <c r="G5404" s="470"/>
      <c r="H5404" s="470">
        <v>5397</v>
      </c>
      <c r="I5404" s="455">
        <f t="shared" ca="1" si="208"/>
        <v>-932886904867077.13</v>
      </c>
      <c r="J5404" s="455">
        <f t="array" ref="J5404">IFERROR(INDEX('Retirement Calculator'!J:J,MATCH('Isaac 401k'!N5404,'Retirement Calculator'!A:A,0),0),0)</f>
        <v>0</v>
      </c>
      <c r="K5404" s="455">
        <f t="shared" ca="1" si="206"/>
        <v>-3887028770279.4873</v>
      </c>
      <c r="L5404" s="455">
        <f t="shared" ca="1" si="207"/>
        <v>-936773933637356.63</v>
      </c>
      <c r="M5404" s="471">
        <f t="shared" si="209"/>
        <v>0.05</v>
      </c>
      <c r="N5404" s="475">
        <f t="shared" si="210"/>
        <v>215527</v>
      </c>
    </row>
    <row r="5405" spans="7:14" ht="11.25" customHeight="1" x14ac:dyDescent="0.3">
      <c r="G5405" s="470"/>
      <c r="H5405" s="470">
        <v>5398</v>
      </c>
      <c r="I5405" s="455">
        <f t="shared" ca="1" si="208"/>
        <v>-936773933637356.63</v>
      </c>
      <c r="J5405" s="455">
        <f t="array" ref="J5405">IFERROR(INDEX('Retirement Calculator'!J:J,MATCH('Isaac 401k'!N5405,'Retirement Calculator'!A:A,0),0),0)</f>
        <v>0</v>
      </c>
      <c r="K5405" s="455">
        <f t="shared" ca="1" si="206"/>
        <v>-3903224723488.9854</v>
      </c>
      <c r="L5405" s="455">
        <f t="shared" ca="1" si="207"/>
        <v>-940677158360845.63</v>
      </c>
      <c r="M5405" s="471">
        <f t="shared" si="209"/>
        <v>0.05</v>
      </c>
      <c r="N5405" s="475">
        <f t="shared" si="210"/>
        <v>215555</v>
      </c>
    </row>
    <row r="5406" spans="7:14" ht="11.25" customHeight="1" x14ac:dyDescent="0.3">
      <c r="G5406" s="470"/>
      <c r="H5406" s="470">
        <v>5399</v>
      </c>
      <c r="I5406" s="455">
        <f t="shared" ca="1" si="208"/>
        <v>-940677158360845.63</v>
      </c>
      <c r="J5406" s="455">
        <f t="array" ref="J5406">IFERROR(INDEX('Retirement Calculator'!J:J,MATCH('Isaac 401k'!N5406,'Retirement Calculator'!A:A,0),0),0)</f>
        <v>0</v>
      </c>
      <c r="K5406" s="455">
        <f t="shared" ca="1" si="206"/>
        <v>-3919488159836.8569</v>
      </c>
      <c r="L5406" s="455">
        <f t="shared" ca="1" si="207"/>
        <v>-944596646520682.5</v>
      </c>
      <c r="M5406" s="471">
        <f t="shared" si="209"/>
        <v>0.05</v>
      </c>
      <c r="N5406" s="475">
        <f t="shared" si="210"/>
        <v>215586</v>
      </c>
    </row>
    <row r="5407" spans="7:14" ht="11.25" customHeight="1" x14ac:dyDescent="0.3">
      <c r="G5407" s="470"/>
      <c r="H5407" s="470">
        <v>5400</v>
      </c>
      <c r="I5407" s="455">
        <f t="shared" ca="1" si="208"/>
        <v>-944596646520682.5</v>
      </c>
      <c r="J5407" s="455">
        <f t="array" ref="J5407">IFERROR(INDEX('Retirement Calculator'!J:J,MATCH('Isaac 401k'!N5407,'Retirement Calculator'!A:A,0),0),0)</f>
        <v>0</v>
      </c>
      <c r="K5407" s="455">
        <f t="shared" ca="1" si="206"/>
        <v>-3935819360502.8438</v>
      </c>
      <c r="L5407" s="455">
        <f t="shared" ca="1" si="207"/>
        <v>-948532465881185.38</v>
      </c>
      <c r="M5407" s="471">
        <f t="shared" si="209"/>
        <v>0.05</v>
      </c>
      <c r="N5407" s="475">
        <f t="shared" si="210"/>
        <v>215616</v>
      </c>
    </row>
    <row r="5408" spans="7:14" ht="11.25" customHeight="1" x14ac:dyDescent="0.3">
      <c r="G5408" s="470"/>
      <c r="H5408" s="470">
        <v>5401</v>
      </c>
      <c r="I5408" s="455">
        <f t="shared" ca="1" si="208"/>
        <v>-948532465881185.38</v>
      </c>
      <c r="J5408" s="455">
        <f t="array" ref="J5408">IFERROR(INDEX('Retirement Calculator'!J:J,MATCH('Isaac 401k'!N5408,'Retirement Calculator'!A:A,0),0),0)</f>
        <v>0</v>
      </c>
      <c r="K5408" s="455">
        <f t="shared" ca="1" si="206"/>
        <v>-3952218607838.2725</v>
      </c>
      <c r="L5408" s="455">
        <f t="shared" ca="1" si="207"/>
        <v>-952484684489023.63</v>
      </c>
      <c r="M5408" s="471">
        <f t="shared" si="209"/>
        <v>0.05</v>
      </c>
      <c r="N5408" s="475">
        <f t="shared" si="210"/>
        <v>215647</v>
      </c>
    </row>
    <row r="5409" spans="7:14" ht="11.25" customHeight="1" x14ac:dyDescent="0.3">
      <c r="G5409" s="470"/>
      <c r="H5409" s="470">
        <v>5402</v>
      </c>
      <c r="I5409" s="455">
        <f t="shared" ca="1" si="208"/>
        <v>-952484684489023.63</v>
      </c>
      <c r="J5409" s="455">
        <f t="array" ref="J5409">IFERROR(INDEX('Retirement Calculator'!J:J,MATCH('Isaac 401k'!N5409,'Retirement Calculator'!A:A,0),0),0)</f>
        <v>0</v>
      </c>
      <c r="K5409" s="455">
        <f t="shared" ca="1" si="206"/>
        <v>-3968686185370.9316</v>
      </c>
      <c r="L5409" s="455">
        <f t="shared" ca="1" si="207"/>
        <v>-956453370674394.5</v>
      </c>
      <c r="M5409" s="471">
        <f t="shared" si="209"/>
        <v>0.05</v>
      </c>
      <c r="N5409" s="475">
        <f t="shared" si="210"/>
        <v>215677</v>
      </c>
    </row>
    <row r="5410" spans="7:14" ht="11.25" customHeight="1" x14ac:dyDescent="0.3">
      <c r="G5410" s="470"/>
      <c r="H5410" s="470">
        <v>5403</v>
      </c>
      <c r="I5410" s="455">
        <f t="shared" ca="1" si="208"/>
        <v>-956453370674394.5</v>
      </c>
      <c r="J5410" s="455">
        <f t="array" ref="J5410">IFERROR(INDEX('Retirement Calculator'!J:J,MATCH('Isaac 401k'!N5410,'Retirement Calculator'!A:A,0),0),0)</f>
        <v>0</v>
      </c>
      <c r="K5410" s="455">
        <f t="shared" ca="1" si="206"/>
        <v>-3985222377809.9775</v>
      </c>
      <c r="L5410" s="455">
        <f t="shared" ca="1" si="207"/>
        <v>-960438593052204.5</v>
      </c>
      <c r="M5410" s="471">
        <f t="shared" si="209"/>
        <v>0.05</v>
      </c>
      <c r="N5410" s="475">
        <f t="shared" si="210"/>
        <v>215708</v>
      </c>
    </row>
    <row r="5411" spans="7:14" ht="11.25" customHeight="1" x14ac:dyDescent="0.3">
      <c r="G5411" s="470"/>
      <c r="H5411" s="470">
        <v>5404</v>
      </c>
      <c r="I5411" s="455">
        <f t="shared" ca="1" si="208"/>
        <v>-960438593052204.5</v>
      </c>
      <c r="J5411" s="455">
        <f t="array" ref="J5411">IFERROR(INDEX('Retirement Calculator'!J:J,MATCH('Isaac 401k'!N5411,'Retirement Calculator'!A:A,0),0),0)</f>
        <v>0</v>
      </c>
      <c r="K5411" s="455">
        <f t="shared" ca="1" si="206"/>
        <v>-4001827471050.8516</v>
      </c>
      <c r="L5411" s="455">
        <f t="shared" ca="1" si="207"/>
        <v>-964440420523255.38</v>
      </c>
      <c r="M5411" s="471">
        <f t="shared" si="209"/>
        <v>0.05</v>
      </c>
      <c r="N5411" s="475">
        <f t="shared" si="210"/>
        <v>215739</v>
      </c>
    </row>
    <row r="5412" spans="7:14" ht="11.25" customHeight="1" x14ac:dyDescent="0.3">
      <c r="G5412" s="470"/>
      <c r="H5412" s="470">
        <v>5405</v>
      </c>
      <c r="I5412" s="455">
        <f t="shared" ca="1" si="208"/>
        <v>-964440420523255.38</v>
      </c>
      <c r="J5412" s="455">
        <f t="array" ref="J5412">IFERROR(INDEX('Retirement Calculator'!J:J,MATCH('Isaac 401k'!N5412,'Retirement Calculator'!A:A,0),0),0)</f>
        <v>0</v>
      </c>
      <c r="K5412" s="455">
        <f t="shared" ca="1" si="206"/>
        <v>-4018501752180.2305</v>
      </c>
      <c r="L5412" s="455">
        <f t="shared" ca="1" si="207"/>
        <v>-968458922275435.63</v>
      </c>
      <c r="M5412" s="471">
        <f t="shared" si="209"/>
        <v>0.05</v>
      </c>
      <c r="N5412" s="475">
        <f t="shared" si="210"/>
        <v>215769</v>
      </c>
    </row>
    <row r="5413" spans="7:14" ht="11.25" customHeight="1" x14ac:dyDescent="0.3">
      <c r="G5413" s="470"/>
      <c r="H5413" s="470">
        <v>5406</v>
      </c>
      <c r="I5413" s="455">
        <f t="shared" ca="1" si="208"/>
        <v>-968458922275435.63</v>
      </c>
      <c r="J5413" s="455">
        <f t="array" ref="J5413">IFERROR(INDEX('Retirement Calculator'!J:J,MATCH('Isaac 401k'!N5413,'Retirement Calculator'!A:A,0),0),0)</f>
        <v>0</v>
      </c>
      <c r="K5413" s="455">
        <f t="shared" ca="1" si="206"/>
        <v>-4035245509480.9824</v>
      </c>
      <c r="L5413" s="455">
        <f t="shared" ca="1" si="207"/>
        <v>-972494167784916.63</v>
      </c>
      <c r="M5413" s="471">
        <f t="shared" si="209"/>
        <v>0.05</v>
      </c>
      <c r="N5413" s="475">
        <f t="shared" si="210"/>
        <v>215800</v>
      </c>
    </row>
    <row r="5414" spans="7:14" ht="11.25" customHeight="1" x14ac:dyDescent="0.3">
      <c r="G5414" s="470"/>
      <c r="H5414" s="470">
        <v>5407</v>
      </c>
      <c r="I5414" s="455">
        <f t="shared" ca="1" si="208"/>
        <v>-972494167784916.63</v>
      </c>
      <c r="J5414" s="455">
        <f t="array" ref="J5414">IFERROR(INDEX('Retirement Calculator'!J:J,MATCH('Isaac 401k'!N5414,'Retirement Calculator'!A:A,0),0),0)</f>
        <v>0</v>
      </c>
      <c r="K5414" s="455">
        <f t="shared" ca="1" si="206"/>
        <v>-4052059032437.1523</v>
      </c>
      <c r="L5414" s="455">
        <f t="shared" ca="1" si="207"/>
        <v>-976546226817353.75</v>
      </c>
      <c r="M5414" s="471">
        <f t="shared" si="209"/>
        <v>0.05</v>
      </c>
      <c r="N5414" s="475">
        <f t="shared" si="210"/>
        <v>215830</v>
      </c>
    </row>
    <row r="5415" spans="7:14" ht="11.25" customHeight="1" x14ac:dyDescent="0.3">
      <c r="G5415" s="470"/>
      <c r="H5415" s="470">
        <v>5408</v>
      </c>
      <c r="I5415" s="455">
        <f t="shared" ca="1" si="208"/>
        <v>-976546226817353.75</v>
      </c>
      <c r="J5415" s="455">
        <f t="array" ref="J5415">IFERROR(INDEX('Retirement Calculator'!J:J,MATCH('Isaac 401k'!N5415,'Retirement Calculator'!A:A,0),0),0)</f>
        <v>0</v>
      </c>
      <c r="K5415" s="455">
        <f t="shared" ca="1" si="206"/>
        <v>-4068942611738.9741</v>
      </c>
      <c r="L5415" s="455">
        <f t="shared" ca="1" si="207"/>
        <v>-980615169429092.75</v>
      </c>
      <c r="M5415" s="471">
        <f t="shared" si="209"/>
        <v>0.05</v>
      </c>
      <c r="N5415" s="475">
        <f t="shared" si="210"/>
        <v>215861</v>
      </c>
    </row>
    <row r="5416" spans="7:14" ht="11.25" customHeight="1" x14ac:dyDescent="0.3">
      <c r="G5416" s="470"/>
      <c r="H5416" s="470">
        <v>5409</v>
      </c>
      <c r="I5416" s="455">
        <f t="shared" ca="1" si="208"/>
        <v>-980615169429092.75</v>
      </c>
      <c r="J5416" s="455">
        <f t="array" ref="J5416">IFERROR(INDEX('Retirement Calculator'!J:J,MATCH('Isaac 401k'!N5416,'Retirement Calculator'!A:A,0),0),0)</f>
        <v>0</v>
      </c>
      <c r="K5416" s="455">
        <f t="shared" ca="1" si="206"/>
        <v>-4085896539287.8862</v>
      </c>
      <c r="L5416" s="455">
        <f t="shared" ca="1" si="207"/>
        <v>-984701065968380.63</v>
      </c>
      <c r="M5416" s="471">
        <f t="shared" si="209"/>
        <v>0.05</v>
      </c>
      <c r="N5416" s="475">
        <f t="shared" si="210"/>
        <v>215892</v>
      </c>
    </row>
    <row r="5417" spans="7:14" ht="11.25" customHeight="1" x14ac:dyDescent="0.3">
      <c r="G5417" s="470"/>
      <c r="H5417" s="470">
        <v>5410</v>
      </c>
      <c r="I5417" s="455">
        <f t="shared" ca="1" si="208"/>
        <v>-984701065968380.63</v>
      </c>
      <c r="J5417" s="455">
        <f t="array" ref="J5417">IFERROR(INDEX('Retirement Calculator'!J:J,MATCH('Isaac 401k'!N5417,'Retirement Calculator'!A:A,0),0),0)</f>
        <v>0</v>
      </c>
      <c r="K5417" s="455">
        <f t="shared" ca="1" si="206"/>
        <v>-4102921108201.5859</v>
      </c>
      <c r="L5417" s="455">
        <f t="shared" ca="1" si="207"/>
        <v>-988803987076582.25</v>
      </c>
      <c r="M5417" s="471">
        <f t="shared" si="209"/>
        <v>0.05</v>
      </c>
      <c r="N5417" s="475">
        <f t="shared" si="210"/>
        <v>215920</v>
      </c>
    </row>
    <row r="5418" spans="7:14" ht="11.25" customHeight="1" x14ac:dyDescent="0.3">
      <c r="G5418" s="470"/>
      <c r="H5418" s="470">
        <v>5411</v>
      </c>
      <c r="I5418" s="455">
        <f t="shared" ca="1" si="208"/>
        <v>-988803987076582.25</v>
      </c>
      <c r="J5418" s="455">
        <f t="array" ref="J5418">IFERROR(INDEX('Retirement Calculator'!J:J,MATCH('Isaac 401k'!N5418,'Retirement Calculator'!A:A,0),0),0)</f>
        <v>0</v>
      </c>
      <c r="K5418" s="455">
        <f t="shared" ca="1" si="206"/>
        <v>-4120016612819.0928</v>
      </c>
      <c r="L5418" s="455">
        <f t="shared" ca="1" si="207"/>
        <v>-992924003689401.38</v>
      </c>
      <c r="M5418" s="471">
        <f t="shared" si="209"/>
        <v>0.05</v>
      </c>
      <c r="N5418" s="475">
        <f t="shared" si="210"/>
        <v>215951</v>
      </c>
    </row>
    <row r="5419" spans="7:14" ht="11.25" customHeight="1" x14ac:dyDescent="0.3">
      <c r="G5419" s="470"/>
      <c r="H5419" s="470">
        <v>5412</v>
      </c>
      <c r="I5419" s="455">
        <f t="shared" ca="1" si="208"/>
        <v>-992924003689401.38</v>
      </c>
      <c r="J5419" s="455">
        <f t="array" ref="J5419">IFERROR(INDEX('Retirement Calculator'!J:J,MATCH('Isaac 401k'!N5419,'Retirement Calculator'!A:A,0),0),0)</f>
        <v>0</v>
      </c>
      <c r="K5419" s="455">
        <f t="shared" ca="1" si="206"/>
        <v>-4137183348705.8389</v>
      </c>
      <c r="L5419" s="455">
        <f t="shared" ca="1" si="207"/>
        <v>-997061187038107.25</v>
      </c>
      <c r="M5419" s="471">
        <f t="shared" si="209"/>
        <v>0.05</v>
      </c>
      <c r="N5419" s="475">
        <f t="shared" si="210"/>
        <v>215981</v>
      </c>
    </row>
    <row r="5420" spans="7:14" ht="11.25" customHeight="1" x14ac:dyDescent="0.3">
      <c r="G5420" s="470"/>
      <c r="H5420" s="470">
        <v>5413</v>
      </c>
      <c r="I5420" s="455">
        <f t="shared" ca="1" si="208"/>
        <v>-997061187038107.25</v>
      </c>
      <c r="J5420" s="455">
        <f t="array" ref="J5420">IFERROR(INDEX('Retirement Calculator'!J:J,MATCH('Isaac 401k'!N5420,'Retirement Calculator'!A:A,0),0),0)</f>
        <v>0</v>
      </c>
      <c r="K5420" s="455">
        <f t="shared" ca="1" si="206"/>
        <v>-4154421612658.7803</v>
      </c>
      <c r="L5420" s="455">
        <f t="shared" ca="1" si="207"/>
        <v>-1001215608650766</v>
      </c>
      <c r="M5420" s="471">
        <f t="shared" si="209"/>
        <v>0.05</v>
      </c>
      <c r="N5420" s="475">
        <f t="shared" si="210"/>
        <v>216012</v>
      </c>
    </row>
    <row r="5421" spans="7:14" ht="11.25" customHeight="1" x14ac:dyDescent="0.3">
      <c r="G5421" s="470"/>
      <c r="H5421" s="470">
        <v>5414</v>
      </c>
      <c r="I5421" s="455">
        <f t="shared" ca="1" si="208"/>
        <v>-1001215608650766</v>
      </c>
      <c r="J5421" s="455">
        <f t="array" ref="J5421">IFERROR(INDEX('Retirement Calculator'!J:J,MATCH('Isaac 401k'!N5421,'Retirement Calculator'!A:A,0),0),0)</f>
        <v>0</v>
      </c>
      <c r="K5421" s="455">
        <f t="shared" ca="1" si="206"/>
        <v>-4171731702711.5249</v>
      </c>
      <c r="L5421" s="455">
        <f t="shared" ca="1" si="207"/>
        <v>-1005387340353477.5</v>
      </c>
      <c r="M5421" s="471">
        <f t="shared" si="209"/>
        <v>0.05</v>
      </c>
      <c r="N5421" s="475">
        <f t="shared" si="210"/>
        <v>216042</v>
      </c>
    </row>
    <row r="5422" spans="7:14" ht="11.25" customHeight="1" x14ac:dyDescent="0.3">
      <c r="G5422" s="470"/>
      <c r="H5422" s="470">
        <v>5415</v>
      </c>
      <c r="I5422" s="455">
        <f t="shared" ca="1" si="208"/>
        <v>-1005387340353477.5</v>
      </c>
      <c r="J5422" s="455">
        <f t="array" ref="J5422">IFERROR(INDEX('Retirement Calculator'!J:J,MATCH('Isaac 401k'!N5422,'Retirement Calculator'!A:A,0),0),0)</f>
        <v>0</v>
      </c>
      <c r="K5422" s="455">
        <f t="shared" ca="1" si="206"/>
        <v>-4189113918139.4897</v>
      </c>
      <c r="L5422" s="455">
        <f t="shared" ca="1" si="207"/>
        <v>-1009576454271617</v>
      </c>
      <c r="M5422" s="471">
        <f t="shared" si="209"/>
        <v>0.05</v>
      </c>
      <c r="N5422" s="475">
        <f t="shared" si="210"/>
        <v>216073</v>
      </c>
    </row>
    <row r="5423" spans="7:14" ht="11.25" customHeight="1" x14ac:dyDescent="0.3">
      <c r="G5423" s="470"/>
      <c r="H5423" s="470">
        <v>5416</v>
      </c>
      <c r="I5423" s="455">
        <f t="shared" ca="1" si="208"/>
        <v>-1009576454271617</v>
      </c>
      <c r="J5423" s="455">
        <f t="array" ref="J5423">IFERROR(INDEX('Retirement Calculator'!J:J,MATCH('Isaac 401k'!N5423,'Retirement Calculator'!A:A,0),0),0)</f>
        <v>0</v>
      </c>
      <c r="K5423" s="455">
        <f t="shared" ca="1" si="206"/>
        <v>-4206568559465.0708</v>
      </c>
      <c r="L5423" s="455">
        <f t="shared" ca="1" si="207"/>
        <v>-1013783022831082.1</v>
      </c>
      <c r="M5423" s="471">
        <f t="shared" si="209"/>
        <v>0.05</v>
      </c>
      <c r="N5423" s="475">
        <f t="shared" si="210"/>
        <v>216104</v>
      </c>
    </row>
    <row r="5424" spans="7:14" ht="11.25" customHeight="1" x14ac:dyDescent="0.3">
      <c r="G5424" s="470"/>
      <c r="H5424" s="470">
        <v>5417</v>
      </c>
      <c r="I5424" s="455">
        <f t="shared" ca="1" si="208"/>
        <v>-1013783022831082.1</v>
      </c>
      <c r="J5424" s="455">
        <f t="array" ref="J5424">IFERROR(INDEX('Retirement Calculator'!J:J,MATCH('Isaac 401k'!N5424,'Retirement Calculator'!A:A,0),0),0)</f>
        <v>0</v>
      </c>
      <c r="K5424" s="455">
        <f t="shared" ca="1" si="206"/>
        <v>-4224095928462.8423</v>
      </c>
      <c r="L5424" s="455">
        <f t="shared" ca="1" si="207"/>
        <v>-1018007118759545</v>
      </c>
      <c r="M5424" s="471">
        <f t="shared" si="209"/>
        <v>0.05</v>
      </c>
      <c r="N5424" s="475">
        <f t="shared" si="210"/>
        <v>216134</v>
      </c>
    </row>
    <row r="5425" spans="7:14" ht="11.25" customHeight="1" x14ac:dyDescent="0.3">
      <c r="G5425" s="470"/>
      <c r="H5425" s="470">
        <v>5418</v>
      </c>
      <c r="I5425" s="455">
        <f t="shared" ca="1" si="208"/>
        <v>-1018007118759545</v>
      </c>
      <c r="J5425" s="455">
        <f t="array" ref="J5425">IFERROR(INDEX('Retirement Calculator'!J:J,MATCH('Isaac 401k'!N5425,'Retirement Calculator'!A:A,0),0),0)</f>
        <v>0</v>
      </c>
      <c r="K5425" s="455">
        <f t="shared" ca="1" si="206"/>
        <v>-4241696328164.7715</v>
      </c>
      <c r="L5425" s="455">
        <f t="shared" ca="1" si="207"/>
        <v>-1022248815087709.8</v>
      </c>
      <c r="M5425" s="471">
        <f t="shared" si="209"/>
        <v>0.05</v>
      </c>
      <c r="N5425" s="475">
        <f t="shared" si="210"/>
        <v>216165</v>
      </c>
    </row>
    <row r="5426" spans="7:14" ht="11.25" customHeight="1" x14ac:dyDescent="0.3">
      <c r="G5426" s="470"/>
      <c r="H5426" s="470">
        <v>5419</v>
      </c>
      <c r="I5426" s="455">
        <f t="shared" ca="1" si="208"/>
        <v>-1022248815087709.8</v>
      </c>
      <c r="J5426" s="455">
        <f t="array" ref="J5426">IFERROR(INDEX('Retirement Calculator'!J:J,MATCH('Isaac 401k'!N5426,'Retirement Calculator'!A:A,0),0),0)</f>
        <v>0</v>
      </c>
      <c r="K5426" s="455">
        <f t="shared" ca="1" si="206"/>
        <v>-4259370062865.457</v>
      </c>
      <c r="L5426" s="455">
        <f t="shared" ca="1" si="207"/>
        <v>-1026508185150575.3</v>
      </c>
      <c r="M5426" s="471">
        <f t="shared" si="209"/>
        <v>0.05</v>
      </c>
      <c r="N5426" s="475">
        <f t="shared" si="210"/>
        <v>216195</v>
      </c>
    </row>
    <row r="5427" spans="7:14" ht="11.25" customHeight="1" x14ac:dyDescent="0.3">
      <c r="G5427" s="470"/>
      <c r="H5427" s="470">
        <v>5420</v>
      </c>
      <c r="I5427" s="455">
        <f t="shared" ca="1" si="208"/>
        <v>-1026508185150575.3</v>
      </c>
      <c r="J5427" s="455">
        <f t="array" ref="J5427">IFERROR(INDEX('Retirement Calculator'!J:J,MATCH('Isaac 401k'!N5427,'Retirement Calculator'!A:A,0),0),0)</f>
        <v>0</v>
      </c>
      <c r="K5427" s="455">
        <f t="shared" ca="1" si="206"/>
        <v>-4277117438127.397</v>
      </c>
      <c r="L5427" s="455">
        <f t="shared" ca="1" si="207"/>
        <v>-1030785302588702.6</v>
      </c>
      <c r="M5427" s="471">
        <f t="shared" si="209"/>
        <v>0.05</v>
      </c>
      <c r="N5427" s="475">
        <f t="shared" si="210"/>
        <v>216226</v>
      </c>
    </row>
    <row r="5428" spans="7:14" ht="11.25" customHeight="1" x14ac:dyDescent="0.3">
      <c r="G5428" s="470"/>
      <c r="H5428" s="470">
        <v>5421</v>
      </c>
      <c r="I5428" s="455">
        <f t="shared" ca="1" si="208"/>
        <v>-1030785302588702.6</v>
      </c>
      <c r="J5428" s="455">
        <f t="array" ref="J5428">IFERROR(INDEX('Retirement Calculator'!J:J,MATCH('Isaac 401k'!N5428,'Retirement Calculator'!A:A,0),0),0)</f>
        <v>0</v>
      </c>
      <c r="K5428" s="455">
        <f t="shared" ca="1" si="206"/>
        <v>-4294938760786.2603</v>
      </c>
      <c r="L5428" s="455">
        <f t="shared" ca="1" si="207"/>
        <v>-1035080241349488.9</v>
      </c>
      <c r="M5428" s="471">
        <f t="shared" si="209"/>
        <v>0.05</v>
      </c>
      <c r="N5428" s="475">
        <f t="shared" si="210"/>
        <v>216257</v>
      </c>
    </row>
    <row r="5429" spans="7:14" ht="11.25" customHeight="1" x14ac:dyDescent="0.3">
      <c r="G5429" s="470"/>
      <c r="H5429" s="470">
        <v>5422</v>
      </c>
      <c r="I5429" s="455">
        <f t="shared" ca="1" si="208"/>
        <v>-1035080241349488.9</v>
      </c>
      <c r="J5429" s="455">
        <f t="array" ref="J5429">IFERROR(INDEX('Retirement Calculator'!J:J,MATCH('Isaac 401k'!N5429,'Retirement Calculator'!A:A,0),0),0)</f>
        <v>0</v>
      </c>
      <c r="K5429" s="455">
        <f t="shared" ca="1" si="206"/>
        <v>-4312834338956.2036</v>
      </c>
      <c r="L5429" s="455">
        <f t="shared" ca="1" si="207"/>
        <v>-1039393075688445.1</v>
      </c>
      <c r="M5429" s="471">
        <f t="shared" si="209"/>
        <v>0.05</v>
      </c>
      <c r="N5429" s="475">
        <f t="shared" si="210"/>
        <v>216286</v>
      </c>
    </row>
    <row r="5430" spans="7:14" ht="11.25" customHeight="1" x14ac:dyDescent="0.3">
      <c r="G5430" s="470"/>
      <c r="H5430" s="470">
        <v>5423</v>
      </c>
      <c r="I5430" s="455">
        <f t="shared" ca="1" si="208"/>
        <v>-1039393075688445.1</v>
      </c>
      <c r="J5430" s="455">
        <f t="array" ref="J5430">IFERROR(INDEX('Retirement Calculator'!J:J,MATCH('Isaac 401k'!N5430,'Retirement Calculator'!A:A,0),0),0)</f>
        <v>0</v>
      </c>
      <c r="K5430" s="455">
        <f t="shared" ca="1" si="206"/>
        <v>-4330804482035.188</v>
      </c>
      <c r="L5430" s="455">
        <f t="shared" ca="1" si="207"/>
        <v>-1043723880170480.4</v>
      </c>
      <c r="M5430" s="471">
        <f t="shared" si="209"/>
        <v>0.05</v>
      </c>
      <c r="N5430" s="475">
        <f t="shared" si="210"/>
        <v>216317</v>
      </c>
    </row>
    <row r="5431" spans="7:14" ht="11.25" customHeight="1" x14ac:dyDescent="0.3">
      <c r="G5431" s="470"/>
      <c r="H5431" s="470">
        <v>5424</v>
      </c>
      <c r="I5431" s="455">
        <f t="shared" ca="1" si="208"/>
        <v>-1043723880170480.4</v>
      </c>
      <c r="J5431" s="455">
        <f t="array" ref="J5431">IFERROR(INDEX('Retirement Calculator'!J:J,MATCH('Isaac 401k'!N5431,'Retirement Calculator'!A:A,0),0),0)</f>
        <v>0</v>
      </c>
      <c r="K5431" s="455">
        <f t="shared" ca="1" si="206"/>
        <v>-4348849500710.335</v>
      </c>
      <c r="L5431" s="455">
        <f t="shared" ca="1" si="207"/>
        <v>-1048072729671190.8</v>
      </c>
      <c r="M5431" s="471">
        <f t="shared" si="209"/>
        <v>0.05</v>
      </c>
      <c r="N5431" s="475">
        <f t="shared" si="210"/>
        <v>216347</v>
      </c>
    </row>
    <row r="5432" spans="7:14" ht="11.25" customHeight="1" x14ac:dyDescent="0.3">
      <c r="G5432" s="470"/>
      <c r="H5432" s="470">
        <v>5425</v>
      </c>
      <c r="I5432" s="455">
        <f t="shared" ca="1" si="208"/>
        <v>-1048072729671190.8</v>
      </c>
      <c r="J5432" s="455">
        <f t="array" ref="J5432">IFERROR(INDEX('Retirement Calculator'!J:J,MATCH('Isaac 401k'!N5432,'Retirement Calculator'!A:A,0),0),0)</f>
        <v>0</v>
      </c>
      <c r="K5432" s="455">
        <f t="shared" ca="1" si="206"/>
        <v>-4366969706963.2949</v>
      </c>
      <c r="L5432" s="455">
        <f t="shared" ca="1" si="207"/>
        <v>-1052439699378154</v>
      </c>
      <c r="M5432" s="471">
        <f t="shared" si="209"/>
        <v>0.05</v>
      </c>
      <c r="N5432" s="475">
        <f t="shared" si="210"/>
        <v>216378</v>
      </c>
    </row>
    <row r="5433" spans="7:14" ht="11.25" customHeight="1" x14ac:dyDescent="0.3">
      <c r="G5433" s="470"/>
      <c r="H5433" s="470">
        <v>5426</v>
      </c>
      <c r="I5433" s="455">
        <f t="shared" ca="1" si="208"/>
        <v>-1052439699378154</v>
      </c>
      <c r="J5433" s="455">
        <f t="array" ref="J5433">IFERROR(INDEX('Retirement Calculator'!J:J,MATCH('Isaac 401k'!N5433,'Retirement Calculator'!A:A,0),0),0)</f>
        <v>0</v>
      </c>
      <c r="K5433" s="455">
        <f t="shared" ca="1" si="206"/>
        <v>-4385165414075.6411</v>
      </c>
      <c r="L5433" s="455">
        <f t="shared" ca="1" si="207"/>
        <v>-1056824864792229.6</v>
      </c>
      <c r="M5433" s="471">
        <f t="shared" si="209"/>
        <v>0.05</v>
      </c>
      <c r="N5433" s="475">
        <f t="shared" si="210"/>
        <v>216408</v>
      </c>
    </row>
    <row r="5434" spans="7:14" ht="11.25" customHeight="1" x14ac:dyDescent="0.3">
      <c r="G5434" s="470"/>
      <c r="H5434" s="470">
        <v>5427</v>
      </c>
      <c r="I5434" s="455">
        <f t="shared" ca="1" si="208"/>
        <v>-1056824864792229.6</v>
      </c>
      <c r="J5434" s="455">
        <f t="array" ref="J5434">IFERROR(INDEX('Retirement Calculator'!J:J,MATCH('Isaac 401k'!N5434,'Retirement Calculator'!A:A,0),0),0)</f>
        <v>0</v>
      </c>
      <c r="K5434" s="455">
        <f t="shared" ca="1" si="206"/>
        <v>-4403436936634.29</v>
      </c>
      <c r="L5434" s="455">
        <f t="shared" ca="1" si="207"/>
        <v>-1061228301728863.9</v>
      </c>
      <c r="M5434" s="471">
        <f t="shared" si="209"/>
        <v>0.05</v>
      </c>
      <c r="N5434" s="475">
        <f t="shared" si="210"/>
        <v>216439</v>
      </c>
    </row>
    <row r="5435" spans="7:14" ht="11.25" customHeight="1" x14ac:dyDescent="0.3">
      <c r="G5435" s="470"/>
      <c r="H5435" s="470">
        <v>5428</v>
      </c>
      <c r="I5435" s="455">
        <f t="shared" ca="1" si="208"/>
        <v>-1061228301728863.9</v>
      </c>
      <c r="J5435" s="455">
        <f t="array" ref="J5435">IFERROR(INDEX('Retirement Calculator'!J:J,MATCH('Isaac 401k'!N5435,'Retirement Calculator'!A:A,0),0),0)</f>
        <v>0</v>
      </c>
      <c r="K5435" s="455">
        <f t="shared" ca="1" si="206"/>
        <v>-4421784590536.9326</v>
      </c>
      <c r="L5435" s="455">
        <f t="shared" ca="1" si="207"/>
        <v>-1065650086319400.8</v>
      </c>
      <c r="M5435" s="471">
        <f t="shared" si="209"/>
        <v>0.05</v>
      </c>
      <c r="N5435" s="475">
        <f t="shared" si="210"/>
        <v>216470</v>
      </c>
    </row>
    <row r="5436" spans="7:14" ht="11.25" customHeight="1" x14ac:dyDescent="0.3">
      <c r="G5436" s="470"/>
      <c r="H5436" s="470">
        <v>5429</v>
      </c>
      <c r="I5436" s="455">
        <f t="shared" ca="1" si="208"/>
        <v>-1065650086319400.8</v>
      </c>
      <c r="J5436" s="455">
        <f t="array" ref="J5436">IFERROR(INDEX('Retirement Calculator'!J:J,MATCH('Isaac 401k'!N5436,'Retirement Calculator'!A:A,0),0),0)</f>
        <v>0</v>
      </c>
      <c r="K5436" s="455">
        <f t="shared" ca="1" si="206"/>
        <v>-4440208692997.5029</v>
      </c>
      <c r="L5436" s="455">
        <f t="shared" ca="1" si="207"/>
        <v>-1070090295012398.3</v>
      </c>
      <c r="M5436" s="471">
        <f t="shared" si="209"/>
        <v>0.05</v>
      </c>
      <c r="N5436" s="475">
        <f t="shared" si="210"/>
        <v>216500</v>
      </c>
    </row>
    <row r="5437" spans="7:14" ht="11.25" customHeight="1" x14ac:dyDescent="0.3">
      <c r="G5437" s="470"/>
      <c r="H5437" s="470">
        <v>5430</v>
      </c>
      <c r="I5437" s="455">
        <f t="shared" ca="1" si="208"/>
        <v>-1070090295012398.3</v>
      </c>
      <c r="J5437" s="455">
        <f t="array" ref="J5437">IFERROR(INDEX('Retirement Calculator'!J:J,MATCH('Isaac 401k'!N5437,'Retirement Calculator'!A:A,0),0),0)</f>
        <v>0</v>
      </c>
      <c r="K5437" s="455">
        <f t="shared" ca="1" si="206"/>
        <v>-4458709562551.6592</v>
      </c>
      <c r="L5437" s="455">
        <f t="shared" ca="1" si="207"/>
        <v>-1074549004574949.9</v>
      </c>
      <c r="M5437" s="471">
        <f t="shared" si="209"/>
        <v>0.05</v>
      </c>
      <c r="N5437" s="475">
        <f t="shared" si="210"/>
        <v>216531</v>
      </c>
    </row>
    <row r="5438" spans="7:14" ht="11.25" customHeight="1" x14ac:dyDescent="0.3">
      <c r="G5438" s="470"/>
      <c r="H5438" s="470">
        <v>5431</v>
      </c>
      <c r="I5438" s="455">
        <f t="shared" ca="1" si="208"/>
        <v>-1074549004574949.9</v>
      </c>
      <c r="J5438" s="455">
        <f t="array" ref="J5438">IFERROR(INDEX('Retirement Calculator'!J:J,MATCH('Isaac 401k'!N5438,'Retirement Calculator'!A:A,0),0),0)</f>
        <v>0</v>
      </c>
      <c r="K5438" s="455">
        <f t="shared" ca="1" si="206"/>
        <v>-4477287519062.291</v>
      </c>
      <c r="L5438" s="455">
        <f t="shared" ca="1" si="207"/>
        <v>-1079026292094012.1</v>
      </c>
      <c r="M5438" s="471">
        <f t="shared" si="209"/>
        <v>0.05</v>
      </c>
      <c r="N5438" s="475">
        <f t="shared" si="210"/>
        <v>216561</v>
      </c>
    </row>
    <row r="5439" spans="7:14" ht="11.25" customHeight="1" x14ac:dyDescent="0.3">
      <c r="G5439" s="470"/>
      <c r="H5439" s="470">
        <v>5432</v>
      </c>
      <c r="I5439" s="455">
        <f t="shared" ca="1" si="208"/>
        <v>-1079026292094012.1</v>
      </c>
      <c r="J5439" s="455">
        <f t="array" ref="J5439">IFERROR(INDEX('Retirement Calculator'!J:J,MATCH('Isaac 401k'!N5439,'Retirement Calculator'!A:A,0),0),0)</f>
        <v>0</v>
      </c>
      <c r="K5439" s="455">
        <f t="shared" ca="1" si="206"/>
        <v>-4495942883725.0498</v>
      </c>
      <c r="L5439" s="455">
        <f t="shared" ca="1" si="207"/>
        <v>-1083522234977737.1</v>
      </c>
      <c r="M5439" s="471">
        <f t="shared" si="209"/>
        <v>0.05</v>
      </c>
      <c r="N5439" s="475">
        <f t="shared" si="210"/>
        <v>216592</v>
      </c>
    </row>
    <row r="5440" spans="7:14" ht="11.25" customHeight="1" x14ac:dyDescent="0.3">
      <c r="G5440" s="470"/>
      <c r="H5440" s="470">
        <v>5433</v>
      </c>
      <c r="I5440" s="455">
        <f t="shared" ca="1" si="208"/>
        <v>-1083522234977737.1</v>
      </c>
      <c r="J5440" s="455">
        <f t="array" ref="J5440">IFERROR(INDEX('Retirement Calculator'!J:J,MATCH('Isaac 401k'!N5440,'Retirement Calculator'!A:A,0),0),0)</f>
        <v>0</v>
      </c>
      <c r="K5440" s="455">
        <f t="shared" ca="1" si="206"/>
        <v>-4514675979073.9043</v>
      </c>
      <c r="L5440" s="455">
        <f t="shared" ca="1" si="207"/>
        <v>-1088036910956811</v>
      </c>
      <c r="M5440" s="471">
        <f t="shared" si="209"/>
        <v>0.05</v>
      </c>
      <c r="N5440" s="475">
        <f t="shared" si="210"/>
        <v>216623</v>
      </c>
    </row>
    <row r="5441" spans="7:14" ht="11.25" customHeight="1" x14ac:dyDescent="0.3">
      <c r="G5441" s="470"/>
      <c r="H5441" s="470">
        <v>5434</v>
      </c>
      <c r="I5441" s="455">
        <f t="shared" ca="1" si="208"/>
        <v>-1088036910956811</v>
      </c>
      <c r="J5441" s="455">
        <f t="array" ref="J5441">IFERROR(INDEX('Retirement Calculator'!J:J,MATCH('Isaac 401k'!N5441,'Retirement Calculator'!A:A,0),0),0)</f>
        <v>0</v>
      </c>
      <c r="K5441" s="455">
        <f t="shared" ca="1" si="206"/>
        <v>-4533487128986.7129</v>
      </c>
      <c r="L5441" s="455">
        <f t="shared" ca="1" si="207"/>
        <v>-1092570398085797.8</v>
      </c>
      <c r="M5441" s="471">
        <f t="shared" si="209"/>
        <v>0.05</v>
      </c>
      <c r="N5441" s="475">
        <f t="shared" si="210"/>
        <v>216651</v>
      </c>
    </row>
    <row r="5442" spans="7:14" ht="11.25" customHeight="1" x14ac:dyDescent="0.3">
      <c r="G5442" s="470"/>
      <c r="H5442" s="470">
        <v>5435</v>
      </c>
      <c r="I5442" s="455">
        <f t="shared" ca="1" si="208"/>
        <v>-1092570398085797.8</v>
      </c>
      <c r="J5442" s="455">
        <f t="array" ref="J5442">IFERROR(INDEX('Retirement Calculator'!J:J,MATCH('Isaac 401k'!N5442,'Retirement Calculator'!A:A,0),0),0)</f>
        <v>0</v>
      </c>
      <c r="K5442" s="455">
        <f t="shared" ca="1" si="206"/>
        <v>-4552376658690.8242</v>
      </c>
      <c r="L5442" s="455">
        <f t="shared" ca="1" si="207"/>
        <v>-1097122774744488.6</v>
      </c>
      <c r="M5442" s="471">
        <f t="shared" si="209"/>
        <v>0.05</v>
      </c>
      <c r="N5442" s="475">
        <f t="shared" si="210"/>
        <v>216682</v>
      </c>
    </row>
    <row r="5443" spans="7:14" ht="11.25" customHeight="1" x14ac:dyDescent="0.3">
      <c r="G5443" s="470"/>
      <c r="H5443" s="470">
        <v>5436</v>
      </c>
      <c r="I5443" s="455">
        <f t="shared" ca="1" si="208"/>
        <v>-1097122774744488.6</v>
      </c>
      <c r="J5443" s="455">
        <f t="array" ref="J5443">IFERROR(INDEX('Retirement Calculator'!J:J,MATCH('Isaac 401k'!N5443,'Retirement Calculator'!A:A,0),0),0)</f>
        <v>0</v>
      </c>
      <c r="K5443" s="455">
        <f t="shared" ca="1" si="206"/>
        <v>-4571344894768.7021</v>
      </c>
      <c r="L5443" s="455">
        <f t="shared" ca="1" si="207"/>
        <v>-1101694119639257.4</v>
      </c>
      <c r="M5443" s="471">
        <f t="shared" si="209"/>
        <v>0.05</v>
      </c>
      <c r="N5443" s="475">
        <f t="shared" si="210"/>
        <v>216712</v>
      </c>
    </row>
    <row r="5444" spans="7:14" ht="11.25" customHeight="1" x14ac:dyDescent="0.3">
      <c r="G5444" s="470"/>
      <c r="H5444" s="470">
        <v>5437</v>
      </c>
      <c r="I5444" s="455">
        <f t="shared" ca="1" si="208"/>
        <v>-1101694119639257.4</v>
      </c>
      <c r="J5444" s="455">
        <f t="array" ref="J5444">IFERROR(INDEX('Retirement Calculator'!J:J,MATCH('Isaac 401k'!N5444,'Retirement Calculator'!A:A,0),0),0)</f>
        <v>0</v>
      </c>
      <c r="K5444" s="455">
        <f t="shared" ca="1" si="206"/>
        <v>-4590392165163.5723</v>
      </c>
      <c r="L5444" s="455">
        <f t="shared" ca="1" si="207"/>
        <v>-1106284511804421</v>
      </c>
      <c r="M5444" s="471">
        <f t="shared" si="209"/>
        <v>0.05</v>
      </c>
      <c r="N5444" s="475">
        <f t="shared" si="210"/>
        <v>216743</v>
      </c>
    </row>
    <row r="5445" spans="7:14" ht="11.25" customHeight="1" x14ac:dyDescent="0.3">
      <c r="G5445" s="470"/>
      <c r="H5445" s="470">
        <v>5438</v>
      </c>
      <c r="I5445" s="455">
        <f t="shared" ca="1" si="208"/>
        <v>-1106284511804421</v>
      </c>
      <c r="J5445" s="455">
        <f t="array" ref="J5445">IFERROR(INDEX('Retirement Calculator'!J:J,MATCH('Isaac 401k'!N5445,'Retirement Calculator'!A:A,0),0),0)</f>
        <v>0</v>
      </c>
      <c r="K5445" s="455">
        <f t="shared" ca="1" si="206"/>
        <v>-4609518799185.0879</v>
      </c>
      <c r="L5445" s="455">
        <f t="shared" ca="1" si="207"/>
        <v>-1110894030603606.1</v>
      </c>
      <c r="M5445" s="471">
        <f t="shared" si="209"/>
        <v>0.05</v>
      </c>
      <c r="N5445" s="475">
        <f t="shared" si="210"/>
        <v>216773</v>
      </c>
    </row>
    <row r="5446" spans="7:14" ht="11.25" customHeight="1" x14ac:dyDescent="0.3">
      <c r="G5446" s="470"/>
      <c r="H5446" s="470">
        <v>5439</v>
      </c>
      <c r="I5446" s="455">
        <f t="shared" ca="1" si="208"/>
        <v>-1110894030603606.1</v>
      </c>
      <c r="J5446" s="455">
        <f t="array" ref="J5446">IFERROR(INDEX('Retirement Calculator'!J:J,MATCH('Isaac 401k'!N5446,'Retirement Calculator'!A:A,0),0),0)</f>
        <v>0</v>
      </c>
      <c r="K5446" s="455">
        <f t="shared" ca="1" si="206"/>
        <v>-4628725127515.0254</v>
      </c>
      <c r="L5446" s="455">
        <f t="shared" ca="1" si="207"/>
        <v>-1115522755731121.1</v>
      </c>
      <c r="M5446" s="471">
        <f t="shared" si="209"/>
        <v>0.05</v>
      </c>
      <c r="N5446" s="475">
        <f t="shared" si="210"/>
        <v>216804</v>
      </c>
    </row>
    <row r="5447" spans="7:14" ht="11.25" customHeight="1" x14ac:dyDescent="0.3">
      <c r="G5447" s="470"/>
      <c r="H5447" s="470">
        <v>5440</v>
      </c>
      <c r="I5447" s="455">
        <f t="shared" ca="1" si="208"/>
        <v>-1115522755731121.1</v>
      </c>
      <c r="J5447" s="455">
        <f t="array" ref="J5447">IFERROR(INDEX('Retirement Calculator'!J:J,MATCH('Isaac 401k'!N5447,'Retirement Calculator'!A:A,0),0),0)</f>
        <v>0</v>
      </c>
      <c r="K5447" s="455">
        <f t="shared" ca="1" si="206"/>
        <v>-4648011482213.0049</v>
      </c>
      <c r="L5447" s="455">
        <f t="shared" ca="1" si="207"/>
        <v>-1120170767213334.1</v>
      </c>
      <c r="M5447" s="471">
        <f t="shared" si="209"/>
        <v>0.05</v>
      </c>
      <c r="N5447" s="475">
        <f t="shared" si="210"/>
        <v>216835</v>
      </c>
    </row>
    <row r="5448" spans="7:14" ht="11.25" customHeight="1" x14ac:dyDescent="0.3">
      <c r="G5448" s="470"/>
      <c r="H5448" s="470">
        <v>5441</v>
      </c>
      <c r="I5448" s="455">
        <f t="shared" ca="1" si="208"/>
        <v>-1120170767213334.1</v>
      </c>
      <c r="J5448" s="455">
        <f t="array" ref="J5448">IFERROR(INDEX('Retirement Calculator'!J:J,MATCH('Isaac 401k'!N5448,'Retirement Calculator'!A:A,0),0),0)</f>
        <v>0</v>
      </c>
      <c r="K5448" s="455">
        <f t="shared" ca="1" si="206"/>
        <v>-4667378196722.2256</v>
      </c>
      <c r="L5448" s="455">
        <f t="shared" ca="1" si="207"/>
        <v>-1124838145410056.4</v>
      </c>
      <c r="M5448" s="471">
        <f t="shared" si="209"/>
        <v>0.05</v>
      </c>
      <c r="N5448" s="475">
        <f t="shared" si="210"/>
        <v>216865</v>
      </c>
    </row>
    <row r="5449" spans="7:14" ht="11.25" customHeight="1" x14ac:dyDescent="0.3">
      <c r="G5449" s="470"/>
      <c r="H5449" s="470">
        <v>5442</v>
      </c>
      <c r="I5449" s="455">
        <f t="shared" ca="1" si="208"/>
        <v>-1124838145410056.4</v>
      </c>
      <c r="J5449" s="455">
        <f t="array" ref="J5449">IFERROR(INDEX('Retirement Calculator'!J:J,MATCH('Isaac 401k'!N5449,'Retirement Calculator'!A:A,0),0),0)</f>
        <v>0</v>
      </c>
      <c r="K5449" s="455">
        <f t="shared" ca="1" si="206"/>
        <v>-4686825605875.2354</v>
      </c>
      <c r="L5449" s="455">
        <f t="shared" ca="1" si="207"/>
        <v>-1129524971015931.5</v>
      </c>
      <c r="M5449" s="471">
        <f t="shared" si="209"/>
        <v>0.05</v>
      </c>
      <c r="N5449" s="475">
        <f t="shared" si="210"/>
        <v>216896</v>
      </c>
    </row>
    <row r="5450" spans="7:14" ht="11.25" customHeight="1" x14ac:dyDescent="0.3">
      <c r="G5450" s="470"/>
      <c r="H5450" s="470">
        <v>5443</v>
      </c>
      <c r="I5450" s="455">
        <f t="shared" ca="1" si="208"/>
        <v>-1129524971015931.5</v>
      </c>
      <c r="J5450" s="455">
        <f t="array" ref="J5450">IFERROR(INDEX('Retirement Calculator'!J:J,MATCH('Isaac 401k'!N5450,'Retirement Calculator'!A:A,0),0),0)</f>
        <v>0</v>
      </c>
      <c r="K5450" s="455">
        <f t="shared" ca="1" si="206"/>
        <v>-4706354045899.7148</v>
      </c>
      <c r="L5450" s="455">
        <f t="shared" ca="1" si="207"/>
        <v>-1134231325061831.3</v>
      </c>
      <c r="M5450" s="471">
        <f t="shared" si="209"/>
        <v>0.05</v>
      </c>
      <c r="N5450" s="475">
        <f t="shared" si="210"/>
        <v>216926</v>
      </c>
    </row>
    <row r="5451" spans="7:14" ht="11.25" customHeight="1" x14ac:dyDescent="0.3">
      <c r="G5451" s="470"/>
      <c r="H5451" s="470">
        <v>5444</v>
      </c>
      <c r="I5451" s="455">
        <f t="shared" ca="1" si="208"/>
        <v>-1134231325061831.3</v>
      </c>
      <c r="J5451" s="455">
        <f t="array" ref="J5451">IFERROR(INDEX('Retirement Calculator'!J:J,MATCH('Isaac 401k'!N5451,'Retirement Calculator'!A:A,0),0),0)</f>
        <v>0</v>
      </c>
      <c r="K5451" s="455">
        <f t="shared" ca="1" si="206"/>
        <v>-4725963854424.2969</v>
      </c>
      <c r="L5451" s="455">
        <f t="shared" ca="1" si="207"/>
        <v>-1138957288916255.5</v>
      </c>
      <c r="M5451" s="471">
        <f t="shared" si="209"/>
        <v>0.05</v>
      </c>
      <c r="N5451" s="475">
        <f t="shared" si="210"/>
        <v>216957</v>
      </c>
    </row>
    <row r="5452" spans="7:14" ht="11.25" customHeight="1" x14ac:dyDescent="0.3">
      <c r="G5452" s="470"/>
      <c r="H5452" s="470">
        <v>5445</v>
      </c>
      <c r="I5452" s="455">
        <f t="shared" ca="1" si="208"/>
        <v>-1138957288916255.5</v>
      </c>
      <c r="J5452" s="455">
        <f t="array" ref="J5452">IFERROR(INDEX('Retirement Calculator'!J:J,MATCH('Isaac 401k'!N5452,'Retirement Calculator'!A:A,0),0),0)</f>
        <v>0</v>
      </c>
      <c r="K5452" s="455">
        <f t="shared" ca="1" si="206"/>
        <v>-4745655370484.3975</v>
      </c>
      <c r="L5452" s="455">
        <f t="shared" ca="1" si="207"/>
        <v>-1143702944286740</v>
      </c>
      <c r="M5452" s="471">
        <f t="shared" si="209"/>
        <v>0.05</v>
      </c>
      <c r="N5452" s="475">
        <f t="shared" si="210"/>
        <v>216988</v>
      </c>
    </row>
    <row r="5453" spans="7:14" ht="11.25" customHeight="1" x14ac:dyDescent="0.3">
      <c r="G5453" s="470"/>
      <c r="H5453" s="470">
        <v>5446</v>
      </c>
      <c r="I5453" s="455">
        <f t="shared" ca="1" si="208"/>
        <v>-1143702944286740</v>
      </c>
      <c r="J5453" s="455">
        <f t="array" ref="J5453">IFERROR(INDEX('Retirement Calculator'!J:J,MATCH('Isaac 401k'!N5453,'Retirement Calculator'!A:A,0),0),0)</f>
        <v>0</v>
      </c>
      <c r="K5453" s="455">
        <f t="shared" ca="1" si="206"/>
        <v>-4765428934528.083</v>
      </c>
      <c r="L5453" s="455">
        <f t="shared" ca="1" si="207"/>
        <v>-1148468373221268</v>
      </c>
      <c r="M5453" s="471">
        <f t="shared" si="209"/>
        <v>0.05</v>
      </c>
      <c r="N5453" s="475">
        <f t="shared" si="210"/>
        <v>217016</v>
      </c>
    </row>
    <row r="5454" spans="7:14" ht="11.25" customHeight="1" x14ac:dyDescent="0.3">
      <c r="G5454" s="470"/>
      <c r="H5454" s="470">
        <v>5447</v>
      </c>
      <c r="I5454" s="455">
        <f t="shared" ca="1" si="208"/>
        <v>-1148468373221268</v>
      </c>
      <c r="J5454" s="455">
        <f t="array" ref="J5454">IFERROR(INDEX('Retirement Calculator'!J:J,MATCH('Isaac 401k'!N5454,'Retirement Calculator'!A:A,0),0),0)</f>
        <v>0</v>
      </c>
      <c r="K5454" s="455">
        <f t="shared" ca="1" si="206"/>
        <v>-4785284888421.9502</v>
      </c>
      <c r="L5454" s="455">
        <f t="shared" ca="1" si="207"/>
        <v>-1153253658109690</v>
      </c>
      <c r="M5454" s="471">
        <f t="shared" si="209"/>
        <v>0.05</v>
      </c>
      <c r="N5454" s="475">
        <f t="shared" si="210"/>
        <v>217047</v>
      </c>
    </row>
    <row r="5455" spans="7:14" ht="11.25" customHeight="1" x14ac:dyDescent="0.3">
      <c r="G5455" s="470"/>
      <c r="H5455" s="470">
        <v>5448</v>
      </c>
      <c r="I5455" s="455">
        <f t="shared" ca="1" si="208"/>
        <v>-1153253658109690</v>
      </c>
      <c r="J5455" s="455">
        <f t="array" ref="J5455">IFERROR(INDEX('Retirement Calculator'!J:J,MATCH('Isaac 401k'!N5455,'Retirement Calculator'!A:A,0),0),0)</f>
        <v>0</v>
      </c>
      <c r="K5455" s="455">
        <f t="shared" ca="1" si="206"/>
        <v>-4805223575457.042</v>
      </c>
      <c r="L5455" s="455">
        <f t="shared" ca="1" si="207"/>
        <v>-1158058881685147</v>
      </c>
      <c r="M5455" s="471">
        <f t="shared" si="209"/>
        <v>0.05</v>
      </c>
      <c r="N5455" s="475">
        <f t="shared" si="210"/>
        <v>217077</v>
      </c>
    </row>
    <row r="5456" spans="7:14" ht="11.25" customHeight="1" x14ac:dyDescent="0.3">
      <c r="G5456" s="470"/>
      <c r="H5456" s="470">
        <v>5449</v>
      </c>
      <c r="I5456" s="455">
        <f t="shared" ca="1" si="208"/>
        <v>-1158058881685147</v>
      </c>
      <c r="J5456" s="455">
        <f t="array" ref="J5456">IFERROR(INDEX('Retirement Calculator'!J:J,MATCH('Isaac 401k'!N5456,'Retirement Calculator'!A:A,0),0),0)</f>
        <v>0</v>
      </c>
      <c r="K5456" s="455">
        <f t="shared" ca="1" si="206"/>
        <v>-4825245340354.7793</v>
      </c>
      <c r="L5456" s="455">
        <f t="shared" ca="1" si="207"/>
        <v>-1162884127025501.8</v>
      </c>
      <c r="M5456" s="471">
        <f t="shared" si="209"/>
        <v>0.05</v>
      </c>
      <c r="N5456" s="475">
        <f t="shared" si="210"/>
        <v>217108</v>
      </c>
    </row>
    <row r="5457" spans="7:14" ht="11.25" customHeight="1" x14ac:dyDescent="0.3">
      <c r="G5457" s="470"/>
      <c r="H5457" s="470">
        <v>5450</v>
      </c>
      <c r="I5457" s="455">
        <f t="shared" ca="1" si="208"/>
        <v>-1162884127025501.8</v>
      </c>
      <c r="J5457" s="455">
        <f t="array" ref="J5457">IFERROR(INDEX('Retirement Calculator'!J:J,MATCH('Isaac 401k'!N5457,'Retirement Calculator'!A:A,0),0),0)</f>
        <v>0</v>
      </c>
      <c r="K5457" s="455">
        <f t="shared" ca="1" si="206"/>
        <v>-4845350529272.9238</v>
      </c>
      <c r="L5457" s="455">
        <f t="shared" ca="1" si="207"/>
        <v>-1167729477554774.8</v>
      </c>
      <c r="M5457" s="471">
        <f t="shared" si="209"/>
        <v>0.05</v>
      </c>
      <c r="N5457" s="475">
        <f t="shared" si="210"/>
        <v>217138</v>
      </c>
    </row>
    <row r="5458" spans="7:14" ht="11.25" customHeight="1" x14ac:dyDescent="0.3">
      <c r="G5458" s="470"/>
      <c r="H5458" s="470">
        <v>5451</v>
      </c>
      <c r="I5458" s="455">
        <f t="shared" ca="1" si="208"/>
        <v>-1167729477554774.8</v>
      </c>
      <c r="J5458" s="455">
        <f t="array" ref="J5458">IFERROR(INDEX('Retirement Calculator'!J:J,MATCH('Isaac 401k'!N5458,'Retirement Calculator'!A:A,0),0),0)</f>
        <v>0</v>
      </c>
      <c r="K5458" s="455">
        <f t="shared" ca="1" si="206"/>
        <v>-4865539489811.5615</v>
      </c>
      <c r="L5458" s="455">
        <f t="shared" ca="1" si="207"/>
        <v>-1172595017044586.3</v>
      </c>
      <c r="M5458" s="471">
        <f t="shared" si="209"/>
        <v>0.05</v>
      </c>
      <c r="N5458" s="475">
        <f t="shared" si="210"/>
        <v>217169</v>
      </c>
    </row>
    <row r="5459" spans="7:14" ht="11.25" customHeight="1" x14ac:dyDescent="0.3">
      <c r="G5459" s="470"/>
      <c r="H5459" s="470">
        <v>5452</v>
      </c>
      <c r="I5459" s="455">
        <f t="shared" ca="1" si="208"/>
        <v>-1172595017044586.3</v>
      </c>
      <c r="J5459" s="455">
        <f t="array" ref="J5459">IFERROR(INDEX('Retirement Calculator'!J:J,MATCH('Isaac 401k'!N5459,'Retirement Calculator'!A:A,0),0),0)</f>
        <v>0</v>
      </c>
      <c r="K5459" s="455">
        <f t="shared" ca="1" si="206"/>
        <v>-4885812571019.1094</v>
      </c>
      <c r="L5459" s="455">
        <f t="shared" ca="1" si="207"/>
        <v>-1177480829615605.3</v>
      </c>
      <c r="M5459" s="471">
        <f t="shared" si="209"/>
        <v>0.05</v>
      </c>
      <c r="N5459" s="475">
        <f t="shared" si="210"/>
        <v>217200</v>
      </c>
    </row>
    <row r="5460" spans="7:14" ht="11.25" customHeight="1" x14ac:dyDescent="0.3">
      <c r="G5460" s="470"/>
      <c r="H5460" s="470">
        <v>5453</v>
      </c>
      <c r="I5460" s="455">
        <f t="shared" ca="1" si="208"/>
        <v>-1177480829615605.3</v>
      </c>
      <c r="J5460" s="455">
        <f t="array" ref="J5460">IFERROR(INDEX('Retirement Calculator'!J:J,MATCH('Isaac 401k'!N5460,'Retirement Calculator'!A:A,0),0),0)</f>
        <v>0</v>
      </c>
      <c r="K5460" s="455">
        <f t="shared" ca="1" si="206"/>
        <v>-4906170123398.3555</v>
      </c>
      <c r="L5460" s="455">
        <f t="shared" ca="1" si="207"/>
        <v>-1182386999739003.5</v>
      </c>
      <c r="M5460" s="471">
        <f t="shared" si="209"/>
        <v>0.05</v>
      </c>
      <c r="N5460" s="475">
        <f t="shared" si="210"/>
        <v>217230</v>
      </c>
    </row>
    <row r="5461" spans="7:14" ht="11.25" customHeight="1" x14ac:dyDescent="0.3">
      <c r="G5461" s="470"/>
      <c r="H5461" s="470">
        <v>5454</v>
      </c>
      <c r="I5461" s="455">
        <f t="shared" ca="1" si="208"/>
        <v>-1182386999739003.5</v>
      </c>
      <c r="J5461" s="455">
        <f t="array" ref="J5461">IFERROR(INDEX('Retirement Calculator'!J:J,MATCH('Isaac 401k'!N5461,'Retirement Calculator'!A:A,0),0),0)</f>
        <v>0</v>
      </c>
      <c r="K5461" s="455">
        <f t="shared" ca="1" si="206"/>
        <v>-4926612498912.5146</v>
      </c>
      <c r="L5461" s="455">
        <f t="shared" ca="1" si="207"/>
        <v>-1187313612237916</v>
      </c>
      <c r="M5461" s="471">
        <f t="shared" si="209"/>
        <v>0.05</v>
      </c>
      <c r="N5461" s="475">
        <f t="shared" si="210"/>
        <v>217261</v>
      </c>
    </row>
    <row r="5462" spans="7:14" ht="11.25" customHeight="1" x14ac:dyDescent="0.3">
      <c r="G5462" s="470"/>
      <c r="H5462" s="470">
        <v>5455</v>
      </c>
      <c r="I5462" s="455">
        <f t="shared" ca="1" si="208"/>
        <v>-1187313612237916</v>
      </c>
      <c r="J5462" s="455">
        <f t="array" ref="J5462">IFERROR(INDEX('Retirement Calculator'!J:J,MATCH('Isaac 401k'!N5462,'Retirement Calculator'!A:A,0),0),0)</f>
        <v>0</v>
      </c>
      <c r="K5462" s="455">
        <f t="shared" ca="1" si="206"/>
        <v>-4947140050991.3164</v>
      </c>
      <c r="L5462" s="455">
        <f t="shared" ca="1" si="207"/>
        <v>-1192260752288907.3</v>
      </c>
      <c r="M5462" s="471">
        <f t="shared" si="209"/>
        <v>0.05</v>
      </c>
      <c r="N5462" s="475">
        <f t="shared" si="210"/>
        <v>217291</v>
      </c>
    </row>
    <row r="5463" spans="7:14" ht="11.25" customHeight="1" x14ac:dyDescent="0.3">
      <c r="G5463" s="470"/>
      <c r="H5463" s="470">
        <v>5456</v>
      </c>
      <c r="I5463" s="455">
        <f t="shared" ca="1" si="208"/>
        <v>-1192260752288907.3</v>
      </c>
      <c r="J5463" s="455">
        <f t="array" ref="J5463">IFERROR(INDEX('Retirement Calculator'!J:J,MATCH('Isaac 401k'!N5463,'Retirement Calculator'!A:A,0),0),0)</f>
        <v>0</v>
      </c>
      <c r="K5463" s="455">
        <f t="shared" ca="1" si="206"/>
        <v>-4967753134537.1133</v>
      </c>
      <c r="L5463" s="455">
        <f t="shared" ca="1" si="207"/>
        <v>-1197228505423444.3</v>
      </c>
      <c r="M5463" s="471">
        <f t="shared" si="209"/>
        <v>0.05</v>
      </c>
      <c r="N5463" s="475">
        <f t="shared" si="210"/>
        <v>217322</v>
      </c>
    </row>
    <row r="5464" spans="7:14" ht="11.25" customHeight="1" x14ac:dyDescent="0.3">
      <c r="G5464" s="470"/>
      <c r="H5464" s="470">
        <v>5457</v>
      </c>
      <c r="I5464" s="455">
        <f t="shared" ca="1" si="208"/>
        <v>-1197228505423444.3</v>
      </c>
      <c r="J5464" s="455">
        <f t="array" ref="J5464">IFERROR(INDEX('Retirement Calculator'!J:J,MATCH('Isaac 401k'!N5464,'Retirement Calculator'!A:A,0),0),0)</f>
        <v>0</v>
      </c>
      <c r="K5464" s="455">
        <f t="shared" ca="1" si="206"/>
        <v>-4988452105931.0176</v>
      </c>
      <c r="L5464" s="455">
        <f t="shared" ca="1" si="207"/>
        <v>-1202216957529375.3</v>
      </c>
      <c r="M5464" s="471">
        <f t="shared" si="209"/>
        <v>0.05</v>
      </c>
      <c r="N5464" s="475">
        <f t="shared" si="210"/>
        <v>217353</v>
      </c>
    </row>
    <row r="5465" spans="7:14" ht="11.25" customHeight="1" x14ac:dyDescent="0.3">
      <c r="G5465" s="470"/>
      <c r="H5465" s="470">
        <v>5458</v>
      </c>
      <c r="I5465" s="455">
        <f t="shared" ca="1" si="208"/>
        <v>-1202216957529375.3</v>
      </c>
      <c r="J5465" s="455">
        <f t="array" ref="J5465">IFERROR(INDEX('Retirement Calculator'!J:J,MATCH('Isaac 401k'!N5465,'Retirement Calculator'!A:A,0),0),0)</f>
        <v>0</v>
      </c>
      <c r="K5465" s="455">
        <f t="shared" ca="1" si="206"/>
        <v>-5009237323039.0635</v>
      </c>
      <c r="L5465" s="455">
        <f t="shared" ca="1" si="207"/>
        <v>-1207226194852414.3</v>
      </c>
      <c r="M5465" s="471">
        <f t="shared" si="209"/>
        <v>0.05</v>
      </c>
      <c r="N5465" s="475">
        <f t="shared" si="210"/>
        <v>217381</v>
      </c>
    </row>
    <row r="5466" spans="7:14" ht="11.25" customHeight="1" x14ac:dyDescent="0.3">
      <c r="G5466" s="470"/>
      <c r="H5466" s="470">
        <v>5459</v>
      </c>
      <c r="I5466" s="455">
        <f t="shared" ca="1" si="208"/>
        <v>-1207226194852414.3</v>
      </c>
      <c r="J5466" s="455">
        <f t="array" ref="J5466">IFERROR(INDEX('Retirement Calculator'!J:J,MATCH('Isaac 401k'!N5466,'Retirement Calculator'!A:A,0),0),0)</f>
        <v>0</v>
      </c>
      <c r="K5466" s="455">
        <f t="shared" ca="1" si="206"/>
        <v>-5030109145218.3926</v>
      </c>
      <c r="L5466" s="455">
        <f t="shared" ca="1" si="207"/>
        <v>-1212256303997632.8</v>
      </c>
      <c r="M5466" s="471">
        <f t="shared" si="209"/>
        <v>0.05</v>
      </c>
      <c r="N5466" s="475">
        <f t="shared" si="210"/>
        <v>217412</v>
      </c>
    </row>
    <row r="5467" spans="7:14" ht="11.25" customHeight="1" x14ac:dyDescent="0.3">
      <c r="G5467" s="470"/>
      <c r="H5467" s="470">
        <v>5460</v>
      </c>
      <c r="I5467" s="455">
        <f t="shared" ca="1" si="208"/>
        <v>-1212256303997632.8</v>
      </c>
      <c r="J5467" s="455">
        <f t="array" ref="J5467">IFERROR(INDEX('Retirement Calculator'!J:J,MATCH('Isaac 401k'!N5467,'Retirement Calculator'!A:A,0),0),0)</f>
        <v>0</v>
      </c>
      <c r="K5467" s="455">
        <f t="shared" ca="1" si="206"/>
        <v>-5051067933323.4697</v>
      </c>
      <c r="L5467" s="455">
        <f t="shared" ca="1" si="207"/>
        <v>-1217307371930956.3</v>
      </c>
      <c r="M5467" s="471">
        <f t="shared" si="209"/>
        <v>0.05</v>
      </c>
      <c r="N5467" s="475">
        <f t="shared" si="210"/>
        <v>217442</v>
      </c>
    </row>
    <row r="5468" spans="7:14" ht="11.25" customHeight="1" x14ac:dyDescent="0.3">
      <c r="G5468" s="470"/>
      <c r="H5468" s="470">
        <v>5461</v>
      </c>
      <c r="I5468" s="455">
        <f t="shared" ca="1" si="208"/>
        <v>-1217307371930956.3</v>
      </c>
      <c r="J5468" s="455">
        <f t="array" ref="J5468">IFERROR(INDEX('Retirement Calculator'!J:J,MATCH('Isaac 401k'!N5468,'Retirement Calculator'!A:A,0),0),0)</f>
        <v>0</v>
      </c>
      <c r="K5468" s="455">
        <f t="shared" ca="1" si="206"/>
        <v>-5072114049712.3174</v>
      </c>
      <c r="L5468" s="455">
        <f t="shared" ca="1" si="207"/>
        <v>-1222379485980668.5</v>
      </c>
      <c r="M5468" s="471">
        <f t="shared" si="209"/>
        <v>0.05</v>
      </c>
      <c r="N5468" s="475">
        <f t="shared" si="210"/>
        <v>217473</v>
      </c>
    </row>
    <row r="5469" spans="7:14" ht="11.25" customHeight="1" x14ac:dyDescent="0.3">
      <c r="G5469" s="470"/>
      <c r="H5469" s="470">
        <v>5462</v>
      </c>
      <c r="I5469" s="455">
        <f t="shared" ca="1" si="208"/>
        <v>-1222379485980668.5</v>
      </c>
      <c r="J5469" s="455">
        <f t="array" ref="J5469">IFERROR(INDEX('Retirement Calculator'!J:J,MATCH('Isaac 401k'!N5469,'Retirement Calculator'!A:A,0),0),0)</f>
        <v>0</v>
      </c>
      <c r="K5469" s="455">
        <f t="shared" ca="1" si="206"/>
        <v>-5093247858252.7852</v>
      </c>
      <c r="L5469" s="455">
        <f t="shared" ca="1" si="207"/>
        <v>-1227472733838921.3</v>
      </c>
      <c r="M5469" s="471">
        <f t="shared" si="209"/>
        <v>0.05</v>
      </c>
      <c r="N5469" s="475">
        <f t="shared" si="210"/>
        <v>217503</v>
      </c>
    </row>
    <row r="5470" spans="7:14" ht="11.25" customHeight="1" x14ac:dyDescent="0.3">
      <c r="G5470" s="470"/>
      <c r="H5470" s="470">
        <v>5463</v>
      </c>
      <c r="I5470" s="455">
        <f t="shared" ca="1" si="208"/>
        <v>-1227472733838921.3</v>
      </c>
      <c r="J5470" s="455">
        <f t="array" ref="J5470">IFERROR(INDEX('Retirement Calculator'!J:J,MATCH('Isaac 401k'!N5470,'Retirement Calculator'!A:A,0),0),0)</f>
        <v>0</v>
      </c>
      <c r="K5470" s="455">
        <f t="shared" ca="1" si="206"/>
        <v>-5114469724328.8389</v>
      </c>
      <c r="L5470" s="455">
        <f t="shared" ca="1" si="207"/>
        <v>-1232587203563250</v>
      </c>
      <c r="M5470" s="471">
        <f t="shared" si="209"/>
        <v>0.05</v>
      </c>
      <c r="N5470" s="475">
        <f t="shared" si="210"/>
        <v>217534</v>
      </c>
    </row>
    <row r="5471" spans="7:14" ht="11.25" customHeight="1" x14ac:dyDescent="0.3">
      <c r="G5471" s="470"/>
      <c r="H5471" s="470">
        <v>5464</v>
      </c>
      <c r="I5471" s="455">
        <f t="shared" ca="1" si="208"/>
        <v>-1232587203563250</v>
      </c>
      <c r="J5471" s="455">
        <f t="array" ref="J5471">IFERROR(INDEX('Retirement Calculator'!J:J,MATCH('Isaac 401k'!N5471,'Retirement Calculator'!A:A,0),0),0)</f>
        <v>0</v>
      </c>
      <c r="K5471" s="455">
        <f t="shared" ca="1" si="206"/>
        <v>-5135780014846.875</v>
      </c>
      <c r="L5471" s="455">
        <f t="shared" ca="1" si="207"/>
        <v>-1237722983578097</v>
      </c>
      <c r="M5471" s="471">
        <f t="shared" si="209"/>
        <v>0.05</v>
      </c>
      <c r="N5471" s="475">
        <f t="shared" si="210"/>
        <v>217565</v>
      </c>
    </row>
    <row r="5472" spans="7:14" ht="11.25" customHeight="1" x14ac:dyDescent="0.3">
      <c r="G5472" s="470"/>
      <c r="H5472" s="470">
        <v>5465</v>
      </c>
      <c r="I5472" s="455">
        <f t="shared" ca="1" si="208"/>
        <v>-1237722983578097</v>
      </c>
      <c r="J5472" s="455">
        <f t="array" ref="J5472">IFERROR(INDEX('Retirement Calculator'!J:J,MATCH('Isaac 401k'!N5472,'Retirement Calculator'!A:A,0),0),0)</f>
        <v>0</v>
      </c>
      <c r="K5472" s="455">
        <f t="shared" ca="1" si="206"/>
        <v>-5157179098242.0703</v>
      </c>
      <c r="L5472" s="455">
        <f t="shared" ca="1" si="207"/>
        <v>-1242880162676339</v>
      </c>
      <c r="M5472" s="471">
        <f t="shared" si="209"/>
        <v>0.05</v>
      </c>
      <c r="N5472" s="475">
        <f t="shared" si="210"/>
        <v>217595</v>
      </c>
    </row>
    <row r="5473" spans="7:14" ht="11.25" customHeight="1" x14ac:dyDescent="0.3">
      <c r="G5473" s="470"/>
      <c r="H5473" s="470">
        <v>5466</v>
      </c>
      <c r="I5473" s="455">
        <f t="shared" ca="1" si="208"/>
        <v>-1242880162676339</v>
      </c>
      <c r="J5473" s="455">
        <f t="array" ref="J5473">IFERROR(INDEX('Retirement Calculator'!J:J,MATCH('Isaac 401k'!N5473,'Retirement Calculator'!A:A,0),0),0)</f>
        <v>0</v>
      </c>
      <c r="K5473" s="455">
        <f t="shared" ca="1" si="206"/>
        <v>-5178667344484.7461</v>
      </c>
      <c r="L5473" s="455">
        <f t="shared" ca="1" si="207"/>
        <v>-1248058830020823.8</v>
      </c>
      <c r="M5473" s="471">
        <f t="shared" si="209"/>
        <v>0.05</v>
      </c>
      <c r="N5473" s="475">
        <f t="shared" si="210"/>
        <v>217626</v>
      </c>
    </row>
    <row r="5474" spans="7:14" ht="11.25" customHeight="1" x14ac:dyDescent="0.3">
      <c r="G5474" s="470"/>
      <c r="H5474" s="470">
        <v>5467</v>
      </c>
      <c r="I5474" s="455">
        <f t="shared" ca="1" si="208"/>
        <v>-1248058830020823.8</v>
      </c>
      <c r="J5474" s="455">
        <f t="array" ref="J5474">IFERROR(INDEX('Retirement Calculator'!J:J,MATCH('Isaac 401k'!N5474,'Retirement Calculator'!A:A,0),0),0)</f>
        <v>0</v>
      </c>
      <c r="K5474" s="455">
        <f t="shared" ca="1" si="206"/>
        <v>-5200245125086.7656</v>
      </c>
      <c r="L5474" s="455">
        <f t="shared" ca="1" si="207"/>
        <v>-1253259075145910.5</v>
      </c>
      <c r="M5474" s="471">
        <f t="shared" si="209"/>
        <v>0.05</v>
      </c>
      <c r="N5474" s="475">
        <f t="shared" si="210"/>
        <v>217656</v>
      </c>
    </row>
    <row r="5475" spans="7:14" ht="11.25" customHeight="1" x14ac:dyDescent="0.3">
      <c r="G5475" s="470"/>
      <c r="H5475" s="470">
        <v>5468</v>
      </c>
      <c r="I5475" s="455">
        <f t="shared" ca="1" si="208"/>
        <v>-1253259075145910.5</v>
      </c>
      <c r="J5475" s="455">
        <f t="array" ref="J5475">IFERROR(INDEX('Retirement Calculator'!J:J,MATCH('Isaac 401k'!N5475,'Retirement Calculator'!A:A,0),0),0)</f>
        <v>0</v>
      </c>
      <c r="K5475" s="455">
        <f t="shared" ca="1" si="206"/>
        <v>-5221912813107.96</v>
      </c>
      <c r="L5475" s="455">
        <f t="shared" ca="1" si="207"/>
        <v>-1258480987959018.5</v>
      </c>
      <c r="M5475" s="471">
        <f t="shared" si="209"/>
        <v>0.05</v>
      </c>
      <c r="N5475" s="475">
        <f t="shared" si="210"/>
        <v>217687</v>
      </c>
    </row>
    <row r="5476" spans="7:14" ht="11.25" customHeight="1" x14ac:dyDescent="0.3">
      <c r="G5476" s="470"/>
      <c r="H5476" s="470">
        <v>5469</v>
      </c>
      <c r="I5476" s="455">
        <f t="shared" ca="1" si="208"/>
        <v>-1258480987959018.5</v>
      </c>
      <c r="J5476" s="455">
        <f t="array" ref="J5476">IFERROR(INDEX('Retirement Calculator'!J:J,MATCH('Isaac 401k'!N5476,'Retirement Calculator'!A:A,0),0),0)</f>
        <v>0</v>
      </c>
      <c r="K5476" s="455">
        <f t="shared" ca="1" si="206"/>
        <v>-5243670783162.5771</v>
      </c>
      <c r="L5476" s="455">
        <f t="shared" ca="1" si="207"/>
        <v>-1263724658742181</v>
      </c>
      <c r="M5476" s="471">
        <f t="shared" si="209"/>
        <v>0.05</v>
      </c>
      <c r="N5476" s="475">
        <f t="shared" si="210"/>
        <v>217718</v>
      </c>
    </row>
    <row r="5477" spans="7:14" ht="11.25" customHeight="1" x14ac:dyDescent="0.3">
      <c r="G5477" s="470"/>
      <c r="H5477" s="470">
        <v>5470</v>
      </c>
      <c r="I5477" s="455">
        <f t="shared" ca="1" si="208"/>
        <v>-1263724658742181</v>
      </c>
      <c r="J5477" s="455">
        <f t="array" ref="J5477">IFERROR(INDEX('Retirement Calculator'!J:J,MATCH('Isaac 401k'!N5477,'Retirement Calculator'!A:A,0),0),0)</f>
        <v>0</v>
      </c>
      <c r="K5477" s="455">
        <f t="shared" ca="1" si="206"/>
        <v>-5265519411425.7539</v>
      </c>
      <c r="L5477" s="455">
        <f t="shared" ca="1" si="207"/>
        <v>-1268990178153606.8</v>
      </c>
      <c r="M5477" s="471">
        <f t="shared" si="209"/>
        <v>0.05</v>
      </c>
      <c r="N5477" s="475">
        <f t="shared" si="210"/>
        <v>217747</v>
      </c>
    </row>
    <row r="5478" spans="7:14" ht="11.25" customHeight="1" x14ac:dyDescent="0.3">
      <c r="G5478" s="470"/>
      <c r="H5478" s="470">
        <v>5471</v>
      </c>
      <c r="I5478" s="455">
        <f t="shared" ca="1" si="208"/>
        <v>-1268990178153606.8</v>
      </c>
      <c r="J5478" s="455">
        <f t="array" ref="J5478">IFERROR(INDEX('Retirement Calculator'!J:J,MATCH('Isaac 401k'!N5478,'Retirement Calculator'!A:A,0),0),0)</f>
        <v>0</v>
      </c>
      <c r="K5478" s="455">
        <f t="shared" ca="1" si="206"/>
        <v>-5287459075640.0283</v>
      </c>
      <c r="L5478" s="455">
        <f t="shared" ca="1" si="207"/>
        <v>-1274277637229246.8</v>
      </c>
      <c r="M5478" s="471">
        <f t="shared" si="209"/>
        <v>0.05</v>
      </c>
      <c r="N5478" s="475">
        <f t="shared" si="210"/>
        <v>217778</v>
      </c>
    </row>
    <row r="5479" spans="7:14" ht="11.25" customHeight="1" x14ac:dyDescent="0.3">
      <c r="G5479" s="470"/>
      <c r="H5479" s="470">
        <v>5472</v>
      </c>
      <c r="I5479" s="455">
        <f t="shared" ca="1" si="208"/>
        <v>-1274277637229246.8</v>
      </c>
      <c r="J5479" s="455">
        <f t="array" ref="J5479">IFERROR(INDEX('Retirement Calculator'!J:J,MATCH('Isaac 401k'!N5479,'Retirement Calculator'!A:A,0),0),0)</f>
        <v>0</v>
      </c>
      <c r="K5479" s="455">
        <f t="shared" ca="1" si="206"/>
        <v>-5309490155121.8613</v>
      </c>
      <c r="L5479" s="455">
        <f t="shared" ca="1" si="207"/>
        <v>-1279587127384368.5</v>
      </c>
      <c r="M5479" s="471">
        <f t="shared" si="209"/>
        <v>0.05</v>
      </c>
      <c r="N5479" s="475">
        <f t="shared" si="210"/>
        <v>217808</v>
      </c>
    </row>
    <row r="5480" spans="7:14" ht="11.25" customHeight="1" x14ac:dyDescent="0.3">
      <c r="G5480" s="470"/>
      <c r="H5480" s="470">
        <v>5473</v>
      </c>
      <c r="I5480" s="455">
        <f t="shared" ca="1" si="208"/>
        <v>-1279587127384368.5</v>
      </c>
      <c r="J5480" s="455">
        <f t="array" ref="J5480">IFERROR(INDEX('Retirement Calculator'!J:J,MATCH('Isaac 401k'!N5480,'Retirement Calculator'!A:A,0),0),0)</f>
        <v>0</v>
      </c>
      <c r="K5480" s="455">
        <f t="shared" ca="1" si="206"/>
        <v>-5331613030768.2021</v>
      </c>
      <c r="L5480" s="455">
        <f t="shared" ca="1" si="207"/>
        <v>-1284918740415136.8</v>
      </c>
      <c r="M5480" s="471">
        <f t="shared" si="209"/>
        <v>0.05</v>
      </c>
      <c r="N5480" s="475">
        <f t="shared" si="210"/>
        <v>217839</v>
      </c>
    </row>
    <row r="5481" spans="7:14" ht="11.25" customHeight="1" x14ac:dyDescent="0.3">
      <c r="G5481" s="470"/>
      <c r="H5481" s="470">
        <v>5474</v>
      </c>
      <c r="I5481" s="455">
        <f t="shared" ca="1" si="208"/>
        <v>-1284918740415136.8</v>
      </c>
      <c r="J5481" s="455">
        <f t="array" ref="J5481">IFERROR(INDEX('Retirement Calculator'!J:J,MATCH('Isaac 401k'!N5481,'Retirement Calculator'!A:A,0),0),0)</f>
        <v>0</v>
      </c>
      <c r="K5481" s="455">
        <f t="shared" ca="1" si="206"/>
        <v>-5353828085063.0693</v>
      </c>
      <c r="L5481" s="455">
        <f t="shared" ca="1" si="207"/>
        <v>-1290272568500199.8</v>
      </c>
      <c r="M5481" s="471">
        <f t="shared" si="209"/>
        <v>0.05</v>
      </c>
      <c r="N5481" s="475">
        <f t="shared" si="210"/>
        <v>217869</v>
      </c>
    </row>
    <row r="5482" spans="7:14" ht="11.25" customHeight="1" x14ac:dyDescent="0.3">
      <c r="G5482" s="470"/>
      <c r="H5482" s="470">
        <v>5475</v>
      </c>
      <c r="I5482" s="455">
        <f t="shared" ca="1" si="208"/>
        <v>-1290272568500199.8</v>
      </c>
      <c r="J5482" s="455">
        <f t="array" ref="J5482">IFERROR(INDEX('Retirement Calculator'!J:J,MATCH('Isaac 401k'!N5482,'Retirement Calculator'!A:A,0),0),0)</f>
        <v>0</v>
      </c>
      <c r="K5482" s="455">
        <f t="shared" ca="1" si="206"/>
        <v>-5376135702084.166</v>
      </c>
      <c r="L5482" s="455">
        <f t="shared" ca="1" si="207"/>
        <v>-1295648704202284</v>
      </c>
      <c r="M5482" s="471">
        <f t="shared" si="209"/>
        <v>0.05</v>
      </c>
      <c r="N5482" s="475">
        <f t="shared" si="210"/>
        <v>217900</v>
      </c>
    </row>
    <row r="5483" spans="7:14" ht="11.25" customHeight="1" x14ac:dyDescent="0.3">
      <c r="G5483" s="470"/>
      <c r="H5483" s="470">
        <v>5476</v>
      </c>
      <c r="I5483" s="455">
        <f t="shared" ca="1" si="208"/>
        <v>-1295648704202284</v>
      </c>
      <c r="J5483" s="455">
        <f t="array" ref="J5483">IFERROR(INDEX('Retirement Calculator'!J:J,MATCH('Isaac 401k'!N5483,'Retirement Calculator'!A:A,0),0),0)</f>
        <v>0</v>
      </c>
      <c r="K5483" s="455">
        <f t="shared" ca="1" si="206"/>
        <v>-5398536267509.5166</v>
      </c>
      <c r="L5483" s="455">
        <f t="shared" ca="1" si="207"/>
        <v>-1301047240469793.5</v>
      </c>
      <c r="M5483" s="471">
        <f t="shared" si="209"/>
        <v>0.05</v>
      </c>
      <c r="N5483" s="475">
        <f t="shared" si="210"/>
        <v>217931</v>
      </c>
    </row>
    <row r="5484" spans="7:14" ht="11.25" customHeight="1" x14ac:dyDescent="0.3">
      <c r="G5484" s="470"/>
      <c r="H5484" s="470">
        <v>5477</v>
      </c>
      <c r="I5484" s="455">
        <f t="shared" ca="1" si="208"/>
        <v>-1301047240469793.5</v>
      </c>
      <c r="J5484" s="455">
        <f t="array" ref="J5484">IFERROR(INDEX('Retirement Calculator'!J:J,MATCH('Isaac 401k'!N5484,'Retirement Calculator'!A:A,0),0),0)</f>
        <v>0</v>
      </c>
      <c r="K5484" s="455">
        <f t="shared" ca="1" si="206"/>
        <v>-5421030168624.1396</v>
      </c>
      <c r="L5484" s="455">
        <f t="shared" ca="1" si="207"/>
        <v>-1306468270638417.8</v>
      </c>
      <c r="M5484" s="471">
        <f t="shared" si="209"/>
        <v>0.05</v>
      </c>
      <c r="N5484" s="475">
        <f t="shared" si="210"/>
        <v>217961</v>
      </c>
    </row>
    <row r="5485" spans="7:14" ht="11.25" customHeight="1" x14ac:dyDescent="0.3">
      <c r="G5485" s="470"/>
      <c r="H5485" s="470">
        <v>5478</v>
      </c>
      <c r="I5485" s="455">
        <f t="shared" ca="1" si="208"/>
        <v>-1306468270638417.8</v>
      </c>
      <c r="J5485" s="455">
        <f t="array" ref="J5485">IFERROR(INDEX('Retirement Calculator'!J:J,MATCH('Isaac 401k'!N5485,'Retirement Calculator'!A:A,0),0),0)</f>
        <v>0</v>
      </c>
      <c r="K5485" s="455">
        <f t="shared" ca="1" si="206"/>
        <v>-5443617794326.7402</v>
      </c>
      <c r="L5485" s="455">
        <f t="shared" ca="1" si="207"/>
        <v>-1311911888432744.5</v>
      </c>
      <c r="M5485" s="471">
        <f t="shared" si="209"/>
        <v>0.05</v>
      </c>
      <c r="N5485" s="475">
        <f t="shared" si="210"/>
        <v>217992</v>
      </c>
    </row>
    <row r="5486" spans="7:14" ht="11.25" customHeight="1" x14ac:dyDescent="0.3">
      <c r="G5486" s="470"/>
      <c r="H5486" s="470">
        <v>5479</v>
      </c>
      <c r="I5486" s="455">
        <f t="shared" ca="1" si="208"/>
        <v>-1311911888432744.5</v>
      </c>
      <c r="J5486" s="455">
        <f t="array" ref="J5486">IFERROR(INDEX('Retirement Calculator'!J:J,MATCH('Isaac 401k'!N5486,'Retirement Calculator'!A:A,0),0),0)</f>
        <v>0</v>
      </c>
      <c r="K5486" s="455">
        <f t="shared" ca="1" si="206"/>
        <v>-5466299535136.4355</v>
      </c>
      <c r="L5486" s="455">
        <f t="shared" ca="1" si="207"/>
        <v>-1317378187967881</v>
      </c>
      <c r="M5486" s="471">
        <f t="shared" si="209"/>
        <v>0.05</v>
      </c>
      <c r="N5486" s="475">
        <f t="shared" si="210"/>
        <v>218022</v>
      </c>
    </row>
    <row r="5487" spans="7:14" ht="11.25" customHeight="1" x14ac:dyDescent="0.3">
      <c r="G5487" s="470"/>
      <c r="H5487" s="470">
        <v>5480</v>
      </c>
      <c r="I5487" s="455">
        <f t="shared" ca="1" si="208"/>
        <v>-1317378187967881</v>
      </c>
      <c r="J5487" s="455">
        <f t="array" ref="J5487">IFERROR(INDEX('Retirement Calculator'!J:J,MATCH('Isaac 401k'!N5487,'Retirement Calculator'!A:A,0),0),0)</f>
        <v>0</v>
      </c>
      <c r="K5487" s="455">
        <f t="shared" ca="1" si="206"/>
        <v>-5489075783199.5039</v>
      </c>
      <c r="L5487" s="455">
        <f t="shared" ca="1" si="207"/>
        <v>-1322867263751080.5</v>
      </c>
      <c r="M5487" s="471">
        <f t="shared" si="209"/>
        <v>0.05</v>
      </c>
      <c r="N5487" s="475">
        <f t="shared" si="210"/>
        <v>218053</v>
      </c>
    </row>
    <row r="5488" spans="7:14" ht="11.25" customHeight="1" x14ac:dyDescent="0.3">
      <c r="G5488" s="470"/>
      <c r="H5488" s="470">
        <v>5481</v>
      </c>
      <c r="I5488" s="455">
        <f t="shared" ca="1" si="208"/>
        <v>-1322867263751080.5</v>
      </c>
      <c r="J5488" s="455">
        <f t="array" ref="J5488">IFERROR(INDEX('Retirement Calculator'!J:J,MATCH('Isaac 401k'!N5488,'Retirement Calculator'!A:A,0),0),0)</f>
        <v>0</v>
      </c>
      <c r="K5488" s="455">
        <f t="shared" ca="1" si="206"/>
        <v>-5511946932296.1689</v>
      </c>
      <c r="L5488" s="455">
        <f t="shared" ca="1" si="207"/>
        <v>-1328379210683376.8</v>
      </c>
      <c r="M5488" s="471">
        <f t="shared" si="209"/>
        <v>0.05</v>
      </c>
      <c r="N5488" s="475">
        <f t="shared" si="210"/>
        <v>218084</v>
      </c>
    </row>
    <row r="5489" spans="7:14" ht="11.25" customHeight="1" x14ac:dyDescent="0.3">
      <c r="G5489" s="470"/>
      <c r="H5489" s="470">
        <v>5482</v>
      </c>
      <c r="I5489" s="455">
        <f t="shared" ca="1" si="208"/>
        <v>-1328379210683376.8</v>
      </c>
      <c r="J5489" s="455">
        <f t="array" ref="J5489">IFERROR(INDEX('Retirement Calculator'!J:J,MATCH('Isaac 401k'!N5489,'Retirement Calculator'!A:A,0),0),0)</f>
        <v>0</v>
      </c>
      <c r="K5489" s="455">
        <f t="shared" ca="1" si="206"/>
        <v>-5534913377847.4033</v>
      </c>
      <c r="L5489" s="455">
        <f t="shared" ca="1" si="207"/>
        <v>-1333914124061224.3</v>
      </c>
      <c r="M5489" s="471">
        <f t="shared" si="209"/>
        <v>0.05</v>
      </c>
      <c r="N5489" s="475">
        <f t="shared" si="210"/>
        <v>218112</v>
      </c>
    </row>
    <row r="5490" spans="7:14" ht="11.25" customHeight="1" x14ac:dyDescent="0.3">
      <c r="G5490" s="470"/>
      <c r="H5490" s="470">
        <v>5483</v>
      </c>
      <c r="I5490" s="455">
        <f t="shared" ca="1" si="208"/>
        <v>-1333914124061224.3</v>
      </c>
      <c r="J5490" s="455">
        <f t="array" ref="J5490">IFERROR(INDEX('Retirement Calculator'!J:J,MATCH('Isaac 401k'!N5490,'Retirement Calculator'!A:A,0),0),0)</f>
        <v>0</v>
      </c>
      <c r="K5490" s="455">
        <f t="shared" ca="1" si="206"/>
        <v>-5557975516921.7676</v>
      </c>
      <c r="L5490" s="455">
        <f t="shared" ca="1" si="207"/>
        <v>-1339472099578146</v>
      </c>
      <c r="M5490" s="471">
        <f t="shared" si="209"/>
        <v>0.05</v>
      </c>
      <c r="N5490" s="475">
        <f t="shared" si="210"/>
        <v>218143</v>
      </c>
    </row>
    <row r="5491" spans="7:14" ht="11.25" customHeight="1" x14ac:dyDescent="0.3">
      <c r="G5491" s="470"/>
      <c r="H5491" s="470">
        <v>5484</v>
      </c>
      <c r="I5491" s="455">
        <f t="shared" ca="1" si="208"/>
        <v>-1339472099578146</v>
      </c>
      <c r="J5491" s="455">
        <f t="array" ref="J5491">IFERROR(INDEX('Retirement Calculator'!J:J,MATCH('Isaac 401k'!N5491,'Retirement Calculator'!A:A,0),0),0)</f>
        <v>0</v>
      </c>
      <c r="K5491" s="455">
        <f t="shared" ca="1" si="206"/>
        <v>-5581133748242.2754</v>
      </c>
      <c r="L5491" s="455">
        <f t="shared" ca="1" si="207"/>
        <v>-1345053233326388.3</v>
      </c>
      <c r="M5491" s="471">
        <f t="shared" si="209"/>
        <v>0.05</v>
      </c>
      <c r="N5491" s="475">
        <f t="shared" si="210"/>
        <v>218173</v>
      </c>
    </row>
    <row r="5492" spans="7:14" ht="11.25" customHeight="1" x14ac:dyDescent="0.3">
      <c r="G5492" s="470"/>
      <c r="H5492" s="470">
        <v>5485</v>
      </c>
      <c r="I5492" s="455">
        <f t="shared" ca="1" si="208"/>
        <v>-1345053233326388.3</v>
      </c>
      <c r="J5492" s="455">
        <f t="array" ref="J5492">IFERROR(INDEX('Retirement Calculator'!J:J,MATCH('Isaac 401k'!N5492,'Retirement Calculator'!A:A,0),0),0)</f>
        <v>0</v>
      </c>
      <c r="K5492" s="455">
        <f t="shared" ca="1" si="206"/>
        <v>-5604388472193.2842</v>
      </c>
      <c r="L5492" s="455">
        <f t="shared" ca="1" si="207"/>
        <v>-1350657621798581.5</v>
      </c>
      <c r="M5492" s="471">
        <f t="shared" si="209"/>
        <v>0.05</v>
      </c>
      <c r="N5492" s="475">
        <f t="shared" si="210"/>
        <v>218204</v>
      </c>
    </row>
    <row r="5493" spans="7:14" ht="11.25" customHeight="1" x14ac:dyDescent="0.3">
      <c r="G5493" s="470"/>
      <c r="H5493" s="470">
        <v>5486</v>
      </c>
      <c r="I5493" s="455">
        <f t="shared" ca="1" si="208"/>
        <v>-1350657621798581.5</v>
      </c>
      <c r="J5493" s="455">
        <f t="array" ref="J5493">IFERROR(INDEX('Retirement Calculator'!J:J,MATCH('Isaac 401k'!N5493,'Retirement Calculator'!A:A,0),0),0)</f>
        <v>0</v>
      </c>
      <c r="K5493" s="455">
        <f t="shared" ca="1" si="206"/>
        <v>-5627740090827.4229</v>
      </c>
      <c r="L5493" s="455">
        <f t="shared" ca="1" si="207"/>
        <v>-1356285361889409</v>
      </c>
      <c r="M5493" s="471">
        <f t="shared" si="209"/>
        <v>0.05</v>
      </c>
      <c r="N5493" s="475">
        <f t="shared" si="210"/>
        <v>218234</v>
      </c>
    </row>
    <row r="5494" spans="7:14" ht="11.25" customHeight="1" x14ac:dyDescent="0.3">
      <c r="G5494" s="470"/>
      <c r="H5494" s="470">
        <v>5487</v>
      </c>
      <c r="I5494" s="455">
        <f t="shared" ca="1" si="208"/>
        <v>-1356285361889409</v>
      </c>
      <c r="J5494" s="455">
        <f t="array" ref="J5494">IFERROR(INDEX('Retirement Calculator'!J:J,MATCH('Isaac 401k'!N5494,'Retirement Calculator'!A:A,0),0),0)</f>
        <v>0</v>
      </c>
      <c r="K5494" s="455">
        <f t="shared" ca="1" si="206"/>
        <v>-5651189007872.5371</v>
      </c>
      <c r="L5494" s="455">
        <f t="shared" ca="1" si="207"/>
        <v>-1361936550897281.5</v>
      </c>
      <c r="M5494" s="471">
        <f t="shared" si="209"/>
        <v>0.05</v>
      </c>
      <c r="N5494" s="475">
        <f t="shared" si="210"/>
        <v>218265</v>
      </c>
    </row>
    <row r="5495" spans="7:14" ht="11.25" customHeight="1" x14ac:dyDescent="0.3">
      <c r="G5495" s="470"/>
      <c r="H5495" s="470">
        <v>5488</v>
      </c>
      <c r="I5495" s="455">
        <f t="shared" ca="1" si="208"/>
        <v>-1361936550897281.5</v>
      </c>
      <c r="J5495" s="455">
        <f t="array" ref="J5495">IFERROR(INDEX('Retirement Calculator'!J:J,MATCH('Isaac 401k'!N5495,'Retirement Calculator'!A:A,0),0),0)</f>
        <v>0</v>
      </c>
      <c r="K5495" s="455">
        <f t="shared" ca="1" si="206"/>
        <v>-5674735628738.6729</v>
      </c>
      <c r="L5495" s="455">
        <f t="shared" ca="1" si="207"/>
        <v>-1367611286526020.3</v>
      </c>
      <c r="M5495" s="471">
        <f t="shared" si="209"/>
        <v>0.05</v>
      </c>
      <c r="N5495" s="475">
        <f t="shared" si="210"/>
        <v>218296</v>
      </c>
    </row>
    <row r="5496" spans="7:14" ht="11.25" customHeight="1" x14ac:dyDescent="0.3">
      <c r="G5496" s="470"/>
      <c r="H5496" s="470">
        <v>5489</v>
      </c>
      <c r="I5496" s="455">
        <f t="shared" ca="1" si="208"/>
        <v>-1367611286526020.3</v>
      </c>
      <c r="J5496" s="455">
        <f t="array" ref="J5496">IFERROR(INDEX('Retirement Calculator'!J:J,MATCH('Isaac 401k'!N5496,'Retirement Calculator'!A:A,0),0),0)</f>
        <v>0</v>
      </c>
      <c r="K5496" s="455">
        <f t="shared" ca="1" si="206"/>
        <v>-5698380360525.084</v>
      </c>
      <c r="L5496" s="455">
        <f t="shared" ca="1" si="207"/>
        <v>-1373309666886545.3</v>
      </c>
      <c r="M5496" s="471">
        <f t="shared" si="209"/>
        <v>0.05</v>
      </c>
      <c r="N5496" s="475">
        <f t="shared" si="210"/>
        <v>218326</v>
      </c>
    </row>
    <row r="5497" spans="7:14" ht="11.25" customHeight="1" x14ac:dyDescent="0.3">
      <c r="G5497" s="470"/>
      <c r="H5497" s="470">
        <v>5490</v>
      </c>
      <c r="I5497" s="455">
        <f t="shared" ca="1" si="208"/>
        <v>-1373309666886545.3</v>
      </c>
      <c r="J5497" s="455">
        <f t="array" ref="J5497">IFERROR(INDEX('Retirement Calculator'!J:J,MATCH('Isaac 401k'!N5497,'Retirement Calculator'!A:A,0),0),0)</f>
        <v>0</v>
      </c>
      <c r="K5497" s="455">
        <f t="shared" ca="1" si="206"/>
        <v>-5722123612027.2715</v>
      </c>
      <c r="L5497" s="455">
        <f t="shared" ca="1" si="207"/>
        <v>-1379031790498572.5</v>
      </c>
      <c r="M5497" s="471">
        <f t="shared" si="209"/>
        <v>0.05</v>
      </c>
      <c r="N5497" s="475">
        <f t="shared" si="210"/>
        <v>218357</v>
      </c>
    </row>
    <row r="5498" spans="7:14" ht="11.25" customHeight="1" x14ac:dyDescent="0.3">
      <c r="G5498" s="470"/>
      <c r="H5498" s="470">
        <v>5491</v>
      </c>
      <c r="I5498" s="455">
        <f t="shared" ca="1" si="208"/>
        <v>-1379031790498572.5</v>
      </c>
      <c r="J5498" s="455">
        <f t="array" ref="J5498">IFERROR(INDEX('Retirement Calculator'!J:J,MATCH('Isaac 401k'!N5498,'Retirement Calculator'!A:A,0),0),0)</f>
        <v>0</v>
      </c>
      <c r="K5498" s="455">
        <f t="shared" ca="1" si="206"/>
        <v>-5745965793744.0518</v>
      </c>
      <c r="L5498" s="455">
        <f t="shared" ca="1" si="207"/>
        <v>-1384777756292316.5</v>
      </c>
      <c r="M5498" s="471">
        <f t="shared" si="209"/>
        <v>0.05</v>
      </c>
      <c r="N5498" s="475">
        <f t="shared" si="210"/>
        <v>218387</v>
      </c>
    </row>
    <row r="5499" spans="7:14" ht="11.25" customHeight="1" x14ac:dyDescent="0.3">
      <c r="G5499" s="470"/>
      <c r="H5499" s="470">
        <v>5492</v>
      </c>
      <c r="I5499" s="455">
        <f t="shared" ca="1" si="208"/>
        <v>-1384777756292316.5</v>
      </c>
      <c r="J5499" s="455">
        <f t="array" ref="J5499">IFERROR(INDEX('Retirement Calculator'!J:J,MATCH('Isaac 401k'!N5499,'Retirement Calculator'!A:A,0),0),0)</f>
        <v>0</v>
      </c>
      <c r="K5499" s="455">
        <f t="shared" ca="1" si="206"/>
        <v>-5769907317884.6523</v>
      </c>
      <c r="L5499" s="455">
        <f t="shared" ca="1" si="207"/>
        <v>-1390547663610201.3</v>
      </c>
      <c r="M5499" s="471">
        <f t="shared" si="209"/>
        <v>0.05</v>
      </c>
      <c r="N5499" s="475">
        <f t="shared" si="210"/>
        <v>218418</v>
      </c>
    </row>
    <row r="5500" spans="7:14" ht="11.25" customHeight="1" x14ac:dyDescent="0.3">
      <c r="G5500" s="470"/>
      <c r="H5500" s="470">
        <v>5493</v>
      </c>
      <c r="I5500" s="455">
        <f t="shared" ca="1" si="208"/>
        <v>-1390547663610201.3</v>
      </c>
      <c r="J5500" s="455">
        <f t="array" ref="J5500">IFERROR(INDEX('Retirement Calculator'!J:J,MATCH('Isaac 401k'!N5500,'Retirement Calculator'!A:A,0),0),0)</f>
        <v>0</v>
      </c>
      <c r="K5500" s="455">
        <f t="shared" ca="1" si="206"/>
        <v>-5793948598375.8389</v>
      </c>
      <c r="L5500" s="455">
        <f t="shared" ca="1" si="207"/>
        <v>-1396341612208577</v>
      </c>
      <c r="M5500" s="471">
        <f t="shared" si="209"/>
        <v>0.05</v>
      </c>
      <c r="N5500" s="475">
        <f t="shared" si="210"/>
        <v>218449</v>
      </c>
    </row>
    <row r="5501" spans="7:14" ht="11.25" customHeight="1" x14ac:dyDescent="0.3">
      <c r="G5501" s="470"/>
      <c r="H5501" s="470">
        <v>5494</v>
      </c>
      <c r="I5501" s="455">
        <f t="shared" ca="1" si="208"/>
        <v>-1396341612208577</v>
      </c>
      <c r="J5501" s="455">
        <f t="array" ref="J5501">IFERROR(INDEX('Retirement Calculator'!J:J,MATCH('Isaac 401k'!N5501,'Retirement Calculator'!A:A,0),0),0)</f>
        <v>0</v>
      </c>
      <c r="K5501" s="455">
        <f t="shared" ca="1" si="206"/>
        <v>-5818090050869.0703</v>
      </c>
      <c r="L5501" s="455">
        <f t="shared" ca="1" si="207"/>
        <v>-1402159702259446</v>
      </c>
      <c r="M5501" s="471">
        <f t="shared" si="209"/>
        <v>0.05</v>
      </c>
      <c r="N5501" s="475">
        <f t="shared" si="210"/>
        <v>218477</v>
      </c>
    </row>
    <row r="5502" spans="7:14" ht="11.25" customHeight="1" x14ac:dyDescent="0.3">
      <c r="G5502" s="470"/>
      <c r="H5502" s="470">
        <v>5495</v>
      </c>
      <c r="I5502" s="455">
        <f t="shared" ca="1" si="208"/>
        <v>-1402159702259446</v>
      </c>
      <c r="J5502" s="455">
        <f t="array" ref="J5502">IFERROR(INDEX('Retirement Calculator'!J:J,MATCH('Isaac 401k'!N5502,'Retirement Calculator'!A:A,0),0),0)</f>
        <v>0</v>
      </c>
      <c r="K5502" s="455">
        <f t="shared" ca="1" si="206"/>
        <v>-5842332092747.6914</v>
      </c>
      <c r="L5502" s="455">
        <f t="shared" ca="1" si="207"/>
        <v>-1408002034352193.8</v>
      </c>
      <c r="M5502" s="471">
        <f t="shared" si="209"/>
        <v>0.05</v>
      </c>
      <c r="N5502" s="475">
        <f t="shared" si="210"/>
        <v>218508</v>
      </c>
    </row>
    <row r="5503" spans="7:14" ht="11.25" customHeight="1" x14ac:dyDescent="0.3">
      <c r="G5503" s="470"/>
      <c r="H5503" s="470">
        <v>5496</v>
      </c>
      <c r="I5503" s="455">
        <f t="shared" ca="1" si="208"/>
        <v>-1408002034352193.8</v>
      </c>
      <c r="J5503" s="455">
        <f t="array" ref="J5503">IFERROR(INDEX('Retirement Calculator'!J:J,MATCH('Isaac 401k'!N5503,'Retirement Calculator'!A:A,0),0),0)</f>
        <v>0</v>
      </c>
      <c r="K5503" s="455">
        <f t="shared" ca="1" si="206"/>
        <v>-5866675143134.1406</v>
      </c>
      <c r="L5503" s="455">
        <f t="shared" ca="1" si="207"/>
        <v>-1413868709495328</v>
      </c>
      <c r="M5503" s="471">
        <f t="shared" si="209"/>
        <v>0.05</v>
      </c>
      <c r="N5503" s="475">
        <f t="shared" si="210"/>
        <v>218538</v>
      </c>
    </row>
    <row r="5504" spans="7:14" ht="11.25" customHeight="1" x14ac:dyDescent="0.3">
      <c r="G5504" s="470"/>
      <c r="H5504" s="470">
        <v>5497</v>
      </c>
      <c r="I5504" s="455">
        <f t="shared" ca="1" si="208"/>
        <v>-1413868709495328</v>
      </c>
      <c r="J5504" s="455">
        <f t="array" ref="J5504">IFERROR(INDEX('Retirement Calculator'!J:J,MATCH('Isaac 401k'!N5504,'Retirement Calculator'!A:A,0),0),0)</f>
        <v>0</v>
      </c>
      <c r="K5504" s="455">
        <f t="shared" ca="1" si="206"/>
        <v>-5891119622897.2002</v>
      </c>
      <c r="L5504" s="455">
        <f t="shared" ca="1" si="207"/>
        <v>-1419759829118225.3</v>
      </c>
      <c r="M5504" s="471">
        <f t="shared" si="209"/>
        <v>0.05</v>
      </c>
      <c r="N5504" s="475">
        <f t="shared" si="210"/>
        <v>218569</v>
      </c>
    </row>
    <row r="5505" spans="7:14" ht="11.25" customHeight="1" x14ac:dyDescent="0.3">
      <c r="G5505" s="470"/>
      <c r="H5505" s="470">
        <v>5498</v>
      </c>
      <c r="I5505" s="455">
        <f t="shared" ca="1" si="208"/>
        <v>-1419759829118225.3</v>
      </c>
      <c r="J5505" s="455">
        <f t="array" ref="J5505">IFERROR(INDEX('Retirement Calculator'!J:J,MATCH('Isaac 401k'!N5505,'Retirement Calculator'!A:A,0),0),0)</f>
        <v>0</v>
      </c>
      <c r="K5505" s="455">
        <f t="shared" ca="1" si="206"/>
        <v>-5915665954659.2715</v>
      </c>
      <c r="L5505" s="455">
        <f t="shared" ca="1" si="207"/>
        <v>-1425675495072884.5</v>
      </c>
      <c r="M5505" s="471">
        <f t="shared" si="209"/>
        <v>0.05</v>
      </c>
      <c r="N5505" s="475">
        <f t="shared" si="210"/>
        <v>218599</v>
      </c>
    </row>
    <row r="5506" spans="7:14" ht="11.25" customHeight="1" x14ac:dyDescent="0.3">
      <c r="G5506" s="470"/>
      <c r="H5506" s="470">
        <v>5499</v>
      </c>
      <c r="I5506" s="455">
        <f t="shared" ca="1" si="208"/>
        <v>-1425675495072884.5</v>
      </c>
      <c r="J5506" s="455">
        <f t="array" ref="J5506">IFERROR(INDEX('Retirement Calculator'!J:J,MATCH('Isaac 401k'!N5506,'Retirement Calculator'!A:A,0),0),0)</f>
        <v>0</v>
      </c>
      <c r="K5506" s="455">
        <f t="shared" ca="1" si="206"/>
        <v>-5940314562803.6855</v>
      </c>
      <c r="L5506" s="455">
        <f t="shared" ca="1" si="207"/>
        <v>-1431615809635688.3</v>
      </c>
      <c r="M5506" s="471">
        <f t="shared" si="209"/>
        <v>0.05</v>
      </c>
      <c r="N5506" s="475">
        <f t="shared" si="210"/>
        <v>218630</v>
      </c>
    </row>
    <row r="5507" spans="7:14" ht="11.25" customHeight="1" x14ac:dyDescent="0.3">
      <c r="G5507" s="470"/>
      <c r="H5507" s="470">
        <v>5500</v>
      </c>
      <c r="I5507" s="455">
        <f t="shared" ca="1" si="208"/>
        <v>-1431615809635688.3</v>
      </c>
      <c r="J5507" s="455">
        <f t="array" ref="J5507">IFERROR(INDEX('Retirement Calculator'!J:J,MATCH('Isaac 401k'!N5507,'Retirement Calculator'!A:A,0),0),0)</f>
        <v>0</v>
      </c>
      <c r="K5507" s="455">
        <f t="shared" ca="1" si="206"/>
        <v>-5965065873482.0342</v>
      </c>
      <c r="L5507" s="455">
        <f t="shared" ca="1" si="207"/>
        <v>-1437580875509170.3</v>
      </c>
      <c r="M5507" s="471">
        <f t="shared" si="209"/>
        <v>0.05</v>
      </c>
      <c r="N5507" s="475">
        <f t="shared" si="210"/>
        <v>218661</v>
      </c>
    </row>
    <row r="5508" spans="7:14" ht="11.25" customHeight="1" x14ac:dyDescent="0.3">
      <c r="G5508" s="470"/>
      <c r="H5508" s="470">
        <v>5501</v>
      </c>
      <c r="I5508" s="455">
        <f t="shared" ca="1" si="208"/>
        <v>-1437580875509170.3</v>
      </c>
      <c r="J5508" s="455">
        <f t="array" ref="J5508">IFERROR(INDEX('Retirement Calculator'!J:J,MATCH('Isaac 401k'!N5508,'Retirement Calculator'!A:A,0),0),0)</f>
        <v>0</v>
      </c>
      <c r="K5508" s="455">
        <f t="shared" ca="1" si="206"/>
        <v>-5989920314621.543</v>
      </c>
      <c r="L5508" s="455">
        <f t="shared" ca="1" si="207"/>
        <v>-1443570795823791.8</v>
      </c>
      <c r="M5508" s="471">
        <f t="shared" si="209"/>
        <v>0.05</v>
      </c>
      <c r="N5508" s="475">
        <f t="shared" si="210"/>
        <v>218691</v>
      </c>
    </row>
    <row r="5509" spans="7:14" ht="11.25" customHeight="1" x14ac:dyDescent="0.3">
      <c r="G5509" s="470"/>
      <c r="H5509" s="470">
        <v>5502</v>
      </c>
      <c r="I5509" s="455">
        <f t="shared" ca="1" si="208"/>
        <v>-1443570795823791.8</v>
      </c>
      <c r="J5509" s="455">
        <f t="array" ref="J5509">IFERROR(INDEX('Retirement Calculator'!J:J,MATCH('Isaac 401k'!N5509,'Retirement Calculator'!A:A,0),0),0)</f>
        <v>0</v>
      </c>
      <c r="K5509" s="455">
        <f t="shared" ca="1" si="206"/>
        <v>-6014878315932.4658</v>
      </c>
      <c r="L5509" s="455">
        <f t="shared" ca="1" si="207"/>
        <v>-1449585674139724.3</v>
      </c>
      <c r="M5509" s="471">
        <f t="shared" si="209"/>
        <v>0.05</v>
      </c>
      <c r="N5509" s="475">
        <f t="shared" si="210"/>
        <v>218722</v>
      </c>
    </row>
    <row r="5510" spans="7:14" ht="11.25" customHeight="1" x14ac:dyDescent="0.3">
      <c r="G5510" s="470"/>
      <c r="H5510" s="470">
        <v>5503</v>
      </c>
      <c r="I5510" s="455">
        <f t="shared" ca="1" si="208"/>
        <v>-1449585674139724.3</v>
      </c>
      <c r="J5510" s="455">
        <f t="array" ref="J5510">IFERROR(INDEX('Retirement Calculator'!J:J,MATCH('Isaac 401k'!N5510,'Retirement Calculator'!A:A,0),0),0)</f>
        <v>0</v>
      </c>
      <c r="K5510" s="455">
        <f t="shared" ca="1" si="206"/>
        <v>-6039940308915.5176</v>
      </c>
      <c r="L5510" s="455">
        <f t="shared" ca="1" si="207"/>
        <v>-1455625614448639.8</v>
      </c>
      <c r="M5510" s="471">
        <f t="shared" si="209"/>
        <v>0.05</v>
      </c>
      <c r="N5510" s="475">
        <f t="shared" si="210"/>
        <v>218752</v>
      </c>
    </row>
    <row r="5511" spans="7:14" ht="11.25" customHeight="1" x14ac:dyDescent="0.3">
      <c r="G5511" s="470"/>
      <c r="H5511" s="470">
        <v>5504</v>
      </c>
      <c r="I5511" s="455">
        <f t="shared" ca="1" si="208"/>
        <v>-1455625614448639.8</v>
      </c>
      <c r="J5511" s="455">
        <f t="array" ref="J5511">IFERROR(INDEX('Retirement Calculator'!J:J,MATCH('Isaac 401k'!N5511,'Retirement Calculator'!A:A,0),0),0)</f>
        <v>0</v>
      </c>
      <c r="K5511" s="455">
        <f t="shared" ca="1" si="206"/>
        <v>-6065106726869.332</v>
      </c>
      <c r="L5511" s="455">
        <f t="shared" ca="1" si="207"/>
        <v>-1461690721175509</v>
      </c>
      <c r="M5511" s="471">
        <f t="shared" si="209"/>
        <v>0.05</v>
      </c>
      <c r="N5511" s="475">
        <f t="shared" si="210"/>
        <v>218783</v>
      </c>
    </row>
    <row r="5512" spans="7:14" ht="11.25" customHeight="1" x14ac:dyDescent="0.3">
      <c r="G5512" s="470"/>
      <c r="H5512" s="470">
        <v>5505</v>
      </c>
      <c r="I5512" s="455">
        <f t="shared" ca="1" si="208"/>
        <v>-1461690721175509</v>
      </c>
      <c r="J5512" s="455">
        <f t="array" ref="J5512">IFERROR(INDEX('Retirement Calculator'!J:J,MATCH('Isaac 401k'!N5512,'Retirement Calculator'!A:A,0),0),0)</f>
        <v>0</v>
      </c>
      <c r="K5512" s="455">
        <f t="shared" ca="1" si="206"/>
        <v>-6090378004897.9541</v>
      </c>
      <c r="L5512" s="455">
        <f t="shared" ca="1" si="207"/>
        <v>-1467781099180407</v>
      </c>
      <c r="M5512" s="471">
        <f t="shared" si="209"/>
        <v>0.05</v>
      </c>
      <c r="N5512" s="475">
        <f t="shared" si="210"/>
        <v>218814</v>
      </c>
    </row>
    <row r="5513" spans="7:14" ht="11.25" customHeight="1" x14ac:dyDescent="0.3">
      <c r="G5513" s="470"/>
      <c r="H5513" s="470">
        <v>5506</v>
      </c>
      <c r="I5513" s="455">
        <f t="shared" ca="1" si="208"/>
        <v>-1467781099180407</v>
      </c>
      <c r="J5513" s="455">
        <f t="array" ref="J5513">IFERROR(INDEX('Retirement Calculator'!J:J,MATCH('Isaac 401k'!N5513,'Retirement Calculator'!A:A,0),0),0)</f>
        <v>0</v>
      </c>
      <c r="K5513" s="455">
        <f t="shared" ca="1" si="206"/>
        <v>-6115754579918.3623</v>
      </c>
      <c r="L5513" s="455">
        <f t="shared" ca="1" si="207"/>
        <v>-1473896853760325.3</v>
      </c>
      <c r="M5513" s="471">
        <f t="shared" si="209"/>
        <v>0.05</v>
      </c>
      <c r="N5513" s="475">
        <f t="shared" si="210"/>
        <v>218842</v>
      </c>
    </row>
    <row r="5514" spans="7:14" ht="11.25" customHeight="1" x14ac:dyDescent="0.3">
      <c r="G5514" s="470"/>
      <c r="H5514" s="470">
        <v>5507</v>
      </c>
      <c r="I5514" s="455">
        <f t="shared" ca="1" si="208"/>
        <v>-1473896853760325.3</v>
      </c>
      <c r="J5514" s="455">
        <f t="array" ref="J5514">IFERROR(INDEX('Retirement Calculator'!J:J,MATCH('Isaac 401k'!N5514,'Retirement Calculator'!A:A,0),0),0)</f>
        <v>0</v>
      </c>
      <c r="K5514" s="455">
        <f t="shared" ca="1" si="206"/>
        <v>-6141236890668.0215</v>
      </c>
      <c r="L5514" s="455">
        <f t="shared" ca="1" si="207"/>
        <v>-1480038090650993.3</v>
      </c>
      <c r="M5514" s="471">
        <f t="shared" si="209"/>
        <v>0.05</v>
      </c>
      <c r="N5514" s="475">
        <f t="shared" si="210"/>
        <v>218873</v>
      </c>
    </row>
    <row r="5515" spans="7:14" ht="11.25" customHeight="1" x14ac:dyDescent="0.3">
      <c r="G5515" s="470"/>
      <c r="H5515" s="470">
        <v>5508</v>
      </c>
      <c r="I5515" s="455">
        <f t="shared" ca="1" si="208"/>
        <v>-1480038090650993.3</v>
      </c>
      <c r="J5515" s="455">
        <f t="array" ref="J5515">IFERROR(INDEX('Retirement Calculator'!J:J,MATCH('Isaac 401k'!N5515,'Retirement Calculator'!A:A,0),0),0)</f>
        <v>0</v>
      </c>
      <c r="K5515" s="455">
        <f t="shared" ca="1" si="206"/>
        <v>-6166825377712.4717</v>
      </c>
      <c r="L5515" s="455">
        <f t="shared" ca="1" si="207"/>
        <v>-1486204916028705.8</v>
      </c>
      <c r="M5515" s="471">
        <f t="shared" si="209"/>
        <v>0.05</v>
      </c>
      <c r="N5515" s="475">
        <f t="shared" si="210"/>
        <v>218903</v>
      </c>
    </row>
    <row r="5516" spans="7:14" ht="11.25" customHeight="1" x14ac:dyDescent="0.3">
      <c r="G5516" s="470"/>
      <c r="H5516" s="470">
        <v>5509</v>
      </c>
      <c r="I5516" s="455">
        <f t="shared" ca="1" si="208"/>
        <v>-1486204916028705.8</v>
      </c>
      <c r="J5516" s="455">
        <f t="array" ref="J5516">IFERROR(INDEX('Retirement Calculator'!J:J,MATCH('Isaac 401k'!N5516,'Retirement Calculator'!A:A,0),0),0)</f>
        <v>0</v>
      </c>
      <c r="K5516" s="455">
        <f t="shared" ca="1" si="206"/>
        <v>-6192520483452.9404</v>
      </c>
      <c r="L5516" s="455">
        <f t="shared" ca="1" si="207"/>
        <v>-1492397436512158.8</v>
      </c>
      <c r="M5516" s="471">
        <f t="shared" si="209"/>
        <v>0.05</v>
      </c>
      <c r="N5516" s="475">
        <f t="shared" si="210"/>
        <v>218934</v>
      </c>
    </row>
    <row r="5517" spans="7:14" ht="11.25" customHeight="1" x14ac:dyDescent="0.3">
      <c r="G5517" s="470"/>
      <c r="H5517" s="470">
        <v>5510</v>
      </c>
      <c r="I5517" s="455">
        <f t="shared" ca="1" si="208"/>
        <v>-1492397436512158.8</v>
      </c>
      <c r="J5517" s="455">
        <f t="array" ref="J5517">IFERROR(INDEX('Retirement Calculator'!J:J,MATCH('Isaac 401k'!N5517,'Retirement Calculator'!A:A,0),0),0)</f>
        <v>0</v>
      </c>
      <c r="K5517" s="455">
        <f t="shared" ca="1" si="206"/>
        <v>-6218322652133.9951</v>
      </c>
      <c r="L5517" s="455">
        <f t="shared" ca="1" si="207"/>
        <v>-1498615759164292.8</v>
      </c>
      <c r="M5517" s="471">
        <f t="shared" si="209"/>
        <v>0.05</v>
      </c>
      <c r="N5517" s="475">
        <f t="shared" si="210"/>
        <v>218964</v>
      </c>
    </row>
    <row r="5518" spans="7:14" ht="11.25" customHeight="1" x14ac:dyDescent="0.3">
      <c r="G5518" s="470"/>
      <c r="H5518" s="470">
        <v>5511</v>
      </c>
      <c r="I5518" s="455">
        <f t="shared" ca="1" si="208"/>
        <v>-1498615759164292.8</v>
      </c>
      <c r="J5518" s="455">
        <f t="array" ref="J5518">IFERROR(INDEX('Retirement Calculator'!J:J,MATCH('Isaac 401k'!N5518,'Retirement Calculator'!A:A,0),0),0)</f>
        <v>0</v>
      </c>
      <c r="K5518" s="455">
        <f t="shared" ca="1" si="206"/>
        <v>-6244232329851.2197</v>
      </c>
      <c r="L5518" s="455">
        <f t="shared" ca="1" si="207"/>
        <v>-1504859991494144</v>
      </c>
      <c r="M5518" s="471">
        <f t="shared" si="209"/>
        <v>0.05</v>
      </c>
      <c r="N5518" s="475">
        <f t="shared" si="210"/>
        <v>218995</v>
      </c>
    </row>
    <row r="5519" spans="7:14" ht="11.25" customHeight="1" x14ac:dyDescent="0.3">
      <c r="G5519" s="470"/>
      <c r="H5519" s="470">
        <v>5512</v>
      </c>
      <c r="I5519" s="455">
        <f t="shared" ca="1" si="208"/>
        <v>-1504859991494144</v>
      </c>
      <c r="J5519" s="455">
        <f t="array" ref="J5519">IFERROR(INDEX('Retirement Calculator'!J:J,MATCH('Isaac 401k'!N5519,'Retirement Calculator'!A:A,0),0),0)</f>
        <v>0</v>
      </c>
      <c r="K5519" s="455">
        <f t="shared" ca="1" si="206"/>
        <v>-6270249964558.9336</v>
      </c>
      <c r="L5519" s="455">
        <f t="shared" ca="1" si="207"/>
        <v>-1511130241458703</v>
      </c>
      <c r="M5519" s="471">
        <f t="shared" si="209"/>
        <v>0.05</v>
      </c>
      <c r="N5519" s="475">
        <f t="shared" si="210"/>
        <v>219026</v>
      </c>
    </row>
    <row r="5520" spans="7:14" ht="11.25" customHeight="1" x14ac:dyDescent="0.3">
      <c r="G5520" s="470"/>
      <c r="H5520" s="470">
        <v>5513</v>
      </c>
      <c r="I5520" s="455">
        <f t="shared" ca="1" si="208"/>
        <v>-1511130241458703</v>
      </c>
      <c r="J5520" s="455">
        <f t="array" ref="J5520">IFERROR(INDEX('Retirement Calculator'!J:J,MATCH('Isaac 401k'!N5520,'Retirement Calculator'!A:A,0),0),0)</f>
        <v>0</v>
      </c>
      <c r="K5520" s="455">
        <f t="shared" ca="1" si="206"/>
        <v>-6296376006077.9287</v>
      </c>
      <c r="L5520" s="455">
        <f t="shared" ca="1" si="207"/>
        <v>-1517426617464781</v>
      </c>
      <c r="M5520" s="471">
        <f t="shared" si="209"/>
        <v>0.05</v>
      </c>
      <c r="N5520" s="475">
        <f t="shared" si="210"/>
        <v>219056</v>
      </c>
    </row>
    <row r="5521" spans="7:14" ht="11.25" customHeight="1" x14ac:dyDescent="0.3">
      <c r="G5521" s="470"/>
      <c r="H5521" s="470">
        <v>5514</v>
      </c>
      <c r="I5521" s="455">
        <f t="shared" ca="1" si="208"/>
        <v>-1517426617464781</v>
      </c>
      <c r="J5521" s="455">
        <f t="array" ref="J5521">IFERROR(INDEX('Retirement Calculator'!J:J,MATCH('Isaac 401k'!N5521,'Retirement Calculator'!A:A,0),0),0)</f>
        <v>0</v>
      </c>
      <c r="K5521" s="455">
        <f t="shared" ca="1" si="206"/>
        <v>-6322610906103.2539</v>
      </c>
      <c r="L5521" s="455">
        <f t="shared" ca="1" si="207"/>
        <v>-1523749228370884.3</v>
      </c>
      <c r="M5521" s="471">
        <f t="shared" si="209"/>
        <v>0.05</v>
      </c>
      <c r="N5521" s="475">
        <f t="shared" si="210"/>
        <v>219087</v>
      </c>
    </row>
    <row r="5522" spans="7:14" ht="11.25" customHeight="1" x14ac:dyDescent="0.3">
      <c r="G5522" s="470"/>
      <c r="H5522" s="470">
        <v>5515</v>
      </c>
      <c r="I5522" s="455">
        <f t="shared" ca="1" si="208"/>
        <v>-1523749228370884.3</v>
      </c>
      <c r="J5522" s="455">
        <f t="array" ref="J5522">IFERROR(INDEX('Retirement Calculator'!J:J,MATCH('Isaac 401k'!N5522,'Retirement Calculator'!A:A,0),0),0)</f>
        <v>0</v>
      </c>
      <c r="K5522" s="455">
        <f t="shared" ca="1" si="206"/>
        <v>-6348955118212.0176</v>
      </c>
      <c r="L5522" s="455">
        <f t="shared" ca="1" si="207"/>
        <v>-1530098183489096.3</v>
      </c>
      <c r="M5522" s="471">
        <f t="shared" si="209"/>
        <v>0.05</v>
      </c>
      <c r="N5522" s="475">
        <f t="shared" si="210"/>
        <v>219117</v>
      </c>
    </row>
    <row r="5523" spans="7:14" ht="11.25" customHeight="1" x14ac:dyDescent="0.3">
      <c r="G5523" s="470"/>
      <c r="H5523" s="470">
        <v>5516</v>
      </c>
      <c r="I5523" s="455">
        <f t="shared" ca="1" si="208"/>
        <v>-1530098183489096.3</v>
      </c>
      <c r="J5523" s="455">
        <f t="array" ref="J5523">IFERROR(INDEX('Retirement Calculator'!J:J,MATCH('Isaac 401k'!N5523,'Retirement Calculator'!A:A,0),0),0)</f>
        <v>0</v>
      </c>
      <c r="K5523" s="455">
        <f t="shared" ca="1" si="206"/>
        <v>-6375409097871.2344</v>
      </c>
      <c r="L5523" s="455">
        <f t="shared" ca="1" si="207"/>
        <v>-1536473592586967.5</v>
      </c>
      <c r="M5523" s="471">
        <f t="shared" si="209"/>
        <v>0.05</v>
      </c>
      <c r="N5523" s="475">
        <f t="shared" si="210"/>
        <v>219148</v>
      </c>
    </row>
    <row r="5524" spans="7:14" ht="11.25" customHeight="1" x14ac:dyDescent="0.3">
      <c r="G5524" s="470"/>
      <c r="H5524" s="470">
        <v>5517</v>
      </c>
      <c r="I5524" s="455">
        <f t="shared" ca="1" si="208"/>
        <v>-1536473592586967.5</v>
      </c>
      <c r="J5524" s="455">
        <f t="array" ref="J5524">IFERROR(INDEX('Retirement Calculator'!J:J,MATCH('Isaac 401k'!N5524,'Retirement Calculator'!A:A,0),0),0)</f>
        <v>0</v>
      </c>
      <c r="K5524" s="455">
        <f t="shared" ca="1" si="206"/>
        <v>-6401973302445.6982</v>
      </c>
      <c r="L5524" s="455">
        <f t="shared" ca="1" si="207"/>
        <v>-1542875565889413.3</v>
      </c>
      <c r="M5524" s="471">
        <f t="shared" si="209"/>
        <v>0.05</v>
      </c>
      <c r="N5524" s="475">
        <f t="shared" si="210"/>
        <v>219179</v>
      </c>
    </row>
    <row r="5525" spans="7:14" ht="11.25" customHeight="1" x14ac:dyDescent="0.3">
      <c r="G5525" s="470"/>
      <c r="H5525" s="470">
        <v>5518</v>
      </c>
      <c r="I5525" s="455">
        <f t="shared" ca="1" si="208"/>
        <v>-1542875565889413.3</v>
      </c>
      <c r="J5525" s="455">
        <f t="array" ref="J5525">IFERROR(INDEX('Retirement Calculator'!J:J,MATCH('Isaac 401k'!N5525,'Retirement Calculator'!A:A,0),0),0)</f>
        <v>0</v>
      </c>
      <c r="K5525" s="455">
        <f t="shared" ca="1" si="206"/>
        <v>-6428648191205.8887</v>
      </c>
      <c r="L5525" s="455">
        <f t="shared" ca="1" si="207"/>
        <v>-1549304214080619.3</v>
      </c>
      <c r="M5525" s="471">
        <f t="shared" si="209"/>
        <v>0.05</v>
      </c>
      <c r="N5525" s="475">
        <f t="shared" si="210"/>
        <v>219207</v>
      </c>
    </row>
    <row r="5526" spans="7:14" ht="11.25" customHeight="1" x14ac:dyDescent="0.3">
      <c r="G5526" s="470"/>
      <c r="H5526" s="470">
        <v>5519</v>
      </c>
      <c r="I5526" s="455">
        <f t="shared" ca="1" si="208"/>
        <v>-1549304214080619.3</v>
      </c>
      <c r="J5526" s="455">
        <f t="array" ref="J5526">IFERROR(INDEX('Retirement Calculator'!J:J,MATCH('Isaac 401k'!N5526,'Retirement Calculator'!A:A,0),0),0)</f>
        <v>0</v>
      </c>
      <c r="K5526" s="455">
        <f t="shared" ca="1" si="206"/>
        <v>-6455434225335.9131</v>
      </c>
      <c r="L5526" s="455">
        <f t="shared" ca="1" si="207"/>
        <v>-1555759648305955.3</v>
      </c>
      <c r="M5526" s="471">
        <f t="shared" si="209"/>
        <v>0.05</v>
      </c>
      <c r="N5526" s="475">
        <f t="shared" si="210"/>
        <v>219238</v>
      </c>
    </row>
    <row r="5527" spans="7:14" ht="11.25" customHeight="1" x14ac:dyDescent="0.3">
      <c r="G5527" s="470"/>
      <c r="H5527" s="470">
        <v>5520</v>
      </c>
      <c r="I5527" s="455">
        <f t="shared" ca="1" si="208"/>
        <v>-1555759648305955.3</v>
      </c>
      <c r="J5527" s="455">
        <f t="array" ref="J5527">IFERROR(INDEX('Retirement Calculator'!J:J,MATCH('Isaac 401k'!N5527,'Retirement Calculator'!A:A,0),0),0)</f>
        <v>0</v>
      </c>
      <c r="K5527" s="455">
        <f t="shared" ca="1" si="206"/>
        <v>-6482331867941.4805</v>
      </c>
      <c r="L5527" s="455">
        <f t="shared" ca="1" si="207"/>
        <v>-1562241980173896.8</v>
      </c>
      <c r="M5527" s="471">
        <f t="shared" si="209"/>
        <v>0.05</v>
      </c>
      <c r="N5527" s="475">
        <f t="shared" si="210"/>
        <v>219268</v>
      </c>
    </row>
    <row r="5528" spans="7:14" ht="11.25" customHeight="1" x14ac:dyDescent="0.3">
      <c r="G5528" s="470"/>
      <c r="H5528" s="470">
        <v>5521</v>
      </c>
      <c r="I5528" s="455">
        <f t="shared" ca="1" si="208"/>
        <v>-1562241980173896.8</v>
      </c>
      <c r="J5528" s="455">
        <f t="array" ref="J5528">IFERROR(INDEX('Retirement Calculator'!J:J,MATCH('Isaac 401k'!N5528,'Retirement Calculator'!A:A,0),0),0)</f>
        <v>0</v>
      </c>
      <c r="K5528" s="455">
        <f t="shared" ca="1" si="206"/>
        <v>-6509341584057.9033</v>
      </c>
      <c r="L5528" s="455">
        <f t="shared" ca="1" si="207"/>
        <v>-1568751321757954.8</v>
      </c>
      <c r="M5528" s="471">
        <f t="shared" si="209"/>
        <v>0.05</v>
      </c>
      <c r="N5528" s="475">
        <f t="shared" si="210"/>
        <v>219299</v>
      </c>
    </row>
    <row r="5529" spans="7:14" ht="11.25" customHeight="1" x14ac:dyDescent="0.3">
      <c r="G5529" s="470"/>
      <c r="H5529" s="470">
        <v>5522</v>
      </c>
      <c r="I5529" s="455">
        <f t="shared" ca="1" si="208"/>
        <v>-1568751321757954.8</v>
      </c>
      <c r="J5529" s="455">
        <f t="array" ref="J5529">IFERROR(INDEX('Retirement Calculator'!J:J,MATCH('Isaac 401k'!N5529,'Retirement Calculator'!A:A,0),0),0)</f>
        <v>0</v>
      </c>
      <c r="K5529" s="455">
        <f t="shared" ca="1" si="206"/>
        <v>-6536463840658.1445</v>
      </c>
      <c r="L5529" s="455">
        <f t="shared" ca="1" si="207"/>
        <v>-1575287785598613</v>
      </c>
      <c r="M5529" s="471">
        <f t="shared" si="209"/>
        <v>0.05</v>
      </c>
      <c r="N5529" s="475">
        <f t="shared" si="210"/>
        <v>219329</v>
      </c>
    </row>
    <row r="5530" spans="7:14" ht="11.25" customHeight="1" x14ac:dyDescent="0.3">
      <c r="G5530" s="470"/>
      <c r="H5530" s="470">
        <v>5523</v>
      </c>
      <c r="I5530" s="455">
        <f t="shared" ca="1" si="208"/>
        <v>-1575287785598613</v>
      </c>
      <c r="J5530" s="455">
        <f t="array" ref="J5530">IFERROR(INDEX('Retirement Calculator'!J:J,MATCH('Isaac 401k'!N5530,'Retirement Calculator'!A:A,0),0),0)</f>
        <v>0</v>
      </c>
      <c r="K5530" s="455">
        <f t="shared" ca="1" si="206"/>
        <v>-6563699106660.8877</v>
      </c>
      <c r="L5530" s="455">
        <f t="shared" ca="1" si="207"/>
        <v>-1581851484705274</v>
      </c>
      <c r="M5530" s="471">
        <f t="shared" si="209"/>
        <v>0.05</v>
      </c>
      <c r="N5530" s="475">
        <f t="shared" si="210"/>
        <v>219360</v>
      </c>
    </row>
    <row r="5531" spans="7:14" ht="11.25" customHeight="1" x14ac:dyDescent="0.3">
      <c r="G5531" s="470"/>
      <c r="H5531" s="470">
        <v>5524</v>
      </c>
      <c r="I5531" s="455">
        <f t="shared" ca="1" si="208"/>
        <v>-1581851484705274</v>
      </c>
      <c r="J5531" s="455">
        <f t="array" ref="J5531">IFERROR(INDEX('Retirement Calculator'!J:J,MATCH('Isaac 401k'!N5531,'Retirement Calculator'!A:A,0),0),0)</f>
        <v>0</v>
      </c>
      <c r="K5531" s="455">
        <f t="shared" ca="1" si="206"/>
        <v>-6591047852938.6416</v>
      </c>
      <c r="L5531" s="455">
        <f t="shared" ca="1" si="207"/>
        <v>-1588442532558212.8</v>
      </c>
      <c r="M5531" s="471">
        <f t="shared" si="209"/>
        <v>0.05</v>
      </c>
      <c r="N5531" s="475">
        <f t="shared" si="210"/>
        <v>219391</v>
      </c>
    </row>
    <row r="5532" spans="7:14" ht="11.25" customHeight="1" x14ac:dyDescent="0.3">
      <c r="G5532" s="470"/>
      <c r="H5532" s="470">
        <v>5525</v>
      </c>
      <c r="I5532" s="455">
        <f t="shared" ca="1" si="208"/>
        <v>-1588442532558212.8</v>
      </c>
      <c r="J5532" s="455">
        <f t="array" ref="J5532">IFERROR(INDEX('Retirement Calculator'!J:J,MATCH('Isaac 401k'!N5532,'Retirement Calculator'!A:A,0),0),0)</f>
        <v>0</v>
      </c>
      <c r="K5532" s="455">
        <f t="shared" ca="1" si="206"/>
        <v>-6618510552325.8867</v>
      </c>
      <c r="L5532" s="455">
        <f t="shared" ca="1" si="207"/>
        <v>-1595061043110538.8</v>
      </c>
      <c r="M5532" s="471">
        <f t="shared" si="209"/>
        <v>0.05</v>
      </c>
      <c r="N5532" s="475">
        <f t="shared" si="210"/>
        <v>219421</v>
      </c>
    </row>
    <row r="5533" spans="7:14" ht="11.25" customHeight="1" x14ac:dyDescent="0.3">
      <c r="G5533" s="470"/>
      <c r="H5533" s="470">
        <v>5526</v>
      </c>
      <c r="I5533" s="455">
        <f t="shared" ca="1" si="208"/>
        <v>-1595061043110538.8</v>
      </c>
      <c r="J5533" s="455">
        <f t="array" ref="J5533">IFERROR(INDEX('Retirement Calculator'!J:J,MATCH('Isaac 401k'!N5533,'Retirement Calculator'!A:A,0),0),0)</f>
        <v>0</v>
      </c>
      <c r="K5533" s="455">
        <f t="shared" ca="1" si="206"/>
        <v>-6646087679627.2451</v>
      </c>
      <c r="L5533" s="455">
        <f t="shared" ca="1" si="207"/>
        <v>-1601707130790166</v>
      </c>
      <c r="M5533" s="471">
        <f t="shared" si="209"/>
        <v>0.05</v>
      </c>
      <c r="N5533" s="475">
        <f t="shared" si="210"/>
        <v>219452</v>
      </c>
    </row>
    <row r="5534" spans="7:14" ht="11.25" customHeight="1" x14ac:dyDescent="0.3">
      <c r="G5534" s="470"/>
      <c r="H5534" s="470">
        <v>5527</v>
      </c>
      <c r="I5534" s="455">
        <f t="shared" ca="1" si="208"/>
        <v>-1601707130790166</v>
      </c>
      <c r="J5534" s="455">
        <f t="array" ref="J5534">IFERROR(INDEX('Retirement Calculator'!J:J,MATCH('Isaac 401k'!N5534,'Retirement Calculator'!A:A,0),0),0)</f>
        <v>0</v>
      </c>
      <c r="K5534" s="455">
        <f t="shared" ca="1" si="206"/>
        <v>-6673779711625.6914</v>
      </c>
      <c r="L5534" s="455">
        <f t="shared" ca="1" si="207"/>
        <v>-1608380910501791.8</v>
      </c>
      <c r="M5534" s="471">
        <f t="shared" si="209"/>
        <v>0.05</v>
      </c>
      <c r="N5534" s="475">
        <f t="shared" si="210"/>
        <v>219482</v>
      </c>
    </row>
    <row r="5535" spans="7:14" ht="11.25" customHeight="1" x14ac:dyDescent="0.3">
      <c r="G5535" s="470"/>
      <c r="H5535" s="470">
        <v>5528</v>
      </c>
      <c r="I5535" s="455">
        <f t="shared" ca="1" si="208"/>
        <v>-1608380910501791.8</v>
      </c>
      <c r="J5535" s="455">
        <f t="array" ref="J5535">IFERROR(INDEX('Retirement Calculator'!J:J,MATCH('Isaac 401k'!N5535,'Retirement Calculator'!A:A,0),0),0)</f>
        <v>0</v>
      </c>
      <c r="K5535" s="455">
        <f t="shared" ca="1" si="206"/>
        <v>-6701587127090.7988</v>
      </c>
      <c r="L5535" s="455">
        <f t="shared" ca="1" si="207"/>
        <v>-1615082497628882.5</v>
      </c>
      <c r="M5535" s="471">
        <f t="shared" si="209"/>
        <v>0.05</v>
      </c>
      <c r="N5535" s="475">
        <f t="shared" si="210"/>
        <v>219513</v>
      </c>
    </row>
    <row r="5536" spans="7:14" ht="11.25" customHeight="1" x14ac:dyDescent="0.3">
      <c r="G5536" s="470"/>
      <c r="H5536" s="470">
        <v>5529</v>
      </c>
      <c r="I5536" s="455">
        <f t="shared" ca="1" si="208"/>
        <v>-1615082497628882.5</v>
      </c>
      <c r="J5536" s="455">
        <f t="array" ref="J5536">IFERROR(INDEX('Retirement Calculator'!J:J,MATCH('Isaac 401k'!N5536,'Retirement Calculator'!A:A,0),0),0)</f>
        <v>0</v>
      </c>
      <c r="K5536" s="455">
        <f t="shared" ca="1" si="206"/>
        <v>-6729510406787.0107</v>
      </c>
      <c r="L5536" s="455">
        <f t="shared" ca="1" si="207"/>
        <v>-1621812008035669.5</v>
      </c>
      <c r="M5536" s="471">
        <f t="shared" si="209"/>
        <v>0.05</v>
      </c>
      <c r="N5536" s="475">
        <f t="shared" si="210"/>
        <v>219544</v>
      </c>
    </row>
    <row r="5537" spans="7:14" ht="11.25" customHeight="1" x14ac:dyDescent="0.3">
      <c r="G5537" s="470"/>
      <c r="H5537" s="470">
        <v>5530</v>
      </c>
      <c r="I5537" s="455">
        <f t="shared" ca="1" si="208"/>
        <v>-1621812008035669.5</v>
      </c>
      <c r="J5537" s="455">
        <f t="array" ref="J5537">IFERROR(INDEX('Retirement Calculator'!J:J,MATCH('Isaac 401k'!N5537,'Retirement Calculator'!A:A,0),0),0)</f>
        <v>0</v>
      </c>
      <c r="K5537" s="455">
        <f t="shared" ca="1" si="206"/>
        <v>-6757550033481.9561</v>
      </c>
      <c r="L5537" s="455">
        <f t="shared" ca="1" si="207"/>
        <v>-1628569558069151.5</v>
      </c>
      <c r="M5537" s="471">
        <f t="shared" si="209"/>
        <v>0.05</v>
      </c>
      <c r="N5537" s="475">
        <f t="shared" si="210"/>
        <v>219572</v>
      </c>
    </row>
    <row r="5538" spans="7:14" ht="11.25" customHeight="1" x14ac:dyDescent="0.3">
      <c r="G5538" s="470"/>
      <c r="H5538" s="470">
        <v>5531</v>
      </c>
      <c r="I5538" s="455">
        <f t="shared" ca="1" si="208"/>
        <v>-1628569558069151.5</v>
      </c>
      <c r="J5538" s="455">
        <f t="array" ref="J5538">IFERROR(INDEX('Retirement Calculator'!J:J,MATCH('Isaac 401k'!N5538,'Retirement Calculator'!A:A,0),0),0)</f>
        <v>0</v>
      </c>
      <c r="K5538" s="455">
        <f t="shared" ca="1" si="206"/>
        <v>-6785706491954.7979</v>
      </c>
      <c r="L5538" s="455">
        <f t="shared" ca="1" si="207"/>
        <v>-1635355264561106.3</v>
      </c>
      <c r="M5538" s="471">
        <f t="shared" si="209"/>
        <v>0.05</v>
      </c>
      <c r="N5538" s="475">
        <f t="shared" si="210"/>
        <v>219603</v>
      </c>
    </row>
    <row r="5539" spans="7:14" ht="11.25" customHeight="1" x14ac:dyDescent="0.3">
      <c r="G5539" s="470"/>
      <c r="H5539" s="470">
        <v>5532</v>
      </c>
      <c r="I5539" s="455">
        <f t="shared" ca="1" si="208"/>
        <v>-1635355264561106.3</v>
      </c>
      <c r="J5539" s="455">
        <f t="array" ref="J5539">IFERROR(INDEX('Retirement Calculator'!J:J,MATCH('Isaac 401k'!N5539,'Retirement Calculator'!A:A,0),0),0)</f>
        <v>0</v>
      </c>
      <c r="K5539" s="455">
        <f t="shared" ca="1" si="206"/>
        <v>-6813980269004.6094</v>
      </c>
      <c r="L5539" s="455">
        <f t="shared" ca="1" si="207"/>
        <v>-1642169244830110.8</v>
      </c>
      <c r="M5539" s="471">
        <f t="shared" si="209"/>
        <v>0.05</v>
      </c>
      <c r="N5539" s="475">
        <f t="shared" si="210"/>
        <v>219633</v>
      </c>
    </row>
    <row r="5540" spans="7:14" ht="11.25" customHeight="1" x14ac:dyDescent="0.3">
      <c r="G5540" s="470"/>
      <c r="H5540" s="470">
        <v>5533</v>
      </c>
      <c r="I5540" s="455">
        <f t="shared" ca="1" si="208"/>
        <v>-1642169244830110.8</v>
      </c>
      <c r="J5540" s="455">
        <f t="array" ref="J5540">IFERROR(INDEX('Retirement Calculator'!J:J,MATCH('Isaac 401k'!N5540,'Retirement Calculator'!A:A,0),0),0)</f>
        <v>0</v>
      </c>
      <c r="K5540" s="455">
        <f t="shared" ca="1" si="206"/>
        <v>-6842371853458.7949</v>
      </c>
      <c r="L5540" s="455">
        <f t="shared" ca="1" si="207"/>
        <v>-1649011616683569.5</v>
      </c>
      <c r="M5540" s="471">
        <f t="shared" si="209"/>
        <v>0.05</v>
      </c>
      <c r="N5540" s="475">
        <f t="shared" si="210"/>
        <v>219664</v>
      </c>
    </row>
    <row r="5541" spans="7:14" ht="11.25" customHeight="1" x14ac:dyDescent="0.3">
      <c r="G5541" s="470"/>
      <c r="H5541" s="470">
        <v>5534</v>
      </c>
      <c r="I5541" s="455">
        <f t="shared" ca="1" si="208"/>
        <v>-1649011616683569.5</v>
      </c>
      <c r="J5541" s="455">
        <f t="array" ref="J5541">IFERROR(INDEX('Retirement Calculator'!J:J,MATCH('Isaac 401k'!N5541,'Retirement Calculator'!A:A,0),0),0)</f>
        <v>0</v>
      </c>
      <c r="K5541" s="455">
        <f t="shared" ca="1" si="206"/>
        <v>-6870881736181.5391</v>
      </c>
      <c r="L5541" s="455">
        <f t="shared" ca="1" si="207"/>
        <v>-1655882498419751</v>
      </c>
      <c r="M5541" s="471">
        <f t="shared" si="209"/>
        <v>0.05</v>
      </c>
      <c r="N5541" s="475">
        <f t="shared" si="210"/>
        <v>219694</v>
      </c>
    </row>
    <row r="5542" spans="7:14" ht="11.25" customHeight="1" x14ac:dyDescent="0.3">
      <c r="G5542" s="470"/>
      <c r="H5542" s="470">
        <v>5535</v>
      </c>
      <c r="I5542" s="455">
        <f t="shared" ca="1" si="208"/>
        <v>-1655882498419751</v>
      </c>
      <c r="J5542" s="455">
        <f t="array" ref="J5542">IFERROR(INDEX('Retirement Calculator'!J:J,MATCH('Isaac 401k'!N5542,'Retirement Calculator'!A:A,0),0),0)</f>
        <v>0</v>
      </c>
      <c r="K5542" s="455">
        <f t="shared" ca="1" si="206"/>
        <v>-6899510410082.2959</v>
      </c>
      <c r="L5542" s="455">
        <f t="shared" ca="1" si="207"/>
        <v>-1662782008829833.3</v>
      </c>
      <c r="M5542" s="471">
        <f t="shared" si="209"/>
        <v>0.05</v>
      </c>
      <c r="N5542" s="475">
        <f t="shared" si="210"/>
        <v>219725</v>
      </c>
    </row>
    <row r="5543" spans="7:14" ht="11.25" customHeight="1" x14ac:dyDescent="0.3">
      <c r="G5543" s="470"/>
      <c r="H5543" s="470">
        <v>5536</v>
      </c>
      <c r="I5543" s="455">
        <f t="shared" ca="1" si="208"/>
        <v>-1662782008829833.3</v>
      </c>
      <c r="J5543" s="455">
        <f t="array" ref="J5543">IFERROR(INDEX('Retirement Calculator'!J:J,MATCH('Isaac 401k'!N5543,'Retirement Calculator'!A:A,0),0),0)</f>
        <v>0</v>
      </c>
      <c r="K5543" s="455">
        <f t="shared" ca="1" si="206"/>
        <v>-6928258370124.3047</v>
      </c>
      <c r="L5543" s="455">
        <f t="shared" ca="1" si="207"/>
        <v>-1669710267199957.5</v>
      </c>
      <c r="M5543" s="471">
        <f t="shared" si="209"/>
        <v>0.05</v>
      </c>
      <c r="N5543" s="475">
        <f t="shared" si="210"/>
        <v>219756</v>
      </c>
    </row>
    <row r="5544" spans="7:14" ht="11.25" customHeight="1" x14ac:dyDescent="0.3">
      <c r="G5544" s="470"/>
      <c r="H5544" s="470">
        <v>5537</v>
      </c>
      <c r="I5544" s="455">
        <f t="shared" ca="1" si="208"/>
        <v>-1669710267199957.5</v>
      </c>
      <c r="J5544" s="455">
        <f t="array" ref="J5544">IFERROR(INDEX('Retirement Calculator'!J:J,MATCH('Isaac 401k'!N5544,'Retirement Calculator'!A:A,0),0),0)</f>
        <v>0</v>
      </c>
      <c r="K5544" s="455">
        <f t="shared" ca="1" si="206"/>
        <v>-6957126113333.1563</v>
      </c>
      <c r="L5544" s="455">
        <f t="shared" ca="1" si="207"/>
        <v>-1676667393313290.8</v>
      </c>
      <c r="M5544" s="471">
        <f t="shared" si="209"/>
        <v>0.05</v>
      </c>
      <c r="N5544" s="475">
        <f t="shared" si="210"/>
        <v>219786</v>
      </c>
    </row>
    <row r="5545" spans="7:14" ht="11.25" customHeight="1" x14ac:dyDescent="0.3">
      <c r="G5545" s="470"/>
      <c r="H5545" s="470">
        <v>5538</v>
      </c>
      <c r="I5545" s="455">
        <f t="shared" ca="1" si="208"/>
        <v>-1676667393313290.8</v>
      </c>
      <c r="J5545" s="455">
        <f t="array" ref="J5545">IFERROR(INDEX('Retirement Calculator'!J:J,MATCH('Isaac 401k'!N5545,'Retirement Calculator'!A:A,0),0),0)</f>
        <v>0</v>
      </c>
      <c r="K5545" s="455">
        <f t="shared" ca="1" si="206"/>
        <v>-6986114138805.3779</v>
      </c>
      <c r="L5545" s="455">
        <f t="shared" ca="1" si="207"/>
        <v>-1683653507452096.3</v>
      </c>
      <c r="M5545" s="471">
        <f t="shared" si="209"/>
        <v>0.05</v>
      </c>
      <c r="N5545" s="475">
        <f t="shared" si="210"/>
        <v>219817</v>
      </c>
    </row>
    <row r="5546" spans="7:14" ht="11.25" customHeight="1" x14ac:dyDescent="0.3">
      <c r="G5546" s="470"/>
      <c r="H5546" s="470">
        <v>5539</v>
      </c>
      <c r="I5546" s="455">
        <f t="shared" ca="1" si="208"/>
        <v>-1683653507452096.3</v>
      </c>
      <c r="J5546" s="455">
        <f t="array" ref="J5546">IFERROR(INDEX('Retirement Calculator'!J:J,MATCH('Isaac 401k'!N5546,'Retirement Calculator'!A:A,0),0),0)</f>
        <v>0</v>
      </c>
      <c r="K5546" s="455">
        <f t="shared" ca="1" si="206"/>
        <v>-7015222947717.0674</v>
      </c>
      <c r="L5546" s="455">
        <f t="shared" ca="1" si="207"/>
        <v>-1690668730399813.3</v>
      </c>
      <c r="M5546" s="471">
        <f t="shared" si="209"/>
        <v>0.05</v>
      </c>
      <c r="N5546" s="475">
        <f t="shared" si="210"/>
        <v>219847</v>
      </c>
    </row>
    <row r="5547" spans="7:14" ht="11.25" customHeight="1" x14ac:dyDescent="0.3">
      <c r="G5547" s="470"/>
      <c r="H5547" s="470">
        <v>5540</v>
      </c>
      <c r="I5547" s="455">
        <f t="shared" ca="1" si="208"/>
        <v>-1690668730399813.3</v>
      </c>
      <c r="J5547" s="455">
        <f t="array" ref="J5547">IFERROR(INDEX('Retirement Calculator'!J:J,MATCH('Isaac 401k'!N5547,'Retirement Calculator'!A:A,0),0),0)</f>
        <v>0</v>
      </c>
      <c r="K5547" s="455">
        <f t="shared" ca="1" si="206"/>
        <v>-7044453043332.5547</v>
      </c>
      <c r="L5547" s="455">
        <f t="shared" ca="1" si="207"/>
        <v>-1697713183443145.8</v>
      </c>
      <c r="M5547" s="471">
        <f t="shared" si="209"/>
        <v>0.05</v>
      </c>
      <c r="N5547" s="475">
        <f t="shared" si="210"/>
        <v>219878</v>
      </c>
    </row>
    <row r="5548" spans="7:14" ht="11.25" customHeight="1" x14ac:dyDescent="0.3">
      <c r="G5548" s="470"/>
      <c r="H5548" s="470">
        <v>5541</v>
      </c>
      <c r="I5548" s="455">
        <f t="shared" ca="1" si="208"/>
        <v>-1697713183443145.8</v>
      </c>
      <c r="J5548" s="455">
        <f t="array" ref="J5548">IFERROR(INDEX('Retirement Calculator'!J:J,MATCH('Isaac 401k'!N5548,'Retirement Calculator'!A:A,0),0),0)</f>
        <v>0</v>
      </c>
      <c r="K5548" s="455">
        <f t="shared" ca="1" si="206"/>
        <v>-7073804931013.1074</v>
      </c>
      <c r="L5548" s="455">
        <f t="shared" ca="1" si="207"/>
        <v>-1704786988374158.8</v>
      </c>
      <c r="M5548" s="471">
        <f t="shared" si="209"/>
        <v>0.05</v>
      </c>
      <c r="N5548" s="475">
        <f t="shared" si="210"/>
        <v>219909</v>
      </c>
    </row>
    <row r="5549" spans="7:14" ht="11.25" customHeight="1" x14ac:dyDescent="0.3">
      <c r="G5549" s="470"/>
      <c r="H5549" s="470">
        <v>5542</v>
      </c>
      <c r="I5549" s="455">
        <f t="shared" ca="1" si="208"/>
        <v>-1704786988374158.8</v>
      </c>
      <c r="J5549" s="455">
        <f t="array" ref="J5549">IFERROR(INDEX('Retirement Calculator'!J:J,MATCH('Isaac 401k'!N5549,'Retirement Calculator'!A:A,0),0),0)</f>
        <v>0</v>
      </c>
      <c r="K5549" s="455">
        <f t="shared" ca="1" si="206"/>
        <v>-7103279118225.6611</v>
      </c>
      <c r="L5549" s="455">
        <f t="shared" ca="1" si="207"/>
        <v>-1711890267492384.5</v>
      </c>
      <c r="M5549" s="471">
        <f t="shared" si="209"/>
        <v>0.05</v>
      </c>
      <c r="N5549" s="475">
        <f t="shared" si="210"/>
        <v>219937</v>
      </c>
    </row>
    <row r="5550" spans="7:14" ht="11.25" customHeight="1" x14ac:dyDescent="0.3">
      <c r="G5550" s="470"/>
      <c r="H5550" s="470">
        <v>5543</v>
      </c>
      <c r="I5550" s="455">
        <f t="shared" ca="1" si="208"/>
        <v>-1711890267492384.5</v>
      </c>
      <c r="J5550" s="455">
        <f t="array" ref="J5550">IFERROR(INDEX('Retirement Calculator'!J:J,MATCH('Isaac 401k'!N5550,'Retirement Calculator'!A:A,0),0),0)</f>
        <v>0</v>
      </c>
      <c r="K5550" s="455">
        <f t="shared" ca="1" si="206"/>
        <v>-7132876114551.6016</v>
      </c>
      <c r="L5550" s="455">
        <f t="shared" ca="1" si="207"/>
        <v>-1719023143606936</v>
      </c>
      <c r="M5550" s="471">
        <f t="shared" si="209"/>
        <v>0.05</v>
      </c>
      <c r="N5550" s="475">
        <f t="shared" si="210"/>
        <v>219968</v>
      </c>
    </row>
    <row r="5551" spans="7:14" ht="11.25" customHeight="1" x14ac:dyDescent="0.3">
      <c r="G5551" s="470"/>
      <c r="H5551" s="470">
        <v>5544</v>
      </c>
      <c r="I5551" s="455">
        <f t="shared" ca="1" si="208"/>
        <v>-1719023143606936</v>
      </c>
      <c r="J5551" s="455">
        <f t="array" ref="J5551">IFERROR(INDEX('Retirement Calculator'!J:J,MATCH('Isaac 401k'!N5551,'Retirement Calculator'!A:A,0),0),0)</f>
        <v>0</v>
      </c>
      <c r="K5551" s="455">
        <f t="shared" ca="1" si="206"/>
        <v>-7162596431695.5664</v>
      </c>
      <c r="L5551" s="455">
        <f t="shared" ca="1" si="207"/>
        <v>-1726185740038631.5</v>
      </c>
      <c r="M5551" s="471">
        <f t="shared" si="209"/>
        <v>0.05</v>
      </c>
      <c r="N5551" s="475">
        <f t="shared" si="210"/>
        <v>219998</v>
      </c>
    </row>
    <row r="5552" spans="7:14" ht="11.25" customHeight="1" x14ac:dyDescent="0.3">
      <c r="G5552" s="470"/>
      <c r="H5552" s="470">
        <v>5545</v>
      </c>
      <c r="I5552" s="455">
        <f t="shared" ca="1" si="208"/>
        <v>-1726185740038631.5</v>
      </c>
      <c r="J5552" s="455">
        <f t="array" ref="J5552">IFERROR(INDEX('Retirement Calculator'!J:J,MATCH('Isaac 401k'!N5552,'Retirement Calculator'!A:A,0),0),0)</f>
        <v>0</v>
      </c>
      <c r="K5552" s="455">
        <f t="shared" ca="1" si="206"/>
        <v>-7192440583494.2979</v>
      </c>
      <c r="L5552" s="455">
        <f t="shared" ca="1" si="207"/>
        <v>-1733378180622125.8</v>
      </c>
      <c r="M5552" s="471">
        <f t="shared" si="209"/>
        <v>0.05</v>
      </c>
      <c r="N5552" s="475">
        <f t="shared" si="210"/>
        <v>220029</v>
      </c>
    </row>
    <row r="5553" spans="7:14" ht="11.25" customHeight="1" x14ac:dyDescent="0.3">
      <c r="G5553" s="470"/>
      <c r="H5553" s="470">
        <v>5546</v>
      </c>
      <c r="I5553" s="455">
        <f t="shared" ca="1" si="208"/>
        <v>-1733378180622125.8</v>
      </c>
      <c r="J5553" s="455">
        <f t="array" ref="J5553">IFERROR(INDEX('Retirement Calculator'!J:J,MATCH('Isaac 401k'!N5553,'Retirement Calculator'!A:A,0),0),0)</f>
        <v>0</v>
      </c>
      <c r="K5553" s="455">
        <f t="shared" ca="1" si="206"/>
        <v>-7222409085925.5234</v>
      </c>
      <c r="L5553" s="455">
        <f t="shared" ca="1" si="207"/>
        <v>-1740600589708051.3</v>
      </c>
      <c r="M5553" s="471">
        <f t="shared" si="209"/>
        <v>0.05</v>
      </c>
      <c r="N5553" s="475">
        <f t="shared" si="210"/>
        <v>220059</v>
      </c>
    </row>
    <row r="5554" spans="7:14" ht="11.25" customHeight="1" x14ac:dyDescent="0.3">
      <c r="G5554" s="470"/>
      <c r="H5554" s="470">
        <v>5547</v>
      </c>
      <c r="I5554" s="455">
        <f t="shared" ca="1" si="208"/>
        <v>-1740600589708051.3</v>
      </c>
      <c r="J5554" s="455">
        <f t="array" ref="J5554">IFERROR(INDEX('Retirement Calculator'!J:J,MATCH('Isaac 401k'!N5554,'Retirement Calculator'!A:A,0),0),0)</f>
        <v>0</v>
      </c>
      <c r="K5554" s="455">
        <f t="shared" ca="1" si="206"/>
        <v>-7252502457116.8799</v>
      </c>
      <c r="L5554" s="455">
        <f t="shared" ca="1" si="207"/>
        <v>-1747853092165168.3</v>
      </c>
      <c r="M5554" s="471">
        <f t="shared" si="209"/>
        <v>0.05</v>
      </c>
      <c r="N5554" s="475">
        <f t="shared" si="210"/>
        <v>220090</v>
      </c>
    </row>
    <row r="5555" spans="7:14" ht="11.25" customHeight="1" x14ac:dyDescent="0.3">
      <c r="G5555" s="470"/>
      <c r="H5555" s="470">
        <v>5548</v>
      </c>
      <c r="I5555" s="455">
        <f t="shared" ca="1" si="208"/>
        <v>-1747853092165168.3</v>
      </c>
      <c r="J5555" s="455">
        <f t="array" ref="J5555">IFERROR(INDEX('Retirement Calculator'!J:J,MATCH('Isaac 401k'!N5555,'Retirement Calculator'!A:A,0),0),0)</f>
        <v>0</v>
      </c>
      <c r="K5555" s="455">
        <f t="shared" ca="1" si="206"/>
        <v>-7282721217354.8672</v>
      </c>
      <c r="L5555" s="455">
        <f t="shared" ca="1" si="207"/>
        <v>-1755135813382523</v>
      </c>
      <c r="M5555" s="471">
        <f t="shared" si="209"/>
        <v>0.05</v>
      </c>
      <c r="N5555" s="475">
        <f t="shared" si="210"/>
        <v>220121</v>
      </c>
    </row>
    <row r="5556" spans="7:14" ht="11.25" customHeight="1" x14ac:dyDescent="0.3">
      <c r="G5556" s="470"/>
      <c r="H5556" s="470">
        <v>5549</v>
      </c>
      <c r="I5556" s="455">
        <f t="shared" ca="1" si="208"/>
        <v>-1755135813382523</v>
      </c>
      <c r="J5556" s="455">
        <f t="array" ref="J5556">IFERROR(INDEX('Retirement Calculator'!J:J,MATCH('Isaac 401k'!N5556,'Retirement Calculator'!A:A,0),0),0)</f>
        <v>0</v>
      </c>
      <c r="K5556" s="455">
        <f t="shared" ca="1" si="206"/>
        <v>-7313065889093.8447</v>
      </c>
      <c r="L5556" s="455">
        <f t="shared" ca="1" si="207"/>
        <v>-1762448879271616.8</v>
      </c>
      <c r="M5556" s="471">
        <f t="shared" si="209"/>
        <v>0.05</v>
      </c>
      <c r="N5556" s="475">
        <f t="shared" si="210"/>
        <v>220151</v>
      </c>
    </row>
    <row r="5557" spans="7:14" ht="11.25" customHeight="1" x14ac:dyDescent="0.3">
      <c r="G5557" s="470"/>
      <c r="H5557" s="470">
        <v>5550</v>
      </c>
      <c r="I5557" s="455">
        <f t="shared" ca="1" si="208"/>
        <v>-1762448879271616.8</v>
      </c>
      <c r="J5557" s="455">
        <f t="array" ref="J5557">IFERROR(INDEX('Retirement Calculator'!J:J,MATCH('Isaac 401k'!N5557,'Retirement Calculator'!A:A,0),0),0)</f>
        <v>0</v>
      </c>
      <c r="K5557" s="455">
        <f t="shared" ca="1" si="206"/>
        <v>-7343536996965.0693</v>
      </c>
      <c r="L5557" s="455">
        <f t="shared" ca="1" si="207"/>
        <v>-1769792416268581.8</v>
      </c>
      <c r="M5557" s="471">
        <f t="shared" si="209"/>
        <v>0.05</v>
      </c>
      <c r="N5557" s="475">
        <f t="shared" si="210"/>
        <v>220182</v>
      </c>
    </row>
    <row r="5558" spans="7:14" ht="11.25" customHeight="1" x14ac:dyDescent="0.3">
      <c r="G5558" s="470"/>
      <c r="H5558" s="470">
        <v>5551</v>
      </c>
      <c r="I5558" s="455">
        <f t="shared" ca="1" si="208"/>
        <v>-1769792416268581.8</v>
      </c>
      <c r="J5558" s="455">
        <f t="array" ref="J5558">IFERROR(INDEX('Retirement Calculator'!J:J,MATCH('Isaac 401k'!N5558,'Retirement Calculator'!A:A,0),0),0)</f>
        <v>0</v>
      </c>
      <c r="K5558" s="455">
        <f t="shared" ca="1" si="206"/>
        <v>-7374135067785.7559</v>
      </c>
      <c r="L5558" s="455">
        <f t="shared" ca="1" si="207"/>
        <v>-1777166551336367.5</v>
      </c>
      <c r="M5558" s="471">
        <f t="shared" si="209"/>
        <v>0.05</v>
      </c>
      <c r="N5558" s="475">
        <f t="shared" si="210"/>
        <v>220212</v>
      </c>
    </row>
    <row r="5559" spans="7:14" ht="11.25" customHeight="1" x14ac:dyDescent="0.3">
      <c r="G5559" s="470"/>
      <c r="H5559" s="470">
        <v>5552</v>
      </c>
      <c r="I5559" s="455">
        <f t="shared" ca="1" si="208"/>
        <v>-1777166551336367.5</v>
      </c>
      <c r="J5559" s="455">
        <f t="array" ref="J5559">IFERROR(INDEX('Retirement Calculator'!J:J,MATCH('Isaac 401k'!N5559,'Retirement Calculator'!A:A,0),0),0)</f>
        <v>0</v>
      </c>
      <c r="K5559" s="455">
        <f t="shared" ca="1" si="206"/>
        <v>-7404860630568.1963</v>
      </c>
      <c r="L5559" s="455">
        <f t="shared" ca="1" si="207"/>
        <v>-1784571411966935.8</v>
      </c>
      <c r="M5559" s="471">
        <f t="shared" si="209"/>
        <v>0.05</v>
      </c>
      <c r="N5559" s="475">
        <f t="shared" si="210"/>
        <v>220243</v>
      </c>
    </row>
    <row r="5560" spans="7:14" ht="11.25" customHeight="1" x14ac:dyDescent="0.3">
      <c r="G5560" s="470"/>
      <c r="H5560" s="470">
        <v>5553</v>
      </c>
      <c r="I5560" s="455">
        <f t="shared" ca="1" si="208"/>
        <v>-1784571411966935.8</v>
      </c>
      <c r="J5560" s="455">
        <f t="array" ref="J5560">IFERROR(INDEX('Retirement Calculator'!J:J,MATCH('Isaac 401k'!N5560,'Retirement Calculator'!A:A,0),0),0)</f>
        <v>0</v>
      </c>
      <c r="K5560" s="455">
        <f t="shared" ca="1" si="206"/>
        <v>-7435714216528.8984</v>
      </c>
      <c r="L5560" s="455">
        <f t="shared" ca="1" si="207"/>
        <v>-1792007126183464.8</v>
      </c>
      <c r="M5560" s="471">
        <f t="shared" si="209"/>
        <v>0.05</v>
      </c>
      <c r="N5560" s="475">
        <f t="shared" si="210"/>
        <v>220274</v>
      </c>
    </row>
    <row r="5561" spans="7:14" ht="11.25" customHeight="1" x14ac:dyDescent="0.3">
      <c r="G5561" s="470"/>
      <c r="H5561" s="470">
        <v>5554</v>
      </c>
      <c r="I5561" s="455">
        <f t="shared" ca="1" si="208"/>
        <v>-1792007126183464.8</v>
      </c>
      <c r="J5561" s="455">
        <f t="array" ref="J5561">IFERROR(INDEX('Retirement Calculator'!J:J,MATCH('Isaac 401k'!N5561,'Retirement Calculator'!A:A,0),0),0)</f>
        <v>0</v>
      </c>
      <c r="K5561" s="455">
        <f t="shared" ca="1" si="206"/>
        <v>-7466696359097.7695</v>
      </c>
      <c r="L5561" s="455">
        <f t="shared" ca="1" si="207"/>
        <v>-1799473822542562.5</v>
      </c>
      <c r="M5561" s="471">
        <f t="shared" si="209"/>
        <v>0.05</v>
      </c>
      <c r="N5561" s="475">
        <f t="shared" si="210"/>
        <v>220302</v>
      </c>
    </row>
    <row r="5562" spans="7:14" ht="11.25" customHeight="1" x14ac:dyDescent="0.3">
      <c r="G5562" s="470"/>
      <c r="H5562" s="470">
        <v>5555</v>
      </c>
      <c r="I5562" s="455">
        <f t="shared" ca="1" si="208"/>
        <v>-1799473822542562.5</v>
      </c>
      <c r="J5562" s="455">
        <f t="array" ref="J5562">IFERROR(INDEX('Retirement Calculator'!J:J,MATCH('Isaac 401k'!N5562,'Retirement Calculator'!A:A,0),0),0)</f>
        <v>0</v>
      </c>
      <c r="K5562" s="455">
        <f t="shared" ca="1" si="206"/>
        <v>-7497807593927.3447</v>
      </c>
      <c r="L5562" s="455">
        <f t="shared" ca="1" si="207"/>
        <v>-1806971630136489.8</v>
      </c>
      <c r="M5562" s="471">
        <f t="shared" si="209"/>
        <v>0.05</v>
      </c>
      <c r="N5562" s="475">
        <f t="shared" si="210"/>
        <v>220333</v>
      </c>
    </row>
    <row r="5563" spans="7:14" ht="11.25" customHeight="1" x14ac:dyDescent="0.3">
      <c r="G5563" s="470"/>
      <c r="H5563" s="470">
        <v>5556</v>
      </c>
      <c r="I5563" s="455">
        <f t="shared" ca="1" si="208"/>
        <v>-1806971630136489.8</v>
      </c>
      <c r="J5563" s="455">
        <f t="array" ref="J5563">IFERROR(INDEX('Retirement Calculator'!J:J,MATCH('Isaac 401k'!N5563,'Retirement Calculator'!A:A,0),0),0)</f>
        <v>0</v>
      </c>
      <c r="K5563" s="455">
        <f t="shared" ca="1" si="206"/>
        <v>-7529048458902.04</v>
      </c>
      <c r="L5563" s="455">
        <f t="shared" ca="1" si="207"/>
        <v>-1814500678595391.8</v>
      </c>
      <c r="M5563" s="471">
        <f t="shared" si="209"/>
        <v>0.05</v>
      </c>
      <c r="N5563" s="475">
        <f t="shared" si="210"/>
        <v>220363</v>
      </c>
    </row>
    <row r="5564" spans="7:14" ht="11.25" customHeight="1" x14ac:dyDescent="0.3">
      <c r="G5564" s="470"/>
      <c r="H5564" s="470">
        <v>5557</v>
      </c>
      <c r="I5564" s="455">
        <f t="shared" ca="1" si="208"/>
        <v>-1814500678595391.8</v>
      </c>
      <c r="J5564" s="455">
        <f t="array" ref="J5564">IFERROR(INDEX('Retirement Calculator'!J:J,MATCH('Isaac 401k'!N5564,'Retirement Calculator'!A:A,0),0),0)</f>
        <v>0</v>
      </c>
      <c r="K5564" s="455">
        <f t="shared" ca="1" si="206"/>
        <v>-7560419494147.4648</v>
      </c>
      <c r="L5564" s="455">
        <f t="shared" ca="1" si="207"/>
        <v>-1822061098089539.3</v>
      </c>
      <c r="M5564" s="471">
        <f t="shared" si="209"/>
        <v>0.05</v>
      </c>
      <c r="N5564" s="475">
        <f t="shared" si="210"/>
        <v>220394</v>
      </c>
    </row>
    <row r="5565" spans="7:14" ht="11.25" customHeight="1" x14ac:dyDescent="0.3">
      <c r="G5565" s="470"/>
      <c r="H5565" s="470">
        <v>5558</v>
      </c>
      <c r="I5565" s="455">
        <f t="shared" ca="1" si="208"/>
        <v>-1822061098089539.3</v>
      </c>
      <c r="J5565" s="455">
        <f t="array" ref="J5565">IFERROR(INDEX('Retirement Calculator'!J:J,MATCH('Isaac 401k'!N5565,'Retirement Calculator'!A:A,0),0),0)</f>
        <v>0</v>
      </c>
      <c r="K5565" s="455">
        <f t="shared" ca="1" si="206"/>
        <v>-7591921242039.748</v>
      </c>
      <c r="L5565" s="455">
        <f t="shared" ca="1" si="207"/>
        <v>-1829653019331579</v>
      </c>
      <c r="M5565" s="471">
        <f t="shared" si="209"/>
        <v>0.05</v>
      </c>
      <c r="N5565" s="475">
        <f t="shared" si="210"/>
        <v>220424</v>
      </c>
    </row>
    <row r="5566" spans="7:14" ht="11.25" customHeight="1" x14ac:dyDescent="0.3">
      <c r="G5566" s="470"/>
      <c r="H5566" s="470">
        <v>5559</v>
      </c>
      <c r="I5566" s="455">
        <f t="shared" ca="1" si="208"/>
        <v>-1829653019331579</v>
      </c>
      <c r="J5566" s="455">
        <f t="array" ref="J5566">IFERROR(INDEX('Retirement Calculator'!J:J,MATCH('Isaac 401k'!N5566,'Retirement Calculator'!A:A,0),0),0)</f>
        <v>0</v>
      </c>
      <c r="K5566" s="455">
        <f t="shared" ca="1" si="206"/>
        <v>-7623554247214.9111</v>
      </c>
      <c r="L5566" s="455">
        <f t="shared" ca="1" si="207"/>
        <v>-1837276573578794</v>
      </c>
      <c r="M5566" s="471">
        <f t="shared" si="209"/>
        <v>0.05</v>
      </c>
      <c r="N5566" s="475">
        <f t="shared" si="210"/>
        <v>220455</v>
      </c>
    </row>
    <row r="5567" spans="7:14" ht="11.25" customHeight="1" x14ac:dyDescent="0.3">
      <c r="G5567" s="470"/>
      <c r="H5567" s="470">
        <v>5560</v>
      </c>
      <c r="I5567" s="455">
        <f t="shared" ca="1" si="208"/>
        <v>-1837276573578794</v>
      </c>
      <c r="J5567" s="455">
        <f t="array" ref="J5567">IFERROR(INDEX('Retirement Calculator'!J:J,MATCH('Isaac 401k'!N5567,'Retirement Calculator'!A:A,0),0),0)</f>
        <v>0</v>
      </c>
      <c r="K5567" s="455">
        <f t="shared" ca="1" si="206"/>
        <v>-7655319056578.3086</v>
      </c>
      <c r="L5567" s="455">
        <f t="shared" ca="1" si="207"/>
        <v>-1844931892635372.3</v>
      </c>
      <c r="M5567" s="471">
        <f t="shared" si="209"/>
        <v>0.05</v>
      </c>
      <c r="N5567" s="475">
        <f t="shared" si="210"/>
        <v>220486</v>
      </c>
    </row>
    <row r="5568" spans="7:14" ht="11.25" customHeight="1" x14ac:dyDescent="0.3">
      <c r="G5568" s="470"/>
      <c r="H5568" s="470">
        <v>5561</v>
      </c>
      <c r="I5568" s="455">
        <f t="shared" ca="1" si="208"/>
        <v>-1844931892635372.3</v>
      </c>
      <c r="J5568" s="455">
        <f t="array" ref="J5568">IFERROR(INDEX('Retirement Calculator'!J:J,MATCH('Isaac 401k'!N5568,'Retirement Calculator'!A:A,0),0),0)</f>
        <v>0</v>
      </c>
      <c r="K5568" s="455">
        <f t="shared" ca="1" si="206"/>
        <v>-7687216219314.0508</v>
      </c>
      <c r="L5568" s="455">
        <f t="shared" ca="1" si="207"/>
        <v>-1852619108854686.3</v>
      </c>
      <c r="M5568" s="471">
        <f t="shared" si="209"/>
        <v>0.05</v>
      </c>
      <c r="N5568" s="475">
        <f t="shared" si="210"/>
        <v>220516</v>
      </c>
    </row>
    <row r="5569" spans="7:14" ht="11.25" customHeight="1" x14ac:dyDescent="0.3">
      <c r="G5569" s="470"/>
      <c r="H5569" s="470">
        <v>5562</v>
      </c>
      <c r="I5569" s="455">
        <f t="shared" ca="1" si="208"/>
        <v>-1852619108854686.3</v>
      </c>
      <c r="J5569" s="455">
        <f t="array" ref="J5569">IFERROR(INDEX('Retirement Calculator'!J:J,MATCH('Isaac 401k'!N5569,'Retirement Calculator'!A:A,0),0),0)</f>
        <v>0</v>
      </c>
      <c r="K5569" s="455">
        <f t="shared" ca="1" si="206"/>
        <v>-7719246286894.5273</v>
      </c>
      <c r="L5569" s="455">
        <f t="shared" ca="1" si="207"/>
        <v>-1860338355141580.8</v>
      </c>
      <c r="M5569" s="471">
        <f t="shared" si="209"/>
        <v>0.05</v>
      </c>
      <c r="N5569" s="475">
        <f t="shared" si="210"/>
        <v>220547</v>
      </c>
    </row>
    <row r="5570" spans="7:14" ht="11.25" customHeight="1" x14ac:dyDescent="0.3">
      <c r="G5570" s="470"/>
      <c r="H5570" s="470">
        <v>5563</v>
      </c>
      <c r="I5570" s="455">
        <f t="shared" ca="1" si="208"/>
        <v>-1860338355141580.8</v>
      </c>
      <c r="J5570" s="455">
        <f t="array" ref="J5570">IFERROR(INDEX('Retirement Calculator'!J:J,MATCH('Isaac 401k'!N5570,'Retirement Calculator'!A:A,0),0),0)</f>
        <v>0</v>
      </c>
      <c r="K5570" s="455">
        <f t="shared" ca="1" si="206"/>
        <v>-7751409813089.9199</v>
      </c>
      <c r="L5570" s="455">
        <f t="shared" ca="1" si="207"/>
        <v>-1868089764954670.8</v>
      </c>
      <c r="M5570" s="471">
        <f t="shared" si="209"/>
        <v>0.05</v>
      </c>
      <c r="N5570" s="475">
        <f t="shared" si="210"/>
        <v>220577</v>
      </c>
    </row>
    <row r="5571" spans="7:14" ht="11.25" customHeight="1" x14ac:dyDescent="0.3">
      <c r="G5571" s="470"/>
      <c r="H5571" s="470">
        <v>5564</v>
      </c>
      <c r="I5571" s="455">
        <f t="shared" ca="1" si="208"/>
        <v>-1868089764954670.8</v>
      </c>
      <c r="J5571" s="455">
        <f t="array" ref="J5571">IFERROR(INDEX('Retirement Calculator'!J:J,MATCH('Isaac 401k'!N5571,'Retirement Calculator'!A:A,0),0),0)</f>
        <v>0</v>
      </c>
      <c r="K5571" s="455">
        <f t="shared" ca="1" si="206"/>
        <v>-7783707353977.7939</v>
      </c>
      <c r="L5571" s="455">
        <f t="shared" ca="1" si="207"/>
        <v>-1875873472308648.5</v>
      </c>
      <c r="M5571" s="471">
        <f t="shared" si="209"/>
        <v>0.05</v>
      </c>
      <c r="N5571" s="475">
        <f t="shared" si="210"/>
        <v>220608</v>
      </c>
    </row>
    <row r="5572" spans="7:14" ht="11.25" customHeight="1" x14ac:dyDescent="0.3">
      <c r="G5572" s="470"/>
      <c r="H5572" s="470">
        <v>5565</v>
      </c>
      <c r="I5572" s="455">
        <f t="shared" ca="1" si="208"/>
        <v>-1875873472308648.5</v>
      </c>
      <c r="J5572" s="455">
        <f t="array" ref="J5572">IFERROR(INDEX('Retirement Calculator'!J:J,MATCH('Isaac 401k'!N5572,'Retirement Calculator'!A:A,0),0),0)</f>
        <v>0</v>
      </c>
      <c r="K5572" s="455">
        <f t="shared" ca="1" si="206"/>
        <v>-7816139467952.7021</v>
      </c>
      <c r="L5572" s="455">
        <f t="shared" ca="1" si="207"/>
        <v>-1883689611776601.3</v>
      </c>
      <c r="M5572" s="471">
        <f t="shared" si="209"/>
        <v>0.05</v>
      </c>
      <c r="N5572" s="475">
        <f t="shared" si="210"/>
        <v>220639</v>
      </c>
    </row>
    <row r="5573" spans="7:14" ht="11.25" customHeight="1" x14ac:dyDescent="0.3">
      <c r="G5573" s="470"/>
      <c r="H5573" s="470">
        <v>5566</v>
      </c>
      <c r="I5573" s="455">
        <f t="shared" ca="1" si="208"/>
        <v>-1883689611776601.3</v>
      </c>
      <c r="J5573" s="455">
        <f t="array" ref="J5573">IFERROR(INDEX('Retirement Calculator'!J:J,MATCH('Isaac 401k'!N5573,'Retirement Calculator'!A:A,0),0),0)</f>
        <v>0</v>
      </c>
      <c r="K5573" s="455">
        <f t="shared" ca="1" si="206"/>
        <v>-7848706715735.8389</v>
      </c>
      <c r="L5573" s="455">
        <f t="shared" ca="1" si="207"/>
        <v>-1891538318492337</v>
      </c>
      <c r="M5573" s="471">
        <f t="shared" si="209"/>
        <v>0.05</v>
      </c>
      <c r="N5573" s="475">
        <f t="shared" si="210"/>
        <v>220668</v>
      </c>
    </row>
    <row r="5574" spans="7:14" ht="11.25" customHeight="1" x14ac:dyDescent="0.3">
      <c r="G5574" s="470"/>
      <c r="H5574" s="470">
        <v>5567</v>
      </c>
      <c r="I5574" s="455">
        <f t="shared" ca="1" si="208"/>
        <v>-1891538318492337</v>
      </c>
      <c r="J5574" s="455">
        <f t="array" ref="J5574">IFERROR(INDEX('Retirement Calculator'!J:J,MATCH('Isaac 401k'!N5574,'Retirement Calculator'!A:A,0),0),0)</f>
        <v>0</v>
      </c>
      <c r="K5574" s="455">
        <f t="shared" ca="1" si="206"/>
        <v>-7881409660384.7373</v>
      </c>
      <c r="L5574" s="455">
        <f t="shared" ca="1" si="207"/>
        <v>-1899419728152721.8</v>
      </c>
      <c r="M5574" s="471">
        <f t="shared" si="209"/>
        <v>0.05</v>
      </c>
      <c r="N5574" s="475">
        <f t="shared" si="210"/>
        <v>220699</v>
      </c>
    </row>
    <row r="5575" spans="7:14" ht="11.25" customHeight="1" x14ac:dyDescent="0.3">
      <c r="G5575" s="470"/>
      <c r="H5575" s="470">
        <v>5568</v>
      </c>
      <c r="I5575" s="455">
        <f t="shared" ca="1" si="208"/>
        <v>-1899419728152721.8</v>
      </c>
      <c r="J5575" s="455">
        <f t="array" ref="J5575">IFERROR(INDEX('Retirement Calculator'!J:J,MATCH('Isaac 401k'!N5575,'Retirement Calculator'!A:A,0),0),0)</f>
        <v>0</v>
      </c>
      <c r="K5575" s="455">
        <f t="shared" ca="1" si="206"/>
        <v>-7914248867303.0059</v>
      </c>
      <c r="L5575" s="455">
        <f t="shared" ca="1" si="207"/>
        <v>-1907333977020024.8</v>
      </c>
      <c r="M5575" s="471">
        <f t="shared" si="209"/>
        <v>0.05</v>
      </c>
      <c r="N5575" s="475">
        <f t="shared" si="210"/>
        <v>220729</v>
      </c>
    </row>
    <row r="5576" spans="7:14" ht="11.25" customHeight="1" x14ac:dyDescent="0.3">
      <c r="G5576" s="470"/>
      <c r="H5576" s="470">
        <v>5569</v>
      </c>
      <c r="I5576" s="455">
        <f t="shared" ca="1" si="208"/>
        <v>-1907333977020024.8</v>
      </c>
      <c r="J5576" s="455">
        <f t="array" ref="J5576">IFERROR(INDEX('Retirement Calculator'!J:J,MATCH('Isaac 401k'!N5576,'Retirement Calculator'!A:A,0),0),0)</f>
        <v>0</v>
      </c>
      <c r="K5576" s="455">
        <f t="shared" ca="1" si="206"/>
        <v>-7947224904250.1045</v>
      </c>
      <c r="L5576" s="455">
        <f t="shared" ca="1" si="207"/>
        <v>-1915281201924274.8</v>
      </c>
      <c r="M5576" s="471">
        <f t="shared" si="209"/>
        <v>0.05</v>
      </c>
      <c r="N5576" s="475">
        <f t="shared" si="210"/>
        <v>220760</v>
      </c>
    </row>
    <row r="5577" spans="7:14" ht="11.25" customHeight="1" x14ac:dyDescent="0.3">
      <c r="G5577" s="470"/>
      <c r="H5577" s="470">
        <v>5570</v>
      </c>
      <c r="I5577" s="455">
        <f t="shared" ca="1" si="208"/>
        <v>-1915281201924274.8</v>
      </c>
      <c r="J5577" s="455">
        <f t="array" ref="J5577">IFERROR(INDEX('Retirement Calculator'!J:J,MATCH('Isaac 401k'!N5577,'Retirement Calculator'!A:A,0),0),0)</f>
        <v>0</v>
      </c>
      <c r="K5577" s="455">
        <f t="shared" ca="1" si="206"/>
        <v>-7980338341351.1455</v>
      </c>
      <c r="L5577" s="455">
        <f t="shared" ca="1" si="207"/>
        <v>-1923261540265626</v>
      </c>
      <c r="M5577" s="471">
        <f t="shared" si="209"/>
        <v>0.05</v>
      </c>
      <c r="N5577" s="475">
        <f t="shared" si="210"/>
        <v>220790</v>
      </c>
    </row>
    <row r="5578" spans="7:14" ht="11.25" customHeight="1" x14ac:dyDescent="0.3">
      <c r="G5578" s="470"/>
      <c r="H5578" s="470">
        <v>5571</v>
      </c>
      <c r="I5578" s="455">
        <f t="shared" ca="1" si="208"/>
        <v>-1923261540265626</v>
      </c>
      <c r="J5578" s="455">
        <f t="array" ref="J5578">IFERROR(INDEX('Retirement Calculator'!J:J,MATCH('Isaac 401k'!N5578,'Retirement Calculator'!A:A,0),0),0)</f>
        <v>0</v>
      </c>
      <c r="K5578" s="455">
        <f t="shared" ca="1" si="206"/>
        <v>-8013589751106.7764</v>
      </c>
      <c r="L5578" s="455">
        <f t="shared" ca="1" si="207"/>
        <v>-1931275130016732.8</v>
      </c>
      <c r="M5578" s="471">
        <f t="shared" si="209"/>
        <v>0.05</v>
      </c>
      <c r="N5578" s="475">
        <f t="shared" si="210"/>
        <v>220821</v>
      </c>
    </row>
    <row r="5579" spans="7:14" ht="11.25" customHeight="1" x14ac:dyDescent="0.3">
      <c r="G5579" s="470"/>
      <c r="H5579" s="470">
        <v>5572</v>
      </c>
      <c r="I5579" s="455">
        <f t="shared" ca="1" si="208"/>
        <v>-1931275130016732.8</v>
      </c>
      <c r="J5579" s="455">
        <f t="array" ref="J5579">IFERROR(INDEX('Retirement Calculator'!J:J,MATCH('Isaac 401k'!N5579,'Retirement Calculator'!A:A,0),0),0)</f>
        <v>0</v>
      </c>
      <c r="K5579" s="455">
        <f t="shared" ca="1" si="206"/>
        <v>-8046979708403.0527</v>
      </c>
      <c r="L5579" s="455">
        <f t="shared" ca="1" si="207"/>
        <v>-1939322109725135.8</v>
      </c>
      <c r="M5579" s="471">
        <f t="shared" si="209"/>
        <v>0.05</v>
      </c>
      <c r="N5579" s="475">
        <f t="shared" si="210"/>
        <v>220852</v>
      </c>
    </row>
    <row r="5580" spans="7:14" ht="11.25" customHeight="1" x14ac:dyDescent="0.3">
      <c r="G5580" s="470"/>
      <c r="H5580" s="470">
        <v>5573</v>
      </c>
      <c r="I5580" s="455">
        <f t="shared" ca="1" si="208"/>
        <v>-1939322109725135.8</v>
      </c>
      <c r="J5580" s="455">
        <f t="array" ref="J5580">IFERROR(INDEX('Retirement Calculator'!J:J,MATCH('Isaac 401k'!N5580,'Retirement Calculator'!A:A,0),0),0)</f>
        <v>0</v>
      </c>
      <c r="K5580" s="455">
        <f t="shared" ca="1" si="206"/>
        <v>-8080508790521.3975</v>
      </c>
      <c r="L5580" s="455">
        <f t="shared" ca="1" si="207"/>
        <v>-1947402618515657.3</v>
      </c>
      <c r="M5580" s="471">
        <f t="shared" si="209"/>
        <v>0.05</v>
      </c>
      <c r="N5580" s="475">
        <f t="shared" si="210"/>
        <v>220882</v>
      </c>
    </row>
    <row r="5581" spans="7:14" ht="11.25" customHeight="1" x14ac:dyDescent="0.3">
      <c r="G5581" s="470"/>
      <c r="H5581" s="470">
        <v>5574</v>
      </c>
      <c r="I5581" s="455">
        <f t="shared" ca="1" si="208"/>
        <v>-1947402618515657.3</v>
      </c>
      <c r="J5581" s="455">
        <f t="array" ref="J5581">IFERROR(INDEX('Retirement Calculator'!J:J,MATCH('Isaac 401k'!N5581,'Retirement Calculator'!A:A,0),0),0)</f>
        <v>0</v>
      </c>
      <c r="K5581" s="455">
        <f t="shared" ca="1" si="206"/>
        <v>-8114177577148.5713</v>
      </c>
      <c r="L5581" s="455">
        <f t="shared" ca="1" si="207"/>
        <v>-1955516796092805.8</v>
      </c>
      <c r="M5581" s="471">
        <f t="shared" si="209"/>
        <v>0.05</v>
      </c>
      <c r="N5581" s="475">
        <f t="shared" si="210"/>
        <v>220913</v>
      </c>
    </row>
    <row r="5582" spans="7:14" ht="11.25" customHeight="1" x14ac:dyDescent="0.3">
      <c r="G5582" s="470"/>
      <c r="H5582" s="470">
        <v>5575</v>
      </c>
      <c r="I5582" s="455">
        <f t="shared" ca="1" si="208"/>
        <v>-1955516796092805.8</v>
      </c>
      <c r="J5582" s="455">
        <f t="array" ref="J5582">IFERROR(INDEX('Retirement Calculator'!J:J,MATCH('Isaac 401k'!N5582,'Retirement Calculator'!A:A,0),0),0)</f>
        <v>0</v>
      </c>
      <c r="K5582" s="455">
        <f t="shared" ca="1" si="206"/>
        <v>-8147986650386.6904</v>
      </c>
      <c r="L5582" s="455">
        <f t="shared" ca="1" si="207"/>
        <v>-1963664782743192.5</v>
      </c>
      <c r="M5582" s="471">
        <f t="shared" si="209"/>
        <v>0.05</v>
      </c>
      <c r="N5582" s="475">
        <f t="shared" si="210"/>
        <v>220943</v>
      </c>
    </row>
    <row r="5583" spans="7:14" ht="11.25" customHeight="1" x14ac:dyDescent="0.3">
      <c r="G5583" s="470"/>
      <c r="H5583" s="470">
        <v>5576</v>
      </c>
      <c r="I5583" s="455">
        <f t="shared" ca="1" si="208"/>
        <v>-1963664782743192.5</v>
      </c>
      <c r="J5583" s="455">
        <f t="array" ref="J5583">IFERROR(INDEX('Retirement Calculator'!J:J,MATCH('Isaac 401k'!N5583,'Retirement Calculator'!A:A,0),0),0)</f>
        <v>0</v>
      </c>
      <c r="K5583" s="455">
        <f t="shared" ca="1" si="206"/>
        <v>-8181936594763.3008</v>
      </c>
      <c r="L5583" s="455">
        <f t="shared" ca="1" si="207"/>
        <v>-1971846719337955.8</v>
      </c>
      <c r="M5583" s="471">
        <f t="shared" si="209"/>
        <v>0.05</v>
      </c>
      <c r="N5583" s="475">
        <f t="shared" si="210"/>
        <v>220974</v>
      </c>
    </row>
    <row r="5584" spans="7:14" ht="11.25" customHeight="1" x14ac:dyDescent="0.3">
      <c r="G5584" s="470"/>
      <c r="H5584" s="470">
        <v>5577</v>
      </c>
      <c r="I5584" s="455">
        <f t="shared" ca="1" si="208"/>
        <v>-1971846719337955.8</v>
      </c>
      <c r="J5584" s="455">
        <f t="array" ref="J5584">IFERROR(INDEX('Retirement Calculator'!J:J,MATCH('Isaac 401k'!N5584,'Retirement Calculator'!A:A,0),0),0)</f>
        <v>0</v>
      </c>
      <c r="K5584" s="455">
        <f t="shared" ca="1" si="206"/>
        <v>-8216027997241.4824</v>
      </c>
      <c r="L5584" s="455">
        <f t="shared" ca="1" si="207"/>
        <v>-1980062747335197.3</v>
      </c>
      <c r="M5584" s="471">
        <f t="shared" si="209"/>
        <v>0.05</v>
      </c>
      <c r="N5584" s="475">
        <f t="shared" si="210"/>
        <v>221005</v>
      </c>
    </row>
    <row r="5585" spans="7:14" ht="11.25" customHeight="1" x14ac:dyDescent="0.3">
      <c r="G5585" s="470"/>
      <c r="H5585" s="470">
        <v>5578</v>
      </c>
      <c r="I5585" s="455">
        <f t="shared" ca="1" si="208"/>
        <v>-1980062747335197.3</v>
      </c>
      <c r="J5585" s="455">
        <f t="array" ref="J5585">IFERROR(INDEX('Retirement Calculator'!J:J,MATCH('Isaac 401k'!N5585,'Retirement Calculator'!A:A,0),0),0)</f>
        <v>0</v>
      </c>
      <c r="K5585" s="455">
        <f t="shared" ca="1" si="206"/>
        <v>-8250261447229.9883</v>
      </c>
      <c r="L5585" s="455">
        <f t="shared" ca="1" si="207"/>
        <v>-1988313008782427.3</v>
      </c>
      <c r="M5585" s="471">
        <f t="shared" si="209"/>
        <v>0.05</v>
      </c>
      <c r="N5585" s="475">
        <f t="shared" si="210"/>
        <v>221033</v>
      </c>
    </row>
    <row r="5586" spans="7:14" ht="11.25" customHeight="1" x14ac:dyDescent="0.3">
      <c r="G5586" s="470"/>
      <c r="H5586" s="470">
        <v>5579</v>
      </c>
      <c r="I5586" s="455">
        <f t="shared" ca="1" si="208"/>
        <v>-1988313008782427.3</v>
      </c>
      <c r="J5586" s="455">
        <f t="array" ref="J5586">IFERROR(INDEX('Retirement Calculator'!J:J,MATCH('Isaac 401k'!N5586,'Retirement Calculator'!A:A,0),0),0)</f>
        <v>0</v>
      </c>
      <c r="K5586" s="455">
        <f t="shared" ca="1" si="206"/>
        <v>-8284637536593.4463</v>
      </c>
      <c r="L5586" s="455">
        <f t="shared" ca="1" si="207"/>
        <v>-1996597646319020.8</v>
      </c>
      <c r="M5586" s="471">
        <f t="shared" si="209"/>
        <v>0.05</v>
      </c>
      <c r="N5586" s="475">
        <f t="shared" si="210"/>
        <v>221064</v>
      </c>
    </row>
    <row r="5587" spans="7:14" ht="11.25" customHeight="1" x14ac:dyDescent="0.3">
      <c r="G5587" s="470"/>
      <c r="H5587" s="470">
        <v>5580</v>
      </c>
      <c r="I5587" s="455">
        <f t="shared" ca="1" si="208"/>
        <v>-1996597646319020.8</v>
      </c>
      <c r="J5587" s="455">
        <f t="array" ref="J5587">IFERROR(INDEX('Retirement Calculator'!J:J,MATCH('Isaac 401k'!N5587,'Retirement Calculator'!A:A,0),0),0)</f>
        <v>0</v>
      </c>
      <c r="K5587" s="455">
        <f t="shared" ca="1" si="206"/>
        <v>-8319156859662.5859</v>
      </c>
      <c r="L5587" s="455">
        <f t="shared" ca="1" si="207"/>
        <v>-2004916803178683.3</v>
      </c>
      <c r="M5587" s="471">
        <f t="shared" si="209"/>
        <v>0.05</v>
      </c>
      <c r="N5587" s="475">
        <f t="shared" si="210"/>
        <v>221094</v>
      </c>
    </row>
    <row r="5588" spans="7:14" ht="11.25" customHeight="1" x14ac:dyDescent="0.3">
      <c r="G5588" s="470"/>
      <c r="H5588" s="470">
        <v>5581</v>
      </c>
      <c r="I5588" s="455">
        <f t="shared" ca="1" si="208"/>
        <v>-2004916803178683.3</v>
      </c>
      <c r="J5588" s="455">
        <f t="array" ref="J5588">IFERROR(INDEX('Retirement Calculator'!J:J,MATCH('Isaac 401k'!N5588,'Retirement Calculator'!A:A,0),0),0)</f>
        <v>0</v>
      </c>
      <c r="K5588" s="455">
        <f t="shared" ca="1" si="206"/>
        <v>-8353820013244.5137</v>
      </c>
      <c r="L5588" s="455">
        <f t="shared" ca="1" si="207"/>
        <v>-2013270623191927.8</v>
      </c>
      <c r="M5588" s="471">
        <f t="shared" si="209"/>
        <v>0.05</v>
      </c>
      <c r="N5588" s="475">
        <f t="shared" si="210"/>
        <v>221125</v>
      </c>
    </row>
    <row r="5589" spans="7:14" ht="11.25" customHeight="1" x14ac:dyDescent="0.3">
      <c r="G5589" s="470"/>
      <c r="H5589" s="470">
        <v>5582</v>
      </c>
      <c r="I5589" s="455">
        <f t="shared" ca="1" si="208"/>
        <v>-2013270623191927.8</v>
      </c>
      <c r="J5589" s="455">
        <f t="array" ref="J5589">IFERROR(INDEX('Retirement Calculator'!J:J,MATCH('Isaac 401k'!N5589,'Retirement Calculator'!A:A,0),0),0)</f>
        <v>0</v>
      </c>
      <c r="K5589" s="455">
        <f t="shared" ca="1" si="206"/>
        <v>-8388627596633.0322</v>
      </c>
      <c r="L5589" s="455">
        <f t="shared" ca="1" si="207"/>
        <v>-2021659250788560.8</v>
      </c>
      <c r="M5589" s="471">
        <f t="shared" si="209"/>
        <v>0.05</v>
      </c>
      <c r="N5589" s="475">
        <f t="shared" si="210"/>
        <v>221155</v>
      </c>
    </row>
    <row r="5590" spans="7:14" ht="11.25" customHeight="1" x14ac:dyDescent="0.3">
      <c r="G5590" s="470"/>
      <c r="H5590" s="470">
        <v>5583</v>
      </c>
      <c r="I5590" s="455">
        <f t="shared" ca="1" si="208"/>
        <v>-2021659250788560.8</v>
      </c>
      <c r="J5590" s="455">
        <f t="array" ref="J5590">IFERROR(INDEX('Retirement Calculator'!J:J,MATCH('Isaac 401k'!N5590,'Retirement Calculator'!A:A,0),0),0)</f>
        <v>0</v>
      </c>
      <c r="K5590" s="455">
        <f t="shared" ca="1" si="206"/>
        <v>-8423580211619.002</v>
      </c>
      <c r="L5590" s="455">
        <f t="shared" ca="1" si="207"/>
        <v>-2030082831000179.8</v>
      </c>
      <c r="M5590" s="471">
        <f t="shared" si="209"/>
        <v>0.05</v>
      </c>
      <c r="N5590" s="475">
        <f t="shared" si="210"/>
        <v>221186</v>
      </c>
    </row>
    <row r="5591" spans="7:14" ht="11.25" customHeight="1" x14ac:dyDescent="0.3">
      <c r="G5591" s="470"/>
      <c r="H5591" s="470">
        <v>5584</v>
      </c>
      <c r="I5591" s="455">
        <f t="shared" ca="1" si="208"/>
        <v>-2030082831000179.8</v>
      </c>
      <c r="J5591" s="455">
        <f t="array" ref="J5591">IFERROR(INDEX('Retirement Calculator'!J:J,MATCH('Isaac 401k'!N5591,'Retirement Calculator'!A:A,0),0),0)</f>
        <v>0</v>
      </c>
      <c r="K5591" s="455">
        <f t="shared" ca="1" si="206"/>
        <v>-8458678462500.748</v>
      </c>
      <c r="L5591" s="455">
        <f t="shared" ca="1" si="207"/>
        <v>-2038541509462680.5</v>
      </c>
      <c r="M5591" s="471">
        <f t="shared" si="209"/>
        <v>0.05</v>
      </c>
      <c r="N5591" s="475">
        <f t="shared" si="210"/>
        <v>221217</v>
      </c>
    </row>
    <row r="5592" spans="7:14" ht="11.25" customHeight="1" x14ac:dyDescent="0.3">
      <c r="G5592" s="470"/>
      <c r="H5592" s="470">
        <v>5585</v>
      </c>
      <c r="I5592" s="455">
        <f t="shared" ca="1" si="208"/>
        <v>-2038541509462680.5</v>
      </c>
      <c r="J5592" s="455">
        <f t="array" ref="J5592">IFERROR(INDEX('Retirement Calculator'!J:J,MATCH('Isaac 401k'!N5592,'Retirement Calculator'!A:A,0),0),0)</f>
        <v>0</v>
      </c>
      <c r="K5592" s="455">
        <f t="shared" ca="1" si="206"/>
        <v>-8493922956094.501</v>
      </c>
      <c r="L5592" s="455">
        <f t="shared" ca="1" si="207"/>
        <v>-2047035432418775</v>
      </c>
      <c r="M5592" s="471">
        <f t="shared" si="209"/>
        <v>0.05</v>
      </c>
      <c r="N5592" s="475">
        <f t="shared" si="210"/>
        <v>221247</v>
      </c>
    </row>
    <row r="5593" spans="7:14" ht="11.25" customHeight="1" x14ac:dyDescent="0.3">
      <c r="G5593" s="470"/>
      <c r="H5593" s="470">
        <v>5586</v>
      </c>
      <c r="I5593" s="455">
        <f t="shared" ca="1" si="208"/>
        <v>-2047035432418775</v>
      </c>
      <c r="J5593" s="455">
        <f t="array" ref="J5593">IFERROR(INDEX('Retirement Calculator'!J:J,MATCH('Isaac 401k'!N5593,'Retirement Calculator'!A:A,0),0),0)</f>
        <v>0</v>
      </c>
      <c r="K5593" s="455">
        <f t="shared" ca="1" si="206"/>
        <v>-8529314301744.8945</v>
      </c>
      <c r="L5593" s="455">
        <f t="shared" ca="1" si="207"/>
        <v>-2055564746720520</v>
      </c>
      <c r="M5593" s="471">
        <f t="shared" si="209"/>
        <v>0.05</v>
      </c>
      <c r="N5593" s="475">
        <f t="shared" si="210"/>
        <v>221278</v>
      </c>
    </row>
    <row r="5594" spans="7:14" ht="11.25" customHeight="1" x14ac:dyDescent="0.3">
      <c r="G5594" s="470"/>
      <c r="H5594" s="470">
        <v>5587</v>
      </c>
      <c r="I5594" s="455">
        <f t="shared" ca="1" si="208"/>
        <v>-2055564746720520</v>
      </c>
      <c r="J5594" s="455">
        <f t="array" ref="J5594">IFERROR(INDEX('Retirement Calculator'!J:J,MATCH('Isaac 401k'!N5594,'Retirement Calculator'!A:A,0),0),0)</f>
        <v>0</v>
      </c>
      <c r="K5594" s="455">
        <f t="shared" ca="1" si="206"/>
        <v>-8564853111335.5</v>
      </c>
      <c r="L5594" s="455">
        <f t="shared" ca="1" si="207"/>
        <v>-2064129599831855.5</v>
      </c>
      <c r="M5594" s="471">
        <f t="shared" si="209"/>
        <v>0.05</v>
      </c>
      <c r="N5594" s="475">
        <f t="shared" si="210"/>
        <v>221308</v>
      </c>
    </row>
    <row r="5595" spans="7:14" ht="11.25" customHeight="1" x14ac:dyDescent="0.3">
      <c r="G5595" s="470"/>
      <c r="H5595" s="470">
        <v>5588</v>
      </c>
      <c r="I5595" s="455">
        <f t="shared" ca="1" si="208"/>
        <v>-2064129599831855.5</v>
      </c>
      <c r="J5595" s="455">
        <f t="array" ref="J5595">IFERROR(INDEX('Retirement Calculator'!J:J,MATCH('Isaac 401k'!N5595,'Retirement Calculator'!A:A,0),0),0)</f>
        <v>0</v>
      </c>
      <c r="K5595" s="455">
        <f t="shared" ca="1" si="206"/>
        <v>-8600539999299.3965</v>
      </c>
      <c r="L5595" s="455">
        <f t="shared" ca="1" si="207"/>
        <v>-2072730139831155</v>
      </c>
      <c r="M5595" s="471">
        <f t="shared" si="209"/>
        <v>0.05</v>
      </c>
      <c r="N5595" s="475">
        <f t="shared" si="210"/>
        <v>221339</v>
      </c>
    </row>
    <row r="5596" spans="7:14" ht="11.25" customHeight="1" x14ac:dyDescent="0.3">
      <c r="G5596" s="470"/>
      <c r="H5596" s="470">
        <v>5589</v>
      </c>
      <c r="I5596" s="455">
        <f t="shared" ca="1" si="208"/>
        <v>-2072730139831155</v>
      </c>
      <c r="J5596" s="455">
        <f t="array" ref="J5596">IFERROR(INDEX('Retirement Calculator'!J:J,MATCH('Isaac 401k'!N5596,'Retirement Calculator'!A:A,0),0),0)</f>
        <v>0</v>
      </c>
      <c r="K5596" s="455">
        <f t="shared" ca="1" si="206"/>
        <v>-8636375582629.8125</v>
      </c>
      <c r="L5596" s="455">
        <f t="shared" ca="1" si="207"/>
        <v>-2081366515413784.8</v>
      </c>
      <c r="M5596" s="471">
        <f t="shared" si="209"/>
        <v>0.05</v>
      </c>
      <c r="N5596" s="475">
        <f t="shared" si="210"/>
        <v>221370</v>
      </c>
    </row>
    <row r="5597" spans="7:14" ht="11.25" customHeight="1" x14ac:dyDescent="0.3">
      <c r="G5597" s="470"/>
      <c r="H5597" s="470">
        <v>5590</v>
      </c>
      <c r="I5597" s="455">
        <f t="shared" ca="1" si="208"/>
        <v>-2081366515413784.8</v>
      </c>
      <c r="J5597" s="455">
        <f t="array" ref="J5597">IFERROR(INDEX('Retirement Calculator'!J:J,MATCH('Isaac 401k'!N5597,'Retirement Calculator'!A:A,0),0),0)</f>
        <v>0</v>
      </c>
      <c r="K5597" s="455">
        <f t="shared" ca="1" si="206"/>
        <v>-8672360480890.7695</v>
      </c>
      <c r="L5597" s="455">
        <f t="shared" ca="1" si="207"/>
        <v>-2090038875894675.5</v>
      </c>
      <c r="M5597" s="471">
        <f t="shared" si="209"/>
        <v>0.05</v>
      </c>
      <c r="N5597" s="475">
        <f t="shared" si="210"/>
        <v>221398</v>
      </c>
    </row>
    <row r="5598" spans="7:14" ht="11.25" customHeight="1" x14ac:dyDescent="0.3">
      <c r="G5598" s="470"/>
      <c r="H5598" s="470">
        <v>5591</v>
      </c>
      <c r="I5598" s="455">
        <f t="shared" ca="1" si="208"/>
        <v>-2090038875894675.5</v>
      </c>
      <c r="J5598" s="455">
        <f t="array" ref="J5598">IFERROR(INDEX('Retirement Calculator'!J:J,MATCH('Isaac 401k'!N5598,'Retirement Calculator'!A:A,0),0),0)</f>
        <v>0</v>
      </c>
      <c r="K5598" s="455">
        <f t="shared" ca="1" si="206"/>
        <v>-8708495316227.8145</v>
      </c>
      <c r="L5598" s="455">
        <f t="shared" ca="1" si="207"/>
        <v>-2098747371210903.3</v>
      </c>
      <c r="M5598" s="471">
        <f t="shared" si="209"/>
        <v>0.05</v>
      </c>
      <c r="N5598" s="475">
        <f t="shared" si="210"/>
        <v>221429</v>
      </c>
    </row>
    <row r="5599" spans="7:14" ht="11.25" customHeight="1" x14ac:dyDescent="0.3">
      <c r="G5599" s="470"/>
      <c r="H5599" s="470">
        <v>5592</v>
      </c>
      <c r="I5599" s="455">
        <f t="shared" ca="1" si="208"/>
        <v>-2098747371210903.3</v>
      </c>
      <c r="J5599" s="455">
        <f t="array" ref="J5599">IFERROR(INDEX('Retirement Calculator'!J:J,MATCH('Isaac 401k'!N5599,'Retirement Calculator'!A:A,0),0),0)</f>
        <v>0</v>
      </c>
      <c r="K5599" s="455">
        <f t="shared" ca="1" si="206"/>
        <v>-8744780713378.7637</v>
      </c>
      <c r="L5599" s="455">
        <f t="shared" ca="1" si="207"/>
        <v>-2107492151924282</v>
      </c>
      <c r="M5599" s="471">
        <f t="shared" si="209"/>
        <v>0.05</v>
      </c>
      <c r="N5599" s="475">
        <f t="shared" si="210"/>
        <v>221459</v>
      </c>
    </row>
    <row r="5600" spans="7:14" ht="11.25" customHeight="1" x14ac:dyDescent="0.3">
      <c r="G5600" s="470"/>
      <c r="H5600" s="470">
        <v>5593</v>
      </c>
      <c r="I5600" s="455">
        <f t="shared" ca="1" si="208"/>
        <v>-2107492151924282</v>
      </c>
      <c r="J5600" s="455">
        <f t="array" ref="J5600">IFERROR(INDEX('Retirement Calculator'!J:J,MATCH('Isaac 401k'!N5600,'Retirement Calculator'!A:A,0),0),0)</f>
        <v>0</v>
      </c>
      <c r="K5600" s="455">
        <f t="shared" ca="1" si="206"/>
        <v>-8781217299684.5078</v>
      </c>
      <c r="L5600" s="455">
        <f t="shared" ca="1" si="207"/>
        <v>-2116273369223966.5</v>
      </c>
      <c r="M5600" s="471">
        <f t="shared" si="209"/>
        <v>0.05</v>
      </c>
      <c r="N5600" s="475">
        <f t="shared" si="210"/>
        <v>221490</v>
      </c>
    </row>
    <row r="5601" spans="7:14" ht="11.25" customHeight="1" x14ac:dyDescent="0.3">
      <c r="G5601" s="470"/>
      <c r="H5601" s="470">
        <v>5594</v>
      </c>
      <c r="I5601" s="455">
        <f t="shared" ca="1" si="208"/>
        <v>-2116273369223966.5</v>
      </c>
      <c r="J5601" s="455">
        <f t="array" ref="J5601">IFERROR(INDEX('Retirement Calculator'!J:J,MATCH('Isaac 401k'!N5601,'Retirement Calculator'!A:A,0),0),0)</f>
        <v>0</v>
      </c>
      <c r="K5601" s="455">
        <f t="shared" ca="1" si="206"/>
        <v>-8817805705099.8613</v>
      </c>
      <c r="L5601" s="455">
        <f t="shared" ca="1" si="207"/>
        <v>-2125091174929066.3</v>
      </c>
      <c r="M5601" s="471">
        <f t="shared" si="209"/>
        <v>0.05</v>
      </c>
      <c r="N5601" s="475">
        <f t="shared" si="210"/>
        <v>221520</v>
      </c>
    </row>
    <row r="5602" spans="7:14" ht="11.25" customHeight="1" x14ac:dyDescent="0.3">
      <c r="G5602" s="470"/>
      <c r="H5602" s="470">
        <v>5595</v>
      </c>
      <c r="I5602" s="455">
        <f t="shared" ca="1" si="208"/>
        <v>-2125091174929066.3</v>
      </c>
      <c r="J5602" s="455">
        <f t="array" ref="J5602">IFERROR(INDEX('Retirement Calculator'!J:J,MATCH('Isaac 401k'!N5602,'Retirement Calculator'!A:A,0),0),0)</f>
        <v>0</v>
      </c>
      <c r="K5602" s="455">
        <f t="shared" ca="1" si="206"/>
        <v>-8854546562204.4434</v>
      </c>
      <c r="L5602" s="455">
        <f t="shared" ca="1" si="207"/>
        <v>-2133945721491270.8</v>
      </c>
      <c r="M5602" s="471">
        <f t="shared" si="209"/>
        <v>0.05</v>
      </c>
      <c r="N5602" s="475">
        <f t="shared" si="210"/>
        <v>221551</v>
      </c>
    </row>
    <row r="5603" spans="7:14" ht="11.25" customHeight="1" x14ac:dyDescent="0.3">
      <c r="G5603" s="470"/>
      <c r="H5603" s="470">
        <v>5596</v>
      </c>
      <c r="I5603" s="455">
        <f t="shared" ca="1" si="208"/>
        <v>-2133945721491270.8</v>
      </c>
      <c r="J5603" s="455">
        <f t="array" ref="J5603">IFERROR(INDEX('Retirement Calculator'!J:J,MATCH('Isaac 401k'!N5603,'Retirement Calculator'!A:A,0),0),0)</f>
        <v>0</v>
      </c>
      <c r="K5603" s="455">
        <f t="shared" ca="1" si="206"/>
        <v>-8891440506213.6289</v>
      </c>
      <c r="L5603" s="455">
        <f t="shared" ca="1" si="207"/>
        <v>-2142837161997484.5</v>
      </c>
      <c r="M5603" s="471">
        <f t="shared" si="209"/>
        <v>0.05</v>
      </c>
      <c r="N5603" s="475">
        <f t="shared" si="210"/>
        <v>221582</v>
      </c>
    </row>
    <row r="5604" spans="7:14" ht="11.25" customHeight="1" x14ac:dyDescent="0.3">
      <c r="G5604" s="470"/>
      <c r="H5604" s="470">
        <v>5597</v>
      </c>
      <c r="I5604" s="455">
        <f t="shared" ca="1" si="208"/>
        <v>-2142837161997484.5</v>
      </c>
      <c r="J5604" s="455">
        <f t="array" ref="J5604">IFERROR(INDEX('Retirement Calculator'!J:J,MATCH('Isaac 401k'!N5604,'Retirement Calculator'!A:A,0),0),0)</f>
        <v>0</v>
      </c>
      <c r="K5604" s="455">
        <f t="shared" ca="1" si="206"/>
        <v>-8928488174989.5195</v>
      </c>
      <c r="L5604" s="455">
        <f t="shared" ca="1" si="207"/>
        <v>-2151765650172474</v>
      </c>
      <c r="M5604" s="471">
        <f t="shared" si="209"/>
        <v>0.05</v>
      </c>
      <c r="N5604" s="475">
        <f t="shared" si="210"/>
        <v>221612</v>
      </c>
    </row>
    <row r="5605" spans="7:14" ht="11.25" customHeight="1" x14ac:dyDescent="0.3">
      <c r="G5605" s="470"/>
      <c r="H5605" s="470">
        <v>5598</v>
      </c>
      <c r="I5605" s="455">
        <f t="shared" ca="1" si="208"/>
        <v>-2151765650172474</v>
      </c>
      <c r="J5605" s="455">
        <f t="array" ref="J5605">IFERROR(INDEX('Retirement Calculator'!J:J,MATCH('Isaac 401k'!N5605,'Retirement Calculator'!A:A,0),0),0)</f>
        <v>0</v>
      </c>
      <c r="K5605" s="455">
        <f t="shared" ca="1" si="206"/>
        <v>-8965690209051.9746</v>
      </c>
      <c r="L5605" s="455">
        <f t="shared" ca="1" si="207"/>
        <v>-2160731340381526</v>
      </c>
      <c r="M5605" s="471">
        <f t="shared" si="209"/>
        <v>0.05</v>
      </c>
      <c r="N5605" s="475">
        <f t="shared" si="210"/>
        <v>221643</v>
      </c>
    </row>
    <row r="5606" spans="7:14" ht="11.25" customHeight="1" x14ac:dyDescent="0.3">
      <c r="G5606" s="470"/>
      <c r="H5606" s="470">
        <v>5599</v>
      </c>
      <c r="I5606" s="455">
        <f t="shared" ca="1" si="208"/>
        <v>-2160731340381526</v>
      </c>
      <c r="J5606" s="455">
        <f t="array" ref="J5606">IFERROR(INDEX('Retirement Calculator'!J:J,MATCH('Isaac 401k'!N5606,'Retirement Calculator'!A:A,0),0),0)</f>
        <v>0</v>
      </c>
      <c r="K5606" s="455">
        <f t="shared" ca="1" si="206"/>
        <v>-9003047251589.6914</v>
      </c>
      <c r="L5606" s="455">
        <f t="shared" ca="1" si="207"/>
        <v>-2169734387633115.8</v>
      </c>
      <c r="M5606" s="471">
        <f t="shared" si="209"/>
        <v>0.05</v>
      </c>
      <c r="N5606" s="475">
        <f t="shared" si="210"/>
        <v>221673</v>
      </c>
    </row>
    <row r="5607" spans="7:14" ht="11.25" customHeight="1" x14ac:dyDescent="0.3">
      <c r="G5607" s="470"/>
      <c r="H5607" s="470">
        <v>5600</v>
      </c>
      <c r="I5607" s="455">
        <f t="shared" ca="1" si="208"/>
        <v>-2169734387633115.8</v>
      </c>
      <c r="J5607" s="455">
        <f t="array" ref="J5607">IFERROR(INDEX('Retirement Calculator'!J:J,MATCH('Isaac 401k'!N5607,'Retirement Calculator'!A:A,0),0),0)</f>
        <v>0</v>
      </c>
      <c r="K5607" s="455">
        <f t="shared" ca="1" si="206"/>
        <v>-9040559948471.3164</v>
      </c>
      <c r="L5607" s="455">
        <f t="shared" ca="1" si="207"/>
        <v>-2178774947581587</v>
      </c>
      <c r="M5607" s="471">
        <f t="shared" si="209"/>
        <v>0.05</v>
      </c>
      <c r="N5607" s="475">
        <f t="shared" si="210"/>
        <v>221704</v>
      </c>
    </row>
    <row r="5608" spans="7:14" ht="11.25" customHeight="1" x14ac:dyDescent="0.3">
      <c r="G5608" s="470"/>
      <c r="H5608" s="470">
        <v>5601</v>
      </c>
      <c r="I5608" s="455">
        <f t="shared" ca="1" si="208"/>
        <v>-2178774947581587</v>
      </c>
      <c r="J5608" s="455">
        <f t="array" ref="J5608">IFERROR(INDEX('Retirement Calculator'!J:J,MATCH('Isaac 401k'!N5608,'Retirement Calculator'!A:A,0),0),0)</f>
        <v>0</v>
      </c>
      <c r="K5608" s="455">
        <f t="shared" ca="1" si="206"/>
        <v>-9078228948256.6133</v>
      </c>
      <c r="L5608" s="455">
        <f t="shared" ca="1" si="207"/>
        <v>-2187853176529843.5</v>
      </c>
      <c r="M5608" s="471">
        <f t="shared" si="209"/>
        <v>0.05</v>
      </c>
      <c r="N5608" s="475">
        <f t="shared" si="210"/>
        <v>221735</v>
      </c>
    </row>
    <row r="5609" spans="7:14" ht="11.25" customHeight="1" x14ac:dyDescent="0.3">
      <c r="G5609" s="470"/>
      <c r="H5609" s="470">
        <v>5602</v>
      </c>
      <c r="I5609" s="455">
        <f t="shared" ca="1" si="208"/>
        <v>-2187853176529843.5</v>
      </c>
      <c r="J5609" s="455">
        <f t="array" ref="J5609">IFERROR(INDEX('Retirement Calculator'!J:J,MATCH('Isaac 401k'!N5609,'Retirement Calculator'!A:A,0),0),0)</f>
        <v>0</v>
      </c>
      <c r="K5609" s="455">
        <f t="shared" ca="1" si="206"/>
        <v>-9116054902207.6816</v>
      </c>
      <c r="L5609" s="455">
        <f t="shared" ca="1" si="207"/>
        <v>-2196969231432051.3</v>
      </c>
      <c r="M5609" s="471">
        <f t="shared" si="209"/>
        <v>0.05</v>
      </c>
      <c r="N5609" s="475">
        <f t="shared" si="210"/>
        <v>221763</v>
      </c>
    </row>
    <row r="5610" spans="7:14" ht="11.25" customHeight="1" x14ac:dyDescent="0.3">
      <c r="G5610" s="470"/>
      <c r="H5610" s="470">
        <v>5603</v>
      </c>
      <c r="I5610" s="455">
        <f t="shared" ca="1" si="208"/>
        <v>-2196969231432051.3</v>
      </c>
      <c r="J5610" s="455">
        <f t="array" ref="J5610">IFERROR(INDEX('Retirement Calculator'!J:J,MATCH('Isaac 401k'!N5610,'Retirement Calculator'!A:A,0),0),0)</f>
        <v>0</v>
      </c>
      <c r="K5610" s="455">
        <f t="shared" ca="1" si="206"/>
        <v>-9154038464300.2148</v>
      </c>
      <c r="L5610" s="455">
        <f t="shared" ca="1" si="207"/>
        <v>-2206123269896351.5</v>
      </c>
      <c r="M5610" s="471">
        <f t="shared" si="209"/>
        <v>0.05</v>
      </c>
      <c r="N5610" s="475">
        <f t="shared" si="210"/>
        <v>221794</v>
      </c>
    </row>
    <row r="5611" spans="7:14" ht="11.25" customHeight="1" x14ac:dyDescent="0.3">
      <c r="G5611" s="470"/>
      <c r="H5611" s="470">
        <v>5604</v>
      </c>
      <c r="I5611" s="455">
        <f t="shared" ca="1" si="208"/>
        <v>-2206123269896351.5</v>
      </c>
      <c r="J5611" s="455">
        <f t="array" ref="J5611">IFERROR(INDEX('Retirement Calculator'!J:J,MATCH('Isaac 401k'!N5611,'Retirement Calculator'!A:A,0),0),0)</f>
        <v>0</v>
      </c>
      <c r="K5611" s="455">
        <f t="shared" ca="1" si="206"/>
        <v>-9192180291234.7969</v>
      </c>
      <c r="L5611" s="455">
        <f t="shared" ca="1" si="207"/>
        <v>-2215315450187586.3</v>
      </c>
      <c r="M5611" s="471">
        <f t="shared" si="209"/>
        <v>0.05</v>
      </c>
      <c r="N5611" s="475">
        <f t="shared" si="210"/>
        <v>221824</v>
      </c>
    </row>
    <row r="5612" spans="7:14" ht="11.25" customHeight="1" x14ac:dyDescent="0.3">
      <c r="G5612" s="470"/>
      <c r="H5612" s="470">
        <v>5605</v>
      </c>
      <c r="I5612" s="455">
        <f t="shared" ca="1" si="208"/>
        <v>-2215315450187586.3</v>
      </c>
      <c r="J5612" s="455">
        <f t="array" ref="J5612">IFERROR(INDEX('Retirement Calculator'!J:J,MATCH('Isaac 401k'!N5612,'Retirement Calculator'!A:A,0),0),0)</f>
        <v>0</v>
      </c>
      <c r="K5612" s="455">
        <f t="shared" ca="1" si="206"/>
        <v>-9230481042448.2773</v>
      </c>
      <c r="L5612" s="455">
        <f t="shared" ca="1" si="207"/>
        <v>-2224545931230034.5</v>
      </c>
      <c r="M5612" s="471">
        <f t="shared" si="209"/>
        <v>0.05</v>
      </c>
      <c r="N5612" s="475">
        <f t="shared" si="210"/>
        <v>221855</v>
      </c>
    </row>
    <row r="5613" spans="7:14" ht="11.25" customHeight="1" x14ac:dyDescent="0.3">
      <c r="G5613" s="470"/>
      <c r="H5613" s="470">
        <v>5606</v>
      </c>
      <c r="I5613" s="455">
        <f t="shared" ca="1" si="208"/>
        <v>-2224545931230034.5</v>
      </c>
      <c r="J5613" s="455">
        <f t="array" ref="J5613">IFERROR(INDEX('Retirement Calculator'!J:J,MATCH('Isaac 401k'!N5613,'Retirement Calculator'!A:A,0),0),0)</f>
        <v>0</v>
      </c>
      <c r="K5613" s="455">
        <f t="shared" ca="1" si="206"/>
        <v>-9268941380125.1445</v>
      </c>
      <c r="L5613" s="455">
        <f t="shared" ca="1" si="207"/>
        <v>-2233814872610159.8</v>
      </c>
      <c r="M5613" s="471">
        <f t="shared" si="209"/>
        <v>0.05</v>
      </c>
      <c r="N5613" s="475">
        <f t="shared" si="210"/>
        <v>221885</v>
      </c>
    </row>
    <row r="5614" spans="7:14" ht="11.25" customHeight="1" x14ac:dyDescent="0.3">
      <c r="G5614" s="470"/>
      <c r="H5614" s="470">
        <v>5607</v>
      </c>
      <c r="I5614" s="455">
        <f t="shared" ca="1" si="208"/>
        <v>-2233814872610159.8</v>
      </c>
      <c r="J5614" s="455">
        <f t="array" ref="J5614">IFERROR(INDEX('Retirement Calculator'!J:J,MATCH('Isaac 401k'!N5614,'Retirement Calculator'!A:A,0),0),0)</f>
        <v>0</v>
      </c>
      <c r="K5614" s="455">
        <f t="shared" ca="1" si="206"/>
        <v>-9307561969208.998</v>
      </c>
      <c r="L5614" s="455">
        <f t="shared" ca="1" si="207"/>
        <v>-2243122434579368.8</v>
      </c>
      <c r="M5614" s="471">
        <f t="shared" si="209"/>
        <v>0.05</v>
      </c>
      <c r="N5614" s="475">
        <f t="shared" si="210"/>
        <v>221916</v>
      </c>
    </row>
    <row r="5615" spans="7:14" ht="11.25" customHeight="1" x14ac:dyDescent="0.3">
      <c r="G5615" s="470"/>
      <c r="H5615" s="470">
        <v>5608</v>
      </c>
      <c r="I5615" s="455">
        <f t="shared" ca="1" si="208"/>
        <v>-2243122434579368.8</v>
      </c>
      <c r="J5615" s="455">
        <f t="array" ref="J5615">IFERROR(INDEX('Retirement Calculator'!J:J,MATCH('Isaac 401k'!N5615,'Retirement Calculator'!A:A,0),0),0)</f>
        <v>0</v>
      </c>
      <c r="K5615" s="455">
        <f t="shared" ca="1" si="206"/>
        <v>-9346343477414.0371</v>
      </c>
      <c r="L5615" s="455">
        <f t="shared" ca="1" si="207"/>
        <v>-2252468778056783</v>
      </c>
      <c r="M5615" s="471">
        <f t="shared" si="209"/>
        <v>0.05</v>
      </c>
      <c r="N5615" s="475">
        <f t="shared" si="210"/>
        <v>221947</v>
      </c>
    </row>
    <row r="5616" spans="7:14" ht="11.25" customHeight="1" x14ac:dyDescent="0.3">
      <c r="G5616" s="470"/>
      <c r="H5616" s="470">
        <v>5609</v>
      </c>
      <c r="I5616" s="455">
        <f t="shared" ca="1" si="208"/>
        <v>-2252468778056783</v>
      </c>
      <c r="J5616" s="455">
        <f t="array" ref="J5616">IFERROR(INDEX('Retirement Calculator'!J:J,MATCH('Isaac 401k'!N5616,'Retirement Calculator'!A:A,0),0),0)</f>
        <v>0</v>
      </c>
      <c r="K5616" s="455">
        <f t="shared" ca="1" si="206"/>
        <v>-9385286575236.5957</v>
      </c>
      <c r="L5616" s="455">
        <f t="shared" ca="1" si="207"/>
        <v>-2261854064632019.5</v>
      </c>
      <c r="M5616" s="471">
        <f t="shared" si="209"/>
        <v>0.05</v>
      </c>
      <c r="N5616" s="475">
        <f t="shared" si="210"/>
        <v>221977</v>
      </c>
    </row>
    <row r="5617" spans="7:14" ht="11.25" customHeight="1" x14ac:dyDescent="0.3">
      <c r="G5617" s="470"/>
      <c r="H5617" s="470">
        <v>5610</v>
      </c>
      <c r="I5617" s="455">
        <f t="shared" ca="1" si="208"/>
        <v>-2261854064632019.5</v>
      </c>
      <c r="J5617" s="455">
        <f t="array" ref="J5617">IFERROR(INDEX('Retirement Calculator'!J:J,MATCH('Isaac 401k'!N5617,'Retirement Calculator'!A:A,0),0),0)</f>
        <v>0</v>
      </c>
      <c r="K5617" s="455">
        <f t="shared" ca="1" si="206"/>
        <v>-9424391935966.748</v>
      </c>
      <c r="L5617" s="455">
        <f t="shared" ca="1" si="207"/>
        <v>-2271278456567986</v>
      </c>
      <c r="M5617" s="471">
        <f t="shared" si="209"/>
        <v>0.05</v>
      </c>
      <c r="N5617" s="475">
        <f t="shared" si="210"/>
        <v>222008</v>
      </c>
    </row>
    <row r="5618" spans="7:14" ht="11.25" customHeight="1" x14ac:dyDescent="0.3">
      <c r="G5618" s="470"/>
      <c r="H5618" s="470">
        <v>5611</v>
      </c>
      <c r="I5618" s="455">
        <f t="shared" ca="1" si="208"/>
        <v>-2271278456567986</v>
      </c>
      <c r="J5618" s="455">
        <f t="array" ref="J5618">IFERROR(INDEX('Retirement Calculator'!J:J,MATCH('Isaac 401k'!N5618,'Retirement Calculator'!A:A,0),0),0)</f>
        <v>0</v>
      </c>
      <c r="K5618" s="455">
        <f t="shared" ref="K5618:K5872" ca="1" si="211">IPMT(M5618/12,1,12,-I5618+J5618,,0)</f>
        <v>-9463660235699.9414</v>
      </c>
      <c r="L5618" s="455">
        <f t="shared" ref="L5618:L5872" ca="1" si="212">I5618-J5618+K5618</f>
        <v>-2280742116803686</v>
      </c>
      <c r="M5618" s="471">
        <f t="shared" si="209"/>
        <v>0.05</v>
      </c>
      <c r="N5618" s="475">
        <f t="shared" si="210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213">L5618</f>
        <v>-2280742116803686</v>
      </c>
      <c r="J5619" s="455">
        <f t="array" ref="J5619">IFERROR(INDEX('Retirement Calculator'!J:J,MATCH('Isaac 401k'!N5619,'Retirement Calculator'!A:A,0),0),0)</f>
        <v>0</v>
      </c>
      <c r="K5619" s="455">
        <f t="shared" ca="1" si="211"/>
        <v>-9503092153348.6914</v>
      </c>
      <c r="L5619" s="455">
        <f t="shared" ca="1" si="212"/>
        <v>-2290245208957034.5</v>
      </c>
      <c r="M5619" s="471">
        <f t="shared" ref="M5619:M5873" si="214">M5618</f>
        <v>0.05</v>
      </c>
      <c r="N5619" s="475">
        <f t="shared" ref="N5619:N5873" si="215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213"/>
        <v>-2290245208957034.5</v>
      </c>
      <c r="J5620" s="455">
        <f t="array" ref="J5620">IFERROR(INDEX('Retirement Calculator'!J:J,MATCH('Isaac 401k'!N5620,'Retirement Calculator'!A:A,0),0),0)</f>
        <v>0</v>
      </c>
      <c r="K5620" s="455">
        <f t="shared" ca="1" si="211"/>
        <v>-9542688370654.3105</v>
      </c>
      <c r="L5620" s="455">
        <f t="shared" ca="1" si="212"/>
        <v>-2299787897327689</v>
      </c>
      <c r="M5620" s="471">
        <f t="shared" si="214"/>
        <v>0.05</v>
      </c>
      <c r="N5620" s="475">
        <f t="shared" si="215"/>
        <v>222100</v>
      </c>
    </row>
    <row r="5621" spans="7:14" ht="11.25" customHeight="1" x14ac:dyDescent="0.3">
      <c r="G5621" s="470"/>
      <c r="H5621" s="470">
        <v>5614</v>
      </c>
      <c r="I5621" s="455">
        <f t="shared" ca="1" si="213"/>
        <v>-2299787897327689</v>
      </c>
      <c r="J5621" s="455">
        <f t="array" ref="J5621">IFERROR(INDEX('Retirement Calculator'!J:J,MATCH('Isaac 401k'!N5621,'Retirement Calculator'!A:A,0),0),0)</f>
        <v>0</v>
      </c>
      <c r="K5621" s="455">
        <f t="shared" ca="1" si="211"/>
        <v>-9582449572198.7031</v>
      </c>
      <c r="L5621" s="455">
        <f t="shared" ca="1" si="212"/>
        <v>-2309370346899887.5</v>
      </c>
      <c r="M5621" s="471">
        <f t="shared" si="214"/>
        <v>0.05</v>
      </c>
      <c r="N5621" s="475">
        <f t="shared" si="215"/>
        <v>222129</v>
      </c>
    </row>
    <row r="5622" spans="7:14" ht="11.25" customHeight="1" x14ac:dyDescent="0.3">
      <c r="G5622" s="470"/>
      <c r="H5622" s="470">
        <v>5615</v>
      </c>
      <c r="I5622" s="455">
        <f t="shared" ca="1" si="213"/>
        <v>-2309370346899887.5</v>
      </c>
      <c r="J5622" s="455">
        <f t="array" ref="J5622">IFERROR(INDEX('Retirement Calculator'!J:J,MATCH('Isaac 401k'!N5622,'Retirement Calculator'!A:A,0),0),0)</f>
        <v>0</v>
      </c>
      <c r="K5622" s="455">
        <f t="shared" ca="1" si="211"/>
        <v>-9622376445416.1973</v>
      </c>
      <c r="L5622" s="455">
        <f t="shared" ca="1" si="212"/>
        <v>-2318992723345303.5</v>
      </c>
      <c r="M5622" s="471">
        <f t="shared" si="214"/>
        <v>0.05</v>
      </c>
      <c r="N5622" s="475">
        <f t="shared" si="215"/>
        <v>222160</v>
      </c>
    </row>
    <row r="5623" spans="7:14" ht="11.25" customHeight="1" x14ac:dyDescent="0.3">
      <c r="G5623" s="470"/>
      <c r="H5623" s="470">
        <v>5616</v>
      </c>
      <c r="I5623" s="455">
        <f t="shared" ca="1" si="213"/>
        <v>-2318992723345303.5</v>
      </c>
      <c r="J5623" s="455">
        <f t="array" ref="J5623">IFERROR(INDEX('Retirement Calculator'!J:J,MATCH('Isaac 401k'!N5623,'Retirement Calculator'!A:A,0),0),0)</f>
        <v>0</v>
      </c>
      <c r="K5623" s="455">
        <f t="shared" ca="1" si="211"/>
        <v>-9662469680605.4316</v>
      </c>
      <c r="L5623" s="455">
        <f t="shared" ca="1" si="212"/>
        <v>-2328655193025909</v>
      </c>
      <c r="M5623" s="471">
        <f t="shared" si="214"/>
        <v>0.05</v>
      </c>
      <c r="N5623" s="475">
        <f t="shared" si="215"/>
        <v>222190</v>
      </c>
    </row>
    <row r="5624" spans="7:14" ht="11.25" customHeight="1" x14ac:dyDescent="0.3">
      <c r="G5624" s="470"/>
      <c r="H5624" s="470">
        <v>5617</v>
      </c>
      <c r="I5624" s="455">
        <f t="shared" ca="1" si="213"/>
        <v>-2328655193025909</v>
      </c>
      <c r="J5624" s="455">
        <f t="array" ref="J5624">IFERROR(INDEX('Retirement Calculator'!J:J,MATCH('Isaac 401k'!N5624,'Retirement Calculator'!A:A,0),0),0)</f>
        <v>0</v>
      </c>
      <c r="K5624" s="455">
        <f t="shared" ca="1" si="211"/>
        <v>-9702729970941.2871</v>
      </c>
      <c r="L5624" s="455">
        <f t="shared" ca="1" si="212"/>
        <v>-2338357922996850.5</v>
      </c>
      <c r="M5624" s="471">
        <f t="shared" si="214"/>
        <v>0.05</v>
      </c>
      <c r="N5624" s="475">
        <f t="shared" si="215"/>
        <v>222221</v>
      </c>
    </row>
    <row r="5625" spans="7:14" ht="11.25" customHeight="1" x14ac:dyDescent="0.3">
      <c r="G5625" s="470"/>
      <c r="H5625" s="470">
        <v>5618</v>
      </c>
      <c r="I5625" s="455">
        <f t="shared" ca="1" si="213"/>
        <v>-2338357922996850.5</v>
      </c>
      <c r="J5625" s="455">
        <f t="array" ref="J5625">IFERROR(INDEX('Retirement Calculator'!J:J,MATCH('Isaac 401k'!N5625,'Retirement Calculator'!A:A,0),0),0)</f>
        <v>0</v>
      </c>
      <c r="K5625" s="455">
        <f t="shared" ca="1" si="211"/>
        <v>-9743158012486.877</v>
      </c>
      <c r="L5625" s="455">
        <f t="shared" ca="1" si="212"/>
        <v>-2348101081009337.5</v>
      </c>
      <c r="M5625" s="471">
        <f t="shared" si="214"/>
        <v>0.05</v>
      </c>
      <c r="N5625" s="475">
        <f t="shared" si="215"/>
        <v>222251</v>
      </c>
    </row>
    <row r="5626" spans="7:14" ht="11.25" customHeight="1" x14ac:dyDescent="0.3">
      <c r="G5626" s="470"/>
      <c r="H5626" s="470">
        <v>5619</v>
      </c>
      <c r="I5626" s="455">
        <f t="shared" ca="1" si="213"/>
        <v>-2348101081009337.5</v>
      </c>
      <c r="J5626" s="455">
        <f t="array" ref="J5626">IFERROR(INDEX('Retirement Calculator'!J:J,MATCH('Isaac 401k'!N5626,'Retirement Calculator'!A:A,0),0),0)</f>
        <v>0</v>
      </c>
      <c r="K5626" s="455">
        <f t="shared" ca="1" si="211"/>
        <v>-9783754504205.5723</v>
      </c>
      <c r="L5626" s="455">
        <f t="shared" ca="1" si="212"/>
        <v>-2357884835513543</v>
      </c>
      <c r="M5626" s="471">
        <f t="shared" si="214"/>
        <v>0.05</v>
      </c>
      <c r="N5626" s="475">
        <f t="shared" si="215"/>
        <v>222282</v>
      </c>
    </row>
    <row r="5627" spans="7:14" ht="11.25" customHeight="1" x14ac:dyDescent="0.3">
      <c r="G5627" s="470"/>
      <c r="H5627" s="470">
        <v>5620</v>
      </c>
      <c r="I5627" s="455">
        <f t="shared" ca="1" si="213"/>
        <v>-2357884835513543</v>
      </c>
      <c r="J5627" s="455">
        <f t="array" ref="J5627">IFERROR(INDEX('Retirement Calculator'!J:J,MATCH('Isaac 401k'!N5627,'Retirement Calculator'!A:A,0),0),0)</f>
        <v>0</v>
      </c>
      <c r="K5627" s="455">
        <f t="shared" ca="1" si="211"/>
        <v>-9824520147973.0957</v>
      </c>
      <c r="L5627" s="455">
        <f t="shared" ca="1" si="212"/>
        <v>-2367709355661516</v>
      </c>
      <c r="M5627" s="471">
        <f t="shared" si="214"/>
        <v>0.05</v>
      </c>
      <c r="N5627" s="475">
        <f t="shared" si="215"/>
        <v>222313</v>
      </c>
    </row>
    <row r="5628" spans="7:14" ht="11.25" customHeight="1" x14ac:dyDescent="0.3">
      <c r="G5628" s="470"/>
      <c r="H5628" s="470">
        <v>5621</v>
      </c>
      <c r="I5628" s="455">
        <f t="shared" ca="1" si="213"/>
        <v>-2367709355661516</v>
      </c>
      <c r="J5628" s="455">
        <f t="array" ref="J5628">IFERROR(INDEX('Retirement Calculator'!J:J,MATCH('Isaac 401k'!N5628,'Retirement Calculator'!A:A,0),0),0)</f>
        <v>0</v>
      </c>
      <c r="K5628" s="455">
        <f t="shared" ca="1" si="211"/>
        <v>-9865455648589.6504</v>
      </c>
      <c r="L5628" s="455">
        <f t="shared" ca="1" si="212"/>
        <v>-2377574811310105.5</v>
      </c>
      <c r="M5628" s="471">
        <f t="shared" si="214"/>
        <v>0.05</v>
      </c>
      <c r="N5628" s="475">
        <f t="shared" si="215"/>
        <v>222343</v>
      </c>
    </row>
    <row r="5629" spans="7:14" ht="11.25" customHeight="1" x14ac:dyDescent="0.3">
      <c r="G5629" s="470"/>
      <c r="H5629" s="470">
        <v>5622</v>
      </c>
      <c r="I5629" s="455">
        <f t="shared" ca="1" si="213"/>
        <v>-2377574811310105.5</v>
      </c>
      <c r="J5629" s="455">
        <f t="array" ref="J5629">IFERROR(INDEX('Retirement Calculator'!J:J,MATCH('Isaac 401k'!N5629,'Retirement Calculator'!A:A,0),0),0)</f>
        <v>0</v>
      </c>
      <c r="K5629" s="455">
        <f t="shared" ca="1" si="211"/>
        <v>-9906561713792.1055</v>
      </c>
      <c r="L5629" s="455">
        <f t="shared" ca="1" si="212"/>
        <v>-2387481373023897.5</v>
      </c>
      <c r="M5629" s="471">
        <f t="shared" si="214"/>
        <v>0.05</v>
      </c>
      <c r="N5629" s="475">
        <f t="shared" si="215"/>
        <v>222374</v>
      </c>
    </row>
    <row r="5630" spans="7:14" ht="11.25" customHeight="1" x14ac:dyDescent="0.3">
      <c r="G5630" s="470"/>
      <c r="H5630" s="470">
        <v>5623</v>
      </c>
      <c r="I5630" s="455">
        <f t="shared" ca="1" si="213"/>
        <v>-2387481373023897.5</v>
      </c>
      <c r="J5630" s="455">
        <f t="array" ref="J5630">IFERROR(INDEX('Retirement Calculator'!J:J,MATCH('Isaac 401k'!N5630,'Retirement Calculator'!A:A,0),0),0)</f>
        <v>0</v>
      </c>
      <c r="K5630" s="455">
        <f t="shared" ca="1" si="211"/>
        <v>-9947839054266.2402</v>
      </c>
      <c r="L5630" s="455">
        <f t="shared" ca="1" si="212"/>
        <v>-2397429212078163.5</v>
      </c>
      <c r="M5630" s="471">
        <f t="shared" si="214"/>
        <v>0.05</v>
      </c>
      <c r="N5630" s="475">
        <f t="shared" si="215"/>
        <v>222404</v>
      </c>
    </row>
    <row r="5631" spans="7:14" ht="11.25" customHeight="1" x14ac:dyDescent="0.3">
      <c r="G5631" s="470"/>
      <c r="H5631" s="470">
        <v>5624</v>
      </c>
      <c r="I5631" s="455">
        <f t="shared" ca="1" si="213"/>
        <v>-2397429212078163.5</v>
      </c>
      <c r="J5631" s="455">
        <f t="array" ref="J5631">IFERROR(INDEX('Retirement Calculator'!J:J,MATCH('Isaac 401k'!N5631,'Retirement Calculator'!A:A,0),0),0)</f>
        <v>0</v>
      </c>
      <c r="K5631" s="455">
        <f t="shared" ca="1" si="211"/>
        <v>-9989288383659.0137</v>
      </c>
      <c r="L5631" s="455">
        <f t="shared" ca="1" si="212"/>
        <v>-2407418500461822.5</v>
      </c>
      <c r="M5631" s="471">
        <f t="shared" si="214"/>
        <v>0.05</v>
      </c>
      <c r="N5631" s="475">
        <f t="shared" si="215"/>
        <v>222435</v>
      </c>
    </row>
    <row r="5632" spans="7:14" ht="11.25" customHeight="1" x14ac:dyDescent="0.3">
      <c r="G5632" s="470"/>
      <c r="H5632" s="470">
        <v>5625</v>
      </c>
      <c r="I5632" s="455">
        <f t="shared" ca="1" si="213"/>
        <v>-2407418500461822.5</v>
      </c>
      <c r="J5632" s="455">
        <f t="array" ref="J5632">IFERROR(INDEX('Retirement Calculator'!J:J,MATCH('Isaac 401k'!N5632,'Retirement Calculator'!A:A,0),0),0)</f>
        <v>0</v>
      </c>
      <c r="K5632" s="455">
        <f t="shared" ca="1" si="211"/>
        <v>-10030910418590.928</v>
      </c>
      <c r="L5632" s="455">
        <f t="shared" ca="1" si="212"/>
        <v>-2417449410880413.5</v>
      </c>
      <c r="M5632" s="471">
        <f t="shared" si="214"/>
        <v>0.05</v>
      </c>
      <c r="N5632" s="475">
        <f t="shared" si="215"/>
        <v>222466</v>
      </c>
    </row>
    <row r="5633" spans="7:14" ht="11.25" customHeight="1" x14ac:dyDescent="0.3">
      <c r="G5633" s="470"/>
      <c r="H5633" s="470">
        <v>5626</v>
      </c>
      <c r="I5633" s="455">
        <f t="shared" ca="1" si="213"/>
        <v>-2417449410880413.5</v>
      </c>
      <c r="J5633" s="455">
        <f t="array" ref="J5633">IFERROR(INDEX('Retirement Calculator'!J:J,MATCH('Isaac 401k'!N5633,'Retirement Calculator'!A:A,0),0),0)</f>
        <v>0</v>
      </c>
      <c r="K5633" s="455">
        <f t="shared" ca="1" si="211"/>
        <v>-10072705878668.389</v>
      </c>
      <c r="L5633" s="455">
        <f t="shared" ca="1" si="212"/>
        <v>-2427522116759082</v>
      </c>
      <c r="M5633" s="471">
        <f t="shared" si="214"/>
        <v>0.05</v>
      </c>
      <c r="N5633" s="475">
        <f t="shared" si="215"/>
        <v>222494</v>
      </c>
    </row>
    <row r="5634" spans="7:14" ht="11.25" customHeight="1" x14ac:dyDescent="0.3">
      <c r="G5634" s="470"/>
      <c r="H5634" s="470">
        <v>5627</v>
      </c>
      <c r="I5634" s="455">
        <f t="shared" ca="1" si="213"/>
        <v>-2427522116759082</v>
      </c>
      <c r="J5634" s="455">
        <f t="array" ref="J5634">IFERROR(INDEX('Retirement Calculator'!J:J,MATCH('Isaac 401k'!N5634,'Retirement Calculator'!A:A,0),0),0)</f>
        <v>0</v>
      </c>
      <c r="K5634" s="455">
        <f t="shared" ca="1" si="211"/>
        <v>-10114675486496.176</v>
      </c>
      <c r="L5634" s="455">
        <f t="shared" ca="1" si="212"/>
        <v>-2437636792245578</v>
      </c>
      <c r="M5634" s="471">
        <f t="shared" si="214"/>
        <v>0.05</v>
      </c>
      <c r="N5634" s="475">
        <f t="shared" si="215"/>
        <v>222525</v>
      </c>
    </row>
    <row r="5635" spans="7:14" ht="11.25" customHeight="1" x14ac:dyDescent="0.3">
      <c r="G5635" s="470"/>
      <c r="H5635" s="470">
        <v>5628</v>
      </c>
      <c r="I5635" s="455">
        <f t="shared" ca="1" si="213"/>
        <v>-2437636792245578</v>
      </c>
      <c r="J5635" s="455">
        <f t="array" ref="J5635">IFERROR(INDEX('Retirement Calculator'!J:J,MATCH('Isaac 401k'!N5635,'Retirement Calculator'!A:A,0),0),0)</f>
        <v>0</v>
      </c>
      <c r="K5635" s="455">
        <f t="shared" ca="1" si="211"/>
        <v>-10156819967689.908</v>
      </c>
      <c r="L5635" s="455">
        <f t="shared" ca="1" si="212"/>
        <v>-2447793612213268</v>
      </c>
      <c r="M5635" s="471">
        <f t="shared" si="214"/>
        <v>0.05</v>
      </c>
      <c r="N5635" s="475">
        <f t="shared" si="215"/>
        <v>222555</v>
      </c>
    </row>
    <row r="5636" spans="7:14" ht="11.25" customHeight="1" x14ac:dyDescent="0.3">
      <c r="G5636" s="470"/>
      <c r="H5636" s="470">
        <v>5629</v>
      </c>
      <c r="I5636" s="455">
        <f t="shared" ca="1" si="213"/>
        <v>-2447793612213268</v>
      </c>
      <c r="J5636" s="455">
        <f t="array" ref="J5636">IFERROR(INDEX('Retirement Calculator'!J:J,MATCH('Isaac 401k'!N5636,'Retirement Calculator'!A:A,0),0),0)</f>
        <v>0</v>
      </c>
      <c r="K5636" s="455">
        <f t="shared" ca="1" si="211"/>
        <v>-10199140050888.617</v>
      </c>
      <c r="L5636" s="455">
        <f t="shared" ca="1" si="212"/>
        <v>-2457992752264156.5</v>
      </c>
      <c r="M5636" s="471">
        <f t="shared" si="214"/>
        <v>0.05</v>
      </c>
      <c r="N5636" s="475">
        <f t="shared" si="215"/>
        <v>222586</v>
      </c>
    </row>
    <row r="5637" spans="7:14" ht="11.25" customHeight="1" x14ac:dyDescent="0.3">
      <c r="G5637" s="470"/>
      <c r="H5637" s="470">
        <v>5630</v>
      </c>
      <c r="I5637" s="455">
        <f t="shared" ca="1" si="213"/>
        <v>-2457992752264156.5</v>
      </c>
      <c r="J5637" s="455">
        <f t="array" ref="J5637">IFERROR(INDEX('Retirement Calculator'!J:J,MATCH('Isaac 401k'!N5637,'Retirement Calculator'!A:A,0),0),0)</f>
        <v>0</v>
      </c>
      <c r="K5637" s="455">
        <f t="shared" ca="1" si="211"/>
        <v>-10241636467767.318</v>
      </c>
      <c r="L5637" s="455">
        <f t="shared" ca="1" si="212"/>
        <v>-2468234388731924</v>
      </c>
      <c r="M5637" s="471">
        <f t="shared" si="214"/>
        <v>0.05</v>
      </c>
      <c r="N5637" s="475">
        <f t="shared" si="215"/>
        <v>222616</v>
      </c>
    </row>
    <row r="5638" spans="7:14" ht="11.25" customHeight="1" x14ac:dyDescent="0.3">
      <c r="G5638" s="470"/>
      <c r="H5638" s="470">
        <v>5631</v>
      </c>
      <c r="I5638" s="455">
        <f t="shared" ca="1" si="213"/>
        <v>-2468234388731924</v>
      </c>
      <c r="J5638" s="455">
        <f t="array" ref="J5638">IFERROR(INDEX('Retirement Calculator'!J:J,MATCH('Isaac 401k'!N5638,'Retirement Calculator'!A:A,0),0),0)</f>
        <v>0</v>
      </c>
      <c r="K5638" s="455">
        <f t="shared" ca="1" si="211"/>
        <v>-10284309953049.684</v>
      </c>
      <c r="L5638" s="455">
        <f t="shared" ca="1" si="212"/>
        <v>-2478518698684973.5</v>
      </c>
      <c r="M5638" s="471">
        <f t="shared" si="214"/>
        <v>0.05</v>
      </c>
      <c r="N5638" s="475">
        <f t="shared" si="215"/>
        <v>222647</v>
      </c>
    </row>
    <row r="5639" spans="7:14" ht="11.25" customHeight="1" x14ac:dyDescent="0.3">
      <c r="G5639" s="470"/>
      <c r="H5639" s="470">
        <v>5632</v>
      </c>
      <c r="I5639" s="455">
        <f t="shared" ca="1" si="213"/>
        <v>-2478518698684973.5</v>
      </c>
      <c r="J5639" s="455">
        <f t="array" ref="J5639">IFERROR(INDEX('Retirement Calculator'!J:J,MATCH('Isaac 401k'!N5639,'Retirement Calculator'!A:A,0),0),0)</f>
        <v>0</v>
      </c>
      <c r="K5639" s="455">
        <f t="shared" ca="1" si="211"/>
        <v>-10327161244520.723</v>
      </c>
      <c r="L5639" s="455">
        <f t="shared" ca="1" si="212"/>
        <v>-2488845859929494</v>
      </c>
      <c r="M5639" s="471">
        <f t="shared" si="214"/>
        <v>0.05</v>
      </c>
      <c r="N5639" s="475">
        <f t="shared" si="215"/>
        <v>222678</v>
      </c>
    </row>
    <row r="5640" spans="7:14" ht="11.25" customHeight="1" x14ac:dyDescent="0.3">
      <c r="G5640" s="470"/>
      <c r="H5640" s="470">
        <v>5633</v>
      </c>
      <c r="I5640" s="455">
        <f t="shared" ca="1" si="213"/>
        <v>-2488845859929494</v>
      </c>
      <c r="J5640" s="455">
        <f t="array" ref="J5640">IFERROR(INDEX('Retirement Calculator'!J:J,MATCH('Isaac 401k'!N5640,'Retirement Calculator'!A:A,0),0),0)</f>
        <v>0</v>
      </c>
      <c r="K5640" s="455">
        <f t="shared" ca="1" si="211"/>
        <v>-10370191083039.559</v>
      </c>
      <c r="L5640" s="455">
        <f t="shared" ca="1" si="212"/>
        <v>-2499216051012533.5</v>
      </c>
      <c r="M5640" s="471">
        <f t="shared" si="214"/>
        <v>0.05</v>
      </c>
      <c r="N5640" s="475">
        <f t="shared" si="215"/>
        <v>222708</v>
      </c>
    </row>
    <row r="5641" spans="7:14" ht="11.25" customHeight="1" x14ac:dyDescent="0.3">
      <c r="G5641" s="470"/>
      <c r="H5641" s="470">
        <v>5634</v>
      </c>
      <c r="I5641" s="455">
        <f t="shared" ca="1" si="213"/>
        <v>-2499216051012533.5</v>
      </c>
      <c r="J5641" s="455">
        <f t="array" ref="J5641">IFERROR(INDEX('Retirement Calculator'!J:J,MATCH('Isaac 401k'!N5641,'Retirement Calculator'!A:A,0),0),0)</f>
        <v>0</v>
      </c>
      <c r="K5641" s="455">
        <f t="shared" ca="1" si="211"/>
        <v>-10413400212552.223</v>
      </c>
      <c r="L5641" s="455">
        <f t="shared" ca="1" si="212"/>
        <v>-2509629451225085.5</v>
      </c>
      <c r="M5641" s="471">
        <f t="shared" si="214"/>
        <v>0.05</v>
      </c>
      <c r="N5641" s="475">
        <f t="shared" si="215"/>
        <v>222739</v>
      </c>
    </row>
    <row r="5642" spans="7:14" ht="11.25" customHeight="1" x14ac:dyDescent="0.3">
      <c r="G5642" s="470"/>
      <c r="H5642" s="470">
        <v>5635</v>
      </c>
      <c r="I5642" s="455">
        <f t="shared" ca="1" si="213"/>
        <v>-2509629451225085.5</v>
      </c>
      <c r="J5642" s="455">
        <f t="array" ref="J5642">IFERROR(INDEX('Retirement Calculator'!J:J,MATCH('Isaac 401k'!N5642,'Retirement Calculator'!A:A,0),0),0)</f>
        <v>0</v>
      </c>
      <c r="K5642" s="455">
        <f t="shared" ca="1" si="211"/>
        <v>-10456789380104.523</v>
      </c>
      <c r="L5642" s="455">
        <f t="shared" ca="1" si="212"/>
        <v>-2520086240605190</v>
      </c>
      <c r="M5642" s="471">
        <f t="shared" si="214"/>
        <v>0.05</v>
      </c>
      <c r="N5642" s="475">
        <f t="shared" si="215"/>
        <v>222769</v>
      </c>
    </row>
    <row r="5643" spans="7:14" ht="11.25" customHeight="1" x14ac:dyDescent="0.3">
      <c r="G5643" s="470"/>
      <c r="H5643" s="470">
        <v>5636</v>
      </c>
      <c r="I5643" s="455">
        <f t="shared" ca="1" si="213"/>
        <v>-2520086240605190</v>
      </c>
      <c r="J5643" s="455">
        <f t="array" ref="J5643">IFERROR(INDEX('Retirement Calculator'!J:J,MATCH('Isaac 401k'!N5643,'Retirement Calculator'!A:A,0),0),0)</f>
        <v>0</v>
      </c>
      <c r="K5643" s="455">
        <f t="shared" ca="1" si="211"/>
        <v>-10500359335854.959</v>
      </c>
      <c r="L5643" s="455">
        <f t="shared" ca="1" si="212"/>
        <v>-2530586599941045</v>
      </c>
      <c r="M5643" s="471">
        <f t="shared" si="214"/>
        <v>0.05</v>
      </c>
      <c r="N5643" s="475">
        <f t="shared" si="215"/>
        <v>222800</v>
      </c>
    </row>
    <row r="5644" spans="7:14" ht="11.25" customHeight="1" x14ac:dyDescent="0.3">
      <c r="G5644" s="470"/>
      <c r="H5644" s="470">
        <v>5637</v>
      </c>
      <c r="I5644" s="455">
        <f t="shared" ca="1" si="213"/>
        <v>-2530586599941045</v>
      </c>
      <c r="J5644" s="455">
        <f t="array" ref="J5644">IFERROR(INDEX('Retirement Calculator'!J:J,MATCH('Isaac 401k'!N5644,'Retirement Calculator'!A:A,0),0),0)</f>
        <v>0</v>
      </c>
      <c r="K5644" s="455">
        <f t="shared" ca="1" si="211"/>
        <v>-10544110833087.688</v>
      </c>
      <c r="L5644" s="455">
        <f t="shared" ca="1" si="212"/>
        <v>-2541130710774132.5</v>
      </c>
      <c r="M5644" s="471">
        <f t="shared" si="214"/>
        <v>0.05</v>
      </c>
      <c r="N5644" s="475">
        <f t="shared" si="215"/>
        <v>222831</v>
      </c>
    </row>
    <row r="5645" spans="7:14" ht="11.25" customHeight="1" x14ac:dyDescent="0.3">
      <c r="G5645" s="470"/>
      <c r="H5645" s="470">
        <v>5638</v>
      </c>
      <c r="I5645" s="455">
        <f t="shared" ca="1" si="213"/>
        <v>-2541130710774132.5</v>
      </c>
      <c r="J5645" s="455">
        <f t="array" ref="J5645">IFERROR(INDEX('Retirement Calculator'!J:J,MATCH('Isaac 401k'!N5645,'Retirement Calculator'!A:A,0),0),0)</f>
        <v>0</v>
      </c>
      <c r="K5645" s="455">
        <f t="shared" ca="1" si="211"/>
        <v>-10588044628225.553</v>
      </c>
      <c r="L5645" s="455">
        <f t="shared" ca="1" si="212"/>
        <v>-2551718755402358</v>
      </c>
      <c r="M5645" s="471">
        <f t="shared" si="214"/>
        <v>0.05</v>
      </c>
      <c r="N5645" s="475">
        <f t="shared" si="215"/>
        <v>222859</v>
      </c>
    </row>
    <row r="5646" spans="7:14" ht="11.25" customHeight="1" x14ac:dyDescent="0.3">
      <c r="G5646" s="470"/>
      <c r="H5646" s="470">
        <v>5639</v>
      </c>
      <c r="I5646" s="455">
        <f t="shared" ca="1" si="213"/>
        <v>-2551718755402358</v>
      </c>
      <c r="J5646" s="455">
        <f t="array" ref="J5646">IFERROR(INDEX('Retirement Calculator'!J:J,MATCH('Isaac 401k'!N5646,'Retirement Calculator'!A:A,0),0),0)</f>
        <v>0</v>
      </c>
      <c r="K5646" s="455">
        <f t="shared" ca="1" si="211"/>
        <v>-10632161480843.158</v>
      </c>
      <c r="L5646" s="455">
        <f t="shared" ca="1" si="212"/>
        <v>-2562350916883201</v>
      </c>
      <c r="M5646" s="471">
        <f t="shared" si="214"/>
        <v>0.05</v>
      </c>
      <c r="N5646" s="475">
        <f t="shared" si="215"/>
        <v>222890</v>
      </c>
    </row>
    <row r="5647" spans="7:14" ht="11.25" customHeight="1" x14ac:dyDescent="0.3">
      <c r="G5647" s="470"/>
      <c r="H5647" s="470">
        <v>5640</v>
      </c>
      <c r="I5647" s="455">
        <f t="shared" ca="1" si="213"/>
        <v>-2562350916883201</v>
      </c>
      <c r="J5647" s="455">
        <f t="array" ref="J5647">IFERROR(INDEX('Retirement Calculator'!J:J,MATCH('Isaac 401k'!N5647,'Retirement Calculator'!A:A,0),0),0)</f>
        <v>0</v>
      </c>
      <c r="K5647" s="455">
        <f t="shared" ca="1" si="211"/>
        <v>-10676462153680.004</v>
      </c>
      <c r="L5647" s="455">
        <f t="shared" ca="1" si="212"/>
        <v>-2573027379036881</v>
      </c>
      <c r="M5647" s="471">
        <f t="shared" si="214"/>
        <v>0.05</v>
      </c>
      <c r="N5647" s="475">
        <f t="shared" si="215"/>
        <v>222920</v>
      </c>
    </row>
    <row r="5648" spans="7:14" ht="11.25" customHeight="1" x14ac:dyDescent="0.3">
      <c r="G5648" s="470"/>
      <c r="H5648" s="470">
        <v>5641</v>
      </c>
      <c r="I5648" s="455">
        <f t="shared" ca="1" si="213"/>
        <v>-2573027379036881</v>
      </c>
      <c r="J5648" s="455">
        <f t="array" ref="J5648">IFERROR(INDEX('Retirement Calculator'!J:J,MATCH('Isaac 401k'!N5648,'Retirement Calculator'!A:A,0),0),0)</f>
        <v>0</v>
      </c>
      <c r="K5648" s="455">
        <f t="shared" ca="1" si="211"/>
        <v>-10720947412653.67</v>
      </c>
      <c r="L5648" s="455">
        <f t="shared" ca="1" si="212"/>
        <v>-2583748326449534.5</v>
      </c>
      <c r="M5648" s="471">
        <f t="shared" si="214"/>
        <v>0.05</v>
      </c>
      <c r="N5648" s="475">
        <f t="shared" si="215"/>
        <v>222951</v>
      </c>
    </row>
    <row r="5649" spans="7:14" ht="11.25" customHeight="1" x14ac:dyDescent="0.3">
      <c r="G5649" s="470"/>
      <c r="H5649" s="470">
        <v>5642</v>
      </c>
      <c r="I5649" s="455">
        <f t="shared" ca="1" si="213"/>
        <v>-2583748326449534.5</v>
      </c>
      <c r="J5649" s="455">
        <f t="array" ref="J5649">IFERROR(INDEX('Retirement Calculator'!J:J,MATCH('Isaac 401k'!N5649,'Retirement Calculator'!A:A,0),0),0)</f>
        <v>0</v>
      </c>
      <c r="K5649" s="455">
        <f t="shared" ca="1" si="211"/>
        <v>-10765618026873.061</v>
      </c>
      <c r="L5649" s="455">
        <f t="shared" ca="1" si="212"/>
        <v>-2594513944476407.5</v>
      </c>
      <c r="M5649" s="471">
        <f t="shared" si="214"/>
        <v>0.05</v>
      </c>
      <c r="N5649" s="475">
        <f t="shared" si="215"/>
        <v>222981</v>
      </c>
    </row>
    <row r="5650" spans="7:14" ht="11.25" customHeight="1" x14ac:dyDescent="0.3">
      <c r="G5650" s="470"/>
      <c r="H5650" s="470">
        <v>5643</v>
      </c>
      <c r="I5650" s="455">
        <f t="shared" ca="1" si="213"/>
        <v>-2594513944476407.5</v>
      </c>
      <c r="J5650" s="455">
        <f t="array" ref="J5650">IFERROR(INDEX('Retirement Calculator'!J:J,MATCH('Isaac 401k'!N5650,'Retirement Calculator'!A:A,0),0),0)</f>
        <v>0</v>
      </c>
      <c r="K5650" s="455">
        <f t="shared" ca="1" si="211"/>
        <v>-10810474768651.697</v>
      </c>
      <c r="L5650" s="455">
        <f t="shared" ca="1" si="212"/>
        <v>-2605324419245059</v>
      </c>
      <c r="M5650" s="471">
        <f t="shared" si="214"/>
        <v>0.05</v>
      </c>
      <c r="N5650" s="475">
        <f t="shared" si="215"/>
        <v>223012</v>
      </c>
    </row>
    <row r="5651" spans="7:14" ht="11.25" customHeight="1" x14ac:dyDescent="0.3">
      <c r="G5651" s="470"/>
      <c r="H5651" s="470">
        <v>5644</v>
      </c>
      <c r="I5651" s="455">
        <f t="shared" ca="1" si="213"/>
        <v>-2605324419245059</v>
      </c>
      <c r="J5651" s="455">
        <f t="array" ref="J5651">IFERROR(INDEX('Retirement Calculator'!J:J,MATCH('Isaac 401k'!N5651,'Retirement Calculator'!A:A,0),0),0)</f>
        <v>0</v>
      </c>
      <c r="K5651" s="455">
        <f t="shared" ca="1" si="211"/>
        <v>-10855518413521.078</v>
      </c>
      <c r="L5651" s="455">
        <f t="shared" ca="1" si="212"/>
        <v>-2616179937658580</v>
      </c>
      <c r="M5651" s="471">
        <f t="shared" si="214"/>
        <v>0.05</v>
      </c>
      <c r="N5651" s="475">
        <f t="shared" si="215"/>
        <v>223043</v>
      </c>
    </row>
    <row r="5652" spans="7:14" ht="11.25" customHeight="1" x14ac:dyDescent="0.3">
      <c r="G5652" s="470"/>
      <c r="H5652" s="470">
        <v>5645</v>
      </c>
      <c r="I5652" s="455">
        <f t="shared" ca="1" si="213"/>
        <v>-2616179937658580</v>
      </c>
      <c r="J5652" s="455">
        <f t="array" ref="J5652">IFERROR(INDEX('Retirement Calculator'!J:J,MATCH('Isaac 401k'!N5652,'Retirement Calculator'!A:A,0),0),0)</f>
        <v>0</v>
      </c>
      <c r="K5652" s="455">
        <f t="shared" ca="1" si="211"/>
        <v>-10900749740244.084</v>
      </c>
      <c r="L5652" s="455">
        <f t="shared" ca="1" si="212"/>
        <v>-2627080687398824</v>
      </c>
      <c r="M5652" s="471">
        <f t="shared" si="214"/>
        <v>0.05</v>
      </c>
      <c r="N5652" s="475">
        <f t="shared" si="215"/>
        <v>223073</v>
      </c>
    </row>
    <row r="5653" spans="7:14" ht="11.25" customHeight="1" x14ac:dyDescent="0.3">
      <c r="G5653" s="470"/>
      <c r="H5653" s="470">
        <v>5646</v>
      </c>
      <c r="I5653" s="455">
        <f t="shared" ca="1" si="213"/>
        <v>-2627080687398824</v>
      </c>
      <c r="J5653" s="455">
        <f t="array" ref="J5653">IFERROR(INDEX('Retirement Calculator'!J:J,MATCH('Isaac 401k'!N5653,'Retirement Calculator'!A:A,0),0),0)</f>
        <v>0</v>
      </c>
      <c r="K5653" s="455">
        <f t="shared" ca="1" si="211"/>
        <v>-10946169530828.434</v>
      </c>
      <c r="L5653" s="455">
        <f t="shared" ca="1" si="212"/>
        <v>-2638026856929652.5</v>
      </c>
      <c r="M5653" s="471">
        <f t="shared" si="214"/>
        <v>0.05</v>
      </c>
      <c r="N5653" s="475">
        <f t="shared" si="215"/>
        <v>223104</v>
      </c>
    </row>
    <row r="5654" spans="7:14" ht="11.25" customHeight="1" x14ac:dyDescent="0.3">
      <c r="G5654" s="470"/>
      <c r="H5654" s="470">
        <v>5647</v>
      </c>
      <c r="I5654" s="455">
        <f t="shared" ca="1" si="213"/>
        <v>-2638026856929652.5</v>
      </c>
      <c r="J5654" s="455">
        <f t="array" ref="J5654">IFERROR(INDEX('Retirement Calculator'!J:J,MATCH('Isaac 401k'!N5654,'Retirement Calculator'!A:A,0),0),0)</f>
        <v>0</v>
      </c>
      <c r="K5654" s="455">
        <f t="shared" ca="1" si="211"/>
        <v>-10991778570540.219</v>
      </c>
      <c r="L5654" s="455">
        <f t="shared" ca="1" si="212"/>
        <v>-2649018635500192.5</v>
      </c>
      <c r="M5654" s="471">
        <f t="shared" si="214"/>
        <v>0.05</v>
      </c>
      <c r="N5654" s="475">
        <f t="shared" si="215"/>
        <v>223134</v>
      </c>
    </row>
    <row r="5655" spans="7:14" ht="11.25" customHeight="1" x14ac:dyDescent="0.3">
      <c r="G5655" s="470"/>
      <c r="H5655" s="470">
        <v>5648</v>
      </c>
      <c r="I5655" s="455">
        <f t="shared" ca="1" si="213"/>
        <v>-2649018635500192.5</v>
      </c>
      <c r="J5655" s="455">
        <f t="array" ref="J5655">IFERROR(INDEX('Retirement Calculator'!J:J,MATCH('Isaac 401k'!N5655,'Retirement Calculator'!A:A,0),0),0)</f>
        <v>0</v>
      </c>
      <c r="K5655" s="455">
        <f t="shared" ca="1" si="211"/>
        <v>-11037577647917.469</v>
      </c>
      <c r="L5655" s="455">
        <f t="shared" ca="1" si="212"/>
        <v>-2660056213148110</v>
      </c>
      <c r="M5655" s="471">
        <f t="shared" si="214"/>
        <v>0.05</v>
      </c>
      <c r="N5655" s="475">
        <f t="shared" si="215"/>
        <v>223165</v>
      </c>
    </row>
    <row r="5656" spans="7:14" ht="11.25" customHeight="1" x14ac:dyDescent="0.3">
      <c r="G5656" s="470"/>
      <c r="H5656" s="470">
        <v>5649</v>
      </c>
      <c r="I5656" s="455">
        <f t="shared" ca="1" si="213"/>
        <v>-2660056213148110</v>
      </c>
      <c r="J5656" s="455">
        <f t="array" ref="J5656">IFERROR(INDEX('Retirement Calculator'!J:J,MATCH('Isaac 401k'!N5656,'Retirement Calculator'!A:A,0),0),0)</f>
        <v>0</v>
      </c>
      <c r="K5656" s="455">
        <f t="shared" ca="1" si="211"/>
        <v>-11083567554783.791</v>
      </c>
      <c r="L5656" s="455">
        <f t="shared" ca="1" si="212"/>
        <v>-2671139780702894</v>
      </c>
      <c r="M5656" s="471">
        <f t="shared" si="214"/>
        <v>0.05</v>
      </c>
      <c r="N5656" s="475">
        <f t="shared" si="215"/>
        <v>223196</v>
      </c>
    </row>
    <row r="5657" spans="7:14" ht="11.25" customHeight="1" x14ac:dyDescent="0.3">
      <c r="G5657" s="470"/>
      <c r="H5657" s="470">
        <v>5650</v>
      </c>
      <c r="I5657" s="455">
        <f t="shared" ca="1" si="213"/>
        <v>-2671139780702894</v>
      </c>
      <c r="J5657" s="455">
        <f t="array" ref="J5657">IFERROR(INDEX('Retirement Calculator'!J:J,MATCH('Isaac 401k'!N5657,'Retirement Calculator'!A:A,0),0),0)</f>
        <v>0</v>
      </c>
      <c r="K5657" s="455">
        <f t="shared" ca="1" si="211"/>
        <v>-11129749086262.059</v>
      </c>
      <c r="L5657" s="455">
        <f t="shared" ca="1" si="212"/>
        <v>-2682269529789156</v>
      </c>
      <c r="M5657" s="471">
        <f t="shared" si="214"/>
        <v>0.05</v>
      </c>
      <c r="N5657" s="475">
        <f t="shared" si="215"/>
        <v>223224</v>
      </c>
    </row>
    <row r="5658" spans="7:14" ht="11.25" customHeight="1" x14ac:dyDescent="0.3">
      <c r="G5658" s="470"/>
      <c r="H5658" s="470">
        <v>5651</v>
      </c>
      <c r="I5658" s="455">
        <f t="shared" ca="1" si="213"/>
        <v>-2682269529789156</v>
      </c>
      <c r="J5658" s="455">
        <f t="array" ref="J5658">IFERROR(INDEX('Retirement Calculator'!J:J,MATCH('Isaac 401k'!N5658,'Retirement Calculator'!A:A,0),0),0)</f>
        <v>0</v>
      </c>
      <c r="K5658" s="455">
        <f t="shared" ca="1" si="211"/>
        <v>-11176123040788.15</v>
      </c>
      <c r="L5658" s="455">
        <f t="shared" ca="1" si="212"/>
        <v>-2693445652829944</v>
      </c>
      <c r="M5658" s="471">
        <f t="shared" si="214"/>
        <v>0.05</v>
      </c>
      <c r="N5658" s="475">
        <f t="shared" si="215"/>
        <v>223255</v>
      </c>
    </row>
    <row r="5659" spans="7:14" ht="11.25" customHeight="1" x14ac:dyDescent="0.3">
      <c r="G5659" s="470"/>
      <c r="H5659" s="470">
        <v>5652</v>
      </c>
      <c r="I5659" s="455">
        <f t="shared" ca="1" si="213"/>
        <v>-2693445652829944</v>
      </c>
      <c r="J5659" s="455">
        <f t="array" ref="J5659">IFERROR(INDEX('Retirement Calculator'!J:J,MATCH('Isaac 401k'!N5659,'Retirement Calculator'!A:A,0),0),0)</f>
        <v>0</v>
      </c>
      <c r="K5659" s="455">
        <f t="shared" ca="1" si="211"/>
        <v>-11222690220124.766</v>
      </c>
      <c r="L5659" s="455">
        <f t="shared" ca="1" si="212"/>
        <v>-2704668343050069</v>
      </c>
      <c r="M5659" s="471">
        <f t="shared" si="214"/>
        <v>0.05</v>
      </c>
      <c r="N5659" s="475">
        <f t="shared" si="215"/>
        <v>223285</v>
      </c>
    </row>
    <row r="5660" spans="7:14" ht="11.25" customHeight="1" x14ac:dyDescent="0.3">
      <c r="G5660" s="470"/>
      <c r="H5660" s="470">
        <v>5653</v>
      </c>
      <c r="I5660" s="455">
        <f t="shared" ca="1" si="213"/>
        <v>-2704668343050069</v>
      </c>
      <c r="J5660" s="455">
        <f t="array" ref="J5660">IFERROR(INDEX('Retirement Calculator'!J:J,MATCH('Isaac 401k'!N5660,'Retirement Calculator'!A:A,0),0),0)</f>
        <v>0</v>
      </c>
      <c r="K5660" s="455">
        <f t="shared" ca="1" si="211"/>
        <v>-11269451429375.287</v>
      </c>
      <c r="L5660" s="455">
        <f t="shared" ca="1" si="212"/>
        <v>-2715937794479444.5</v>
      </c>
      <c r="M5660" s="471">
        <f t="shared" si="214"/>
        <v>0.05</v>
      </c>
      <c r="N5660" s="475">
        <f t="shared" si="215"/>
        <v>223316</v>
      </c>
    </row>
    <row r="5661" spans="7:14" ht="11.25" customHeight="1" x14ac:dyDescent="0.3">
      <c r="G5661" s="470"/>
      <c r="H5661" s="470">
        <v>5654</v>
      </c>
      <c r="I5661" s="455">
        <f t="shared" ca="1" si="213"/>
        <v>-2715937794479444.5</v>
      </c>
      <c r="J5661" s="455">
        <f t="array" ref="J5661">IFERROR(INDEX('Retirement Calculator'!J:J,MATCH('Isaac 401k'!N5661,'Retirement Calculator'!A:A,0),0),0)</f>
        <v>0</v>
      </c>
      <c r="K5661" s="455">
        <f t="shared" ca="1" si="211"/>
        <v>-11316407476997.686</v>
      </c>
      <c r="L5661" s="455">
        <f t="shared" ca="1" si="212"/>
        <v>-2727254201956442</v>
      </c>
      <c r="M5661" s="471">
        <f t="shared" si="214"/>
        <v>0.05</v>
      </c>
      <c r="N5661" s="475">
        <f t="shared" si="215"/>
        <v>223346</v>
      </c>
    </row>
    <row r="5662" spans="7:14" ht="11.25" customHeight="1" x14ac:dyDescent="0.3">
      <c r="G5662" s="470"/>
      <c r="H5662" s="470">
        <v>5655</v>
      </c>
      <c r="I5662" s="455">
        <f t="shared" ca="1" si="213"/>
        <v>-2727254201956442</v>
      </c>
      <c r="J5662" s="455">
        <f t="array" ref="J5662">IFERROR(INDEX('Retirement Calculator'!J:J,MATCH('Isaac 401k'!N5662,'Retirement Calculator'!A:A,0),0),0)</f>
        <v>0</v>
      </c>
      <c r="K5662" s="455">
        <f t="shared" ca="1" si="211"/>
        <v>-11363559174818.508</v>
      </c>
      <c r="L5662" s="455">
        <f t="shared" ca="1" si="212"/>
        <v>-2738617761131260.5</v>
      </c>
      <c r="M5662" s="471">
        <f t="shared" si="214"/>
        <v>0.05</v>
      </c>
      <c r="N5662" s="475">
        <f t="shared" si="215"/>
        <v>223377</v>
      </c>
    </row>
    <row r="5663" spans="7:14" ht="11.25" customHeight="1" x14ac:dyDescent="0.3">
      <c r="G5663" s="470"/>
      <c r="H5663" s="470">
        <v>5656</v>
      </c>
      <c r="I5663" s="455">
        <f t="shared" ca="1" si="213"/>
        <v>-2738617761131260.5</v>
      </c>
      <c r="J5663" s="455">
        <f t="array" ref="J5663">IFERROR(INDEX('Retirement Calculator'!J:J,MATCH('Isaac 401k'!N5663,'Retirement Calculator'!A:A,0),0),0)</f>
        <v>0</v>
      </c>
      <c r="K5663" s="455">
        <f t="shared" ca="1" si="211"/>
        <v>-11410907338046.918</v>
      </c>
      <c r="L5663" s="455">
        <f t="shared" ca="1" si="212"/>
        <v>-2750028668469307.5</v>
      </c>
      <c r="M5663" s="471">
        <f t="shared" si="214"/>
        <v>0.05</v>
      </c>
      <c r="N5663" s="475">
        <f t="shared" si="215"/>
        <v>223408</v>
      </c>
    </row>
    <row r="5664" spans="7:14" ht="11.25" customHeight="1" x14ac:dyDescent="0.3">
      <c r="G5664" s="470"/>
      <c r="H5664" s="470">
        <v>5657</v>
      </c>
      <c r="I5664" s="455">
        <f t="shared" ca="1" si="213"/>
        <v>-2750028668469307.5</v>
      </c>
      <c r="J5664" s="455">
        <f t="array" ref="J5664">IFERROR(INDEX('Retirement Calculator'!J:J,MATCH('Isaac 401k'!N5664,'Retirement Calculator'!A:A,0),0),0)</f>
        <v>0</v>
      </c>
      <c r="K5664" s="455">
        <f t="shared" ca="1" si="211"/>
        <v>-11458452785288.781</v>
      </c>
      <c r="L5664" s="455">
        <f t="shared" ca="1" si="212"/>
        <v>-2761487121254596.5</v>
      </c>
      <c r="M5664" s="471">
        <f t="shared" si="214"/>
        <v>0.05</v>
      </c>
      <c r="N5664" s="475">
        <f t="shared" si="215"/>
        <v>223438</v>
      </c>
    </row>
    <row r="5665" spans="7:14" ht="11.25" customHeight="1" x14ac:dyDescent="0.3">
      <c r="G5665" s="470"/>
      <c r="H5665" s="470">
        <v>5658</v>
      </c>
      <c r="I5665" s="455">
        <f t="shared" ca="1" si="213"/>
        <v>-2761487121254596.5</v>
      </c>
      <c r="J5665" s="455">
        <f t="array" ref="J5665">IFERROR(INDEX('Retirement Calculator'!J:J,MATCH('Isaac 401k'!N5665,'Retirement Calculator'!A:A,0),0),0)</f>
        <v>0</v>
      </c>
      <c r="K5665" s="455">
        <f t="shared" ca="1" si="211"/>
        <v>-11506196338560.818</v>
      </c>
      <c r="L5665" s="455">
        <f t="shared" ca="1" si="212"/>
        <v>-2772993317593157.5</v>
      </c>
      <c r="M5665" s="471">
        <f t="shared" si="214"/>
        <v>0.05</v>
      </c>
      <c r="N5665" s="475">
        <f t="shared" si="215"/>
        <v>223469</v>
      </c>
    </row>
    <row r="5666" spans="7:14" ht="11.25" customHeight="1" x14ac:dyDescent="0.3">
      <c r="G5666" s="470"/>
      <c r="H5666" s="470">
        <v>5659</v>
      </c>
      <c r="I5666" s="455">
        <f t="shared" ca="1" si="213"/>
        <v>-2772993317593157.5</v>
      </c>
      <c r="J5666" s="455">
        <f t="array" ref="J5666">IFERROR(INDEX('Retirement Calculator'!J:J,MATCH('Isaac 401k'!N5666,'Retirement Calculator'!A:A,0),0),0)</f>
        <v>0</v>
      </c>
      <c r="K5666" s="455">
        <f t="shared" ca="1" si="211"/>
        <v>-11554138823304.822</v>
      </c>
      <c r="L5666" s="455">
        <f t="shared" ca="1" si="212"/>
        <v>-2784547456416462.5</v>
      </c>
      <c r="M5666" s="471">
        <f t="shared" si="214"/>
        <v>0.05</v>
      </c>
      <c r="N5666" s="475">
        <f t="shared" si="215"/>
        <v>223499</v>
      </c>
    </row>
    <row r="5667" spans="7:14" ht="11.25" customHeight="1" x14ac:dyDescent="0.3">
      <c r="G5667" s="470"/>
      <c r="H5667" s="470">
        <v>5660</v>
      </c>
      <c r="I5667" s="455">
        <f t="shared" ca="1" si="213"/>
        <v>-2784547456416462.5</v>
      </c>
      <c r="J5667" s="455">
        <f t="array" ref="J5667">IFERROR(INDEX('Retirement Calculator'!J:J,MATCH('Isaac 401k'!N5667,'Retirement Calculator'!A:A,0),0),0)</f>
        <v>0</v>
      </c>
      <c r="K5667" s="455">
        <f t="shared" ca="1" si="211"/>
        <v>-11602281068401.928</v>
      </c>
      <c r="L5667" s="455">
        <f t="shared" ca="1" si="212"/>
        <v>-2796149737484864.5</v>
      </c>
      <c r="M5667" s="471">
        <f t="shared" si="214"/>
        <v>0.05</v>
      </c>
      <c r="N5667" s="475">
        <f t="shared" si="215"/>
        <v>223530</v>
      </c>
    </row>
    <row r="5668" spans="7:14" ht="11.25" customHeight="1" x14ac:dyDescent="0.3">
      <c r="G5668" s="470"/>
      <c r="H5668" s="470">
        <v>5661</v>
      </c>
      <c r="I5668" s="455">
        <f t="shared" ca="1" si="213"/>
        <v>-2796149737484864.5</v>
      </c>
      <c r="J5668" s="455">
        <f t="array" ref="J5668">IFERROR(INDEX('Retirement Calculator'!J:J,MATCH('Isaac 401k'!N5668,'Retirement Calculator'!A:A,0),0),0)</f>
        <v>0</v>
      </c>
      <c r="K5668" s="455">
        <f t="shared" ca="1" si="211"/>
        <v>-11650623906186.936</v>
      </c>
      <c r="L5668" s="455">
        <f t="shared" ca="1" si="212"/>
        <v>-2807800361391051.5</v>
      </c>
      <c r="M5668" s="471">
        <f t="shared" si="214"/>
        <v>0.05</v>
      </c>
      <c r="N5668" s="475">
        <f t="shared" si="215"/>
        <v>223561</v>
      </c>
    </row>
    <row r="5669" spans="7:14" ht="11.25" customHeight="1" x14ac:dyDescent="0.3">
      <c r="G5669" s="470"/>
      <c r="H5669" s="470">
        <v>5662</v>
      </c>
      <c r="I5669" s="455">
        <f t="shared" ca="1" si="213"/>
        <v>-2807800361391051.5</v>
      </c>
      <c r="J5669" s="455">
        <f t="array" ref="J5669">IFERROR(INDEX('Retirement Calculator'!J:J,MATCH('Isaac 401k'!N5669,'Retirement Calculator'!A:A,0),0),0)</f>
        <v>0</v>
      </c>
      <c r="K5669" s="455">
        <f t="shared" ca="1" si="211"/>
        <v>-11699168172462.715</v>
      </c>
      <c r="L5669" s="455">
        <f t="shared" ca="1" si="212"/>
        <v>-2819499529563514</v>
      </c>
      <c r="M5669" s="471">
        <f t="shared" si="214"/>
        <v>0.05</v>
      </c>
      <c r="N5669" s="475">
        <f t="shared" si="215"/>
        <v>223590</v>
      </c>
    </row>
    <row r="5670" spans="7:14" ht="11.25" customHeight="1" x14ac:dyDescent="0.3">
      <c r="G5670" s="470"/>
      <c r="H5670" s="470">
        <v>5663</v>
      </c>
      <c r="I5670" s="455">
        <f t="shared" ca="1" si="213"/>
        <v>-2819499529563514</v>
      </c>
      <c r="J5670" s="455">
        <f t="array" ref="J5670">IFERROR(INDEX('Retirement Calculator'!J:J,MATCH('Isaac 401k'!N5670,'Retirement Calculator'!A:A,0),0),0)</f>
        <v>0</v>
      </c>
      <c r="K5670" s="455">
        <f t="shared" ca="1" si="211"/>
        <v>-11747914706514.641</v>
      </c>
      <c r="L5670" s="455">
        <f t="shared" ca="1" si="212"/>
        <v>-2831247444270028.5</v>
      </c>
      <c r="M5670" s="471">
        <f t="shared" si="214"/>
        <v>0.05</v>
      </c>
      <c r="N5670" s="475">
        <f t="shared" si="215"/>
        <v>223621</v>
      </c>
    </row>
    <row r="5671" spans="7:14" ht="11.25" customHeight="1" x14ac:dyDescent="0.3">
      <c r="G5671" s="470"/>
      <c r="H5671" s="470">
        <v>5664</v>
      </c>
      <c r="I5671" s="455">
        <f t="shared" ca="1" si="213"/>
        <v>-2831247444270028.5</v>
      </c>
      <c r="J5671" s="455">
        <f t="array" ref="J5671">IFERROR(INDEX('Retirement Calculator'!J:J,MATCH('Isaac 401k'!N5671,'Retirement Calculator'!A:A,0),0),0)</f>
        <v>0</v>
      </c>
      <c r="K5671" s="455">
        <f t="shared" ca="1" si="211"/>
        <v>-11796864351125.119</v>
      </c>
      <c r="L5671" s="455">
        <f t="shared" ca="1" si="212"/>
        <v>-2843044308621153.5</v>
      </c>
      <c r="M5671" s="471">
        <f t="shared" si="214"/>
        <v>0.05</v>
      </c>
      <c r="N5671" s="475">
        <f t="shared" si="215"/>
        <v>223651</v>
      </c>
    </row>
    <row r="5672" spans="7:14" ht="11.25" customHeight="1" x14ac:dyDescent="0.3">
      <c r="G5672" s="470"/>
      <c r="H5672" s="470">
        <v>5665</v>
      </c>
      <c r="I5672" s="455">
        <f t="shared" ca="1" si="213"/>
        <v>-2843044308621153.5</v>
      </c>
      <c r="J5672" s="455">
        <f t="array" ref="J5672">IFERROR(INDEX('Retirement Calculator'!J:J,MATCH('Isaac 401k'!N5672,'Retirement Calculator'!A:A,0),0),0)</f>
        <v>0</v>
      </c>
      <c r="K5672" s="455">
        <f t="shared" ca="1" si="211"/>
        <v>-11846017952588.139</v>
      </c>
      <c r="L5672" s="455">
        <f t="shared" ca="1" si="212"/>
        <v>-2854890326573741.5</v>
      </c>
      <c r="M5672" s="471">
        <f t="shared" si="214"/>
        <v>0.05</v>
      </c>
      <c r="N5672" s="475">
        <f t="shared" si="215"/>
        <v>223682</v>
      </c>
    </row>
    <row r="5673" spans="7:14" ht="11.25" customHeight="1" x14ac:dyDescent="0.3">
      <c r="G5673" s="470"/>
      <c r="H5673" s="470">
        <v>5666</v>
      </c>
      <c r="I5673" s="455">
        <f t="shared" ca="1" si="213"/>
        <v>-2854890326573741.5</v>
      </c>
      <c r="J5673" s="455">
        <f t="array" ref="J5673">IFERROR(INDEX('Retirement Calculator'!J:J,MATCH('Isaac 401k'!N5673,'Retirement Calculator'!A:A,0),0),0)</f>
        <v>0</v>
      </c>
      <c r="K5673" s="455">
        <f t="shared" ca="1" si="211"/>
        <v>-11895376360723.922</v>
      </c>
      <c r="L5673" s="455">
        <f t="shared" ca="1" si="212"/>
        <v>-2866785702934465.5</v>
      </c>
      <c r="M5673" s="471">
        <f t="shared" si="214"/>
        <v>0.05</v>
      </c>
      <c r="N5673" s="475">
        <f t="shared" si="215"/>
        <v>223712</v>
      </c>
    </row>
    <row r="5674" spans="7:14" ht="11.25" customHeight="1" x14ac:dyDescent="0.3">
      <c r="G5674" s="470"/>
      <c r="H5674" s="470">
        <v>5667</v>
      </c>
      <c r="I5674" s="455">
        <f t="shared" ca="1" si="213"/>
        <v>-2866785702934465.5</v>
      </c>
      <c r="J5674" s="455">
        <f t="array" ref="J5674">IFERROR(INDEX('Retirement Calculator'!J:J,MATCH('Isaac 401k'!N5674,'Retirement Calculator'!A:A,0),0),0)</f>
        <v>0</v>
      </c>
      <c r="K5674" s="455">
        <f t="shared" ca="1" si="211"/>
        <v>-11944940428893.605</v>
      </c>
      <c r="L5674" s="455">
        <f t="shared" ca="1" si="212"/>
        <v>-2878730643363359</v>
      </c>
      <c r="M5674" s="471">
        <f t="shared" si="214"/>
        <v>0.05</v>
      </c>
      <c r="N5674" s="475">
        <f t="shared" si="215"/>
        <v>223743</v>
      </c>
    </row>
    <row r="5675" spans="7:14" ht="11.25" customHeight="1" x14ac:dyDescent="0.3">
      <c r="G5675" s="470"/>
      <c r="H5675" s="470">
        <v>5668</v>
      </c>
      <c r="I5675" s="455">
        <f t="shared" ca="1" si="213"/>
        <v>-2878730643363359</v>
      </c>
      <c r="J5675" s="455">
        <f t="array" ref="J5675">IFERROR(INDEX('Retirement Calculator'!J:J,MATCH('Isaac 401k'!N5675,'Retirement Calculator'!A:A,0),0),0)</f>
        <v>0</v>
      </c>
      <c r="K5675" s="455">
        <f t="shared" ca="1" si="211"/>
        <v>-11994711014013.996</v>
      </c>
      <c r="L5675" s="455">
        <f t="shared" ca="1" si="212"/>
        <v>-2890725354377373</v>
      </c>
      <c r="M5675" s="471">
        <f t="shared" si="214"/>
        <v>0.05</v>
      </c>
      <c r="N5675" s="475">
        <f t="shared" si="215"/>
        <v>223774</v>
      </c>
    </row>
    <row r="5676" spans="7:14" ht="11.25" customHeight="1" x14ac:dyDescent="0.3">
      <c r="G5676" s="470"/>
      <c r="H5676" s="470">
        <v>5669</v>
      </c>
      <c r="I5676" s="455">
        <f t="shared" ca="1" si="213"/>
        <v>-2890725354377373</v>
      </c>
      <c r="J5676" s="455">
        <f t="array" ref="J5676">IFERROR(INDEX('Retirement Calculator'!J:J,MATCH('Isaac 401k'!N5676,'Retirement Calculator'!A:A,0),0),0)</f>
        <v>0</v>
      </c>
      <c r="K5676" s="455">
        <f t="shared" ca="1" si="211"/>
        <v>-12044688976572.387</v>
      </c>
      <c r="L5676" s="455">
        <f t="shared" ca="1" si="212"/>
        <v>-2902770043353945.5</v>
      </c>
      <c r="M5676" s="471">
        <f t="shared" si="214"/>
        <v>0.05</v>
      </c>
      <c r="N5676" s="475">
        <f t="shared" si="215"/>
        <v>223804</v>
      </c>
    </row>
    <row r="5677" spans="7:14" ht="11.25" customHeight="1" x14ac:dyDescent="0.3">
      <c r="G5677" s="470"/>
      <c r="H5677" s="470">
        <v>5670</v>
      </c>
      <c r="I5677" s="455">
        <f t="shared" ca="1" si="213"/>
        <v>-2902770043353945.5</v>
      </c>
      <c r="J5677" s="455">
        <f t="array" ref="J5677">IFERROR(INDEX('Retirement Calculator'!J:J,MATCH('Isaac 401k'!N5677,'Retirement Calculator'!A:A,0),0),0)</f>
        <v>0</v>
      </c>
      <c r="K5677" s="455">
        <f t="shared" ca="1" si="211"/>
        <v>-12094875180641.439</v>
      </c>
      <c r="L5677" s="455">
        <f t="shared" ca="1" si="212"/>
        <v>-2914864918534587</v>
      </c>
      <c r="M5677" s="471">
        <f t="shared" si="214"/>
        <v>0.05</v>
      </c>
      <c r="N5677" s="475">
        <f t="shared" si="215"/>
        <v>223835</v>
      </c>
    </row>
    <row r="5678" spans="7:14" ht="11.25" customHeight="1" x14ac:dyDescent="0.3">
      <c r="G5678" s="470"/>
      <c r="H5678" s="470">
        <v>5671</v>
      </c>
      <c r="I5678" s="455">
        <f t="shared" ca="1" si="213"/>
        <v>-2914864918534587</v>
      </c>
      <c r="J5678" s="455">
        <f t="array" ref="J5678">IFERROR(INDEX('Retirement Calculator'!J:J,MATCH('Isaac 401k'!N5678,'Retirement Calculator'!A:A,0),0),0)</f>
        <v>0</v>
      </c>
      <c r="K5678" s="455">
        <f t="shared" ca="1" si="211"/>
        <v>-12145270493894.113</v>
      </c>
      <c r="L5678" s="455">
        <f t="shared" ca="1" si="212"/>
        <v>-2927010189028481</v>
      </c>
      <c r="M5678" s="471">
        <f t="shared" si="214"/>
        <v>0.05</v>
      </c>
      <c r="N5678" s="475">
        <f t="shared" si="215"/>
        <v>223865</v>
      </c>
    </row>
    <row r="5679" spans="7:14" ht="11.25" customHeight="1" x14ac:dyDescent="0.3">
      <c r="G5679" s="470"/>
      <c r="H5679" s="470">
        <v>5672</v>
      </c>
      <c r="I5679" s="455">
        <f t="shared" ca="1" si="213"/>
        <v>-2927010189028481</v>
      </c>
      <c r="J5679" s="455">
        <f t="array" ref="J5679">IFERROR(INDEX('Retirement Calculator'!J:J,MATCH('Isaac 401k'!N5679,'Retirement Calculator'!A:A,0),0),0)</f>
        <v>0</v>
      </c>
      <c r="K5679" s="455">
        <f t="shared" ca="1" si="211"/>
        <v>-12195875787618.67</v>
      </c>
      <c r="L5679" s="455">
        <f t="shared" ca="1" si="212"/>
        <v>-2939206064816099.5</v>
      </c>
      <c r="M5679" s="471">
        <f t="shared" si="214"/>
        <v>0.05</v>
      </c>
      <c r="N5679" s="475">
        <f t="shared" si="215"/>
        <v>223896</v>
      </c>
    </row>
    <row r="5680" spans="7:14" ht="11.25" customHeight="1" x14ac:dyDescent="0.3">
      <c r="G5680" s="470"/>
      <c r="H5680" s="470">
        <v>5673</v>
      </c>
      <c r="I5680" s="455">
        <f t="shared" ca="1" si="213"/>
        <v>-2939206064816099.5</v>
      </c>
      <c r="J5680" s="455">
        <f t="array" ref="J5680">IFERROR(INDEX('Retirement Calculator'!J:J,MATCH('Isaac 401k'!N5680,'Retirement Calculator'!A:A,0),0),0)</f>
        <v>0</v>
      </c>
      <c r="K5680" s="455">
        <f t="shared" ca="1" si="211"/>
        <v>-12246691936733.748</v>
      </c>
      <c r="L5680" s="455">
        <f t="shared" ca="1" si="212"/>
        <v>-2951452756752833</v>
      </c>
      <c r="M5680" s="471">
        <f t="shared" si="214"/>
        <v>0.05</v>
      </c>
      <c r="N5680" s="475">
        <f t="shared" si="215"/>
        <v>223927</v>
      </c>
    </row>
    <row r="5681" spans="7:14" ht="11.25" customHeight="1" x14ac:dyDescent="0.3">
      <c r="G5681" s="470"/>
      <c r="H5681" s="470">
        <v>5674</v>
      </c>
      <c r="I5681" s="455">
        <f t="shared" ca="1" si="213"/>
        <v>-2951452756752833</v>
      </c>
      <c r="J5681" s="455">
        <f t="array" ref="J5681">IFERROR(INDEX('Retirement Calculator'!J:J,MATCH('Isaac 401k'!N5681,'Retirement Calculator'!A:A,0),0),0)</f>
        <v>0</v>
      </c>
      <c r="K5681" s="455">
        <f t="shared" ca="1" si="211"/>
        <v>-12297719819803.471</v>
      </c>
      <c r="L5681" s="455">
        <f t="shared" ca="1" si="212"/>
        <v>-2963750476572636.5</v>
      </c>
      <c r="M5681" s="471">
        <f t="shared" si="214"/>
        <v>0.05</v>
      </c>
      <c r="N5681" s="475">
        <f t="shared" si="215"/>
        <v>223955</v>
      </c>
    </row>
    <row r="5682" spans="7:14" ht="11.25" customHeight="1" x14ac:dyDescent="0.3">
      <c r="G5682" s="470"/>
      <c r="H5682" s="470">
        <v>5675</v>
      </c>
      <c r="I5682" s="455">
        <f t="shared" ca="1" si="213"/>
        <v>-2963750476572636.5</v>
      </c>
      <c r="J5682" s="455">
        <f t="array" ref="J5682">IFERROR(INDEX('Retirement Calculator'!J:J,MATCH('Isaac 401k'!N5682,'Retirement Calculator'!A:A,0),0),0)</f>
        <v>0</v>
      </c>
      <c r="K5682" s="455">
        <f t="shared" ca="1" si="211"/>
        <v>-12348960319052.652</v>
      </c>
      <c r="L5682" s="455">
        <f t="shared" ca="1" si="212"/>
        <v>-2976099436891689</v>
      </c>
      <c r="M5682" s="471">
        <f t="shared" si="214"/>
        <v>0.05</v>
      </c>
      <c r="N5682" s="475">
        <f t="shared" si="215"/>
        <v>223986</v>
      </c>
    </row>
    <row r="5683" spans="7:14" ht="11.25" customHeight="1" x14ac:dyDescent="0.3">
      <c r="G5683" s="470"/>
      <c r="H5683" s="470">
        <v>5676</v>
      </c>
      <c r="I5683" s="455">
        <f t="shared" ca="1" si="213"/>
        <v>-2976099436891689</v>
      </c>
      <c r="J5683" s="455">
        <f t="array" ref="J5683">IFERROR(INDEX('Retirement Calculator'!J:J,MATCH('Isaac 401k'!N5683,'Retirement Calculator'!A:A,0),0),0)</f>
        <v>0</v>
      </c>
      <c r="K5683" s="455">
        <f t="shared" ca="1" si="211"/>
        <v>-12400414320382.037</v>
      </c>
      <c r="L5683" s="455">
        <f t="shared" ca="1" si="212"/>
        <v>-2988499851212071</v>
      </c>
      <c r="M5683" s="471">
        <f t="shared" si="214"/>
        <v>0.05</v>
      </c>
      <c r="N5683" s="475">
        <f t="shared" si="215"/>
        <v>224016</v>
      </c>
    </row>
    <row r="5684" spans="7:14" ht="11.25" customHeight="1" x14ac:dyDescent="0.3">
      <c r="G5684" s="470"/>
      <c r="H5684" s="470">
        <v>5677</v>
      </c>
      <c r="I5684" s="455">
        <f t="shared" ca="1" si="213"/>
        <v>-2988499851212071</v>
      </c>
      <c r="J5684" s="455">
        <f t="array" ref="J5684">IFERROR(INDEX('Retirement Calculator'!J:J,MATCH('Isaac 401k'!N5684,'Retirement Calculator'!A:A,0),0),0)</f>
        <v>0</v>
      </c>
      <c r="K5684" s="455">
        <f t="shared" ca="1" si="211"/>
        <v>-12452082713383.629</v>
      </c>
      <c r="L5684" s="455">
        <f t="shared" ca="1" si="212"/>
        <v>-3000951933925454.5</v>
      </c>
      <c r="M5684" s="471">
        <f t="shared" si="214"/>
        <v>0.05</v>
      </c>
      <c r="N5684" s="475">
        <f t="shared" si="215"/>
        <v>224047</v>
      </c>
    </row>
    <row r="5685" spans="7:14" ht="11.25" customHeight="1" x14ac:dyDescent="0.3">
      <c r="G5685" s="470"/>
      <c r="H5685" s="470">
        <v>5678</v>
      </c>
      <c r="I5685" s="455">
        <f t="shared" ca="1" si="213"/>
        <v>-3000951933925454.5</v>
      </c>
      <c r="J5685" s="455">
        <f t="array" ref="J5685">IFERROR(INDEX('Retirement Calculator'!J:J,MATCH('Isaac 401k'!N5685,'Retirement Calculator'!A:A,0),0),0)</f>
        <v>0</v>
      </c>
      <c r="K5685" s="455">
        <f t="shared" ca="1" si="211"/>
        <v>-12503966391356.061</v>
      </c>
      <c r="L5685" s="455">
        <f t="shared" ca="1" si="212"/>
        <v>-3013455900316810.5</v>
      </c>
      <c r="M5685" s="471">
        <f t="shared" si="214"/>
        <v>0.05</v>
      </c>
      <c r="N5685" s="475">
        <f t="shared" si="215"/>
        <v>224077</v>
      </c>
    </row>
    <row r="5686" spans="7:14" ht="11.25" customHeight="1" x14ac:dyDescent="0.3">
      <c r="G5686" s="470"/>
      <c r="H5686" s="470">
        <v>5679</v>
      </c>
      <c r="I5686" s="455">
        <f t="shared" ca="1" si="213"/>
        <v>-3013455900316810.5</v>
      </c>
      <c r="J5686" s="455">
        <f t="array" ref="J5686">IFERROR(INDEX('Retirement Calculator'!J:J,MATCH('Isaac 401k'!N5686,'Retirement Calculator'!A:A,0),0),0)</f>
        <v>0</v>
      </c>
      <c r="K5686" s="455">
        <f t="shared" ca="1" si="211"/>
        <v>-12556066251320.043</v>
      </c>
      <c r="L5686" s="455">
        <f t="shared" ca="1" si="212"/>
        <v>-3026011966568130.5</v>
      </c>
      <c r="M5686" s="471">
        <f t="shared" si="214"/>
        <v>0.05</v>
      </c>
      <c r="N5686" s="475">
        <f t="shared" si="215"/>
        <v>224108</v>
      </c>
    </row>
    <row r="5687" spans="7:14" ht="11.25" customHeight="1" x14ac:dyDescent="0.3">
      <c r="G5687" s="470"/>
      <c r="H5687" s="470">
        <v>5680</v>
      </c>
      <c r="I5687" s="455">
        <f t="shared" ca="1" si="213"/>
        <v>-3026011966568130.5</v>
      </c>
      <c r="J5687" s="455">
        <f t="array" ref="J5687">IFERROR(INDEX('Retirement Calculator'!J:J,MATCH('Isaac 401k'!N5687,'Retirement Calculator'!A:A,0),0),0)</f>
        <v>0</v>
      </c>
      <c r="K5687" s="455">
        <f t="shared" ca="1" si="211"/>
        <v>-12608383194033.877</v>
      </c>
      <c r="L5687" s="455">
        <f t="shared" ca="1" si="212"/>
        <v>-3038620349762164.5</v>
      </c>
      <c r="M5687" s="471">
        <f t="shared" si="214"/>
        <v>0.05</v>
      </c>
      <c r="N5687" s="475">
        <f t="shared" si="215"/>
        <v>224139</v>
      </c>
    </row>
    <row r="5688" spans="7:14" ht="11.25" customHeight="1" x14ac:dyDescent="0.3">
      <c r="G5688" s="470"/>
      <c r="H5688" s="470">
        <v>5681</v>
      </c>
      <c r="I5688" s="455">
        <f t="shared" ca="1" si="213"/>
        <v>-3038620349762164.5</v>
      </c>
      <c r="J5688" s="455">
        <f t="array" ref="J5688">IFERROR(INDEX('Retirement Calculator'!J:J,MATCH('Isaac 401k'!N5688,'Retirement Calculator'!A:A,0),0),0)</f>
        <v>0</v>
      </c>
      <c r="K5688" s="455">
        <f t="shared" ca="1" si="211"/>
        <v>-12660918124009.02</v>
      </c>
      <c r="L5688" s="455">
        <f t="shared" ca="1" si="212"/>
        <v>-3051281267886173.5</v>
      </c>
      <c r="M5688" s="471">
        <f t="shared" si="214"/>
        <v>0.05</v>
      </c>
      <c r="N5688" s="475">
        <f t="shared" si="215"/>
        <v>224169</v>
      </c>
    </row>
    <row r="5689" spans="7:14" ht="11.25" customHeight="1" x14ac:dyDescent="0.3">
      <c r="G5689" s="470"/>
      <c r="H5689" s="470">
        <v>5682</v>
      </c>
      <c r="I5689" s="455">
        <f t="shared" ca="1" si="213"/>
        <v>-3051281267886173.5</v>
      </c>
      <c r="J5689" s="455">
        <f t="array" ref="J5689">IFERROR(INDEX('Retirement Calculator'!J:J,MATCH('Isaac 401k'!N5689,'Retirement Calculator'!A:A,0),0),0)</f>
        <v>0</v>
      </c>
      <c r="K5689" s="455">
        <f t="shared" ca="1" si="211"/>
        <v>-12713671949525.723</v>
      </c>
      <c r="L5689" s="455">
        <f t="shared" ca="1" si="212"/>
        <v>-3063994939835699</v>
      </c>
      <c r="M5689" s="471">
        <f t="shared" si="214"/>
        <v>0.05</v>
      </c>
      <c r="N5689" s="475">
        <f t="shared" si="215"/>
        <v>224200</v>
      </c>
    </row>
    <row r="5690" spans="7:14" ht="11.25" customHeight="1" x14ac:dyDescent="0.3">
      <c r="G5690" s="470"/>
      <c r="H5690" s="470">
        <v>5683</v>
      </c>
      <c r="I5690" s="455">
        <f t="shared" ca="1" si="213"/>
        <v>-3063994939835699</v>
      </c>
      <c r="J5690" s="455">
        <f t="array" ref="J5690">IFERROR(INDEX('Retirement Calculator'!J:J,MATCH('Isaac 401k'!N5690,'Retirement Calculator'!A:A,0),0),0)</f>
        <v>0</v>
      </c>
      <c r="K5690" s="455">
        <f t="shared" ca="1" si="211"/>
        <v>-12766645582648.746</v>
      </c>
      <c r="L5690" s="455">
        <f t="shared" ca="1" si="212"/>
        <v>-3076761585418347.5</v>
      </c>
      <c r="M5690" s="471">
        <f t="shared" si="214"/>
        <v>0.05</v>
      </c>
      <c r="N5690" s="475">
        <f t="shared" si="215"/>
        <v>224230</v>
      </c>
    </row>
    <row r="5691" spans="7:14" ht="11.25" customHeight="1" x14ac:dyDescent="0.3">
      <c r="G5691" s="470"/>
      <c r="H5691" s="470">
        <v>5684</v>
      </c>
      <c r="I5691" s="455">
        <f t="shared" ca="1" si="213"/>
        <v>-3076761585418347.5</v>
      </c>
      <c r="J5691" s="455">
        <f t="array" ref="J5691">IFERROR(INDEX('Retirement Calculator'!J:J,MATCH('Isaac 401k'!N5691,'Retirement Calculator'!A:A,0),0),0)</f>
        <v>0</v>
      </c>
      <c r="K5691" s="455">
        <f t="shared" ca="1" si="211"/>
        <v>-12819839939243.115</v>
      </c>
      <c r="L5691" s="455">
        <f t="shared" ca="1" si="212"/>
        <v>-3089581425357590.5</v>
      </c>
      <c r="M5691" s="471">
        <f t="shared" si="214"/>
        <v>0.05</v>
      </c>
      <c r="N5691" s="475">
        <f t="shared" si="215"/>
        <v>224261</v>
      </c>
    </row>
    <row r="5692" spans="7:14" ht="11.25" customHeight="1" x14ac:dyDescent="0.3">
      <c r="G5692" s="470"/>
      <c r="H5692" s="470">
        <v>5685</v>
      </c>
      <c r="I5692" s="455">
        <f t="shared" ca="1" si="213"/>
        <v>-3089581425357590.5</v>
      </c>
      <c r="J5692" s="455">
        <f t="array" ref="J5692">IFERROR(INDEX('Retirement Calculator'!J:J,MATCH('Isaac 401k'!N5692,'Retirement Calculator'!A:A,0),0),0)</f>
        <v>0</v>
      </c>
      <c r="K5692" s="455">
        <f t="shared" ca="1" si="211"/>
        <v>-12873255938989.961</v>
      </c>
      <c r="L5692" s="455">
        <f t="shared" ca="1" si="212"/>
        <v>-3102454681296580.5</v>
      </c>
      <c r="M5692" s="471">
        <f t="shared" si="214"/>
        <v>0.05</v>
      </c>
      <c r="N5692" s="475">
        <f t="shared" si="215"/>
        <v>224292</v>
      </c>
    </row>
    <row r="5693" spans="7:14" ht="11.25" customHeight="1" x14ac:dyDescent="0.3">
      <c r="G5693" s="470"/>
      <c r="H5693" s="470">
        <v>5686</v>
      </c>
      <c r="I5693" s="455">
        <f t="shared" ca="1" si="213"/>
        <v>-3102454681296580.5</v>
      </c>
      <c r="J5693" s="455">
        <f t="array" ref="J5693">IFERROR(INDEX('Retirement Calculator'!J:J,MATCH('Isaac 401k'!N5693,'Retirement Calculator'!A:A,0),0),0)</f>
        <v>0</v>
      </c>
      <c r="K5693" s="455">
        <f t="shared" ca="1" si="211"/>
        <v>-12926894505402.418</v>
      </c>
      <c r="L5693" s="455">
        <f t="shared" ca="1" si="212"/>
        <v>-3115381575801983</v>
      </c>
      <c r="M5693" s="471">
        <f t="shared" si="214"/>
        <v>0.05</v>
      </c>
      <c r="N5693" s="475">
        <f t="shared" si="215"/>
        <v>224320</v>
      </c>
    </row>
    <row r="5694" spans="7:14" ht="11.25" customHeight="1" x14ac:dyDescent="0.3">
      <c r="G5694" s="470"/>
      <c r="H5694" s="470">
        <v>5687</v>
      </c>
      <c r="I5694" s="455">
        <f t="shared" ca="1" si="213"/>
        <v>-3115381575801983</v>
      </c>
      <c r="J5694" s="455">
        <f t="array" ref="J5694">IFERROR(INDEX('Retirement Calculator'!J:J,MATCH('Isaac 401k'!N5694,'Retirement Calculator'!A:A,0),0),0)</f>
        <v>0</v>
      </c>
      <c r="K5694" s="455">
        <f t="shared" ca="1" si="211"/>
        <v>-12980756565841.596</v>
      </c>
      <c r="L5694" s="455">
        <f t="shared" ca="1" si="212"/>
        <v>-3128362332367824.5</v>
      </c>
      <c r="M5694" s="471">
        <f t="shared" si="214"/>
        <v>0.05</v>
      </c>
      <c r="N5694" s="475">
        <f t="shared" si="215"/>
        <v>224351</v>
      </c>
    </row>
    <row r="5695" spans="7:14" ht="11.25" customHeight="1" x14ac:dyDescent="0.3">
      <c r="G5695" s="470"/>
      <c r="H5695" s="470">
        <v>5688</v>
      </c>
      <c r="I5695" s="455">
        <f t="shared" ca="1" si="213"/>
        <v>-3128362332367824.5</v>
      </c>
      <c r="J5695" s="455">
        <f t="array" ref="J5695">IFERROR(INDEX('Retirement Calculator'!J:J,MATCH('Isaac 401k'!N5695,'Retirement Calculator'!A:A,0),0),0)</f>
        <v>0</v>
      </c>
      <c r="K5695" s="455">
        <f t="shared" ca="1" si="211"/>
        <v>-13034843051532.602</v>
      </c>
      <c r="L5695" s="455">
        <f t="shared" ca="1" si="212"/>
        <v>-3141397175419357</v>
      </c>
      <c r="M5695" s="471">
        <f t="shared" si="214"/>
        <v>0.05</v>
      </c>
      <c r="N5695" s="475">
        <f t="shared" si="215"/>
        <v>224381</v>
      </c>
    </row>
    <row r="5696" spans="7:14" ht="11.25" customHeight="1" x14ac:dyDescent="0.3">
      <c r="G5696" s="470"/>
      <c r="H5696" s="470">
        <v>5689</v>
      </c>
      <c r="I5696" s="455">
        <f t="shared" ca="1" si="213"/>
        <v>-3141397175419357</v>
      </c>
      <c r="J5696" s="455">
        <f t="array" ref="J5696">IFERROR(INDEX('Retirement Calculator'!J:J,MATCH('Isaac 401k'!N5696,'Retirement Calculator'!A:A,0),0),0)</f>
        <v>0</v>
      </c>
      <c r="K5696" s="455">
        <f t="shared" ca="1" si="211"/>
        <v>-13089154897580.654</v>
      </c>
      <c r="L5696" s="455">
        <f t="shared" ca="1" si="212"/>
        <v>-3154486330316937.5</v>
      </c>
      <c r="M5696" s="471">
        <f t="shared" si="214"/>
        <v>0.05</v>
      </c>
      <c r="N5696" s="475">
        <f t="shared" si="215"/>
        <v>224412</v>
      </c>
    </row>
    <row r="5697" spans="7:14" ht="11.25" customHeight="1" x14ac:dyDescent="0.3">
      <c r="G5697" s="470"/>
      <c r="H5697" s="470">
        <v>5690</v>
      </c>
      <c r="I5697" s="455">
        <f t="shared" ca="1" si="213"/>
        <v>-3154486330316937.5</v>
      </c>
      <c r="J5697" s="455">
        <f t="array" ref="J5697">IFERROR(INDEX('Retirement Calculator'!J:J,MATCH('Isaac 401k'!N5697,'Retirement Calculator'!A:A,0),0),0)</f>
        <v>0</v>
      </c>
      <c r="K5697" s="455">
        <f t="shared" ca="1" si="211"/>
        <v>-13143693042987.24</v>
      </c>
      <c r="L5697" s="455">
        <f t="shared" ca="1" si="212"/>
        <v>-3167630023359924.5</v>
      </c>
      <c r="M5697" s="471">
        <f t="shared" si="214"/>
        <v>0.05</v>
      </c>
      <c r="N5697" s="475">
        <f t="shared" si="215"/>
        <v>224442</v>
      </c>
    </row>
    <row r="5698" spans="7:14" ht="11.25" customHeight="1" x14ac:dyDescent="0.3">
      <c r="G5698" s="470"/>
      <c r="H5698" s="470">
        <v>5691</v>
      </c>
      <c r="I5698" s="455">
        <f t="shared" ca="1" si="213"/>
        <v>-3167630023359924.5</v>
      </c>
      <c r="J5698" s="455">
        <f t="array" ref="J5698">IFERROR(INDEX('Retirement Calculator'!J:J,MATCH('Isaac 401k'!N5698,'Retirement Calculator'!A:A,0),0),0)</f>
        <v>0</v>
      </c>
      <c r="K5698" s="455">
        <f t="shared" ca="1" si="211"/>
        <v>-13198458430666.352</v>
      </c>
      <c r="L5698" s="455">
        <f t="shared" ca="1" si="212"/>
        <v>-3180828481790591</v>
      </c>
      <c r="M5698" s="471">
        <f t="shared" si="214"/>
        <v>0.05</v>
      </c>
      <c r="N5698" s="475">
        <f t="shared" si="215"/>
        <v>224473</v>
      </c>
    </row>
    <row r="5699" spans="7:14" ht="11.25" customHeight="1" x14ac:dyDescent="0.3">
      <c r="G5699" s="470"/>
      <c r="H5699" s="470">
        <v>5692</v>
      </c>
      <c r="I5699" s="455">
        <f t="shared" ca="1" si="213"/>
        <v>-3180828481790591</v>
      </c>
      <c r="J5699" s="455">
        <f t="array" ref="J5699">IFERROR(INDEX('Retirement Calculator'!J:J,MATCH('Isaac 401k'!N5699,'Retirement Calculator'!A:A,0),0),0)</f>
        <v>0</v>
      </c>
      <c r="K5699" s="455">
        <f t="shared" ca="1" si="211"/>
        <v>-13253452007460.795</v>
      </c>
      <c r="L5699" s="455">
        <f t="shared" ca="1" si="212"/>
        <v>-3194081933798052</v>
      </c>
      <c r="M5699" s="471">
        <f t="shared" si="214"/>
        <v>0.05</v>
      </c>
      <c r="N5699" s="475">
        <f t="shared" si="215"/>
        <v>224504</v>
      </c>
    </row>
    <row r="5700" spans="7:14" ht="11.25" customHeight="1" x14ac:dyDescent="0.3">
      <c r="G5700" s="470"/>
      <c r="H5700" s="470">
        <v>5693</v>
      </c>
      <c r="I5700" s="455">
        <f t="shared" ca="1" si="213"/>
        <v>-3194081933798052</v>
      </c>
      <c r="J5700" s="455">
        <f t="array" ref="J5700">IFERROR(INDEX('Retirement Calculator'!J:J,MATCH('Isaac 401k'!N5700,'Retirement Calculator'!A:A,0),0),0)</f>
        <v>0</v>
      </c>
      <c r="K5700" s="455">
        <f t="shared" ca="1" si="211"/>
        <v>-13308674724158.551</v>
      </c>
      <c r="L5700" s="455">
        <f t="shared" ca="1" si="212"/>
        <v>-3207390608522210.5</v>
      </c>
      <c r="M5700" s="471">
        <f t="shared" si="214"/>
        <v>0.05</v>
      </c>
      <c r="N5700" s="475">
        <f t="shared" si="215"/>
        <v>224534</v>
      </c>
    </row>
    <row r="5701" spans="7:14" ht="11.25" customHeight="1" x14ac:dyDescent="0.3">
      <c r="G5701" s="470"/>
      <c r="H5701" s="470">
        <v>5694</v>
      </c>
      <c r="I5701" s="455">
        <f t="shared" ca="1" si="213"/>
        <v>-3207390608522210.5</v>
      </c>
      <c r="J5701" s="455">
        <f t="array" ref="J5701">IFERROR(INDEX('Retirement Calculator'!J:J,MATCH('Isaac 401k'!N5701,'Retirement Calculator'!A:A,0),0),0)</f>
        <v>0</v>
      </c>
      <c r="K5701" s="455">
        <f t="shared" ca="1" si="211"/>
        <v>-13364127535509.211</v>
      </c>
      <c r="L5701" s="455">
        <f t="shared" ca="1" si="212"/>
        <v>-3220754736057719.5</v>
      </c>
      <c r="M5701" s="471">
        <f t="shared" si="214"/>
        <v>0.05</v>
      </c>
      <c r="N5701" s="475">
        <f t="shared" si="215"/>
        <v>224565</v>
      </c>
    </row>
    <row r="5702" spans="7:14" ht="11.25" customHeight="1" x14ac:dyDescent="0.3">
      <c r="G5702" s="470"/>
      <c r="H5702" s="470">
        <v>5695</v>
      </c>
      <c r="I5702" s="455">
        <f t="shared" ca="1" si="213"/>
        <v>-3220754736057719.5</v>
      </c>
      <c r="J5702" s="455">
        <f t="array" ref="J5702">IFERROR(INDEX('Retirement Calculator'!J:J,MATCH('Isaac 401k'!N5702,'Retirement Calculator'!A:A,0),0),0)</f>
        <v>0</v>
      </c>
      <c r="K5702" s="455">
        <f t="shared" ca="1" si="211"/>
        <v>-13419811400240.498</v>
      </c>
      <c r="L5702" s="455">
        <f t="shared" ca="1" si="212"/>
        <v>-3234174547457960</v>
      </c>
      <c r="M5702" s="471">
        <f t="shared" si="214"/>
        <v>0.05</v>
      </c>
      <c r="N5702" s="475">
        <f t="shared" si="215"/>
        <v>224595</v>
      </c>
    </row>
    <row r="5703" spans="7:14" ht="11.25" customHeight="1" x14ac:dyDescent="0.3">
      <c r="G5703" s="470"/>
      <c r="H5703" s="470">
        <v>5696</v>
      </c>
      <c r="I5703" s="455">
        <f t="shared" ca="1" si="213"/>
        <v>-3234174547457960</v>
      </c>
      <c r="J5703" s="455">
        <f t="array" ref="J5703">IFERROR(INDEX('Retirement Calculator'!J:J,MATCH('Isaac 401k'!N5703,'Retirement Calculator'!A:A,0),0),0)</f>
        <v>0</v>
      </c>
      <c r="K5703" s="455">
        <f t="shared" ca="1" si="211"/>
        <v>-13475727281074.834</v>
      </c>
      <c r="L5703" s="455">
        <f t="shared" ca="1" si="212"/>
        <v>-3247650274739035</v>
      </c>
      <c r="M5703" s="471">
        <f t="shared" si="214"/>
        <v>0.05</v>
      </c>
      <c r="N5703" s="475">
        <f t="shared" si="215"/>
        <v>224626</v>
      </c>
    </row>
    <row r="5704" spans="7:14" ht="11.25" customHeight="1" x14ac:dyDescent="0.3">
      <c r="G5704" s="470"/>
      <c r="H5704" s="470">
        <v>5697</v>
      </c>
      <c r="I5704" s="455">
        <f t="shared" ca="1" si="213"/>
        <v>-3247650274739035</v>
      </c>
      <c r="J5704" s="455">
        <f t="array" ref="J5704">IFERROR(INDEX('Retirement Calculator'!J:J,MATCH('Isaac 401k'!N5704,'Retirement Calculator'!A:A,0),0),0)</f>
        <v>0</v>
      </c>
      <c r="K5704" s="455">
        <f t="shared" ca="1" si="211"/>
        <v>-13531876144745.979</v>
      </c>
      <c r="L5704" s="455">
        <f t="shared" ca="1" si="212"/>
        <v>-3261182150883781</v>
      </c>
      <c r="M5704" s="471">
        <f t="shared" si="214"/>
        <v>0.05</v>
      </c>
      <c r="N5704" s="475">
        <f t="shared" si="215"/>
        <v>224657</v>
      </c>
    </row>
    <row r="5705" spans="7:14" ht="11.25" customHeight="1" x14ac:dyDescent="0.3">
      <c r="G5705" s="470"/>
      <c r="H5705" s="470">
        <v>5698</v>
      </c>
      <c r="I5705" s="455">
        <f t="shared" ca="1" si="213"/>
        <v>-3261182150883781</v>
      </c>
      <c r="J5705" s="455">
        <f t="array" ref="J5705">IFERROR(INDEX('Retirement Calculator'!J:J,MATCH('Isaac 401k'!N5705,'Retirement Calculator'!A:A,0),0),0)</f>
        <v>0</v>
      </c>
      <c r="K5705" s="455">
        <f t="shared" ca="1" si="211"/>
        <v>-13588258962015.754</v>
      </c>
      <c r="L5705" s="455">
        <f t="shared" ca="1" si="212"/>
        <v>-3274770409845797</v>
      </c>
      <c r="M5705" s="471">
        <f t="shared" si="214"/>
        <v>0.05</v>
      </c>
      <c r="N5705" s="475">
        <f t="shared" si="215"/>
        <v>224685</v>
      </c>
    </row>
    <row r="5706" spans="7:14" ht="11.25" customHeight="1" x14ac:dyDescent="0.3">
      <c r="G5706" s="470"/>
      <c r="H5706" s="470">
        <v>5699</v>
      </c>
      <c r="I5706" s="455">
        <f t="shared" ca="1" si="213"/>
        <v>-3274770409845797</v>
      </c>
      <c r="J5706" s="455">
        <f t="array" ref="J5706">IFERROR(INDEX('Retirement Calculator'!J:J,MATCH('Isaac 401k'!N5706,'Retirement Calculator'!A:A,0),0),0)</f>
        <v>0</v>
      </c>
      <c r="K5706" s="455">
        <f t="shared" ca="1" si="211"/>
        <v>-13644876707690.82</v>
      </c>
      <c r="L5706" s="455">
        <f t="shared" ca="1" si="212"/>
        <v>-3288415286553488</v>
      </c>
      <c r="M5706" s="471">
        <f t="shared" si="214"/>
        <v>0.05</v>
      </c>
      <c r="N5706" s="475">
        <f t="shared" si="215"/>
        <v>224716</v>
      </c>
    </row>
    <row r="5707" spans="7:14" ht="11.25" customHeight="1" x14ac:dyDescent="0.3">
      <c r="G5707" s="470"/>
      <c r="H5707" s="470">
        <v>5700</v>
      </c>
      <c r="I5707" s="455">
        <f t="shared" ca="1" si="213"/>
        <v>-3288415286553488</v>
      </c>
      <c r="J5707" s="455">
        <f t="array" ref="J5707">IFERROR(INDEX('Retirement Calculator'!J:J,MATCH('Isaac 401k'!N5707,'Retirement Calculator'!A:A,0),0),0)</f>
        <v>0</v>
      </c>
      <c r="K5707" s="455">
        <f t="shared" ca="1" si="211"/>
        <v>-13701730360639.533</v>
      </c>
      <c r="L5707" s="455">
        <f t="shared" ca="1" si="212"/>
        <v>-3302117016914127.5</v>
      </c>
      <c r="M5707" s="471">
        <f t="shared" si="214"/>
        <v>0.05</v>
      </c>
      <c r="N5707" s="475">
        <f t="shared" si="215"/>
        <v>224746</v>
      </c>
    </row>
    <row r="5708" spans="7:14" ht="11.25" customHeight="1" x14ac:dyDescent="0.3">
      <c r="G5708" s="470"/>
      <c r="H5708" s="470">
        <v>5701</v>
      </c>
      <c r="I5708" s="455">
        <f t="shared" ca="1" si="213"/>
        <v>-3302117016914127.5</v>
      </c>
      <c r="J5708" s="455">
        <f t="array" ref="J5708">IFERROR(INDEX('Retirement Calculator'!J:J,MATCH('Isaac 401k'!N5708,'Retirement Calculator'!A:A,0),0),0)</f>
        <v>0</v>
      </c>
      <c r="K5708" s="455">
        <f t="shared" ca="1" si="211"/>
        <v>-13758820903808.865</v>
      </c>
      <c r="L5708" s="455">
        <f t="shared" ca="1" si="212"/>
        <v>-3315875837817936.5</v>
      </c>
      <c r="M5708" s="471">
        <f t="shared" si="214"/>
        <v>0.05</v>
      </c>
      <c r="N5708" s="475">
        <f t="shared" si="215"/>
        <v>224777</v>
      </c>
    </row>
    <row r="5709" spans="7:14" ht="11.25" customHeight="1" x14ac:dyDescent="0.3">
      <c r="G5709" s="470"/>
      <c r="H5709" s="470">
        <v>5702</v>
      </c>
      <c r="I5709" s="455">
        <f t="shared" ca="1" si="213"/>
        <v>-3315875837817936.5</v>
      </c>
      <c r="J5709" s="455">
        <f t="array" ref="J5709">IFERROR(INDEX('Retirement Calculator'!J:J,MATCH('Isaac 401k'!N5709,'Retirement Calculator'!A:A,0),0),0)</f>
        <v>0</v>
      </c>
      <c r="K5709" s="455">
        <f t="shared" ca="1" si="211"/>
        <v>-13816149324241.402</v>
      </c>
      <c r="L5709" s="455">
        <f t="shared" ca="1" si="212"/>
        <v>-3329691987142178</v>
      </c>
      <c r="M5709" s="471">
        <f t="shared" si="214"/>
        <v>0.05</v>
      </c>
      <c r="N5709" s="475">
        <f t="shared" si="215"/>
        <v>224807</v>
      </c>
    </row>
    <row r="5710" spans="7:14" ht="11.25" customHeight="1" x14ac:dyDescent="0.3">
      <c r="G5710" s="470"/>
      <c r="H5710" s="470">
        <v>5703</v>
      </c>
      <c r="I5710" s="455">
        <f t="shared" ca="1" si="213"/>
        <v>-3329691987142178</v>
      </c>
      <c r="J5710" s="455">
        <f t="array" ref="J5710">IFERROR(INDEX('Retirement Calculator'!J:J,MATCH('Isaac 401k'!N5710,'Retirement Calculator'!A:A,0),0),0)</f>
        <v>0</v>
      </c>
      <c r="K5710" s="455">
        <f t="shared" ca="1" si="211"/>
        <v>-13873716613092.408</v>
      </c>
      <c r="L5710" s="455">
        <f t="shared" ca="1" si="212"/>
        <v>-3343565703755270.5</v>
      </c>
      <c r="M5710" s="471">
        <f t="shared" si="214"/>
        <v>0.05</v>
      </c>
      <c r="N5710" s="475">
        <f t="shared" si="215"/>
        <v>224838</v>
      </c>
    </row>
    <row r="5711" spans="7:14" ht="11.25" customHeight="1" x14ac:dyDescent="0.3">
      <c r="G5711" s="470"/>
      <c r="H5711" s="470">
        <v>5704</v>
      </c>
      <c r="I5711" s="455">
        <f t="shared" ca="1" si="213"/>
        <v>-3343565703755270.5</v>
      </c>
      <c r="J5711" s="455">
        <f t="array" ref="J5711">IFERROR(INDEX('Retirement Calculator'!J:J,MATCH('Isaac 401k'!N5711,'Retirement Calculator'!A:A,0),0),0)</f>
        <v>0</v>
      </c>
      <c r="K5711" s="455">
        <f t="shared" ca="1" si="211"/>
        <v>-13931523765646.961</v>
      </c>
      <c r="L5711" s="455">
        <f t="shared" ca="1" si="212"/>
        <v>-3357497227520917.5</v>
      </c>
      <c r="M5711" s="471">
        <f t="shared" si="214"/>
        <v>0.05</v>
      </c>
      <c r="N5711" s="475">
        <f t="shared" si="215"/>
        <v>224869</v>
      </c>
    </row>
    <row r="5712" spans="7:14" ht="11.25" customHeight="1" x14ac:dyDescent="0.3">
      <c r="G5712" s="470"/>
      <c r="H5712" s="470">
        <v>5705</v>
      </c>
      <c r="I5712" s="455">
        <f t="shared" ca="1" si="213"/>
        <v>-3357497227520917.5</v>
      </c>
      <c r="J5712" s="455">
        <f t="array" ref="J5712">IFERROR(INDEX('Retirement Calculator'!J:J,MATCH('Isaac 401k'!N5712,'Retirement Calculator'!A:A,0),0),0)</f>
        <v>0</v>
      </c>
      <c r="K5712" s="455">
        <f t="shared" ca="1" si="211"/>
        <v>-13989571781337.156</v>
      </c>
      <c r="L5712" s="455">
        <f t="shared" ca="1" si="212"/>
        <v>-3371486799302254.5</v>
      </c>
      <c r="M5712" s="471">
        <f t="shared" si="214"/>
        <v>0.05</v>
      </c>
      <c r="N5712" s="475">
        <f t="shared" si="215"/>
        <v>224899</v>
      </c>
    </row>
    <row r="5713" spans="7:14" ht="11.25" customHeight="1" x14ac:dyDescent="0.3">
      <c r="G5713" s="470"/>
      <c r="H5713" s="470">
        <v>5706</v>
      </c>
      <c r="I5713" s="455">
        <f t="shared" ca="1" si="213"/>
        <v>-3371486799302254.5</v>
      </c>
      <c r="J5713" s="455">
        <f t="array" ref="J5713">IFERROR(INDEX('Retirement Calculator'!J:J,MATCH('Isaac 401k'!N5713,'Retirement Calculator'!A:A,0),0),0)</f>
        <v>0</v>
      </c>
      <c r="K5713" s="455">
        <f t="shared" ca="1" si="211"/>
        <v>-14047861663759.395</v>
      </c>
      <c r="L5713" s="455">
        <f t="shared" ca="1" si="212"/>
        <v>-3385534660966014</v>
      </c>
      <c r="M5713" s="471">
        <f t="shared" si="214"/>
        <v>0.05</v>
      </c>
      <c r="N5713" s="475">
        <f t="shared" si="215"/>
        <v>224930</v>
      </c>
    </row>
    <row r="5714" spans="7:14" ht="11.25" customHeight="1" x14ac:dyDescent="0.3">
      <c r="G5714" s="470"/>
      <c r="H5714" s="470">
        <v>5707</v>
      </c>
      <c r="I5714" s="455">
        <f t="shared" ca="1" si="213"/>
        <v>-3385534660966014</v>
      </c>
      <c r="J5714" s="455">
        <f t="array" ref="J5714">IFERROR(INDEX('Retirement Calculator'!J:J,MATCH('Isaac 401k'!N5714,'Retirement Calculator'!A:A,0),0),0)</f>
        <v>0</v>
      </c>
      <c r="K5714" s="455">
        <f t="shared" ca="1" si="211"/>
        <v>-14106394420691.725</v>
      </c>
      <c r="L5714" s="455">
        <f t="shared" ca="1" si="212"/>
        <v>-3399641055386705.5</v>
      </c>
      <c r="M5714" s="471">
        <f t="shared" si="214"/>
        <v>0.05</v>
      </c>
      <c r="N5714" s="475">
        <f t="shared" si="215"/>
        <v>224960</v>
      </c>
    </row>
    <row r="5715" spans="7:14" ht="11.25" customHeight="1" x14ac:dyDescent="0.3">
      <c r="G5715" s="470"/>
      <c r="H5715" s="470">
        <v>5708</v>
      </c>
      <c r="I5715" s="455">
        <f t="shared" ca="1" si="213"/>
        <v>-3399641055386705.5</v>
      </c>
      <c r="J5715" s="455">
        <f t="array" ref="J5715">IFERROR(INDEX('Retirement Calculator'!J:J,MATCH('Isaac 401k'!N5715,'Retirement Calculator'!A:A,0),0),0)</f>
        <v>0</v>
      </c>
      <c r="K5715" s="455">
        <f t="shared" ca="1" si="211"/>
        <v>-14165171064111.273</v>
      </c>
      <c r="L5715" s="455">
        <f t="shared" ca="1" si="212"/>
        <v>-3413806226450817</v>
      </c>
      <c r="M5715" s="471">
        <f t="shared" si="214"/>
        <v>0.05</v>
      </c>
      <c r="N5715" s="475">
        <f t="shared" si="215"/>
        <v>224991</v>
      </c>
    </row>
    <row r="5716" spans="7:14" ht="11.25" customHeight="1" x14ac:dyDescent="0.3">
      <c r="G5716" s="470"/>
      <c r="H5716" s="470">
        <v>5709</v>
      </c>
      <c r="I5716" s="455">
        <f t="shared" ca="1" si="213"/>
        <v>-3413806226450817</v>
      </c>
      <c r="J5716" s="455">
        <f t="array" ref="J5716">IFERROR(INDEX('Retirement Calculator'!J:J,MATCH('Isaac 401k'!N5716,'Retirement Calculator'!A:A,0),0),0)</f>
        <v>0</v>
      </c>
      <c r="K5716" s="455">
        <f t="shared" ca="1" si="211"/>
        <v>-14224192610211.736</v>
      </c>
      <c r="L5716" s="455">
        <f t="shared" ca="1" si="212"/>
        <v>-3428030419061028.5</v>
      </c>
      <c r="M5716" s="471">
        <f t="shared" si="214"/>
        <v>0.05</v>
      </c>
      <c r="N5716" s="475">
        <f t="shared" si="215"/>
        <v>225022</v>
      </c>
    </row>
    <row r="5717" spans="7:14" ht="11.25" customHeight="1" x14ac:dyDescent="0.3">
      <c r="G5717" s="470"/>
      <c r="H5717" s="470">
        <v>5710</v>
      </c>
      <c r="I5717" s="455">
        <f t="shared" ca="1" si="213"/>
        <v>-3428030419061028.5</v>
      </c>
      <c r="J5717" s="455">
        <f t="array" ref="J5717">IFERROR(INDEX('Retirement Calculator'!J:J,MATCH('Isaac 401k'!N5717,'Retirement Calculator'!A:A,0),0),0)</f>
        <v>0</v>
      </c>
      <c r="K5717" s="455">
        <f t="shared" ca="1" si="211"/>
        <v>-14283460079420.951</v>
      </c>
      <c r="L5717" s="455">
        <f t="shared" ca="1" si="212"/>
        <v>-3442313879140449.5</v>
      </c>
      <c r="M5717" s="471">
        <f t="shared" si="214"/>
        <v>0.05</v>
      </c>
      <c r="N5717" s="475">
        <f t="shared" si="215"/>
        <v>225051</v>
      </c>
    </row>
    <row r="5718" spans="7:14" ht="11.25" customHeight="1" x14ac:dyDescent="0.3">
      <c r="G5718" s="470"/>
      <c r="H5718" s="470">
        <v>5711</v>
      </c>
      <c r="I5718" s="455">
        <f t="shared" ca="1" si="213"/>
        <v>-3442313879140449.5</v>
      </c>
      <c r="J5718" s="455">
        <f t="array" ref="J5718">IFERROR(INDEX('Retirement Calculator'!J:J,MATCH('Isaac 401k'!N5718,'Retirement Calculator'!A:A,0),0),0)</f>
        <v>0</v>
      </c>
      <c r="K5718" s="455">
        <f t="shared" ca="1" si="211"/>
        <v>-14342974496418.539</v>
      </c>
      <c r="L5718" s="455">
        <f t="shared" ca="1" si="212"/>
        <v>-3456656853636868</v>
      </c>
      <c r="M5718" s="471">
        <f t="shared" si="214"/>
        <v>0.05</v>
      </c>
      <c r="N5718" s="475">
        <f t="shared" si="215"/>
        <v>225082</v>
      </c>
    </row>
    <row r="5719" spans="7:14" ht="11.25" customHeight="1" x14ac:dyDescent="0.3">
      <c r="G5719" s="470"/>
      <c r="H5719" s="470">
        <v>5712</v>
      </c>
      <c r="I5719" s="455">
        <f t="shared" ca="1" si="213"/>
        <v>-3456656853636868</v>
      </c>
      <c r="J5719" s="455">
        <f t="array" ref="J5719">IFERROR(INDEX('Retirement Calculator'!J:J,MATCH('Isaac 401k'!N5719,'Retirement Calculator'!A:A,0),0),0)</f>
        <v>0</v>
      </c>
      <c r="K5719" s="455">
        <f t="shared" ca="1" si="211"/>
        <v>-14402736890153.617</v>
      </c>
      <c r="L5719" s="455">
        <f t="shared" ca="1" si="212"/>
        <v>-3471059590527021.5</v>
      </c>
      <c r="M5719" s="471">
        <f t="shared" si="214"/>
        <v>0.05</v>
      </c>
      <c r="N5719" s="475">
        <f t="shared" si="215"/>
        <v>225112</v>
      </c>
    </row>
    <row r="5720" spans="7:14" ht="11.25" customHeight="1" x14ac:dyDescent="0.3">
      <c r="G5720" s="470"/>
      <c r="H5720" s="470">
        <v>5713</v>
      </c>
      <c r="I5720" s="455">
        <f t="shared" ca="1" si="213"/>
        <v>-3471059590527021.5</v>
      </c>
      <c r="J5720" s="455">
        <f t="array" ref="J5720">IFERROR(INDEX('Retirement Calculator'!J:J,MATCH('Isaac 401k'!N5720,'Retirement Calculator'!A:A,0),0),0)</f>
        <v>0</v>
      </c>
      <c r="K5720" s="455">
        <f t="shared" ca="1" si="211"/>
        <v>-14462748293862.59</v>
      </c>
      <c r="L5720" s="455">
        <f t="shared" ca="1" si="212"/>
        <v>-3485522338820884</v>
      </c>
      <c r="M5720" s="471">
        <f t="shared" si="214"/>
        <v>0.05</v>
      </c>
      <c r="N5720" s="475">
        <f t="shared" si="215"/>
        <v>225143</v>
      </c>
    </row>
    <row r="5721" spans="7:14" ht="11.25" customHeight="1" x14ac:dyDescent="0.3">
      <c r="G5721" s="470"/>
      <c r="H5721" s="470">
        <v>5714</v>
      </c>
      <c r="I5721" s="455">
        <f t="shared" ca="1" si="213"/>
        <v>-3485522338820884</v>
      </c>
      <c r="J5721" s="455">
        <f t="array" ref="J5721">IFERROR(INDEX('Retirement Calculator'!J:J,MATCH('Isaac 401k'!N5721,'Retirement Calculator'!A:A,0),0),0)</f>
        <v>0</v>
      </c>
      <c r="K5721" s="455">
        <f t="shared" ca="1" si="211"/>
        <v>-14523009745087.016</v>
      </c>
      <c r="L5721" s="455">
        <f t="shared" ca="1" si="212"/>
        <v>-3500045348565971</v>
      </c>
      <c r="M5721" s="471">
        <f t="shared" si="214"/>
        <v>0.05</v>
      </c>
      <c r="N5721" s="475">
        <f t="shared" si="215"/>
        <v>225173</v>
      </c>
    </row>
    <row r="5722" spans="7:14" ht="11.25" customHeight="1" x14ac:dyDescent="0.3">
      <c r="G5722" s="470"/>
      <c r="H5722" s="470">
        <v>5715</v>
      </c>
      <c r="I5722" s="455">
        <f t="shared" ca="1" si="213"/>
        <v>-3500045348565971</v>
      </c>
      <c r="J5722" s="455">
        <f t="array" ref="J5722">IFERROR(INDEX('Retirement Calculator'!J:J,MATCH('Isaac 401k'!N5722,'Retirement Calculator'!A:A,0),0),0)</f>
        <v>0</v>
      </c>
      <c r="K5722" s="455">
        <f t="shared" ca="1" si="211"/>
        <v>-14583522285691.545</v>
      </c>
      <c r="L5722" s="455">
        <f t="shared" ca="1" si="212"/>
        <v>-3514628870851662.5</v>
      </c>
      <c r="M5722" s="471">
        <f t="shared" si="214"/>
        <v>0.05</v>
      </c>
      <c r="N5722" s="475">
        <f t="shared" si="215"/>
        <v>225204</v>
      </c>
    </row>
    <row r="5723" spans="7:14" ht="11.25" customHeight="1" x14ac:dyDescent="0.3">
      <c r="G5723" s="470"/>
      <c r="H5723" s="470">
        <v>5716</v>
      </c>
      <c r="I5723" s="455">
        <f t="shared" ca="1" si="213"/>
        <v>-3514628870851662.5</v>
      </c>
      <c r="J5723" s="455">
        <f t="array" ref="J5723">IFERROR(INDEX('Retirement Calculator'!J:J,MATCH('Isaac 401k'!N5723,'Retirement Calculator'!A:A,0),0),0)</f>
        <v>0</v>
      </c>
      <c r="K5723" s="455">
        <f t="shared" ca="1" si="211"/>
        <v>-14644286961881.924</v>
      </c>
      <c r="L5723" s="455">
        <f t="shared" ca="1" si="212"/>
        <v>-3529273157813544.5</v>
      </c>
      <c r="M5723" s="471">
        <f t="shared" si="214"/>
        <v>0.05</v>
      </c>
      <c r="N5723" s="475">
        <f t="shared" si="215"/>
        <v>225235</v>
      </c>
    </row>
    <row r="5724" spans="7:14" ht="11.25" customHeight="1" x14ac:dyDescent="0.3">
      <c r="G5724" s="470"/>
      <c r="H5724" s="470">
        <v>5717</v>
      </c>
      <c r="I5724" s="455">
        <f t="shared" ca="1" si="213"/>
        <v>-3529273157813544.5</v>
      </c>
      <c r="J5724" s="455">
        <f t="array" ref="J5724">IFERROR(INDEX('Retirement Calculator'!J:J,MATCH('Isaac 401k'!N5724,'Retirement Calculator'!A:A,0),0),0)</f>
        <v>0</v>
      </c>
      <c r="K5724" s="455">
        <f t="shared" ca="1" si="211"/>
        <v>-14705304824223.102</v>
      </c>
      <c r="L5724" s="455">
        <f t="shared" ca="1" si="212"/>
        <v>-3543978462637767.5</v>
      </c>
      <c r="M5724" s="471">
        <f t="shared" si="214"/>
        <v>0.05</v>
      </c>
      <c r="N5724" s="475">
        <f t="shared" si="215"/>
        <v>225265</v>
      </c>
    </row>
    <row r="5725" spans="7:14" ht="11.25" customHeight="1" x14ac:dyDescent="0.3">
      <c r="G5725" s="470"/>
      <c r="H5725" s="470">
        <v>5718</v>
      </c>
      <c r="I5725" s="455">
        <f t="shared" ca="1" si="213"/>
        <v>-3543978462637767.5</v>
      </c>
      <c r="J5725" s="455">
        <f t="array" ref="J5725">IFERROR(INDEX('Retirement Calculator'!J:J,MATCH('Isaac 401k'!N5725,'Retirement Calculator'!A:A,0),0),0)</f>
        <v>0</v>
      </c>
      <c r="K5725" s="455">
        <f t="shared" ca="1" si="211"/>
        <v>-14766576927657.365</v>
      </c>
      <c r="L5725" s="455">
        <f t="shared" ca="1" si="212"/>
        <v>-3558745039565425</v>
      </c>
      <c r="M5725" s="471">
        <f t="shared" si="214"/>
        <v>0.05</v>
      </c>
      <c r="N5725" s="475">
        <f t="shared" si="215"/>
        <v>225296</v>
      </c>
    </row>
    <row r="5726" spans="7:14" ht="11.25" customHeight="1" x14ac:dyDescent="0.3">
      <c r="G5726" s="470"/>
      <c r="H5726" s="470">
        <v>5719</v>
      </c>
      <c r="I5726" s="455">
        <f t="shared" ca="1" si="213"/>
        <v>-3558745039565425</v>
      </c>
      <c r="J5726" s="455">
        <f t="array" ref="J5726">IFERROR(INDEX('Retirement Calculator'!J:J,MATCH('Isaac 401k'!N5726,'Retirement Calculator'!A:A,0),0),0)</f>
        <v>0</v>
      </c>
      <c r="K5726" s="455">
        <f t="shared" ca="1" si="211"/>
        <v>-14828104331522.604</v>
      </c>
      <c r="L5726" s="455">
        <f t="shared" ca="1" si="212"/>
        <v>-3573573143896947.5</v>
      </c>
      <c r="M5726" s="471">
        <f t="shared" si="214"/>
        <v>0.05</v>
      </c>
      <c r="N5726" s="475">
        <f t="shared" si="215"/>
        <v>225326</v>
      </c>
    </row>
    <row r="5727" spans="7:14" ht="11.25" customHeight="1" x14ac:dyDescent="0.3">
      <c r="G5727" s="470"/>
      <c r="H5727" s="470">
        <v>5720</v>
      </c>
      <c r="I5727" s="455">
        <f t="shared" ca="1" si="213"/>
        <v>-3573573143896947.5</v>
      </c>
      <c r="J5727" s="455">
        <f t="array" ref="J5727">IFERROR(INDEX('Retirement Calculator'!J:J,MATCH('Isaac 401k'!N5727,'Retirement Calculator'!A:A,0),0),0)</f>
        <v>0</v>
      </c>
      <c r="K5727" s="455">
        <f t="shared" ca="1" si="211"/>
        <v>-14889888099570.611</v>
      </c>
      <c r="L5727" s="455">
        <f t="shared" ca="1" si="212"/>
        <v>-3588463031996518</v>
      </c>
      <c r="M5727" s="471">
        <f t="shared" si="214"/>
        <v>0.05</v>
      </c>
      <c r="N5727" s="475">
        <f t="shared" si="215"/>
        <v>225357</v>
      </c>
    </row>
    <row r="5728" spans="7:14" ht="11.25" customHeight="1" x14ac:dyDescent="0.3">
      <c r="G5728" s="470"/>
      <c r="H5728" s="470">
        <v>5721</v>
      </c>
      <c r="I5728" s="455">
        <f t="shared" ca="1" si="213"/>
        <v>-3588463031996518</v>
      </c>
      <c r="J5728" s="455">
        <f t="array" ref="J5728">IFERROR(INDEX('Retirement Calculator'!J:J,MATCH('Isaac 401k'!N5728,'Retirement Calculator'!A:A,0),0),0)</f>
        <v>0</v>
      </c>
      <c r="K5728" s="455">
        <f t="shared" ca="1" si="211"/>
        <v>-14951929299985.492</v>
      </c>
      <c r="L5728" s="455">
        <f t="shared" ca="1" si="212"/>
        <v>-3603414961296503.5</v>
      </c>
      <c r="M5728" s="471">
        <f t="shared" si="214"/>
        <v>0.05</v>
      </c>
      <c r="N5728" s="475">
        <f t="shared" si="215"/>
        <v>225388</v>
      </c>
    </row>
    <row r="5729" spans="7:14" ht="11.25" customHeight="1" x14ac:dyDescent="0.3">
      <c r="G5729" s="470"/>
      <c r="H5729" s="470">
        <v>5722</v>
      </c>
      <c r="I5729" s="455">
        <f t="shared" ca="1" si="213"/>
        <v>-3603414961296503.5</v>
      </c>
      <c r="J5729" s="455">
        <f t="array" ref="J5729">IFERROR(INDEX('Retirement Calculator'!J:J,MATCH('Isaac 401k'!N5729,'Retirement Calculator'!A:A,0),0),0)</f>
        <v>0</v>
      </c>
      <c r="K5729" s="455">
        <f t="shared" ca="1" si="211"/>
        <v>-15014229005402.098</v>
      </c>
      <c r="L5729" s="455">
        <f t="shared" ca="1" si="212"/>
        <v>-3618429190301905.5</v>
      </c>
      <c r="M5729" s="471">
        <f t="shared" si="214"/>
        <v>0.05</v>
      </c>
      <c r="N5729" s="475">
        <f t="shared" si="215"/>
        <v>225416</v>
      </c>
    </row>
    <row r="5730" spans="7:14" ht="11.25" customHeight="1" x14ac:dyDescent="0.3">
      <c r="G5730" s="470"/>
      <c r="H5730" s="470">
        <v>5723</v>
      </c>
      <c r="I5730" s="455">
        <f t="shared" ca="1" si="213"/>
        <v>-3618429190301905.5</v>
      </c>
      <c r="J5730" s="455">
        <f t="array" ref="J5730">IFERROR(INDEX('Retirement Calculator'!J:J,MATCH('Isaac 401k'!N5730,'Retirement Calculator'!A:A,0),0),0)</f>
        <v>0</v>
      </c>
      <c r="K5730" s="455">
        <f t="shared" ca="1" si="211"/>
        <v>-15076788292924.607</v>
      </c>
      <c r="L5730" s="455">
        <f t="shared" ca="1" si="212"/>
        <v>-3633505978594830</v>
      </c>
      <c r="M5730" s="471">
        <f t="shared" si="214"/>
        <v>0.05</v>
      </c>
      <c r="N5730" s="475">
        <f t="shared" si="215"/>
        <v>225447</v>
      </c>
    </row>
    <row r="5731" spans="7:14" ht="11.25" customHeight="1" x14ac:dyDescent="0.3">
      <c r="G5731" s="470"/>
      <c r="H5731" s="470">
        <v>5724</v>
      </c>
      <c r="I5731" s="455">
        <f t="shared" ca="1" si="213"/>
        <v>-3633505978594830</v>
      </c>
      <c r="J5731" s="455">
        <f t="array" ref="J5731">IFERROR(INDEX('Retirement Calculator'!J:J,MATCH('Isaac 401k'!N5731,'Retirement Calculator'!A:A,0),0),0)</f>
        <v>0</v>
      </c>
      <c r="K5731" s="455">
        <f t="shared" ca="1" si="211"/>
        <v>-15139608244145.125</v>
      </c>
      <c r="L5731" s="455">
        <f t="shared" ca="1" si="212"/>
        <v>-3648645586838975</v>
      </c>
      <c r="M5731" s="471">
        <f t="shared" si="214"/>
        <v>0.05</v>
      </c>
      <c r="N5731" s="475">
        <f t="shared" si="215"/>
        <v>225477</v>
      </c>
    </row>
    <row r="5732" spans="7:14" ht="11.25" customHeight="1" x14ac:dyDescent="0.3">
      <c r="G5732" s="470"/>
      <c r="H5732" s="470">
        <v>5725</v>
      </c>
      <c r="I5732" s="455">
        <f t="shared" ca="1" si="213"/>
        <v>-3648645586838975</v>
      </c>
      <c r="J5732" s="455">
        <f t="array" ref="J5732">IFERROR(INDEX('Retirement Calculator'!J:J,MATCH('Isaac 401k'!N5732,'Retirement Calculator'!A:A,0),0),0)</f>
        <v>0</v>
      </c>
      <c r="K5732" s="455">
        <f t="shared" ca="1" si="211"/>
        <v>-15202689945162.396</v>
      </c>
      <c r="L5732" s="455">
        <f t="shared" ca="1" si="212"/>
        <v>-3663848276784137.5</v>
      </c>
      <c r="M5732" s="471">
        <f t="shared" si="214"/>
        <v>0.05</v>
      </c>
      <c r="N5732" s="475">
        <f t="shared" si="215"/>
        <v>225508</v>
      </c>
    </row>
    <row r="5733" spans="7:14" ht="11.25" customHeight="1" x14ac:dyDescent="0.3">
      <c r="G5733" s="470"/>
      <c r="H5733" s="470">
        <v>5726</v>
      </c>
      <c r="I5733" s="455">
        <f t="shared" ca="1" si="213"/>
        <v>-3663848276784137.5</v>
      </c>
      <c r="J5733" s="455">
        <f t="array" ref="J5733">IFERROR(INDEX('Retirement Calculator'!J:J,MATCH('Isaac 401k'!N5733,'Retirement Calculator'!A:A,0),0),0)</f>
        <v>0</v>
      </c>
      <c r="K5733" s="455">
        <f t="shared" ca="1" si="211"/>
        <v>-15266034486600.572</v>
      </c>
      <c r="L5733" s="455">
        <f t="shared" ca="1" si="212"/>
        <v>-3679114311270738</v>
      </c>
      <c r="M5733" s="471">
        <f t="shared" si="214"/>
        <v>0.05</v>
      </c>
      <c r="N5733" s="475">
        <f t="shared" si="215"/>
        <v>225538</v>
      </c>
    </row>
    <row r="5734" spans="7:14" ht="11.25" customHeight="1" x14ac:dyDescent="0.3">
      <c r="G5734" s="470"/>
      <c r="H5734" s="470">
        <v>5727</v>
      </c>
      <c r="I5734" s="455">
        <f t="shared" ca="1" si="213"/>
        <v>-3679114311270738</v>
      </c>
      <c r="J5734" s="455">
        <f t="array" ref="J5734">IFERROR(INDEX('Retirement Calculator'!J:J,MATCH('Isaac 401k'!N5734,'Retirement Calculator'!A:A,0),0),0)</f>
        <v>0</v>
      </c>
      <c r="K5734" s="455">
        <f t="shared" ca="1" si="211"/>
        <v>-15329642963628.072</v>
      </c>
      <c r="L5734" s="455">
        <f t="shared" ca="1" si="212"/>
        <v>-3694443954234366</v>
      </c>
      <c r="M5734" s="471">
        <f t="shared" si="214"/>
        <v>0.05</v>
      </c>
      <c r="N5734" s="475">
        <f t="shared" si="215"/>
        <v>225569</v>
      </c>
    </row>
    <row r="5735" spans="7:14" ht="11.25" customHeight="1" x14ac:dyDescent="0.3">
      <c r="G5735" s="470"/>
      <c r="H5735" s="470">
        <v>5728</v>
      </c>
      <c r="I5735" s="455">
        <f t="shared" ca="1" si="213"/>
        <v>-3694443954234366</v>
      </c>
      <c r="J5735" s="455">
        <f t="array" ref="J5735">IFERROR(INDEX('Retirement Calculator'!J:J,MATCH('Isaac 401k'!N5735,'Retirement Calculator'!A:A,0),0),0)</f>
        <v>0</v>
      </c>
      <c r="K5735" s="455">
        <f t="shared" ca="1" si="211"/>
        <v>-15393516475976.527</v>
      </c>
      <c r="L5735" s="455">
        <f t="shared" ca="1" si="212"/>
        <v>-3709837470710342.5</v>
      </c>
      <c r="M5735" s="471">
        <f t="shared" si="214"/>
        <v>0.05</v>
      </c>
      <c r="N5735" s="475">
        <f t="shared" si="215"/>
        <v>225600</v>
      </c>
    </row>
    <row r="5736" spans="7:14" ht="11.25" customHeight="1" x14ac:dyDescent="0.3">
      <c r="G5736" s="470"/>
      <c r="H5736" s="470">
        <v>5729</v>
      </c>
      <c r="I5736" s="455">
        <f t="shared" ca="1" si="213"/>
        <v>-3709837470710342.5</v>
      </c>
      <c r="J5736" s="455">
        <f t="array" ref="J5736">IFERROR(INDEX('Retirement Calculator'!J:J,MATCH('Isaac 401k'!N5736,'Retirement Calculator'!A:A,0),0),0)</f>
        <v>0</v>
      </c>
      <c r="K5736" s="455">
        <f t="shared" ca="1" si="211"/>
        <v>-15457656127959.76</v>
      </c>
      <c r="L5736" s="455">
        <f t="shared" ca="1" si="212"/>
        <v>-3725295126838302.5</v>
      </c>
      <c r="M5736" s="471">
        <f t="shared" si="214"/>
        <v>0.05</v>
      </c>
      <c r="N5736" s="475">
        <f t="shared" si="215"/>
        <v>225630</v>
      </c>
    </row>
    <row r="5737" spans="7:14" ht="11.25" customHeight="1" x14ac:dyDescent="0.3">
      <c r="G5737" s="470"/>
      <c r="H5737" s="470">
        <v>5730</v>
      </c>
      <c r="I5737" s="455">
        <f t="shared" ca="1" si="213"/>
        <v>-3725295126838302.5</v>
      </c>
      <c r="J5737" s="455">
        <f t="array" ref="J5737">IFERROR(INDEX('Retirement Calculator'!J:J,MATCH('Isaac 401k'!N5737,'Retirement Calculator'!A:A,0),0),0)</f>
        <v>0</v>
      </c>
      <c r="K5737" s="455">
        <f t="shared" ca="1" si="211"/>
        <v>-15522063028492.928</v>
      </c>
      <c r="L5737" s="455">
        <f t="shared" ca="1" si="212"/>
        <v>-3740817189866795.5</v>
      </c>
      <c r="M5737" s="471">
        <f t="shared" si="214"/>
        <v>0.05</v>
      </c>
      <c r="N5737" s="475">
        <f t="shared" si="215"/>
        <v>225661</v>
      </c>
    </row>
    <row r="5738" spans="7:14" ht="11.25" customHeight="1" x14ac:dyDescent="0.3">
      <c r="G5738" s="470"/>
      <c r="H5738" s="470">
        <v>5731</v>
      </c>
      <c r="I5738" s="455">
        <f t="shared" ca="1" si="213"/>
        <v>-3740817189866795.5</v>
      </c>
      <c r="J5738" s="455">
        <f t="array" ref="J5738">IFERROR(INDEX('Retirement Calculator'!J:J,MATCH('Isaac 401k'!N5738,'Retirement Calculator'!A:A,0),0),0)</f>
        <v>0</v>
      </c>
      <c r="K5738" s="455">
        <f t="shared" ca="1" si="211"/>
        <v>-15586738291111.648</v>
      </c>
      <c r="L5738" s="455">
        <f t="shared" ca="1" si="212"/>
        <v>-3756403928157907</v>
      </c>
      <c r="M5738" s="471">
        <f t="shared" si="214"/>
        <v>0.05</v>
      </c>
      <c r="N5738" s="475">
        <f t="shared" si="215"/>
        <v>225691</v>
      </c>
    </row>
    <row r="5739" spans="7:14" ht="11.25" customHeight="1" x14ac:dyDescent="0.3">
      <c r="G5739" s="470"/>
      <c r="H5739" s="470">
        <v>5732</v>
      </c>
      <c r="I5739" s="455">
        <f t="shared" ca="1" si="213"/>
        <v>-3756403928157907</v>
      </c>
      <c r="J5739" s="455">
        <f t="array" ref="J5739">IFERROR(INDEX('Retirement Calculator'!J:J,MATCH('Isaac 401k'!N5739,'Retirement Calculator'!A:A,0),0),0)</f>
        <v>0</v>
      </c>
      <c r="K5739" s="455">
        <f t="shared" ca="1" si="211"/>
        <v>-15651683033991.279</v>
      </c>
      <c r="L5739" s="455">
        <f t="shared" ca="1" si="212"/>
        <v>-3772055611191898.5</v>
      </c>
      <c r="M5739" s="471">
        <f t="shared" si="214"/>
        <v>0.05</v>
      </c>
      <c r="N5739" s="475">
        <f t="shared" si="215"/>
        <v>225722</v>
      </c>
    </row>
    <row r="5740" spans="7:14" ht="11.25" customHeight="1" x14ac:dyDescent="0.3">
      <c r="G5740" s="470"/>
      <c r="H5740" s="470">
        <v>5733</v>
      </c>
      <c r="I5740" s="455">
        <f t="shared" ca="1" si="213"/>
        <v>-3772055611191898.5</v>
      </c>
      <c r="J5740" s="455">
        <f t="array" ref="J5740">IFERROR(INDEX('Retirement Calculator'!J:J,MATCH('Isaac 401k'!N5740,'Retirement Calculator'!A:A,0),0),0)</f>
        <v>0</v>
      </c>
      <c r="K5740" s="455">
        <f t="shared" ca="1" si="211"/>
        <v>-15716898379966.242</v>
      </c>
      <c r="L5740" s="455">
        <f t="shared" ca="1" si="212"/>
        <v>-3787772509571864.5</v>
      </c>
      <c r="M5740" s="471">
        <f t="shared" si="214"/>
        <v>0.05</v>
      </c>
      <c r="N5740" s="475">
        <f t="shared" si="215"/>
        <v>225753</v>
      </c>
    </row>
    <row r="5741" spans="7:14" ht="11.25" customHeight="1" x14ac:dyDescent="0.3">
      <c r="G5741" s="470"/>
      <c r="H5741" s="470">
        <v>5734</v>
      </c>
      <c r="I5741" s="455">
        <f t="shared" ca="1" si="213"/>
        <v>-3787772509571864.5</v>
      </c>
      <c r="J5741" s="455">
        <f t="array" ref="J5741">IFERROR(INDEX('Retirement Calculator'!J:J,MATCH('Isaac 401k'!N5741,'Retirement Calculator'!A:A,0),0),0)</f>
        <v>0</v>
      </c>
      <c r="K5741" s="455">
        <f t="shared" ca="1" si="211"/>
        <v>-15782385456549.434</v>
      </c>
      <c r="L5741" s="455">
        <f t="shared" ca="1" si="212"/>
        <v>-3803554895028414</v>
      </c>
      <c r="M5741" s="471">
        <f t="shared" si="214"/>
        <v>0.05</v>
      </c>
      <c r="N5741" s="475">
        <f t="shared" si="215"/>
        <v>225781</v>
      </c>
    </row>
    <row r="5742" spans="7:14" ht="11.25" customHeight="1" x14ac:dyDescent="0.3">
      <c r="G5742" s="470"/>
      <c r="H5742" s="470">
        <v>5735</v>
      </c>
      <c r="I5742" s="455">
        <f t="shared" ca="1" si="213"/>
        <v>-3803554895028414</v>
      </c>
      <c r="J5742" s="455">
        <f t="array" ref="J5742">IFERROR(INDEX('Retirement Calculator'!J:J,MATCH('Isaac 401k'!N5742,'Retirement Calculator'!A:A,0),0),0)</f>
        <v>0</v>
      </c>
      <c r="K5742" s="455">
        <f t="shared" ca="1" si="211"/>
        <v>-15848145395951.723</v>
      </c>
      <c r="L5742" s="455">
        <f t="shared" ca="1" si="212"/>
        <v>-3819403040424365.5</v>
      </c>
      <c r="M5742" s="471">
        <f t="shared" si="214"/>
        <v>0.05</v>
      </c>
      <c r="N5742" s="475">
        <f t="shared" si="215"/>
        <v>225812</v>
      </c>
    </row>
    <row r="5743" spans="7:14" ht="11.25" customHeight="1" x14ac:dyDescent="0.3">
      <c r="G5743" s="470"/>
      <c r="H5743" s="470">
        <v>5736</v>
      </c>
      <c r="I5743" s="455">
        <f t="shared" ca="1" si="213"/>
        <v>-3819403040424365.5</v>
      </c>
      <c r="J5743" s="455">
        <f t="array" ref="J5743">IFERROR(INDEX('Retirement Calculator'!J:J,MATCH('Isaac 401k'!N5743,'Retirement Calculator'!A:A,0),0),0)</f>
        <v>0</v>
      </c>
      <c r="K5743" s="455">
        <f t="shared" ca="1" si="211"/>
        <v>-15914179335101.523</v>
      </c>
      <c r="L5743" s="455">
        <f t="shared" ca="1" si="212"/>
        <v>-3835317219759467</v>
      </c>
      <c r="M5743" s="471">
        <f t="shared" si="214"/>
        <v>0.05</v>
      </c>
      <c r="N5743" s="475">
        <f t="shared" si="215"/>
        <v>225842</v>
      </c>
    </row>
    <row r="5744" spans="7:14" ht="11.25" customHeight="1" x14ac:dyDescent="0.3">
      <c r="G5744" s="470"/>
      <c r="H5744" s="470">
        <v>5737</v>
      </c>
      <c r="I5744" s="455">
        <f t="shared" ca="1" si="213"/>
        <v>-3835317219759467</v>
      </c>
      <c r="J5744" s="455">
        <f t="array" ref="J5744">IFERROR(INDEX('Retirement Calculator'!J:J,MATCH('Isaac 401k'!N5744,'Retirement Calculator'!A:A,0),0),0)</f>
        <v>0</v>
      </c>
      <c r="K5744" s="455">
        <f t="shared" ca="1" si="211"/>
        <v>-15980488415664.445</v>
      </c>
      <c r="L5744" s="455">
        <f t="shared" ca="1" si="212"/>
        <v>-3851297708175131.5</v>
      </c>
      <c r="M5744" s="471">
        <f t="shared" si="214"/>
        <v>0.05</v>
      </c>
      <c r="N5744" s="475">
        <f t="shared" si="215"/>
        <v>225873</v>
      </c>
    </row>
    <row r="5745" spans="7:14" ht="11.25" customHeight="1" x14ac:dyDescent="0.3">
      <c r="G5745" s="470"/>
      <c r="H5745" s="470">
        <v>5738</v>
      </c>
      <c r="I5745" s="455">
        <f t="shared" ca="1" si="213"/>
        <v>-3851297708175131.5</v>
      </c>
      <c r="J5745" s="455">
        <f t="array" ref="J5745">IFERROR(INDEX('Retirement Calculator'!J:J,MATCH('Isaac 401k'!N5745,'Retirement Calculator'!A:A,0),0),0)</f>
        <v>0</v>
      </c>
      <c r="K5745" s="455">
        <f t="shared" ca="1" si="211"/>
        <v>-16047073784063.045</v>
      </c>
      <c r="L5745" s="455">
        <f t="shared" ca="1" si="212"/>
        <v>-3867344781959194.5</v>
      </c>
      <c r="M5745" s="471">
        <f t="shared" si="214"/>
        <v>0.05</v>
      </c>
      <c r="N5745" s="475">
        <f t="shared" si="215"/>
        <v>225903</v>
      </c>
    </row>
    <row r="5746" spans="7:14" ht="11.25" customHeight="1" x14ac:dyDescent="0.3">
      <c r="G5746" s="470"/>
      <c r="H5746" s="470">
        <v>5739</v>
      </c>
      <c r="I5746" s="455">
        <f t="shared" ca="1" si="213"/>
        <v>-3867344781959194.5</v>
      </c>
      <c r="J5746" s="455">
        <f t="array" ref="J5746">IFERROR(INDEX('Retirement Calculator'!J:J,MATCH('Isaac 401k'!N5746,'Retirement Calculator'!A:A,0),0),0)</f>
        <v>0</v>
      </c>
      <c r="K5746" s="455">
        <f t="shared" ca="1" si="211"/>
        <v>-16113936591496.643</v>
      </c>
      <c r="L5746" s="455">
        <f t="shared" ca="1" si="212"/>
        <v>-3883458718550691</v>
      </c>
      <c r="M5746" s="471">
        <f t="shared" si="214"/>
        <v>0.05</v>
      </c>
      <c r="N5746" s="475">
        <f t="shared" si="215"/>
        <v>225934</v>
      </c>
    </row>
    <row r="5747" spans="7:14" ht="11.25" customHeight="1" x14ac:dyDescent="0.3">
      <c r="G5747" s="470"/>
      <c r="H5747" s="470">
        <v>5740</v>
      </c>
      <c r="I5747" s="455">
        <f t="shared" ca="1" si="213"/>
        <v>-3883458718550691</v>
      </c>
      <c r="J5747" s="455">
        <f t="array" ref="J5747">IFERROR(INDEX('Retirement Calculator'!J:J,MATCH('Isaac 401k'!N5747,'Retirement Calculator'!A:A,0),0),0)</f>
        <v>0</v>
      </c>
      <c r="K5747" s="455">
        <f t="shared" ca="1" si="211"/>
        <v>-16181077993961.215</v>
      </c>
      <c r="L5747" s="455">
        <f t="shared" ca="1" si="212"/>
        <v>-3899639796544652</v>
      </c>
      <c r="M5747" s="471">
        <f t="shared" si="214"/>
        <v>0.05</v>
      </c>
      <c r="N5747" s="475">
        <f t="shared" si="215"/>
        <v>225965</v>
      </c>
    </row>
    <row r="5748" spans="7:14" ht="11.25" customHeight="1" x14ac:dyDescent="0.3">
      <c r="G5748" s="470"/>
      <c r="H5748" s="470">
        <v>5741</v>
      </c>
      <c r="I5748" s="455">
        <f t="shared" ca="1" si="213"/>
        <v>-3899639796544652</v>
      </c>
      <c r="J5748" s="455">
        <f t="array" ref="J5748">IFERROR(INDEX('Retirement Calculator'!J:J,MATCH('Isaac 401k'!N5748,'Retirement Calculator'!A:A,0),0),0)</f>
        <v>0</v>
      </c>
      <c r="K5748" s="455">
        <f t="shared" ca="1" si="211"/>
        <v>-16248499152269.381</v>
      </c>
      <c r="L5748" s="455">
        <f t="shared" ca="1" si="212"/>
        <v>-3915888295696921.5</v>
      </c>
      <c r="M5748" s="471">
        <f t="shared" si="214"/>
        <v>0.05</v>
      </c>
      <c r="N5748" s="475">
        <f t="shared" si="215"/>
        <v>225995</v>
      </c>
    </row>
    <row r="5749" spans="7:14" ht="11.25" customHeight="1" x14ac:dyDescent="0.3">
      <c r="G5749" s="470"/>
      <c r="H5749" s="470">
        <v>5742</v>
      </c>
      <c r="I5749" s="455">
        <f t="shared" ca="1" si="213"/>
        <v>-3915888295696921.5</v>
      </c>
      <c r="J5749" s="455">
        <f t="array" ref="J5749">IFERROR(INDEX('Retirement Calculator'!J:J,MATCH('Isaac 401k'!N5749,'Retirement Calculator'!A:A,0),0),0)</f>
        <v>0</v>
      </c>
      <c r="K5749" s="455">
        <f t="shared" ca="1" si="211"/>
        <v>-16316201232070.506</v>
      </c>
      <c r="L5749" s="455">
        <f t="shared" ca="1" si="212"/>
        <v>-3932204496928992</v>
      </c>
      <c r="M5749" s="471">
        <f t="shared" si="214"/>
        <v>0.05</v>
      </c>
      <c r="N5749" s="475">
        <f t="shared" si="215"/>
        <v>226026</v>
      </c>
    </row>
    <row r="5750" spans="7:14" ht="11.25" customHeight="1" x14ac:dyDescent="0.3">
      <c r="G5750" s="470"/>
      <c r="H5750" s="470">
        <v>5743</v>
      </c>
      <c r="I5750" s="455">
        <f t="shared" ca="1" si="213"/>
        <v>-3932204496928992</v>
      </c>
      <c r="J5750" s="455">
        <f t="array" ref="J5750">IFERROR(INDEX('Retirement Calculator'!J:J,MATCH('Isaac 401k'!N5750,'Retirement Calculator'!A:A,0),0),0)</f>
        <v>0</v>
      </c>
      <c r="K5750" s="455">
        <f t="shared" ca="1" si="211"/>
        <v>-16384185403870.797</v>
      </c>
      <c r="L5750" s="455">
        <f t="shared" ca="1" si="212"/>
        <v>-3948588682332863</v>
      </c>
      <c r="M5750" s="471">
        <f t="shared" si="214"/>
        <v>0.05</v>
      </c>
      <c r="N5750" s="475">
        <f t="shared" si="215"/>
        <v>226056</v>
      </c>
    </row>
    <row r="5751" spans="7:14" ht="11.25" customHeight="1" x14ac:dyDescent="0.3">
      <c r="G5751" s="470"/>
      <c r="H5751" s="470">
        <v>5744</v>
      </c>
      <c r="I5751" s="455">
        <f t="shared" ca="1" si="213"/>
        <v>-3948588682332863</v>
      </c>
      <c r="J5751" s="455">
        <f t="array" ref="J5751">IFERROR(INDEX('Retirement Calculator'!J:J,MATCH('Isaac 401k'!N5751,'Retirement Calculator'!A:A,0),0),0)</f>
        <v>0</v>
      </c>
      <c r="K5751" s="455">
        <f t="shared" ca="1" si="211"/>
        <v>-16452452843053.596</v>
      </c>
      <c r="L5751" s="455">
        <f t="shared" ca="1" si="212"/>
        <v>-3965041135175916.5</v>
      </c>
      <c r="M5751" s="471">
        <f t="shared" si="214"/>
        <v>0.05</v>
      </c>
      <c r="N5751" s="475">
        <f t="shared" si="215"/>
        <v>226087</v>
      </c>
    </row>
    <row r="5752" spans="7:14" ht="11.25" customHeight="1" x14ac:dyDescent="0.3">
      <c r="G5752" s="470"/>
      <c r="H5752" s="470">
        <v>5745</v>
      </c>
      <c r="I5752" s="455">
        <f t="shared" ca="1" si="213"/>
        <v>-3965041135175916.5</v>
      </c>
      <c r="J5752" s="455">
        <f t="array" ref="J5752">IFERROR(INDEX('Retirement Calculator'!J:J,MATCH('Isaac 401k'!N5752,'Retirement Calculator'!A:A,0),0),0)</f>
        <v>0</v>
      </c>
      <c r="K5752" s="455">
        <f t="shared" ca="1" si="211"/>
        <v>-16521004729899.654</v>
      </c>
      <c r="L5752" s="455">
        <f t="shared" ca="1" si="212"/>
        <v>-3981562139905816</v>
      </c>
      <c r="M5752" s="471">
        <f t="shared" si="214"/>
        <v>0.05</v>
      </c>
      <c r="N5752" s="475">
        <f t="shared" si="215"/>
        <v>226118</v>
      </c>
    </row>
    <row r="5753" spans="7:14" ht="11.25" customHeight="1" x14ac:dyDescent="0.3">
      <c r="G5753" s="470"/>
      <c r="H5753" s="470">
        <v>5746</v>
      </c>
      <c r="I5753" s="455">
        <f t="shared" ca="1" si="213"/>
        <v>-3981562139905816</v>
      </c>
      <c r="J5753" s="455">
        <f t="array" ref="J5753">IFERROR(INDEX('Retirement Calculator'!J:J,MATCH('Isaac 401k'!N5753,'Retirement Calculator'!A:A,0),0),0)</f>
        <v>0</v>
      </c>
      <c r="K5753" s="455">
        <f t="shared" ca="1" si="211"/>
        <v>-16589842249607.564</v>
      </c>
      <c r="L5753" s="455">
        <f t="shared" ca="1" si="212"/>
        <v>-3998151982155423.5</v>
      </c>
      <c r="M5753" s="471">
        <f t="shared" si="214"/>
        <v>0.05</v>
      </c>
      <c r="N5753" s="475">
        <f t="shared" si="215"/>
        <v>226146</v>
      </c>
    </row>
    <row r="5754" spans="7:14" ht="11.25" customHeight="1" x14ac:dyDescent="0.3">
      <c r="G5754" s="470"/>
      <c r="H5754" s="470">
        <v>5747</v>
      </c>
      <c r="I5754" s="455">
        <f t="shared" ca="1" si="213"/>
        <v>-3998151982155423.5</v>
      </c>
      <c r="J5754" s="455">
        <f t="array" ref="J5754">IFERROR(INDEX('Retirement Calculator'!J:J,MATCH('Isaac 401k'!N5754,'Retirement Calculator'!A:A,0),0),0)</f>
        <v>0</v>
      </c>
      <c r="K5754" s="455">
        <f t="shared" ca="1" si="211"/>
        <v>-16658966592314.266</v>
      </c>
      <c r="L5754" s="455">
        <f t="shared" ca="1" si="212"/>
        <v>-4014810948747738</v>
      </c>
      <c r="M5754" s="471">
        <f t="shared" si="214"/>
        <v>0.05</v>
      </c>
      <c r="N5754" s="475">
        <f t="shared" si="215"/>
        <v>226177</v>
      </c>
    </row>
    <row r="5755" spans="7:14" ht="11.25" customHeight="1" x14ac:dyDescent="0.3">
      <c r="G5755" s="470"/>
      <c r="H5755" s="470">
        <v>5748</v>
      </c>
      <c r="I5755" s="455">
        <f t="shared" ca="1" si="213"/>
        <v>-4014810948747738</v>
      </c>
      <c r="J5755" s="455">
        <f t="array" ref="J5755">IFERROR(INDEX('Retirement Calculator'!J:J,MATCH('Isaac 401k'!N5755,'Retirement Calculator'!A:A,0),0),0)</f>
        <v>0</v>
      </c>
      <c r="K5755" s="455">
        <f t="shared" ca="1" si="211"/>
        <v>-16728378953115.574</v>
      </c>
      <c r="L5755" s="455">
        <f t="shared" ca="1" si="212"/>
        <v>-4031539327700853.5</v>
      </c>
      <c r="M5755" s="471">
        <f t="shared" si="214"/>
        <v>0.05</v>
      </c>
      <c r="N5755" s="475">
        <f t="shared" si="215"/>
        <v>226207</v>
      </c>
    </row>
    <row r="5756" spans="7:14" ht="11.25" customHeight="1" x14ac:dyDescent="0.3">
      <c r="G5756" s="470"/>
      <c r="H5756" s="470">
        <v>5749</v>
      </c>
      <c r="I5756" s="455">
        <f t="shared" ca="1" si="213"/>
        <v>-4031539327700853.5</v>
      </c>
      <c r="J5756" s="455">
        <f t="array" ref="J5756">IFERROR(INDEX('Retirement Calculator'!J:J,MATCH('Isaac 401k'!N5756,'Retirement Calculator'!A:A,0),0),0)</f>
        <v>0</v>
      </c>
      <c r="K5756" s="455">
        <f t="shared" ca="1" si="211"/>
        <v>-16798080532086.887</v>
      </c>
      <c r="L5756" s="455">
        <f t="shared" ca="1" si="212"/>
        <v>-4048337408232940.5</v>
      </c>
      <c r="M5756" s="471">
        <f t="shared" si="214"/>
        <v>0.05</v>
      </c>
      <c r="N5756" s="475">
        <f t="shared" si="215"/>
        <v>226238</v>
      </c>
    </row>
    <row r="5757" spans="7:14" ht="11.25" customHeight="1" x14ac:dyDescent="0.3">
      <c r="G5757" s="470"/>
      <c r="H5757" s="470">
        <v>5750</v>
      </c>
      <c r="I5757" s="455">
        <f t="shared" ca="1" si="213"/>
        <v>-4048337408232940.5</v>
      </c>
      <c r="J5757" s="455">
        <f t="array" ref="J5757">IFERROR(INDEX('Retirement Calculator'!J:J,MATCH('Isaac 401k'!N5757,'Retirement Calculator'!A:A,0),0),0)</f>
        <v>0</v>
      </c>
      <c r="K5757" s="455">
        <f t="shared" ca="1" si="211"/>
        <v>-16868072534303.918</v>
      </c>
      <c r="L5757" s="455">
        <f t="shared" ca="1" si="212"/>
        <v>-4065205480767244.5</v>
      </c>
      <c r="M5757" s="471">
        <f t="shared" si="214"/>
        <v>0.05</v>
      </c>
      <c r="N5757" s="475">
        <f t="shared" si="215"/>
        <v>226268</v>
      </c>
    </row>
    <row r="5758" spans="7:14" ht="11.25" customHeight="1" x14ac:dyDescent="0.3">
      <c r="G5758" s="470"/>
      <c r="H5758" s="470">
        <v>5751</v>
      </c>
      <c r="I5758" s="455">
        <f t="shared" ca="1" si="213"/>
        <v>-4065205480767244.5</v>
      </c>
      <c r="J5758" s="455">
        <f t="array" ref="J5758">IFERROR(INDEX('Retirement Calculator'!J:J,MATCH('Isaac 401k'!N5758,'Retirement Calculator'!A:A,0),0),0)</f>
        <v>0</v>
      </c>
      <c r="K5758" s="455">
        <f t="shared" ca="1" si="211"/>
        <v>-16938356169863.521</v>
      </c>
      <c r="L5758" s="455">
        <f t="shared" ca="1" si="212"/>
        <v>-4082143836937108</v>
      </c>
      <c r="M5758" s="471">
        <f t="shared" si="214"/>
        <v>0.05</v>
      </c>
      <c r="N5758" s="475">
        <f t="shared" si="215"/>
        <v>226299</v>
      </c>
    </row>
    <row r="5759" spans="7:14" ht="11.25" customHeight="1" x14ac:dyDescent="0.3">
      <c r="G5759" s="470"/>
      <c r="H5759" s="470">
        <v>5752</v>
      </c>
      <c r="I5759" s="455">
        <f t="shared" ca="1" si="213"/>
        <v>-4082143836937108</v>
      </c>
      <c r="J5759" s="455">
        <f t="array" ref="J5759">IFERROR(INDEX('Retirement Calculator'!J:J,MATCH('Isaac 401k'!N5759,'Retirement Calculator'!A:A,0),0),0)</f>
        <v>0</v>
      </c>
      <c r="K5759" s="455">
        <f t="shared" ca="1" si="211"/>
        <v>-17008932653904.617</v>
      </c>
      <c r="L5759" s="455">
        <f t="shared" ca="1" si="212"/>
        <v>-4099152769591012.5</v>
      </c>
      <c r="M5759" s="471">
        <f t="shared" si="214"/>
        <v>0.05</v>
      </c>
      <c r="N5759" s="475">
        <f t="shared" si="215"/>
        <v>226330</v>
      </c>
    </row>
    <row r="5760" spans="7:14" ht="11.25" customHeight="1" x14ac:dyDescent="0.3">
      <c r="G5760" s="470"/>
      <c r="H5760" s="470">
        <v>5753</v>
      </c>
      <c r="I5760" s="455">
        <f t="shared" ca="1" si="213"/>
        <v>-4099152769591012.5</v>
      </c>
      <c r="J5760" s="455">
        <f t="array" ref="J5760">IFERROR(INDEX('Retirement Calculator'!J:J,MATCH('Isaac 401k'!N5760,'Retirement Calculator'!A:A,0),0),0)</f>
        <v>0</v>
      </c>
      <c r="K5760" s="455">
        <f t="shared" ca="1" si="211"/>
        <v>-17079803206629.219</v>
      </c>
      <c r="L5760" s="455">
        <f t="shared" ca="1" si="212"/>
        <v>-4116232572797641.5</v>
      </c>
      <c r="M5760" s="471">
        <f t="shared" si="214"/>
        <v>0.05</v>
      </c>
      <c r="N5760" s="475">
        <f t="shared" si="215"/>
        <v>226360</v>
      </c>
    </row>
    <row r="5761" spans="7:14" ht="11.25" customHeight="1" x14ac:dyDescent="0.3">
      <c r="G5761" s="470"/>
      <c r="H5761" s="470">
        <v>5754</v>
      </c>
      <c r="I5761" s="455">
        <f t="shared" ca="1" si="213"/>
        <v>-4116232572797641.5</v>
      </c>
      <c r="J5761" s="455">
        <f t="array" ref="J5761">IFERROR(INDEX('Retirement Calculator'!J:J,MATCH('Isaac 401k'!N5761,'Retirement Calculator'!A:A,0),0),0)</f>
        <v>0</v>
      </c>
      <c r="K5761" s="455">
        <f t="shared" ca="1" si="211"/>
        <v>-17150969053323.504</v>
      </c>
      <c r="L5761" s="455">
        <f t="shared" ca="1" si="212"/>
        <v>-4133383541850965</v>
      </c>
      <c r="M5761" s="471">
        <f t="shared" si="214"/>
        <v>0.05</v>
      </c>
      <c r="N5761" s="475">
        <f t="shared" si="215"/>
        <v>226391</v>
      </c>
    </row>
    <row r="5762" spans="7:14" ht="11.25" customHeight="1" x14ac:dyDescent="0.3">
      <c r="G5762" s="470"/>
      <c r="H5762" s="470">
        <v>5755</v>
      </c>
      <c r="I5762" s="455">
        <f t="shared" ca="1" si="213"/>
        <v>-4133383541850965</v>
      </c>
      <c r="J5762" s="455">
        <f t="array" ref="J5762">IFERROR(INDEX('Retirement Calculator'!J:J,MATCH('Isaac 401k'!N5762,'Retirement Calculator'!A:A,0),0),0)</f>
        <v>0</v>
      </c>
      <c r="K5762" s="455">
        <f t="shared" ca="1" si="211"/>
        <v>-17222431424379.021</v>
      </c>
      <c r="L5762" s="455">
        <f t="shared" ca="1" si="212"/>
        <v>-4150605973275344</v>
      </c>
      <c r="M5762" s="471">
        <f t="shared" si="214"/>
        <v>0.05</v>
      </c>
      <c r="N5762" s="475">
        <f t="shared" si="215"/>
        <v>226421</v>
      </c>
    </row>
    <row r="5763" spans="7:14" ht="11.25" customHeight="1" x14ac:dyDescent="0.3">
      <c r="G5763" s="470"/>
      <c r="H5763" s="470">
        <v>5756</v>
      </c>
      <c r="I5763" s="455">
        <f t="shared" ca="1" si="213"/>
        <v>-4150605973275344</v>
      </c>
      <c r="J5763" s="455">
        <f t="array" ref="J5763">IFERROR(INDEX('Retirement Calculator'!J:J,MATCH('Isaac 401k'!N5763,'Retirement Calculator'!A:A,0),0),0)</f>
        <v>0</v>
      </c>
      <c r="K5763" s="455">
        <f t="shared" ca="1" si="211"/>
        <v>-17294191555313.932</v>
      </c>
      <c r="L5763" s="455">
        <f t="shared" ca="1" si="212"/>
        <v>-4167900164830658</v>
      </c>
      <c r="M5763" s="471">
        <f t="shared" si="214"/>
        <v>0.05</v>
      </c>
      <c r="N5763" s="475">
        <f t="shared" si="215"/>
        <v>226452</v>
      </c>
    </row>
    <row r="5764" spans="7:14" ht="11.25" customHeight="1" x14ac:dyDescent="0.3">
      <c r="G5764" s="470"/>
      <c r="H5764" s="470">
        <v>5757</v>
      </c>
      <c r="I5764" s="455">
        <f t="shared" ca="1" si="213"/>
        <v>-4167900164830658</v>
      </c>
      <c r="J5764" s="455">
        <f t="array" ref="J5764">IFERROR(INDEX('Retirement Calculator'!J:J,MATCH('Isaac 401k'!N5764,'Retirement Calculator'!A:A,0),0),0)</f>
        <v>0</v>
      </c>
      <c r="K5764" s="455">
        <f t="shared" ca="1" si="211"/>
        <v>-17366250686794.41</v>
      </c>
      <c r="L5764" s="455">
        <f t="shared" ca="1" si="212"/>
        <v>-4185266415517452.5</v>
      </c>
      <c r="M5764" s="471">
        <f t="shared" si="214"/>
        <v>0.05</v>
      </c>
      <c r="N5764" s="475">
        <f t="shared" si="215"/>
        <v>226483</v>
      </c>
    </row>
    <row r="5765" spans="7:14" ht="11.25" customHeight="1" x14ac:dyDescent="0.3">
      <c r="G5765" s="470"/>
      <c r="H5765" s="470">
        <v>5758</v>
      </c>
      <c r="I5765" s="455">
        <f t="shared" ca="1" si="213"/>
        <v>-4185266415517452.5</v>
      </c>
      <c r="J5765" s="455">
        <f t="array" ref="J5765">IFERROR(INDEX('Retirement Calculator'!J:J,MATCH('Isaac 401k'!N5765,'Retirement Calculator'!A:A,0),0),0)</f>
        <v>0</v>
      </c>
      <c r="K5765" s="455">
        <f t="shared" ca="1" si="211"/>
        <v>-17438610064656.053</v>
      </c>
      <c r="L5765" s="455">
        <f t="shared" ca="1" si="212"/>
        <v>-4202705025582108.5</v>
      </c>
      <c r="M5765" s="471">
        <f t="shared" si="214"/>
        <v>0.05</v>
      </c>
      <c r="N5765" s="475">
        <f t="shared" si="215"/>
        <v>226512</v>
      </c>
    </row>
    <row r="5766" spans="7:14" ht="11.25" customHeight="1" x14ac:dyDescent="0.3">
      <c r="G5766" s="470"/>
      <c r="H5766" s="470">
        <v>5759</v>
      </c>
      <c r="I5766" s="455">
        <f t="shared" ca="1" si="213"/>
        <v>-4202705025582108.5</v>
      </c>
      <c r="J5766" s="455">
        <f t="array" ref="J5766">IFERROR(INDEX('Retirement Calculator'!J:J,MATCH('Isaac 401k'!N5766,'Retirement Calculator'!A:A,0),0),0)</f>
        <v>0</v>
      </c>
      <c r="K5766" s="455">
        <f t="shared" ca="1" si="211"/>
        <v>-17511270939925.453</v>
      </c>
      <c r="L5766" s="455">
        <f t="shared" ca="1" si="212"/>
        <v>-4220216296522034</v>
      </c>
      <c r="M5766" s="471">
        <f t="shared" si="214"/>
        <v>0.05</v>
      </c>
      <c r="N5766" s="475">
        <f t="shared" si="215"/>
        <v>226543</v>
      </c>
    </row>
    <row r="5767" spans="7:14" ht="11.25" customHeight="1" x14ac:dyDescent="0.3">
      <c r="G5767" s="470"/>
      <c r="H5767" s="470">
        <v>5760</v>
      </c>
      <c r="I5767" s="455">
        <f t="shared" ca="1" si="213"/>
        <v>-4220216296522034</v>
      </c>
      <c r="J5767" s="455">
        <f t="array" ref="J5767">IFERROR(INDEX('Retirement Calculator'!J:J,MATCH('Isaac 401k'!N5767,'Retirement Calculator'!A:A,0),0),0)</f>
        <v>0</v>
      </c>
      <c r="K5767" s="455">
        <f t="shared" ca="1" si="211"/>
        <v>-17584234568841.809</v>
      </c>
      <c r="L5767" s="455">
        <f t="shared" ca="1" si="212"/>
        <v>-4237800531090876</v>
      </c>
      <c r="M5767" s="471">
        <f t="shared" si="214"/>
        <v>0.05</v>
      </c>
      <c r="N5767" s="475">
        <f t="shared" si="215"/>
        <v>226573</v>
      </c>
    </row>
    <row r="5768" spans="7:14" ht="11.25" customHeight="1" x14ac:dyDescent="0.3">
      <c r="G5768" s="470"/>
      <c r="H5768" s="470">
        <v>5761</v>
      </c>
      <c r="I5768" s="455">
        <f t="shared" ca="1" si="213"/>
        <v>-4237800531090876</v>
      </c>
      <c r="J5768" s="455">
        <f t="array" ref="J5768">IFERROR(INDEX('Retirement Calculator'!J:J,MATCH('Isaac 401k'!N5768,'Retirement Calculator'!A:A,0),0),0)</f>
        <v>0</v>
      </c>
      <c r="K5768" s="455">
        <f t="shared" ca="1" si="211"/>
        <v>-17657502212878.648</v>
      </c>
      <c r="L5768" s="455">
        <f t="shared" ca="1" si="212"/>
        <v>-4255458033303754.5</v>
      </c>
      <c r="M5768" s="471">
        <f t="shared" si="214"/>
        <v>0.05</v>
      </c>
      <c r="N5768" s="475">
        <f t="shared" si="215"/>
        <v>226604</v>
      </c>
    </row>
    <row r="5769" spans="7:14" ht="11.25" customHeight="1" x14ac:dyDescent="0.3">
      <c r="G5769" s="470"/>
      <c r="H5769" s="470">
        <v>5762</v>
      </c>
      <c r="I5769" s="455">
        <f t="shared" ca="1" si="213"/>
        <v>-4255458033303754.5</v>
      </c>
      <c r="J5769" s="455">
        <f t="array" ref="J5769">IFERROR(INDEX('Retirement Calculator'!J:J,MATCH('Isaac 401k'!N5769,'Retirement Calculator'!A:A,0),0),0)</f>
        <v>0</v>
      </c>
      <c r="K5769" s="455">
        <f t="shared" ca="1" si="211"/>
        <v>-17731075138765.645</v>
      </c>
      <c r="L5769" s="455">
        <f t="shared" ca="1" si="212"/>
        <v>-4273189108442520</v>
      </c>
      <c r="M5769" s="471">
        <f t="shared" si="214"/>
        <v>0.05</v>
      </c>
      <c r="N5769" s="475">
        <f t="shared" si="215"/>
        <v>226634</v>
      </c>
    </row>
    <row r="5770" spans="7:14" ht="11.25" customHeight="1" x14ac:dyDescent="0.3">
      <c r="G5770" s="470"/>
      <c r="H5770" s="470">
        <v>5763</v>
      </c>
      <c r="I5770" s="455">
        <f t="shared" ca="1" si="213"/>
        <v>-4273189108442520</v>
      </c>
      <c r="J5770" s="455">
        <f t="array" ref="J5770">IFERROR(INDEX('Retirement Calculator'!J:J,MATCH('Isaac 401k'!N5770,'Retirement Calculator'!A:A,0),0),0)</f>
        <v>0</v>
      </c>
      <c r="K5770" s="455">
        <f t="shared" ca="1" si="211"/>
        <v>-17804954618510.5</v>
      </c>
      <c r="L5770" s="455">
        <f t="shared" ca="1" si="212"/>
        <v>-4290994063061030.5</v>
      </c>
      <c r="M5770" s="471">
        <f t="shared" si="214"/>
        <v>0.05</v>
      </c>
      <c r="N5770" s="475">
        <f t="shared" si="215"/>
        <v>226665</v>
      </c>
    </row>
    <row r="5771" spans="7:14" ht="11.25" customHeight="1" x14ac:dyDescent="0.3">
      <c r="G5771" s="470"/>
      <c r="H5771" s="470">
        <v>5764</v>
      </c>
      <c r="I5771" s="455">
        <f t="shared" ca="1" si="213"/>
        <v>-4290994063061030.5</v>
      </c>
      <c r="J5771" s="455">
        <f t="array" ref="J5771">IFERROR(INDEX('Retirement Calculator'!J:J,MATCH('Isaac 401k'!N5771,'Retirement Calculator'!A:A,0),0),0)</f>
        <v>0</v>
      </c>
      <c r="K5771" s="455">
        <f t="shared" ca="1" si="211"/>
        <v>-17879141929420.961</v>
      </c>
      <c r="L5771" s="455">
        <f t="shared" ca="1" si="212"/>
        <v>-4308873204990451.5</v>
      </c>
      <c r="M5771" s="471">
        <f t="shared" si="214"/>
        <v>0.05</v>
      </c>
      <c r="N5771" s="475">
        <f t="shared" si="215"/>
        <v>226696</v>
      </c>
    </row>
    <row r="5772" spans="7:14" ht="11.25" customHeight="1" x14ac:dyDescent="0.3">
      <c r="G5772" s="470"/>
      <c r="H5772" s="470">
        <v>5765</v>
      </c>
      <c r="I5772" s="455">
        <f t="shared" ca="1" si="213"/>
        <v>-4308873204990451.5</v>
      </c>
      <c r="J5772" s="455">
        <f t="array" ref="J5772">IFERROR(INDEX('Retirement Calculator'!J:J,MATCH('Isaac 401k'!N5772,'Retirement Calculator'!A:A,0),0),0)</f>
        <v>0</v>
      </c>
      <c r="K5772" s="455">
        <f t="shared" ca="1" si="211"/>
        <v>-17953638354126.883</v>
      </c>
      <c r="L5772" s="455">
        <f t="shared" ca="1" si="212"/>
        <v>-4326826843344578.5</v>
      </c>
      <c r="M5772" s="471">
        <f t="shared" si="214"/>
        <v>0.05</v>
      </c>
      <c r="N5772" s="475">
        <f t="shared" si="215"/>
        <v>226726</v>
      </c>
    </row>
    <row r="5773" spans="7:14" ht="11.25" customHeight="1" x14ac:dyDescent="0.3">
      <c r="G5773" s="470"/>
      <c r="H5773" s="470">
        <v>5766</v>
      </c>
      <c r="I5773" s="455">
        <f t="shared" ca="1" si="213"/>
        <v>-4326826843344578.5</v>
      </c>
      <c r="J5773" s="455">
        <f t="array" ref="J5773">IFERROR(INDEX('Retirement Calculator'!J:J,MATCH('Isaac 401k'!N5773,'Retirement Calculator'!A:A,0),0),0)</f>
        <v>0</v>
      </c>
      <c r="K5773" s="455">
        <f t="shared" ca="1" si="211"/>
        <v>-18028445180602.41</v>
      </c>
      <c r="L5773" s="455">
        <f t="shared" ca="1" si="212"/>
        <v>-4344855288525181</v>
      </c>
      <c r="M5773" s="471">
        <f t="shared" si="214"/>
        <v>0.05</v>
      </c>
      <c r="N5773" s="475">
        <f t="shared" si="215"/>
        <v>226757</v>
      </c>
    </row>
    <row r="5774" spans="7:14" ht="11.25" customHeight="1" x14ac:dyDescent="0.3">
      <c r="G5774" s="470"/>
      <c r="H5774" s="470">
        <v>5767</v>
      </c>
      <c r="I5774" s="455">
        <f t="shared" ca="1" si="213"/>
        <v>-4344855288525181</v>
      </c>
      <c r="J5774" s="455">
        <f t="array" ref="J5774">IFERROR(INDEX('Retirement Calculator'!J:J,MATCH('Isaac 401k'!N5774,'Retirement Calculator'!A:A,0),0),0)</f>
        <v>0</v>
      </c>
      <c r="K5774" s="455">
        <f t="shared" ca="1" si="211"/>
        <v>-18103563702188.254</v>
      </c>
      <c r="L5774" s="455">
        <f t="shared" ca="1" si="212"/>
        <v>-4362958852227369.5</v>
      </c>
      <c r="M5774" s="471">
        <f t="shared" si="214"/>
        <v>0.05</v>
      </c>
      <c r="N5774" s="475">
        <f t="shared" si="215"/>
        <v>226787</v>
      </c>
    </row>
    <row r="5775" spans="7:14" ht="11.25" customHeight="1" x14ac:dyDescent="0.3">
      <c r="G5775" s="470"/>
      <c r="H5775" s="470">
        <v>5768</v>
      </c>
      <c r="I5775" s="455">
        <f t="shared" ca="1" si="213"/>
        <v>-4362958852227369.5</v>
      </c>
      <c r="J5775" s="455">
        <f t="array" ref="J5775">IFERROR(INDEX('Retirement Calculator'!J:J,MATCH('Isaac 401k'!N5775,'Retirement Calculator'!A:A,0),0),0)</f>
        <v>0</v>
      </c>
      <c r="K5775" s="455">
        <f t="shared" ca="1" si="211"/>
        <v>-18178995217614.039</v>
      </c>
      <c r="L5775" s="455">
        <f t="shared" ca="1" si="212"/>
        <v>-4381137847444983.5</v>
      </c>
      <c r="M5775" s="471">
        <f t="shared" si="214"/>
        <v>0.05</v>
      </c>
      <c r="N5775" s="475">
        <f t="shared" si="215"/>
        <v>226818</v>
      </c>
    </row>
    <row r="5776" spans="7:14" ht="11.25" customHeight="1" x14ac:dyDescent="0.3">
      <c r="G5776" s="470"/>
      <c r="H5776" s="470">
        <v>5769</v>
      </c>
      <c r="I5776" s="455">
        <f t="shared" ca="1" si="213"/>
        <v>-4381137847444983.5</v>
      </c>
      <c r="J5776" s="455">
        <f t="array" ref="J5776">IFERROR(INDEX('Retirement Calculator'!J:J,MATCH('Isaac 401k'!N5776,'Retirement Calculator'!A:A,0),0),0)</f>
        <v>0</v>
      </c>
      <c r="K5776" s="455">
        <f t="shared" ca="1" si="211"/>
        <v>-18254741031020.766</v>
      </c>
      <c r="L5776" s="455">
        <f t="shared" ca="1" si="212"/>
        <v>-4399392588476004.5</v>
      </c>
      <c r="M5776" s="471">
        <f t="shared" si="214"/>
        <v>0.05</v>
      </c>
      <c r="N5776" s="475">
        <f t="shared" si="215"/>
        <v>226849</v>
      </c>
    </row>
    <row r="5777" spans="7:14" ht="11.25" customHeight="1" x14ac:dyDescent="0.3">
      <c r="G5777" s="470"/>
      <c r="H5777" s="470">
        <v>5770</v>
      </c>
      <c r="I5777" s="455">
        <f t="shared" ca="1" si="213"/>
        <v>-4399392588476004.5</v>
      </c>
      <c r="J5777" s="455">
        <f t="array" ref="J5777">IFERROR(INDEX('Retirement Calculator'!J:J,MATCH('Isaac 401k'!N5777,'Retirement Calculator'!A:A,0),0),0)</f>
        <v>0</v>
      </c>
      <c r="K5777" s="455">
        <f t="shared" ca="1" si="211"/>
        <v>-18330802451983.352</v>
      </c>
      <c r="L5777" s="455">
        <f t="shared" ca="1" si="212"/>
        <v>-4417723390927988</v>
      </c>
      <c r="M5777" s="471">
        <f t="shared" si="214"/>
        <v>0.05</v>
      </c>
      <c r="N5777" s="475">
        <f t="shared" si="215"/>
        <v>226877</v>
      </c>
    </row>
    <row r="5778" spans="7:14" ht="11.25" customHeight="1" x14ac:dyDescent="0.3">
      <c r="G5778" s="470"/>
      <c r="H5778" s="470">
        <v>5771</v>
      </c>
      <c r="I5778" s="455">
        <f t="shared" ca="1" si="213"/>
        <v>-4417723390927988</v>
      </c>
      <c r="J5778" s="455">
        <f t="array" ref="J5778">IFERROR(INDEX('Retirement Calculator'!J:J,MATCH('Isaac 401k'!N5778,'Retirement Calculator'!A:A,0),0),0)</f>
        <v>0</v>
      </c>
      <c r="K5778" s="455">
        <f t="shared" ca="1" si="211"/>
        <v>-18407180795533.281</v>
      </c>
      <c r="L5778" s="455">
        <f t="shared" ca="1" si="212"/>
        <v>-4436130571723521.5</v>
      </c>
      <c r="M5778" s="471">
        <f t="shared" si="214"/>
        <v>0.05</v>
      </c>
      <c r="N5778" s="475">
        <f t="shared" si="215"/>
        <v>226908</v>
      </c>
    </row>
    <row r="5779" spans="7:14" ht="11.25" customHeight="1" x14ac:dyDescent="0.3">
      <c r="G5779" s="470"/>
      <c r="H5779" s="470">
        <v>5772</v>
      </c>
      <c r="I5779" s="455">
        <f t="shared" ca="1" si="213"/>
        <v>-4436130571723521.5</v>
      </c>
      <c r="J5779" s="455">
        <f t="array" ref="J5779">IFERROR(INDEX('Retirement Calculator'!J:J,MATCH('Isaac 401k'!N5779,'Retirement Calculator'!A:A,0),0),0)</f>
        <v>0</v>
      </c>
      <c r="K5779" s="455">
        <f t="shared" ca="1" si="211"/>
        <v>-18483877382181.34</v>
      </c>
      <c r="L5779" s="455">
        <f t="shared" ca="1" si="212"/>
        <v>-4454614449105703</v>
      </c>
      <c r="M5779" s="471">
        <f t="shared" si="214"/>
        <v>0.05</v>
      </c>
      <c r="N5779" s="475">
        <f t="shared" si="215"/>
        <v>226938</v>
      </c>
    </row>
    <row r="5780" spans="7:14" ht="11.25" customHeight="1" x14ac:dyDescent="0.3">
      <c r="G5780" s="470"/>
      <c r="H5780" s="470">
        <v>5773</v>
      </c>
      <c r="I5780" s="455">
        <f t="shared" ca="1" si="213"/>
        <v>-4454614449105703</v>
      </c>
      <c r="J5780" s="455">
        <f t="array" ref="J5780">IFERROR(INDEX('Retirement Calculator'!J:J,MATCH('Isaac 401k'!N5780,'Retirement Calculator'!A:A,0),0),0)</f>
        <v>0</v>
      </c>
      <c r="K5780" s="455">
        <f t="shared" ca="1" si="211"/>
        <v>-18560893537940.43</v>
      </c>
      <c r="L5780" s="455">
        <f t="shared" ca="1" si="212"/>
        <v>-4473175342643643.5</v>
      </c>
      <c r="M5780" s="471">
        <f t="shared" si="214"/>
        <v>0.05</v>
      </c>
      <c r="N5780" s="475">
        <f t="shared" si="215"/>
        <v>226969</v>
      </c>
    </row>
    <row r="5781" spans="7:14" ht="11.25" customHeight="1" x14ac:dyDescent="0.3">
      <c r="G5781" s="470"/>
      <c r="H5781" s="470">
        <v>5774</v>
      </c>
      <c r="I5781" s="455">
        <f t="shared" ca="1" si="213"/>
        <v>-4473175342643643.5</v>
      </c>
      <c r="J5781" s="455">
        <f t="array" ref="J5781">IFERROR(INDEX('Retirement Calculator'!J:J,MATCH('Isaac 401k'!N5781,'Retirement Calculator'!A:A,0),0),0)</f>
        <v>0</v>
      </c>
      <c r="K5781" s="455">
        <f t="shared" ca="1" si="211"/>
        <v>-18638230594348.516</v>
      </c>
      <c r="L5781" s="455">
        <f t="shared" ca="1" si="212"/>
        <v>-4491813573237992</v>
      </c>
      <c r="M5781" s="471">
        <f t="shared" si="214"/>
        <v>0.05</v>
      </c>
      <c r="N5781" s="475">
        <f t="shared" si="215"/>
        <v>226999</v>
      </c>
    </row>
    <row r="5782" spans="7:14" ht="11.25" customHeight="1" x14ac:dyDescent="0.3">
      <c r="G5782" s="470"/>
      <c r="H5782" s="470">
        <v>5775</v>
      </c>
      <c r="I5782" s="455">
        <f t="shared" ca="1" si="213"/>
        <v>-4491813573237992</v>
      </c>
      <c r="J5782" s="455">
        <f t="array" ref="J5782">IFERROR(INDEX('Retirement Calculator'!J:J,MATCH('Isaac 401k'!N5782,'Retirement Calculator'!A:A,0),0),0)</f>
        <v>0</v>
      </c>
      <c r="K5782" s="455">
        <f t="shared" ca="1" si="211"/>
        <v>-18715889888491.633</v>
      </c>
      <c r="L5782" s="455">
        <f t="shared" ca="1" si="212"/>
        <v>-4510529463126484</v>
      </c>
      <c r="M5782" s="471">
        <f t="shared" si="214"/>
        <v>0.05</v>
      </c>
      <c r="N5782" s="475">
        <f t="shared" si="215"/>
        <v>227030</v>
      </c>
    </row>
    <row r="5783" spans="7:14" ht="11.25" customHeight="1" x14ac:dyDescent="0.3">
      <c r="G5783" s="470"/>
      <c r="H5783" s="470">
        <v>5776</v>
      </c>
      <c r="I5783" s="455">
        <f t="shared" ca="1" si="213"/>
        <v>-4510529463126484</v>
      </c>
      <c r="J5783" s="455">
        <f t="array" ref="J5783">IFERROR(INDEX('Retirement Calculator'!J:J,MATCH('Isaac 401k'!N5783,'Retirement Calculator'!A:A,0),0),0)</f>
        <v>0</v>
      </c>
      <c r="K5783" s="455">
        <f t="shared" ca="1" si="211"/>
        <v>-18793872763027.016</v>
      </c>
      <c r="L5783" s="455">
        <f t="shared" ca="1" si="212"/>
        <v>-4529323335889511</v>
      </c>
      <c r="M5783" s="471">
        <f t="shared" si="214"/>
        <v>0.05</v>
      </c>
      <c r="N5783" s="475">
        <f t="shared" si="215"/>
        <v>227061</v>
      </c>
    </row>
    <row r="5784" spans="7:14" ht="11.25" customHeight="1" x14ac:dyDescent="0.3">
      <c r="G5784" s="470"/>
      <c r="H5784" s="470">
        <v>5777</v>
      </c>
      <c r="I5784" s="455">
        <f t="shared" ca="1" si="213"/>
        <v>-4529323335889511</v>
      </c>
      <c r="J5784" s="455">
        <f t="array" ref="J5784">IFERROR(INDEX('Retirement Calculator'!J:J,MATCH('Isaac 401k'!N5784,'Retirement Calculator'!A:A,0),0),0)</f>
        <v>0</v>
      </c>
      <c r="K5784" s="455">
        <f t="shared" ca="1" si="211"/>
        <v>-18872180566206.297</v>
      </c>
      <c r="L5784" s="455">
        <f t="shared" ca="1" si="212"/>
        <v>-4548195516455717</v>
      </c>
      <c r="M5784" s="471">
        <f t="shared" si="214"/>
        <v>0.05</v>
      </c>
      <c r="N5784" s="475">
        <f t="shared" si="215"/>
        <v>227091</v>
      </c>
    </row>
    <row r="5785" spans="7:14" ht="11.25" customHeight="1" x14ac:dyDescent="0.3">
      <c r="G5785" s="470"/>
      <c r="H5785" s="470">
        <v>5778</v>
      </c>
      <c r="I5785" s="455">
        <f t="shared" ca="1" si="213"/>
        <v>-4548195516455717</v>
      </c>
      <c r="J5785" s="455">
        <f t="array" ref="J5785">IFERROR(INDEX('Retirement Calculator'!J:J,MATCH('Isaac 401k'!N5785,'Retirement Calculator'!A:A,0),0),0)</f>
        <v>0</v>
      </c>
      <c r="K5785" s="455">
        <f t="shared" ca="1" si="211"/>
        <v>-18950814651898.82</v>
      </c>
      <c r="L5785" s="455">
        <f t="shared" ca="1" si="212"/>
        <v>-4567146331107616</v>
      </c>
      <c r="M5785" s="471">
        <f t="shared" si="214"/>
        <v>0.05</v>
      </c>
      <c r="N5785" s="475">
        <f t="shared" si="215"/>
        <v>227122</v>
      </c>
    </row>
    <row r="5786" spans="7:14" ht="11.25" customHeight="1" x14ac:dyDescent="0.3">
      <c r="G5786" s="470"/>
      <c r="H5786" s="470">
        <v>5779</v>
      </c>
      <c r="I5786" s="455">
        <f t="shared" ca="1" si="213"/>
        <v>-4567146331107616</v>
      </c>
      <c r="J5786" s="455">
        <f t="array" ref="J5786">IFERROR(INDEX('Retirement Calculator'!J:J,MATCH('Isaac 401k'!N5786,'Retirement Calculator'!A:A,0),0),0)</f>
        <v>0</v>
      </c>
      <c r="K5786" s="455">
        <f t="shared" ca="1" si="211"/>
        <v>-19029776379615.066</v>
      </c>
      <c r="L5786" s="455">
        <f t="shared" ca="1" si="212"/>
        <v>-4586176107487231</v>
      </c>
      <c r="M5786" s="471">
        <f t="shared" si="214"/>
        <v>0.05</v>
      </c>
      <c r="N5786" s="475">
        <f t="shared" si="215"/>
        <v>227152</v>
      </c>
    </row>
    <row r="5787" spans="7:14" ht="11.25" customHeight="1" x14ac:dyDescent="0.3">
      <c r="G5787" s="470"/>
      <c r="H5787" s="470">
        <v>5780</v>
      </c>
      <c r="I5787" s="455">
        <f t="shared" ca="1" si="213"/>
        <v>-4586176107487231</v>
      </c>
      <c r="J5787" s="455">
        <f t="array" ref="J5787">IFERROR(INDEX('Retirement Calculator'!J:J,MATCH('Isaac 401k'!N5787,'Retirement Calculator'!A:A,0),0),0)</f>
        <v>0</v>
      </c>
      <c r="K5787" s="455">
        <f t="shared" ca="1" si="211"/>
        <v>-19109067114530.129</v>
      </c>
      <c r="L5787" s="455">
        <f t="shared" ca="1" si="212"/>
        <v>-4605285174601761</v>
      </c>
      <c r="M5787" s="471">
        <f t="shared" si="214"/>
        <v>0.05</v>
      </c>
      <c r="N5787" s="475">
        <f t="shared" si="215"/>
        <v>227183</v>
      </c>
    </row>
    <row r="5788" spans="7:14" ht="11.25" customHeight="1" x14ac:dyDescent="0.3">
      <c r="G5788" s="470"/>
      <c r="H5788" s="470">
        <v>5781</v>
      </c>
      <c r="I5788" s="455">
        <f t="shared" ca="1" si="213"/>
        <v>-4605285174601761</v>
      </c>
      <c r="J5788" s="455">
        <f t="array" ref="J5788">IFERROR(INDEX('Retirement Calculator'!J:J,MATCH('Isaac 401k'!N5788,'Retirement Calculator'!A:A,0),0),0)</f>
        <v>0</v>
      </c>
      <c r="K5788" s="455">
        <f t="shared" ca="1" si="211"/>
        <v>-19188688227507.336</v>
      </c>
      <c r="L5788" s="455">
        <f t="shared" ca="1" si="212"/>
        <v>-4624473862829268</v>
      </c>
      <c r="M5788" s="471">
        <f t="shared" si="214"/>
        <v>0.05</v>
      </c>
      <c r="N5788" s="475">
        <f t="shared" si="215"/>
        <v>227214</v>
      </c>
    </row>
    <row r="5789" spans="7:14" ht="11.25" customHeight="1" x14ac:dyDescent="0.3">
      <c r="G5789" s="470"/>
      <c r="H5789" s="470">
        <v>5782</v>
      </c>
      <c r="I5789" s="455">
        <f t="shared" ca="1" si="213"/>
        <v>-4624473862829268</v>
      </c>
      <c r="J5789" s="455">
        <f t="array" ref="J5789">IFERROR(INDEX('Retirement Calculator'!J:J,MATCH('Isaac 401k'!N5789,'Retirement Calculator'!A:A,0),0),0)</f>
        <v>0</v>
      </c>
      <c r="K5789" s="455">
        <f t="shared" ca="1" si="211"/>
        <v>-19268641095121.949</v>
      </c>
      <c r="L5789" s="455">
        <f t="shared" ca="1" si="212"/>
        <v>-4643742503924390</v>
      </c>
      <c r="M5789" s="471">
        <f t="shared" si="214"/>
        <v>0.05</v>
      </c>
      <c r="N5789" s="475">
        <f t="shared" si="215"/>
        <v>227242</v>
      </c>
    </row>
    <row r="5790" spans="7:14" ht="11.25" customHeight="1" x14ac:dyDescent="0.3">
      <c r="G5790" s="470"/>
      <c r="H5790" s="470">
        <v>5783</v>
      </c>
      <c r="I5790" s="455">
        <f t="shared" ca="1" si="213"/>
        <v>-4643742503924390</v>
      </c>
      <c r="J5790" s="455">
        <f t="array" ref="J5790">IFERROR(INDEX('Retirement Calculator'!J:J,MATCH('Isaac 401k'!N5790,'Retirement Calculator'!A:A,0),0),0)</f>
        <v>0</v>
      </c>
      <c r="K5790" s="455">
        <f t="shared" ca="1" si="211"/>
        <v>-19348927099684.957</v>
      </c>
      <c r="L5790" s="455">
        <f t="shared" ca="1" si="212"/>
        <v>-4663091431024075</v>
      </c>
      <c r="M5790" s="471">
        <f t="shared" si="214"/>
        <v>0.05</v>
      </c>
      <c r="N5790" s="475">
        <f t="shared" si="215"/>
        <v>227273</v>
      </c>
    </row>
    <row r="5791" spans="7:14" ht="11.25" customHeight="1" x14ac:dyDescent="0.3">
      <c r="G5791" s="470"/>
      <c r="H5791" s="470">
        <v>5784</v>
      </c>
      <c r="I5791" s="455">
        <f t="shared" ca="1" si="213"/>
        <v>-4663091431024075</v>
      </c>
      <c r="J5791" s="455">
        <f t="array" ref="J5791">IFERROR(INDEX('Retirement Calculator'!J:J,MATCH('Isaac 401k'!N5791,'Retirement Calculator'!A:A,0),0),0)</f>
        <v>0</v>
      </c>
      <c r="K5791" s="455">
        <f t="shared" ca="1" si="211"/>
        <v>-19429547629266.98</v>
      </c>
      <c r="L5791" s="455">
        <f t="shared" ca="1" si="212"/>
        <v>-4682520978653342</v>
      </c>
      <c r="M5791" s="471">
        <f t="shared" si="214"/>
        <v>0.05</v>
      </c>
      <c r="N5791" s="475">
        <f t="shared" si="215"/>
        <v>227303</v>
      </c>
    </row>
    <row r="5792" spans="7:14" ht="11.25" customHeight="1" x14ac:dyDescent="0.3">
      <c r="G5792" s="470"/>
      <c r="H5792" s="470">
        <v>5785</v>
      </c>
      <c r="I5792" s="455">
        <f t="shared" ca="1" si="213"/>
        <v>-4682520978653342</v>
      </c>
      <c r="J5792" s="455">
        <f t="array" ref="J5792">IFERROR(INDEX('Retirement Calculator'!J:J,MATCH('Isaac 401k'!N5792,'Retirement Calculator'!A:A,0),0),0)</f>
        <v>0</v>
      </c>
      <c r="K5792" s="455">
        <f t="shared" ca="1" si="211"/>
        <v>-19510504077722.258</v>
      </c>
      <c r="L5792" s="455">
        <f t="shared" ca="1" si="212"/>
        <v>-4702031482731064</v>
      </c>
      <c r="M5792" s="471">
        <f t="shared" si="214"/>
        <v>0.05</v>
      </c>
      <c r="N5792" s="475">
        <f t="shared" si="215"/>
        <v>227334</v>
      </c>
    </row>
    <row r="5793" spans="7:14" ht="11.25" customHeight="1" x14ac:dyDescent="0.3">
      <c r="G5793" s="470"/>
      <c r="H5793" s="470">
        <v>5786</v>
      </c>
      <c r="I5793" s="455">
        <f t="shared" ca="1" si="213"/>
        <v>-4702031482731064</v>
      </c>
      <c r="J5793" s="455">
        <f t="array" ref="J5793">IFERROR(INDEX('Retirement Calculator'!J:J,MATCH('Isaac 401k'!N5793,'Retirement Calculator'!A:A,0),0),0)</f>
        <v>0</v>
      </c>
      <c r="K5793" s="455">
        <f t="shared" ca="1" si="211"/>
        <v>-19591797844712.766</v>
      </c>
      <c r="L5793" s="455">
        <f t="shared" ca="1" si="212"/>
        <v>-4721623280575777</v>
      </c>
      <c r="M5793" s="471">
        <f t="shared" si="214"/>
        <v>0.05</v>
      </c>
      <c r="N5793" s="475">
        <f t="shared" si="215"/>
        <v>227364</v>
      </c>
    </row>
    <row r="5794" spans="7:14" ht="11.25" customHeight="1" x14ac:dyDescent="0.3">
      <c r="G5794" s="470"/>
      <c r="H5794" s="470">
        <v>5787</v>
      </c>
      <c r="I5794" s="455">
        <f t="shared" ca="1" si="213"/>
        <v>-4721623280575777</v>
      </c>
      <c r="J5794" s="455">
        <f t="array" ref="J5794">IFERROR(INDEX('Retirement Calculator'!J:J,MATCH('Isaac 401k'!N5794,'Retirement Calculator'!A:A,0),0),0)</f>
        <v>0</v>
      </c>
      <c r="K5794" s="455">
        <f t="shared" ca="1" si="211"/>
        <v>-19673430335732.402</v>
      </c>
      <c r="L5794" s="455">
        <f t="shared" ca="1" si="212"/>
        <v>-4741296710911509</v>
      </c>
      <c r="M5794" s="471">
        <f t="shared" si="214"/>
        <v>0.05</v>
      </c>
      <c r="N5794" s="475">
        <f t="shared" si="215"/>
        <v>227395</v>
      </c>
    </row>
    <row r="5795" spans="7:14" ht="11.25" customHeight="1" x14ac:dyDescent="0.3">
      <c r="G5795" s="470"/>
      <c r="H5795" s="470">
        <v>5788</v>
      </c>
      <c r="I5795" s="455">
        <f t="shared" ca="1" si="213"/>
        <v>-4741296710911509</v>
      </c>
      <c r="J5795" s="455">
        <f t="array" ref="J5795">IFERROR(INDEX('Retirement Calculator'!J:J,MATCH('Isaac 401k'!N5795,'Retirement Calculator'!A:A,0),0),0)</f>
        <v>0</v>
      </c>
      <c r="K5795" s="455">
        <f t="shared" ca="1" si="211"/>
        <v>-19755402962131.289</v>
      </c>
      <c r="L5795" s="455">
        <f t="shared" ca="1" si="212"/>
        <v>-4761052113873640</v>
      </c>
      <c r="M5795" s="471">
        <f t="shared" si="214"/>
        <v>0.05</v>
      </c>
      <c r="N5795" s="475">
        <f t="shared" si="215"/>
        <v>227426</v>
      </c>
    </row>
    <row r="5796" spans="7:14" ht="11.25" customHeight="1" x14ac:dyDescent="0.3">
      <c r="G5796" s="470"/>
      <c r="H5796" s="470">
        <v>5789</v>
      </c>
      <c r="I5796" s="455">
        <f t="shared" ca="1" si="213"/>
        <v>-4761052113873640</v>
      </c>
      <c r="J5796" s="455">
        <f t="array" ref="J5796">IFERROR(INDEX('Retirement Calculator'!J:J,MATCH('Isaac 401k'!N5796,'Retirement Calculator'!A:A,0),0),0)</f>
        <v>0</v>
      </c>
      <c r="K5796" s="455">
        <f t="shared" ca="1" si="211"/>
        <v>-19837717141140.168</v>
      </c>
      <c r="L5796" s="455">
        <f t="shared" ca="1" si="212"/>
        <v>-4780889831014780</v>
      </c>
      <c r="M5796" s="471">
        <f t="shared" si="214"/>
        <v>0.05</v>
      </c>
      <c r="N5796" s="475">
        <f t="shared" si="215"/>
        <v>227456</v>
      </c>
    </row>
    <row r="5797" spans="7:14" ht="11.25" customHeight="1" x14ac:dyDescent="0.3">
      <c r="G5797" s="470"/>
      <c r="H5797" s="470">
        <v>5790</v>
      </c>
      <c r="I5797" s="455">
        <f t="shared" ca="1" si="213"/>
        <v>-4780889831014780</v>
      </c>
      <c r="J5797" s="455">
        <f t="array" ref="J5797">IFERROR(INDEX('Retirement Calculator'!J:J,MATCH('Isaac 401k'!N5797,'Retirement Calculator'!A:A,0),0),0)</f>
        <v>0</v>
      </c>
      <c r="K5797" s="455">
        <f t="shared" ca="1" si="211"/>
        <v>-19920374295894.918</v>
      </c>
      <c r="L5797" s="455">
        <f t="shared" ca="1" si="212"/>
        <v>-4800810205310675</v>
      </c>
      <c r="M5797" s="471">
        <f t="shared" si="214"/>
        <v>0.05</v>
      </c>
      <c r="N5797" s="475">
        <f t="shared" si="215"/>
        <v>227487</v>
      </c>
    </row>
    <row r="5798" spans="7:14" ht="11.25" customHeight="1" x14ac:dyDescent="0.3">
      <c r="G5798" s="470"/>
      <c r="H5798" s="470">
        <v>5791</v>
      </c>
      <c r="I5798" s="455">
        <f t="shared" ca="1" si="213"/>
        <v>-4800810205310675</v>
      </c>
      <c r="J5798" s="455">
        <f t="array" ref="J5798">IFERROR(INDEX('Retirement Calculator'!J:J,MATCH('Isaac 401k'!N5798,'Retirement Calculator'!A:A,0),0),0)</f>
        <v>0</v>
      </c>
      <c r="K5798" s="455">
        <f t="shared" ca="1" si="211"/>
        <v>-20003375855461.145</v>
      </c>
      <c r="L5798" s="455">
        <f t="shared" ca="1" si="212"/>
        <v>-4820813581166136</v>
      </c>
      <c r="M5798" s="471">
        <f t="shared" si="214"/>
        <v>0.05</v>
      </c>
      <c r="N5798" s="475">
        <f t="shared" si="215"/>
        <v>227517</v>
      </c>
    </row>
    <row r="5799" spans="7:14" ht="11.25" customHeight="1" x14ac:dyDescent="0.3">
      <c r="G5799" s="470"/>
      <c r="H5799" s="470">
        <v>5792</v>
      </c>
      <c r="I5799" s="455">
        <f t="shared" ca="1" si="213"/>
        <v>-4820813581166136</v>
      </c>
      <c r="J5799" s="455">
        <f t="array" ref="J5799">IFERROR(INDEX('Retirement Calculator'!J:J,MATCH('Isaac 401k'!N5799,'Retirement Calculator'!A:A,0),0),0)</f>
        <v>0</v>
      </c>
      <c r="K5799" s="455">
        <f t="shared" ca="1" si="211"/>
        <v>-20086723254858.898</v>
      </c>
      <c r="L5799" s="455">
        <f t="shared" ca="1" si="212"/>
        <v>-4840900304420995</v>
      </c>
      <c r="M5799" s="471">
        <f t="shared" si="214"/>
        <v>0.05</v>
      </c>
      <c r="N5799" s="475">
        <f t="shared" si="215"/>
        <v>227548</v>
      </c>
    </row>
    <row r="5800" spans="7:14" ht="11.25" customHeight="1" x14ac:dyDescent="0.3">
      <c r="G5800" s="470"/>
      <c r="H5800" s="470">
        <v>5793</v>
      </c>
      <c r="I5800" s="455">
        <f t="shared" ca="1" si="213"/>
        <v>-4840900304420995</v>
      </c>
      <c r="J5800" s="455">
        <f t="array" ref="J5800">IFERROR(INDEX('Retirement Calculator'!J:J,MATCH('Isaac 401k'!N5800,'Retirement Calculator'!A:A,0),0),0)</f>
        <v>0</v>
      </c>
      <c r="K5800" s="455">
        <f t="shared" ca="1" si="211"/>
        <v>-20170417935087.48</v>
      </c>
      <c r="L5800" s="455">
        <f t="shared" ca="1" si="212"/>
        <v>-4861070722356082</v>
      </c>
      <c r="M5800" s="471">
        <f t="shared" si="214"/>
        <v>0.05</v>
      </c>
      <c r="N5800" s="475">
        <f t="shared" si="215"/>
        <v>227579</v>
      </c>
    </row>
    <row r="5801" spans="7:14" ht="11.25" customHeight="1" x14ac:dyDescent="0.3">
      <c r="G5801" s="470"/>
      <c r="H5801" s="470">
        <v>5794</v>
      </c>
      <c r="I5801" s="455">
        <f t="shared" ca="1" si="213"/>
        <v>-4861070722356082</v>
      </c>
      <c r="J5801" s="455">
        <f t="array" ref="J5801">IFERROR(INDEX('Retirement Calculator'!J:J,MATCH('Isaac 401k'!N5801,'Retirement Calculator'!A:A,0),0),0)</f>
        <v>0</v>
      </c>
      <c r="K5801" s="455">
        <f t="shared" ca="1" si="211"/>
        <v>-20254461343150.34</v>
      </c>
      <c r="L5801" s="455">
        <f t="shared" ca="1" si="212"/>
        <v>-4881325183699232</v>
      </c>
      <c r="M5801" s="471">
        <f t="shared" si="214"/>
        <v>0.05</v>
      </c>
      <c r="N5801" s="475">
        <f t="shared" si="215"/>
        <v>227607</v>
      </c>
    </row>
    <row r="5802" spans="7:14" ht="11.25" customHeight="1" x14ac:dyDescent="0.3">
      <c r="G5802" s="470"/>
      <c r="H5802" s="470">
        <v>5795</v>
      </c>
      <c r="I5802" s="455">
        <f t="shared" ca="1" si="213"/>
        <v>-4881325183699232</v>
      </c>
      <c r="J5802" s="455">
        <f t="array" ref="J5802">IFERROR(INDEX('Retirement Calculator'!J:J,MATCH('Isaac 401k'!N5802,'Retirement Calculator'!A:A,0),0),0)</f>
        <v>0</v>
      </c>
      <c r="K5802" s="455">
        <f t="shared" ca="1" si="211"/>
        <v>-20338854932080.133</v>
      </c>
      <c r="L5802" s="455">
        <f t="shared" ca="1" si="212"/>
        <v>-4901664038631312</v>
      </c>
      <c r="M5802" s="471">
        <f t="shared" si="214"/>
        <v>0.05</v>
      </c>
      <c r="N5802" s="475">
        <f t="shared" si="215"/>
        <v>227638</v>
      </c>
    </row>
    <row r="5803" spans="7:14" ht="11.25" customHeight="1" x14ac:dyDescent="0.3">
      <c r="G5803" s="470"/>
      <c r="H5803" s="470">
        <v>5796</v>
      </c>
      <c r="I5803" s="455">
        <f t="shared" ca="1" si="213"/>
        <v>-4901664038631312</v>
      </c>
      <c r="J5803" s="455">
        <f t="array" ref="J5803">IFERROR(INDEX('Retirement Calculator'!J:J,MATCH('Isaac 401k'!N5803,'Retirement Calculator'!A:A,0),0),0)</f>
        <v>0</v>
      </c>
      <c r="K5803" s="455">
        <f t="shared" ca="1" si="211"/>
        <v>-20423600160963.801</v>
      </c>
      <c r="L5803" s="455">
        <f t="shared" ca="1" si="212"/>
        <v>-4922087638792276</v>
      </c>
      <c r="M5803" s="471">
        <f t="shared" si="214"/>
        <v>0.05</v>
      </c>
      <c r="N5803" s="475">
        <f t="shared" si="215"/>
        <v>227668</v>
      </c>
    </row>
    <row r="5804" spans="7:14" ht="11.25" customHeight="1" x14ac:dyDescent="0.3">
      <c r="G5804" s="470"/>
      <c r="H5804" s="470">
        <v>5797</v>
      </c>
      <c r="I5804" s="455">
        <f t="shared" ca="1" si="213"/>
        <v>-4922087638792276</v>
      </c>
      <c r="J5804" s="455">
        <f t="array" ref="J5804">IFERROR(INDEX('Retirement Calculator'!J:J,MATCH('Isaac 401k'!N5804,'Retirement Calculator'!A:A,0),0),0)</f>
        <v>0</v>
      </c>
      <c r="K5804" s="455">
        <f t="shared" ca="1" si="211"/>
        <v>-20508698494967.816</v>
      </c>
      <c r="L5804" s="455">
        <f t="shared" ca="1" si="212"/>
        <v>-4942596337287244</v>
      </c>
      <c r="M5804" s="471">
        <f t="shared" si="214"/>
        <v>0.05</v>
      </c>
      <c r="N5804" s="475">
        <f t="shared" si="215"/>
        <v>227699</v>
      </c>
    </row>
    <row r="5805" spans="7:14" ht="11.25" customHeight="1" x14ac:dyDescent="0.3">
      <c r="G5805" s="470"/>
      <c r="H5805" s="470">
        <v>5798</v>
      </c>
      <c r="I5805" s="455">
        <f t="shared" ca="1" si="213"/>
        <v>-4942596337287244</v>
      </c>
      <c r="J5805" s="455">
        <f t="array" ref="J5805">IFERROR(INDEX('Retirement Calculator'!J:J,MATCH('Isaac 401k'!N5805,'Retirement Calculator'!A:A,0),0),0)</f>
        <v>0</v>
      </c>
      <c r="K5805" s="455">
        <f t="shared" ca="1" si="211"/>
        <v>-20594151405363.516</v>
      </c>
      <c r="L5805" s="455">
        <f t="shared" ca="1" si="212"/>
        <v>-4963190488692608</v>
      </c>
      <c r="M5805" s="471">
        <f t="shared" si="214"/>
        <v>0.05</v>
      </c>
      <c r="N5805" s="475">
        <f t="shared" si="215"/>
        <v>227729</v>
      </c>
    </row>
    <row r="5806" spans="7:14" ht="11.25" customHeight="1" x14ac:dyDescent="0.3">
      <c r="G5806" s="470"/>
      <c r="H5806" s="470">
        <v>5799</v>
      </c>
      <c r="I5806" s="455">
        <f t="shared" ca="1" si="213"/>
        <v>-4963190488692608</v>
      </c>
      <c r="J5806" s="455">
        <f t="array" ref="J5806">IFERROR(INDEX('Retirement Calculator'!J:J,MATCH('Isaac 401k'!N5806,'Retirement Calculator'!A:A,0),0),0)</f>
        <v>0</v>
      </c>
      <c r="K5806" s="455">
        <f t="shared" ca="1" si="211"/>
        <v>-20679960369552.531</v>
      </c>
      <c r="L5806" s="455">
        <f t="shared" ca="1" si="212"/>
        <v>-4983870449062161</v>
      </c>
      <c r="M5806" s="471">
        <f t="shared" si="214"/>
        <v>0.05</v>
      </c>
      <c r="N5806" s="475">
        <f t="shared" si="215"/>
        <v>227760</v>
      </c>
    </row>
    <row r="5807" spans="7:14" ht="11.25" customHeight="1" x14ac:dyDescent="0.3">
      <c r="G5807" s="470"/>
      <c r="H5807" s="470">
        <v>5800</v>
      </c>
      <c r="I5807" s="455">
        <f t="shared" ca="1" si="213"/>
        <v>-4983870449062161</v>
      </c>
      <c r="J5807" s="455">
        <f t="array" ref="J5807">IFERROR(INDEX('Retirement Calculator'!J:J,MATCH('Isaac 401k'!N5807,'Retirement Calculator'!A:A,0),0),0)</f>
        <v>0</v>
      </c>
      <c r="K5807" s="455">
        <f t="shared" ca="1" si="211"/>
        <v>-20766126871092.336</v>
      </c>
      <c r="L5807" s="455">
        <f t="shared" ca="1" si="212"/>
        <v>-5004636575933253</v>
      </c>
      <c r="M5807" s="471">
        <f t="shared" si="214"/>
        <v>0.05</v>
      </c>
      <c r="N5807" s="475">
        <f t="shared" si="215"/>
        <v>227791</v>
      </c>
    </row>
    <row r="5808" spans="7:14" ht="11.25" customHeight="1" x14ac:dyDescent="0.3">
      <c r="G5808" s="470"/>
      <c r="H5808" s="470">
        <v>5801</v>
      </c>
      <c r="I5808" s="455">
        <f t="shared" ca="1" si="213"/>
        <v>-5004636575933253</v>
      </c>
      <c r="J5808" s="455">
        <f t="array" ref="J5808">IFERROR(INDEX('Retirement Calculator'!J:J,MATCH('Isaac 401k'!N5808,'Retirement Calculator'!A:A,0),0),0)</f>
        <v>0</v>
      </c>
      <c r="K5808" s="455">
        <f t="shared" ca="1" si="211"/>
        <v>-20852652399721.887</v>
      </c>
      <c r="L5808" s="455">
        <f t="shared" ca="1" si="212"/>
        <v>-5025489228332975</v>
      </c>
      <c r="M5808" s="471">
        <f t="shared" si="214"/>
        <v>0.05</v>
      </c>
      <c r="N5808" s="475">
        <f t="shared" si="215"/>
        <v>227821</v>
      </c>
    </row>
    <row r="5809" spans="7:14" ht="11.25" customHeight="1" x14ac:dyDescent="0.3">
      <c r="G5809" s="470"/>
      <c r="H5809" s="470">
        <v>5802</v>
      </c>
      <c r="I5809" s="455">
        <f t="shared" ca="1" si="213"/>
        <v>-5025489228332975</v>
      </c>
      <c r="J5809" s="455">
        <f t="array" ref="J5809">IFERROR(INDEX('Retirement Calculator'!J:J,MATCH('Isaac 401k'!N5809,'Retirement Calculator'!A:A,0),0),0)</f>
        <v>0</v>
      </c>
      <c r="K5809" s="455">
        <f t="shared" ca="1" si="211"/>
        <v>-20939538451387.395</v>
      </c>
      <c r="L5809" s="455">
        <f t="shared" ca="1" si="212"/>
        <v>-5046428766784362</v>
      </c>
      <c r="M5809" s="471">
        <f t="shared" si="214"/>
        <v>0.05</v>
      </c>
      <c r="N5809" s="475">
        <f t="shared" si="215"/>
        <v>227852</v>
      </c>
    </row>
    <row r="5810" spans="7:14" ht="11.25" customHeight="1" x14ac:dyDescent="0.3">
      <c r="G5810" s="470"/>
      <c r="H5810" s="470">
        <v>5803</v>
      </c>
      <c r="I5810" s="455">
        <f t="shared" ca="1" si="213"/>
        <v>-5046428766784362</v>
      </c>
      <c r="J5810" s="455">
        <f t="array" ref="J5810">IFERROR(INDEX('Retirement Calculator'!J:J,MATCH('Isaac 401k'!N5810,'Retirement Calculator'!A:A,0),0),0)</f>
        <v>0</v>
      </c>
      <c r="K5810" s="455">
        <f t="shared" ca="1" si="211"/>
        <v>-21026786528268.176</v>
      </c>
      <c r="L5810" s="455">
        <f t="shared" ca="1" si="212"/>
        <v>-5067455553312630</v>
      </c>
      <c r="M5810" s="471">
        <f t="shared" si="214"/>
        <v>0.05</v>
      </c>
      <c r="N5810" s="475">
        <f t="shared" si="215"/>
        <v>227882</v>
      </c>
    </row>
    <row r="5811" spans="7:14" ht="11.25" customHeight="1" x14ac:dyDescent="0.3">
      <c r="G5811" s="470"/>
      <c r="H5811" s="470">
        <v>5804</v>
      </c>
      <c r="I5811" s="455">
        <f t="shared" ca="1" si="213"/>
        <v>-5067455553312630</v>
      </c>
      <c r="J5811" s="455">
        <f t="array" ref="J5811">IFERROR(INDEX('Retirement Calculator'!J:J,MATCH('Isaac 401k'!N5811,'Retirement Calculator'!A:A,0),0),0)</f>
        <v>0</v>
      </c>
      <c r="K5811" s="455">
        <f t="shared" ca="1" si="211"/>
        <v>-21114398138802.625</v>
      </c>
      <c r="L5811" s="455">
        <f t="shared" ca="1" si="212"/>
        <v>-5088569951451433</v>
      </c>
      <c r="M5811" s="471">
        <f t="shared" si="214"/>
        <v>0.05</v>
      </c>
      <c r="N5811" s="475">
        <f t="shared" si="215"/>
        <v>227913</v>
      </c>
    </row>
    <row r="5812" spans="7:14" ht="11.25" customHeight="1" x14ac:dyDescent="0.3">
      <c r="G5812" s="470"/>
      <c r="H5812" s="470">
        <v>5805</v>
      </c>
      <c r="I5812" s="455">
        <f t="shared" ca="1" si="213"/>
        <v>-5088569951451433</v>
      </c>
      <c r="J5812" s="455">
        <f t="array" ref="J5812">IFERROR(INDEX('Retirement Calculator'!J:J,MATCH('Isaac 401k'!N5812,'Retirement Calculator'!A:A,0),0),0)</f>
        <v>0</v>
      </c>
      <c r="K5812" s="455">
        <f t="shared" ca="1" si="211"/>
        <v>-21202374797714.305</v>
      </c>
      <c r="L5812" s="455">
        <f t="shared" ca="1" si="212"/>
        <v>-5109772326249147</v>
      </c>
      <c r="M5812" s="471">
        <f t="shared" si="214"/>
        <v>0.05</v>
      </c>
      <c r="N5812" s="475">
        <f t="shared" si="215"/>
        <v>227944</v>
      </c>
    </row>
    <row r="5813" spans="7:14" ht="11.25" customHeight="1" x14ac:dyDescent="0.3">
      <c r="G5813" s="470"/>
      <c r="H5813" s="470">
        <v>5806</v>
      </c>
      <c r="I5813" s="455">
        <f t="shared" ca="1" si="213"/>
        <v>-5109772326249147</v>
      </c>
      <c r="J5813" s="455">
        <f t="array" ref="J5813">IFERROR(INDEX('Retirement Calculator'!J:J,MATCH('Isaac 401k'!N5813,'Retirement Calculator'!A:A,0),0),0)</f>
        <v>0</v>
      </c>
      <c r="K5813" s="455">
        <f t="shared" ca="1" si="211"/>
        <v>-21290718026038.113</v>
      </c>
      <c r="L5813" s="455">
        <f t="shared" ca="1" si="212"/>
        <v>-5131063044275185</v>
      </c>
      <c r="M5813" s="471">
        <f t="shared" si="214"/>
        <v>0.05</v>
      </c>
      <c r="N5813" s="475">
        <f t="shared" si="215"/>
        <v>227973</v>
      </c>
    </row>
    <row r="5814" spans="7:14" ht="11.25" customHeight="1" x14ac:dyDescent="0.3">
      <c r="G5814" s="470"/>
      <c r="H5814" s="470">
        <v>5807</v>
      </c>
      <c r="I5814" s="455">
        <f t="shared" ca="1" si="213"/>
        <v>-5131063044275185</v>
      </c>
      <c r="J5814" s="455">
        <f t="array" ref="J5814">IFERROR(INDEX('Retirement Calculator'!J:J,MATCH('Isaac 401k'!N5814,'Retirement Calculator'!A:A,0),0),0)</f>
        <v>0</v>
      </c>
      <c r="K5814" s="455">
        <f t="shared" ca="1" si="211"/>
        <v>-21379429351146.605</v>
      </c>
      <c r="L5814" s="455">
        <f t="shared" ca="1" si="212"/>
        <v>-5152442473626332</v>
      </c>
      <c r="M5814" s="471">
        <f t="shared" si="214"/>
        <v>0.05</v>
      </c>
      <c r="N5814" s="475">
        <f t="shared" si="215"/>
        <v>228004</v>
      </c>
    </row>
    <row r="5815" spans="7:14" ht="11.25" customHeight="1" x14ac:dyDescent="0.3">
      <c r="G5815" s="470"/>
      <c r="H5815" s="470">
        <v>5808</v>
      </c>
      <c r="I5815" s="455">
        <f t="shared" ca="1" si="213"/>
        <v>-5152442473626332</v>
      </c>
      <c r="J5815" s="455">
        <f t="array" ref="J5815">IFERROR(INDEX('Retirement Calculator'!J:J,MATCH('Isaac 401k'!N5815,'Retirement Calculator'!A:A,0),0),0)</f>
        <v>0</v>
      </c>
      <c r="K5815" s="455">
        <f t="shared" ca="1" si="211"/>
        <v>-21468510306776.383</v>
      </c>
      <c r="L5815" s="455">
        <f t="shared" ca="1" si="212"/>
        <v>-5173910983933108</v>
      </c>
      <c r="M5815" s="471">
        <f t="shared" si="214"/>
        <v>0.05</v>
      </c>
      <c r="N5815" s="475">
        <f t="shared" si="215"/>
        <v>228034</v>
      </c>
    </row>
    <row r="5816" spans="7:14" ht="11.25" customHeight="1" x14ac:dyDescent="0.3">
      <c r="G5816" s="470"/>
      <c r="H5816" s="470">
        <v>5809</v>
      </c>
      <c r="I5816" s="455">
        <f t="shared" ca="1" si="213"/>
        <v>-5173910983933108</v>
      </c>
      <c r="J5816" s="455">
        <f t="array" ref="J5816">IFERROR(INDEX('Retirement Calculator'!J:J,MATCH('Isaac 401k'!N5816,'Retirement Calculator'!A:A,0),0),0)</f>
        <v>0</v>
      </c>
      <c r="K5816" s="455">
        <f t="shared" ca="1" si="211"/>
        <v>-21557962433054.617</v>
      </c>
      <c r="L5816" s="455">
        <f t="shared" ca="1" si="212"/>
        <v>-5195468946366163</v>
      </c>
      <c r="M5816" s="471">
        <f t="shared" si="214"/>
        <v>0.05</v>
      </c>
      <c r="N5816" s="475">
        <f t="shared" si="215"/>
        <v>228065</v>
      </c>
    </row>
    <row r="5817" spans="7:14" ht="11.25" customHeight="1" x14ac:dyDescent="0.3">
      <c r="G5817" s="470"/>
      <c r="H5817" s="470">
        <v>5810</v>
      </c>
      <c r="I5817" s="455">
        <f t="shared" ca="1" si="213"/>
        <v>-5195468946366163</v>
      </c>
      <c r="J5817" s="455">
        <f t="array" ref="J5817">IFERROR(INDEX('Retirement Calculator'!J:J,MATCH('Isaac 401k'!N5817,'Retirement Calculator'!A:A,0),0),0)</f>
        <v>0</v>
      </c>
      <c r="K5817" s="455">
        <f t="shared" ca="1" si="211"/>
        <v>-21647787276525.68</v>
      </c>
      <c r="L5817" s="455">
        <f t="shared" ca="1" si="212"/>
        <v>-5217116733642689</v>
      </c>
      <c r="M5817" s="471">
        <f t="shared" si="214"/>
        <v>0.05</v>
      </c>
      <c r="N5817" s="475">
        <f t="shared" si="215"/>
        <v>228095</v>
      </c>
    </row>
    <row r="5818" spans="7:14" ht="11.25" customHeight="1" x14ac:dyDescent="0.3">
      <c r="G5818" s="470"/>
      <c r="H5818" s="470">
        <v>5811</v>
      </c>
      <c r="I5818" s="455">
        <f t="shared" ca="1" si="213"/>
        <v>-5217116733642689</v>
      </c>
      <c r="J5818" s="455">
        <f t="array" ref="J5818">IFERROR(INDEX('Retirement Calculator'!J:J,MATCH('Isaac 401k'!N5818,'Retirement Calculator'!A:A,0),0),0)</f>
        <v>0</v>
      </c>
      <c r="K5818" s="455">
        <f t="shared" ca="1" si="211"/>
        <v>-21737986390177.871</v>
      </c>
      <c r="L5818" s="455">
        <f t="shared" ca="1" si="212"/>
        <v>-5238854720032867</v>
      </c>
      <c r="M5818" s="471">
        <f t="shared" si="214"/>
        <v>0.05</v>
      </c>
      <c r="N5818" s="475">
        <f t="shared" si="215"/>
        <v>228126</v>
      </c>
    </row>
    <row r="5819" spans="7:14" ht="11.25" customHeight="1" x14ac:dyDescent="0.3">
      <c r="G5819" s="470"/>
      <c r="H5819" s="470">
        <v>5812</v>
      </c>
      <c r="I5819" s="455">
        <f t="shared" ca="1" si="213"/>
        <v>-5238854720032867</v>
      </c>
      <c r="J5819" s="455">
        <f t="array" ref="J5819">IFERROR(INDEX('Retirement Calculator'!J:J,MATCH('Isaac 401k'!N5819,'Retirement Calculator'!A:A,0),0),0)</f>
        <v>0</v>
      </c>
      <c r="K5819" s="455">
        <f t="shared" ca="1" si="211"/>
        <v>-21828561333470.277</v>
      </c>
      <c r="L5819" s="455">
        <f t="shared" ca="1" si="212"/>
        <v>-5260683281366337</v>
      </c>
      <c r="M5819" s="471">
        <f t="shared" si="214"/>
        <v>0.05</v>
      </c>
      <c r="N5819" s="475">
        <f t="shared" si="215"/>
        <v>228157</v>
      </c>
    </row>
    <row r="5820" spans="7:14" ht="11.25" customHeight="1" x14ac:dyDescent="0.3">
      <c r="G5820" s="470"/>
      <c r="H5820" s="470">
        <v>5813</v>
      </c>
      <c r="I5820" s="455">
        <f t="shared" ca="1" si="213"/>
        <v>-5260683281366337</v>
      </c>
      <c r="J5820" s="455">
        <f t="array" ref="J5820">IFERROR(INDEX('Retirement Calculator'!J:J,MATCH('Isaac 401k'!N5820,'Retirement Calculator'!A:A,0),0),0)</f>
        <v>0</v>
      </c>
      <c r="K5820" s="455">
        <f t="shared" ca="1" si="211"/>
        <v>-21919513672359.738</v>
      </c>
      <c r="L5820" s="455">
        <f t="shared" ca="1" si="212"/>
        <v>-5282602795038697</v>
      </c>
      <c r="M5820" s="471">
        <f t="shared" si="214"/>
        <v>0.05</v>
      </c>
      <c r="N5820" s="475">
        <f t="shared" si="215"/>
        <v>228187</v>
      </c>
    </row>
    <row r="5821" spans="7:14" ht="11.25" customHeight="1" x14ac:dyDescent="0.3">
      <c r="G5821" s="470"/>
      <c r="H5821" s="470">
        <v>5814</v>
      </c>
      <c r="I5821" s="455">
        <f t="shared" ca="1" si="213"/>
        <v>-5282602795038697</v>
      </c>
      <c r="J5821" s="455">
        <f t="array" ref="J5821">IFERROR(INDEX('Retirement Calculator'!J:J,MATCH('Isaac 401k'!N5821,'Retirement Calculator'!A:A,0),0),0)</f>
        <v>0</v>
      </c>
      <c r="K5821" s="455">
        <f t="shared" ca="1" si="211"/>
        <v>-22010844979327.902</v>
      </c>
      <c r="L5821" s="455">
        <f t="shared" ca="1" si="212"/>
        <v>-5304613640018025</v>
      </c>
      <c r="M5821" s="471">
        <f t="shared" si="214"/>
        <v>0.05</v>
      </c>
      <c r="N5821" s="475">
        <f t="shared" si="215"/>
        <v>228218</v>
      </c>
    </row>
    <row r="5822" spans="7:14" ht="11.25" customHeight="1" x14ac:dyDescent="0.3">
      <c r="G5822" s="470"/>
      <c r="H5822" s="470">
        <v>5815</v>
      </c>
      <c r="I5822" s="455">
        <f t="shared" ca="1" si="213"/>
        <v>-5304613640018025</v>
      </c>
      <c r="J5822" s="455">
        <f t="array" ref="J5822">IFERROR(INDEX('Retirement Calculator'!J:J,MATCH('Isaac 401k'!N5822,'Retirement Calculator'!A:A,0),0),0)</f>
        <v>0</v>
      </c>
      <c r="K5822" s="455">
        <f t="shared" ca="1" si="211"/>
        <v>-22102556833408.438</v>
      </c>
      <c r="L5822" s="455">
        <f t="shared" ca="1" si="212"/>
        <v>-5326716196851433</v>
      </c>
      <c r="M5822" s="471">
        <f t="shared" si="214"/>
        <v>0.05</v>
      </c>
      <c r="N5822" s="475">
        <f t="shared" si="215"/>
        <v>228248</v>
      </c>
    </row>
    <row r="5823" spans="7:14" ht="11.25" customHeight="1" x14ac:dyDescent="0.3">
      <c r="G5823" s="470"/>
      <c r="H5823" s="470">
        <v>5816</v>
      </c>
      <c r="I5823" s="455">
        <f t="shared" ca="1" si="213"/>
        <v>-5326716196851433</v>
      </c>
      <c r="J5823" s="455">
        <f t="array" ref="J5823">IFERROR(INDEX('Retirement Calculator'!J:J,MATCH('Isaac 401k'!N5823,'Retirement Calculator'!A:A,0),0),0)</f>
        <v>0</v>
      </c>
      <c r="K5823" s="455">
        <f t="shared" ca="1" si="211"/>
        <v>-22194650820214.305</v>
      </c>
      <c r="L5823" s="455">
        <f t="shared" ca="1" si="212"/>
        <v>-5348910847671647</v>
      </c>
      <c r="M5823" s="471">
        <f t="shared" si="214"/>
        <v>0.05</v>
      </c>
      <c r="N5823" s="475">
        <f t="shared" si="215"/>
        <v>228279</v>
      </c>
    </row>
    <row r="5824" spans="7:14" ht="11.25" customHeight="1" x14ac:dyDescent="0.3">
      <c r="G5824" s="470"/>
      <c r="H5824" s="470">
        <v>5817</v>
      </c>
      <c r="I5824" s="455">
        <f t="shared" ca="1" si="213"/>
        <v>-5348910847671647</v>
      </c>
      <c r="J5824" s="455">
        <f t="array" ref="J5824">IFERROR(INDEX('Retirement Calculator'!J:J,MATCH('Isaac 401k'!N5824,'Retirement Calculator'!A:A,0),0),0)</f>
        <v>0</v>
      </c>
      <c r="K5824" s="455">
        <f t="shared" ca="1" si="211"/>
        <v>-22287128531965.195</v>
      </c>
      <c r="L5824" s="455">
        <f t="shared" ca="1" si="212"/>
        <v>-5371197976203612</v>
      </c>
      <c r="M5824" s="471">
        <f t="shared" si="214"/>
        <v>0.05</v>
      </c>
      <c r="N5824" s="475">
        <f t="shared" si="215"/>
        <v>228310</v>
      </c>
    </row>
    <row r="5825" spans="7:14" ht="11.25" customHeight="1" x14ac:dyDescent="0.3">
      <c r="G5825" s="470"/>
      <c r="H5825" s="470">
        <v>5818</v>
      </c>
      <c r="I5825" s="455">
        <f t="shared" ca="1" si="213"/>
        <v>-5371197976203612</v>
      </c>
      <c r="J5825" s="455">
        <f t="array" ref="J5825">IFERROR(INDEX('Retirement Calculator'!J:J,MATCH('Isaac 401k'!N5825,'Retirement Calculator'!A:A,0),0),0)</f>
        <v>0</v>
      </c>
      <c r="K5825" s="455">
        <f t="shared" ca="1" si="211"/>
        <v>-22379991567515.051</v>
      </c>
      <c r="L5825" s="455">
        <f t="shared" ca="1" si="212"/>
        <v>-5393577967771127</v>
      </c>
      <c r="M5825" s="471">
        <f t="shared" si="214"/>
        <v>0.05</v>
      </c>
      <c r="N5825" s="475">
        <f t="shared" si="215"/>
        <v>228338</v>
      </c>
    </row>
    <row r="5826" spans="7:14" ht="11.25" customHeight="1" x14ac:dyDescent="0.3">
      <c r="G5826" s="470"/>
      <c r="H5826" s="470">
        <v>5819</v>
      </c>
      <c r="I5826" s="455">
        <f t="shared" ca="1" si="213"/>
        <v>-5393577967771127</v>
      </c>
      <c r="J5826" s="455">
        <f t="array" ref="J5826">IFERROR(INDEX('Retirement Calculator'!J:J,MATCH('Isaac 401k'!N5826,'Retirement Calculator'!A:A,0),0),0)</f>
        <v>0</v>
      </c>
      <c r="K5826" s="455">
        <f t="shared" ca="1" si="211"/>
        <v>-22473241532379.695</v>
      </c>
      <c r="L5826" s="455">
        <f t="shared" ca="1" si="212"/>
        <v>-5416051209303507</v>
      </c>
      <c r="M5826" s="471">
        <f t="shared" si="214"/>
        <v>0.05</v>
      </c>
      <c r="N5826" s="475">
        <f t="shared" si="215"/>
        <v>228369</v>
      </c>
    </row>
    <row r="5827" spans="7:14" ht="11.25" customHeight="1" x14ac:dyDescent="0.3">
      <c r="G5827" s="470"/>
      <c r="H5827" s="470">
        <v>5820</v>
      </c>
      <c r="I5827" s="455">
        <f t="shared" ca="1" si="213"/>
        <v>-5416051209303507</v>
      </c>
      <c r="J5827" s="455">
        <f t="array" ref="J5827">IFERROR(INDEX('Retirement Calculator'!J:J,MATCH('Isaac 401k'!N5827,'Retirement Calculator'!A:A,0),0),0)</f>
        <v>0</v>
      </c>
      <c r="K5827" s="455">
        <f t="shared" ca="1" si="211"/>
        <v>-22566880038764.613</v>
      </c>
      <c r="L5827" s="455">
        <f t="shared" ca="1" si="212"/>
        <v>-5438618089342272</v>
      </c>
      <c r="M5827" s="471">
        <f t="shared" si="214"/>
        <v>0.05</v>
      </c>
      <c r="N5827" s="475">
        <f t="shared" si="215"/>
        <v>228399</v>
      </c>
    </row>
    <row r="5828" spans="7:14" ht="11.25" customHeight="1" x14ac:dyDescent="0.3">
      <c r="G5828" s="470"/>
      <c r="H5828" s="470">
        <v>5821</v>
      </c>
      <c r="I5828" s="455">
        <f t="shared" ca="1" si="213"/>
        <v>-5438618089342272</v>
      </c>
      <c r="J5828" s="455">
        <f t="array" ref="J5828">IFERROR(INDEX('Retirement Calculator'!J:J,MATCH('Isaac 401k'!N5828,'Retirement Calculator'!A:A,0),0),0)</f>
        <v>0</v>
      </c>
      <c r="K5828" s="455">
        <f t="shared" ca="1" si="211"/>
        <v>-22660908705592.801</v>
      </c>
      <c r="L5828" s="455">
        <f t="shared" ca="1" si="212"/>
        <v>-5461278998047865</v>
      </c>
      <c r="M5828" s="471">
        <f t="shared" si="214"/>
        <v>0.05</v>
      </c>
      <c r="N5828" s="475">
        <f t="shared" si="215"/>
        <v>228430</v>
      </c>
    </row>
    <row r="5829" spans="7:14" ht="11.25" customHeight="1" x14ac:dyDescent="0.3">
      <c r="G5829" s="470"/>
      <c r="H5829" s="470">
        <v>5822</v>
      </c>
      <c r="I5829" s="455">
        <f t="shared" ca="1" si="213"/>
        <v>-5461278998047865</v>
      </c>
      <c r="J5829" s="455">
        <f t="array" ref="J5829">IFERROR(INDEX('Retirement Calculator'!J:J,MATCH('Isaac 401k'!N5829,'Retirement Calculator'!A:A,0),0),0)</f>
        <v>0</v>
      </c>
      <c r="K5829" s="455">
        <f t="shared" ca="1" si="211"/>
        <v>-22755329158532.77</v>
      </c>
      <c r="L5829" s="455">
        <f t="shared" ca="1" si="212"/>
        <v>-5484034327206398</v>
      </c>
      <c r="M5829" s="471">
        <f t="shared" si="214"/>
        <v>0.05</v>
      </c>
      <c r="N5829" s="475">
        <f t="shared" si="215"/>
        <v>228460</v>
      </c>
    </row>
    <row r="5830" spans="7:14" ht="11.25" customHeight="1" x14ac:dyDescent="0.3">
      <c r="G5830" s="470"/>
      <c r="H5830" s="470">
        <v>5823</v>
      </c>
      <c r="I5830" s="455">
        <f t="shared" ca="1" si="213"/>
        <v>-5484034327206398</v>
      </c>
      <c r="J5830" s="455">
        <f t="array" ref="J5830">IFERROR(INDEX('Retirement Calculator'!J:J,MATCH('Isaac 401k'!N5830,'Retirement Calculator'!A:A,0),0),0)</f>
        <v>0</v>
      </c>
      <c r="K5830" s="455">
        <f t="shared" ca="1" si="211"/>
        <v>-22850143030026.656</v>
      </c>
      <c r="L5830" s="455">
        <f t="shared" ca="1" si="212"/>
        <v>-5506884470236425</v>
      </c>
      <c r="M5830" s="471">
        <f t="shared" si="214"/>
        <v>0.05</v>
      </c>
      <c r="N5830" s="475">
        <f t="shared" si="215"/>
        <v>228491</v>
      </c>
    </row>
    <row r="5831" spans="7:14" ht="11.25" customHeight="1" x14ac:dyDescent="0.3">
      <c r="G5831" s="470"/>
      <c r="H5831" s="470">
        <v>5824</v>
      </c>
      <c r="I5831" s="455">
        <f t="shared" ca="1" si="213"/>
        <v>-5506884470236425</v>
      </c>
      <c r="J5831" s="455">
        <f t="array" ref="J5831">IFERROR(INDEX('Retirement Calculator'!J:J,MATCH('Isaac 401k'!N5831,'Retirement Calculator'!A:A,0),0),0)</f>
        <v>0</v>
      </c>
      <c r="K5831" s="455">
        <f t="shared" ca="1" si="211"/>
        <v>-22945351959318.438</v>
      </c>
      <c r="L5831" s="455">
        <f t="shared" ca="1" si="212"/>
        <v>-5529829822195743</v>
      </c>
      <c r="M5831" s="471">
        <f t="shared" si="214"/>
        <v>0.05</v>
      </c>
      <c r="N5831" s="475">
        <f t="shared" si="215"/>
        <v>228522</v>
      </c>
    </row>
    <row r="5832" spans="7:14" ht="11.25" customHeight="1" x14ac:dyDescent="0.3">
      <c r="G5832" s="470"/>
      <c r="H5832" s="470">
        <v>5825</v>
      </c>
      <c r="I5832" s="455">
        <f t="shared" ca="1" si="213"/>
        <v>-5529829822195743</v>
      </c>
      <c r="J5832" s="455">
        <f t="array" ref="J5832">IFERROR(INDEX('Retirement Calculator'!J:J,MATCH('Isaac 401k'!N5832,'Retirement Calculator'!A:A,0),0),0)</f>
        <v>0</v>
      </c>
      <c r="K5832" s="455">
        <f t="shared" ca="1" si="211"/>
        <v>-23040957592482.262</v>
      </c>
      <c r="L5832" s="455">
        <f t="shared" ca="1" si="212"/>
        <v>-5552870779788225</v>
      </c>
      <c r="M5832" s="471">
        <f t="shared" si="214"/>
        <v>0.05</v>
      </c>
      <c r="N5832" s="475">
        <f t="shared" si="215"/>
        <v>228552</v>
      </c>
    </row>
    <row r="5833" spans="7:14" ht="11.25" customHeight="1" x14ac:dyDescent="0.3">
      <c r="G5833" s="470"/>
      <c r="H5833" s="470">
        <v>5826</v>
      </c>
      <c r="I5833" s="455">
        <f t="shared" ca="1" si="213"/>
        <v>-5552870779788225</v>
      </c>
      <c r="J5833" s="455">
        <f t="array" ref="J5833">IFERROR(INDEX('Retirement Calculator'!J:J,MATCH('Isaac 401k'!N5833,'Retirement Calculator'!A:A,0),0),0)</f>
        <v>0</v>
      </c>
      <c r="K5833" s="455">
        <f t="shared" ca="1" si="211"/>
        <v>-23136961582450.938</v>
      </c>
      <c r="L5833" s="455">
        <f t="shared" ca="1" si="212"/>
        <v>-5576007741370676</v>
      </c>
      <c r="M5833" s="471">
        <f t="shared" si="214"/>
        <v>0.05</v>
      </c>
      <c r="N5833" s="475">
        <f t="shared" si="215"/>
        <v>228583</v>
      </c>
    </row>
    <row r="5834" spans="7:14" ht="11.25" customHeight="1" x14ac:dyDescent="0.3">
      <c r="G5834" s="470"/>
      <c r="H5834" s="470">
        <v>5827</v>
      </c>
      <c r="I5834" s="455">
        <f t="shared" ca="1" si="213"/>
        <v>-5576007741370676</v>
      </c>
      <c r="J5834" s="455">
        <f t="array" ref="J5834">IFERROR(INDEX('Retirement Calculator'!J:J,MATCH('Isaac 401k'!N5834,'Retirement Calculator'!A:A,0),0),0)</f>
        <v>0</v>
      </c>
      <c r="K5834" s="455">
        <f t="shared" ca="1" si="211"/>
        <v>-23233365589044.484</v>
      </c>
      <c r="L5834" s="455">
        <f t="shared" ca="1" si="212"/>
        <v>-5599241106959720</v>
      </c>
      <c r="M5834" s="471">
        <f t="shared" si="214"/>
        <v>0.05</v>
      </c>
      <c r="N5834" s="475">
        <f t="shared" si="215"/>
        <v>228613</v>
      </c>
    </row>
    <row r="5835" spans="7:14" ht="11.25" customHeight="1" x14ac:dyDescent="0.3">
      <c r="G5835" s="470"/>
      <c r="H5835" s="470">
        <v>5828</v>
      </c>
      <c r="I5835" s="455">
        <f t="shared" ca="1" si="213"/>
        <v>-5599241106959720</v>
      </c>
      <c r="J5835" s="455">
        <f t="array" ref="J5835">IFERROR(INDEX('Retirement Calculator'!J:J,MATCH('Isaac 401k'!N5835,'Retirement Calculator'!A:A,0),0),0)</f>
        <v>0</v>
      </c>
      <c r="K5835" s="455">
        <f t="shared" ca="1" si="211"/>
        <v>-23330171278998.832</v>
      </c>
      <c r="L5835" s="455">
        <f t="shared" ca="1" si="212"/>
        <v>-5622571278238719</v>
      </c>
      <c r="M5835" s="471">
        <f t="shared" si="214"/>
        <v>0.05</v>
      </c>
      <c r="N5835" s="475">
        <f t="shared" si="215"/>
        <v>228644</v>
      </c>
    </row>
    <row r="5836" spans="7:14" ht="11.25" customHeight="1" x14ac:dyDescent="0.3">
      <c r="G5836" s="470"/>
      <c r="H5836" s="470">
        <v>5829</v>
      </c>
      <c r="I5836" s="455">
        <f t="shared" ca="1" si="213"/>
        <v>-5622571278238719</v>
      </c>
      <c r="J5836" s="455">
        <f t="array" ref="J5836">IFERROR(INDEX('Retirement Calculator'!J:J,MATCH('Isaac 401k'!N5836,'Retirement Calculator'!A:A,0),0),0)</f>
        <v>0</v>
      </c>
      <c r="K5836" s="455">
        <f t="shared" ca="1" si="211"/>
        <v>-23427380325994.664</v>
      </c>
      <c r="L5836" s="455">
        <f t="shared" ca="1" si="212"/>
        <v>-5645998658564714</v>
      </c>
      <c r="M5836" s="471">
        <f t="shared" si="214"/>
        <v>0.05</v>
      </c>
      <c r="N5836" s="475">
        <f t="shared" si="215"/>
        <v>228675</v>
      </c>
    </row>
    <row r="5837" spans="7:14" ht="11.25" customHeight="1" x14ac:dyDescent="0.3">
      <c r="G5837" s="470"/>
      <c r="H5837" s="470">
        <v>5830</v>
      </c>
      <c r="I5837" s="455">
        <f t="shared" ca="1" si="213"/>
        <v>-5645998658564714</v>
      </c>
      <c r="J5837" s="455">
        <f t="array" ref="J5837">IFERROR(INDEX('Retirement Calculator'!J:J,MATCH('Isaac 401k'!N5837,'Retirement Calculator'!A:A,0),0),0)</f>
        <v>0</v>
      </c>
      <c r="K5837" s="455">
        <f t="shared" ca="1" si="211"/>
        <v>-23524994410686.309</v>
      </c>
      <c r="L5837" s="455">
        <f t="shared" ca="1" si="212"/>
        <v>-5669523652975400</v>
      </c>
      <c r="M5837" s="471">
        <f t="shared" si="214"/>
        <v>0.05</v>
      </c>
      <c r="N5837" s="475">
        <f t="shared" si="215"/>
        <v>228703</v>
      </c>
    </row>
    <row r="5838" spans="7:14" ht="11.25" customHeight="1" x14ac:dyDescent="0.3">
      <c r="G5838" s="470"/>
      <c r="H5838" s="470">
        <v>5831</v>
      </c>
      <c r="I5838" s="455">
        <f t="shared" ca="1" si="213"/>
        <v>-5669523652975400</v>
      </c>
      <c r="J5838" s="455">
        <f t="array" ref="J5838">IFERROR(INDEX('Retirement Calculator'!J:J,MATCH('Isaac 401k'!N5838,'Retirement Calculator'!A:A,0),0),0)</f>
        <v>0</v>
      </c>
      <c r="K5838" s="455">
        <f t="shared" ca="1" si="211"/>
        <v>-23623015220730.832</v>
      </c>
      <c r="L5838" s="455">
        <f t="shared" ca="1" si="212"/>
        <v>-5693146668196131</v>
      </c>
      <c r="M5838" s="471">
        <f t="shared" si="214"/>
        <v>0.05</v>
      </c>
      <c r="N5838" s="475">
        <f t="shared" si="215"/>
        <v>228734</v>
      </c>
    </row>
    <row r="5839" spans="7:14" ht="11.25" customHeight="1" x14ac:dyDescent="0.3">
      <c r="G5839" s="470"/>
      <c r="H5839" s="470">
        <v>5832</v>
      </c>
      <c r="I5839" s="455">
        <f t="shared" ca="1" si="213"/>
        <v>-5693146668196131</v>
      </c>
      <c r="J5839" s="455">
        <f t="array" ref="J5839">IFERROR(INDEX('Retirement Calculator'!J:J,MATCH('Isaac 401k'!N5839,'Retirement Calculator'!A:A,0),0),0)</f>
        <v>0</v>
      </c>
      <c r="K5839" s="455">
        <f t="shared" ca="1" si="211"/>
        <v>-23721444450817.211</v>
      </c>
      <c r="L5839" s="455">
        <f t="shared" ca="1" si="212"/>
        <v>-5716868112646948</v>
      </c>
      <c r="M5839" s="471">
        <f t="shared" si="214"/>
        <v>0.05</v>
      </c>
      <c r="N5839" s="475">
        <f t="shared" si="215"/>
        <v>228764</v>
      </c>
    </row>
    <row r="5840" spans="7:14" ht="11.25" customHeight="1" x14ac:dyDescent="0.3">
      <c r="G5840" s="470"/>
      <c r="H5840" s="470">
        <v>5833</v>
      </c>
      <c r="I5840" s="455">
        <f t="shared" ca="1" si="213"/>
        <v>-5716868112646948</v>
      </c>
      <c r="J5840" s="455">
        <f t="array" ref="J5840">IFERROR(INDEX('Retirement Calculator'!J:J,MATCH('Isaac 401k'!N5840,'Retirement Calculator'!A:A,0),0),0)</f>
        <v>0</v>
      </c>
      <c r="K5840" s="455">
        <f t="shared" ca="1" si="211"/>
        <v>-23820283802695.617</v>
      </c>
      <c r="L5840" s="455">
        <f t="shared" ca="1" si="212"/>
        <v>-5740688396449644</v>
      </c>
      <c r="M5840" s="471">
        <f t="shared" si="214"/>
        <v>0.05</v>
      </c>
      <c r="N5840" s="475">
        <f t="shared" si="215"/>
        <v>228795</v>
      </c>
    </row>
    <row r="5841" spans="7:14" ht="11.25" customHeight="1" x14ac:dyDescent="0.3">
      <c r="G5841" s="470"/>
      <c r="H5841" s="470">
        <v>5834</v>
      </c>
      <c r="I5841" s="455">
        <f t="shared" ca="1" si="213"/>
        <v>-5740688396449644</v>
      </c>
      <c r="J5841" s="455">
        <f t="array" ref="J5841">IFERROR(INDEX('Retirement Calculator'!J:J,MATCH('Isaac 401k'!N5841,'Retirement Calculator'!A:A,0),0),0)</f>
        <v>0</v>
      </c>
      <c r="K5841" s="455">
        <f t="shared" ca="1" si="211"/>
        <v>-23919534985206.852</v>
      </c>
      <c r="L5841" s="455">
        <f t="shared" ca="1" si="212"/>
        <v>-5764607931434851</v>
      </c>
      <c r="M5841" s="471">
        <f t="shared" si="214"/>
        <v>0.05</v>
      </c>
      <c r="N5841" s="475">
        <f t="shared" si="215"/>
        <v>228825</v>
      </c>
    </row>
    <row r="5842" spans="7:14" ht="11.25" customHeight="1" x14ac:dyDescent="0.3">
      <c r="G5842" s="470"/>
      <c r="H5842" s="470">
        <v>5835</v>
      </c>
      <c r="I5842" s="455">
        <f t="shared" ca="1" si="213"/>
        <v>-5764607931434851</v>
      </c>
      <c r="J5842" s="455">
        <f t="array" ref="J5842">IFERROR(INDEX('Retirement Calculator'!J:J,MATCH('Isaac 401k'!N5842,'Retirement Calculator'!A:A,0),0),0)</f>
        <v>0</v>
      </c>
      <c r="K5842" s="455">
        <f t="shared" ca="1" si="211"/>
        <v>-24019199714311.879</v>
      </c>
      <c r="L5842" s="455">
        <f t="shared" ca="1" si="212"/>
        <v>-5788627131149163</v>
      </c>
      <c r="M5842" s="471">
        <f t="shared" si="214"/>
        <v>0.05</v>
      </c>
      <c r="N5842" s="475">
        <f t="shared" si="215"/>
        <v>228856</v>
      </c>
    </row>
    <row r="5843" spans="7:14" ht="11.25" customHeight="1" x14ac:dyDescent="0.3">
      <c r="G5843" s="470"/>
      <c r="H5843" s="470">
        <v>5836</v>
      </c>
      <c r="I5843" s="455">
        <f t="shared" ca="1" si="213"/>
        <v>-5788627131149163</v>
      </c>
      <c r="J5843" s="455">
        <f t="array" ref="J5843">IFERROR(INDEX('Retirement Calculator'!J:J,MATCH('Isaac 401k'!N5843,'Retirement Calculator'!A:A,0),0),0)</f>
        <v>0</v>
      </c>
      <c r="K5843" s="455">
        <f t="shared" ca="1" si="211"/>
        <v>-24119279713121.512</v>
      </c>
      <c r="L5843" s="455">
        <f t="shared" ca="1" si="212"/>
        <v>-5812746410862285</v>
      </c>
      <c r="M5843" s="471">
        <f t="shared" si="214"/>
        <v>0.05</v>
      </c>
      <c r="N5843" s="475">
        <f t="shared" si="215"/>
        <v>228887</v>
      </c>
    </row>
    <row r="5844" spans="7:14" ht="11.25" customHeight="1" x14ac:dyDescent="0.3">
      <c r="G5844" s="470"/>
      <c r="H5844" s="470">
        <v>5837</v>
      </c>
      <c r="I5844" s="455">
        <f t="shared" ca="1" si="213"/>
        <v>-5812746410862285</v>
      </c>
      <c r="J5844" s="455">
        <f t="array" ref="J5844">IFERROR(INDEX('Retirement Calculator'!J:J,MATCH('Isaac 401k'!N5844,'Retirement Calculator'!A:A,0),0),0)</f>
        <v>0</v>
      </c>
      <c r="K5844" s="455">
        <f t="shared" ca="1" si="211"/>
        <v>-24219776711926.188</v>
      </c>
      <c r="L5844" s="455">
        <f t="shared" ca="1" si="212"/>
        <v>-5836966187574211</v>
      </c>
      <c r="M5844" s="471">
        <f t="shared" si="214"/>
        <v>0.05</v>
      </c>
      <c r="N5844" s="475">
        <f t="shared" si="215"/>
        <v>228917</v>
      </c>
    </row>
    <row r="5845" spans="7:14" ht="11.25" customHeight="1" x14ac:dyDescent="0.3">
      <c r="G5845" s="470"/>
      <c r="H5845" s="470">
        <v>5838</v>
      </c>
      <c r="I5845" s="455">
        <f t="shared" ca="1" si="213"/>
        <v>-5836966187574211</v>
      </c>
      <c r="J5845" s="455">
        <f t="array" ref="J5845">IFERROR(INDEX('Retirement Calculator'!J:J,MATCH('Isaac 401k'!N5845,'Retirement Calculator'!A:A,0),0),0)</f>
        <v>0</v>
      </c>
      <c r="K5845" s="455">
        <f t="shared" ca="1" si="211"/>
        <v>-24320692448225.879</v>
      </c>
      <c r="L5845" s="455">
        <f t="shared" ca="1" si="212"/>
        <v>-5861286880022437</v>
      </c>
      <c r="M5845" s="471">
        <f t="shared" si="214"/>
        <v>0.05</v>
      </c>
      <c r="N5845" s="475">
        <f t="shared" si="215"/>
        <v>228948</v>
      </c>
    </row>
    <row r="5846" spans="7:14" ht="11.25" customHeight="1" x14ac:dyDescent="0.3">
      <c r="G5846" s="470"/>
      <c r="H5846" s="470">
        <v>5839</v>
      </c>
      <c r="I5846" s="455">
        <f t="shared" ca="1" si="213"/>
        <v>-5861286880022437</v>
      </c>
      <c r="J5846" s="455">
        <f t="array" ref="J5846">IFERROR(INDEX('Retirement Calculator'!J:J,MATCH('Isaac 401k'!N5846,'Retirement Calculator'!A:A,0),0),0)</f>
        <v>0</v>
      </c>
      <c r="K5846" s="455">
        <f t="shared" ca="1" si="211"/>
        <v>-24422028666760.152</v>
      </c>
      <c r="L5846" s="455">
        <f t="shared" ca="1" si="212"/>
        <v>-5885708908689197</v>
      </c>
      <c r="M5846" s="471">
        <f t="shared" si="214"/>
        <v>0.05</v>
      </c>
      <c r="N5846" s="475">
        <f t="shared" si="215"/>
        <v>228978</v>
      </c>
    </row>
    <row r="5847" spans="7:14" ht="11.25" customHeight="1" x14ac:dyDescent="0.3">
      <c r="G5847" s="470"/>
      <c r="H5847" s="470">
        <v>5840</v>
      </c>
      <c r="I5847" s="455">
        <f t="shared" ca="1" si="213"/>
        <v>-5885708908689197</v>
      </c>
      <c r="J5847" s="455">
        <f t="array" ref="J5847">IFERROR(INDEX('Retirement Calculator'!J:J,MATCH('Isaac 401k'!N5847,'Retirement Calculator'!A:A,0),0),0)</f>
        <v>0</v>
      </c>
      <c r="K5847" s="455">
        <f t="shared" ca="1" si="211"/>
        <v>-24523787119538.32</v>
      </c>
      <c r="L5847" s="455">
        <f t="shared" ca="1" si="212"/>
        <v>-5910232695808735</v>
      </c>
      <c r="M5847" s="471">
        <f t="shared" si="214"/>
        <v>0.05</v>
      </c>
      <c r="N5847" s="475">
        <f t="shared" si="215"/>
        <v>229009</v>
      </c>
    </row>
    <row r="5848" spans="7:14" ht="11.25" customHeight="1" x14ac:dyDescent="0.3">
      <c r="G5848" s="470"/>
      <c r="H5848" s="470">
        <v>5841</v>
      </c>
      <c r="I5848" s="455">
        <f t="shared" ca="1" si="213"/>
        <v>-5910232695808735</v>
      </c>
      <c r="J5848" s="455">
        <f t="array" ref="J5848">IFERROR(INDEX('Retirement Calculator'!J:J,MATCH('Isaac 401k'!N5848,'Retirement Calculator'!A:A,0),0),0)</f>
        <v>0</v>
      </c>
      <c r="K5848" s="455">
        <f t="shared" ca="1" si="211"/>
        <v>-24625969565869.73</v>
      </c>
      <c r="L5848" s="455">
        <f t="shared" ca="1" si="212"/>
        <v>-5934858665374605</v>
      </c>
      <c r="M5848" s="471">
        <f t="shared" si="214"/>
        <v>0.05</v>
      </c>
      <c r="N5848" s="475">
        <f t="shared" si="215"/>
        <v>229040</v>
      </c>
    </row>
    <row r="5849" spans="7:14" ht="11.25" customHeight="1" x14ac:dyDescent="0.3">
      <c r="G5849" s="470"/>
      <c r="H5849" s="470">
        <v>5842</v>
      </c>
      <c r="I5849" s="455">
        <f t="shared" ca="1" si="213"/>
        <v>-5934858665374605</v>
      </c>
      <c r="J5849" s="455">
        <f t="array" ref="J5849">IFERROR(INDEX('Retirement Calculator'!J:J,MATCH('Isaac 401k'!N5849,'Retirement Calculator'!A:A,0),0),0)</f>
        <v>0</v>
      </c>
      <c r="K5849" s="455">
        <f t="shared" ca="1" si="211"/>
        <v>-24728577772394.188</v>
      </c>
      <c r="L5849" s="455">
        <f t="shared" ca="1" si="212"/>
        <v>-5959587243146999</v>
      </c>
      <c r="M5849" s="471">
        <f t="shared" si="214"/>
        <v>0.05</v>
      </c>
      <c r="N5849" s="475">
        <f t="shared" si="215"/>
        <v>229068</v>
      </c>
    </row>
    <row r="5850" spans="7:14" ht="11.25" customHeight="1" x14ac:dyDescent="0.3">
      <c r="G5850" s="470"/>
      <c r="H5850" s="470">
        <v>5843</v>
      </c>
      <c r="I5850" s="455">
        <f t="shared" ca="1" si="213"/>
        <v>-5959587243146999</v>
      </c>
      <c r="J5850" s="455">
        <f t="array" ref="J5850">IFERROR(INDEX('Retirement Calculator'!J:J,MATCH('Isaac 401k'!N5850,'Retirement Calculator'!A:A,0),0),0)</f>
        <v>0</v>
      </c>
      <c r="K5850" s="455">
        <f t="shared" ca="1" si="211"/>
        <v>-24831613513112.496</v>
      </c>
      <c r="L5850" s="455">
        <f t="shared" ca="1" si="212"/>
        <v>-5984418856660111</v>
      </c>
      <c r="M5850" s="471">
        <f t="shared" si="214"/>
        <v>0.05</v>
      </c>
      <c r="N5850" s="475">
        <f t="shared" si="215"/>
        <v>229099</v>
      </c>
    </row>
    <row r="5851" spans="7:14" ht="11.25" customHeight="1" x14ac:dyDescent="0.3">
      <c r="G5851" s="470"/>
      <c r="H5851" s="470">
        <v>5844</v>
      </c>
      <c r="I5851" s="455">
        <f t="shared" ca="1" si="213"/>
        <v>-5984418856660111</v>
      </c>
      <c r="J5851" s="455">
        <f t="array" ref="J5851">IFERROR(INDEX('Retirement Calculator'!J:J,MATCH('Isaac 401k'!N5851,'Retirement Calculator'!A:A,0),0),0)</f>
        <v>0</v>
      </c>
      <c r="K5851" s="455">
        <f t="shared" ca="1" si="211"/>
        <v>-24935078569417.129</v>
      </c>
      <c r="L5851" s="455">
        <f t="shared" ca="1" si="212"/>
        <v>-6009353935229528</v>
      </c>
      <c r="M5851" s="471">
        <f t="shared" si="214"/>
        <v>0.05</v>
      </c>
      <c r="N5851" s="475">
        <f t="shared" si="215"/>
        <v>229129</v>
      </c>
    </row>
    <row r="5852" spans="7:14" ht="11.25" customHeight="1" x14ac:dyDescent="0.3">
      <c r="G5852" s="470"/>
      <c r="H5852" s="470">
        <v>5845</v>
      </c>
      <c r="I5852" s="455">
        <f t="shared" ca="1" si="213"/>
        <v>-6009353935229528</v>
      </c>
      <c r="J5852" s="455">
        <f t="array" ref="J5852">IFERROR(INDEX('Retirement Calculator'!J:J,MATCH('Isaac 401k'!N5852,'Retirement Calculator'!A:A,0),0),0)</f>
        <v>0</v>
      </c>
      <c r="K5852" s="455">
        <f t="shared" ca="1" si="211"/>
        <v>-25038974730123.031</v>
      </c>
      <c r="L5852" s="455">
        <f t="shared" ca="1" si="212"/>
        <v>-6034392909959651</v>
      </c>
      <c r="M5852" s="471">
        <f t="shared" si="214"/>
        <v>0.05</v>
      </c>
      <c r="N5852" s="475">
        <f t="shared" si="215"/>
        <v>229160</v>
      </c>
    </row>
    <row r="5853" spans="7:14" ht="11.25" customHeight="1" x14ac:dyDescent="0.3">
      <c r="G5853" s="470"/>
      <c r="H5853" s="470">
        <v>5846</v>
      </c>
      <c r="I5853" s="455">
        <f t="shared" ca="1" si="213"/>
        <v>-6034392909959651</v>
      </c>
      <c r="J5853" s="455">
        <f t="array" ref="J5853">IFERROR(INDEX('Retirement Calculator'!J:J,MATCH('Isaac 401k'!N5853,'Retirement Calculator'!A:A,0),0),0)</f>
        <v>0</v>
      </c>
      <c r="K5853" s="455">
        <f t="shared" ca="1" si="211"/>
        <v>-25143303791498.547</v>
      </c>
      <c r="L5853" s="455">
        <f t="shared" ca="1" si="212"/>
        <v>-6059536213751150</v>
      </c>
      <c r="M5853" s="471">
        <f t="shared" si="214"/>
        <v>0.05</v>
      </c>
      <c r="N5853" s="475">
        <f t="shared" si="215"/>
        <v>229190</v>
      </c>
    </row>
    <row r="5854" spans="7:14" ht="11.25" customHeight="1" x14ac:dyDescent="0.3">
      <c r="G5854" s="470"/>
      <c r="H5854" s="470">
        <v>5847</v>
      </c>
      <c r="I5854" s="455">
        <f t="shared" ca="1" si="213"/>
        <v>-6059536213751150</v>
      </c>
      <c r="J5854" s="455">
        <f t="array" ref="J5854">IFERROR(INDEX('Retirement Calculator'!J:J,MATCH('Isaac 401k'!N5854,'Retirement Calculator'!A:A,0),0),0)</f>
        <v>0</v>
      </c>
      <c r="K5854" s="455">
        <f t="shared" ca="1" si="211"/>
        <v>-25248067557296.457</v>
      </c>
      <c r="L5854" s="455">
        <f t="shared" ca="1" si="212"/>
        <v>-6084784281308446</v>
      </c>
      <c r="M5854" s="471">
        <f t="shared" si="214"/>
        <v>0.05</v>
      </c>
      <c r="N5854" s="475">
        <f t="shared" si="215"/>
        <v>229221</v>
      </c>
    </row>
    <row r="5855" spans="7:14" ht="11.25" customHeight="1" x14ac:dyDescent="0.3">
      <c r="G5855" s="470"/>
      <c r="H5855" s="470">
        <v>5848</v>
      </c>
      <c r="I5855" s="455">
        <f t="shared" ca="1" si="213"/>
        <v>-6084784281308446</v>
      </c>
      <c r="J5855" s="455">
        <f t="array" ref="J5855">IFERROR(INDEX('Retirement Calculator'!J:J,MATCH('Isaac 401k'!N5855,'Retirement Calculator'!A:A,0),0),0)</f>
        <v>0</v>
      </c>
      <c r="K5855" s="455">
        <f t="shared" ca="1" si="211"/>
        <v>-25353267838785.191</v>
      </c>
      <c r="L5855" s="455">
        <f t="shared" ca="1" si="212"/>
        <v>-6110137549147231</v>
      </c>
      <c r="M5855" s="471">
        <f t="shared" si="214"/>
        <v>0.05</v>
      </c>
      <c r="N5855" s="475">
        <f t="shared" si="215"/>
        <v>229252</v>
      </c>
    </row>
    <row r="5856" spans="7:14" ht="11.25" customHeight="1" x14ac:dyDescent="0.3">
      <c r="G5856" s="470"/>
      <c r="H5856" s="470">
        <v>5849</v>
      </c>
      <c r="I5856" s="455">
        <f t="shared" ca="1" si="213"/>
        <v>-6110137549147231</v>
      </c>
      <c r="J5856" s="455">
        <f t="array" ref="J5856">IFERROR(INDEX('Retirement Calculator'!J:J,MATCH('Isaac 401k'!N5856,'Retirement Calculator'!A:A,0),0),0)</f>
        <v>0</v>
      </c>
      <c r="K5856" s="455">
        <f t="shared" ca="1" si="211"/>
        <v>-25458906454780.129</v>
      </c>
      <c r="L5856" s="455">
        <f t="shared" ca="1" si="212"/>
        <v>-6135596455602011</v>
      </c>
      <c r="M5856" s="471">
        <f t="shared" si="214"/>
        <v>0.05</v>
      </c>
      <c r="N5856" s="475">
        <f t="shared" si="215"/>
        <v>229282</v>
      </c>
    </row>
    <row r="5857" spans="7:14" ht="11.25" customHeight="1" x14ac:dyDescent="0.3">
      <c r="G5857" s="470"/>
      <c r="H5857" s="470">
        <v>5850</v>
      </c>
      <c r="I5857" s="455">
        <f t="shared" ca="1" si="213"/>
        <v>-6135596455602011</v>
      </c>
      <c r="J5857" s="455">
        <f t="array" ref="J5857">IFERROR(INDEX('Retirement Calculator'!J:J,MATCH('Isaac 401k'!N5857,'Retirement Calculator'!A:A,0),0),0)</f>
        <v>0</v>
      </c>
      <c r="K5857" s="455">
        <f t="shared" ca="1" si="211"/>
        <v>-25564985231675.047</v>
      </c>
      <c r="L5857" s="455">
        <f t="shared" ca="1" si="212"/>
        <v>-6161161440833686</v>
      </c>
      <c r="M5857" s="471">
        <f t="shared" si="214"/>
        <v>0.05</v>
      </c>
      <c r="N5857" s="475">
        <f t="shared" si="215"/>
        <v>229313</v>
      </c>
    </row>
    <row r="5858" spans="7:14" ht="11.25" customHeight="1" x14ac:dyDescent="0.3">
      <c r="G5858" s="470"/>
      <c r="H5858" s="470">
        <v>5851</v>
      </c>
      <c r="I5858" s="455">
        <f t="shared" ca="1" si="213"/>
        <v>-6161161440833686</v>
      </c>
      <c r="J5858" s="455">
        <f t="array" ref="J5858">IFERROR(INDEX('Retirement Calculator'!J:J,MATCH('Isaac 401k'!N5858,'Retirement Calculator'!A:A,0),0),0)</f>
        <v>0</v>
      </c>
      <c r="K5858" s="455">
        <f t="shared" ca="1" si="211"/>
        <v>-25671506003473.691</v>
      </c>
      <c r="L5858" s="455">
        <f t="shared" ca="1" si="212"/>
        <v>-6186832946837160</v>
      </c>
      <c r="M5858" s="471">
        <f t="shared" si="214"/>
        <v>0.05</v>
      </c>
      <c r="N5858" s="475">
        <f t="shared" si="215"/>
        <v>229343</v>
      </c>
    </row>
    <row r="5859" spans="7:14" ht="11.25" customHeight="1" x14ac:dyDescent="0.3">
      <c r="G5859" s="470"/>
      <c r="H5859" s="470">
        <v>5852</v>
      </c>
      <c r="I5859" s="455">
        <f t="shared" ca="1" si="213"/>
        <v>-6186832946837160</v>
      </c>
      <c r="J5859" s="455">
        <f t="array" ref="J5859">IFERROR(INDEX('Retirement Calculator'!J:J,MATCH('Isaac 401k'!N5859,'Retirement Calculator'!A:A,0),0),0)</f>
        <v>0</v>
      </c>
      <c r="K5859" s="455">
        <f t="shared" ca="1" si="211"/>
        <v>-25778470611821.5</v>
      </c>
      <c r="L5859" s="455">
        <f t="shared" ca="1" si="212"/>
        <v>-6212611417448982</v>
      </c>
      <c r="M5859" s="471">
        <f t="shared" si="214"/>
        <v>0.05</v>
      </c>
      <c r="N5859" s="475">
        <f t="shared" si="215"/>
        <v>229374</v>
      </c>
    </row>
    <row r="5860" spans="7:14" ht="11.25" customHeight="1" x14ac:dyDescent="0.3">
      <c r="G5860" s="470"/>
      <c r="H5860" s="470">
        <v>5853</v>
      </c>
      <c r="I5860" s="455">
        <f t="shared" ca="1" si="213"/>
        <v>-6212611417448982</v>
      </c>
      <c r="J5860" s="455">
        <f t="array" ref="J5860">IFERROR(INDEX('Retirement Calculator'!J:J,MATCH('Isaac 401k'!N5860,'Retirement Calculator'!A:A,0),0),0)</f>
        <v>0</v>
      </c>
      <c r="K5860" s="455">
        <f t="shared" ca="1" si="211"/>
        <v>-25885880906037.426</v>
      </c>
      <c r="L5860" s="455">
        <f t="shared" ca="1" si="212"/>
        <v>-6238497298355019</v>
      </c>
      <c r="M5860" s="471">
        <f t="shared" si="214"/>
        <v>0.05</v>
      </c>
      <c r="N5860" s="475">
        <f t="shared" si="215"/>
        <v>229405</v>
      </c>
    </row>
    <row r="5861" spans="7:14" ht="11.25" customHeight="1" x14ac:dyDescent="0.3">
      <c r="G5861" s="470"/>
      <c r="H5861" s="470">
        <v>5854</v>
      </c>
      <c r="I5861" s="455">
        <f t="shared" ca="1" si="213"/>
        <v>-6238497298355019</v>
      </c>
      <c r="J5861" s="455">
        <f t="array" ref="J5861">IFERROR(INDEX('Retirement Calculator'!J:J,MATCH('Isaac 401k'!N5861,'Retirement Calculator'!A:A,0),0),0)</f>
        <v>0</v>
      </c>
      <c r="K5861" s="455">
        <f t="shared" ca="1" si="211"/>
        <v>-25993738743145.914</v>
      </c>
      <c r="L5861" s="455">
        <f t="shared" ca="1" si="212"/>
        <v>-6264491037098165</v>
      </c>
      <c r="M5861" s="471">
        <f t="shared" si="214"/>
        <v>0.05</v>
      </c>
      <c r="N5861" s="475">
        <f t="shared" si="215"/>
        <v>229434</v>
      </c>
    </row>
    <row r="5862" spans="7:14" ht="11.25" customHeight="1" x14ac:dyDescent="0.3">
      <c r="G5862" s="470"/>
      <c r="H5862" s="470">
        <v>5855</v>
      </c>
      <c r="I5862" s="455">
        <f t="shared" ca="1" si="213"/>
        <v>-6264491037098165</v>
      </c>
      <c r="J5862" s="455">
        <f t="array" ref="J5862">IFERROR(INDEX('Retirement Calculator'!J:J,MATCH('Isaac 401k'!N5862,'Retirement Calculator'!A:A,0),0),0)</f>
        <v>0</v>
      </c>
      <c r="K5862" s="455">
        <f t="shared" ca="1" si="211"/>
        <v>-26102045987909.02</v>
      </c>
      <c r="L5862" s="455">
        <f t="shared" ca="1" si="212"/>
        <v>-6290593083086074</v>
      </c>
      <c r="M5862" s="471">
        <f t="shared" si="214"/>
        <v>0.05</v>
      </c>
      <c r="N5862" s="475">
        <f t="shared" si="215"/>
        <v>229465</v>
      </c>
    </row>
    <row r="5863" spans="7:14" ht="11.25" customHeight="1" x14ac:dyDescent="0.3">
      <c r="G5863" s="470"/>
      <c r="H5863" s="470">
        <v>5856</v>
      </c>
      <c r="I5863" s="455">
        <f t="shared" ca="1" si="213"/>
        <v>-6290593083086074</v>
      </c>
      <c r="J5863" s="455">
        <f t="array" ref="J5863">IFERROR(INDEX('Retirement Calculator'!J:J,MATCH('Isaac 401k'!N5863,'Retirement Calculator'!A:A,0),0),0)</f>
        <v>0</v>
      </c>
      <c r="K5863" s="455">
        <f t="shared" ca="1" si="211"/>
        <v>-26210804512858.641</v>
      </c>
      <c r="L5863" s="455">
        <f t="shared" ca="1" si="212"/>
        <v>-6316803887598933</v>
      </c>
      <c r="M5863" s="471">
        <f t="shared" si="214"/>
        <v>0.05</v>
      </c>
      <c r="N5863" s="475">
        <f t="shared" si="215"/>
        <v>229495</v>
      </c>
    </row>
    <row r="5864" spans="7:14" ht="11.25" customHeight="1" x14ac:dyDescent="0.3">
      <c r="G5864" s="470"/>
      <c r="H5864" s="470">
        <v>5857</v>
      </c>
      <c r="I5864" s="455">
        <f t="shared" ca="1" si="213"/>
        <v>-6316803887598933</v>
      </c>
      <c r="J5864" s="455">
        <f t="array" ref="J5864">IFERROR(INDEX('Retirement Calculator'!J:J,MATCH('Isaac 401k'!N5864,'Retirement Calculator'!A:A,0),0),0)</f>
        <v>0</v>
      </c>
      <c r="K5864" s="455">
        <f t="shared" ca="1" si="211"/>
        <v>-26320016198328.887</v>
      </c>
      <c r="L5864" s="455">
        <f t="shared" ca="1" si="212"/>
        <v>-6343123903797262</v>
      </c>
      <c r="M5864" s="471">
        <f t="shared" si="214"/>
        <v>0.05</v>
      </c>
      <c r="N5864" s="475">
        <f t="shared" si="215"/>
        <v>229526</v>
      </c>
    </row>
    <row r="5865" spans="7:14" ht="11.25" customHeight="1" x14ac:dyDescent="0.3">
      <c r="G5865" s="470"/>
      <c r="H5865" s="470">
        <v>5858</v>
      </c>
      <c r="I5865" s="455">
        <f t="shared" ca="1" si="213"/>
        <v>-6343123903797262</v>
      </c>
      <c r="J5865" s="455">
        <f t="array" ref="J5865">IFERROR(INDEX('Retirement Calculator'!J:J,MATCH('Isaac 401k'!N5865,'Retirement Calculator'!A:A,0),0),0)</f>
        <v>0</v>
      </c>
      <c r="K5865" s="455">
        <f t="shared" ca="1" si="211"/>
        <v>-26429682932488.59</v>
      </c>
      <c r="L5865" s="455">
        <f t="shared" ca="1" si="212"/>
        <v>-6369553586729751</v>
      </c>
      <c r="M5865" s="471">
        <f t="shared" si="214"/>
        <v>0.05</v>
      </c>
      <c r="N5865" s="475">
        <f t="shared" si="215"/>
        <v>229556</v>
      </c>
    </row>
    <row r="5866" spans="7:14" ht="11.25" customHeight="1" x14ac:dyDescent="0.3">
      <c r="G5866" s="470"/>
      <c r="H5866" s="470">
        <v>5859</v>
      </c>
      <c r="I5866" s="455">
        <f t="shared" ca="1" si="213"/>
        <v>-6369553586729751</v>
      </c>
      <c r="J5866" s="455">
        <f t="array" ref="J5866">IFERROR(INDEX('Retirement Calculator'!J:J,MATCH('Isaac 401k'!N5866,'Retirement Calculator'!A:A,0),0),0)</f>
        <v>0</v>
      </c>
      <c r="K5866" s="455">
        <f t="shared" ca="1" si="211"/>
        <v>-26539806611373.961</v>
      </c>
      <c r="L5866" s="455">
        <f t="shared" ca="1" si="212"/>
        <v>-6396093393341125</v>
      </c>
      <c r="M5866" s="471">
        <f t="shared" si="214"/>
        <v>0.05</v>
      </c>
      <c r="N5866" s="475">
        <f t="shared" si="215"/>
        <v>229587</v>
      </c>
    </row>
    <row r="5867" spans="7:14" ht="11.25" customHeight="1" x14ac:dyDescent="0.3">
      <c r="G5867" s="470"/>
      <c r="H5867" s="470">
        <v>5860</v>
      </c>
      <c r="I5867" s="455">
        <f t="shared" ca="1" si="213"/>
        <v>-6396093393341125</v>
      </c>
      <c r="J5867" s="455">
        <f t="array" ref="J5867">IFERROR(INDEX('Retirement Calculator'!J:J,MATCH('Isaac 401k'!N5867,'Retirement Calculator'!A:A,0),0),0)</f>
        <v>0</v>
      </c>
      <c r="K5867" s="455">
        <f t="shared" ca="1" si="211"/>
        <v>-26650389138921.355</v>
      </c>
      <c r="L5867" s="455">
        <f t="shared" ca="1" si="212"/>
        <v>-6422743782480046</v>
      </c>
      <c r="M5867" s="471">
        <f t="shared" si="214"/>
        <v>0.05</v>
      </c>
      <c r="N5867" s="475">
        <f t="shared" si="215"/>
        <v>229618</v>
      </c>
    </row>
    <row r="5868" spans="7:14" ht="11.25" customHeight="1" x14ac:dyDescent="0.3">
      <c r="G5868" s="470"/>
      <c r="H5868" s="470">
        <v>5861</v>
      </c>
      <c r="I5868" s="455">
        <f t="shared" ca="1" si="213"/>
        <v>-6422743782480046</v>
      </c>
      <c r="J5868" s="455">
        <f t="array" ref="J5868">IFERROR(INDEX('Retirement Calculator'!J:J,MATCH('Isaac 401k'!N5868,'Retirement Calculator'!A:A,0),0),0)</f>
        <v>0</v>
      </c>
      <c r="K5868" s="455">
        <f t="shared" ca="1" si="211"/>
        <v>-26761432427000.191</v>
      </c>
      <c r="L5868" s="455">
        <f t="shared" ca="1" si="212"/>
        <v>-6449505214907046</v>
      </c>
      <c r="M5868" s="471">
        <f t="shared" si="214"/>
        <v>0.05</v>
      </c>
      <c r="N5868" s="475">
        <f t="shared" si="215"/>
        <v>229648</v>
      </c>
    </row>
    <row r="5869" spans="7:14" ht="11.25" customHeight="1" x14ac:dyDescent="0.3">
      <c r="G5869" s="470"/>
      <c r="H5869" s="470">
        <v>5862</v>
      </c>
      <c r="I5869" s="455">
        <f t="shared" ca="1" si="213"/>
        <v>-6449505214907046</v>
      </c>
      <c r="J5869" s="455">
        <f t="array" ref="J5869">IFERROR(INDEX('Retirement Calculator'!J:J,MATCH('Isaac 401k'!N5869,'Retirement Calculator'!A:A,0),0),0)</f>
        <v>0</v>
      </c>
      <c r="K5869" s="455">
        <f t="shared" ca="1" si="211"/>
        <v>-26872938395446.023</v>
      </c>
      <c r="L5869" s="455">
        <f t="shared" ca="1" si="212"/>
        <v>-6476378153302492</v>
      </c>
      <c r="M5869" s="471">
        <f t="shared" si="214"/>
        <v>0.05</v>
      </c>
      <c r="N5869" s="475">
        <f t="shared" si="215"/>
        <v>229679</v>
      </c>
    </row>
    <row r="5870" spans="7:14" ht="11.25" customHeight="1" x14ac:dyDescent="0.3">
      <c r="G5870" s="470"/>
      <c r="H5870" s="470">
        <v>5863</v>
      </c>
      <c r="I5870" s="455">
        <f t="shared" ca="1" si="213"/>
        <v>-6476378153302492</v>
      </c>
      <c r="J5870" s="455">
        <f t="array" ref="J5870">IFERROR(INDEX('Retirement Calculator'!J:J,MATCH('Isaac 401k'!N5870,'Retirement Calculator'!A:A,0),0),0)</f>
        <v>0</v>
      </c>
      <c r="K5870" s="455">
        <f t="shared" ca="1" si="211"/>
        <v>-26984908972093.715</v>
      </c>
      <c r="L5870" s="455">
        <f t="shared" ca="1" si="212"/>
        <v>-6503363062274586</v>
      </c>
      <c r="M5870" s="471">
        <f t="shared" si="214"/>
        <v>0.05</v>
      </c>
      <c r="N5870" s="475">
        <f t="shared" si="215"/>
        <v>229709</v>
      </c>
    </row>
    <row r="5871" spans="7:14" ht="11.25" customHeight="1" x14ac:dyDescent="0.3">
      <c r="G5871" s="470"/>
      <c r="H5871" s="470">
        <v>5864</v>
      </c>
      <c r="I5871" s="455">
        <f t="shared" ca="1" si="213"/>
        <v>-6503363062274586</v>
      </c>
      <c r="J5871" s="455">
        <f t="array" ref="J5871">IFERROR(INDEX('Retirement Calculator'!J:J,MATCH('Isaac 401k'!N5871,'Retirement Calculator'!A:A,0),0),0)</f>
        <v>0</v>
      </c>
      <c r="K5871" s="455">
        <f t="shared" ca="1" si="211"/>
        <v>-27097346092810.773</v>
      </c>
      <c r="L5871" s="455">
        <f t="shared" ca="1" si="212"/>
        <v>-6530460408367397</v>
      </c>
      <c r="M5871" s="471">
        <f t="shared" si="214"/>
        <v>0.05</v>
      </c>
      <c r="N5871" s="475">
        <f t="shared" si="215"/>
        <v>229740</v>
      </c>
    </row>
    <row r="5872" spans="7:14" ht="11.25" customHeight="1" x14ac:dyDescent="0.3">
      <c r="G5872" s="470"/>
      <c r="H5872" s="470">
        <v>5865</v>
      </c>
      <c r="I5872" s="455">
        <f t="shared" ca="1" si="213"/>
        <v>-6530460408367397</v>
      </c>
      <c r="J5872" s="455">
        <f t="array" ref="J5872">IFERROR(INDEX('Retirement Calculator'!J:J,MATCH('Isaac 401k'!N5872,'Retirement Calculator'!A:A,0),0),0)</f>
        <v>0</v>
      </c>
      <c r="K5872" s="455">
        <f t="shared" ca="1" si="211"/>
        <v>-27210251701530.82</v>
      </c>
      <c r="L5872" s="455">
        <f t="shared" ca="1" si="212"/>
        <v>-6557670660068928</v>
      </c>
      <c r="M5872" s="471">
        <f t="shared" si="214"/>
        <v>0.05</v>
      </c>
      <c r="N5872" s="475">
        <f t="shared" si="215"/>
        <v>229771</v>
      </c>
    </row>
    <row r="5873" spans="7:14" ht="11.25" customHeight="1" x14ac:dyDescent="0.3">
      <c r="G5873" s="470"/>
      <c r="H5873" s="470">
        <v>5866</v>
      </c>
      <c r="I5873" s="455">
        <f t="shared" ca="1" si="213"/>
        <v>-6557670660068928</v>
      </c>
      <c r="J5873" s="455">
        <f t="array" ref="J5873">IFERROR(INDEX('Retirement Calculator'!J:J,MATCH('Isaac 401k'!N5873,'Retirement Calculator'!A:A,0),0),0)</f>
        <v>0</v>
      </c>
      <c r="K5873" s="455">
        <f t="shared" ref="K5873:K6127" ca="1" si="216">IPMT(M5873/12,1,12,-I5873+J5873,,0)</f>
        <v>-27323627750287.199</v>
      </c>
      <c r="L5873" s="455">
        <f t="shared" ref="L5873:L6127" ca="1" si="217">I5873-J5873+K5873</f>
        <v>-6584994287819215</v>
      </c>
      <c r="M5873" s="471">
        <f t="shared" si="214"/>
        <v>0.05</v>
      </c>
      <c r="N5873" s="475">
        <f t="shared" si="215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18">L5873</f>
        <v>-6584994287819215</v>
      </c>
      <c r="J5874" s="455">
        <f t="array" ref="J5874">IFERROR(INDEX('Retirement Calculator'!J:J,MATCH('Isaac 401k'!N5874,'Retirement Calculator'!A:A,0),0),0)</f>
        <v>0</v>
      </c>
      <c r="K5874" s="455">
        <f t="shared" ca="1" si="216"/>
        <v>-27437476199246.73</v>
      </c>
      <c r="L5874" s="455">
        <f t="shared" ca="1" si="217"/>
        <v>-6612431764018462</v>
      </c>
      <c r="M5874" s="471">
        <f t="shared" ref="M5874:M6128" si="219">M5873</f>
        <v>0.05</v>
      </c>
      <c r="N5874" s="475">
        <f t="shared" ref="N5874:N6128" si="220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18"/>
        <v>-6612431764018462</v>
      </c>
      <c r="J5875" s="455">
        <f t="array" ref="J5875">IFERROR(INDEX('Retirement Calculator'!J:J,MATCH('Isaac 401k'!N5875,'Retirement Calculator'!A:A,0),0),0)</f>
        <v>0</v>
      </c>
      <c r="K5875" s="455">
        <f t="shared" ca="1" si="216"/>
        <v>-27551799016743.59</v>
      </c>
      <c r="L5875" s="455">
        <f t="shared" ca="1" si="217"/>
        <v>-6639983563035206</v>
      </c>
      <c r="M5875" s="471">
        <f t="shared" si="219"/>
        <v>0.05</v>
      </c>
      <c r="N5875" s="475">
        <f t="shared" si="220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18"/>
        <v>-6639983563035206</v>
      </c>
      <c r="J5876" s="455">
        <f t="array" ref="J5876">IFERROR(INDEX('Retirement Calculator'!J:J,MATCH('Isaac 401k'!N5876,'Retirement Calculator'!A:A,0),0),0)</f>
        <v>0</v>
      </c>
      <c r="K5876" s="455">
        <f t="shared" ca="1" si="216"/>
        <v>-27666598179313.359</v>
      </c>
      <c r="L5876" s="455">
        <f t="shared" ca="1" si="217"/>
        <v>-6667650161214519</v>
      </c>
      <c r="M5876" s="471">
        <f t="shared" si="219"/>
        <v>0.05</v>
      </c>
      <c r="N5876" s="475">
        <f t="shared" si="220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18"/>
        <v>-6667650161214519</v>
      </c>
      <c r="J5877" s="455">
        <f t="array" ref="J5877">IFERROR(INDEX('Retirement Calculator'!J:J,MATCH('Isaac 401k'!N5877,'Retirement Calculator'!A:A,0),0),0)</f>
        <v>0</v>
      </c>
      <c r="K5877" s="455">
        <f t="shared" ca="1" si="216"/>
        <v>-27781875671727.164</v>
      </c>
      <c r="L5877" s="455">
        <f t="shared" ca="1" si="217"/>
        <v>-6695432036886246</v>
      </c>
      <c r="M5877" s="471">
        <f t="shared" si="219"/>
        <v>0.05</v>
      </c>
      <c r="N5877" s="475">
        <f t="shared" si="220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18"/>
        <v>-6695432036886246</v>
      </c>
      <c r="J5878" s="455">
        <f t="array" ref="J5878">IFERROR(INDEX('Retirement Calculator'!J:J,MATCH('Isaac 401k'!N5878,'Retirement Calculator'!A:A,0),0),0)</f>
        <v>0</v>
      </c>
      <c r="K5878" s="455">
        <f t="shared" ca="1" si="216"/>
        <v>-27897633487026.023</v>
      </c>
      <c r="L5878" s="455">
        <f t="shared" ca="1" si="217"/>
        <v>-6723329670373272</v>
      </c>
      <c r="M5878" s="471">
        <f t="shared" si="219"/>
        <v>0.05</v>
      </c>
      <c r="N5878" s="475">
        <f t="shared" si="220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18"/>
        <v>-6723329670373272</v>
      </c>
      <c r="J5879" s="455">
        <f t="array" ref="J5879">IFERROR(INDEX('Retirement Calculator'!J:J,MATCH('Isaac 401k'!N5879,'Retirement Calculator'!A:A,0),0),0)</f>
        <v>0</v>
      </c>
      <c r="K5879" s="455">
        <f t="shared" ca="1" si="216"/>
        <v>-28013873626555.301</v>
      </c>
      <c r="L5879" s="455">
        <f t="shared" ca="1" si="217"/>
        <v>-6751343543999827</v>
      </c>
      <c r="M5879" s="471">
        <f t="shared" si="219"/>
        <v>0.05</v>
      </c>
      <c r="N5879" s="475">
        <f t="shared" si="220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18"/>
        <v>-6751343543999827</v>
      </c>
      <c r="J5880" s="455">
        <f t="array" ref="J5880">IFERROR(INDEX('Retirement Calculator'!J:J,MATCH('Isaac 401k'!N5880,'Retirement Calculator'!A:A,0),0),0)</f>
        <v>0</v>
      </c>
      <c r="K5880" s="455">
        <f t="shared" ca="1" si="216"/>
        <v>-28130598099999.277</v>
      </c>
      <c r="L5880" s="455">
        <f t="shared" ca="1" si="217"/>
        <v>-6779474142099826</v>
      </c>
      <c r="M5880" s="471">
        <f t="shared" si="219"/>
        <v>0.05</v>
      </c>
      <c r="N5880" s="475">
        <f t="shared" si="220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18"/>
        <v>-6779474142099826</v>
      </c>
      <c r="J5881" s="455">
        <f t="array" ref="J5881">IFERROR(INDEX('Retirement Calculator'!J:J,MATCH('Isaac 401k'!N5881,'Retirement Calculator'!A:A,0),0),0)</f>
        <v>0</v>
      </c>
      <c r="K5881" s="455">
        <f t="shared" ca="1" si="216"/>
        <v>-28247808925415.941</v>
      </c>
      <c r="L5881" s="455">
        <f t="shared" ca="1" si="217"/>
        <v>-6807721951025242</v>
      </c>
      <c r="M5881" s="471">
        <f t="shared" si="219"/>
        <v>0.05</v>
      </c>
      <c r="N5881" s="475">
        <f t="shared" si="220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18"/>
        <v>-6807721951025242</v>
      </c>
      <c r="J5882" s="455">
        <f t="array" ref="J5882">IFERROR(INDEX('Retirement Calculator'!J:J,MATCH('Isaac 401k'!N5882,'Retirement Calculator'!A:A,0),0),0)</f>
        <v>0</v>
      </c>
      <c r="K5882" s="455">
        <f t="shared" ca="1" si="216"/>
        <v>-28365508129271.84</v>
      </c>
      <c r="L5882" s="455">
        <f t="shared" ca="1" si="217"/>
        <v>-6836087459154514</v>
      </c>
      <c r="M5882" s="471">
        <f t="shared" si="219"/>
        <v>0.05</v>
      </c>
      <c r="N5882" s="475">
        <f t="shared" si="220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18"/>
        <v>-6836087459154514</v>
      </c>
      <c r="J5883" s="455">
        <f t="array" ref="J5883">IFERROR(INDEX('Retirement Calculator'!J:J,MATCH('Isaac 401k'!N5883,'Retirement Calculator'!A:A,0),0),0)</f>
        <v>0</v>
      </c>
      <c r="K5883" s="455">
        <f t="shared" ca="1" si="216"/>
        <v>-28483697746477.141</v>
      </c>
      <c r="L5883" s="455">
        <f t="shared" ca="1" si="217"/>
        <v>-6864571156900991</v>
      </c>
      <c r="M5883" s="471">
        <f t="shared" si="219"/>
        <v>0.05</v>
      </c>
      <c r="N5883" s="475">
        <f t="shared" si="220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18"/>
        <v>-6864571156900991</v>
      </c>
      <c r="J5884" s="455">
        <f t="array" ref="J5884">IFERROR(INDEX('Retirement Calculator'!J:J,MATCH('Isaac 401k'!N5884,'Retirement Calculator'!A:A,0),0),0)</f>
        <v>0</v>
      </c>
      <c r="K5884" s="455">
        <f t="shared" ca="1" si="216"/>
        <v>-28602379820420.797</v>
      </c>
      <c r="L5884" s="455">
        <f t="shared" ca="1" si="217"/>
        <v>-6893173536721412</v>
      </c>
      <c r="M5884" s="471">
        <f t="shared" si="219"/>
        <v>0.05</v>
      </c>
      <c r="N5884" s="475">
        <f t="shared" si="220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18"/>
        <v>-6893173536721412</v>
      </c>
      <c r="J5885" s="455">
        <f t="array" ref="J5885">IFERROR(INDEX('Retirement Calculator'!J:J,MATCH('Isaac 401k'!N5885,'Retirement Calculator'!A:A,0),0),0)</f>
        <v>0</v>
      </c>
      <c r="K5885" s="455">
        <f t="shared" ca="1" si="216"/>
        <v>-28721556403005.883</v>
      </c>
      <c r="L5885" s="455">
        <f t="shared" ca="1" si="217"/>
        <v>-6921895093124418</v>
      </c>
      <c r="M5885" s="471">
        <f t="shared" si="219"/>
        <v>0.05</v>
      </c>
      <c r="N5885" s="475">
        <f t="shared" si="220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18"/>
        <v>-6921895093124418</v>
      </c>
      <c r="J5886" s="455">
        <f t="array" ref="J5886">IFERROR(INDEX('Retirement Calculator'!J:J,MATCH('Isaac 401k'!N5886,'Retirement Calculator'!A:A,0),0),0)</f>
        <v>0</v>
      </c>
      <c r="K5886" s="455">
        <f t="shared" ca="1" si="216"/>
        <v>-28841229554685.074</v>
      </c>
      <c r="L5886" s="455">
        <f t="shared" ca="1" si="217"/>
        <v>-6950736322679103</v>
      </c>
      <c r="M5886" s="471">
        <f t="shared" si="219"/>
        <v>0.05</v>
      </c>
      <c r="N5886" s="475">
        <f t="shared" si="220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18"/>
        <v>-6950736322679103</v>
      </c>
      <c r="J5887" s="455">
        <f t="array" ref="J5887">IFERROR(INDEX('Retirement Calculator'!J:J,MATCH('Isaac 401k'!N5887,'Retirement Calculator'!A:A,0),0),0)</f>
        <v>0</v>
      </c>
      <c r="K5887" s="455">
        <f t="shared" ca="1" si="216"/>
        <v>-28961401344496.262</v>
      </c>
      <c r="L5887" s="455">
        <f t="shared" ca="1" si="217"/>
        <v>-6979697724023599</v>
      </c>
      <c r="M5887" s="471">
        <f t="shared" si="219"/>
        <v>0.05</v>
      </c>
      <c r="N5887" s="475">
        <f t="shared" si="220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18"/>
        <v>-6979697724023599</v>
      </c>
      <c r="J5888" s="455">
        <f t="array" ref="J5888">IFERROR(INDEX('Retirement Calculator'!J:J,MATCH('Isaac 401k'!N5888,'Retirement Calculator'!A:A,0),0),0)</f>
        <v>0</v>
      </c>
      <c r="K5888" s="455">
        <f t="shared" ca="1" si="216"/>
        <v>-29082073850098.328</v>
      </c>
      <c r="L5888" s="455">
        <f t="shared" ca="1" si="217"/>
        <v>-7008779797873697</v>
      </c>
      <c r="M5888" s="471">
        <f t="shared" si="219"/>
        <v>0.05</v>
      </c>
      <c r="N5888" s="475">
        <f t="shared" si="220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18"/>
        <v>-7008779797873697</v>
      </c>
      <c r="J5889" s="455">
        <f t="array" ref="J5889">IFERROR(INDEX('Retirement Calculator'!J:J,MATCH('Isaac 401k'!N5889,'Retirement Calculator'!A:A,0),0),0)</f>
        <v>0</v>
      </c>
      <c r="K5889" s="455">
        <f t="shared" ca="1" si="216"/>
        <v>-29203249157807.07</v>
      </c>
      <c r="L5889" s="455">
        <f t="shared" ca="1" si="217"/>
        <v>-7037983047031504</v>
      </c>
      <c r="M5889" s="471">
        <f t="shared" si="219"/>
        <v>0.05</v>
      </c>
      <c r="N5889" s="475">
        <f t="shared" si="220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18"/>
        <v>-7037983047031504</v>
      </c>
      <c r="J5890" s="455">
        <f t="array" ref="J5890">IFERROR(INDEX('Retirement Calculator'!J:J,MATCH('Isaac 401k'!N5890,'Retirement Calculator'!A:A,0),0),0)</f>
        <v>0</v>
      </c>
      <c r="K5890" s="455">
        <f t="shared" ca="1" si="216"/>
        <v>-29324929362631.266</v>
      </c>
      <c r="L5890" s="455">
        <f t="shared" ca="1" si="217"/>
        <v>-7067307976394135</v>
      </c>
      <c r="M5890" s="471">
        <f t="shared" si="219"/>
        <v>0.05</v>
      </c>
      <c r="N5890" s="475">
        <f t="shared" si="220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18"/>
        <v>-7067307976394135</v>
      </c>
      <c r="J5891" s="455">
        <f t="array" ref="J5891">IFERROR(INDEX('Retirement Calculator'!J:J,MATCH('Isaac 401k'!N5891,'Retirement Calculator'!A:A,0),0),0)</f>
        <v>0</v>
      </c>
      <c r="K5891" s="455">
        <f t="shared" ca="1" si="216"/>
        <v>-29447116568308.891</v>
      </c>
      <c r="L5891" s="455">
        <f t="shared" ca="1" si="217"/>
        <v>-7096755092962444</v>
      </c>
      <c r="M5891" s="471">
        <f t="shared" si="219"/>
        <v>0.05</v>
      </c>
      <c r="N5891" s="475">
        <f t="shared" si="220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18"/>
        <v>-7096755092962444</v>
      </c>
      <c r="J5892" s="455">
        <f t="array" ref="J5892">IFERROR(INDEX('Retirement Calculator'!J:J,MATCH('Isaac 401k'!N5892,'Retirement Calculator'!A:A,0),0),0)</f>
        <v>0</v>
      </c>
      <c r="K5892" s="455">
        <f t="shared" ca="1" si="216"/>
        <v>-29569812887343.516</v>
      </c>
      <c r="L5892" s="455">
        <f t="shared" ca="1" si="217"/>
        <v>-7126324905849788</v>
      </c>
      <c r="M5892" s="471">
        <f t="shared" si="219"/>
        <v>0.05</v>
      </c>
      <c r="N5892" s="475">
        <f t="shared" si="220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18"/>
        <v>-7126324905849788</v>
      </c>
      <c r="J5893" s="455">
        <f t="array" ref="J5893">IFERROR(INDEX('Retirement Calculator'!J:J,MATCH('Isaac 401k'!N5893,'Retirement Calculator'!A:A,0),0),0)</f>
        <v>0</v>
      </c>
      <c r="K5893" s="455">
        <f t="shared" ca="1" si="216"/>
        <v>-29693020441040.781</v>
      </c>
      <c r="L5893" s="455">
        <f t="shared" ca="1" si="217"/>
        <v>-7156017926290829</v>
      </c>
      <c r="M5893" s="471">
        <f t="shared" si="219"/>
        <v>0.05</v>
      </c>
      <c r="N5893" s="475">
        <f t="shared" si="220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18"/>
        <v>-7156017926290829</v>
      </c>
      <c r="J5894" s="455">
        <f t="array" ref="J5894">IFERROR(INDEX('Retirement Calculator'!J:J,MATCH('Isaac 401k'!N5894,'Retirement Calculator'!A:A,0),0),0)</f>
        <v>0</v>
      </c>
      <c r="K5894" s="455">
        <f t="shared" ca="1" si="216"/>
        <v>-29816741359545.117</v>
      </c>
      <c r="L5894" s="455">
        <f t="shared" ca="1" si="217"/>
        <v>-7185834667650374</v>
      </c>
      <c r="M5894" s="471">
        <f t="shared" si="219"/>
        <v>0.05</v>
      </c>
      <c r="N5894" s="475">
        <f t="shared" si="220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18"/>
        <v>-7185834667650374</v>
      </c>
      <c r="J5895" s="455">
        <f t="array" ref="J5895">IFERROR(INDEX('Retirement Calculator'!J:J,MATCH('Isaac 401k'!N5895,'Retirement Calculator'!A:A,0),0),0)</f>
        <v>0</v>
      </c>
      <c r="K5895" s="455">
        <f t="shared" ca="1" si="216"/>
        <v>-29940977781876.563</v>
      </c>
      <c r="L5895" s="455">
        <f t="shared" ca="1" si="217"/>
        <v>-7215775645432251</v>
      </c>
      <c r="M5895" s="471">
        <f t="shared" si="219"/>
        <v>0.05</v>
      </c>
      <c r="N5895" s="475">
        <f t="shared" si="220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18"/>
        <v>-7215775645432251</v>
      </c>
      <c r="J5896" s="455">
        <f t="array" ref="J5896">IFERROR(INDEX('Retirement Calculator'!J:J,MATCH('Isaac 401k'!N5896,'Retirement Calculator'!A:A,0),0),0)</f>
        <v>0</v>
      </c>
      <c r="K5896" s="455">
        <f t="shared" ca="1" si="216"/>
        <v>-30065731855967.715</v>
      </c>
      <c r="L5896" s="455">
        <f t="shared" ca="1" si="217"/>
        <v>-7245841377288219</v>
      </c>
      <c r="M5896" s="471">
        <f t="shared" si="219"/>
        <v>0.05</v>
      </c>
      <c r="N5896" s="475">
        <f t="shared" si="220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18"/>
        <v>-7245841377288219</v>
      </c>
      <c r="J5897" s="455">
        <f t="array" ref="J5897">IFERROR(INDEX('Retirement Calculator'!J:J,MATCH('Isaac 401k'!N5897,'Retirement Calculator'!A:A,0),0),0)</f>
        <v>0</v>
      </c>
      <c r="K5897" s="455">
        <f t="shared" ca="1" si="216"/>
        <v>-30191005738700.91</v>
      </c>
      <c r="L5897" s="455">
        <f t="shared" ca="1" si="217"/>
        <v>-7276032383026920</v>
      </c>
      <c r="M5897" s="471">
        <f t="shared" si="219"/>
        <v>0.05</v>
      </c>
      <c r="N5897" s="475">
        <f t="shared" si="220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18"/>
        <v>-7276032383026920</v>
      </c>
      <c r="J5898" s="455">
        <f t="array" ref="J5898">IFERROR(INDEX('Retirement Calculator'!J:J,MATCH('Isaac 401k'!N5898,'Retirement Calculator'!A:A,0),0),0)</f>
        <v>0</v>
      </c>
      <c r="K5898" s="455">
        <f t="shared" ca="1" si="216"/>
        <v>-30316801595945.5</v>
      </c>
      <c r="L5898" s="455">
        <f t="shared" ca="1" si="217"/>
        <v>-7306349184622866</v>
      </c>
      <c r="M5898" s="471">
        <f t="shared" si="219"/>
        <v>0.05</v>
      </c>
      <c r="N5898" s="475">
        <f t="shared" si="220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18"/>
        <v>-7306349184622866</v>
      </c>
      <c r="J5899" s="455">
        <f t="array" ref="J5899">IFERROR(INDEX('Retirement Calculator'!J:J,MATCH('Isaac 401k'!N5899,'Retirement Calculator'!A:A,0),0),0)</f>
        <v>0</v>
      </c>
      <c r="K5899" s="455">
        <f t="shared" ca="1" si="216"/>
        <v>-30443121602595.27</v>
      </c>
      <c r="L5899" s="455">
        <f t="shared" ca="1" si="217"/>
        <v>-7336792306225461</v>
      </c>
      <c r="M5899" s="471">
        <f t="shared" si="219"/>
        <v>0.05</v>
      </c>
      <c r="N5899" s="475">
        <f t="shared" si="220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18"/>
        <v>-7336792306225461</v>
      </c>
      <c r="J5900" s="455">
        <f t="array" ref="J5900">IFERROR(INDEX('Retirement Calculator'!J:J,MATCH('Isaac 401k'!N5900,'Retirement Calculator'!A:A,0),0),0)</f>
        <v>0</v>
      </c>
      <c r="K5900" s="455">
        <f t="shared" ca="1" si="216"/>
        <v>-30569967942606.086</v>
      </c>
      <c r="L5900" s="455">
        <f t="shared" ca="1" si="217"/>
        <v>-7367362274168067</v>
      </c>
      <c r="M5900" s="471">
        <f t="shared" si="219"/>
        <v>0.05</v>
      </c>
      <c r="N5900" s="475">
        <f t="shared" si="220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18"/>
        <v>-7367362274168067</v>
      </c>
      <c r="J5901" s="455">
        <f t="array" ref="J5901">IFERROR(INDEX('Retirement Calculator'!J:J,MATCH('Isaac 401k'!N5901,'Retirement Calculator'!A:A,0),0),0)</f>
        <v>0</v>
      </c>
      <c r="K5901" s="455">
        <f t="shared" ca="1" si="216"/>
        <v>-30697342809033.613</v>
      </c>
      <c r="L5901" s="455">
        <f t="shared" ca="1" si="217"/>
        <v>-7398059616977101</v>
      </c>
      <c r="M5901" s="471">
        <f t="shared" si="219"/>
        <v>0.05</v>
      </c>
      <c r="N5901" s="475">
        <f t="shared" si="220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18"/>
        <v>-7398059616977101</v>
      </c>
      <c r="J5902" s="455">
        <f t="array" ref="J5902">IFERROR(INDEX('Retirement Calculator'!J:J,MATCH('Isaac 401k'!N5902,'Retirement Calculator'!A:A,0),0),0)</f>
        <v>0</v>
      </c>
      <c r="K5902" s="455">
        <f t="shared" ca="1" si="216"/>
        <v>-30825248404071.258</v>
      </c>
      <c r="L5902" s="455">
        <f t="shared" ca="1" si="217"/>
        <v>-7428884865381172</v>
      </c>
      <c r="M5902" s="471">
        <f t="shared" si="219"/>
        <v>0.05</v>
      </c>
      <c r="N5902" s="475">
        <f t="shared" si="220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18"/>
        <v>-7428884865381172</v>
      </c>
      <c r="J5903" s="455">
        <f t="array" ref="J5903">IFERROR(INDEX('Retirement Calculator'!J:J,MATCH('Isaac 401k'!N5903,'Retirement Calculator'!A:A,0),0),0)</f>
        <v>0</v>
      </c>
      <c r="K5903" s="455">
        <f t="shared" ca="1" si="216"/>
        <v>-30953686939088.215</v>
      </c>
      <c r="L5903" s="455">
        <f t="shared" ca="1" si="217"/>
        <v>-7459838552320260</v>
      </c>
      <c r="M5903" s="471">
        <f t="shared" si="219"/>
        <v>0.05</v>
      </c>
      <c r="N5903" s="475">
        <f t="shared" si="220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18"/>
        <v>-7459838552320260</v>
      </c>
      <c r="J5904" s="455">
        <f t="array" ref="J5904">IFERROR(INDEX('Retirement Calculator'!J:J,MATCH('Isaac 401k'!N5904,'Retirement Calculator'!A:A,0),0),0)</f>
        <v>0</v>
      </c>
      <c r="K5904" s="455">
        <f t="shared" ca="1" si="216"/>
        <v>-31082660634667.746</v>
      </c>
      <c r="L5904" s="455">
        <f t="shared" ca="1" si="217"/>
        <v>-7490921212954928</v>
      </c>
      <c r="M5904" s="471">
        <f t="shared" si="219"/>
        <v>0.05</v>
      </c>
      <c r="N5904" s="475">
        <f t="shared" si="220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18"/>
        <v>-7490921212954928</v>
      </c>
      <c r="J5905" s="455">
        <f t="array" ref="J5905">IFERROR(INDEX('Retirement Calculator'!J:J,MATCH('Isaac 401k'!N5905,'Retirement Calculator'!A:A,0),0),0)</f>
        <v>0</v>
      </c>
      <c r="K5905" s="455">
        <f t="shared" ca="1" si="216"/>
        <v>-31212171720645.531</v>
      </c>
      <c r="L5905" s="455">
        <f t="shared" ca="1" si="217"/>
        <v>-7522133384675574</v>
      </c>
      <c r="M5905" s="471">
        <f t="shared" si="219"/>
        <v>0.05</v>
      </c>
      <c r="N5905" s="475">
        <f t="shared" si="220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18"/>
        <v>-7522133384675574</v>
      </c>
      <c r="J5906" s="455">
        <f t="array" ref="J5906">IFERROR(INDEX('Retirement Calculator'!J:J,MATCH('Isaac 401k'!N5906,'Retirement Calculator'!A:A,0),0),0)</f>
        <v>0</v>
      </c>
      <c r="K5906" s="455">
        <f t="shared" ca="1" si="216"/>
        <v>-31342222436148.223</v>
      </c>
      <c r="L5906" s="455">
        <f t="shared" ca="1" si="217"/>
        <v>-7553475607111722</v>
      </c>
      <c r="M5906" s="471">
        <f t="shared" si="219"/>
        <v>0.05</v>
      </c>
      <c r="N5906" s="475">
        <f t="shared" si="220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18"/>
        <v>-7553475607111722</v>
      </c>
      <c r="J5907" s="455">
        <f t="array" ref="J5907">IFERROR(INDEX('Retirement Calculator'!J:J,MATCH('Isaac 401k'!N5907,'Retirement Calculator'!A:A,0),0),0)</f>
        <v>0</v>
      </c>
      <c r="K5907" s="455">
        <f t="shared" ca="1" si="216"/>
        <v>-31472815029632.176</v>
      </c>
      <c r="L5907" s="455">
        <f t="shared" ca="1" si="217"/>
        <v>-7584948422141354</v>
      </c>
      <c r="M5907" s="471">
        <f t="shared" si="219"/>
        <v>0.05</v>
      </c>
      <c r="N5907" s="475">
        <f t="shared" si="220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18"/>
        <v>-7584948422141354</v>
      </c>
      <c r="J5908" s="455">
        <f t="array" ref="J5908">IFERROR(INDEX('Retirement Calculator'!J:J,MATCH('Isaac 401k'!N5908,'Retirement Calculator'!A:A,0),0),0)</f>
        <v>0</v>
      </c>
      <c r="K5908" s="455">
        <f t="shared" ca="1" si="216"/>
        <v>-31603951758922.305</v>
      </c>
      <c r="L5908" s="455">
        <f t="shared" ca="1" si="217"/>
        <v>-7616552373900276</v>
      </c>
      <c r="M5908" s="471">
        <f t="shared" si="219"/>
        <v>0.05</v>
      </c>
      <c r="N5908" s="475">
        <f t="shared" si="220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18"/>
        <v>-7616552373900276</v>
      </c>
      <c r="J5909" s="455">
        <f t="array" ref="J5909">IFERROR(INDEX('Retirement Calculator'!J:J,MATCH('Isaac 401k'!N5909,'Retirement Calculator'!A:A,0),0),0)</f>
        <v>0</v>
      </c>
      <c r="K5909" s="455">
        <f t="shared" ca="1" si="216"/>
        <v>-31735634891251.148</v>
      </c>
      <c r="L5909" s="455">
        <f t="shared" ca="1" si="217"/>
        <v>-7648288008791527</v>
      </c>
      <c r="M5909" s="471">
        <f t="shared" si="219"/>
        <v>0.05</v>
      </c>
      <c r="N5909" s="475">
        <f t="shared" si="220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18"/>
        <v>-7648288008791527</v>
      </c>
      <c r="J5910" s="455">
        <f t="array" ref="J5910">IFERROR(INDEX('Retirement Calculator'!J:J,MATCH('Isaac 401k'!N5910,'Retirement Calculator'!A:A,0),0),0)</f>
        <v>0</v>
      </c>
      <c r="K5910" s="455">
        <f t="shared" ca="1" si="216"/>
        <v>-31867866703298.027</v>
      </c>
      <c r="L5910" s="455">
        <f t="shared" ca="1" si="217"/>
        <v>-7680155875494825</v>
      </c>
      <c r="M5910" s="471">
        <f t="shared" si="219"/>
        <v>0.05</v>
      </c>
      <c r="N5910" s="475">
        <f t="shared" si="220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18"/>
        <v>-7680155875494825</v>
      </c>
      <c r="J5911" s="455">
        <f t="array" ref="J5911">IFERROR(INDEX('Retirement Calculator'!J:J,MATCH('Isaac 401k'!N5911,'Retirement Calculator'!A:A,0),0),0)</f>
        <v>0</v>
      </c>
      <c r="K5911" s="455">
        <f t="shared" ca="1" si="216"/>
        <v>-32000649481228.434</v>
      </c>
      <c r="L5911" s="455">
        <f t="shared" ca="1" si="217"/>
        <v>-7712156524976053</v>
      </c>
      <c r="M5911" s="471">
        <f t="shared" si="219"/>
        <v>0.05</v>
      </c>
      <c r="N5911" s="475">
        <f t="shared" si="220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18"/>
        <v>-7712156524976053</v>
      </c>
      <c r="J5912" s="455">
        <f t="array" ref="J5912">IFERROR(INDEX('Retirement Calculator'!J:J,MATCH('Isaac 401k'!N5912,'Retirement Calculator'!A:A,0),0),0)</f>
        <v>0</v>
      </c>
      <c r="K5912" s="455">
        <f t="shared" ca="1" si="216"/>
        <v>-32133985520733.551</v>
      </c>
      <c r="L5912" s="455">
        <f t="shared" ca="1" si="217"/>
        <v>-7744290510496787</v>
      </c>
      <c r="M5912" s="471">
        <f t="shared" si="219"/>
        <v>0.05</v>
      </c>
      <c r="N5912" s="475">
        <f t="shared" si="220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18"/>
        <v>-7744290510496787</v>
      </c>
      <c r="J5913" s="455">
        <f t="array" ref="J5913">IFERROR(INDEX('Retirement Calculator'!J:J,MATCH('Isaac 401k'!N5913,'Retirement Calculator'!A:A,0),0),0)</f>
        <v>0</v>
      </c>
      <c r="K5913" s="455">
        <f t="shared" ca="1" si="216"/>
        <v>-32267877127069.945</v>
      </c>
      <c r="L5913" s="455">
        <f t="shared" ca="1" si="217"/>
        <v>-7776558387623857</v>
      </c>
      <c r="M5913" s="471">
        <f t="shared" si="219"/>
        <v>0.05</v>
      </c>
      <c r="N5913" s="475">
        <f t="shared" si="220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18"/>
        <v>-7776558387623857</v>
      </c>
      <c r="J5914" s="455">
        <f t="array" ref="J5914">IFERROR(INDEX('Retirement Calculator'!J:J,MATCH('Isaac 401k'!N5914,'Retirement Calculator'!A:A,0),0),0)</f>
        <v>0</v>
      </c>
      <c r="K5914" s="455">
        <f t="shared" ca="1" si="216"/>
        <v>-32402326615099.402</v>
      </c>
      <c r="L5914" s="455">
        <f t="shared" ca="1" si="217"/>
        <v>-7808960714238956</v>
      </c>
      <c r="M5914" s="471">
        <f t="shared" si="219"/>
        <v>0.05</v>
      </c>
      <c r="N5914" s="475">
        <f t="shared" si="220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18"/>
        <v>-7808960714238956</v>
      </c>
      <c r="J5915" s="455">
        <f t="array" ref="J5915">IFERROR(INDEX('Retirement Calculator'!J:J,MATCH('Isaac 401k'!N5915,'Retirement Calculator'!A:A,0),0),0)</f>
        <v>0</v>
      </c>
      <c r="K5915" s="455">
        <f t="shared" ca="1" si="216"/>
        <v>-32537336309328.984</v>
      </c>
      <c r="L5915" s="455">
        <f t="shared" ca="1" si="217"/>
        <v>-7841498050548285</v>
      </c>
      <c r="M5915" s="471">
        <f t="shared" si="219"/>
        <v>0.05</v>
      </c>
      <c r="N5915" s="475">
        <f t="shared" si="220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18"/>
        <v>-7841498050548285</v>
      </c>
      <c r="J5916" s="455">
        <f t="array" ref="J5916">IFERROR(INDEX('Retirement Calculator'!J:J,MATCH('Isaac 401k'!N5916,'Retirement Calculator'!A:A,0),0),0)</f>
        <v>0</v>
      </c>
      <c r="K5916" s="455">
        <f t="shared" ca="1" si="216"/>
        <v>-32672908543951.188</v>
      </c>
      <c r="L5916" s="455">
        <f t="shared" ca="1" si="217"/>
        <v>-7874170959092236</v>
      </c>
      <c r="M5916" s="471">
        <f t="shared" si="219"/>
        <v>0.05</v>
      </c>
      <c r="N5916" s="475">
        <f t="shared" si="220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18"/>
        <v>-7874170959092236</v>
      </c>
      <c r="J5917" s="455">
        <f t="array" ref="J5917">IFERROR(INDEX('Retirement Calculator'!J:J,MATCH('Isaac 401k'!N5917,'Retirement Calculator'!A:A,0),0),0)</f>
        <v>0</v>
      </c>
      <c r="K5917" s="455">
        <f t="shared" ca="1" si="216"/>
        <v>-32809045662884.316</v>
      </c>
      <c r="L5917" s="455">
        <f t="shared" ca="1" si="217"/>
        <v>-7906980004755120</v>
      </c>
      <c r="M5917" s="471">
        <f t="shared" si="219"/>
        <v>0.05</v>
      </c>
      <c r="N5917" s="475">
        <f t="shared" si="220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18"/>
        <v>-7906980004755120</v>
      </c>
      <c r="J5918" s="455">
        <f t="array" ref="J5918">IFERROR(INDEX('Retirement Calculator'!J:J,MATCH('Isaac 401k'!N5918,'Retirement Calculator'!A:A,0),0),0)</f>
        <v>0</v>
      </c>
      <c r="K5918" s="455">
        <f t="shared" ca="1" si="216"/>
        <v>-32945750019813.004</v>
      </c>
      <c r="L5918" s="455">
        <f t="shared" ca="1" si="217"/>
        <v>-7939925754774933</v>
      </c>
      <c r="M5918" s="471">
        <f t="shared" si="219"/>
        <v>0.05</v>
      </c>
      <c r="N5918" s="475">
        <f t="shared" si="220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18"/>
        <v>-7939925754774933</v>
      </c>
      <c r="J5919" s="455">
        <f t="array" ref="J5919">IFERROR(INDEX('Retirement Calculator'!J:J,MATCH('Isaac 401k'!N5919,'Retirement Calculator'!A:A,0),0),0)</f>
        <v>0</v>
      </c>
      <c r="K5919" s="455">
        <f t="shared" ca="1" si="216"/>
        <v>-33083023978228.891</v>
      </c>
      <c r="L5919" s="455">
        <f t="shared" ca="1" si="217"/>
        <v>-7973008778753162</v>
      </c>
      <c r="M5919" s="471">
        <f t="shared" si="219"/>
        <v>0.05</v>
      </c>
      <c r="N5919" s="475">
        <f t="shared" si="220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18"/>
        <v>-7973008778753162</v>
      </c>
      <c r="J5920" s="455">
        <f t="array" ref="J5920">IFERROR(INDEX('Retirement Calculator'!J:J,MATCH('Isaac 401k'!N5920,'Retirement Calculator'!A:A,0),0),0)</f>
        <v>0</v>
      </c>
      <c r="K5920" s="455">
        <f t="shared" ca="1" si="216"/>
        <v>-33220869911471.508</v>
      </c>
      <c r="L5920" s="455">
        <f t="shared" ca="1" si="217"/>
        <v>-8006229648664634</v>
      </c>
      <c r="M5920" s="471">
        <f t="shared" si="219"/>
        <v>0.05</v>
      </c>
      <c r="N5920" s="475">
        <f t="shared" si="220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18"/>
        <v>-8006229648664634</v>
      </c>
      <c r="J5921" s="455">
        <f t="array" ref="J5921">IFERROR(INDEX('Retirement Calculator'!J:J,MATCH('Isaac 401k'!N5921,'Retirement Calculator'!A:A,0),0),0)</f>
        <v>0</v>
      </c>
      <c r="K5921" s="455">
        <f t="shared" ca="1" si="216"/>
        <v>-33359290202769.309</v>
      </c>
      <c r="L5921" s="455">
        <f t="shared" ca="1" si="217"/>
        <v>-8039588938867403</v>
      </c>
      <c r="M5921" s="471">
        <f t="shared" si="219"/>
        <v>0.05</v>
      </c>
      <c r="N5921" s="475">
        <f t="shared" si="220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18"/>
        <v>-8039588938867403</v>
      </c>
      <c r="J5922" s="455">
        <f t="array" ref="J5922">IFERROR(INDEX('Retirement Calculator'!J:J,MATCH('Isaac 401k'!N5922,'Retirement Calculator'!A:A,0),0),0)</f>
        <v>0</v>
      </c>
      <c r="K5922" s="455">
        <f t="shared" ca="1" si="216"/>
        <v>-33498287245280.84</v>
      </c>
      <c r="L5922" s="455">
        <f t="shared" ca="1" si="217"/>
        <v>-8073087226112684</v>
      </c>
      <c r="M5922" s="471">
        <f t="shared" si="219"/>
        <v>0.05</v>
      </c>
      <c r="N5922" s="475">
        <f t="shared" si="220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18"/>
        <v>-8073087226112684</v>
      </c>
      <c r="J5923" s="455">
        <f t="array" ref="J5923">IFERROR(INDEX('Retirement Calculator'!J:J,MATCH('Isaac 401k'!N5923,'Retirement Calculator'!A:A,0),0),0)</f>
        <v>0</v>
      </c>
      <c r="K5923" s="455">
        <f t="shared" ca="1" si="216"/>
        <v>-33637863442136.188</v>
      </c>
      <c r="L5923" s="455">
        <f t="shared" ca="1" si="217"/>
        <v>-8106725089554820</v>
      </c>
      <c r="M5923" s="471">
        <f t="shared" si="219"/>
        <v>0.05</v>
      </c>
      <c r="N5923" s="475">
        <f t="shared" si="220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18"/>
        <v>-8106725089554820</v>
      </c>
      <c r="J5924" s="455">
        <f t="array" ref="J5924">IFERROR(INDEX('Retirement Calculator'!J:J,MATCH('Isaac 401k'!N5924,'Retirement Calculator'!A:A,0),0),0)</f>
        <v>0</v>
      </c>
      <c r="K5924" s="455">
        <f t="shared" ca="1" si="216"/>
        <v>-33778021206478.422</v>
      </c>
      <c r="L5924" s="455">
        <f t="shared" ca="1" si="217"/>
        <v>-8140503110761298</v>
      </c>
      <c r="M5924" s="471">
        <f t="shared" si="219"/>
        <v>0.05</v>
      </c>
      <c r="N5924" s="475">
        <f t="shared" si="220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18"/>
        <v>-8140503110761298</v>
      </c>
      <c r="J5925" s="455">
        <f t="array" ref="J5925">IFERROR(INDEX('Retirement Calculator'!J:J,MATCH('Isaac 401k'!N5925,'Retirement Calculator'!A:A,0),0),0)</f>
        <v>0</v>
      </c>
      <c r="K5925" s="455">
        <f t="shared" ca="1" si="216"/>
        <v>-33918762961505.406</v>
      </c>
      <c r="L5925" s="455">
        <f t="shared" ca="1" si="217"/>
        <v>-8174421873722803</v>
      </c>
      <c r="M5925" s="471">
        <f t="shared" si="219"/>
        <v>0.05</v>
      </c>
      <c r="N5925" s="475">
        <f t="shared" si="220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18"/>
        <v>-8174421873722803</v>
      </c>
      <c r="J5926" s="455">
        <f t="array" ref="J5926">IFERROR(INDEX('Retirement Calculator'!J:J,MATCH('Isaac 401k'!N5926,'Retirement Calculator'!A:A,0),0),0)</f>
        <v>0</v>
      </c>
      <c r="K5926" s="455">
        <f t="shared" ca="1" si="216"/>
        <v>-34060091140511.684</v>
      </c>
      <c r="L5926" s="455">
        <f t="shared" ca="1" si="217"/>
        <v>-8208481964863315</v>
      </c>
      <c r="M5926" s="471">
        <f t="shared" si="219"/>
        <v>0.05</v>
      </c>
      <c r="N5926" s="475">
        <f t="shared" si="220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18"/>
        <v>-8208481964863315</v>
      </c>
      <c r="J5927" s="455">
        <f t="array" ref="J5927">IFERROR(INDEX('Retirement Calculator'!J:J,MATCH('Isaac 401k'!N5927,'Retirement Calculator'!A:A,0),0),0)</f>
        <v>0</v>
      </c>
      <c r="K5927" s="455">
        <f t="shared" ca="1" si="216"/>
        <v>-34202008186930.473</v>
      </c>
      <c r="L5927" s="455">
        <f t="shared" ca="1" si="217"/>
        <v>-8242683973050245</v>
      </c>
      <c r="M5927" s="471">
        <f t="shared" si="219"/>
        <v>0.05</v>
      </c>
      <c r="N5927" s="475">
        <f t="shared" si="220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18"/>
        <v>-8242683973050245</v>
      </c>
      <c r="J5928" s="455">
        <f t="array" ref="J5928">IFERROR(INDEX('Retirement Calculator'!J:J,MATCH('Isaac 401k'!N5928,'Retirement Calculator'!A:A,0),0),0)</f>
        <v>0</v>
      </c>
      <c r="K5928" s="455">
        <f t="shared" ca="1" si="216"/>
        <v>-34344516554376.016</v>
      </c>
      <c r="L5928" s="455">
        <f t="shared" ca="1" si="217"/>
        <v>-8277028489604621</v>
      </c>
      <c r="M5928" s="471">
        <f t="shared" si="219"/>
        <v>0.05</v>
      </c>
      <c r="N5928" s="475">
        <f t="shared" si="220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18"/>
        <v>-8277028489604621</v>
      </c>
      <c r="J5929" s="455">
        <f t="array" ref="J5929">IFERROR(INDEX('Retirement Calculator'!J:J,MATCH('Isaac 401k'!N5929,'Retirement Calculator'!A:A,0),0),0)</f>
        <v>0</v>
      </c>
      <c r="K5929" s="455">
        <f t="shared" ca="1" si="216"/>
        <v>-34487618706685.922</v>
      </c>
      <c r="L5929" s="455">
        <f t="shared" ca="1" si="217"/>
        <v>-8311516108311307</v>
      </c>
      <c r="M5929" s="471">
        <f t="shared" si="219"/>
        <v>0.05</v>
      </c>
      <c r="N5929" s="475">
        <f t="shared" si="220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18"/>
        <v>-8311516108311307</v>
      </c>
      <c r="J5930" s="455">
        <f t="array" ref="J5930">IFERROR(INDEX('Retirement Calculator'!J:J,MATCH('Isaac 401k'!N5930,'Retirement Calculator'!A:A,0),0),0)</f>
        <v>0</v>
      </c>
      <c r="K5930" s="455">
        <f t="shared" ca="1" si="216"/>
        <v>-34631317117963.781</v>
      </c>
      <c r="L5930" s="455">
        <f t="shared" ca="1" si="217"/>
        <v>-8346147425429271</v>
      </c>
      <c r="M5930" s="471">
        <f t="shared" si="219"/>
        <v>0.05</v>
      </c>
      <c r="N5930" s="475">
        <f t="shared" si="220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18"/>
        <v>-8346147425429271</v>
      </c>
      <c r="J5931" s="455">
        <f t="array" ref="J5931">IFERROR(INDEX('Retirement Calculator'!J:J,MATCH('Isaac 401k'!N5931,'Retirement Calculator'!A:A,0),0),0)</f>
        <v>0</v>
      </c>
      <c r="K5931" s="455">
        <f t="shared" ca="1" si="216"/>
        <v>-34775614272621.961</v>
      </c>
      <c r="L5931" s="455">
        <f t="shared" ca="1" si="217"/>
        <v>-8380923039701893</v>
      </c>
      <c r="M5931" s="471">
        <f t="shared" si="219"/>
        <v>0.05</v>
      </c>
      <c r="N5931" s="475">
        <f t="shared" si="220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18"/>
        <v>-8380923039701893</v>
      </c>
      <c r="J5932" s="455">
        <f t="array" ref="J5932">IFERROR(INDEX('Retirement Calculator'!J:J,MATCH('Isaac 401k'!N5932,'Retirement Calculator'!A:A,0),0),0)</f>
        <v>0</v>
      </c>
      <c r="K5932" s="455">
        <f t="shared" ca="1" si="216"/>
        <v>-34920512665424.555</v>
      </c>
      <c r="L5932" s="455">
        <f t="shared" ca="1" si="217"/>
        <v>-8415843552367318</v>
      </c>
      <c r="M5932" s="471">
        <f t="shared" si="219"/>
        <v>0.05</v>
      </c>
      <c r="N5932" s="475">
        <f t="shared" si="220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18"/>
        <v>-8415843552367318</v>
      </c>
      <c r="J5933" s="455">
        <f t="array" ref="J5933">IFERROR(INDEX('Retirement Calculator'!J:J,MATCH('Isaac 401k'!N5933,'Retirement Calculator'!A:A,0),0),0)</f>
        <v>0</v>
      </c>
      <c r="K5933" s="455">
        <f t="shared" ca="1" si="216"/>
        <v>-35066014801530.496</v>
      </c>
      <c r="L5933" s="455">
        <f t="shared" ca="1" si="217"/>
        <v>-8450909567168848</v>
      </c>
      <c r="M5933" s="471">
        <f t="shared" si="219"/>
        <v>0.05</v>
      </c>
      <c r="N5933" s="475">
        <f t="shared" si="220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18"/>
        <v>-8450909567168848</v>
      </c>
      <c r="J5934" s="455">
        <f t="array" ref="J5934">IFERROR(INDEX('Retirement Calculator'!J:J,MATCH('Isaac 401k'!N5934,'Retirement Calculator'!A:A,0),0),0)</f>
        <v>0</v>
      </c>
      <c r="K5934" s="455">
        <f t="shared" ca="1" si="216"/>
        <v>-35212123196536.859</v>
      </c>
      <c r="L5934" s="455">
        <f t="shared" ca="1" si="217"/>
        <v>-8486121690365385</v>
      </c>
      <c r="M5934" s="471">
        <f t="shared" si="219"/>
        <v>0.05</v>
      </c>
      <c r="N5934" s="475">
        <f t="shared" si="220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18"/>
        <v>-8486121690365385</v>
      </c>
      <c r="J5935" s="455">
        <f t="array" ref="J5935">IFERROR(INDEX('Retirement Calculator'!J:J,MATCH('Isaac 401k'!N5935,'Retirement Calculator'!A:A,0),0),0)</f>
        <v>0</v>
      </c>
      <c r="K5935" s="455">
        <f t="shared" ca="1" si="216"/>
        <v>-35358840376522.43</v>
      </c>
      <c r="L5935" s="455">
        <f t="shared" ca="1" si="217"/>
        <v>-8521480530741907</v>
      </c>
      <c r="M5935" s="471">
        <f t="shared" si="219"/>
        <v>0.05</v>
      </c>
      <c r="N5935" s="475">
        <f t="shared" si="220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18"/>
        <v>-8521480530741907</v>
      </c>
      <c r="J5936" s="455">
        <f t="array" ref="J5936">IFERROR(INDEX('Retirement Calculator'!J:J,MATCH('Isaac 401k'!N5936,'Retirement Calculator'!A:A,0),0),0)</f>
        <v>0</v>
      </c>
      <c r="K5936" s="455">
        <f t="shared" ca="1" si="216"/>
        <v>-35506168878091.281</v>
      </c>
      <c r="L5936" s="455">
        <f t="shared" ca="1" si="217"/>
        <v>-8556986699619998</v>
      </c>
      <c r="M5936" s="471">
        <f t="shared" si="219"/>
        <v>0.05</v>
      </c>
      <c r="N5936" s="475">
        <f t="shared" si="220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18"/>
        <v>-8556986699619998</v>
      </c>
      <c r="J5937" s="455">
        <f t="array" ref="J5937">IFERROR(INDEX('Retirement Calculator'!J:J,MATCH('Isaac 401k'!N5937,'Retirement Calculator'!A:A,0),0),0)</f>
        <v>0</v>
      </c>
      <c r="K5937" s="455">
        <f t="shared" ca="1" si="216"/>
        <v>-35654111248416.656</v>
      </c>
      <c r="L5937" s="455">
        <f t="shared" ca="1" si="217"/>
        <v>-8592640810868415</v>
      </c>
      <c r="M5937" s="471">
        <f t="shared" si="219"/>
        <v>0.05</v>
      </c>
      <c r="N5937" s="475">
        <f t="shared" si="220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18"/>
        <v>-8592640810868415</v>
      </c>
      <c r="J5938" s="455">
        <f t="array" ref="J5938">IFERROR(INDEX('Retirement Calculator'!J:J,MATCH('Isaac 401k'!N5938,'Retirement Calculator'!A:A,0),0),0)</f>
        <v>0</v>
      </c>
      <c r="K5938" s="455">
        <f t="shared" ca="1" si="216"/>
        <v>-35802670045285.055</v>
      </c>
      <c r="L5938" s="455">
        <f t="shared" ca="1" si="217"/>
        <v>-8628443480913700</v>
      </c>
      <c r="M5938" s="471">
        <f t="shared" si="219"/>
        <v>0.05</v>
      </c>
      <c r="N5938" s="475">
        <f t="shared" si="220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18"/>
        <v>-8628443480913700</v>
      </c>
      <c r="J5939" s="455">
        <f t="array" ref="J5939">IFERROR(INDEX('Retirement Calculator'!J:J,MATCH('Isaac 401k'!N5939,'Retirement Calculator'!A:A,0),0),0)</f>
        <v>0</v>
      </c>
      <c r="K5939" s="455">
        <f t="shared" ca="1" si="216"/>
        <v>-35951847837140.414</v>
      </c>
      <c r="L5939" s="455">
        <f t="shared" ca="1" si="217"/>
        <v>-8664395328750840</v>
      </c>
      <c r="M5939" s="471">
        <f t="shared" si="219"/>
        <v>0.05</v>
      </c>
      <c r="N5939" s="475">
        <f t="shared" si="220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18"/>
        <v>-8664395328750840</v>
      </c>
      <c r="J5940" s="455">
        <f t="array" ref="J5940">IFERROR(INDEX('Retirement Calculator'!J:J,MATCH('Isaac 401k'!N5940,'Retirement Calculator'!A:A,0),0),0)</f>
        <v>0</v>
      </c>
      <c r="K5940" s="455">
        <f t="shared" ca="1" si="216"/>
        <v>-36101647203128.5</v>
      </c>
      <c r="L5940" s="455">
        <f t="shared" ca="1" si="217"/>
        <v>-8700496975953968</v>
      </c>
      <c r="M5940" s="471">
        <f t="shared" si="219"/>
        <v>0.05</v>
      </c>
      <c r="N5940" s="475">
        <f t="shared" si="220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18"/>
        <v>-8700496975953968</v>
      </c>
      <c r="J5941" s="455">
        <f t="array" ref="J5941">IFERROR(INDEX('Retirement Calculator'!J:J,MATCH('Isaac 401k'!N5941,'Retirement Calculator'!A:A,0),0),0)</f>
        <v>0</v>
      </c>
      <c r="K5941" s="455">
        <f t="shared" ca="1" si="216"/>
        <v>-36252070733141.531</v>
      </c>
      <c r="L5941" s="455">
        <f t="shared" ca="1" si="217"/>
        <v>-8736749046687110</v>
      </c>
      <c r="M5941" s="471">
        <f t="shared" si="219"/>
        <v>0.05</v>
      </c>
      <c r="N5941" s="475">
        <f t="shared" si="220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18"/>
        <v>-8736749046687110</v>
      </c>
      <c r="J5942" s="455">
        <f t="array" ref="J5942">IFERROR(INDEX('Retirement Calculator'!J:J,MATCH('Isaac 401k'!N5942,'Retirement Calculator'!A:A,0),0),0)</f>
        <v>0</v>
      </c>
      <c r="K5942" s="455">
        <f t="shared" ca="1" si="216"/>
        <v>-36403121027862.953</v>
      </c>
      <c r="L5942" s="455">
        <f t="shared" ca="1" si="217"/>
        <v>-8773152167714973</v>
      </c>
      <c r="M5942" s="471">
        <f t="shared" si="219"/>
        <v>0.05</v>
      </c>
      <c r="N5942" s="475">
        <f t="shared" si="220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18"/>
        <v>-8773152167714973</v>
      </c>
      <c r="J5943" s="455">
        <f t="array" ref="J5943">IFERROR(INDEX('Retirement Calculator'!J:J,MATCH('Isaac 401k'!N5943,'Retirement Calculator'!A:A,0),0),0)</f>
        <v>0</v>
      </c>
      <c r="K5943" s="455">
        <f t="shared" ca="1" si="216"/>
        <v>-36554800698812.391</v>
      </c>
      <c r="L5943" s="455">
        <f t="shared" ca="1" si="217"/>
        <v>-8809706968413785</v>
      </c>
      <c r="M5943" s="471">
        <f t="shared" si="219"/>
        <v>0.05</v>
      </c>
      <c r="N5943" s="475">
        <f t="shared" si="220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18"/>
        <v>-8809706968413785</v>
      </c>
      <c r="J5944" s="455">
        <f t="array" ref="J5944">IFERROR(INDEX('Retirement Calculator'!J:J,MATCH('Isaac 401k'!N5944,'Retirement Calculator'!A:A,0),0),0)</f>
        <v>0</v>
      </c>
      <c r="K5944" s="455">
        <f t="shared" ca="1" si="216"/>
        <v>-36707112368390.773</v>
      </c>
      <c r="L5944" s="455">
        <f t="shared" ca="1" si="217"/>
        <v>-8846414080782176</v>
      </c>
      <c r="M5944" s="471">
        <f t="shared" si="219"/>
        <v>0.05</v>
      </c>
      <c r="N5944" s="475">
        <f t="shared" si="220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18"/>
        <v>-8846414080782176</v>
      </c>
      <c r="J5945" s="455">
        <f t="array" ref="J5945">IFERROR(INDEX('Retirement Calculator'!J:J,MATCH('Isaac 401k'!N5945,'Retirement Calculator'!A:A,0),0),0)</f>
        <v>0</v>
      </c>
      <c r="K5945" s="455">
        <f t="shared" ca="1" si="216"/>
        <v>-36860058669925.734</v>
      </c>
      <c r="L5945" s="455">
        <f t="shared" ca="1" si="217"/>
        <v>-8883274139452102</v>
      </c>
      <c r="M5945" s="471">
        <f t="shared" si="219"/>
        <v>0.05</v>
      </c>
      <c r="N5945" s="475">
        <f t="shared" si="220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18"/>
        <v>-8883274139452102</v>
      </c>
      <c r="J5946" s="455">
        <f t="array" ref="J5946">IFERROR(INDEX('Retirement Calculator'!J:J,MATCH('Isaac 401k'!N5946,'Retirement Calculator'!A:A,0),0),0)</f>
        <v>0</v>
      </c>
      <c r="K5946" s="455">
        <f t="shared" ca="1" si="216"/>
        <v>-37013642247717.094</v>
      </c>
      <c r="L5946" s="455">
        <f t="shared" ca="1" si="217"/>
        <v>-8920287781699819</v>
      </c>
      <c r="M5946" s="471">
        <f t="shared" si="219"/>
        <v>0.05</v>
      </c>
      <c r="N5946" s="475">
        <f t="shared" si="220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18"/>
        <v>-8920287781699819</v>
      </c>
      <c r="J5947" s="455">
        <f t="array" ref="J5947">IFERROR(INDEX('Retirement Calculator'!J:J,MATCH('Isaac 401k'!N5947,'Retirement Calculator'!A:A,0),0),0)</f>
        <v>0</v>
      </c>
      <c r="K5947" s="455">
        <f t="shared" ca="1" si="216"/>
        <v>-37167865757082.578</v>
      </c>
      <c r="L5947" s="455">
        <f t="shared" ca="1" si="217"/>
        <v>-8957455647456902</v>
      </c>
      <c r="M5947" s="471">
        <f t="shared" si="219"/>
        <v>0.05</v>
      </c>
      <c r="N5947" s="475">
        <f t="shared" si="220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18"/>
        <v>-8957455647456902</v>
      </c>
      <c r="J5948" s="455">
        <f t="array" ref="J5948">IFERROR(INDEX('Retirement Calculator'!J:J,MATCH('Isaac 401k'!N5948,'Retirement Calculator'!A:A,0),0),0)</f>
        <v>0</v>
      </c>
      <c r="K5948" s="455">
        <f t="shared" ca="1" si="216"/>
        <v>-37322731864403.758</v>
      </c>
      <c r="L5948" s="455">
        <f t="shared" ca="1" si="217"/>
        <v>-8994778379321306</v>
      </c>
      <c r="M5948" s="471">
        <f t="shared" si="219"/>
        <v>0.05</v>
      </c>
      <c r="N5948" s="475">
        <f t="shared" si="220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18"/>
        <v>-8994778379321306</v>
      </c>
      <c r="J5949" s="455">
        <f t="array" ref="J5949">IFERROR(INDEX('Retirement Calculator'!J:J,MATCH('Isaac 401k'!N5949,'Retirement Calculator'!A:A,0),0),0)</f>
        <v>0</v>
      </c>
      <c r="K5949" s="455">
        <f t="shared" ca="1" si="216"/>
        <v>-37478243247172.102</v>
      </c>
      <c r="L5949" s="455">
        <f t="shared" ca="1" si="217"/>
        <v>-9032256622568478</v>
      </c>
      <c r="M5949" s="471">
        <f t="shared" si="219"/>
        <v>0.05</v>
      </c>
      <c r="N5949" s="475">
        <f t="shared" si="220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18"/>
        <v>-9032256622568478</v>
      </c>
      <c r="J5950" s="455">
        <f t="array" ref="J5950">IFERROR(INDEX('Retirement Calculator'!J:J,MATCH('Isaac 401k'!N5950,'Retirement Calculator'!A:A,0),0),0)</f>
        <v>0</v>
      </c>
      <c r="K5950" s="455">
        <f t="shared" ca="1" si="216"/>
        <v>-37634402594035.328</v>
      </c>
      <c r="L5950" s="455">
        <f t="shared" ca="1" si="217"/>
        <v>-9069891025162514</v>
      </c>
      <c r="M5950" s="471">
        <f t="shared" si="219"/>
        <v>0.05</v>
      </c>
      <c r="N5950" s="475">
        <f t="shared" si="220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18"/>
        <v>-9069891025162514</v>
      </c>
      <c r="J5951" s="455">
        <f t="array" ref="J5951">IFERROR(INDEX('Retirement Calculator'!J:J,MATCH('Isaac 401k'!N5951,'Retirement Calculator'!A:A,0),0),0)</f>
        <v>0</v>
      </c>
      <c r="K5951" s="455">
        <f t="shared" ca="1" si="216"/>
        <v>-37791212604843.805</v>
      </c>
      <c r="L5951" s="455">
        <f t="shared" ca="1" si="217"/>
        <v>-9107682237767358</v>
      </c>
      <c r="M5951" s="471">
        <f t="shared" si="219"/>
        <v>0.05</v>
      </c>
      <c r="N5951" s="475">
        <f t="shared" si="220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18"/>
        <v>-9107682237767358</v>
      </c>
      <c r="J5952" s="455">
        <f t="array" ref="J5952">IFERROR(INDEX('Retirement Calculator'!J:J,MATCH('Isaac 401k'!N5952,'Retirement Calculator'!A:A,0),0),0)</f>
        <v>0</v>
      </c>
      <c r="K5952" s="455">
        <f t="shared" ca="1" si="216"/>
        <v>-37948675990697.328</v>
      </c>
      <c r="L5952" s="455">
        <f t="shared" ca="1" si="217"/>
        <v>-9145630913758056</v>
      </c>
      <c r="M5952" s="471">
        <f t="shared" si="219"/>
        <v>0.05</v>
      </c>
      <c r="N5952" s="475">
        <f t="shared" si="220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18"/>
        <v>-9145630913758056</v>
      </c>
      <c r="J5953" s="455">
        <f t="array" ref="J5953">IFERROR(INDEX('Retirement Calculator'!J:J,MATCH('Isaac 401k'!N5953,'Retirement Calculator'!A:A,0),0),0)</f>
        <v>0</v>
      </c>
      <c r="K5953" s="455">
        <f t="shared" ca="1" si="216"/>
        <v>-38106795473991.898</v>
      </c>
      <c r="L5953" s="455">
        <f t="shared" ca="1" si="217"/>
        <v>-9183737709232048</v>
      </c>
      <c r="M5953" s="471">
        <f t="shared" si="219"/>
        <v>0.05</v>
      </c>
      <c r="N5953" s="475">
        <f t="shared" si="220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18"/>
        <v>-9183737709232048</v>
      </c>
      <c r="J5954" s="455">
        <f t="array" ref="J5954">IFERROR(INDEX('Retirement Calculator'!J:J,MATCH('Isaac 401k'!N5954,'Retirement Calculator'!A:A,0),0),0)</f>
        <v>0</v>
      </c>
      <c r="K5954" s="455">
        <f t="shared" ca="1" si="216"/>
        <v>-38265573788466.867</v>
      </c>
      <c r="L5954" s="455">
        <f t="shared" ca="1" si="217"/>
        <v>-9222003283020514</v>
      </c>
      <c r="M5954" s="471">
        <f t="shared" si="219"/>
        <v>0.05</v>
      </c>
      <c r="N5954" s="475">
        <f t="shared" si="220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18"/>
        <v>-9222003283020514</v>
      </c>
      <c r="J5955" s="455">
        <f t="array" ref="J5955">IFERROR(INDEX('Retirement Calculator'!J:J,MATCH('Isaac 401k'!N5955,'Retirement Calculator'!A:A,0),0),0)</f>
        <v>0</v>
      </c>
      <c r="K5955" s="455">
        <f t="shared" ca="1" si="216"/>
        <v>-38425013679252.141</v>
      </c>
      <c r="L5955" s="455">
        <f t="shared" ca="1" si="217"/>
        <v>-9260428296699766</v>
      </c>
      <c r="M5955" s="471">
        <f t="shared" si="219"/>
        <v>0.05</v>
      </c>
      <c r="N5955" s="475">
        <f t="shared" si="220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18"/>
        <v>-9260428296699766</v>
      </c>
      <c r="J5956" s="455">
        <f t="array" ref="J5956">IFERROR(INDEX('Retirement Calculator'!J:J,MATCH('Isaac 401k'!N5956,'Retirement Calculator'!A:A,0),0),0)</f>
        <v>0</v>
      </c>
      <c r="K5956" s="455">
        <f t="shared" ca="1" si="216"/>
        <v>-38585117902915.688</v>
      </c>
      <c r="L5956" s="455">
        <f t="shared" ca="1" si="217"/>
        <v>-9299013414602682</v>
      </c>
      <c r="M5956" s="471">
        <f t="shared" si="219"/>
        <v>0.05</v>
      </c>
      <c r="N5956" s="475">
        <f t="shared" si="220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18"/>
        <v>-9299013414602682</v>
      </c>
      <c r="J5957" s="455">
        <f t="array" ref="J5957">IFERROR(INDEX('Retirement Calculator'!J:J,MATCH('Isaac 401k'!N5957,'Retirement Calculator'!A:A,0),0),0)</f>
        <v>0</v>
      </c>
      <c r="K5957" s="455">
        <f t="shared" ca="1" si="216"/>
        <v>-38745889227511.172</v>
      </c>
      <c r="L5957" s="455">
        <f t="shared" ca="1" si="217"/>
        <v>-9337759303830194</v>
      </c>
      <c r="M5957" s="471">
        <f t="shared" si="219"/>
        <v>0.05</v>
      </c>
      <c r="N5957" s="475">
        <f t="shared" si="220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18"/>
        <v>-9337759303830194</v>
      </c>
      <c r="J5958" s="455">
        <f t="array" ref="J5958">IFERROR(INDEX('Retirement Calculator'!J:J,MATCH('Isaac 401k'!N5958,'Retirement Calculator'!A:A,0),0),0)</f>
        <v>0</v>
      </c>
      <c r="K5958" s="455">
        <f t="shared" ca="1" si="216"/>
        <v>-38907330432625.805</v>
      </c>
      <c r="L5958" s="455">
        <f t="shared" ca="1" si="217"/>
        <v>-9376666634262820</v>
      </c>
      <c r="M5958" s="471">
        <f t="shared" si="219"/>
        <v>0.05</v>
      </c>
      <c r="N5958" s="475">
        <f t="shared" si="220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18"/>
        <v>-9376666634262820</v>
      </c>
      <c r="J5959" s="455">
        <f t="array" ref="J5959">IFERROR(INDEX('Retirement Calculator'!J:J,MATCH('Isaac 401k'!N5959,'Retirement Calculator'!A:A,0),0),0)</f>
        <v>0</v>
      </c>
      <c r="K5959" s="455">
        <f t="shared" ca="1" si="216"/>
        <v>-39069444309428.414</v>
      </c>
      <c r="L5959" s="455">
        <f t="shared" ca="1" si="217"/>
        <v>-9415736078572248</v>
      </c>
      <c r="M5959" s="471">
        <f t="shared" si="219"/>
        <v>0.05</v>
      </c>
      <c r="N5959" s="475">
        <f t="shared" si="220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18"/>
        <v>-9415736078572248</v>
      </c>
      <c r="J5960" s="455">
        <f t="array" ref="J5960">IFERROR(INDEX('Retirement Calculator'!J:J,MATCH('Isaac 401k'!N5960,'Retirement Calculator'!A:A,0),0),0)</f>
        <v>0</v>
      </c>
      <c r="K5960" s="455">
        <f t="shared" ca="1" si="216"/>
        <v>-39232233660717.703</v>
      </c>
      <c r="L5960" s="455">
        <f t="shared" ca="1" si="217"/>
        <v>-9454968312232966</v>
      </c>
      <c r="M5960" s="471">
        <f t="shared" si="219"/>
        <v>0.05</v>
      </c>
      <c r="N5960" s="475">
        <f t="shared" si="220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18"/>
        <v>-9454968312232966</v>
      </c>
      <c r="J5961" s="455">
        <f t="array" ref="J5961">IFERROR(INDEX('Retirement Calculator'!J:J,MATCH('Isaac 401k'!N5961,'Retirement Calculator'!A:A,0),0),0)</f>
        <v>0</v>
      </c>
      <c r="K5961" s="455">
        <f t="shared" ca="1" si="216"/>
        <v>-39395701300970.688</v>
      </c>
      <c r="L5961" s="455">
        <f t="shared" ca="1" si="217"/>
        <v>-9494364013533936</v>
      </c>
      <c r="M5961" s="471">
        <f t="shared" si="219"/>
        <v>0.05</v>
      </c>
      <c r="N5961" s="475">
        <f t="shared" si="220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18"/>
        <v>-9494364013533936</v>
      </c>
      <c r="J5962" s="455">
        <f t="array" ref="J5962">IFERROR(INDEX('Retirement Calculator'!J:J,MATCH('Isaac 401k'!N5962,'Retirement Calculator'!A:A,0),0),0)</f>
        <v>0</v>
      </c>
      <c r="K5962" s="455">
        <f t="shared" ca="1" si="216"/>
        <v>-39559850056391.398</v>
      </c>
      <c r="L5962" s="455">
        <f t="shared" ca="1" si="217"/>
        <v>-9533923863590328</v>
      </c>
      <c r="M5962" s="471">
        <f t="shared" si="219"/>
        <v>0.05</v>
      </c>
      <c r="N5962" s="475">
        <f t="shared" si="220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18"/>
        <v>-9533923863590328</v>
      </c>
      <c r="J5963" s="455">
        <f t="array" ref="J5963">IFERROR(INDEX('Retirement Calculator'!J:J,MATCH('Isaac 401k'!N5963,'Retirement Calculator'!A:A,0),0),0)</f>
        <v>0</v>
      </c>
      <c r="K5963" s="455">
        <f t="shared" ca="1" si="216"/>
        <v>-39724682764959.703</v>
      </c>
      <c r="L5963" s="455">
        <f t="shared" ca="1" si="217"/>
        <v>-9573648546355288</v>
      </c>
      <c r="M5963" s="471">
        <f t="shared" si="219"/>
        <v>0.05</v>
      </c>
      <c r="N5963" s="475">
        <f t="shared" si="220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18"/>
        <v>-9573648546355288</v>
      </c>
      <c r="J5964" s="455">
        <f t="array" ref="J5964">IFERROR(INDEX('Retirement Calculator'!J:J,MATCH('Isaac 401k'!N5964,'Retirement Calculator'!A:A,0),0),0)</f>
        <v>0</v>
      </c>
      <c r="K5964" s="455">
        <f t="shared" ca="1" si="216"/>
        <v>-39890202276480.367</v>
      </c>
      <c r="L5964" s="455">
        <f t="shared" ca="1" si="217"/>
        <v>-9613538748631768</v>
      </c>
      <c r="M5964" s="471">
        <f t="shared" si="219"/>
        <v>0.05</v>
      </c>
      <c r="N5964" s="475">
        <f t="shared" si="220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18"/>
        <v>-9613538748631768</v>
      </c>
      <c r="J5965" s="455">
        <f t="array" ref="J5965">IFERROR(INDEX('Retirement Calculator'!J:J,MATCH('Isaac 401k'!N5965,'Retirement Calculator'!A:A,0),0),0)</f>
        <v>0</v>
      </c>
      <c r="K5965" s="455">
        <f t="shared" ca="1" si="216"/>
        <v>-40056411452632.367</v>
      </c>
      <c r="L5965" s="455">
        <f t="shared" ca="1" si="217"/>
        <v>-9653595160084400</v>
      </c>
      <c r="M5965" s="471">
        <f t="shared" si="219"/>
        <v>0.05</v>
      </c>
      <c r="N5965" s="475">
        <f t="shared" si="220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18"/>
        <v>-9653595160084400</v>
      </c>
      <c r="J5966" s="455">
        <f t="array" ref="J5966">IFERROR(INDEX('Retirement Calculator'!J:J,MATCH('Isaac 401k'!N5966,'Retirement Calculator'!A:A,0),0),0)</f>
        <v>0</v>
      </c>
      <c r="K5966" s="455">
        <f t="shared" ca="1" si="216"/>
        <v>-40223313167018.336</v>
      </c>
      <c r="L5966" s="455">
        <f t="shared" ca="1" si="217"/>
        <v>-9693818473251418</v>
      </c>
      <c r="M5966" s="471">
        <f t="shared" si="219"/>
        <v>0.05</v>
      </c>
      <c r="N5966" s="475">
        <f t="shared" si="220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18"/>
        <v>-9693818473251418</v>
      </c>
      <c r="J5967" s="455">
        <f t="array" ref="J5967">IFERROR(INDEX('Retirement Calculator'!J:J,MATCH('Isaac 401k'!N5967,'Retirement Calculator'!A:A,0),0),0)</f>
        <v>0</v>
      </c>
      <c r="K5967" s="455">
        <f t="shared" ca="1" si="216"/>
        <v>-40390910305214.242</v>
      </c>
      <c r="L5967" s="455">
        <f t="shared" ca="1" si="217"/>
        <v>-9734209383556632</v>
      </c>
      <c r="M5967" s="471">
        <f t="shared" si="219"/>
        <v>0.05</v>
      </c>
      <c r="N5967" s="475">
        <f t="shared" si="220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18"/>
        <v>-9734209383556632</v>
      </c>
      <c r="J5968" s="455">
        <f t="array" ref="J5968">IFERROR(INDEX('Retirement Calculator'!J:J,MATCH('Isaac 401k'!N5968,'Retirement Calculator'!A:A,0),0),0)</f>
        <v>0</v>
      </c>
      <c r="K5968" s="455">
        <f t="shared" ca="1" si="216"/>
        <v>-40559205764819.297</v>
      </c>
      <c r="L5968" s="455">
        <f t="shared" ca="1" si="217"/>
        <v>-9774768589321452</v>
      </c>
      <c r="M5968" s="471">
        <f t="shared" si="219"/>
        <v>0.05</v>
      </c>
      <c r="N5968" s="475">
        <f t="shared" si="220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18"/>
        <v>-9774768589321452</v>
      </c>
      <c r="J5969" s="455">
        <f t="array" ref="J5969">IFERROR(INDEX('Retirement Calculator'!J:J,MATCH('Isaac 401k'!N5969,'Retirement Calculator'!A:A,0),0),0)</f>
        <v>0</v>
      </c>
      <c r="K5969" s="455">
        <f t="shared" ca="1" si="216"/>
        <v>-40728202455506.047</v>
      </c>
      <c r="L5969" s="455">
        <f t="shared" ca="1" si="217"/>
        <v>-9815496791776958</v>
      </c>
      <c r="M5969" s="471">
        <f t="shared" si="219"/>
        <v>0.05</v>
      </c>
      <c r="N5969" s="475">
        <f t="shared" si="220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18"/>
        <v>-9815496791776958</v>
      </c>
      <c r="J5970" s="455">
        <f t="array" ref="J5970">IFERROR(INDEX('Retirement Calculator'!J:J,MATCH('Isaac 401k'!N5970,'Retirement Calculator'!A:A,0),0),0)</f>
        <v>0</v>
      </c>
      <c r="K5970" s="455">
        <f t="shared" ca="1" si="216"/>
        <v>-40897903299070.656</v>
      </c>
      <c r="L5970" s="455">
        <f t="shared" ca="1" si="217"/>
        <v>-9856394695076028</v>
      </c>
      <c r="M5970" s="471">
        <f t="shared" si="219"/>
        <v>0.05</v>
      </c>
      <c r="N5970" s="475">
        <f t="shared" si="220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18"/>
        <v>-9856394695076028</v>
      </c>
      <c r="J5971" s="455">
        <f t="array" ref="J5971">IFERROR(INDEX('Retirement Calculator'!J:J,MATCH('Isaac 401k'!N5971,'Retirement Calculator'!A:A,0),0),0)</f>
        <v>0</v>
      </c>
      <c r="K5971" s="455">
        <f t="shared" ca="1" si="216"/>
        <v>-41068311229483.453</v>
      </c>
      <c r="L5971" s="455">
        <f t="shared" ca="1" si="217"/>
        <v>-9897463006305512</v>
      </c>
      <c r="M5971" s="471">
        <f t="shared" si="219"/>
        <v>0.05</v>
      </c>
      <c r="N5971" s="475">
        <f t="shared" si="220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18"/>
        <v>-9897463006305512</v>
      </c>
      <c r="J5972" s="455">
        <f t="array" ref="J5972">IFERROR(INDEX('Retirement Calculator'!J:J,MATCH('Isaac 401k'!N5972,'Retirement Calculator'!A:A,0),0),0)</f>
        <v>0</v>
      </c>
      <c r="K5972" s="455">
        <f t="shared" ca="1" si="216"/>
        <v>-41239429192939.633</v>
      </c>
      <c r="L5972" s="455">
        <f t="shared" ca="1" si="217"/>
        <v>-9938702435498452</v>
      </c>
      <c r="M5972" s="471">
        <f t="shared" si="219"/>
        <v>0.05</v>
      </c>
      <c r="N5972" s="475">
        <f t="shared" si="220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18"/>
        <v>-9938702435498452</v>
      </c>
      <c r="J5973" s="455">
        <f t="array" ref="J5973">IFERROR(INDEX('Retirement Calculator'!J:J,MATCH('Isaac 401k'!N5973,'Retirement Calculator'!A:A,0),0),0)</f>
        <v>0</v>
      </c>
      <c r="K5973" s="455">
        <f t="shared" ca="1" si="216"/>
        <v>-41411260147910.219</v>
      </c>
      <c r="L5973" s="455">
        <f t="shared" ca="1" si="217"/>
        <v>-9980113695646362</v>
      </c>
      <c r="M5973" s="471">
        <f t="shared" si="219"/>
        <v>0.05</v>
      </c>
      <c r="N5973" s="475">
        <f t="shared" si="220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18"/>
        <v>-9980113695646362</v>
      </c>
      <c r="J5974" s="455">
        <f t="array" ref="J5974">IFERROR(INDEX('Retirement Calculator'!J:J,MATCH('Isaac 401k'!N5974,'Retirement Calculator'!A:A,0),0),0)</f>
        <v>0</v>
      </c>
      <c r="K5974" s="455">
        <f t="shared" ca="1" si="216"/>
        <v>-41583807065193.172</v>
      </c>
      <c r="L5974" s="455">
        <f t="shared" ca="1" si="217"/>
        <v>-1.0021697502711556E+16</v>
      </c>
      <c r="M5974" s="471">
        <f t="shared" si="219"/>
        <v>0.05</v>
      </c>
      <c r="N5974" s="475">
        <f t="shared" si="220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18"/>
        <v>-1.0021697502711556E+16</v>
      </c>
      <c r="J5975" s="455">
        <f t="array" ref="J5975">IFERROR(INDEX('Retirement Calculator'!J:J,MATCH('Isaac 401k'!N5975,'Retirement Calculator'!A:A,0),0),0)</f>
        <v>0</v>
      </c>
      <c r="K5975" s="455">
        <f t="shared" ca="1" si="216"/>
        <v>-41757072927964.813</v>
      </c>
      <c r="L5975" s="455">
        <f t="shared" ca="1" si="217"/>
        <v>-1.006345457563952E+16</v>
      </c>
      <c r="M5975" s="471">
        <f t="shared" si="219"/>
        <v>0.05</v>
      </c>
      <c r="N5975" s="475">
        <f t="shared" si="220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18"/>
        <v>-1.006345457563952E+16</v>
      </c>
      <c r="J5976" s="455">
        <f t="array" ref="J5976">IFERROR(INDEX('Retirement Calculator'!J:J,MATCH('Isaac 401k'!N5976,'Retirement Calculator'!A:A,0),0),0)</f>
        <v>0</v>
      </c>
      <c r="K5976" s="455">
        <f t="shared" ca="1" si="216"/>
        <v>-41931060731831.336</v>
      </c>
      <c r="L5976" s="455">
        <f t="shared" ca="1" si="217"/>
        <v>-1.0105385636371352E+16</v>
      </c>
      <c r="M5976" s="471">
        <f t="shared" si="219"/>
        <v>0.05</v>
      </c>
      <c r="N5976" s="475">
        <f t="shared" si="220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18"/>
        <v>-1.0105385636371352E+16</v>
      </c>
      <c r="J5977" s="455">
        <f t="array" ref="J5977">IFERROR(INDEX('Retirement Calculator'!J:J,MATCH('Isaac 401k'!N5977,'Retirement Calculator'!A:A,0),0),0)</f>
        <v>0</v>
      </c>
      <c r="K5977" s="455">
        <f t="shared" ca="1" si="216"/>
        <v>-42105773484880.633</v>
      </c>
      <c r="L5977" s="455">
        <f t="shared" ca="1" si="217"/>
        <v>-1.0147491409856232E+16</v>
      </c>
      <c r="M5977" s="471">
        <f t="shared" si="219"/>
        <v>0.05</v>
      </c>
      <c r="N5977" s="475">
        <f t="shared" si="220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18"/>
        <v>-1.0147491409856232E+16</v>
      </c>
      <c r="J5978" s="455">
        <f t="array" ref="J5978">IFERROR(INDEX('Retirement Calculator'!J:J,MATCH('Isaac 401k'!N5978,'Retirement Calculator'!A:A,0),0),0)</f>
        <v>0</v>
      </c>
      <c r="K5978" s="455">
        <f t="shared" ca="1" si="216"/>
        <v>-42281214207734.297</v>
      </c>
      <c r="L5978" s="455">
        <f t="shared" ca="1" si="217"/>
        <v>-1.0189772624063966E+16</v>
      </c>
      <c r="M5978" s="471">
        <f t="shared" si="219"/>
        <v>0.05</v>
      </c>
      <c r="N5978" s="475">
        <f t="shared" si="220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18"/>
        <v>-1.0189772624063966E+16</v>
      </c>
      <c r="J5979" s="455">
        <f t="array" ref="J5979">IFERROR(INDEX('Retirement Calculator'!J:J,MATCH('Isaac 401k'!N5979,'Retirement Calculator'!A:A,0),0),0)</f>
        <v>0</v>
      </c>
      <c r="K5979" s="455">
        <f t="shared" ca="1" si="216"/>
        <v>-42457385933599.859</v>
      </c>
      <c r="L5979" s="455">
        <f t="shared" ca="1" si="217"/>
        <v>-1.0232230009997566E+16</v>
      </c>
      <c r="M5979" s="471">
        <f t="shared" si="219"/>
        <v>0.05</v>
      </c>
      <c r="N5979" s="475">
        <f t="shared" si="220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18"/>
        <v>-1.0232230009997566E+16</v>
      </c>
      <c r="J5980" s="455">
        <f t="array" ref="J5980">IFERROR(INDEX('Retirement Calculator'!J:J,MATCH('Isaac 401k'!N5980,'Retirement Calculator'!A:A,0),0),0)</f>
        <v>0</v>
      </c>
      <c r="K5980" s="455">
        <f t="shared" ca="1" si="216"/>
        <v>-42634291708323.188</v>
      </c>
      <c r="L5980" s="455">
        <f t="shared" ca="1" si="217"/>
        <v>-1.027486430170589E+16</v>
      </c>
      <c r="M5980" s="471">
        <f t="shared" si="219"/>
        <v>0.05</v>
      </c>
      <c r="N5980" s="475">
        <f t="shared" si="220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18"/>
        <v>-1.027486430170589E+16</v>
      </c>
      <c r="J5981" s="455">
        <f t="array" ref="J5981">IFERROR(INDEX('Retirement Calculator'!J:J,MATCH('Isaac 401k'!N5981,'Retirement Calculator'!A:A,0),0),0)</f>
        <v>0</v>
      </c>
      <c r="K5981" s="455">
        <f t="shared" ca="1" si="216"/>
        <v>-42811934590441.211</v>
      </c>
      <c r="L5981" s="455">
        <f t="shared" ca="1" si="217"/>
        <v>-1.0317676236296332E+16</v>
      </c>
      <c r="M5981" s="471">
        <f t="shared" si="219"/>
        <v>0.05</v>
      </c>
      <c r="N5981" s="475">
        <f t="shared" si="220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18"/>
        <v>-1.0317676236296332E+16</v>
      </c>
      <c r="J5982" s="455">
        <f t="array" ref="J5982">IFERROR(INDEX('Retirement Calculator'!J:J,MATCH('Isaac 401k'!N5982,'Retirement Calculator'!A:A,0),0),0)</f>
        <v>0</v>
      </c>
      <c r="K5982" s="455">
        <f t="shared" ca="1" si="216"/>
        <v>-42990317651234.719</v>
      </c>
      <c r="L5982" s="455">
        <f t="shared" ca="1" si="217"/>
        <v>-1.0360666553947566E+16</v>
      </c>
      <c r="M5982" s="471">
        <f t="shared" si="219"/>
        <v>0.05</v>
      </c>
      <c r="N5982" s="475">
        <f t="shared" si="220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18"/>
        <v>-1.0360666553947566E+16</v>
      </c>
      <c r="J5983" s="455">
        <f t="array" ref="J5983">IFERROR(INDEX('Retirement Calculator'!J:J,MATCH('Isaac 401k'!N5983,'Retirement Calculator'!A:A,0),0),0)</f>
        <v>0</v>
      </c>
      <c r="K5983" s="455">
        <f t="shared" ca="1" si="216"/>
        <v>-43169443974781.523</v>
      </c>
      <c r="L5983" s="455">
        <f t="shared" ca="1" si="217"/>
        <v>-1.0403835997922348E+16</v>
      </c>
      <c r="M5983" s="471">
        <f t="shared" si="219"/>
        <v>0.05</v>
      </c>
      <c r="N5983" s="475">
        <f t="shared" si="220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18"/>
        <v>-1.0403835997922348E+16</v>
      </c>
      <c r="J5984" s="455">
        <f t="array" ref="J5984">IFERROR(INDEX('Retirement Calculator'!J:J,MATCH('Isaac 401k'!N5984,'Retirement Calculator'!A:A,0),0),0)</f>
        <v>0</v>
      </c>
      <c r="K5984" s="455">
        <f t="shared" ca="1" si="216"/>
        <v>-43349316658009.781</v>
      </c>
      <c r="L5984" s="455">
        <f t="shared" ca="1" si="217"/>
        <v>-1.0447185314580358E+16</v>
      </c>
      <c r="M5984" s="471">
        <f t="shared" si="219"/>
        <v>0.05</v>
      </c>
      <c r="N5984" s="475">
        <f t="shared" si="220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18"/>
        <v>-1.0447185314580358E+16</v>
      </c>
      <c r="J5985" s="455">
        <f t="array" ref="J5985">IFERROR(INDEX('Retirement Calculator'!J:J,MATCH('Isaac 401k'!N5985,'Retirement Calculator'!A:A,0),0),0)</f>
        <v>0</v>
      </c>
      <c r="K5985" s="455">
        <f t="shared" ca="1" si="216"/>
        <v>-43529938810751.492</v>
      </c>
      <c r="L5985" s="455">
        <f t="shared" ca="1" si="217"/>
        <v>-1.049071525339111E+16</v>
      </c>
      <c r="M5985" s="471">
        <f t="shared" si="219"/>
        <v>0.05</v>
      </c>
      <c r="N5985" s="475">
        <f t="shared" si="220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18"/>
        <v>-1.049071525339111E+16</v>
      </c>
      <c r="J5986" s="455">
        <f t="array" ref="J5986">IFERROR(INDEX('Retirement Calculator'!J:J,MATCH('Isaac 401k'!N5986,'Retirement Calculator'!A:A,0),0),0)</f>
        <v>0</v>
      </c>
      <c r="K5986" s="455">
        <f t="shared" ca="1" si="216"/>
        <v>-43711313555796.289</v>
      </c>
      <c r="L5986" s="455">
        <f t="shared" ca="1" si="217"/>
        <v>-1.0534426566946906E+16</v>
      </c>
      <c r="M5986" s="471">
        <f t="shared" si="219"/>
        <v>0.05</v>
      </c>
      <c r="N5986" s="475">
        <f t="shared" si="220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18"/>
        <v>-1.0534426566946906E+16</v>
      </c>
      <c r="J5987" s="455">
        <f t="array" ref="J5987">IFERROR(INDEX('Retirement Calculator'!J:J,MATCH('Isaac 401k'!N5987,'Retirement Calculator'!A:A,0),0),0)</f>
        <v>0</v>
      </c>
      <c r="K5987" s="455">
        <f t="shared" ca="1" si="216"/>
        <v>-43893444028945.438</v>
      </c>
      <c r="L5987" s="455">
        <f t="shared" ca="1" si="217"/>
        <v>-1.0578320010975852E+16</v>
      </c>
      <c r="M5987" s="471">
        <f t="shared" si="219"/>
        <v>0.05</v>
      </c>
      <c r="N5987" s="475">
        <f t="shared" si="220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18"/>
        <v>-1.0578320010975852E+16</v>
      </c>
      <c r="J5988" s="455">
        <f t="array" ref="J5988">IFERROR(INDEX('Retirement Calculator'!J:J,MATCH('Isaac 401k'!N5988,'Retirement Calculator'!A:A,0),0),0)</f>
        <v>0</v>
      </c>
      <c r="K5988" s="455">
        <f t="shared" ca="1" si="216"/>
        <v>-44076333379066.047</v>
      </c>
      <c r="L5988" s="455">
        <f t="shared" ca="1" si="217"/>
        <v>-1.0622396344354918E+16</v>
      </c>
      <c r="M5988" s="471">
        <f t="shared" si="219"/>
        <v>0.05</v>
      </c>
      <c r="N5988" s="475">
        <f t="shared" si="220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18"/>
        <v>-1.0622396344354918E+16</v>
      </c>
      <c r="J5989" s="455">
        <f t="array" ref="J5989">IFERROR(INDEX('Retirement Calculator'!J:J,MATCH('Isaac 401k'!N5989,'Retirement Calculator'!A:A,0),0),0)</f>
        <v>0</v>
      </c>
      <c r="K5989" s="455">
        <f t="shared" ca="1" si="216"/>
        <v>-44259984768145.492</v>
      </c>
      <c r="L5989" s="455">
        <f t="shared" ca="1" si="217"/>
        <v>-1.0666656329123064E+16</v>
      </c>
      <c r="M5989" s="471">
        <f t="shared" si="219"/>
        <v>0.05</v>
      </c>
      <c r="N5989" s="475">
        <f t="shared" si="220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18"/>
        <v>-1.0666656329123064E+16</v>
      </c>
      <c r="J5990" s="455">
        <f t="array" ref="J5990">IFERROR(INDEX('Retirement Calculator'!J:J,MATCH('Isaac 401k'!N5990,'Retirement Calculator'!A:A,0),0),0)</f>
        <v>0</v>
      </c>
      <c r="K5990" s="455">
        <f t="shared" ca="1" si="216"/>
        <v>-44444401371346.102</v>
      </c>
      <c r="L5990" s="455">
        <f t="shared" ca="1" si="217"/>
        <v>-1.071110073049441E+16</v>
      </c>
      <c r="M5990" s="471">
        <f t="shared" si="219"/>
        <v>0.05</v>
      </c>
      <c r="N5990" s="475">
        <f t="shared" si="220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18"/>
        <v>-1.071110073049441E+16</v>
      </c>
      <c r="J5991" s="455">
        <f t="array" ref="J5991">IFERROR(INDEX('Retirement Calculator'!J:J,MATCH('Isaac 401k'!N5991,'Retirement Calculator'!A:A,0),0),0)</f>
        <v>0</v>
      </c>
      <c r="K5991" s="455">
        <f t="shared" ca="1" si="216"/>
        <v>-44629586377060.039</v>
      </c>
      <c r="L5991" s="455">
        <f t="shared" ca="1" si="217"/>
        <v>-1.075573031687147E+16</v>
      </c>
      <c r="M5991" s="471">
        <f t="shared" si="219"/>
        <v>0.05</v>
      </c>
      <c r="N5991" s="475">
        <f t="shared" si="220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18"/>
        <v>-1.075573031687147E+16</v>
      </c>
      <c r="J5992" s="455">
        <f t="array" ref="J5992">IFERROR(INDEX('Retirement Calculator'!J:J,MATCH('Isaac 401k'!N5992,'Retirement Calculator'!A:A,0),0),0)</f>
        <v>0</v>
      </c>
      <c r="K5992" s="455">
        <f t="shared" ca="1" si="216"/>
        <v>-44815542986964.461</v>
      </c>
      <c r="L5992" s="455">
        <f t="shared" ca="1" si="217"/>
        <v>-1.0800545859858434E+16</v>
      </c>
      <c r="M5992" s="471">
        <f t="shared" si="219"/>
        <v>0.05</v>
      </c>
      <c r="N5992" s="475">
        <f t="shared" si="220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18"/>
        <v>-1.0800545859858434E+16</v>
      </c>
      <c r="J5993" s="455">
        <f t="array" ref="J5993">IFERROR(INDEX('Retirement Calculator'!J:J,MATCH('Isaac 401k'!N5993,'Retirement Calculator'!A:A,0),0),0)</f>
        <v>0</v>
      </c>
      <c r="K5993" s="455">
        <f t="shared" ca="1" si="216"/>
        <v>-45002274416076.805</v>
      </c>
      <c r="L5993" s="455">
        <f t="shared" ca="1" si="217"/>
        <v>-1.084554813427451E+16</v>
      </c>
      <c r="M5993" s="471">
        <f t="shared" si="219"/>
        <v>0.05</v>
      </c>
      <c r="N5993" s="475">
        <f t="shared" si="220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18"/>
        <v>-1.084554813427451E+16</v>
      </c>
      <c r="J5994" s="455">
        <f t="array" ref="J5994">IFERROR(INDEX('Retirement Calculator'!J:J,MATCH('Isaac 401k'!N5994,'Retirement Calculator'!A:A,0),0),0)</f>
        <v>0</v>
      </c>
      <c r="K5994" s="455">
        <f t="shared" ca="1" si="216"/>
        <v>-45189783892810.461</v>
      </c>
      <c r="L5994" s="455">
        <f t="shared" ca="1" si="217"/>
        <v>-1.089073791816732E+16</v>
      </c>
      <c r="M5994" s="471">
        <f t="shared" si="219"/>
        <v>0.05</v>
      </c>
      <c r="N5994" s="475">
        <f t="shared" si="220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18"/>
        <v>-1.089073791816732E+16</v>
      </c>
      <c r="J5995" s="455">
        <f t="array" ref="J5995">IFERROR(INDEX('Retirement Calculator'!J:J,MATCH('Isaac 401k'!N5995,'Retirement Calculator'!A:A,0),0),0)</f>
        <v>0</v>
      </c>
      <c r="K5995" s="455">
        <f t="shared" ca="1" si="216"/>
        <v>-45378074659030.5</v>
      </c>
      <c r="L5995" s="455">
        <f t="shared" ca="1" si="217"/>
        <v>-1.093611599282635E+16</v>
      </c>
      <c r="M5995" s="471">
        <f t="shared" si="219"/>
        <v>0.05</v>
      </c>
      <c r="N5995" s="475">
        <f t="shared" si="220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18"/>
        <v>-1.093611599282635E+16</v>
      </c>
      <c r="J5996" s="455">
        <f t="array" ref="J5996">IFERROR(INDEX('Retirement Calculator'!J:J,MATCH('Isaac 401k'!N5996,'Retirement Calculator'!A:A,0),0),0)</f>
        <v>0</v>
      </c>
      <c r="K5996" s="455">
        <f t="shared" ca="1" si="216"/>
        <v>-45567149970109.789</v>
      </c>
      <c r="L5996" s="455">
        <f t="shared" ca="1" si="217"/>
        <v>-1.098168314279646E+16</v>
      </c>
      <c r="M5996" s="471">
        <f t="shared" si="219"/>
        <v>0.05</v>
      </c>
      <c r="N5996" s="475">
        <f t="shared" si="220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18"/>
        <v>-1.098168314279646E+16</v>
      </c>
      <c r="J5997" s="455">
        <f t="array" ref="J5997">IFERROR(INDEX('Retirement Calculator'!J:J,MATCH('Isaac 401k'!N5997,'Retirement Calculator'!A:A,0),0),0)</f>
        <v>0</v>
      </c>
      <c r="K5997" s="455">
        <f t="shared" ca="1" si="216"/>
        <v>-45757013094985.25</v>
      </c>
      <c r="L5997" s="455">
        <f t="shared" ca="1" si="217"/>
        <v>-1.1027440155891446E+16</v>
      </c>
      <c r="M5997" s="471">
        <f t="shared" si="219"/>
        <v>0.05</v>
      </c>
      <c r="N5997" s="475">
        <f t="shared" si="220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18"/>
        <v>-1.1027440155891446E+16</v>
      </c>
      <c r="J5998" s="455">
        <f t="array" ref="J5998">IFERROR(INDEX('Retirement Calculator'!J:J,MATCH('Isaac 401k'!N5998,'Retirement Calculator'!A:A,0),0),0)</f>
        <v>0</v>
      </c>
      <c r="K5998" s="455">
        <f t="shared" ca="1" si="216"/>
        <v>-45947667316214.359</v>
      </c>
      <c r="L5998" s="455">
        <f t="shared" ca="1" si="217"/>
        <v>-1.107338782320766E+16</v>
      </c>
      <c r="M5998" s="471">
        <f t="shared" si="219"/>
        <v>0.05</v>
      </c>
      <c r="N5998" s="475">
        <f t="shared" si="220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18"/>
        <v>-1.107338782320766E+16</v>
      </c>
      <c r="J5999" s="455">
        <f t="array" ref="J5999">IFERROR(INDEX('Retirement Calculator'!J:J,MATCH('Isaac 401k'!N5999,'Retirement Calculator'!A:A,0),0),0)</f>
        <v>0</v>
      </c>
      <c r="K5999" s="455">
        <f t="shared" ca="1" si="216"/>
        <v>-46139115930031.914</v>
      </c>
      <c r="L5999" s="455">
        <f t="shared" ca="1" si="217"/>
        <v>-1.1119526939137692E+16</v>
      </c>
      <c r="M5999" s="471">
        <f t="shared" si="219"/>
        <v>0.05</v>
      </c>
      <c r="N5999" s="475">
        <f t="shared" si="220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18"/>
        <v>-1.1119526939137692E+16</v>
      </c>
      <c r="J6000" s="455">
        <f t="array" ref="J6000">IFERROR(INDEX('Retirement Calculator'!J:J,MATCH('Isaac 401k'!N6000,'Retirement Calculator'!A:A,0),0),0)</f>
        <v>0</v>
      </c>
      <c r="K6000" s="455">
        <f t="shared" ca="1" si="216"/>
        <v>-46331362246407.047</v>
      </c>
      <c r="L6000" s="455">
        <f t="shared" ca="1" si="217"/>
        <v>-1.11658583013841E+16</v>
      </c>
      <c r="M6000" s="471">
        <f t="shared" si="219"/>
        <v>0.05</v>
      </c>
      <c r="N6000" s="475">
        <f t="shared" si="220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18"/>
        <v>-1.11658583013841E+16</v>
      </c>
      <c r="J6001" s="455">
        <f t="array" ref="J6001">IFERROR(INDEX('Retirement Calculator'!J:J,MATCH('Isaac 401k'!N6001,'Retirement Calculator'!A:A,0),0),0)</f>
        <v>0</v>
      </c>
      <c r="K6001" s="455">
        <f t="shared" ca="1" si="216"/>
        <v>-46524409589100.414</v>
      </c>
      <c r="L6001" s="455">
        <f t="shared" ca="1" si="217"/>
        <v>-1.12123827109732E+16</v>
      </c>
      <c r="M6001" s="471">
        <f t="shared" si="219"/>
        <v>0.05</v>
      </c>
      <c r="N6001" s="475">
        <f t="shared" si="220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18"/>
        <v>-1.12123827109732E+16</v>
      </c>
      <c r="J6002" s="455">
        <f t="array" ref="J6002">IFERROR(INDEX('Retirement Calculator'!J:J,MATCH('Isaac 401k'!N6002,'Retirement Calculator'!A:A,0),0),0)</f>
        <v>0</v>
      </c>
      <c r="K6002" s="455">
        <f t="shared" ca="1" si="216"/>
        <v>-46718261295721.664</v>
      </c>
      <c r="L6002" s="455">
        <f t="shared" ca="1" si="217"/>
        <v>-1.1259100972268922E+16</v>
      </c>
      <c r="M6002" s="471">
        <f t="shared" si="219"/>
        <v>0.05</v>
      </c>
      <c r="N6002" s="475">
        <f t="shared" si="220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18"/>
        <v>-1.1259100972268922E+16</v>
      </c>
      <c r="J6003" s="455">
        <f t="array" ref="J6003">IFERROR(INDEX('Retirement Calculator'!J:J,MATCH('Isaac 401k'!N6003,'Retirement Calculator'!A:A,0),0),0)</f>
        <v>0</v>
      </c>
      <c r="K6003" s="455">
        <f t="shared" ca="1" si="216"/>
        <v>-46912920717787.172</v>
      </c>
      <c r="L6003" s="455">
        <f t="shared" ca="1" si="217"/>
        <v>-1.130601389298671E+16</v>
      </c>
      <c r="M6003" s="471">
        <f t="shared" si="219"/>
        <v>0.05</v>
      </c>
      <c r="N6003" s="475">
        <f t="shared" si="220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18"/>
        <v>-1.130601389298671E+16</v>
      </c>
      <c r="J6004" s="455">
        <f t="array" ref="J6004">IFERROR(INDEX('Retirement Calculator'!J:J,MATCH('Isaac 401k'!N6004,'Retirement Calculator'!A:A,0),0),0)</f>
        <v>0</v>
      </c>
      <c r="K6004" s="455">
        <f t="shared" ca="1" si="216"/>
        <v>-47108391220777.961</v>
      </c>
      <c r="L6004" s="455">
        <f t="shared" ca="1" si="217"/>
        <v>-1.1353122284207488E+16</v>
      </c>
      <c r="M6004" s="471">
        <f t="shared" si="219"/>
        <v>0.05</v>
      </c>
      <c r="N6004" s="475">
        <f t="shared" si="220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18"/>
        <v>-1.1353122284207488E+16</v>
      </c>
      <c r="J6005" s="455">
        <f t="array" ref="J6005">IFERROR(INDEX('Retirement Calculator'!J:J,MATCH('Isaac 401k'!N6005,'Retirement Calculator'!A:A,0),0),0)</f>
        <v>0</v>
      </c>
      <c r="K6005" s="455">
        <f t="shared" ca="1" si="216"/>
        <v>-47304676184197.867</v>
      </c>
      <c r="L6005" s="455">
        <f t="shared" ca="1" si="217"/>
        <v>-1.1400426960391686E+16</v>
      </c>
      <c r="M6005" s="471">
        <f t="shared" si="219"/>
        <v>0.05</v>
      </c>
      <c r="N6005" s="475">
        <f t="shared" si="220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18"/>
        <v>-1.1400426960391686E+16</v>
      </c>
      <c r="J6006" s="455">
        <f t="array" ref="J6006">IFERROR(INDEX('Retirement Calculator'!J:J,MATCH('Isaac 401k'!N6006,'Retirement Calculator'!A:A,0),0),0)</f>
        <v>0</v>
      </c>
      <c r="K6006" s="455">
        <f t="shared" ca="1" si="216"/>
        <v>-47501779001632.023</v>
      </c>
      <c r="L6006" s="455">
        <f t="shared" ca="1" si="217"/>
        <v>-1.1447928739393318E+16</v>
      </c>
      <c r="M6006" s="471">
        <f t="shared" si="219"/>
        <v>0.05</v>
      </c>
      <c r="N6006" s="475">
        <f t="shared" si="220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18"/>
        <v>-1.1447928739393318E+16</v>
      </c>
      <c r="J6007" s="455">
        <f t="array" ref="J6007">IFERROR(INDEX('Retirement Calculator'!J:J,MATCH('Isaac 401k'!N6007,'Retirement Calculator'!A:A,0),0),0)</f>
        <v>0</v>
      </c>
      <c r="K6007" s="455">
        <f t="shared" ca="1" si="216"/>
        <v>-47699703080805.492</v>
      </c>
      <c r="L6007" s="455">
        <f t="shared" ca="1" si="217"/>
        <v>-1.1495628442474124E+16</v>
      </c>
      <c r="M6007" s="471">
        <f t="shared" si="219"/>
        <v>0.05</v>
      </c>
      <c r="N6007" s="475">
        <f t="shared" si="220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18"/>
        <v>-1.1495628442474124E+16</v>
      </c>
      <c r="J6008" s="455">
        <f t="array" ref="J6008">IFERROR(INDEX('Retirement Calculator'!J:J,MATCH('Isaac 401k'!N6008,'Retirement Calculator'!A:A,0),0),0)</f>
        <v>0</v>
      </c>
      <c r="K6008" s="455">
        <f t="shared" ca="1" si="216"/>
        <v>-47898451843642.18</v>
      </c>
      <c r="L6008" s="455">
        <f t="shared" ca="1" si="217"/>
        <v>-1.1543526894317766E+16</v>
      </c>
      <c r="M6008" s="471">
        <f t="shared" si="219"/>
        <v>0.05</v>
      </c>
      <c r="N6008" s="475">
        <f t="shared" si="220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18"/>
        <v>-1.1543526894317766E+16</v>
      </c>
      <c r="J6009" s="455">
        <f t="array" ref="J6009">IFERROR(INDEX('Retirement Calculator'!J:J,MATCH('Isaac 401k'!N6009,'Retirement Calculator'!A:A,0),0),0)</f>
        <v>0</v>
      </c>
      <c r="K6009" s="455">
        <f t="shared" ca="1" si="216"/>
        <v>-48098028726324.023</v>
      </c>
      <c r="L6009" s="455">
        <f t="shared" ca="1" si="217"/>
        <v>-1.159162492304409E+16</v>
      </c>
      <c r="M6009" s="471">
        <f t="shared" si="219"/>
        <v>0.05</v>
      </c>
      <c r="N6009" s="475">
        <f t="shared" si="220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18"/>
        <v>-1.159162492304409E+16</v>
      </c>
      <c r="J6010" s="455">
        <f t="array" ref="J6010">IFERROR(INDEX('Retirement Calculator'!J:J,MATCH('Isaac 401k'!N6010,'Retirement Calculator'!A:A,0),0),0)</f>
        <v>0</v>
      </c>
      <c r="K6010" s="455">
        <f t="shared" ca="1" si="216"/>
        <v>-48298437179350.375</v>
      </c>
      <c r="L6010" s="455">
        <f t="shared" ca="1" si="217"/>
        <v>-1.163992336022344E+16</v>
      </c>
      <c r="M6010" s="471">
        <f t="shared" si="219"/>
        <v>0.05</v>
      </c>
      <c r="N6010" s="475">
        <f t="shared" si="220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18"/>
        <v>-1.163992336022344E+16</v>
      </c>
      <c r="J6011" s="455">
        <f t="array" ref="J6011">IFERROR(INDEX('Retirement Calculator'!J:J,MATCH('Isaac 401k'!N6011,'Retirement Calculator'!A:A,0),0),0)</f>
        <v>0</v>
      </c>
      <c r="K6011" s="455">
        <f t="shared" ca="1" si="216"/>
        <v>-48499680667597.664</v>
      </c>
      <c r="L6011" s="455">
        <f t="shared" ca="1" si="217"/>
        <v>-1.1688423040891038E+16</v>
      </c>
      <c r="M6011" s="471">
        <f t="shared" si="219"/>
        <v>0.05</v>
      </c>
      <c r="N6011" s="475">
        <f t="shared" si="220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18"/>
        <v>-1.1688423040891038E+16</v>
      </c>
      <c r="J6012" s="455">
        <f t="array" ref="J6012">IFERROR(INDEX('Retirement Calculator'!J:J,MATCH('Isaac 401k'!N6012,'Retirement Calculator'!A:A,0),0),0)</f>
        <v>0</v>
      </c>
      <c r="K6012" s="455">
        <f t="shared" ca="1" si="216"/>
        <v>-48701762670379.328</v>
      </c>
      <c r="L6012" s="455">
        <f t="shared" ca="1" si="217"/>
        <v>-1.1737124803561418E+16</v>
      </c>
      <c r="M6012" s="471">
        <f t="shared" si="219"/>
        <v>0.05</v>
      </c>
      <c r="N6012" s="475">
        <f t="shared" si="220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18"/>
        <v>-1.1737124803561418E+16</v>
      </c>
      <c r="J6013" s="455">
        <f t="array" ref="J6013">IFERROR(INDEX('Retirement Calculator'!J:J,MATCH('Isaac 401k'!N6013,'Retirement Calculator'!A:A,0),0),0)</f>
        <v>0</v>
      </c>
      <c r="K6013" s="455">
        <f t="shared" ca="1" si="216"/>
        <v>-48904686681505.906</v>
      </c>
      <c r="L6013" s="455">
        <f t="shared" ca="1" si="217"/>
        <v>-1.1786029490242924E+16</v>
      </c>
      <c r="M6013" s="471">
        <f t="shared" si="219"/>
        <v>0.05</v>
      </c>
      <c r="N6013" s="475">
        <f t="shared" si="220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18"/>
        <v>-1.1786029490242924E+16</v>
      </c>
      <c r="J6014" s="455">
        <f t="array" ref="J6014">IFERROR(INDEX('Retirement Calculator'!J:J,MATCH('Isaac 401k'!N6014,'Retirement Calculator'!A:A,0),0),0)</f>
        <v>0</v>
      </c>
      <c r="K6014" s="455">
        <f t="shared" ca="1" si="216"/>
        <v>-49108456209345.516</v>
      </c>
      <c r="L6014" s="455">
        <f t="shared" ca="1" si="217"/>
        <v>-1.183513794645227E+16</v>
      </c>
      <c r="M6014" s="471">
        <f t="shared" si="219"/>
        <v>0.05</v>
      </c>
      <c r="N6014" s="475">
        <f t="shared" si="220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18"/>
        <v>-1.183513794645227E+16</v>
      </c>
      <c r="J6015" s="455">
        <f t="array" ref="J6015">IFERROR(INDEX('Retirement Calculator'!J:J,MATCH('Isaac 401k'!N6015,'Retirement Calculator'!A:A,0),0),0)</f>
        <v>0</v>
      </c>
      <c r="K6015" s="455">
        <f t="shared" ca="1" si="216"/>
        <v>-49313074776884.461</v>
      </c>
      <c r="L6015" s="455">
        <f t="shared" ca="1" si="217"/>
        <v>-1.1884451021229154E+16</v>
      </c>
      <c r="M6015" s="471">
        <f t="shared" si="219"/>
        <v>0.05</v>
      </c>
      <c r="N6015" s="475">
        <f t="shared" si="220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18"/>
        <v>-1.1884451021229154E+16</v>
      </c>
      <c r="J6016" s="455">
        <f t="array" ref="J6016">IFERROR(INDEX('Retirement Calculator'!J:J,MATCH('Isaac 401k'!N6016,'Retirement Calculator'!A:A,0),0),0)</f>
        <v>0</v>
      </c>
      <c r="K6016" s="455">
        <f t="shared" ca="1" si="216"/>
        <v>-49518545921788.141</v>
      </c>
      <c r="L6016" s="455">
        <f t="shared" ca="1" si="217"/>
        <v>-1.1933969567150942E+16</v>
      </c>
      <c r="M6016" s="471">
        <f t="shared" si="219"/>
        <v>0.05</v>
      </c>
      <c r="N6016" s="475">
        <f t="shared" si="220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18"/>
        <v>-1.1933969567150942E+16</v>
      </c>
      <c r="J6017" s="455">
        <f t="array" ref="J6017">IFERROR(INDEX('Retirement Calculator'!J:J,MATCH('Isaac 401k'!N6017,'Retirement Calculator'!A:A,0),0),0)</f>
        <v>0</v>
      </c>
      <c r="K6017" s="455">
        <f t="shared" ca="1" si="216"/>
        <v>-49724873196462.258</v>
      </c>
      <c r="L6017" s="455">
        <f t="shared" ca="1" si="217"/>
        <v>-1.1983694440347404E+16</v>
      </c>
      <c r="M6017" s="471">
        <f t="shared" si="219"/>
        <v>0.05</v>
      </c>
      <c r="N6017" s="475">
        <f t="shared" si="220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18"/>
        <v>-1.1983694440347404E+16</v>
      </c>
      <c r="J6018" s="455">
        <f t="array" ref="J6018">IFERROR(INDEX('Retirement Calculator'!J:J,MATCH('Isaac 401k'!N6018,'Retirement Calculator'!A:A,0),0),0)</f>
        <v>0</v>
      </c>
      <c r="K6018" s="455">
        <f t="shared" ca="1" si="216"/>
        <v>-49932060168114.18</v>
      </c>
      <c r="L6018" s="455">
        <f t="shared" ca="1" si="217"/>
        <v>-1.2033626500515518E+16</v>
      </c>
      <c r="M6018" s="471">
        <f t="shared" si="219"/>
        <v>0.05</v>
      </c>
      <c r="N6018" s="475">
        <f t="shared" si="220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18"/>
        <v>-1.2033626500515518E+16</v>
      </c>
      <c r="J6019" s="455">
        <f t="array" ref="J6019">IFERROR(INDEX('Retirement Calculator'!J:J,MATCH('Isaac 401k'!N6019,'Retirement Calculator'!A:A,0),0),0)</f>
        <v>0</v>
      </c>
      <c r="K6019" s="455">
        <f t="shared" ca="1" si="216"/>
        <v>-50140110418814.656</v>
      </c>
      <c r="L6019" s="455">
        <f t="shared" ca="1" si="217"/>
        <v>-1.2083766610934332E+16</v>
      </c>
      <c r="M6019" s="471">
        <f t="shared" si="219"/>
        <v>0.05</v>
      </c>
      <c r="N6019" s="475">
        <f t="shared" si="220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18"/>
        <v>-1.2083766610934332E+16</v>
      </c>
      <c r="J6020" s="455">
        <f t="array" ref="J6020">IFERROR(INDEX('Retirement Calculator'!J:J,MATCH('Isaac 401k'!N6020,'Retirement Calculator'!A:A,0),0),0)</f>
        <v>0</v>
      </c>
      <c r="K6020" s="455">
        <f t="shared" ca="1" si="216"/>
        <v>-50349027545559.719</v>
      </c>
      <c r="L6020" s="455">
        <f t="shared" ca="1" si="217"/>
        <v>-1.2134115638479892E+16</v>
      </c>
      <c r="M6020" s="471">
        <f t="shared" si="219"/>
        <v>0.05</v>
      </c>
      <c r="N6020" s="475">
        <f t="shared" si="220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18"/>
        <v>-1.2134115638479892E+16</v>
      </c>
      <c r="J6021" s="455">
        <f t="array" ref="J6021">IFERROR(INDEX('Retirement Calculator'!J:J,MATCH('Isaac 401k'!N6021,'Retirement Calculator'!A:A,0),0),0)</f>
        <v>0</v>
      </c>
      <c r="K6021" s="455">
        <f t="shared" ca="1" si="216"/>
        <v>-50558815160332.883</v>
      </c>
      <c r="L6021" s="455">
        <f t="shared" ca="1" si="217"/>
        <v>-1.2184674453640224E+16</v>
      </c>
      <c r="M6021" s="471">
        <f t="shared" si="219"/>
        <v>0.05</v>
      </c>
      <c r="N6021" s="475">
        <f t="shared" si="220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18"/>
        <v>-1.2184674453640224E+16</v>
      </c>
      <c r="J6022" s="455">
        <f t="array" ref="J6022">IFERROR(INDEX('Retirement Calculator'!J:J,MATCH('Isaac 401k'!N6022,'Retirement Calculator'!A:A,0),0),0)</f>
        <v>0</v>
      </c>
      <c r="K6022" s="455">
        <f t="shared" ca="1" si="216"/>
        <v>-50769476890167.602</v>
      </c>
      <c r="L6022" s="455">
        <f t="shared" ca="1" si="217"/>
        <v>-1.2235443930530392E+16</v>
      </c>
      <c r="M6022" s="471">
        <f t="shared" si="219"/>
        <v>0.05</v>
      </c>
      <c r="N6022" s="475">
        <f t="shared" si="220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18"/>
        <v>-1.2235443930530392E+16</v>
      </c>
      <c r="J6023" s="455">
        <f t="array" ref="J6023">IFERROR(INDEX('Retirement Calculator'!J:J,MATCH('Isaac 401k'!N6023,'Retirement Calculator'!A:A,0),0),0)</f>
        <v>0</v>
      </c>
      <c r="K6023" s="455">
        <f t="shared" ca="1" si="216"/>
        <v>-50981016377209.969</v>
      </c>
      <c r="L6023" s="455">
        <f t="shared" ca="1" si="217"/>
        <v>-1.2286424946907602E+16</v>
      </c>
      <c r="M6023" s="471">
        <f t="shared" si="219"/>
        <v>0.05</v>
      </c>
      <c r="N6023" s="475">
        <f t="shared" si="220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18"/>
        <v>-1.2286424946907602E+16</v>
      </c>
      <c r="J6024" s="455">
        <f t="array" ref="J6024">IFERROR(INDEX('Retirement Calculator'!J:J,MATCH('Isaac 401k'!N6024,'Retirement Calculator'!A:A,0),0),0)</f>
        <v>0</v>
      </c>
      <c r="K6024" s="455">
        <f t="shared" ca="1" si="216"/>
        <v>-51193437278781.672</v>
      </c>
      <c r="L6024" s="455">
        <f t="shared" ca="1" si="217"/>
        <v>-1.2337618384186384E+16</v>
      </c>
      <c r="M6024" s="471">
        <f t="shared" si="219"/>
        <v>0.05</v>
      </c>
      <c r="N6024" s="475">
        <f t="shared" si="220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18"/>
        <v>-1.2337618384186384E+16</v>
      </c>
      <c r="J6025" s="455">
        <f t="array" ref="J6025">IFERROR(INDEX('Retirement Calculator'!J:J,MATCH('Isaac 401k'!N6025,'Retirement Calculator'!A:A,0),0),0)</f>
        <v>0</v>
      </c>
      <c r="K6025" s="455">
        <f t="shared" ca="1" si="216"/>
        <v>-51406743267443.266</v>
      </c>
      <c r="L6025" s="455">
        <f t="shared" ca="1" si="217"/>
        <v>-1.2389025127453828E+16</v>
      </c>
      <c r="M6025" s="471">
        <f t="shared" si="219"/>
        <v>0.05</v>
      </c>
      <c r="N6025" s="475">
        <f t="shared" si="220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18"/>
        <v>-1.2389025127453828E+16</v>
      </c>
      <c r="J6026" s="455">
        <f t="array" ref="J6026">IFERROR(INDEX('Retirement Calculator'!J:J,MATCH('Isaac 401k'!N6026,'Retirement Calculator'!A:A,0),0),0)</f>
        <v>0</v>
      </c>
      <c r="K6026" s="455">
        <f t="shared" ca="1" si="216"/>
        <v>-51620938031057.617</v>
      </c>
      <c r="L6026" s="455">
        <f t="shared" ca="1" si="217"/>
        <v>-1.2440646065484886E+16</v>
      </c>
      <c r="M6026" s="471">
        <f t="shared" si="219"/>
        <v>0.05</v>
      </c>
      <c r="N6026" s="475">
        <f t="shared" si="220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18"/>
        <v>-1.2440646065484886E+16</v>
      </c>
      <c r="J6027" s="455">
        <f t="array" ref="J6027">IFERROR(INDEX('Retirement Calculator'!J:J,MATCH('Isaac 401k'!N6027,'Retirement Calculator'!A:A,0),0),0)</f>
        <v>0</v>
      </c>
      <c r="K6027" s="455">
        <f t="shared" ca="1" si="216"/>
        <v>-51836025272853.688</v>
      </c>
      <c r="L6027" s="455">
        <f t="shared" ca="1" si="217"/>
        <v>-1.249248209075774E+16</v>
      </c>
      <c r="M6027" s="471">
        <f t="shared" si="219"/>
        <v>0.05</v>
      </c>
      <c r="N6027" s="475">
        <f t="shared" si="220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18"/>
        <v>-1.249248209075774E+16</v>
      </c>
      <c r="J6028" s="455">
        <f t="array" ref="J6028">IFERROR(INDEX('Retirement Calculator'!J:J,MATCH('Isaac 401k'!N6028,'Retirement Calculator'!A:A,0),0),0)</f>
        <v>0</v>
      </c>
      <c r="K6028" s="455">
        <f t="shared" ca="1" si="216"/>
        <v>-52052008711490.586</v>
      </c>
      <c r="L6028" s="455">
        <f t="shared" ca="1" si="217"/>
        <v>-1.254453409946923E+16</v>
      </c>
      <c r="M6028" s="471">
        <f t="shared" si="219"/>
        <v>0.05</v>
      </c>
      <c r="N6028" s="475">
        <f t="shared" si="220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18"/>
        <v>-1.254453409946923E+16</v>
      </c>
      <c r="J6029" s="455">
        <f t="array" ref="J6029">IFERROR(INDEX('Retirement Calculator'!J:J,MATCH('Isaac 401k'!N6029,'Retirement Calculator'!A:A,0),0),0)</f>
        <v>0</v>
      </c>
      <c r="K6029" s="455">
        <f t="shared" ca="1" si="216"/>
        <v>-52268892081121.789</v>
      </c>
      <c r="L6029" s="455">
        <f t="shared" ca="1" si="217"/>
        <v>-1.2596802991550352E+16</v>
      </c>
      <c r="M6029" s="471">
        <f t="shared" si="219"/>
        <v>0.05</v>
      </c>
      <c r="N6029" s="475">
        <f t="shared" si="220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18"/>
        <v>-1.2596802991550352E+16</v>
      </c>
      <c r="J6030" s="455">
        <f t="array" ref="J6030">IFERROR(INDEX('Retirement Calculator'!J:J,MATCH('Isaac 401k'!N6030,'Retirement Calculator'!A:A,0),0),0)</f>
        <v>0</v>
      </c>
      <c r="K6030" s="455">
        <f t="shared" ca="1" si="216"/>
        <v>-52486679131459.797</v>
      </c>
      <c r="L6030" s="455">
        <f t="shared" ca="1" si="217"/>
        <v>-1.2649289670681812E+16</v>
      </c>
      <c r="M6030" s="471">
        <f t="shared" si="219"/>
        <v>0.05</v>
      </c>
      <c r="N6030" s="475">
        <f t="shared" si="220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18"/>
        <v>-1.2649289670681812E+16</v>
      </c>
      <c r="J6031" s="455">
        <f t="array" ref="J6031">IFERROR(INDEX('Retirement Calculator'!J:J,MATCH('Isaac 401k'!N6031,'Retirement Calculator'!A:A,0),0),0)</f>
        <v>0</v>
      </c>
      <c r="K6031" s="455">
        <f t="shared" ca="1" si="216"/>
        <v>-52705373627840.883</v>
      </c>
      <c r="L6031" s="455">
        <f t="shared" ca="1" si="217"/>
        <v>-1.2701995044309652E+16</v>
      </c>
      <c r="M6031" s="471">
        <f t="shared" si="219"/>
        <v>0.05</v>
      </c>
      <c r="N6031" s="475">
        <f t="shared" si="220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18"/>
        <v>-1.2701995044309652E+16</v>
      </c>
      <c r="J6032" s="455">
        <f t="array" ref="J6032">IFERROR(INDEX('Retirement Calculator'!J:J,MATCH('Isaac 401k'!N6032,'Retirement Calculator'!A:A,0),0),0)</f>
        <v>0</v>
      </c>
      <c r="K6032" s="455">
        <f t="shared" ca="1" si="216"/>
        <v>-52924979351290.219</v>
      </c>
      <c r="L6032" s="455">
        <f t="shared" ca="1" si="217"/>
        <v>-1.2754920023660942E+16</v>
      </c>
      <c r="M6032" s="471">
        <f t="shared" si="219"/>
        <v>0.05</v>
      </c>
      <c r="N6032" s="475">
        <f t="shared" si="220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18"/>
        <v>-1.2754920023660942E+16</v>
      </c>
      <c r="J6033" s="455">
        <f t="array" ref="J6033">IFERROR(INDEX('Retirement Calculator'!J:J,MATCH('Isaac 401k'!N6033,'Retirement Calculator'!A:A,0),0),0)</f>
        <v>0</v>
      </c>
      <c r="K6033" s="455">
        <f t="shared" ca="1" si="216"/>
        <v>-53145500098587.258</v>
      </c>
      <c r="L6033" s="455">
        <f t="shared" ca="1" si="217"/>
        <v>-1.280806552375953E+16</v>
      </c>
      <c r="M6033" s="471">
        <f t="shared" si="219"/>
        <v>0.05</v>
      </c>
      <c r="N6033" s="475">
        <f t="shared" si="220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18"/>
        <v>-1.280806552375953E+16</v>
      </c>
      <c r="J6034" s="455">
        <f t="array" ref="J6034">IFERROR(INDEX('Retirement Calculator'!J:J,MATCH('Isaac 401k'!N6034,'Retirement Calculator'!A:A,0),0),0)</f>
        <v>0</v>
      </c>
      <c r="K6034" s="455">
        <f t="shared" ca="1" si="216"/>
        <v>-53366939682331.375</v>
      </c>
      <c r="L6034" s="455">
        <f t="shared" ca="1" si="217"/>
        <v>-1.2861432463441862E+16</v>
      </c>
      <c r="M6034" s="471">
        <f t="shared" si="219"/>
        <v>0.05</v>
      </c>
      <c r="N6034" s="475">
        <f t="shared" si="220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18"/>
        <v>-1.2861432463441862E+16</v>
      </c>
      <c r="J6035" s="455">
        <f t="array" ref="J6035">IFERROR(INDEX('Retirement Calculator'!J:J,MATCH('Isaac 401k'!N6035,'Retirement Calculator'!A:A,0),0),0)</f>
        <v>0</v>
      </c>
      <c r="K6035" s="455">
        <f t="shared" ca="1" si="216"/>
        <v>-53589301931007.758</v>
      </c>
      <c r="L6035" s="455">
        <f t="shared" ca="1" si="217"/>
        <v>-1.291502176537287E+16</v>
      </c>
      <c r="M6035" s="471">
        <f t="shared" si="219"/>
        <v>0.05</v>
      </c>
      <c r="N6035" s="475">
        <f t="shared" si="220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18"/>
        <v>-1.291502176537287E+16</v>
      </c>
      <c r="J6036" s="455">
        <f t="array" ref="J6036">IFERROR(INDEX('Retirement Calculator'!J:J,MATCH('Isaac 401k'!N6036,'Retirement Calculator'!A:A,0),0),0)</f>
        <v>0</v>
      </c>
      <c r="K6036" s="455">
        <f t="shared" ca="1" si="216"/>
        <v>-53812590689053.625</v>
      </c>
      <c r="L6036" s="455">
        <f t="shared" ca="1" si="217"/>
        <v>-1.2968834356061924E+16</v>
      </c>
      <c r="M6036" s="471">
        <f t="shared" si="219"/>
        <v>0.05</v>
      </c>
      <c r="N6036" s="475">
        <f t="shared" si="220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18"/>
        <v>-1.2968834356061924E+16</v>
      </c>
      <c r="J6037" s="455">
        <f t="array" ref="J6037">IFERROR(INDEX('Retirement Calculator'!J:J,MATCH('Isaac 401k'!N6037,'Retirement Calculator'!A:A,0),0),0)</f>
        <v>0</v>
      </c>
      <c r="K6037" s="455">
        <f t="shared" ca="1" si="216"/>
        <v>-54036809816924.68</v>
      </c>
      <c r="L6037" s="455">
        <f t="shared" ca="1" si="217"/>
        <v>-1.3022871165878848E+16</v>
      </c>
      <c r="M6037" s="471">
        <f t="shared" si="219"/>
        <v>0.05</v>
      </c>
      <c r="N6037" s="475">
        <f t="shared" si="220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18"/>
        <v>-1.3022871165878848E+16</v>
      </c>
      <c r="J6038" s="455">
        <f t="array" ref="J6038">IFERROR(INDEX('Retirement Calculator'!J:J,MATCH('Isaac 401k'!N6038,'Retirement Calculator'!A:A,0),0),0)</f>
        <v>0</v>
      </c>
      <c r="K6038" s="455">
        <f t="shared" ca="1" si="216"/>
        <v>-54261963191161.867</v>
      </c>
      <c r="L6038" s="455">
        <f t="shared" ca="1" si="217"/>
        <v>-1.307713312907001E+16</v>
      </c>
      <c r="M6038" s="471">
        <f t="shared" si="219"/>
        <v>0.05</v>
      </c>
      <c r="N6038" s="475">
        <f t="shared" si="220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18"/>
        <v>-1.307713312907001E+16</v>
      </c>
      <c r="J6039" s="455">
        <f t="array" ref="J6039">IFERROR(INDEX('Retirement Calculator'!J:J,MATCH('Isaac 401k'!N6039,'Retirement Calculator'!A:A,0),0),0)</f>
        <v>0</v>
      </c>
      <c r="K6039" s="455">
        <f t="shared" ca="1" si="216"/>
        <v>-54488054704458.375</v>
      </c>
      <c r="L6039" s="455">
        <f t="shared" ca="1" si="217"/>
        <v>-1.3131621183774468E+16</v>
      </c>
      <c r="M6039" s="471">
        <f t="shared" si="219"/>
        <v>0.05</v>
      </c>
      <c r="N6039" s="475">
        <f t="shared" si="220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18"/>
        <v>-1.3131621183774468E+16</v>
      </c>
      <c r="J6040" s="455">
        <f t="array" ref="J6040">IFERROR(INDEX('Retirement Calculator'!J:J,MATCH('Isaac 401k'!N6040,'Retirement Calculator'!A:A,0),0),0)</f>
        <v>0</v>
      </c>
      <c r="K6040" s="455">
        <f t="shared" ca="1" si="216"/>
        <v>-54715088265726.953</v>
      </c>
      <c r="L6040" s="455">
        <f t="shared" ca="1" si="217"/>
        <v>-1.3186336272040194E+16</v>
      </c>
      <c r="M6040" s="471">
        <f t="shared" si="219"/>
        <v>0.05</v>
      </c>
      <c r="N6040" s="475">
        <f t="shared" si="220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18"/>
        <v>-1.3186336272040194E+16</v>
      </c>
      <c r="J6041" s="455">
        <f t="array" ref="J6041">IFERROR(INDEX('Retirement Calculator'!J:J,MATCH('Isaac 401k'!N6041,'Retirement Calculator'!A:A,0),0),0)</f>
        <v>0</v>
      </c>
      <c r="K6041" s="455">
        <f t="shared" ca="1" si="216"/>
        <v>-54943067800167.477</v>
      </c>
      <c r="L6041" s="455">
        <f t="shared" ca="1" si="217"/>
        <v>-1.3241279339840362E+16</v>
      </c>
      <c r="M6041" s="471">
        <f t="shared" si="219"/>
        <v>0.05</v>
      </c>
      <c r="N6041" s="475">
        <f t="shared" si="220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18"/>
        <v>-1.3241279339840362E+16</v>
      </c>
      <c r="J6042" s="455">
        <f t="array" ref="J6042">IFERROR(INDEX('Retirement Calculator'!J:J,MATCH('Isaac 401k'!N6042,'Retirement Calculator'!A:A,0),0),0)</f>
        <v>0</v>
      </c>
      <c r="K6042" s="455">
        <f t="shared" ca="1" si="216"/>
        <v>-55171997249334.844</v>
      </c>
      <c r="L6042" s="455">
        <f t="shared" ca="1" si="217"/>
        <v>-1.3296451337089696E+16</v>
      </c>
      <c r="M6042" s="471">
        <f t="shared" si="219"/>
        <v>0.05</v>
      </c>
      <c r="N6042" s="475">
        <f t="shared" si="220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18"/>
        <v>-1.3296451337089696E+16</v>
      </c>
      <c r="J6043" s="455">
        <f t="array" ref="J6043">IFERROR(INDEX('Retirement Calculator'!J:J,MATCH('Isaac 401k'!N6043,'Retirement Calculator'!A:A,0),0),0)</f>
        <v>0</v>
      </c>
      <c r="K6043" s="455">
        <f t="shared" ca="1" si="216"/>
        <v>-55401880571207.063</v>
      </c>
      <c r="L6043" s="455">
        <f t="shared" ca="1" si="217"/>
        <v>-1.3351853217660904E+16</v>
      </c>
      <c r="M6043" s="471">
        <f t="shared" si="219"/>
        <v>0.05</v>
      </c>
      <c r="N6043" s="475">
        <f t="shared" si="220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18"/>
        <v>-1.3351853217660904E+16</v>
      </c>
      <c r="J6044" s="455">
        <f t="array" ref="J6044">IFERROR(INDEX('Retirement Calculator'!J:J,MATCH('Isaac 401k'!N6044,'Retirement Calculator'!A:A,0),0),0)</f>
        <v>0</v>
      </c>
      <c r="K6044" s="455">
        <f t="shared" ca="1" si="216"/>
        <v>-55632721740253.766</v>
      </c>
      <c r="L6044" s="455">
        <f t="shared" ca="1" si="217"/>
        <v>-1.3407485939401158E+16</v>
      </c>
      <c r="M6044" s="471">
        <f t="shared" si="219"/>
        <v>0.05</v>
      </c>
      <c r="N6044" s="475">
        <f t="shared" si="220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18"/>
        <v>-1.3407485939401158E+16</v>
      </c>
      <c r="J6045" s="455">
        <f t="array" ref="J6045">IFERROR(INDEX('Retirement Calculator'!J:J,MATCH('Isaac 401k'!N6045,'Retirement Calculator'!A:A,0),0),0)</f>
        <v>0</v>
      </c>
      <c r="K6045" s="455">
        <f t="shared" ca="1" si="216"/>
        <v>-55864524747504.828</v>
      </c>
      <c r="L6045" s="455">
        <f t="shared" ca="1" si="217"/>
        <v>-1.3463350464148662E+16</v>
      </c>
      <c r="M6045" s="471">
        <f t="shared" si="219"/>
        <v>0.05</v>
      </c>
      <c r="N6045" s="475">
        <f t="shared" si="220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18"/>
        <v>-1.3463350464148662E+16</v>
      </c>
      <c r="J6046" s="455">
        <f t="array" ref="J6046">IFERROR(INDEX('Retirement Calculator'!J:J,MATCH('Isaac 401k'!N6046,'Retirement Calculator'!A:A,0),0),0)</f>
        <v>0</v>
      </c>
      <c r="K6046" s="455">
        <f t="shared" ca="1" si="216"/>
        <v>-56097293600619.422</v>
      </c>
      <c r="L6046" s="455">
        <f t="shared" ca="1" si="217"/>
        <v>-1.3519447757749282E+16</v>
      </c>
      <c r="M6046" s="471">
        <f t="shared" si="219"/>
        <v>0.05</v>
      </c>
      <c r="N6046" s="475">
        <f t="shared" si="220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18"/>
        <v>-1.3519447757749282E+16</v>
      </c>
      <c r="J6047" s="455">
        <f t="array" ref="J6047">IFERROR(INDEX('Retirement Calculator'!J:J,MATCH('Isaac 401k'!N6047,'Retirement Calculator'!A:A,0),0),0)</f>
        <v>0</v>
      </c>
      <c r="K6047" s="455">
        <f t="shared" ca="1" si="216"/>
        <v>-56331032323955.344</v>
      </c>
      <c r="L6047" s="455">
        <f t="shared" ca="1" si="217"/>
        <v>-1.3575778790073238E+16</v>
      </c>
      <c r="M6047" s="471">
        <f t="shared" si="219"/>
        <v>0.05</v>
      </c>
      <c r="N6047" s="475">
        <f t="shared" si="220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18"/>
        <v>-1.3575778790073238E+16</v>
      </c>
      <c r="J6048" s="455">
        <f t="array" ref="J6048">IFERROR(INDEX('Retirement Calculator'!J:J,MATCH('Isaac 401k'!N6048,'Retirement Calculator'!A:A,0),0),0)</f>
        <v>0</v>
      </c>
      <c r="K6048" s="455">
        <f t="shared" ca="1" si="216"/>
        <v>-56565744958638.492</v>
      </c>
      <c r="L6048" s="455">
        <f t="shared" ca="1" si="217"/>
        <v>-1.3632344535031876E+16</v>
      </c>
      <c r="M6048" s="471">
        <f t="shared" si="219"/>
        <v>0.05</v>
      </c>
      <c r="N6048" s="475">
        <f t="shared" si="220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18"/>
        <v>-1.3632344535031876E+16</v>
      </c>
      <c r="J6049" s="455">
        <f t="array" ref="J6049">IFERROR(INDEX('Retirement Calculator'!J:J,MATCH('Isaac 401k'!N6049,'Retirement Calculator'!A:A,0),0),0)</f>
        <v>0</v>
      </c>
      <c r="K6049" s="455">
        <f t="shared" ca="1" si="216"/>
        <v>-56801435562632.813</v>
      </c>
      <c r="L6049" s="455">
        <f t="shared" ca="1" si="217"/>
        <v>-1.3689145970594508E+16</v>
      </c>
      <c r="M6049" s="471">
        <f t="shared" si="219"/>
        <v>0.05</v>
      </c>
      <c r="N6049" s="475">
        <f t="shared" si="220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18"/>
        <v>-1.3689145970594508E+16</v>
      </c>
      <c r="J6050" s="455">
        <f t="array" ref="J6050">IFERROR(INDEX('Retirement Calculator'!J:J,MATCH('Isaac 401k'!N6050,'Retirement Calculator'!A:A,0),0),0)</f>
        <v>0</v>
      </c>
      <c r="K6050" s="455">
        <f t="shared" ca="1" si="216"/>
        <v>-57038108210810.445</v>
      </c>
      <c r="L6050" s="455">
        <f t="shared" ca="1" si="217"/>
        <v>-1.3746184078805318E+16</v>
      </c>
      <c r="M6050" s="471">
        <f t="shared" si="219"/>
        <v>0.05</v>
      </c>
      <c r="N6050" s="475">
        <f t="shared" si="220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18"/>
        <v>-1.3746184078805318E+16</v>
      </c>
      <c r="J6051" s="455">
        <f t="array" ref="J6051">IFERROR(INDEX('Retirement Calculator'!J:J,MATCH('Isaac 401k'!N6051,'Retirement Calculator'!A:A,0),0),0)</f>
        <v>0</v>
      </c>
      <c r="K6051" s="455">
        <f t="shared" ca="1" si="216"/>
        <v>-57275766995022.156</v>
      </c>
      <c r="L6051" s="455">
        <f t="shared" ca="1" si="217"/>
        <v>-1.380345984580034E+16</v>
      </c>
      <c r="M6051" s="471">
        <f t="shared" si="219"/>
        <v>0.05</v>
      </c>
      <c r="N6051" s="475">
        <f t="shared" si="220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18"/>
        <v>-1.380345984580034E+16</v>
      </c>
      <c r="J6052" s="455">
        <f t="array" ref="J6052">IFERROR(INDEX('Retirement Calculator'!J:J,MATCH('Isaac 401k'!N6052,'Retirement Calculator'!A:A,0),0),0)</f>
        <v>0</v>
      </c>
      <c r="K6052" s="455">
        <f t="shared" ca="1" si="216"/>
        <v>-57514416024168.086</v>
      </c>
      <c r="L6052" s="455">
        <f t="shared" ca="1" si="217"/>
        <v>-1.3860974261824508E+16</v>
      </c>
      <c r="M6052" s="471">
        <f t="shared" si="219"/>
        <v>0.05</v>
      </c>
      <c r="N6052" s="475">
        <f t="shared" si="220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18"/>
        <v>-1.3860974261824508E+16</v>
      </c>
      <c r="J6053" s="455">
        <f t="array" ref="J6053">IFERROR(INDEX('Retirement Calculator'!J:J,MATCH('Isaac 401k'!N6053,'Retirement Calculator'!A:A,0),0),0)</f>
        <v>0</v>
      </c>
      <c r="K6053" s="455">
        <f t="shared" ca="1" si="216"/>
        <v>-57754059424268.781</v>
      </c>
      <c r="L6053" s="455">
        <f t="shared" ca="1" si="217"/>
        <v>-1.3918728321248776E+16</v>
      </c>
      <c r="M6053" s="471">
        <f t="shared" si="219"/>
        <v>0.05</v>
      </c>
      <c r="N6053" s="475">
        <f t="shared" si="220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18"/>
        <v>-1.3918728321248776E+16</v>
      </c>
      <c r="J6054" s="455">
        <f t="array" ref="J6054">IFERROR(INDEX('Retirement Calculator'!J:J,MATCH('Isaac 401k'!N6054,'Retirement Calculator'!A:A,0),0),0)</f>
        <v>0</v>
      </c>
      <c r="K6054" s="455">
        <f t="shared" ca="1" si="216"/>
        <v>-57994701338536.563</v>
      </c>
      <c r="L6054" s="455">
        <f t="shared" ca="1" si="217"/>
        <v>-1.3976723022587312E+16</v>
      </c>
      <c r="M6054" s="471">
        <f t="shared" si="219"/>
        <v>0.05</v>
      </c>
      <c r="N6054" s="475">
        <f t="shared" si="220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18"/>
        <v>-1.3976723022587312E+16</v>
      </c>
      <c r="J6055" s="455">
        <f t="array" ref="J6055">IFERROR(INDEX('Retirement Calculator'!J:J,MATCH('Isaac 401k'!N6055,'Retirement Calculator'!A:A,0),0),0)</f>
        <v>0</v>
      </c>
      <c r="K6055" s="455">
        <f t="shared" ca="1" si="216"/>
        <v>-58236345927447.133</v>
      </c>
      <c r="L6055" s="455">
        <f t="shared" ca="1" si="217"/>
        <v>-1.403495936851476E+16</v>
      </c>
      <c r="M6055" s="471">
        <f t="shared" si="219"/>
        <v>0.05</v>
      </c>
      <c r="N6055" s="475">
        <f t="shared" si="220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18"/>
        <v>-1.403495936851476E+16</v>
      </c>
      <c r="J6056" s="455">
        <f t="array" ref="J6056">IFERROR(INDEX('Retirement Calculator'!J:J,MATCH('Isaac 401k'!N6056,'Retirement Calculator'!A:A,0),0),0)</f>
        <v>0</v>
      </c>
      <c r="K6056" s="455">
        <f t="shared" ca="1" si="216"/>
        <v>-58478997368811.5</v>
      </c>
      <c r="L6056" s="455">
        <f t="shared" ca="1" si="217"/>
        <v>-1.4093438365883572E+16</v>
      </c>
      <c r="M6056" s="471">
        <f t="shared" si="219"/>
        <v>0.05</v>
      </c>
      <c r="N6056" s="475">
        <f t="shared" si="220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18"/>
        <v>-1.4093438365883572E+16</v>
      </c>
      <c r="J6057" s="455">
        <f t="array" ref="J6057">IFERROR(INDEX('Retirement Calculator'!J:J,MATCH('Isaac 401k'!N6057,'Retirement Calculator'!A:A,0),0),0)</f>
        <v>0</v>
      </c>
      <c r="K6057" s="455">
        <f t="shared" ca="1" si="216"/>
        <v>-58722659857848.219</v>
      </c>
      <c r="L6057" s="455">
        <f t="shared" ca="1" si="217"/>
        <v>-1.415216102574142E+16</v>
      </c>
      <c r="M6057" s="471">
        <f t="shared" si="219"/>
        <v>0.05</v>
      </c>
      <c r="N6057" s="475">
        <f t="shared" si="220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18"/>
        <v>-1.415216102574142E+16</v>
      </c>
      <c r="J6058" s="455">
        <f t="array" ref="J6058">IFERROR(INDEX('Retirement Calculator'!J:J,MATCH('Isaac 401k'!N6058,'Retirement Calculator'!A:A,0),0),0)</f>
        <v>0</v>
      </c>
      <c r="K6058" s="455">
        <f t="shared" ca="1" si="216"/>
        <v>-58967337607255.906</v>
      </c>
      <c r="L6058" s="455">
        <f t="shared" ca="1" si="217"/>
        <v>-1.4211128363348676E+16</v>
      </c>
      <c r="M6058" s="471">
        <f t="shared" si="219"/>
        <v>0.05</v>
      </c>
      <c r="N6058" s="475">
        <f t="shared" si="220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18"/>
        <v>-1.4211128363348676E+16</v>
      </c>
      <c r="J6059" s="455">
        <f t="array" ref="J6059">IFERROR(INDEX('Retirement Calculator'!J:J,MATCH('Isaac 401k'!N6059,'Retirement Calculator'!A:A,0),0),0)</f>
        <v>0</v>
      </c>
      <c r="K6059" s="455">
        <f t="shared" ca="1" si="216"/>
        <v>-59213034847286.148</v>
      </c>
      <c r="L6059" s="455">
        <f t="shared" ca="1" si="217"/>
        <v>-1.4270341398195962E+16</v>
      </c>
      <c r="M6059" s="471">
        <f t="shared" si="219"/>
        <v>0.05</v>
      </c>
      <c r="N6059" s="475">
        <f t="shared" si="220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18"/>
        <v>-1.4270341398195962E+16</v>
      </c>
      <c r="J6060" s="455">
        <f t="array" ref="J6060">IFERROR(INDEX('Retirement Calculator'!J:J,MATCH('Isaac 401k'!N6060,'Retirement Calculator'!A:A,0),0),0)</f>
        <v>0</v>
      </c>
      <c r="K6060" s="455">
        <f t="shared" ca="1" si="216"/>
        <v>-59459755825816.508</v>
      </c>
      <c r="L6060" s="455">
        <f t="shared" ca="1" si="217"/>
        <v>-1.4329801154021778E+16</v>
      </c>
      <c r="M6060" s="471">
        <f t="shared" si="219"/>
        <v>0.05</v>
      </c>
      <c r="N6060" s="475">
        <f t="shared" si="220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18"/>
        <v>-1.4329801154021778E+16</v>
      </c>
      <c r="J6061" s="455">
        <f t="array" ref="J6061">IFERROR(INDEX('Retirement Calculator'!J:J,MATCH('Isaac 401k'!N6061,'Retirement Calculator'!A:A,0),0),0)</f>
        <v>0</v>
      </c>
      <c r="K6061" s="455">
        <f t="shared" ca="1" si="216"/>
        <v>-59707504808424.07</v>
      </c>
      <c r="L6061" s="455">
        <f t="shared" ca="1" si="217"/>
        <v>-1.4389508658830202E+16</v>
      </c>
      <c r="M6061" s="471">
        <f t="shared" si="219"/>
        <v>0.05</v>
      </c>
      <c r="N6061" s="475">
        <f t="shared" si="220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18"/>
        <v>-1.4389508658830202E+16</v>
      </c>
      <c r="J6062" s="455">
        <f t="array" ref="J6062">IFERROR(INDEX('Retirement Calculator'!J:J,MATCH('Isaac 401k'!N6062,'Retirement Calculator'!A:A,0),0),0)</f>
        <v>0</v>
      </c>
      <c r="K6062" s="455">
        <f t="shared" ca="1" si="216"/>
        <v>-59956286078459.172</v>
      </c>
      <c r="L6062" s="455">
        <f t="shared" ca="1" si="217"/>
        <v>-1.4449464944908662E+16</v>
      </c>
      <c r="M6062" s="471">
        <f t="shared" si="219"/>
        <v>0.05</v>
      </c>
      <c r="N6062" s="475">
        <f t="shared" si="220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18"/>
        <v>-1.4449464944908662E+16</v>
      </c>
      <c r="J6063" s="455">
        <f t="array" ref="J6063">IFERROR(INDEX('Retirement Calculator'!J:J,MATCH('Isaac 401k'!N6063,'Retirement Calculator'!A:A,0),0),0)</f>
        <v>0</v>
      </c>
      <c r="K6063" s="455">
        <f t="shared" ca="1" si="216"/>
        <v>-60206103937119.422</v>
      </c>
      <c r="L6063" s="455">
        <f t="shared" ca="1" si="217"/>
        <v>-1.4509671048845782E+16</v>
      </c>
      <c r="M6063" s="471">
        <f t="shared" si="219"/>
        <v>0.05</v>
      </c>
      <c r="N6063" s="475">
        <f t="shared" si="220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18"/>
        <v>-1.4509671048845782E+16</v>
      </c>
      <c r="J6064" s="455">
        <f t="array" ref="J6064">IFERROR(INDEX('Retirement Calculator'!J:J,MATCH('Isaac 401k'!N6064,'Retirement Calculator'!A:A,0),0),0)</f>
        <v>0</v>
      </c>
      <c r="K6064" s="455">
        <f t="shared" ca="1" si="216"/>
        <v>-60456962703524.102</v>
      </c>
      <c r="L6064" s="455">
        <f t="shared" ca="1" si="217"/>
        <v>-1.4570128011549306E+16</v>
      </c>
      <c r="M6064" s="471">
        <f t="shared" si="219"/>
        <v>0.05</v>
      </c>
      <c r="N6064" s="475">
        <f t="shared" si="220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18"/>
        <v>-1.4570128011549306E+16</v>
      </c>
      <c r="J6065" s="455">
        <f t="array" ref="J6065">IFERROR(INDEX('Retirement Calculator'!J:J,MATCH('Isaac 401k'!N6065,'Retirement Calculator'!A:A,0),0),0)</f>
        <v>0</v>
      </c>
      <c r="K6065" s="455">
        <f t="shared" ca="1" si="216"/>
        <v>-60708866714788.781</v>
      </c>
      <c r="L6065" s="455">
        <f t="shared" ca="1" si="217"/>
        <v>-1.4630836878264094E+16</v>
      </c>
      <c r="M6065" s="471">
        <f t="shared" si="219"/>
        <v>0.05</v>
      </c>
      <c r="N6065" s="475">
        <f t="shared" si="220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18"/>
        <v>-1.4630836878264094E+16</v>
      </c>
      <c r="J6066" s="455">
        <f t="array" ref="J6066">IFERROR(INDEX('Retirement Calculator'!J:J,MATCH('Isaac 401k'!N6066,'Retirement Calculator'!A:A,0),0),0)</f>
        <v>0</v>
      </c>
      <c r="K6066" s="455">
        <f t="shared" ca="1" si="216"/>
        <v>-60961820326100.391</v>
      </c>
      <c r="L6066" s="455">
        <f t="shared" ca="1" si="217"/>
        <v>-1.4691798698590194E+16</v>
      </c>
      <c r="M6066" s="471">
        <f t="shared" si="219"/>
        <v>0.05</v>
      </c>
      <c r="N6066" s="475">
        <f t="shared" si="220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18"/>
        <v>-1.4691798698590194E+16</v>
      </c>
      <c r="J6067" s="455">
        <f t="array" ref="J6067">IFERROR(INDEX('Retirement Calculator'!J:J,MATCH('Isaac 401k'!N6067,'Retirement Calculator'!A:A,0),0),0)</f>
        <v>0</v>
      </c>
      <c r="K6067" s="455">
        <f t="shared" ca="1" si="216"/>
        <v>-61215827910792.477</v>
      </c>
      <c r="L6067" s="455">
        <f t="shared" ca="1" si="217"/>
        <v>-1.4753014526500986E+16</v>
      </c>
      <c r="M6067" s="471">
        <f t="shared" si="219"/>
        <v>0.05</v>
      </c>
      <c r="N6067" s="475">
        <f t="shared" si="220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18"/>
        <v>-1.4753014526500986E+16</v>
      </c>
      <c r="J6068" s="455">
        <f t="array" ref="J6068">IFERROR(INDEX('Retirement Calculator'!J:J,MATCH('Isaac 401k'!N6068,'Retirement Calculator'!A:A,0),0),0)</f>
        <v>0</v>
      </c>
      <c r="K6068" s="455">
        <f t="shared" ca="1" si="216"/>
        <v>-61470893860420.781</v>
      </c>
      <c r="L6068" s="455">
        <f t="shared" ca="1" si="217"/>
        <v>-1.4814485420361406E+16</v>
      </c>
      <c r="M6068" s="471">
        <f t="shared" si="219"/>
        <v>0.05</v>
      </c>
      <c r="N6068" s="475">
        <f t="shared" si="220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18"/>
        <v>-1.4814485420361406E+16</v>
      </c>
      <c r="J6069" s="455">
        <f t="array" ref="J6069">IFERROR(INDEX('Retirement Calculator'!J:J,MATCH('Isaac 401k'!N6069,'Retirement Calculator'!A:A,0),0),0)</f>
        <v>0</v>
      </c>
      <c r="K6069" s="455">
        <f t="shared" ca="1" si="216"/>
        <v>-61727022584839.188</v>
      </c>
      <c r="L6069" s="455">
        <f t="shared" ca="1" si="217"/>
        <v>-1.4876212442946246E+16</v>
      </c>
      <c r="M6069" s="471">
        <f t="shared" si="219"/>
        <v>0.05</v>
      </c>
      <c r="N6069" s="475">
        <f t="shared" si="220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18"/>
        <v>-1.4876212442946246E+16</v>
      </c>
      <c r="J6070" s="455">
        <f t="array" ref="J6070">IFERROR(INDEX('Retirement Calculator'!J:J,MATCH('Isaac 401k'!N6070,'Retirement Calculator'!A:A,0),0),0)</f>
        <v>0</v>
      </c>
      <c r="K6070" s="455">
        <f t="shared" ca="1" si="216"/>
        <v>-61984218512276.023</v>
      </c>
      <c r="L6070" s="455">
        <f t="shared" ca="1" si="217"/>
        <v>-1.4938196661458522E+16</v>
      </c>
      <c r="M6070" s="471">
        <f t="shared" si="219"/>
        <v>0.05</v>
      </c>
      <c r="N6070" s="475">
        <f t="shared" si="220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18"/>
        <v>-1.4938196661458522E+16</v>
      </c>
      <c r="J6071" s="455">
        <f t="array" ref="J6071">IFERROR(INDEX('Retirement Calculator'!J:J,MATCH('Isaac 401k'!N6071,'Retirement Calculator'!A:A,0),0),0)</f>
        <v>0</v>
      </c>
      <c r="K6071" s="455">
        <f t="shared" ca="1" si="216"/>
        <v>-62242486089410.508</v>
      </c>
      <c r="L6071" s="455">
        <f t="shared" ca="1" si="217"/>
        <v>-1.5000439147547932E+16</v>
      </c>
      <c r="M6071" s="471">
        <f t="shared" si="219"/>
        <v>0.05</v>
      </c>
      <c r="N6071" s="475">
        <f t="shared" si="220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18"/>
        <v>-1.5000439147547932E+16</v>
      </c>
      <c r="J6072" s="455">
        <f t="array" ref="J6072">IFERROR(INDEX('Retirement Calculator'!J:J,MATCH('Isaac 401k'!N6072,'Retirement Calculator'!A:A,0),0),0)</f>
        <v>0</v>
      </c>
      <c r="K6072" s="455">
        <f t="shared" ca="1" si="216"/>
        <v>-62501829781449.719</v>
      </c>
      <c r="L6072" s="455">
        <f t="shared" ca="1" si="217"/>
        <v>-1.5062940977329382E+16</v>
      </c>
      <c r="M6072" s="471">
        <f t="shared" si="219"/>
        <v>0.05</v>
      </c>
      <c r="N6072" s="475">
        <f t="shared" si="220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18"/>
        <v>-1.5062940977329382E+16</v>
      </c>
      <c r="J6073" s="455">
        <f t="array" ref="J6073">IFERROR(INDEX('Retirement Calculator'!J:J,MATCH('Isaac 401k'!N6073,'Retirement Calculator'!A:A,0),0),0)</f>
        <v>0</v>
      </c>
      <c r="K6073" s="455">
        <f t="shared" ca="1" si="216"/>
        <v>-62762254072205.758</v>
      </c>
      <c r="L6073" s="455">
        <f t="shared" ca="1" si="217"/>
        <v>-1.5125703231401588E+16</v>
      </c>
      <c r="M6073" s="471">
        <f t="shared" si="219"/>
        <v>0.05</v>
      </c>
      <c r="N6073" s="475">
        <f t="shared" si="220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18"/>
        <v>-1.5125703231401588E+16</v>
      </c>
      <c r="J6074" s="455">
        <f t="array" ref="J6074">IFERROR(INDEX('Retirement Calculator'!J:J,MATCH('Isaac 401k'!N6074,'Retirement Calculator'!A:A,0),0),0)</f>
        <v>0</v>
      </c>
      <c r="K6074" s="455">
        <f t="shared" ca="1" si="216"/>
        <v>-63023763464173.281</v>
      </c>
      <c r="L6074" s="455">
        <f t="shared" ca="1" si="217"/>
        <v>-1.5188726994865762E+16</v>
      </c>
      <c r="M6074" s="471">
        <f t="shared" si="219"/>
        <v>0.05</v>
      </c>
      <c r="N6074" s="475">
        <f t="shared" si="220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18"/>
        <v>-1.5188726994865762E+16</v>
      </c>
      <c r="J6075" s="455">
        <f t="array" ref="J6075">IFERROR(INDEX('Retirement Calculator'!J:J,MATCH('Isaac 401k'!N6075,'Retirement Calculator'!A:A,0),0),0)</f>
        <v>0</v>
      </c>
      <c r="K6075" s="455">
        <f t="shared" ca="1" si="216"/>
        <v>-63286362478607.344</v>
      </c>
      <c r="L6075" s="455">
        <f t="shared" ca="1" si="217"/>
        <v>-1.525201335734437E+16</v>
      </c>
      <c r="M6075" s="471">
        <f t="shared" si="219"/>
        <v>0.05</v>
      </c>
      <c r="N6075" s="475">
        <f t="shared" si="220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18"/>
        <v>-1.525201335734437E+16</v>
      </c>
      <c r="J6076" s="455">
        <f t="array" ref="J6076">IFERROR(INDEX('Retirement Calculator'!J:J,MATCH('Isaac 401k'!N6076,'Retirement Calculator'!A:A,0),0),0)</f>
        <v>0</v>
      </c>
      <c r="K6076" s="455">
        <f t="shared" ca="1" si="216"/>
        <v>-63550055655601.531</v>
      </c>
      <c r="L6076" s="455">
        <f t="shared" ca="1" si="217"/>
        <v>-1.5315563412999972E+16</v>
      </c>
      <c r="M6076" s="471">
        <f t="shared" si="219"/>
        <v>0.05</v>
      </c>
      <c r="N6076" s="475">
        <f t="shared" si="220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18"/>
        <v>-1.5315563412999972E+16</v>
      </c>
      <c r="J6077" s="455">
        <f t="array" ref="J6077">IFERROR(INDEX('Retirement Calculator'!J:J,MATCH('Isaac 401k'!N6077,'Retirement Calculator'!A:A,0),0),0)</f>
        <v>0</v>
      </c>
      <c r="K6077" s="455">
        <f t="shared" ca="1" si="216"/>
        <v>-63814847554166.547</v>
      </c>
      <c r="L6077" s="455">
        <f t="shared" ca="1" si="217"/>
        <v>-1.5379378260554138E+16</v>
      </c>
      <c r="M6077" s="471">
        <f t="shared" si="219"/>
        <v>0.05</v>
      </c>
      <c r="N6077" s="475">
        <f t="shared" si="220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18"/>
        <v>-1.5379378260554138E+16</v>
      </c>
      <c r="J6078" s="455">
        <f t="array" ref="J6078">IFERROR(INDEX('Retirement Calculator'!J:J,MATCH('Isaac 401k'!N6078,'Retirement Calculator'!A:A,0),0),0)</f>
        <v>0</v>
      </c>
      <c r="K6078" s="455">
        <f t="shared" ca="1" si="216"/>
        <v>-64080742752308.906</v>
      </c>
      <c r="L6078" s="455">
        <f t="shared" ca="1" si="217"/>
        <v>-1.5443459003306446E+16</v>
      </c>
      <c r="M6078" s="471">
        <f t="shared" si="219"/>
        <v>0.05</v>
      </c>
      <c r="N6078" s="475">
        <f t="shared" si="220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18"/>
        <v>-1.5443459003306446E+16</v>
      </c>
      <c r="J6079" s="455">
        <f t="array" ref="J6079">IFERROR(INDEX('Retirement Calculator'!J:J,MATCH('Isaac 401k'!N6079,'Retirement Calculator'!A:A,0),0),0)</f>
        <v>0</v>
      </c>
      <c r="K6079" s="455">
        <f t="shared" ca="1" si="216"/>
        <v>-64347745847110.18</v>
      </c>
      <c r="L6079" s="455">
        <f t="shared" ca="1" si="217"/>
        <v>-1.5507806749153556E+16</v>
      </c>
      <c r="M6079" s="471">
        <f t="shared" si="219"/>
        <v>0.05</v>
      </c>
      <c r="N6079" s="475">
        <f t="shared" si="220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18"/>
        <v>-1.5507806749153556E+16</v>
      </c>
      <c r="J6080" s="455">
        <f t="array" ref="J6080">IFERROR(INDEX('Retirement Calculator'!J:J,MATCH('Isaac 401k'!N6080,'Retirement Calculator'!A:A,0),0),0)</f>
        <v>0</v>
      </c>
      <c r="K6080" s="455">
        <f t="shared" ca="1" si="216"/>
        <v>-64615861454806.484</v>
      </c>
      <c r="L6080" s="455">
        <f t="shared" ca="1" si="217"/>
        <v>-1.5572422610608362E+16</v>
      </c>
      <c r="M6080" s="471">
        <f t="shared" si="219"/>
        <v>0.05</v>
      </c>
      <c r="N6080" s="475">
        <f t="shared" si="220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18"/>
        <v>-1.5572422610608362E+16</v>
      </c>
      <c r="J6081" s="455">
        <f t="array" ref="J6081">IFERROR(INDEX('Retirement Calculator'!J:J,MATCH('Isaac 401k'!N6081,'Retirement Calculator'!A:A,0),0),0)</f>
        <v>0</v>
      </c>
      <c r="K6081" s="455">
        <f t="shared" ca="1" si="216"/>
        <v>-64885094210868.172</v>
      </c>
      <c r="L6081" s="455">
        <f t="shared" ca="1" si="217"/>
        <v>-1.563730770481923E+16</v>
      </c>
      <c r="M6081" s="471">
        <f t="shared" si="219"/>
        <v>0.05</v>
      </c>
      <c r="N6081" s="475">
        <f t="shared" si="220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18"/>
        <v>-1.563730770481923E+16</v>
      </c>
      <c r="J6082" s="455">
        <f t="array" ref="J6082">IFERROR(INDEX('Retirement Calculator'!J:J,MATCH('Isaac 401k'!N6082,'Retirement Calculator'!A:A,0),0),0)</f>
        <v>0</v>
      </c>
      <c r="K6082" s="455">
        <f t="shared" ca="1" si="216"/>
        <v>-65155448770080.133</v>
      </c>
      <c r="L6082" s="455">
        <f t="shared" ca="1" si="217"/>
        <v>-1.570246315358931E+16</v>
      </c>
      <c r="M6082" s="471">
        <f t="shared" si="219"/>
        <v>0.05</v>
      </c>
      <c r="N6082" s="475">
        <f t="shared" si="220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18"/>
        <v>-1.570246315358931E+16</v>
      </c>
      <c r="J6083" s="455">
        <f t="array" ref="J6083">IFERROR(INDEX('Retirement Calculator'!J:J,MATCH('Isaac 401k'!N6083,'Retirement Calculator'!A:A,0),0),0)</f>
        <v>0</v>
      </c>
      <c r="K6083" s="455">
        <f t="shared" ca="1" si="216"/>
        <v>-65426929806622.125</v>
      </c>
      <c r="L6083" s="455">
        <f t="shared" ca="1" si="217"/>
        <v>-1.5767890083395932E+16</v>
      </c>
      <c r="M6083" s="471">
        <f t="shared" si="219"/>
        <v>0.05</v>
      </c>
      <c r="N6083" s="475">
        <f t="shared" si="220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18"/>
        <v>-1.5767890083395932E+16</v>
      </c>
      <c r="J6084" s="455">
        <f t="array" ref="J6084">IFERROR(INDEX('Retirement Calculator'!J:J,MATCH('Isaac 401k'!N6084,'Retirement Calculator'!A:A,0),0),0)</f>
        <v>0</v>
      </c>
      <c r="K6084" s="455">
        <f t="shared" ca="1" si="216"/>
        <v>-65699542014149.727</v>
      </c>
      <c r="L6084" s="455">
        <f t="shared" ca="1" si="217"/>
        <v>-1.5833589625410082E+16</v>
      </c>
      <c r="M6084" s="471">
        <f t="shared" si="219"/>
        <v>0.05</v>
      </c>
      <c r="N6084" s="475">
        <f t="shared" si="220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18"/>
        <v>-1.5833589625410082E+16</v>
      </c>
      <c r="J6085" s="455">
        <f t="array" ref="J6085">IFERROR(INDEX('Retirement Calculator'!J:J,MATCH('Isaac 401k'!N6085,'Retirement Calculator'!A:A,0),0),0)</f>
        <v>0</v>
      </c>
      <c r="K6085" s="455">
        <f t="shared" ca="1" si="216"/>
        <v>-65973290105875.344</v>
      </c>
      <c r="L6085" s="455">
        <f t="shared" ca="1" si="217"/>
        <v>-1.5899562915515958E+16</v>
      </c>
      <c r="M6085" s="471">
        <f t="shared" si="219"/>
        <v>0.05</v>
      </c>
      <c r="N6085" s="475">
        <f t="shared" si="220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18"/>
        <v>-1.5899562915515958E+16</v>
      </c>
      <c r="J6086" s="455">
        <f t="array" ref="J6086">IFERROR(INDEX('Retirement Calculator'!J:J,MATCH('Isaac 401k'!N6086,'Retirement Calculator'!A:A,0),0),0)</f>
        <v>0</v>
      </c>
      <c r="K6086" s="455">
        <f t="shared" ca="1" si="216"/>
        <v>-66248178814649.82</v>
      </c>
      <c r="L6086" s="455">
        <f t="shared" ca="1" si="217"/>
        <v>-1.5965811094330608E+16</v>
      </c>
      <c r="M6086" s="471">
        <f t="shared" si="219"/>
        <v>0.05</v>
      </c>
      <c r="N6086" s="475">
        <f t="shared" si="220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18"/>
        <v>-1.5965811094330608E+16</v>
      </c>
      <c r="J6087" s="455">
        <f t="array" ref="J6087">IFERROR(INDEX('Retirement Calculator'!J:J,MATCH('Isaac 401k'!N6087,'Retirement Calculator'!A:A,0),0),0)</f>
        <v>0</v>
      </c>
      <c r="K6087" s="455">
        <f t="shared" ca="1" si="216"/>
        <v>-66524212893044.188</v>
      </c>
      <c r="L6087" s="455">
        <f t="shared" ca="1" si="217"/>
        <v>-1.6032335307223652E+16</v>
      </c>
      <c r="M6087" s="471">
        <f t="shared" si="219"/>
        <v>0.05</v>
      </c>
      <c r="N6087" s="475">
        <f t="shared" si="220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18"/>
        <v>-1.6032335307223652E+16</v>
      </c>
      <c r="J6088" s="455">
        <f t="array" ref="J6088">IFERROR(INDEX('Retirement Calculator'!J:J,MATCH('Isaac 401k'!N6088,'Retirement Calculator'!A:A,0),0),0)</f>
        <v>0</v>
      </c>
      <c r="K6088" s="455">
        <f t="shared" ca="1" si="216"/>
        <v>-66801397113431.891</v>
      </c>
      <c r="L6088" s="455">
        <f t="shared" ca="1" si="217"/>
        <v>-1.6099136704337084E+16</v>
      </c>
      <c r="M6088" s="471">
        <f t="shared" si="219"/>
        <v>0.05</v>
      </c>
      <c r="N6088" s="475">
        <f t="shared" si="220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18"/>
        <v>-1.6099136704337084E+16</v>
      </c>
      <c r="J6089" s="455">
        <f t="array" ref="J6089">IFERROR(INDEX('Retirement Calculator'!J:J,MATCH('Isaac 401k'!N6089,'Retirement Calculator'!A:A,0),0),0)</f>
        <v>0</v>
      </c>
      <c r="K6089" s="455">
        <f t="shared" ca="1" si="216"/>
        <v>-67079736268071.188</v>
      </c>
      <c r="L6089" s="455">
        <f t="shared" ca="1" si="217"/>
        <v>-1.6166216440605156E+16</v>
      </c>
      <c r="M6089" s="471">
        <f t="shared" si="219"/>
        <v>0.05</v>
      </c>
      <c r="N6089" s="475">
        <f t="shared" si="220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18"/>
        <v>-1.6166216440605156E+16</v>
      </c>
      <c r="J6090" s="455">
        <f t="array" ref="J6090">IFERROR(INDEX('Retirement Calculator'!J:J,MATCH('Isaac 401k'!N6090,'Retirement Calculator'!A:A,0),0),0)</f>
        <v>0</v>
      </c>
      <c r="K6090" s="455">
        <f t="shared" ca="1" si="216"/>
        <v>-67359235169188.148</v>
      </c>
      <c r="L6090" s="455">
        <f t="shared" ca="1" si="217"/>
        <v>-1.6233575675774344E+16</v>
      </c>
      <c r="M6090" s="471">
        <f t="shared" si="219"/>
        <v>0.05</v>
      </c>
      <c r="N6090" s="475">
        <f t="shared" si="220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18"/>
        <v>-1.6233575675774344E+16</v>
      </c>
      <c r="J6091" s="455">
        <f t="array" ref="J6091">IFERROR(INDEX('Retirement Calculator'!J:J,MATCH('Isaac 401k'!N6091,'Retirement Calculator'!A:A,0),0),0)</f>
        <v>0</v>
      </c>
      <c r="K6091" s="455">
        <f t="shared" ca="1" si="216"/>
        <v>-67639898649059.766</v>
      </c>
      <c r="L6091" s="455">
        <f t="shared" ca="1" si="217"/>
        <v>-1.6301215574423404E+16</v>
      </c>
      <c r="M6091" s="471">
        <f t="shared" si="219"/>
        <v>0.05</v>
      </c>
      <c r="N6091" s="475">
        <f t="shared" si="220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18"/>
        <v>-1.6301215574423404E+16</v>
      </c>
      <c r="J6092" s="455">
        <f t="array" ref="J6092">IFERROR(INDEX('Retirement Calculator'!J:J,MATCH('Isaac 401k'!N6092,'Retirement Calculator'!A:A,0),0),0)</f>
        <v>0</v>
      </c>
      <c r="K6092" s="455">
        <f t="shared" ca="1" si="216"/>
        <v>-67921731560097.516</v>
      </c>
      <c r="L6092" s="455">
        <f t="shared" ca="1" si="217"/>
        <v>-1.6369137305983502E+16</v>
      </c>
      <c r="M6092" s="471">
        <f t="shared" si="219"/>
        <v>0.05</v>
      </c>
      <c r="N6092" s="475">
        <f t="shared" si="220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18"/>
        <v>-1.6369137305983502E+16</v>
      </c>
      <c r="J6093" s="455">
        <f t="array" ref="J6093">IFERROR(INDEX('Retirement Calculator'!J:J,MATCH('Isaac 401k'!N6093,'Retirement Calculator'!A:A,0),0),0)</f>
        <v>0</v>
      </c>
      <c r="K6093" s="455">
        <f t="shared" ca="1" si="216"/>
        <v>-68204738774931.258</v>
      </c>
      <c r="L6093" s="455">
        <f t="shared" ca="1" si="217"/>
        <v>-1.6437342044758434E+16</v>
      </c>
      <c r="M6093" s="471">
        <f t="shared" si="219"/>
        <v>0.05</v>
      </c>
      <c r="N6093" s="475">
        <f t="shared" si="220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18"/>
        <v>-1.6437342044758434E+16</v>
      </c>
      <c r="J6094" s="455">
        <f t="array" ref="J6094">IFERROR(INDEX('Retirement Calculator'!J:J,MATCH('Isaac 401k'!N6094,'Retirement Calculator'!A:A,0),0),0)</f>
        <v>0</v>
      </c>
      <c r="K6094" s="455">
        <f t="shared" ca="1" si="216"/>
        <v>-68488925186493.477</v>
      </c>
      <c r="L6094" s="455">
        <f t="shared" ca="1" si="217"/>
        <v>-1.6505830969944928E+16</v>
      </c>
      <c r="M6094" s="471">
        <f t="shared" si="219"/>
        <v>0.05</v>
      </c>
      <c r="N6094" s="475">
        <f t="shared" si="220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18"/>
        <v>-1.6505830969944928E+16</v>
      </c>
      <c r="J6095" s="455">
        <f t="array" ref="J6095">IFERROR(INDEX('Retirement Calculator'!J:J,MATCH('Isaac 401k'!N6095,'Retirement Calculator'!A:A,0),0),0)</f>
        <v>0</v>
      </c>
      <c r="K6095" s="455">
        <f t="shared" ca="1" si="216"/>
        <v>-68774295708103.859</v>
      </c>
      <c r="L6095" s="455">
        <f t="shared" ca="1" si="217"/>
        <v>-1.6574605265653032E+16</v>
      </c>
      <c r="M6095" s="471">
        <f t="shared" si="219"/>
        <v>0.05</v>
      </c>
      <c r="N6095" s="475">
        <f t="shared" si="220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18"/>
        <v>-1.6574605265653032E+16</v>
      </c>
      <c r="J6096" s="455">
        <f t="array" ref="J6096">IFERROR(INDEX('Retirement Calculator'!J:J,MATCH('Isaac 401k'!N6096,'Retirement Calculator'!A:A,0),0),0)</f>
        <v>0</v>
      </c>
      <c r="K6096" s="455">
        <f t="shared" ca="1" si="216"/>
        <v>-69060855273554.289</v>
      </c>
      <c r="L6096" s="455">
        <f t="shared" ca="1" si="217"/>
        <v>-1.6643666120926586E+16</v>
      </c>
      <c r="M6096" s="471">
        <f t="shared" si="219"/>
        <v>0.05</v>
      </c>
      <c r="N6096" s="475">
        <f t="shared" si="220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18"/>
        <v>-1.6643666120926586E+16</v>
      </c>
      <c r="J6097" s="455">
        <f t="array" ref="J6097">IFERROR(INDEX('Retirement Calculator'!J:J,MATCH('Isaac 401k'!N6097,'Retirement Calculator'!A:A,0),0),0)</f>
        <v>0</v>
      </c>
      <c r="K6097" s="455">
        <f t="shared" ca="1" si="216"/>
        <v>-69348608837194.109</v>
      </c>
      <c r="L6097" s="455">
        <f t="shared" ca="1" si="217"/>
        <v>-1.671301472976378E+16</v>
      </c>
      <c r="M6097" s="471">
        <f t="shared" si="219"/>
        <v>0.05</v>
      </c>
      <c r="N6097" s="475">
        <f t="shared" si="220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18"/>
        <v>-1.671301472976378E+16</v>
      </c>
      <c r="J6098" s="455">
        <f t="array" ref="J6098">IFERROR(INDEX('Retirement Calculator'!J:J,MATCH('Isaac 401k'!N6098,'Retirement Calculator'!A:A,0),0),0)</f>
        <v>0</v>
      </c>
      <c r="K6098" s="455">
        <f t="shared" ca="1" si="216"/>
        <v>-69637561374015.75</v>
      </c>
      <c r="L6098" s="455">
        <f t="shared" ca="1" si="217"/>
        <v>-1.6782652291137796E+16</v>
      </c>
      <c r="M6098" s="471">
        <f t="shared" si="219"/>
        <v>0.05</v>
      </c>
      <c r="N6098" s="475">
        <f t="shared" si="220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18"/>
        <v>-1.6782652291137796E+16</v>
      </c>
      <c r="J6099" s="455">
        <f t="array" ref="J6099">IFERROR(INDEX('Retirement Calculator'!J:J,MATCH('Isaac 401k'!N6099,'Retirement Calculator'!A:A,0),0),0)</f>
        <v>0</v>
      </c>
      <c r="K6099" s="455">
        <f t="shared" ca="1" si="216"/>
        <v>-69927717879740.813</v>
      </c>
      <c r="L6099" s="455">
        <f t="shared" ca="1" si="217"/>
        <v>-1.6852580009017536E+16</v>
      </c>
      <c r="M6099" s="471">
        <f t="shared" si="219"/>
        <v>0.05</v>
      </c>
      <c r="N6099" s="475">
        <f t="shared" si="220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18"/>
        <v>-1.6852580009017536E+16</v>
      </c>
      <c r="J6100" s="455">
        <f t="array" ref="J6100">IFERROR(INDEX('Retirement Calculator'!J:J,MATCH('Isaac 401k'!N6100,'Retirement Calculator'!A:A,0),0),0)</f>
        <v>0</v>
      </c>
      <c r="K6100" s="455">
        <f t="shared" ca="1" si="216"/>
        <v>-70219083370906.398</v>
      </c>
      <c r="L6100" s="455">
        <f t="shared" ca="1" si="217"/>
        <v>-1.6922799092388442E+16</v>
      </c>
      <c r="M6100" s="471">
        <f t="shared" si="219"/>
        <v>0.05</v>
      </c>
      <c r="N6100" s="475">
        <f t="shared" si="220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18"/>
        <v>-1.6922799092388442E+16</v>
      </c>
      <c r="J6101" s="455">
        <f t="array" ref="J6101">IFERROR(INDEX('Retirement Calculator'!J:J,MATCH('Isaac 401k'!N6101,'Retirement Calculator'!A:A,0),0),0)</f>
        <v>0</v>
      </c>
      <c r="K6101" s="455">
        <f t="shared" ca="1" si="216"/>
        <v>-70511662884951.844</v>
      </c>
      <c r="L6101" s="455">
        <f t="shared" ca="1" si="217"/>
        <v>-1.6993310755273394E+16</v>
      </c>
      <c r="M6101" s="471">
        <f t="shared" si="219"/>
        <v>0.05</v>
      </c>
      <c r="N6101" s="475">
        <f t="shared" si="220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18"/>
        <v>-1.6993310755273394E+16</v>
      </c>
      <c r="J6102" s="455">
        <f t="array" ref="J6102">IFERROR(INDEX('Retirement Calculator'!J:J,MATCH('Isaac 401k'!N6102,'Retirement Calculator'!A:A,0),0),0)</f>
        <v>0</v>
      </c>
      <c r="K6102" s="455">
        <f t="shared" ca="1" si="216"/>
        <v>-70805461480305.813</v>
      </c>
      <c r="L6102" s="455">
        <f t="shared" ca="1" si="217"/>
        <v>-1.70641162167537E+16</v>
      </c>
      <c r="M6102" s="471">
        <f t="shared" si="219"/>
        <v>0.05</v>
      </c>
      <c r="N6102" s="475">
        <f t="shared" si="220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18"/>
        <v>-1.70641162167537E+16</v>
      </c>
      <c r="J6103" s="455">
        <f t="array" ref="J6103">IFERROR(INDEX('Retirement Calculator'!J:J,MATCH('Isaac 401k'!N6103,'Retirement Calculator'!A:A,0),0),0)</f>
        <v>0</v>
      </c>
      <c r="K6103" s="455">
        <f t="shared" ca="1" si="216"/>
        <v>-71100484236473.75</v>
      </c>
      <c r="L6103" s="455">
        <f t="shared" ca="1" si="217"/>
        <v>-1.7135216700990174E+16</v>
      </c>
      <c r="M6103" s="471">
        <f t="shared" si="219"/>
        <v>0.05</v>
      </c>
      <c r="N6103" s="475">
        <f t="shared" si="220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18"/>
        <v>-1.7135216700990174E+16</v>
      </c>
      <c r="J6104" s="455">
        <f t="array" ref="J6104">IFERROR(INDEX('Retirement Calculator'!J:J,MATCH('Isaac 401k'!N6104,'Retirement Calculator'!A:A,0),0),0)</f>
        <v>0</v>
      </c>
      <c r="K6104" s="455">
        <f t="shared" ca="1" si="216"/>
        <v>-71396736254125.719</v>
      </c>
      <c r="L6104" s="455">
        <f t="shared" ca="1" si="217"/>
        <v>-1.72066134372443E+16</v>
      </c>
      <c r="M6104" s="471">
        <f t="shared" si="219"/>
        <v>0.05</v>
      </c>
      <c r="N6104" s="475">
        <f t="shared" si="220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18"/>
        <v>-1.72066134372443E+16</v>
      </c>
      <c r="J6105" s="455">
        <f t="array" ref="J6105">IFERROR(INDEX('Retirement Calculator'!J:J,MATCH('Isaac 401k'!N6105,'Retirement Calculator'!A:A,0),0),0)</f>
        <v>0</v>
      </c>
      <c r="K6105" s="455">
        <f t="shared" ca="1" si="216"/>
        <v>-71694222655184.594</v>
      </c>
      <c r="L6105" s="455">
        <f t="shared" ca="1" si="217"/>
        <v>-1.7278307659899484E+16</v>
      </c>
      <c r="M6105" s="471">
        <f t="shared" si="219"/>
        <v>0.05</v>
      </c>
      <c r="N6105" s="475">
        <f t="shared" si="220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18"/>
        <v>-1.7278307659899484E+16</v>
      </c>
      <c r="J6106" s="455">
        <f t="array" ref="J6106">IFERROR(INDEX('Retirement Calculator'!J:J,MATCH('Isaac 401k'!N6106,'Retirement Calculator'!A:A,0),0),0)</f>
        <v>0</v>
      </c>
      <c r="K6106" s="455">
        <f t="shared" ca="1" si="216"/>
        <v>-71992948582914.5</v>
      </c>
      <c r="L6106" s="455">
        <f t="shared" ca="1" si="217"/>
        <v>-1.7350300608482398E+16</v>
      </c>
      <c r="M6106" s="471">
        <f t="shared" si="219"/>
        <v>0.05</v>
      </c>
      <c r="N6106" s="475">
        <f t="shared" si="220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18"/>
        <v>-1.7350300608482398E+16</v>
      </c>
      <c r="J6107" s="455">
        <f t="array" ref="J6107">IFERROR(INDEX('Retirement Calculator'!J:J,MATCH('Isaac 401k'!N6107,'Retirement Calculator'!A:A,0),0),0)</f>
        <v>0</v>
      </c>
      <c r="K6107" s="455">
        <f t="shared" ca="1" si="216"/>
        <v>-72292919202009.984</v>
      </c>
      <c r="L6107" s="455">
        <f t="shared" ca="1" si="217"/>
        <v>-1.7422593527684408E+16</v>
      </c>
      <c r="M6107" s="471">
        <f t="shared" si="219"/>
        <v>0.05</v>
      </c>
      <c r="N6107" s="475">
        <f t="shared" si="220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18"/>
        <v>-1.7422593527684408E+16</v>
      </c>
      <c r="J6108" s="455">
        <f t="array" ref="J6108">IFERROR(INDEX('Retirement Calculator'!J:J,MATCH('Isaac 401k'!N6108,'Retirement Calculator'!A:A,0),0),0)</f>
        <v>0</v>
      </c>
      <c r="K6108" s="455">
        <f t="shared" ca="1" si="216"/>
        <v>-72594139698685.031</v>
      </c>
      <c r="L6108" s="455">
        <f t="shared" ca="1" si="217"/>
        <v>-1.7495187667383094E+16</v>
      </c>
      <c r="M6108" s="471">
        <f t="shared" si="219"/>
        <v>0.05</v>
      </c>
      <c r="N6108" s="475">
        <f t="shared" si="220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18"/>
        <v>-1.7495187667383094E+16</v>
      </c>
      <c r="J6109" s="455">
        <f t="array" ref="J6109">IFERROR(INDEX('Retirement Calculator'!J:J,MATCH('Isaac 401k'!N6109,'Retirement Calculator'!A:A,0),0),0)</f>
        <v>0</v>
      </c>
      <c r="K6109" s="455">
        <f t="shared" ca="1" si="216"/>
        <v>-72896615280762.906</v>
      </c>
      <c r="L6109" s="455">
        <f t="shared" ca="1" si="217"/>
        <v>-1.7568084282663856E+16</v>
      </c>
      <c r="M6109" s="471">
        <f t="shared" si="219"/>
        <v>0.05</v>
      </c>
      <c r="N6109" s="475">
        <f t="shared" si="220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18"/>
        <v>-1.7568084282663856E+16</v>
      </c>
      <c r="J6110" s="455">
        <f t="array" ref="J6110">IFERROR(INDEX('Retirement Calculator'!J:J,MATCH('Isaac 401k'!N6110,'Retirement Calculator'!A:A,0),0),0)</f>
        <v>0</v>
      </c>
      <c r="K6110" s="455">
        <f t="shared" ca="1" si="216"/>
        <v>-73200351177766.063</v>
      </c>
      <c r="L6110" s="455">
        <f t="shared" ca="1" si="217"/>
        <v>-1.7641284633841622E+16</v>
      </c>
      <c r="M6110" s="471">
        <f t="shared" si="219"/>
        <v>0.05</v>
      </c>
      <c r="N6110" s="475">
        <f t="shared" si="220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18"/>
        <v>-1.7641284633841622E+16</v>
      </c>
      <c r="J6111" s="455">
        <f t="array" ref="J6111">IFERROR(INDEX('Retirement Calculator'!J:J,MATCH('Isaac 401k'!N6111,'Retirement Calculator'!A:A,0),0),0)</f>
        <v>0</v>
      </c>
      <c r="K6111" s="455">
        <f t="shared" ca="1" si="216"/>
        <v>-73505352641006.75</v>
      </c>
      <c r="L6111" s="455">
        <f t="shared" ca="1" si="217"/>
        <v>-1.7714789986482628E+16</v>
      </c>
      <c r="M6111" s="471">
        <f t="shared" si="219"/>
        <v>0.05</v>
      </c>
      <c r="N6111" s="475">
        <f t="shared" si="220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18"/>
        <v>-1.7714789986482628E+16</v>
      </c>
      <c r="J6112" s="455">
        <f t="array" ref="J6112">IFERROR(INDEX('Retirement Calculator'!J:J,MATCH('Isaac 401k'!N6112,'Retirement Calculator'!A:A,0),0),0)</f>
        <v>0</v>
      </c>
      <c r="K6112" s="455">
        <f t="shared" ca="1" si="216"/>
        <v>-73811624943677.609</v>
      </c>
      <c r="L6112" s="455">
        <f t="shared" ca="1" si="217"/>
        <v>-1.7788601611426306E+16</v>
      </c>
      <c r="M6112" s="471">
        <f t="shared" si="219"/>
        <v>0.05</v>
      </c>
      <c r="N6112" s="475">
        <f t="shared" si="220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18"/>
        <v>-1.7788601611426306E+16</v>
      </c>
      <c r="J6113" s="455">
        <f t="array" ref="J6113">IFERROR(INDEX('Retirement Calculator'!J:J,MATCH('Isaac 401k'!N6113,'Retirement Calculator'!A:A,0),0),0)</f>
        <v>0</v>
      </c>
      <c r="K6113" s="455">
        <f t="shared" ca="1" si="216"/>
        <v>-74119173380942.938</v>
      </c>
      <c r="L6113" s="455">
        <f t="shared" ca="1" si="217"/>
        <v>-1.7862720784807248E+16</v>
      </c>
      <c r="M6113" s="471">
        <f t="shared" si="219"/>
        <v>0.05</v>
      </c>
      <c r="N6113" s="475">
        <f t="shared" si="220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18"/>
        <v>-1.7862720784807248E+16</v>
      </c>
      <c r="J6114" s="455">
        <f t="array" ref="J6114">IFERROR(INDEX('Retirement Calculator'!J:J,MATCH('Isaac 401k'!N6114,'Retirement Calculator'!A:A,0),0),0)</f>
        <v>0</v>
      </c>
      <c r="K6114" s="455">
        <f t="shared" ca="1" si="216"/>
        <v>-74428003270030.203</v>
      </c>
      <c r="L6114" s="455">
        <f t="shared" ca="1" si="217"/>
        <v>-1.7937148788077278E+16</v>
      </c>
      <c r="M6114" s="471">
        <f t="shared" si="219"/>
        <v>0.05</v>
      </c>
      <c r="N6114" s="475">
        <f t="shared" si="220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18"/>
        <v>-1.7937148788077278E+16</v>
      </c>
      <c r="J6115" s="455">
        <f t="array" ref="J6115">IFERROR(INDEX('Retirement Calculator'!J:J,MATCH('Isaac 401k'!N6115,'Retirement Calculator'!A:A,0),0),0)</f>
        <v>0</v>
      </c>
      <c r="K6115" s="455">
        <f t="shared" ca="1" si="216"/>
        <v>-74738119950322</v>
      </c>
      <c r="L6115" s="455">
        <f t="shared" ca="1" si="217"/>
        <v>-1.80118869080276E+16</v>
      </c>
      <c r="M6115" s="471">
        <f t="shared" si="219"/>
        <v>0.05</v>
      </c>
      <c r="N6115" s="475">
        <f t="shared" si="220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18"/>
        <v>-1.80118869080276E+16</v>
      </c>
      <c r="J6116" s="455">
        <f t="array" ref="J6116">IFERROR(INDEX('Retirement Calculator'!J:J,MATCH('Isaac 401k'!N6116,'Retirement Calculator'!A:A,0),0),0)</f>
        <v>0</v>
      </c>
      <c r="K6116" s="455">
        <f t="shared" ca="1" si="216"/>
        <v>-75049528783448.344</v>
      </c>
      <c r="L6116" s="455">
        <f t="shared" ca="1" si="217"/>
        <v>-1.8086936436811048E+16</v>
      </c>
      <c r="M6116" s="471">
        <f t="shared" si="219"/>
        <v>0.05</v>
      </c>
      <c r="N6116" s="475">
        <f t="shared" si="220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18"/>
        <v>-1.8086936436811048E+16</v>
      </c>
      <c r="J6117" s="455">
        <f t="array" ref="J6117">IFERROR(INDEX('Retirement Calculator'!J:J,MATCH('Isaac 401k'!N6117,'Retirement Calculator'!A:A,0),0),0)</f>
        <v>0</v>
      </c>
      <c r="K6117" s="455">
        <f t="shared" ca="1" si="216"/>
        <v>-75362235153379.359</v>
      </c>
      <c r="L6117" s="455">
        <f t="shared" ca="1" si="217"/>
        <v>-1.8162298671964428E+16</v>
      </c>
      <c r="M6117" s="471">
        <f t="shared" si="219"/>
        <v>0.05</v>
      </c>
      <c r="N6117" s="475">
        <f t="shared" si="220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18"/>
        <v>-1.8162298671964428E+16</v>
      </c>
      <c r="J6118" s="455">
        <f t="array" ref="J6118">IFERROR(INDEX('Retirement Calculator'!J:J,MATCH('Isaac 401k'!N6118,'Retirement Calculator'!A:A,0),0),0)</f>
        <v>0</v>
      </c>
      <c r="K6118" s="455">
        <f t="shared" ca="1" si="216"/>
        <v>-75676244466518.453</v>
      </c>
      <c r="L6118" s="455">
        <f t="shared" ca="1" si="217"/>
        <v>-1.8237974916430948E+16</v>
      </c>
      <c r="M6118" s="471">
        <f t="shared" si="219"/>
        <v>0.05</v>
      </c>
      <c r="N6118" s="475">
        <f t="shared" si="220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18"/>
        <v>-1.8237974916430948E+16</v>
      </c>
      <c r="J6119" s="455">
        <f t="array" ref="J6119">IFERROR(INDEX('Retirement Calculator'!J:J,MATCH('Isaac 401k'!N6119,'Retirement Calculator'!A:A,0),0),0)</f>
        <v>0</v>
      </c>
      <c r="K6119" s="455">
        <f t="shared" ca="1" si="216"/>
        <v>-75991562151795.609</v>
      </c>
      <c r="L6119" s="455">
        <f t="shared" ca="1" si="217"/>
        <v>-1.8313966478582744E+16</v>
      </c>
      <c r="M6119" s="471">
        <f t="shared" si="219"/>
        <v>0.05</v>
      </c>
      <c r="N6119" s="475">
        <f t="shared" si="220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18"/>
        <v>-1.8313966478582744E+16</v>
      </c>
      <c r="J6120" s="455">
        <f t="array" ref="J6120">IFERROR(INDEX('Retirement Calculator'!J:J,MATCH('Isaac 401k'!N6120,'Retirement Calculator'!A:A,0),0),0)</f>
        <v>0</v>
      </c>
      <c r="K6120" s="455">
        <f t="shared" ca="1" si="216"/>
        <v>-76308193660761.438</v>
      </c>
      <c r="L6120" s="455">
        <f t="shared" ca="1" si="217"/>
        <v>-1.8390274672243504E+16</v>
      </c>
      <c r="M6120" s="471">
        <f t="shared" si="219"/>
        <v>0.05</v>
      </c>
      <c r="N6120" s="475">
        <f t="shared" si="220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18"/>
        <v>-1.8390274672243504E+16</v>
      </c>
      <c r="J6121" s="455">
        <f t="array" ref="J6121">IFERROR(INDEX('Retirement Calculator'!J:J,MATCH('Isaac 401k'!N6121,'Retirement Calculator'!A:A,0),0),0)</f>
        <v>0</v>
      </c>
      <c r="K6121" s="455">
        <f t="shared" ca="1" si="216"/>
        <v>-76626144467681.266</v>
      </c>
      <c r="L6121" s="455">
        <f t="shared" ca="1" si="217"/>
        <v>-1.8466900816711184E+16</v>
      </c>
      <c r="M6121" s="471">
        <f t="shared" si="219"/>
        <v>0.05</v>
      </c>
      <c r="N6121" s="475">
        <f t="shared" si="220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18"/>
        <v>-1.8466900816711184E+16</v>
      </c>
      <c r="J6122" s="455">
        <f t="array" ref="J6122">IFERROR(INDEX('Retirement Calculator'!J:J,MATCH('Isaac 401k'!N6122,'Retirement Calculator'!A:A,0),0),0)</f>
        <v>0</v>
      </c>
      <c r="K6122" s="455">
        <f t="shared" ca="1" si="216"/>
        <v>-76945420069629.938</v>
      </c>
      <c r="L6122" s="455">
        <f t="shared" ca="1" si="217"/>
        <v>-1.8543846236780812E+16</v>
      </c>
      <c r="M6122" s="471">
        <f t="shared" si="219"/>
        <v>0.05</v>
      </c>
      <c r="N6122" s="475">
        <f t="shared" si="220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18"/>
        <v>-1.8543846236780812E+16</v>
      </c>
      <c r="J6123" s="455">
        <f t="array" ref="J6123">IFERROR(INDEX('Retirement Calculator'!J:J,MATCH('Isaac 401k'!N6123,'Retirement Calculator'!A:A,0),0),0)</f>
        <v>0</v>
      </c>
      <c r="K6123" s="455">
        <f t="shared" ca="1" si="216"/>
        <v>-77266025986586.719</v>
      </c>
      <c r="L6123" s="455">
        <f t="shared" ca="1" si="217"/>
        <v>-1.86211122627674E+16</v>
      </c>
      <c r="M6123" s="471">
        <f t="shared" si="219"/>
        <v>0.05</v>
      </c>
      <c r="N6123" s="475">
        <f t="shared" si="220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18"/>
        <v>-1.86211122627674E+16</v>
      </c>
      <c r="J6124" s="455">
        <f t="array" ref="J6124">IFERROR(INDEX('Retirement Calculator'!J:J,MATCH('Isaac 401k'!N6124,'Retirement Calculator'!A:A,0),0),0)</f>
        <v>0</v>
      </c>
      <c r="K6124" s="455">
        <f t="shared" ca="1" si="216"/>
        <v>-77587967761530.828</v>
      </c>
      <c r="L6124" s="455">
        <f t="shared" ca="1" si="217"/>
        <v>-1.8698700230528932E+16</v>
      </c>
      <c r="M6124" s="471">
        <f t="shared" si="219"/>
        <v>0.05</v>
      </c>
      <c r="N6124" s="475">
        <f t="shared" si="220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18"/>
        <v>-1.8698700230528932E+16</v>
      </c>
      <c r="J6125" s="455">
        <f t="array" ref="J6125">IFERROR(INDEX('Retirement Calculator'!J:J,MATCH('Isaac 401k'!N6125,'Retirement Calculator'!A:A,0),0),0)</f>
        <v>0</v>
      </c>
      <c r="K6125" s="455">
        <f t="shared" ca="1" si="216"/>
        <v>-77911250960537.219</v>
      </c>
      <c r="L6125" s="455">
        <f t="shared" ca="1" si="217"/>
        <v>-1.8776611481489468E+16</v>
      </c>
      <c r="M6125" s="471">
        <f t="shared" si="219"/>
        <v>0.05</v>
      </c>
      <c r="N6125" s="475">
        <f t="shared" si="220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18"/>
        <v>-1.8776611481489468E+16</v>
      </c>
      <c r="J6126" s="455">
        <f t="array" ref="J6126">IFERROR(INDEX('Retirement Calculator'!J:J,MATCH('Isaac 401k'!N6126,'Retirement Calculator'!A:A,0),0),0)</f>
        <v>0</v>
      </c>
      <c r="K6126" s="455">
        <f t="shared" ca="1" si="216"/>
        <v>-78235881172872.781</v>
      </c>
      <c r="L6126" s="455">
        <f t="shared" ca="1" si="217"/>
        <v>-1.885484736266234E+16</v>
      </c>
      <c r="M6126" s="471">
        <f t="shared" si="219"/>
        <v>0.05</v>
      </c>
      <c r="N6126" s="475">
        <f t="shared" si="220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18"/>
        <v>-1.885484736266234E+16</v>
      </c>
      <c r="J6127" s="455">
        <f t="array" ref="J6127">IFERROR(INDEX('Retirement Calculator'!J:J,MATCH('Isaac 401k'!N6127,'Retirement Calculator'!A:A,0),0),0)</f>
        <v>0</v>
      </c>
      <c r="K6127" s="455">
        <f t="shared" ca="1" si="216"/>
        <v>-78561864011093.078</v>
      </c>
      <c r="L6127" s="455">
        <f t="shared" ca="1" si="217"/>
        <v>-1.8933409226673432E+16</v>
      </c>
      <c r="M6127" s="471">
        <f t="shared" si="219"/>
        <v>0.05</v>
      </c>
      <c r="N6127" s="475">
        <f t="shared" si="220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18"/>
        <v>-1.8933409226673432E+16</v>
      </c>
      <c r="J6128" s="455">
        <f t="array" ref="J6128">IFERROR(INDEX('Retirement Calculator'!J:J,MATCH('Isaac 401k'!N6128,'Retirement Calculator'!A:A,0),0),0)</f>
        <v>0</v>
      </c>
      <c r="K6128" s="455">
        <f t="shared" ref="K6128:K6250" ca="1" si="221">IPMT(M6128/12,1,12,-I6128+J6128,,0)</f>
        <v>-78889205111139.297</v>
      </c>
      <c r="L6128" s="455">
        <f t="shared" ref="L6128:L6250" ca="1" si="222">I6128-J6128+K6128</f>
        <v>-1.9012298431784572E+16</v>
      </c>
      <c r="M6128" s="471">
        <f t="shared" si="219"/>
        <v>0.05</v>
      </c>
      <c r="N6128" s="475">
        <f t="shared" si="220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23">L6128</f>
        <v>-1.9012298431784572E+16</v>
      </c>
      <c r="J6129" s="455">
        <f t="array" ref="J6129">IFERROR(INDEX('Retirement Calculator'!J:J,MATCH('Isaac 401k'!N6129,'Retirement Calculator'!A:A,0),0),0)</f>
        <v>0</v>
      </c>
      <c r="K6129" s="455">
        <f t="shared" ca="1" si="221"/>
        <v>-79217910132435.719</v>
      </c>
      <c r="L6129" s="455">
        <f t="shared" ca="1" si="222"/>
        <v>-1.9091516341917008E+16</v>
      </c>
      <c r="M6129" s="471">
        <f t="shared" ref="M6129:M6250" si="224">M6128</f>
        <v>0.05</v>
      </c>
      <c r="N6129" s="475">
        <f t="shared" ref="N6129:N6250" si="225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23"/>
        <v>-1.9091516341917008E+16</v>
      </c>
      <c r="J6130" s="455">
        <f t="array" ref="J6130">IFERROR(INDEX('Retirement Calculator'!J:J,MATCH('Isaac 401k'!N6130,'Retirement Calculator'!A:A,0),0),0)</f>
        <v>0</v>
      </c>
      <c r="K6130" s="455">
        <f t="shared" ca="1" si="221"/>
        <v>-79547984757987.531</v>
      </c>
      <c r="L6130" s="455">
        <f t="shared" ca="1" si="222"/>
        <v>-1.9171064326674996E+16</v>
      </c>
      <c r="M6130" s="471">
        <f t="shared" si="224"/>
        <v>0.05</v>
      </c>
      <c r="N6130" s="475">
        <f t="shared" si="225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23"/>
        <v>-1.9171064326674996E+16</v>
      </c>
      <c r="J6131" s="455">
        <f t="array" ref="J6131">IFERROR(INDEX('Retirement Calculator'!J:J,MATCH('Isaac 401k'!N6131,'Retirement Calculator'!A:A,0),0),0)</f>
        <v>0</v>
      </c>
      <c r="K6131" s="455">
        <f t="shared" ca="1" si="221"/>
        <v>-79879434694479.156</v>
      </c>
      <c r="L6131" s="455">
        <f t="shared" ca="1" si="222"/>
        <v>-1.9250943761369476E+16</v>
      </c>
      <c r="M6131" s="471">
        <f t="shared" si="224"/>
        <v>0.05</v>
      </c>
      <c r="N6131" s="475">
        <f t="shared" si="225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23"/>
        <v>-1.9250943761369476E+16</v>
      </c>
      <c r="J6132" s="455">
        <f t="array" ref="J6132">IFERROR(INDEX('Retirement Calculator'!J:J,MATCH('Isaac 401k'!N6132,'Retirement Calculator'!A:A,0),0),0)</f>
        <v>0</v>
      </c>
      <c r="K6132" s="455">
        <f t="shared" ca="1" si="221"/>
        <v>-80212265672372.813</v>
      </c>
      <c r="L6132" s="455">
        <f t="shared" ca="1" si="222"/>
        <v>-1.9331156027041848E+16</v>
      </c>
      <c r="M6132" s="471">
        <f t="shared" si="224"/>
        <v>0.05</v>
      </c>
      <c r="N6132" s="475">
        <f t="shared" si="225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23"/>
        <v>-1.9331156027041848E+16</v>
      </c>
      <c r="J6133" s="455">
        <f t="array" ref="J6133">IFERROR(INDEX('Retirement Calculator'!J:J,MATCH('Isaac 401k'!N6133,'Retirement Calculator'!A:A,0),0),0)</f>
        <v>0</v>
      </c>
      <c r="K6133" s="455">
        <f t="shared" ca="1" si="221"/>
        <v>-80546483446007.703</v>
      </c>
      <c r="L6133" s="455">
        <f t="shared" ca="1" si="222"/>
        <v>-1.9411702510487856E+16</v>
      </c>
      <c r="M6133" s="471">
        <f t="shared" si="224"/>
        <v>0.05</v>
      </c>
      <c r="N6133" s="475">
        <f t="shared" si="225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23"/>
        <v>-1.9411702510487856E+16</v>
      </c>
      <c r="J6134" s="455">
        <f t="array" ref="J6134">IFERROR(INDEX('Retirement Calculator'!J:J,MATCH('Isaac 401k'!N6134,'Retirement Calculator'!A:A,0),0),0)</f>
        <v>0</v>
      </c>
      <c r="K6134" s="455">
        <f t="shared" ca="1" si="221"/>
        <v>-80882093793699.406</v>
      </c>
      <c r="L6134" s="455">
        <f t="shared" ca="1" si="222"/>
        <v>-1.9492584604281556E+16</v>
      </c>
      <c r="M6134" s="471">
        <f t="shared" si="224"/>
        <v>0.05</v>
      </c>
      <c r="N6134" s="475">
        <f t="shared" si="225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23"/>
        <v>-1.9492584604281556E+16</v>
      </c>
      <c r="J6135" s="455">
        <f t="array" ref="J6135">IFERROR(INDEX('Retirement Calculator'!J:J,MATCH('Isaac 401k'!N6135,'Retirement Calculator'!A:A,0),0),0)</f>
        <v>0</v>
      </c>
      <c r="K6135" s="455">
        <f t="shared" ca="1" si="221"/>
        <v>-81219102517839.813</v>
      </c>
      <c r="L6135" s="455">
        <f t="shared" ca="1" si="222"/>
        <v>-1.9573803706799396E+16</v>
      </c>
      <c r="M6135" s="471">
        <f t="shared" si="224"/>
        <v>0.05</v>
      </c>
      <c r="N6135" s="475">
        <f t="shared" si="225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23"/>
        <v>-1.9573803706799396E+16</v>
      </c>
      <c r="J6136" s="455">
        <f t="array" ref="J6136">IFERROR(INDEX('Retirement Calculator'!J:J,MATCH('Isaac 401k'!N6136,'Retirement Calculator'!A:A,0),0),0)</f>
        <v>0</v>
      </c>
      <c r="K6136" s="455">
        <f t="shared" ca="1" si="221"/>
        <v>-81557515444997.484</v>
      </c>
      <c r="L6136" s="455">
        <f t="shared" ca="1" si="222"/>
        <v>-1.9655361222244392E+16</v>
      </c>
      <c r="M6136" s="471">
        <f t="shared" si="224"/>
        <v>0.05</v>
      </c>
      <c r="N6136" s="475">
        <f t="shared" si="225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23"/>
        <v>-1.9655361222244392E+16</v>
      </c>
      <c r="J6137" s="455">
        <f t="array" ref="J6137">IFERROR(INDEX('Retirement Calculator'!J:J,MATCH('Isaac 401k'!N6137,'Retirement Calculator'!A:A,0),0),0)</f>
        <v>0</v>
      </c>
      <c r="K6137" s="455">
        <f t="shared" ca="1" si="221"/>
        <v>-81897338426018.297</v>
      </c>
      <c r="L6137" s="455">
        <f t="shared" ca="1" si="222"/>
        <v>-1.9737258560670412E+16</v>
      </c>
      <c r="M6137" s="471">
        <f t="shared" si="224"/>
        <v>0.05</v>
      </c>
      <c r="N6137" s="475">
        <f t="shared" si="225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23"/>
        <v>-1.9737258560670412E+16</v>
      </c>
      <c r="J6138" s="455">
        <f t="array" ref="J6138">IFERROR(INDEX('Retirement Calculator'!J:J,MATCH('Isaac 401k'!N6138,'Retirement Calculator'!A:A,0),0),0)</f>
        <v>0</v>
      </c>
      <c r="K6138" s="455">
        <f t="shared" ca="1" si="221"/>
        <v>-82238577336126.719</v>
      </c>
      <c r="L6138" s="455">
        <f t="shared" ca="1" si="222"/>
        <v>-1.981949713800654E+16</v>
      </c>
      <c r="M6138" s="471">
        <f t="shared" si="224"/>
        <v>0.05</v>
      </c>
      <c r="N6138" s="475">
        <f t="shared" si="225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23"/>
        <v>-1.981949713800654E+16</v>
      </c>
      <c r="J6139" s="455">
        <f t="array" ref="J6139">IFERROR(INDEX('Retirement Calculator'!J:J,MATCH('Isaac 401k'!N6139,'Retirement Calculator'!A:A,0),0),0)</f>
        <v>0</v>
      </c>
      <c r="K6139" s="455">
        <f t="shared" ca="1" si="221"/>
        <v>-82581238075027.25</v>
      </c>
      <c r="L6139" s="455">
        <f t="shared" ca="1" si="222"/>
        <v>-1.9902078376081568E+16</v>
      </c>
      <c r="M6139" s="471">
        <f t="shared" si="224"/>
        <v>0.05</v>
      </c>
      <c r="N6139" s="475">
        <f t="shared" si="225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23"/>
        <v>-1.9902078376081568E+16</v>
      </c>
      <c r="J6140" s="455">
        <f t="array" ref="J6140">IFERROR(INDEX('Retirement Calculator'!J:J,MATCH('Isaac 401k'!N6140,'Retirement Calculator'!A:A,0),0),0)</f>
        <v>0</v>
      </c>
      <c r="K6140" s="455">
        <f t="shared" ca="1" si="221"/>
        <v>-82925326567006.531</v>
      </c>
      <c r="L6140" s="455">
        <f t="shared" ca="1" si="222"/>
        <v>-1.9985003702648576E+16</v>
      </c>
      <c r="M6140" s="471">
        <f t="shared" si="224"/>
        <v>0.05</v>
      </c>
      <c r="N6140" s="475">
        <f t="shared" si="225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23"/>
        <v>-1.9985003702648576E+16</v>
      </c>
      <c r="J6141" s="455">
        <f t="array" ref="J6141">IFERROR(INDEX('Retirement Calculator'!J:J,MATCH('Isaac 401k'!N6141,'Retirement Calculator'!A:A,0),0),0)</f>
        <v>0</v>
      </c>
      <c r="K6141" s="455">
        <f t="shared" ca="1" si="221"/>
        <v>-83270848761035.734</v>
      </c>
      <c r="L6141" s="455">
        <f t="shared" ca="1" si="222"/>
        <v>-2.0068274551409612E+16</v>
      </c>
      <c r="M6141" s="471">
        <f t="shared" si="224"/>
        <v>0.05</v>
      </c>
      <c r="N6141" s="475">
        <f t="shared" si="225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23"/>
        <v>-2.0068274551409612E+16</v>
      </c>
      <c r="J6142" s="455">
        <f t="array" ref="J6142">IFERROR(INDEX('Retirement Calculator'!J:J,MATCH('Isaac 401k'!N6142,'Retirement Calculator'!A:A,0),0),0)</f>
        <v>0</v>
      </c>
      <c r="K6142" s="455">
        <f t="shared" ca="1" si="221"/>
        <v>-83617810630873.375</v>
      </c>
      <c r="L6142" s="455">
        <f t="shared" ca="1" si="222"/>
        <v>-2.0151892362040484E+16</v>
      </c>
      <c r="M6142" s="471">
        <f t="shared" si="224"/>
        <v>0.05</v>
      </c>
      <c r="N6142" s="475">
        <f t="shared" si="225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23"/>
        <v>-2.0151892362040484E+16</v>
      </c>
      <c r="J6143" s="455">
        <f t="array" ref="J6143">IFERROR(INDEX('Retirement Calculator'!J:J,MATCH('Isaac 401k'!N6143,'Retirement Calculator'!A:A,0),0),0)</f>
        <v>0</v>
      </c>
      <c r="K6143" s="455">
        <f t="shared" ca="1" si="221"/>
        <v>-83966218175168.688</v>
      </c>
      <c r="L6143" s="455">
        <f t="shared" ca="1" si="222"/>
        <v>-2.0235858580215652E+16</v>
      </c>
      <c r="M6143" s="471">
        <f t="shared" si="224"/>
        <v>0.05</v>
      </c>
      <c r="N6143" s="475">
        <f t="shared" si="225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23"/>
        <v>-2.0235858580215652E+16</v>
      </c>
      <c r="J6144" s="455">
        <f t="array" ref="J6144">IFERROR(INDEX('Retirement Calculator'!J:J,MATCH('Isaac 401k'!N6144,'Retirement Calculator'!A:A,0),0),0)</f>
        <v>0</v>
      </c>
      <c r="K6144" s="455">
        <f t="shared" ca="1" si="221"/>
        <v>-84316077417565.219</v>
      </c>
      <c r="L6144" s="455">
        <f t="shared" ca="1" si="222"/>
        <v>-2.0320174657633216E+16</v>
      </c>
      <c r="M6144" s="471">
        <f t="shared" si="224"/>
        <v>0.05</v>
      </c>
      <c r="N6144" s="475">
        <f t="shared" si="225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23"/>
        <v>-2.0320174657633216E+16</v>
      </c>
      <c r="J6145" s="455">
        <f t="array" ref="J6145">IFERROR(INDEX('Retirement Calculator'!J:J,MATCH('Isaac 401k'!N6145,'Retirement Calculator'!A:A,0),0),0)</f>
        <v>0</v>
      </c>
      <c r="K6145" s="455">
        <f t="shared" ca="1" si="221"/>
        <v>-84667394406805.063</v>
      </c>
      <c r="L6145" s="455">
        <f t="shared" ca="1" si="222"/>
        <v>-2.040484205204002E+16</v>
      </c>
      <c r="M6145" s="471">
        <f t="shared" si="224"/>
        <v>0.05</v>
      </c>
      <c r="N6145" s="475">
        <f t="shared" si="225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23"/>
        <v>-2.040484205204002E+16</v>
      </c>
      <c r="J6146" s="455">
        <f t="array" ref="J6146">IFERROR(INDEX('Retirement Calculator'!J:J,MATCH('Isaac 401k'!N6146,'Retirement Calculator'!A:A,0),0),0)</f>
        <v>0</v>
      </c>
      <c r="K6146" s="455">
        <f t="shared" ca="1" si="221"/>
        <v>-85020175216833.422</v>
      </c>
      <c r="L6146" s="455">
        <f t="shared" ca="1" si="222"/>
        <v>-2.0489862227256852E+16</v>
      </c>
      <c r="M6146" s="471">
        <f t="shared" si="224"/>
        <v>0.05</v>
      </c>
      <c r="N6146" s="475">
        <f t="shared" si="225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23"/>
        <v>-2.0489862227256852E+16</v>
      </c>
      <c r="J6147" s="455">
        <f t="array" ref="J6147">IFERROR(INDEX('Retirement Calculator'!J:J,MATCH('Isaac 401k'!N6147,'Retirement Calculator'!A:A,0),0),0)</f>
        <v>0</v>
      </c>
      <c r="K6147" s="455">
        <f t="shared" ca="1" si="221"/>
        <v>-85374425946903.547</v>
      </c>
      <c r="L6147" s="455">
        <f t="shared" ca="1" si="222"/>
        <v>-2.0575236653203756E+16</v>
      </c>
      <c r="M6147" s="471">
        <f t="shared" si="224"/>
        <v>0.05</v>
      </c>
      <c r="N6147" s="475">
        <f t="shared" si="225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23"/>
        <v>-2.0575236653203756E+16</v>
      </c>
      <c r="J6148" s="455">
        <f t="array" ref="J6148">IFERROR(INDEX('Retirement Calculator'!J:J,MATCH('Isaac 401k'!N6148,'Retirement Calculator'!A:A,0),0),0)</f>
        <v>0</v>
      </c>
      <c r="K6148" s="455">
        <f t="shared" ca="1" si="221"/>
        <v>-85730152721682.313</v>
      </c>
      <c r="L6148" s="455">
        <f t="shared" ca="1" si="222"/>
        <v>-2.066096680592544E+16</v>
      </c>
      <c r="M6148" s="471">
        <f t="shared" si="224"/>
        <v>0.05</v>
      </c>
      <c r="N6148" s="475">
        <f t="shared" si="225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23"/>
        <v>-2.066096680592544E+16</v>
      </c>
      <c r="J6149" s="455">
        <f t="array" ref="J6149">IFERROR(INDEX('Retirement Calculator'!J:J,MATCH('Isaac 401k'!N6149,'Retirement Calculator'!A:A,0),0),0)</f>
        <v>0</v>
      </c>
      <c r="K6149" s="455">
        <f t="shared" ca="1" si="221"/>
        <v>-86087361691356</v>
      </c>
      <c r="L6149" s="455">
        <f t="shared" ca="1" si="222"/>
        <v>-2.0747054167616796E+16</v>
      </c>
      <c r="M6149" s="471">
        <f t="shared" si="224"/>
        <v>0.05</v>
      </c>
      <c r="N6149" s="475">
        <f t="shared" si="225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23"/>
        <v>-2.0747054167616796E+16</v>
      </c>
      <c r="J6150" s="455">
        <f t="array" ref="J6150">IFERROR(INDEX('Retirement Calculator'!J:J,MATCH('Isaac 401k'!N6150,'Retirement Calculator'!A:A,0),0),0)</f>
        <v>0</v>
      </c>
      <c r="K6150" s="455">
        <f t="shared" ca="1" si="221"/>
        <v>-86446059031736.656</v>
      </c>
      <c r="L6150" s="455">
        <f t="shared" ca="1" si="222"/>
        <v>-2.0833500226648532E+16</v>
      </c>
      <c r="M6150" s="471">
        <f t="shared" si="224"/>
        <v>0.05</v>
      </c>
      <c r="N6150" s="475">
        <f t="shared" si="225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23"/>
        <v>-2.0833500226648532E+16</v>
      </c>
      <c r="J6151" s="455">
        <f t="array" ref="J6151">IFERROR(INDEX('Retirement Calculator'!J:J,MATCH('Isaac 401k'!N6151,'Retirement Calculator'!A:A,0),0),0)</f>
        <v>0</v>
      </c>
      <c r="K6151" s="455">
        <f t="shared" ca="1" si="221"/>
        <v>-86806250944368.875</v>
      </c>
      <c r="L6151" s="455">
        <f t="shared" ca="1" si="222"/>
        <v>-2.09203064775929E+16</v>
      </c>
      <c r="M6151" s="471">
        <f t="shared" si="224"/>
        <v>0.05</v>
      </c>
      <c r="N6151" s="475">
        <f t="shared" si="225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23"/>
        <v>-2.09203064775929E+16</v>
      </c>
      <c r="J6152" s="455">
        <f t="array" ref="J6152">IFERROR(INDEX('Retirement Calculator'!J:J,MATCH('Isaac 401k'!N6152,'Retirement Calculator'!A:A,0),0),0)</f>
        <v>0</v>
      </c>
      <c r="K6152" s="455">
        <f t="shared" ca="1" si="221"/>
        <v>-87167943656637.078</v>
      </c>
      <c r="L6152" s="455">
        <f t="shared" ca="1" si="222"/>
        <v>-2.1007474421249536E+16</v>
      </c>
      <c r="M6152" s="471">
        <f t="shared" si="224"/>
        <v>0.05</v>
      </c>
      <c r="N6152" s="475">
        <f t="shared" si="225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23"/>
        <v>-2.1007474421249536E+16</v>
      </c>
      <c r="J6153" s="455">
        <f t="array" ref="J6153">IFERROR(INDEX('Retirement Calculator'!J:J,MATCH('Isaac 401k'!N6153,'Retirement Calculator'!A:A,0),0),0)</f>
        <v>0</v>
      </c>
      <c r="K6153" s="455">
        <f t="shared" ca="1" si="221"/>
        <v>-87531143421873.063</v>
      </c>
      <c r="L6153" s="455">
        <f t="shared" ca="1" si="222"/>
        <v>-2.1095005564671408E+16</v>
      </c>
      <c r="M6153" s="471">
        <f t="shared" si="224"/>
        <v>0.05</v>
      </c>
      <c r="N6153" s="475">
        <f t="shared" si="225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23"/>
        <v>-2.1095005564671408E+16</v>
      </c>
      <c r="J6154" s="455">
        <f t="array" ref="J6154">IFERROR(INDEX('Retirement Calculator'!J:J,MATCH('Isaac 401k'!N6154,'Retirement Calculator'!A:A,0),0),0)</f>
        <v>0</v>
      </c>
      <c r="K6154" s="455">
        <f t="shared" ca="1" si="221"/>
        <v>-87895856519464.203</v>
      </c>
      <c r="L6154" s="455">
        <f t="shared" ca="1" si="222"/>
        <v>-2.1182901421190872E+16</v>
      </c>
      <c r="M6154" s="471">
        <f t="shared" si="224"/>
        <v>0.05</v>
      </c>
      <c r="N6154" s="475">
        <f t="shared" si="225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23"/>
        <v>-2.1182901421190872E+16</v>
      </c>
      <c r="J6155" s="455">
        <f t="array" ref="J6155">IFERROR(INDEX('Retirement Calculator'!J:J,MATCH('Isaac 401k'!N6155,'Retirement Calculator'!A:A,0),0),0)</f>
        <v>0</v>
      </c>
      <c r="K6155" s="455">
        <f t="shared" ca="1" si="221"/>
        <v>-88262089254961.969</v>
      </c>
      <c r="L6155" s="455">
        <f t="shared" ca="1" si="222"/>
        <v>-2.1271163510445832E+16</v>
      </c>
      <c r="M6155" s="471">
        <f t="shared" si="224"/>
        <v>0.05</v>
      </c>
      <c r="N6155" s="475">
        <f t="shared" si="225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23"/>
        <v>-2.1271163510445832E+16</v>
      </c>
      <c r="J6156" s="455">
        <f t="array" ref="J6156">IFERROR(INDEX('Retirement Calculator'!J:J,MATCH('Isaac 401k'!N6156,'Retirement Calculator'!A:A,0),0),0)</f>
        <v>0</v>
      </c>
      <c r="K6156" s="455">
        <f t="shared" ca="1" si="221"/>
        <v>-88629847960190.969</v>
      </c>
      <c r="L6156" s="455">
        <f t="shared" ca="1" si="222"/>
        <v>-2.1359793358406024E+16</v>
      </c>
      <c r="M6156" s="471">
        <f t="shared" si="224"/>
        <v>0.05</v>
      </c>
      <c r="N6156" s="475">
        <f t="shared" si="225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23"/>
        <v>-2.1359793358406024E+16</v>
      </c>
      <c r="J6157" s="455">
        <f t="array" ref="J6157">IFERROR(INDEX('Retirement Calculator'!J:J,MATCH('Isaac 401k'!N6157,'Retirement Calculator'!A:A,0),0),0)</f>
        <v>0</v>
      </c>
      <c r="K6157" s="455">
        <f t="shared" ca="1" si="221"/>
        <v>-88999138993358.438</v>
      </c>
      <c r="L6157" s="455">
        <f t="shared" ca="1" si="222"/>
        <v>-2.1448792497399384E+16</v>
      </c>
      <c r="M6157" s="471">
        <f t="shared" si="224"/>
        <v>0.05</v>
      </c>
      <c r="N6157" s="475">
        <f t="shared" si="225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23"/>
        <v>-2.1448792497399384E+16</v>
      </c>
      <c r="J6158" s="455">
        <f t="array" ref="J6158">IFERROR(INDEX('Retirement Calculator'!J:J,MATCH('Isaac 401k'!N6158,'Retirement Calculator'!A:A,0),0),0)</f>
        <v>0</v>
      </c>
      <c r="K6158" s="455">
        <f t="shared" ca="1" si="221"/>
        <v>-89369968739164.094</v>
      </c>
      <c r="L6158" s="455">
        <f t="shared" ca="1" si="222"/>
        <v>-2.1538162466138548E+16</v>
      </c>
      <c r="M6158" s="471">
        <f t="shared" si="224"/>
        <v>0.05</v>
      </c>
      <c r="N6158" s="475">
        <f t="shared" si="225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23"/>
        <v>-2.1538162466138548E+16</v>
      </c>
      <c r="J6159" s="455">
        <f t="array" ref="J6159">IFERROR(INDEX('Retirement Calculator'!J:J,MATCH('Isaac 401k'!N6159,'Retirement Calculator'!A:A,0),0),0)</f>
        <v>0</v>
      </c>
      <c r="K6159" s="455">
        <f t="shared" ca="1" si="221"/>
        <v>-89742343608910.609</v>
      </c>
      <c r="L6159" s="455">
        <f t="shared" ca="1" si="222"/>
        <v>-2.162790480974746E+16</v>
      </c>
      <c r="M6159" s="471">
        <f t="shared" si="224"/>
        <v>0.05</v>
      </c>
      <c r="N6159" s="475">
        <f t="shared" si="225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23"/>
        <v>-2.162790480974746E+16</v>
      </c>
      <c r="J6160" s="455">
        <f t="array" ref="J6160">IFERROR(INDEX('Retirement Calculator'!J:J,MATCH('Isaac 401k'!N6160,'Retirement Calculator'!A:A,0),0),0)</f>
        <v>0</v>
      </c>
      <c r="K6160" s="455">
        <f t="shared" ca="1" si="221"/>
        <v>-90116270040614.422</v>
      </c>
      <c r="L6160" s="455">
        <f t="shared" ca="1" si="222"/>
        <v>-2.1718021079788076E+16</v>
      </c>
      <c r="M6160" s="471">
        <f t="shared" si="224"/>
        <v>0.05</v>
      </c>
      <c r="N6160" s="475">
        <f t="shared" si="225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23"/>
        <v>-2.1718021079788076E+16</v>
      </c>
      <c r="J6161" s="455">
        <f t="array" ref="J6161">IFERROR(INDEX('Retirement Calculator'!J:J,MATCH('Isaac 401k'!N6161,'Retirement Calculator'!A:A,0),0),0)</f>
        <v>0</v>
      </c>
      <c r="K6161" s="455">
        <f t="shared" ca="1" si="221"/>
        <v>-90491754499116.984</v>
      </c>
      <c r="L6161" s="455">
        <f t="shared" ca="1" si="222"/>
        <v>-2.1808512834287192E+16</v>
      </c>
      <c r="M6161" s="471">
        <f t="shared" si="224"/>
        <v>0.05</v>
      </c>
      <c r="N6161" s="475">
        <f t="shared" si="225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23"/>
        <v>-2.1808512834287192E+16</v>
      </c>
      <c r="J6162" s="455">
        <f t="array" ref="J6162">IFERROR(INDEX('Retirement Calculator'!J:J,MATCH('Isaac 401k'!N6162,'Retirement Calculator'!A:A,0),0),0)</f>
        <v>0</v>
      </c>
      <c r="K6162" s="455">
        <f t="shared" ca="1" si="221"/>
        <v>-90868803476196.625</v>
      </c>
      <c r="L6162" s="455">
        <f t="shared" ca="1" si="222"/>
        <v>-2.1899381637763388E+16</v>
      </c>
      <c r="M6162" s="471">
        <f t="shared" si="224"/>
        <v>0.05</v>
      </c>
      <c r="N6162" s="475">
        <f t="shared" si="225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23"/>
        <v>-2.1899381637763388E+16</v>
      </c>
      <c r="J6163" s="455">
        <f t="array" ref="J6163">IFERROR(INDEX('Retirement Calculator'!J:J,MATCH('Isaac 401k'!N6163,'Retirement Calculator'!A:A,0),0),0)</f>
        <v>0</v>
      </c>
      <c r="K6163" s="455">
        <f t="shared" ca="1" si="221"/>
        <v>-91247423490680.781</v>
      </c>
      <c r="L6163" s="455">
        <f t="shared" ca="1" si="222"/>
        <v>-2.1990629061254068E+16</v>
      </c>
      <c r="M6163" s="471">
        <f t="shared" si="224"/>
        <v>0.05</v>
      </c>
      <c r="N6163" s="475">
        <f t="shared" si="225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23"/>
        <v>-2.1990629061254068E+16</v>
      </c>
      <c r="J6164" s="455">
        <f t="array" ref="J6164">IFERROR(INDEX('Retirement Calculator'!J:J,MATCH('Isaac 401k'!N6164,'Retirement Calculator'!A:A,0),0),0)</f>
        <v>0</v>
      </c>
      <c r="K6164" s="455">
        <f t="shared" ca="1" si="221"/>
        <v>-91627621088558.609</v>
      </c>
      <c r="L6164" s="455">
        <f t="shared" ca="1" si="222"/>
        <v>-2.2082256682342628E+16</v>
      </c>
      <c r="M6164" s="471">
        <f t="shared" si="224"/>
        <v>0.05</v>
      </c>
      <c r="N6164" s="475">
        <f t="shared" si="225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23"/>
        <v>-2.2082256682342628E+16</v>
      </c>
      <c r="J6165" s="455">
        <f t="array" ref="J6165">IFERROR(INDEX('Retirement Calculator'!J:J,MATCH('Isaac 401k'!N6165,'Retirement Calculator'!A:A,0),0),0)</f>
        <v>0</v>
      </c>
      <c r="K6165" s="455">
        <f t="shared" ca="1" si="221"/>
        <v>-92009402843094.281</v>
      </c>
      <c r="L6165" s="455">
        <f t="shared" ca="1" si="222"/>
        <v>-2.2174266085185724E+16</v>
      </c>
      <c r="M6165" s="471">
        <f t="shared" si="224"/>
        <v>0.05</v>
      </c>
      <c r="N6165" s="475">
        <f t="shared" si="225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23"/>
        <v>-2.2174266085185724E+16</v>
      </c>
      <c r="J6166" s="455">
        <f t="array" ref="J6166">IFERROR(INDEX('Retirement Calculator'!J:J,MATCH('Isaac 401k'!N6166,'Retirement Calculator'!A:A,0),0),0)</f>
        <v>0</v>
      </c>
      <c r="K6166" s="455">
        <f t="shared" ca="1" si="221"/>
        <v>-92392775354940.516</v>
      </c>
      <c r="L6166" s="455">
        <f t="shared" ca="1" si="222"/>
        <v>-2.2266658860540664E+16</v>
      </c>
      <c r="M6166" s="471">
        <f t="shared" si="224"/>
        <v>0.05</v>
      </c>
      <c r="N6166" s="475">
        <f t="shared" si="225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23"/>
        <v>-2.2266658860540664E+16</v>
      </c>
      <c r="J6167" s="455">
        <f t="array" ref="J6167">IFERROR(INDEX('Retirement Calculator'!J:J,MATCH('Isaac 401k'!N6167,'Retirement Calculator'!A:A,0),0),0)</f>
        <v>0</v>
      </c>
      <c r="K6167" s="455">
        <f t="shared" ca="1" si="221"/>
        <v>-92777745252252.766</v>
      </c>
      <c r="L6167" s="455">
        <f t="shared" ca="1" si="222"/>
        <v>-2.2359436605792916E+16</v>
      </c>
      <c r="M6167" s="471">
        <f t="shared" si="224"/>
        <v>0.05</v>
      </c>
      <c r="N6167" s="475">
        <f t="shared" si="225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23"/>
        <v>-2.2359436605792916E+16</v>
      </c>
      <c r="J6168" s="455">
        <f t="array" ref="J6168">IFERROR(INDEX('Retirement Calculator'!J:J,MATCH('Isaac 401k'!N6168,'Retirement Calculator'!A:A,0),0),0)</f>
        <v>0</v>
      </c>
      <c r="K6168" s="455">
        <f t="shared" ca="1" si="221"/>
        <v>-93164319190803.813</v>
      </c>
      <c r="L6168" s="455">
        <f t="shared" ca="1" si="222"/>
        <v>-2.245260092498372E+16</v>
      </c>
      <c r="M6168" s="471">
        <f t="shared" si="224"/>
        <v>0.05</v>
      </c>
      <c r="N6168" s="475">
        <f t="shared" si="225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23"/>
        <v>-2.245260092498372E+16</v>
      </c>
      <c r="J6169" s="455">
        <f t="array" ref="J6169">IFERROR(INDEX('Retirement Calculator'!J:J,MATCH('Isaac 401k'!N6169,'Retirement Calculator'!A:A,0),0),0)</f>
        <v>0</v>
      </c>
      <c r="K6169" s="455">
        <f t="shared" ca="1" si="221"/>
        <v>-93552503854098.828</v>
      </c>
      <c r="L6169" s="455">
        <f t="shared" ca="1" si="222"/>
        <v>-2.254615342883782E+16</v>
      </c>
      <c r="M6169" s="471">
        <f t="shared" si="224"/>
        <v>0.05</v>
      </c>
      <c r="N6169" s="475">
        <f t="shared" si="225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23"/>
        <v>-2.254615342883782E+16</v>
      </c>
      <c r="J6170" s="455">
        <f t="array" ref="J6170">IFERROR(INDEX('Retirement Calculator'!J:J,MATCH('Isaac 401k'!N6170,'Retirement Calculator'!A:A,0),0),0)</f>
        <v>0</v>
      </c>
      <c r="K6170" s="455">
        <f t="shared" ca="1" si="221"/>
        <v>-93942305953490.922</v>
      </c>
      <c r="L6170" s="455">
        <f t="shared" ca="1" si="222"/>
        <v>-2.2640095734791312E+16</v>
      </c>
      <c r="M6170" s="471">
        <f t="shared" si="224"/>
        <v>0.05</v>
      </c>
      <c r="N6170" s="475">
        <f t="shared" si="225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23"/>
        <v>-2.2640095734791312E+16</v>
      </c>
      <c r="J6171" s="455">
        <f t="array" ref="J6171">IFERROR(INDEX('Retirement Calculator'!J:J,MATCH('Isaac 401k'!N6171,'Retirement Calculator'!A:A,0),0),0)</f>
        <v>0</v>
      </c>
      <c r="K6171" s="455">
        <f t="shared" ca="1" si="221"/>
        <v>-94333732228297.125</v>
      </c>
      <c r="L6171" s="455">
        <f t="shared" ca="1" si="222"/>
        <v>-2.2734429467019608E+16</v>
      </c>
      <c r="M6171" s="471">
        <f t="shared" si="224"/>
        <v>0.05</v>
      </c>
      <c r="N6171" s="475">
        <f t="shared" si="225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23"/>
        <v>-2.2734429467019608E+16</v>
      </c>
      <c r="J6172" s="455">
        <f t="array" ref="J6172">IFERROR(INDEX('Retirement Calculator'!J:J,MATCH('Isaac 401k'!N6172,'Retirement Calculator'!A:A,0),0),0)</f>
        <v>0</v>
      </c>
      <c r="K6172" s="455">
        <f t="shared" ca="1" si="221"/>
        <v>-94726789445915.031</v>
      </c>
      <c r="L6172" s="455">
        <f t="shared" ca="1" si="222"/>
        <v>-2.2829156256465524E+16</v>
      </c>
      <c r="M6172" s="471">
        <f t="shared" si="224"/>
        <v>0.05</v>
      </c>
      <c r="N6172" s="475">
        <f t="shared" si="225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23"/>
        <v>-2.2829156256465524E+16</v>
      </c>
      <c r="J6173" s="455">
        <f t="array" ref="J6173">IFERROR(INDEX('Retirement Calculator'!J:J,MATCH('Isaac 401k'!N6173,'Retirement Calculator'!A:A,0),0),0)</f>
        <v>0</v>
      </c>
      <c r="K6173" s="455">
        <f t="shared" ca="1" si="221"/>
        <v>-95121484401939.688</v>
      </c>
      <c r="L6173" s="455">
        <f t="shared" ca="1" si="222"/>
        <v>-2.2924277740867464E+16</v>
      </c>
      <c r="M6173" s="471">
        <f t="shared" si="224"/>
        <v>0.05</v>
      </c>
      <c r="N6173" s="475">
        <f t="shared" si="225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23"/>
        <v>-2.2924277740867464E+16</v>
      </c>
      <c r="J6174" s="455">
        <f t="array" ref="J6174">IFERROR(INDEX('Retirement Calculator'!J:J,MATCH('Isaac 401k'!N6174,'Retirement Calculator'!A:A,0),0),0)</f>
        <v>0</v>
      </c>
      <c r="K6174" s="455">
        <f t="shared" ca="1" si="221"/>
        <v>-95517823920281.094</v>
      </c>
      <c r="L6174" s="455">
        <f t="shared" ca="1" si="222"/>
        <v>-2.3019795564787744E+16</v>
      </c>
      <c r="M6174" s="471">
        <f t="shared" si="224"/>
        <v>0.05</v>
      </c>
      <c r="N6174" s="475">
        <f t="shared" si="225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23"/>
        <v>-2.3019795564787744E+16</v>
      </c>
      <c r="J6175" s="455">
        <f t="array" ref="J6175">IFERROR(INDEX('Retirement Calculator'!J:J,MATCH('Isaac 401k'!N6175,'Retirement Calculator'!A:A,0),0),0)</f>
        <v>0</v>
      </c>
      <c r="K6175" s="455">
        <f t="shared" ca="1" si="221"/>
        <v>-95915814853282.266</v>
      </c>
      <c r="L6175" s="455">
        <f t="shared" ca="1" si="222"/>
        <v>-2.3115711379641028E+16</v>
      </c>
      <c r="M6175" s="471">
        <f t="shared" si="224"/>
        <v>0.05</v>
      </c>
      <c r="N6175" s="475">
        <f t="shared" si="225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23"/>
        <v>-2.3115711379641028E+16</v>
      </c>
      <c r="J6176" s="455">
        <f t="array" ref="J6176">IFERROR(INDEX('Retirement Calculator'!J:J,MATCH('Isaac 401k'!N6176,'Retirement Calculator'!A:A,0),0),0)</f>
        <v>0</v>
      </c>
      <c r="K6176" s="455">
        <f t="shared" ca="1" si="221"/>
        <v>-96315464081837.609</v>
      </c>
      <c r="L6176" s="455">
        <f t="shared" ca="1" si="222"/>
        <v>-2.3212026843722864E+16</v>
      </c>
      <c r="M6176" s="471">
        <f t="shared" si="224"/>
        <v>0.05</v>
      </c>
      <c r="N6176" s="475">
        <f t="shared" si="225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23"/>
        <v>-2.3212026843722864E+16</v>
      </c>
      <c r="J6177" s="455">
        <f t="array" ref="J6177">IFERROR(INDEX('Retirement Calculator'!J:J,MATCH('Isaac 401k'!N6177,'Retirement Calculator'!A:A,0),0),0)</f>
        <v>0</v>
      </c>
      <c r="K6177" s="455">
        <f t="shared" ca="1" si="221"/>
        <v>-96716778515511.938</v>
      </c>
      <c r="L6177" s="455">
        <f t="shared" ca="1" si="222"/>
        <v>-2.3308743622238376E+16</v>
      </c>
      <c r="M6177" s="471">
        <f t="shared" si="224"/>
        <v>0.05</v>
      </c>
      <c r="N6177" s="475">
        <f t="shared" si="225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23"/>
        <v>-2.3308743622238376E+16</v>
      </c>
      <c r="J6178" s="455">
        <f t="array" ref="J6178">IFERROR(INDEX('Retirement Calculator'!J:J,MATCH('Isaac 401k'!N6178,'Retirement Calculator'!A:A,0),0),0)</f>
        <v>0</v>
      </c>
      <c r="K6178" s="455">
        <f t="shared" ca="1" si="221"/>
        <v>-97119765092659.906</v>
      </c>
      <c r="L6178" s="455">
        <f t="shared" ca="1" si="222"/>
        <v>-2.3405863387331036E+16</v>
      </c>
      <c r="M6178" s="471">
        <f t="shared" si="224"/>
        <v>0.05</v>
      </c>
      <c r="N6178" s="475">
        <f t="shared" si="225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23"/>
        <v>-2.3405863387331036E+16</v>
      </c>
      <c r="J6179" s="455">
        <f t="array" ref="J6179">IFERROR(INDEX('Retirement Calculator'!J:J,MATCH('Isaac 401k'!N6179,'Retirement Calculator'!A:A,0),0),0)</f>
        <v>0</v>
      </c>
      <c r="K6179" s="455">
        <f t="shared" ca="1" si="221"/>
        <v>-97524430780545.984</v>
      </c>
      <c r="L6179" s="455">
        <f t="shared" ca="1" si="222"/>
        <v>-2.350338781811158E+16</v>
      </c>
      <c r="M6179" s="471">
        <f t="shared" si="224"/>
        <v>0.05</v>
      </c>
      <c r="N6179" s="475">
        <f t="shared" si="225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23"/>
        <v>-2.350338781811158E+16</v>
      </c>
      <c r="J6180" s="455">
        <f t="array" ref="J6180">IFERROR(INDEX('Retirement Calculator'!J:J,MATCH('Isaac 401k'!N6180,'Retirement Calculator'!A:A,0),0),0)</f>
        <v>0</v>
      </c>
      <c r="K6180" s="455">
        <f t="shared" ca="1" si="221"/>
        <v>-97930782575464.922</v>
      </c>
      <c r="L6180" s="455">
        <f t="shared" ca="1" si="222"/>
        <v>-2.3601318600687044E+16</v>
      </c>
      <c r="M6180" s="471">
        <f t="shared" si="224"/>
        <v>0.05</v>
      </c>
      <c r="N6180" s="475">
        <f t="shared" si="225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23"/>
        <v>-2.3601318600687044E+16</v>
      </c>
      <c r="J6181" s="455">
        <f t="array" ref="J6181">IFERROR(INDEX('Retirement Calculator'!J:J,MATCH('Isaac 401k'!N6181,'Retirement Calculator'!A:A,0),0),0)</f>
        <v>0</v>
      </c>
      <c r="K6181" s="455">
        <f t="shared" ca="1" si="221"/>
        <v>-98338827502862.688</v>
      </c>
      <c r="L6181" s="455">
        <f t="shared" ca="1" si="222"/>
        <v>-2.3699657428189908E+16</v>
      </c>
      <c r="M6181" s="471">
        <f t="shared" si="224"/>
        <v>0.05</v>
      </c>
      <c r="N6181" s="475">
        <f t="shared" si="225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23"/>
        <v>-2.3699657428189908E+16</v>
      </c>
      <c r="J6182" s="455">
        <f t="array" ref="J6182">IFERROR(INDEX('Retirement Calculator'!J:J,MATCH('Isaac 401k'!N6182,'Retirement Calculator'!A:A,0),0),0)</f>
        <v>0</v>
      </c>
      <c r="K6182" s="455">
        <f t="shared" ca="1" si="221"/>
        <v>-98748572617457.953</v>
      </c>
      <c r="L6182" s="455">
        <f t="shared" ca="1" si="222"/>
        <v>-2.3798406000807364E+16</v>
      </c>
      <c r="M6182" s="471">
        <f t="shared" si="224"/>
        <v>0.05</v>
      </c>
      <c r="N6182" s="475">
        <f t="shared" si="225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23"/>
        <v>-2.3798406000807364E+16</v>
      </c>
      <c r="J6183" s="455">
        <f t="array" ref="J6183">IFERROR(INDEX('Retirement Calculator'!J:J,MATCH('Isaac 401k'!N6183,'Retirement Calculator'!A:A,0),0),0)</f>
        <v>0</v>
      </c>
      <c r="K6183" s="455">
        <f t="shared" ca="1" si="221"/>
        <v>-99160025003364.016</v>
      </c>
      <c r="L6183" s="455">
        <f t="shared" ca="1" si="222"/>
        <v>-2.3897566025810728E+16</v>
      </c>
      <c r="M6183" s="471">
        <f t="shared" si="224"/>
        <v>0.05</v>
      </c>
      <c r="N6183" s="475">
        <f t="shared" si="225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23"/>
        <v>-2.3897566025810728E+16</v>
      </c>
      <c r="J6184" s="455">
        <f t="array" ref="J6184">IFERROR(INDEX('Retirement Calculator'!J:J,MATCH('Isaac 401k'!N6184,'Retirement Calculator'!A:A,0),0),0)</f>
        <v>0</v>
      </c>
      <c r="K6184" s="455">
        <f t="shared" ca="1" si="221"/>
        <v>-99573191774211.359</v>
      </c>
      <c r="L6184" s="455">
        <f t="shared" ca="1" si="222"/>
        <v>-2.399713921758494E+16</v>
      </c>
      <c r="M6184" s="471">
        <f t="shared" si="224"/>
        <v>0.05</v>
      </c>
      <c r="N6184" s="475">
        <f t="shared" si="225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23"/>
        <v>-2.399713921758494E+16</v>
      </c>
      <c r="J6185" s="455">
        <f t="array" ref="J6185">IFERROR(INDEX('Retirement Calculator'!J:J,MATCH('Isaac 401k'!N6185,'Retirement Calculator'!A:A,0),0),0)</f>
        <v>0</v>
      </c>
      <c r="K6185" s="455">
        <f t="shared" ca="1" si="221"/>
        <v>-99988080073270.578</v>
      </c>
      <c r="L6185" s="455">
        <f t="shared" ca="1" si="222"/>
        <v>-2.4097127297658212E+16</v>
      </c>
      <c r="M6185" s="471">
        <f t="shared" si="224"/>
        <v>0.05</v>
      </c>
      <c r="N6185" s="475">
        <f t="shared" si="225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23"/>
        <v>-2.4097127297658212E+16</v>
      </c>
      <c r="J6186" s="455">
        <f t="array" ref="J6186">IFERROR(INDEX('Retirement Calculator'!J:J,MATCH('Isaac 401k'!N6186,'Retirement Calculator'!A:A,0),0),0)</f>
        <v>0</v>
      </c>
      <c r="K6186" s="455">
        <f t="shared" ca="1" si="221"/>
        <v>-100404697073575.88</v>
      </c>
      <c r="L6186" s="455">
        <f t="shared" ca="1" si="222"/>
        <v>-2.4197531994731788E+16</v>
      </c>
      <c r="M6186" s="471">
        <f t="shared" si="224"/>
        <v>0.05</v>
      </c>
      <c r="N6186" s="475">
        <f t="shared" si="225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23"/>
        <v>-2.4197531994731788E+16</v>
      </c>
      <c r="J6187" s="455">
        <f t="array" ref="J6187">IFERROR(INDEX('Retirement Calculator'!J:J,MATCH('Isaac 401k'!N6187,'Retirement Calculator'!A:A,0),0),0)</f>
        <v>0</v>
      </c>
      <c r="K6187" s="455">
        <f t="shared" ca="1" si="221"/>
        <v>-100823049978049.11</v>
      </c>
      <c r="L6187" s="455">
        <f t="shared" ca="1" si="222"/>
        <v>-2.4298355044709836E+16</v>
      </c>
      <c r="M6187" s="471">
        <f t="shared" si="224"/>
        <v>0.05</v>
      </c>
      <c r="N6187" s="475">
        <f t="shared" si="225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23"/>
        <v>-2.4298355044709836E+16</v>
      </c>
      <c r="J6188" s="455">
        <f t="array" ref="J6188">IFERROR(INDEX('Retirement Calculator'!J:J,MATCH('Isaac 401k'!N6188,'Retirement Calculator'!A:A,0),0),0)</f>
        <v>0</v>
      </c>
      <c r="K6188" s="455">
        <f t="shared" ca="1" si="221"/>
        <v>-101243146019624.31</v>
      </c>
      <c r="L6188" s="455">
        <f t="shared" ca="1" si="222"/>
        <v>-2.439959819072946E+16</v>
      </c>
      <c r="M6188" s="471">
        <f t="shared" si="224"/>
        <v>0.05</v>
      </c>
      <c r="N6188" s="475">
        <f t="shared" si="225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23"/>
        <v>-2.439959819072946E+16</v>
      </c>
      <c r="J6189" s="455">
        <f t="array" ref="J6189">IFERROR(INDEX('Retirement Calculator'!J:J,MATCH('Isaac 401k'!N6189,'Retirement Calculator'!A:A,0),0),0)</f>
        <v>0</v>
      </c>
      <c r="K6189" s="455">
        <f t="shared" ca="1" si="221"/>
        <v>-101664992461372.75</v>
      </c>
      <c r="L6189" s="455">
        <f t="shared" ca="1" si="222"/>
        <v>-2.4501263183190832E+16</v>
      </c>
      <c r="M6189" s="471">
        <f t="shared" si="224"/>
        <v>0.05</v>
      </c>
      <c r="N6189" s="475">
        <f t="shared" si="225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23"/>
        <v>-2.4501263183190832E+16</v>
      </c>
      <c r="J6190" s="455">
        <f t="array" ref="J6190">IFERROR(INDEX('Retirement Calculator'!J:J,MATCH('Isaac 401k'!N6190,'Retirement Calculator'!A:A,0),0),0)</f>
        <v>0</v>
      </c>
      <c r="K6190" s="455">
        <f t="shared" ca="1" si="221"/>
        <v>-102088596596628.47</v>
      </c>
      <c r="L6190" s="455">
        <f t="shared" ca="1" si="222"/>
        <v>-2.460335177978746E+16</v>
      </c>
      <c r="M6190" s="471">
        <f t="shared" si="224"/>
        <v>0.05</v>
      </c>
      <c r="N6190" s="475">
        <f t="shared" si="225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23"/>
        <v>-2.460335177978746E+16</v>
      </c>
      <c r="J6191" s="455">
        <f t="array" ref="J6191">IFERROR(INDEX('Retirement Calculator'!J:J,MATCH('Isaac 401k'!N6191,'Retirement Calculator'!A:A,0),0),0)</f>
        <v>0</v>
      </c>
      <c r="K6191" s="455">
        <f t="shared" ca="1" si="221"/>
        <v>-102513965749114.42</v>
      </c>
      <c r="L6191" s="455">
        <f t="shared" ca="1" si="222"/>
        <v>-2.4705865745536576E+16</v>
      </c>
      <c r="M6191" s="471">
        <f t="shared" si="224"/>
        <v>0.05</v>
      </c>
      <c r="N6191" s="475">
        <f t="shared" si="225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23"/>
        <v>-2.4705865745536576E+16</v>
      </c>
      <c r="J6192" s="455">
        <f t="array" ref="J6192">IFERROR(INDEX('Retirement Calculator'!J:J,MATCH('Isaac 401k'!N6192,'Retirement Calculator'!A:A,0),0),0)</f>
        <v>0</v>
      </c>
      <c r="K6192" s="455">
        <f t="shared" ca="1" si="221"/>
        <v>-102941107273069.06</v>
      </c>
      <c r="L6192" s="455">
        <f t="shared" ca="1" si="222"/>
        <v>-2.4808806852809644E+16</v>
      </c>
      <c r="M6192" s="471">
        <f t="shared" si="224"/>
        <v>0.05</v>
      </c>
      <c r="N6192" s="475">
        <f t="shared" si="225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23"/>
        <v>-2.4808806852809644E+16</v>
      </c>
      <c r="J6193" s="455">
        <f t="array" ref="J6193">IFERROR(INDEX('Retirement Calculator'!J:J,MATCH('Isaac 401k'!N6193,'Retirement Calculator'!A:A,0),0),0)</f>
        <v>0</v>
      </c>
      <c r="K6193" s="455">
        <f t="shared" ca="1" si="221"/>
        <v>-103370028553373.52</v>
      </c>
      <c r="L6193" s="455">
        <f t="shared" ca="1" si="222"/>
        <v>-2.4912176881363016E+16</v>
      </c>
      <c r="M6193" s="471">
        <f t="shared" si="224"/>
        <v>0.05</v>
      </c>
      <c r="N6193" s="475">
        <f t="shared" si="225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23"/>
        <v>-2.4912176881363016E+16</v>
      </c>
      <c r="J6194" s="455">
        <f t="array" ref="J6194">IFERROR(INDEX('Retirement Calculator'!J:J,MATCH('Isaac 401k'!N6194,'Retirement Calculator'!A:A,0),0),0)</f>
        <v>0</v>
      </c>
      <c r="K6194" s="455">
        <f t="shared" ca="1" si="221"/>
        <v>-103800737005679.23</v>
      </c>
      <c r="L6194" s="455">
        <f t="shared" ca="1" si="222"/>
        <v>-2.5015977618368696E+16</v>
      </c>
      <c r="M6194" s="471">
        <f t="shared" si="224"/>
        <v>0.05</v>
      </c>
      <c r="N6194" s="475">
        <f t="shared" si="225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23"/>
        <v>-2.5015977618368696E+16</v>
      </c>
      <c r="J6195" s="455">
        <f t="array" ref="J6195">IFERROR(INDEX('Retirement Calculator'!J:J,MATCH('Isaac 401k'!N6195,'Retirement Calculator'!A:A,0),0),0)</f>
        <v>0</v>
      </c>
      <c r="K6195" s="455">
        <f t="shared" ca="1" si="221"/>
        <v>-104233240076536.23</v>
      </c>
      <c r="L6195" s="455">
        <f t="shared" ca="1" si="222"/>
        <v>-2.5120210858445232E+16</v>
      </c>
      <c r="M6195" s="471">
        <f t="shared" si="224"/>
        <v>0.05</v>
      </c>
      <c r="N6195" s="475">
        <f t="shared" si="225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23"/>
        <v>-2.5120210858445232E+16</v>
      </c>
      <c r="J6196" s="455">
        <f t="array" ref="J6196">IFERROR(INDEX('Retirement Calculator'!J:J,MATCH('Isaac 401k'!N6196,'Retirement Calculator'!A:A,0),0),0)</f>
        <v>0</v>
      </c>
      <c r="K6196" s="455">
        <f t="shared" ca="1" si="221"/>
        <v>-104667545243521.8</v>
      </c>
      <c r="L6196" s="455">
        <f t="shared" ca="1" si="222"/>
        <v>-2.5224878403688752E+16</v>
      </c>
      <c r="M6196" s="471">
        <f t="shared" si="224"/>
        <v>0.05</v>
      </c>
      <c r="N6196" s="475">
        <f t="shared" si="225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23"/>
        <v>-2.5224878403688752E+16</v>
      </c>
      <c r="J6197" s="455">
        <f t="array" ref="J6197">IFERROR(INDEX('Retirement Calculator'!J:J,MATCH('Isaac 401k'!N6197,'Retirement Calculator'!A:A,0),0),0)</f>
        <v>0</v>
      </c>
      <c r="K6197" s="455">
        <f t="shared" ca="1" si="221"/>
        <v>-105103660015369.8</v>
      </c>
      <c r="L6197" s="455">
        <f t="shared" ca="1" si="222"/>
        <v>-2.532998206370412E+16</v>
      </c>
      <c r="M6197" s="471">
        <f t="shared" si="224"/>
        <v>0.05</v>
      </c>
      <c r="N6197" s="475">
        <f t="shared" si="225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23"/>
        <v>-2.532998206370412E+16</v>
      </c>
      <c r="J6198" s="455">
        <f t="array" ref="J6198">IFERROR(INDEX('Retirement Calculator'!J:J,MATCH('Isaac 401k'!N6198,'Retirement Calculator'!A:A,0),0),0)</f>
        <v>0</v>
      </c>
      <c r="K6198" s="455">
        <f t="shared" ca="1" si="221"/>
        <v>-105541591932100.5</v>
      </c>
      <c r="L6198" s="455">
        <f t="shared" ca="1" si="222"/>
        <v>-2.543552365563622E+16</v>
      </c>
      <c r="M6198" s="471">
        <f t="shared" si="224"/>
        <v>0.05</v>
      </c>
      <c r="N6198" s="475">
        <f t="shared" si="225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23"/>
        <v>-2.543552365563622E+16</v>
      </c>
      <c r="J6199" s="455">
        <f t="array" ref="J6199">IFERROR(INDEX('Retirement Calculator'!J:J,MATCH('Isaac 401k'!N6199,'Retirement Calculator'!A:A,0),0),0)</f>
        <v>0</v>
      </c>
      <c r="K6199" s="455">
        <f t="shared" ca="1" si="221"/>
        <v>-105981348565150.92</v>
      </c>
      <c r="L6199" s="455">
        <f t="shared" ca="1" si="222"/>
        <v>-2.5541505004201372E+16</v>
      </c>
      <c r="M6199" s="471">
        <f t="shared" si="224"/>
        <v>0.05</v>
      </c>
      <c r="N6199" s="475">
        <f t="shared" si="225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23"/>
        <v>-2.5541505004201372E+16</v>
      </c>
      <c r="J6200" s="455">
        <f t="array" ref="J6200">IFERROR(INDEX('Retirement Calculator'!J:J,MATCH('Isaac 401k'!N6200,'Retirement Calculator'!A:A,0),0),0)</f>
        <v>0</v>
      </c>
      <c r="K6200" s="455">
        <f t="shared" ca="1" si="221"/>
        <v>-106422937517505.72</v>
      </c>
      <c r="L6200" s="455">
        <f t="shared" ca="1" si="222"/>
        <v>-2.5647927941718876E+16</v>
      </c>
      <c r="M6200" s="471">
        <f t="shared" si="224"/>
        <v>0.05</v>
      </c>
      <c r="N6200" s="475">
        <f t="shared" si="225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23"/>
        <v>-2.5647927941718876E+16</v>
      </c>
      <c r="J6201" s="455">
        <f t="array" ref="J6201">IFERROR(INDEX('Retirement Calculator'!J:J,MATCH('Isaac 401k'!N6201,'Retirement Calculator'!A:A,0),0),0)</f>
        <v>0</v>
      </c>
      <c r="K6201" s="455">
        <f t="shared" ca="1" si="221"/>
        <v>-106866366423828.66</v>
      </c>
      <c r="L6201" s="455">
        <f t="shared" ca="1" si="222"/>
        <v>-2.5754794308142704E+16</v>
      </c>
      <c r="M6201" s="471">
        <f t="shared" si="224"/>
        <v>0.05</v>
      </c>
      <c r="N6201" s="475">
        <f t="shared" si="225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23"/>
        <v>-2.5754794308142704E+16</v>
      </c>
      <c r="J6202" s="455">
        <f t="array" ref="J6202">IFERROR(INDEX('Retirement Calculator'!J:J,MATCH('Isaac 401k'!N6202,'Retirement Calculator'!A:A,0),0),0)</f>
        <v>0</v>
      </c>
      <c r="K6202" s="455">
        <f t="shared" ca="1" si="221"/>
        <v>-107311642950594.59</v>
      </c>
      <c r="L6202" s="455">
        <f t="shared" ca="1" si="222"/>
        <v>-2.58621059510933E+16</v>
      </c>
      <c r="M6202" s="471">
        <f t="shared" si="224"/>
        <v>0.05</v>
      </c>
      <c r="N6202" s="475">
        <f t="shared" si="225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23"/>
        <v>-2.58621059510933E+16</v>
      </c>
      <c r="J6203" s="455">
        <f t="array" ref="J6203">IFERROR(INDEX('Retirement Calculator'!J:J,MATCH('Isaac 401k'!N6203,'Retirement Calculator'!A:A,0),0),0)</f>
        <v>0</v>
      </c>
      <c r="K6203" s="455">
        <f t="shared" ca="1" si="221"/>
        <v>-107758774796222.08</v>
      </c>
      <c r="L6203" s="455">
        <f t="shared" ca="1" si="222"/>
        <v>-2.5969864725889524E+16</v>
      </c>
      <c r="M6203" s="471">
        <f t="shared" si="224"/>
        <v>0.05</v>
      </c>
      <c r="N6203" s="475">
        <f t="shared" si="225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23"/>
        <v>-2.5969864725889524E+16</v>
      </c>
      <c r="J6204" s="455">
        <f t="array" ref="J6204">IFERROR(INDEX('Retirement Calculator'!J:J,MATCH('Isaac 401k'!N6204,'Retirement Calculator'!A:A,0),0),0)</f>
        <v>0</v>
      </c>
      <c r="K6204" s="455">
        <f t="shared" ca="1" si="221"/>
        <v>-108207769691206.34</v>
      </c>
      <c r="L6204" s="455">
        <f t="shared" ca="1" si="222"/>
        <v>-2.6078072495580732E+16</v>
      </c>
      <c r="M6204" s="471">
        <f t="shared" si="224"/>
        <v>0.05</v>
      </c>
      <c r="N6204" s="475">
        <f t="shared" si="225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23"/>
        <v>-2.6078072495580732E+16</v>
      </c>
      <c r="J6205" s="455">
        <f t="array" ref="J6205">IFERROR(INDEX('Retirement Calculator'!J:J,MATCH('Isaac 401k'!N6205,'Retirement Calculator'!A:A,0),0),0)</f>
        <v>0</v>
      </c>
      <c r="K6205" s="455">
        <f t="shared" ca="1" si="221"/>
        <v>-108658635398253.05</v>
      </c>
      <c r="L6205" s="455">
        <f t="shared" ca="1" si="222"/>
        <v>-2.6186731130978984E+16</v>
      </c>
      <c r="M6205" s="471">
        <f t="shared" si="224"/>
        <v>0.05</v>
      </c>
      <c r="N6205" s="475">
        <f t="shared" si="225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23"/>
        <v>-2.6186731130978984E+16</v>
      </c>
      <c r="J6206" s="455">
        <f t="array" ref="J6206">IFERROR(INDEX('Retirement Calculator'!J:J,MATCH('Isaac 401k'!N6206,'Retirement Calculator'!A:A,0),0),0)</f>
        <v>0</v>
      </c>
      <c r="K6206" s="455">
        <f t="shared" ca="1" si="221"/>
        <v>-109111379712412.44</v>
      </c>
      <c r="L6206" s="455">
        <f t="shared" ca="1" si="222"/>
        <v>-2.6295842510691396E+16</v>
      </c>
      <c r="M6206" s="471">
        <f t="shared" si="224"/>
        <v>0.05</v>
      </c>
      <c r="N6206" s="475">
        <f t="shared" si="225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23"/>
        <v>-2.6295842510691396E+16</v>
      </c>
      <c r="J6207" s="455">
        <f t="array" ref="J6207">IFERROR(INDEX('Retirement Calculator'!J:J,MATCH('Isaac 401k'!N6207,'Retirement Calculator'!A:A,0),0),0)</f>
        <v>0</v>
      </c>
      <c r="K6207" s="455">
        <f t="shared" ca="1" si="221"/>
        <v>-109566010461214.16</v>
      </c>
      <c r="L6207" s="455">
        <f t="shared" ca="1" si="222"/>
        <v>-2.6405408521152612E+16</v>
      </c>
      <c r="M6207" s="471">
        <f t="shared" si="224"/>
        <v>0.05</v>
      </c>
      <c r="N6207" s="475">
        <f t="shared" si="225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23"/>
        <v>-2.6405408521152612E+16</v>
      </c>
      <c r="J6208" s="455">
        <f t="array" ref="J6208">IFERROR(INDEX('Retirement Calculator'!J:J,MATCH('Isaac 401k'!N6208,'Retirement Calculator'!A:A,0),0),0)</f>
        <v>0</v>
      </c>
      <c r="K6208" s="455">
        <f t="shared" ca="1" si="221"/>
        <v>-110022535504802.55</v>
      </c>
      <c r="L6208" s="455">
        <f t="shared" ca="1" si="222"/>
        <v>-2.6515431056657416E+16</v>
      </c>
      <c r="M6208" s="471">
        <f t="shared" si="224"/>
        <v>0.05</v>
      </c>
      <c r="N6208" s="475">
        <f t="shared" si="225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23"/>
        <v>-2.6515431056657416E+16</v>
      </c>
      <c r="J6209" s="455">
        <f t="array" ref="J6209">IFERROR(INDEX('Retirement Calculator'!J:J,MATCH('Isaac 401k'!N6209,'Retirement Calculator'!A:A,0),0),0)</f>
        <v>0</v>
      </c>
      <c r="K6209" s="455">
        <f t="shared" ca="1" si="221"/>
        <v>-110480962736072.56</v>
      </c>
      <c r="L6209" s="455">
        <f t="shared" ca="1" si="222"/>
        <v>-2.6625912019393488E+16</v>
      </c>
      <c r="M6209" s="471">
        <f t="shared" si="224"/>
        <v>0.05</v>
      </c>
      <c r="N6209" s="475">
        <f t="shared" si="225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23"/>
        <v>-2.6625912019393488E+16</v>
      </c>
      <c r="J6210" s="455">
        <f t="array" ref="J6210">IFERROR(INDEX('Retirement Calculator'!J:J,MATCH('Isaac 401k'!N6210,'Retirement Calculator'!A:A,0),0),0)</f>
        <v>0</v>
      </c>
      <c r="K6210" s="455">
        <f t="shared" ca="1" si="221"/>
        <v>-110941300080806.2</v>
      </c>
      <c r="L6210" s="455">
        <f t="shared" ca="1" si="222"/>
        <v>-2.6736853319474296E+16</v>
      </c>
      <c r="M6210" s="471">
        <f t="shared" si="224"/>
        <v>0.05</v>
      </c>
      <c r="N6210" s="475">
        <f t="shared" si="225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23"/>
        <v>-2.6736853319474296E+16</v>
      </c>
      <c r="J6211" s="455">
        <f t="array" ref="J6211">IFERROR(INDEX('Retirement Calculator'!J:J,MATCH('Isaac 401k'!N6211,'Retirement Calculator'!A:A,0),0),0)</f>
        <v>0</v>
      </c>
      <c r="K6211" s="455">
        <f t="shared" ca="1" si="221"/>
        <v>-111403555497809.56</v>
      </c>
      <c r="L6211" s="455">
        <f t="shared" ca="1" si="222"/>
        <v>-2.6848256874972104E+16</v>
      </c>
      <c r="M6211" s="471">
        <f t="shared" si="224"/>
        <v>0.05</v>
      </c>
      <c r="N6211" s="475">
        <f t="shared" si="225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23"/>
        <v>-2.6848256874972104E+16</v>
      </c>
      <c r="J6212" s="455">
        <f t="array" ref="J6212">IFERROR(INDEX('Retirement Calculator'!J:J,MATCH('Isaac 401k'!N6212,'Retirement Calculator'!A:A,0),0),0)</f>
        <v>0</v>
      </c>
      <c r="K6212" s="455">
        <f t="shared" ca="1" si="221"/>
        <v>-111867736979050.44</v>
      </c>
      <c r="L6212" s="455">
        <f t="shared" ca="1" si="222"/>
        <v>-2.6960124611951156E+16</v>
      </c>
      <c r="M6212" s="471">
        <f t="shared" si="224"/>
        <v>0.05</v>
      </c>
      <c r="N6212" s="475">
        <f t="shared" si="225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23"/>
        <v>-2.6960124611951156E+16</v>
      </c>
      <c r="J6213" s="455">
        <f t="array" ref="J6213">IFERROR(INDEX('Retirement Calculator'!J:J,MATCH('Isaac 401k'!N6213,'Retirement Calculator'!A:A,0),0),0)</f>
        <v>0</v>
      </c>
      <c r="K6213" s="455">
        <f t="shared" ca="1" si="221"/>
        <v>-112333852549796.48</v>
      </c>
      <c r="L6213" s="455">
        <f t="shared" ca="1" si="222"/>
        <v>-2.7072458464500952E+16</v>
      </c>
      <c r="M6213" s="471">
        <f t="shared" si="224"/>
        <v>0.05</v>
      </c>
      <c r="N6213" s="475">
        <f t="shared" si="225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23"/>
        <v>-2.7072458464500952E+16</v>
      </c>
      <c r="J6214" s="455">
        <f t="array" ref="J6214">IFERROR(INDEX('Retirement Calculator'!J:J,MATCH('Isaac 401k'!N6214,'Retirement Calculator'!A:A,0),0),0)</f>
        <v>0</v>
      </c>
      <c r="K6214" s="455">
        <f t="shared" ca="1" si="221"/>
        <v>-112801910268753.97</v>
      </c>
      <c r="L6214" s="455">
        <f t="shared" ca="1" si="222"/>
        <v>-2.7185260374769704E+16</v>
      </c>
      <c r="M6214" s="471">
        <f t="shared" si="224"/>
        <v>0.05</v>
      </c>
      <c r="N6214" s="475">
        <f t="shared" si="225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23"/>
        <v>-2.7185260374769704E+16</v>
      </c>
      <c r="J6215" s="455">
        <f t="array" ref="J6215">IFERROR(INDEX('Retirement Calculator'!J:J,MATCH('Isaac 401k'!N6215,'Retirement Calculator'!A:A,0),0),0)</f>
        <v>0</v>
      </c>
      <c r="K6215" s="455">
        <f t="shared" ca="1" si="221"/>
        <v>-113271918228207.09</v>
      </c>
      <c r="L6215" s="455">
        <f t="shared" ca="1" si="222"/>
        <v>-2.7298532292997912E+16</v>
      </c>
      <c r="M6215" s="471">
        <f t="shared" si="224"/>
        <v>0.05</v>
      </c>
      <c r="N6215" s="475">
        <f t="shared" si="225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23"/>
        <v>-2.7298532292997912E+16</v>
      </c>
      <c r="J6216" s="455">
        <f t="array" ref="J6216">IFERROR(INDEX('Retirement Calculator'!J:J,MATCH('Isaac 401k'!N6216,'Retirement Calculator'!A:A,0),0),0)</f>
        <v>0</v>
      </c>
      <c r="K6216" s="455">
        <f t="shared" ca="1" si="221"/>
        <v>-113743884554157.97</v>
      </c>
      <c r="L6216" s="455">
        <f t="shared" ca="1" si="222"/>
        <v>-2.7412276177552068E+16</v>
      </c>
      <c r="M6216" s="471">
        <f t="shared" si="224"/>
        <v>0.05</v>
      </c>
      <c r="N6216" s="475">
        <f t="shared" si="225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23"/>
        <v>-2.7412276177552068E+16</v>
      </c>
      <c r="J6217" s="455">
        <f t="array" ref="J6217">IFERROR(INDEX('Retirement Calculator'!J:J,MATCH('Isaac 401k'!N6217,'Retirement Calculator'!A:A,0),0),0)</f>
        <v>0</v>
      </c>
      <c r="K6217" s="455">
        <f t="shared" ca="1" si="221"/>
        <v>-114217817406466.95</v>
      </c>
      <c r="L6217" s="455">
        <f t="shared" ca="1" si="222"/>
        <v>-2.7526493994958536E+16</v>
      </c>
      <c r="M6217" s="471">
        <f t="shared" si="224"/>
        <v>0.05</v>
      </c>
      <c r="N6217" s="475">
        <f t="shared" si="225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23"/>
        <v>-2.7526493994958536E+16</v>
      </c>
      <c r="J6218" s="455">
        <f t="array" ref="J6218">IFERROR(INDEX('Retirement Calculator'!J:J,MATCH('Isaac 401k'!N6218,'Retirement Calculator'!A:A,0),0),0)</f>
        <v>0</v>
      </c>
      <c r="K6218" s="455">
        <f t="shared" ca="1" si="221"/>
        <v>-114693724978993.89</v>
      </c>
      <c r="L6218" s="455">
        <f t="shared" ca="1" si="222"/>
        <v>-2.7641187719937528E+16</v>
      </c>
      <c r="M6218" s="471">
        <f t="shared" si="224"/>
        <v>0.05</v>
      </c>
      <c r="N6218" s="475">
        <f t="shared" si="225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23"/>
        <v>-2.7641187719937528E+16</v>
      </c>
      <c r="J6219" s="455">
        <f t="array" ref="J6219">IFERROR(INDEX('Retirement Calculator'!J:J,MATCH('Isaac 401k'!N6219,'Retirement Calculator'!A:A,0),0),0)</f>
        <v>0</v>
      </c>
      <c r="K6219" s="455">
        <f t="shared" ca="1" si="221"/>
        <v>-115171615499739.7</v>
      </c>
      <c r="L6219" s="455">
        <f t="shared" ca="1" si="222"/>
        <v>-2.7756359335437268E+16</v>
      </c>
      <c r="M6219" s="471">
        <f t="shared" si="224"/>
        <v>0.05</v>
      </c>
      <c r="N6219" s="475">
        <f t="shared" si="225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23"/>
        <v>-2.7756359335437268E+16</v>
      </c>
      <c r="J6220" s="455">
        <f t="array" ref="J6220">IFERROR(INDEX('Retirement Calculator'!J:J,MATCH('Isaac 401k'!N6220,'Retirement Calculator'!A:A,0),0),0)</f>
        <v>0</v>
      </c>
      <c r="K6220" s="455">
        <f t="shared" ca="1" si="221"/>
        <v>-115651497230988.61</v>
      </c>
      <c r="L6220" s="455">
        <f t="shared" ca="1" si="222"/>
        <v>-2.7872010832668256E+16</v>
      </c>
      <c r="M6220" s="471">
        <f t="shared" si="224"/>
        <v>0.05</v>
      </c>
      <c r="N6220" s="475">
        <f t="shared" si="225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23"/>
        <v>-2.7872010832668256E+16</v>
      </c>
      <c r="J6221" s="455">
        <f t="array" ref="J6221">IFERROR(INDEX('Retirement Calculator'!J:J,MATCH('Isaac 401k'!N6221,'Retirement Calculator'!A:A,0),0),0)</f>
        <v>0</v>
      </c>
      <c r="K6221" s="455">
        <f t="shared" ca="1" si="221"/>
        <v>-116133378469451.06</v>
      </c>
      <c r="L6221" s="455">
        <f t="shared" ca="1" si="222"/>
        <v>-2.7988144211137708E+16</v>
      </c>
      <c r="M6221" s="471">
        <f t="shared" si="224"/>
        <v>0.05</v>
      </c>
      <c r="N6221" s="475">
        <f t="shared" si="225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23"/>
        <v>-2.7988144211137708E+16</v>
      </c>
      <c r="J6222" s="455">
        <f t="array" ref="J6222">IFERROR(INDEX('Retirement Calculator'!J:J,MATCH('Isaac 401k'!N6222,'Retirement Calculator'!A:A,0),0),0)</f>
        <v>0</v>
      </c>
      <c r="K6222" s="455">
        <f t="shared" ca="1" si="221"/>
        <v>-116617267546407.11</v>
      </c>
      <c r="L6222" s="455">
        <f t="shared" ca="1" si="222"/>
        <v>-2.8104761478684116E+16</v>
      </c>
      <c r="M6222" s="471">
        <f t="shared" si="224"/>
        <v>0.05</v>
      </c>
      <c r="N6222" s="475">
        <f t="shared" si="225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23"/>
        <v>-2.8104761478684116E+16</v>
      </c>
      <c r="J6223" s="455">
        <f t="array" ref="J6223">IFERROR(INDEX('Retirement Calculator'!J:J,MATCH('Isaac 401k'!N6223,'Retirement Calculator'!A:A,0),0),0)</f>
        <v>0</v>
      </c>
      <c r="K6223" s="455">
        <f t="shared" ca="1" si="221"/>
        <v>-117103172827850.48</v>
      </c>
      <c r="L6223" s="455">
        <f t="shared" ca="1" si="222"/>
        <v>-2.8221864651511968E+16</v>
      </c>
      <c r="M6223" s="471">
        <f t="shared" si="224"/>
        <v>0.05</v>
      </c>
      <c r="N6223" s="475">
        <f t="shared" si="225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23"/>
        <v>-2.8221864651511968E+16</v>
      </c>
      <c r="J6224" s="455">
        <f t="array" ref="J6224">IFERROR(INDEX('Retirement Calculator'!J:J,MATCH('Isaac 401k'!N6224,'Retirement Calculator'!A:A,0),0),0)</f>
        <v>0</v>
      </c>
      <c r="K6224" s="455">
        <f t="shared" ca="1" si="221"/>
        <v>-117591102714633.2</v>
      </c>
      <c r="L6224" s="455">
        <f t="shared" ca="1" si="222"/>
        <v>-2.83394557542266E+16</v>
      </c>
      <c r="M6224" s="471">
        <f t="shared" si="224"/>
        <v>0.05</v>
      </c>
      <c r="N6224" s="475">
        <f t="shared" si="225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23"/>
        <v>-2.83394557542266E+16</v>
      </c>
      <c r="J6225" s="455">
        <f t="array" ref="J6225">IFERROR(INDEX('Retirement Calculator'!J:J,MATCH('Isaac 401k'!N6225,'Retirement Calculator'!A:A,0),0),0)</f>
        <v>0</v>
      </c>
      <c r="K6225" s="455">
        <f t="shared" ca="1" si="221"/>
        <v>-118081065642610.81</v>
      </c>
      <c r="L6225" s="455">
        <f t="shared" ca="1" si="222"/>
        <v>-2.8457536819869212E+16</v>
      </c>
      <c r="M6225" s="471">
        <f t="shared" si="224"/>
        <v>0.05</v>
      </c>
      <c r="N6225" s="475">
        <f t="shared" si="225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23"/>
        <v>-2.8457536819869212E+16</v>
      </c>
      <c r="J6226" s="455">
        <f t="array" ref="J6226">IFERROR(INDEX('Retirement Calculator'!J:J,MATCH('Isaac 401k'!N6226,'Retirement Calculator'!A:A,0),0),0)</f>
        <v>0</v>
      </c>
      <c r="K6226" s="455">
        <f t="shared" ca="1" si="221"/>
        <v>-118573070082788.36</v>
      </c>
      <c r="L6226" s="455">
        <f t="shared" ca="1" si="222"/>
        <v>-2.8576109889952E+16</v>
      </c>
      <c r="M6226" s="471">
        <f t="shared" si="224"/>
        <v>0.05</v>
      </c>
      <c r="N6226" s="475">
        <f t="shared" si="225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23"/>
        <v>-2.8576109889952E+16</v>
      </c>
      <c r="J6227" s="455">
        <f t="array" ref="J6227">IFERROR(INDEX('Retirement Calculator'!J:J,MATCH('Isaac 401k'!N6227,'Retirement Calculator'!A:A,0),0),0)</f>
        <v>0</v>
      </c>
      <c r="K6227" s="455">
        <f t="shared" ca="1" si="221"/>
        <v>-119067124541466.67</v>
      </c>
      <c r="L6227" s="455">
        <f t="shared" ca="1" si="222"/>
        <v>-2.8695177014493468E+16</v>
      </c>
      <c r="M6227" s="471">
        <f t="shared" si="224"/>
        <v>0.05</v>
      </c>
      <c r="N6227" s="475">
        <f t="shared" si="225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23"/>
        <v>-2.8695177014493468E+16</v>
      </c>
      <c r="J6228" s="455">
        <f t="array" ref="J6228">IFERROR(INDEX('Retirement Calculator'!J:J,MATCH('Isaac 401k'!N6228,'Retirement Calculator'!A:A,0),0),0)</f>
        <v>0</v>
      </c>
      <c r="K6228" s="455">
        <f t="shared" ca="1" si="221"/>
        <v>-119563237560389.45</v>
      </c>
      <c r="L6228" s="455">
        <f t="shared" ca="1" si="222"/>
        <v>-2.8814740252053856E+16</v>
      </c>
      <c r="M6228" s="471">
        <f t="shared" si="224"/>
        <v>0.05</v>
      </c>
      <c r="N6228" s="475">
        <f t="shared" si="225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23"/>
        <v>-2.8814740252053856E+16</v>
      </c>
      <c r="J6229" s="455">
        <f t="array" ref="J6229">IFERROR(INDEX('Retirement Calculator'!J:J,MATCH('Isaac 401k'!N6229,'Retirement Calculator'!A:A,0),0),0)</f>
        <v>0</v>
      </c>
      <c r="K6229" s="455">
        <f t="shared" ca="1" si="221"/>
        <v>-120061417716891.08</v>
      </c>
      <c r="L6229" s="455">
        <f t="shared" ca="1" si="222"/>
        <v>-2.8934801669770748E+16</v>
      </c>
      <c r="M6229" s="471">
        <f t="shared" si="224"/>
        <v>0.05</v>
      </c>
      <c r="N6229" s="475">
        <f t="shared" si="225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23"/>
        <v>-2.8934801669770748E+16</v>
      </c>
      <c r="J6230" s="455">
        <f t="array" ref="J6230">IFERROR(INDEX('Retirement Calculator'!J:J,MATCH('Isaac 401k'!N6230,'Retirement Calculator'!A:A,0),0),0)</f>
        <v>0</v>
      </c>
      <c r="K6230" s="455">
        <f t="shared" ca="1" si="221"/>
        <v>-120561673624044.78</v>
      </c>
      <c r="L6230" s="455">
        <f t="shared" ca="1" si="222"/>
        <v>-2.9055363343394792E+16</v>
      </c>
      <c r="M6230" s="471">
        <f t="shared" si="224"/>
        <v>0.05</v>
      </c>
      <c r="N6230" s="475">
        <f t="shared" si="225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23"/>
        <v>-2.9055363343394792E+16</v>
      </c>
      <c r="J6231" s="455">
        <f t="array" ref="J6231">IFERROR(INDEX('Retirement Calculator'!J:J,MATCH('Isaac 401k'!N6231,'Retirement Calculator'!A:A,0),0),0)</f>
        <v>0</v>
      </c>
      <c r="K6231" s="455">
        <f t="shared" ca="1" si="221"/>
        <v>-121064013930811.61</v>
      </c>
      <c r="L6231" s="455">
        <f t="shared" ca="1" si="222"/>
        <v>-2.9176427357325604E+16</v>
      </c>
      <c r="M6231" s="471">
        <f t="shared" si="224"/>
        <v>0.05</v>
      </c>
      <c r="N6231" s="475">
        <f t="shared" si="225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23"/>
        <v>-2.9176427357325604E+16</v>
      </c>
      <c r="J6232" s="455">
        <f t="array" ref="J6232">IFERROR(INDEX('Retirement Calculator'!J:J,MATCH('Isaac 401k'!N6232,'Retirement Calculator'!A:A,0),0),0)</f>
        <v>0</v>
      </c>
      <c r="K6232" s="455">
        <f t="shared" ca="1" si="221"/>
        <v>-121568447322190</v>
      </c>
      <c r="L6232" s="455">
        <f t="shared" ca="1" si="222"/>
        <v>-2.9297995804647792E+16</v>
      </c>
      <c r="M6232" s="471">
        <f t="shared" si="224"/>
        <v>0.05</v>
      </c>
      <c r="N6232" s="475">
        <f t="shared" si="225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23"/>
        <v>-2.9297995804647792E+16</v>
      </c>
      <c r="J6233" s="455">
        <f t="array" ref="J6233">IFERROR(INDEX('Retirement Calculator'!J:J,MATCH('Isaac 401k'!N6233,'Retirement Calculator'!A:A,0),0),0)</f>
        <v>0</v>
      </c>
      <c r="K6233" s="455">
        <f t="shared" ca="1" si="221"/>
        <v>-122074982519365.8</v>
      </c>
      <c r="L6233" s="455">
        <f t="shared" ca="1" si="222"/>
        <v>-2.9420070787167156E+16</v>
      </c>
      <c r="M6233" s="471">
        <f t="shared" si="224"/>
        <v>0.05</v>
      </c>
      <c r="N6233" s="475">
        <f t="shared" si="225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23"/>
        <v>-2.9420070787167156E+16</v>
      </c>
      <c r="J6234" s="455">
        <f t="array" ref="J6234">IFERROR(INDEX('Retirement Calculator'!J:J,MATCH('Isaac 401k'!N6234,'Retirement Calculator'!A:A,0),0),0)</f>
        <v>0</v>
      </c>
      <c r="K6234" s="455">
        <f t="shared" ca="1" si="221"/>
        <v>-122583628279863.14</v>
      </c>
      <c r="L6234" s="455">
        <f t="shared" ca="1" si="222"/>
        <v>-2.954265441544702E+16</v>
      </c>
      <c r="M6234" s="471">
        <f t="shared" si="224"/>
        <v>0.05</v>
      </c>
      <c r="N6234" s="475">
        <f t="shared" si="225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23"/>
        <v>-2.954265441544702E+16</v>
      </c>
      <c r="J6235" s="455">
        <f t="array" ref="J6235">IFERROR(INDEX('Retirement Calculator'!J:J,MATCH('Isaac 401k'!N6235,'Retirement Calculator'!A:A,0),0),0)</f>
        <v>0</v>
      </c>
      <c r="K6235" s="455">
        <f t="shared" ca="1" si="221"/>
        <v>-123094393397695.92</v>
      </c>
      <c r="L6235" s="455">
        <f t="shared" ca="1" si="222"/>
        <v>-2.9665748808844716E+16</v>
      </c>
      <c r="M6235" s="471">
        <f t="shared" si="224"/>
        <v>0.05</v>
      </c>
      <c r="N6235" s="475">
        <f t="shared" si="225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23"/>
        <v>-2.9665748808844716E+16</v>
      </c>
      <c r="J6236" s="455">
        <f t="array" ref="J6236">IFERROR(INDEX('Retirement Calculator'!J:J,MATCH('Isaac 401k'!N6236,'Retirement Calculator'!A:A,0),0),0)</f>
        <v>0</v>
      </c>
      <c r="K6236" s="455">
        <f t="shared" ca="1" si="221"/>
        <v>-123607286703519.64</v>
      </c>
      <c r="L6236" s="455">
        <f t="shared" ca="1" si="222"/>
        <v>-2.9789356095548236E+16</v>
      </c>
      <c r="M6236" s="471">
        <f t="shared" si="224"/>
        <v>0.05</v>
      </c>
      <c r="N6236" s="475">
        <f t="shared" si="225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23"/>
        <v>-2.9789356095548236E+16</v>
      </c>
      <c r="J6237" s="455">
        <f t="array" ref="J6237">IFERROR(INDEX('Retirement Calculator'!J:J,MATCH('Isaac 401k'!N6237,'Retirement Calculator'!A:A,0),0),0)</f>
        <v>0</v>
      </c>
      <c r="K6237" s="455">
        <f t="shared" ca="1" si="221"/>
        <v>-124122317064784.31</v>
      </c>
      <c r="L6237" s="455">
        <f t="shared" ca="1" si="222"/>
        <v>-2.991347841261302E+16</v>
      </c>
      <c r="M6237" s="471">
        <f t="shared" si="224"/>
        <v>0.05</v>
      </c>
      <c r="N6237" s="475">
        <f t="shared" si="225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23"/>
        <v>-2.991347841261302E+16</v>
      </c>
      <c r="J6238" s="455">
        <f t="array" ref="J6238">IFERROR(INDEX('Retirement Calculator'!J:J,MATCH('Isaac 401k'!N6238,'Retirement Calculator'!A:A,0),0),0)</f>
        <v>0</v>
      </c>
      <c r="K6238" s="455">
        <f t="shared" ca="1" si="221"/>
        <v>-124639493385887.58</v>
      </c>
      <c r="L6238" s="455">
        <f t="shared" ca="1" si="222"/>
        <v>-3.0038117905998908E+16</v>
      </c>
      <c r="M6238" s="471">
        <f t="shared" si="224"/>
        <v>0.05</v>
      </c>
      <c r="N6238" s="475">
        <f t="shared" si="225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23"/>
        <v>-3.0038117905998908E+16</v>
      </c>
      <c r="J6239" s="455">
        <f t="array" ref="J6239">IFERROR(INDEX('Retirement Calculator'!J:J,MATCH('Isaac 401k'!N6239,'Retirement Calculator'!A:A,0),0),0)</f>
        <v>0</v>
      </c>
      <c r="K6239" s="455">
        <f t="shared" ca="1" si="221"/>
        <v>-125158824608328.78</v>
      </c>
      <c r="L6239" s="455">
        <f t="shared" ca="1" si="222"/>
        <v>-3.0163276730607236E+16</v>
      </c>
      <c r="M6239" s="471">
        <f t="shared" si="224"/>
        <v>0.05</v>
      </c>
      <c r="N6239" s="475">
        <f t="shared" si="225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23"/>
        <v>-3.0163276730607236E+16</v>
      </c>
      <c r="J6240" s="455">
        <f t="array" ref="J6240">IFERROR(INDEX('Retirement Calculator'!J:J,MATCH('Isaac 401k'!N6240,'Retirement Calculator'!A:A,0),0),0)</f>
        <v>0</v>
      </c>
      <c r="K6240" s="455">
        <f t="shared" ca="1" si="221"/>
        <v>-125680319710863.47</v>
      </c>
      <c r="L6240" s="455">
        <f t="shared" ca="1" si="222"/>
        <v>-3.02889570503181E+16</v>
      </c>
      <c r="M6240" s="471">
        <f t="shared" si="224"/>
        <v>0.05</v>
      </c>
      <c r="N6240" s="475">
        <f t="shared" si="225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23"/>
        <v>-3.02889570503181E+16</v>
      </c>
      <c r="J6241" s="455">
        <f t="array" ref="J6241">IFERROR(INDEX('Retirement Calculator'!J:J,MATCH('Isaac 401k'!N6241,'Retirement Calculator'!A:A,0),0),0)</f>
        <v>0</v>
      </c>
      <c r="K6241" s="455">
        <f t="shared" ca="1" si="221"/>
        <v>-126203987709658.73</v>
      </c>
      <c r="L6241" s="455">
        <f t="shared" ca="1" si="222"/>
        <v>-3.041516103802776E+16</v>
      </c>
      <c r="M6241" s="471">
        <f t="shared" si="224"/>
        <v>0.05</v>
      </c>
      <c r="N6241" s="475">
        <f t="shared" si="225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23"/>
        <v>-3.041516103802776E+16</v>
      </c>
      <c r="J6242" s="455">
        <f t="array" ref="J6242">IFERROR(INDEX('Retirement Calculator'!J:J,MATCH('Isaac 401k'!N6242,'Retirement Calculator'!A:A,0),0),0)</f>
        <v>0</v>
      </c>
      <c r="K6242" s="455">
        <f t="shared" ca="1" si="221"/>
        <v>-126729837658449</v>
      </c>
      <c r="L6242" s="455">
        <f t="shared" ca="1" si="222"/>
        <v>-3.0541890875686208E+16</v>
      </c>
      <c r="M6242" s="471">
        <f t="shared" si="224"/>
        <v>0.05</v>
      </c>
      <c r="N6242" s="475">
        <f t="shared" si="225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23"/>
        <v>-3.0541890875686208E+16</v>
      </c>
      <c r="J6243" s="455">
        <f t="array" ref="J6243">IFERROR(INDEX('Retirement Calculator'!J:J,MATCH('Isaac 401k'!N6243,'Retirement Calculator'!A:A,0),0),0)</f>
        <v>0</v>
      </c>
      <c r="K6243" s="455">
        <f t="shared" ca="1" si="221"/>
        <v>-127257878648692.53</v>
      </c>
      <c r="L6243" s="455">
        <f t="shared" ca="1" si="222"/>
        <v>-3.06691487543349E+16</v>
      </c>
      <c r="M6243" s="471">
        <f t="shared" si="224"/>
        <v>0.05</v>
      </c>
      <c r="N6243" s="475">
        <f t="shared" si="225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23"/>
        <v>-3.06691487543349E+16</v>
      </c>
      <c r="J6244" s="455">
        <f t="array" ref="J6244">IFERROR(INDEX('Retirement Calculator'!J:J,MATCH('Isaac 401k'!N6244,'Retirement Calculator'!A:A,0),0),0)</f>
        <v>0</v>
      </c>
      <c r="K6244" s="455">
        <f t="shared" ca="1" si="221"/>
        <v>-127788119809728.75</v>
      </c>
      <c r="L6244" s="455">
        <f t="shared" ca="1" si="222"/>
        <v>-3.0796936874144628E+16</v>
      </c>
      <c r="M6244" s="471">
        <f t="shared" si="224"/>
        <v>0.05</v>
      </c>
      <c r="N6244" s="475">
        <f t="shared" si="225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23"/>
        <v>-3.0796936874144628E+16</v>
      </c>
      <c r="J6245" s="455">
        <f t="array" ref="J6245">IFERROR(INDEX('Retirement Calculator'!J:J,MATCH('Isaac 401k'!N6245,'Retirement Calculator'!A:A,0),0),0)</f>
        <v>0</v>
      </c>
      <c r="K6245" s="455">
        <f t="shared" ca="1" si="221"/>
        <v>-128320570308935.97</v>
      </c>
      <c r="L6245" s="455">
        <f t="shared" ca="1" si="222"/>
        <v>-3.0925257444453564E+16</v>
      </c>
      <c r="M6245" s="471">
        <f t="shared" si="224"/>
        <v>0.05</v>
      </c>
      <c r="N6245" s="475">
        <f t="shared" si="225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23"/>
        <v>-3.0925257444453564E+16</v>
      </c>
      <c r="J6246" s="455">
        <f t="array" ref="J6246">IFERROR(INDEX('Retirement Calculator'!J:J,MATCH('Isaac 401k'!N6246,'Retirement Calculator'!A:A,0),0),0)</f>
        <v>0</v>
      </c>
      <c r="K6246" s="455">
        <f t="shared" ca="1" si="221"/>
        <v>-128855239351889.83</v>
      </c>
      <c r="L6246" s="455">
        <f t="shared" ca="1" si="222"/>
        <v>-3.1054112683805452E+16</v>
      </c>
      <c r="M6246" s="471">
        <f t="shared" si="224"/>
        <v>0.05</v>
      </c>
      <c r="N6246" s="475">
        <f t="shared" si="225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23"/>
        <v>-3.1054112683805452E+16</v>
      </c>
      <c r="J6247" s="455">
        <f t="array" ref="J6247">IFERROR(INDEX('Retirement Calculator'!J:J,MATCH('Isaac 401k'!N6247,'Retirement Calculator'!A:A,0),0),0)</f>
        <v>0</v>
      </c>
      <c r="K6247" s="455">
        <f t="shared" ca="1" si="221"/>
        <v>-129392136182522.7</v>
      </c>
      <c r="L6247" s="455">
        <f t="shared" ca="1" si="222"/>
        <v>-3.1183504819987976E+16</v>
      </c>
      <c r="M6247" s="471">
        <f t="shared" si="224"/>
        <v>0.05</v>
      </c>
      <c r="N6247" s="475">
        <f t="shared" si="225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23"/>
        <v>-3.1183504819987976E+16</v>
      </c>
      <c r="J6248" s="455">
        <f t="array" ref="J6248">IFERROR(INDEX('Retirement Calculator'!J:J,MATCH('Isaac 401k'!N6248,'Retirement Calculator'!A:A,0),0),0)</f>
        <v>0</v>
      </c>
      <c r="K6248" s="455">
        <f t="shared" ca="1" si="221"/>
        <v>-129931270083283.23</v>
      </c>
      <c r="L6248" s="455">
        <f t="shared" ca="1" si="222"/>
        <v>-3.131343609007126E+16</v>
      </c>
      <c r="M6248" s="471">
        <f t="shared" si="224"/>
        <v>0.05</v>
      </c>
      <c r="N6248" s="475">
        <f t="shared" si="225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23"/>
        <v>-3.131343609007126E+16</v>
      </c>
      <c r="J6249" s="455">
        <f t="array" ref="J6249">IFERROR(INDEX('Retirement Calculator'!J:J,MATCH('Isaac 401k'!N6249,'Retirement Calculator'!A:A,0),0),0)</f>
        <v>0</v>
      </c>
      <c r="K6249" s="455">
        <f t="shared" ca="1" si="221"/>
        <v>-130472650375296.89</v>
      </c>
      <c r="L6249" s="455">
        <f t="shared" ca="1" si="222"/>
        <v>-3.1443908740446556E+16</v>
      </c>
      <c r="M6249" s="471">
        <f t="shared" si="224"/>
        <v>0.05</v>
      </c>
      <c r="N6249" s="475">
        <f t="shared" si="225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23"/>
        <v>-3.1443908740446556E+16</v>
      </c>
      <c r="J6250" s="455">
        <f t="array" ref="J6250">IFERROR(INDEX('Retirement Calculator'!J:J,MATCH('Isaac 401k'!N6250,'Retirement Calculator'!A:A,0),0),0)</f>
        <v>0</v>
      </c>
      <c r="K6250" s="455">
        <f t="shared" ca="1" si="221"/>
        <v>-131016286418527.31</v>
      </c>
      <c r="L6250" s="455">
        <f t="shared" ca="1" si="222"/>
        <v>-3.1574925026865084E+16</v>
      </c>
      <c r="M6250" s="471">
        <f t="shared" si="224"/>
        <v>0.05</v>
      </c>
      <c r="N6250" s="475">
        <f t="shared" si="225"/>
        <v>241275</v>
      </c>
    </row>
  </sheetData>
  <pageMargins left="0.7" right="0.7" top="0.75" bottom="0.75" header="0" footer="0"/>
  <pageSetup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N6250"/>
  <sheetViews>
    <sheetView workbookViewId="0">
      <pane ySplit="4" topLeftCell="A5" activePane="bottomLeft" state="frozen"/>
      <selection pane="bottomLeft" activeCell="B6" sqref="B6"/>
    </sheetView>
  </sheetViews>
  <sheetFormatPr defaultColWidth="14.44140625" defaultRowHeight="15" customHeight="1" x14ac:dyDescent="0.3"/>
  <cols>
    <col min="1" max="1" width="14.5546875" customWidth="1"/>
    <col min="2" max="2" width="12.33203125" customWidth="1"/>
    <col min="3" max="4" width="10.44140625" customWidth="1"/>
    <col min="5" max="5" width="11.6640625" customWidth="1"/>
    <col min="6" max="6" width="14.6640625" customWidth="1"/>
    <col min="7" max="7" width="2.6640625" customWidth="1"/>
    <col min="8" max="8" width="5.44140625" customWidth="1"/>
    <col min="9" max="9" width="18" customWidth="1"/>
    <col min="10" max="10" width="9.109375" customWidth="1"/>
    <col min="11" max="11" width="14.88671875" customWidth="1"/>
    <col min="12" max="12" width="18" customWidth="1"/>
    <col min="13" max="13" width="9.44140625" customWidth="1"/>
    <col min="14" max="14" width="14.6640625" customWidth="1"/>
  </cols>
  <sheetData>
    <row r="1" spans="1:14" ht="11.25" customHeight="1" x14ac:dyDescent="0.3">
      <c r="A1" s="470" t="s">
        <v>672</v>
      </c>
      <c r="B1" s="455">
        <f ca="1">'Combined Retirement'!I8+'Combined Retirement'!K8</f>
        <v>3268717.5999116763</v>
      </c>
      <c r="C1" s="457"/>
      <c r="D1" s="457"/>
      <c r="E1" s="457"/>
      <c r="F1" s="457"/>
      <c r="G1" s="470"/>
      <c r="H1" s="470"/>
      <c r="I1" s="442"/>
      <c r="J1" s="442"/>
      <c r="K1" s="442"/>
      <c r="L1" s="442"/>
      <c r="M1" s="473"/>
      <c r="N1" s="475"/>
    </row>
    <row r="2" spans="1:14" ht="11.25" customHeight="1" x14ac:dyDescent="0.3">
      <c r="A2" s="470" t="s">
        <v>673</v>
      </c>
      <c r="B2" s="471">
        <v>0.05</v>
      </c>
      <c r="C2" s="457" t="s">
        <v>682</v>
      </c>
      <c r="D2" s="457"/>
      <c r="E2" s="457"/>
      <c r="F2" s="457"/>
      <c r="G2" s="470"/>
      <c r="H2" s="470"/>
      <c r="I2" s="442"/>
      <c r="J2" s="442"/>
      <c r="K2" s="442"/>
      <c r="L2" s="442"/>
      <c r="M2" s="473"/>
      <c r="N2" s="475"/>
    </row>
    <row r="3" spans="1:14" ht="11.25" customHeight="1" x14ac:dyDescent="0.3">
      <c r="A3" s="470"/>
      <c r="B3" s="457"/>
      <c r="C3" s="457"/>
      <c r="D3" s="457"/>
      <c r="E3" s="457"/>
      <c r="F3" s="457"/>
      <c r="G3" s="470"/>
      <c r="H3" s="470"/>
      <c r="I3" s="442"/>
      <c r="J3" s="442"/>
      <c r="K3" s="442"/>
      <c r="L3" s="442"/>
      <c r="M3" s="473"/>
      <c r="N3" s="475"/>
    </row>
    <row r="4" spans="1:14" ht="11.25" customHeight="1" x14ac:dyDescent="0.3">
      <c r="A4" s="470" t="s">
        <v>675</v>
      </c>
      <c r="B4" s="462">
        <f ca="1">(SUMIFS(H:H,I:I,"&gt;0",L:L,"&lt;0"))/12</f>
        <v>47.083333333333336</v>
      </c>
      <c r="C4" s="474">
        <f ca="1">(SUMIFS(H:H,I:I,"&gt;0",L:L,"&lt;0"))</f>
        <v>565</v>
      </c>
      <c r="D4" s="467">
        <f t="array" aca="1" ref="D4" ca="1">INDEX(N:N,MATCH(C4,H:H,0),0)</f>
        <v>68454</v>
      </c>
      <c r="E4" s="457"/>
      <c r="F4" s="457"/>
      <c r="G4" s="470"/>
      <c r="H4" s="470"/>
      <c r="I4" s="457"/>
      <c r="J4" s="442"/>
      <c r="K4" s="442"/>
      <c r="L4" s="442"/>
      <c r="M4" s="473"/>
      <c r="N4" s="475"/>
    </row>
    <row r="5" spans="1:14" ht="11.25" customHeight="1" x14ac:dyDescent="0.3">
      <c r="A5" s="470"/>
      <c r="B5" s="457"/>
      <c r="C5" s="457"/>
      <c r="D5" s="457"/>
      <c r="E5" s="457"/>
      <c r="F5" s="457"/>
      <c r="G5" s="470"/>
      <c r="H5" s="470"/>
      <c r="I5" s="442"/>
      <c r="J5" s="442"/>
      <c r="K5" s="442"/>
      <c r="L5" s="442"/>
      <c r="M5" s="473"/>
      <c r="N5" s="475"/>
    </row>
    <row r="6" spans="1:14" ht="11.25" customHeight="1" x14ac:dyDescent="0.3">
      <c r="A6" s="470"/>
      <c r="B6" s="457"/>
      <c r="C6" s="457"/>
      <c r="D6" s="457"/>
      <c r="E6" s="457"/>
      <c r="F6" s="457"/>
      <c r="G6" s="470"/>
      <c r="H6" s="470"/>
      <c r="I6" s="442"/>
      <c r="J6" s="442"/>
      <c r="K6" s="442"/>
      <c r="L6" s="442"/>
      <c r="M6" s="473"/>
      <c r="N6" s="475"/>
    </row>
    <row r="7" spans="1:14" ht="11.25" customHeight="1" x14ac:dyDescent="0.3">
      <c r="A7" s="470" t="s">
        <v>676</v>
      </c>
      <c r="B7" s="457" t="s">
        <v>677</v>
      </c>
      <c r="C7" s="457" t="s">
        <v>678</v>
      </c>
      <c r="D7" s="457" t="s">
        <v>679</v>
      </c>
      <c r="E7" s="457" t="s">
        <v>680</v>
      </c>
      <c r="F7" s="457"/>
      <c r="G7" s="470" t="s">
        <v>681</v>
      </c>
      <c r="H7" s="470" t="s">
        <v>224</v>
      </c>
      <c r="I7" s="457" t="s">
        <v>677</v>
      </c>
      <c r="J7" s="457" t="s">
        <v>678</v>
      </c>
      <c r="K7" s="457" t="s">
        <v>679</v>
      </c>
      <c r="L7" s="457" t="s">
        <v>680</v>
      </c>
      <c r="M7" s="471"/>
      <c r="N7" s="475" t="s">
        <v>607</v>
      </c>
    </row>
    <row r="8" spans="1:14" ht="11.25" customHeight="1" x14ac:dyDescent="0.3">
      <c r="A8" s="470">
        <v>1</v>
      </c>
      <c r="B8" s="458">
        <f ca="1">B1</f>
        <v>3268717.5999116763</v>
      </c>
      <c r="C8" s="458">
        <f t="shared" ref="C8:C71" si="0">SUMIF(G:G,A8,J:J)</f>
        <v>0</v>
      </c>
      <c r="D8" s="458">
        <f ca="1">SUMIF(G:G,1,K:K)</f>
        <v>167233.79605090519</v>
      </c>
      <c r="E8" s="458">
        <f t="shared" ref="E8:E71" ca="1" si="1">B8-C8+D8</f>
        <v>3435951.3959625815</v>
      </c>
      <c r="F8" s="442"/>
      <c r="G8" s="470">
        <v>1</v>
      </c>
      <c r="H8" s="470">
        <v>1</v>
      </c>
      <c r="I8" s="455">
        <f ca="1">B1</f>
        <v>3268717.5999116763</v>
      </c>
      <c r="J8" s="455">
        <f t="array" ref="J8">IFERROR(INDEX('Retirement Calculator'!K:K,MATCH('Lorri 401b'!N8,'Retirement Calculator'!A:A,0),0),0)</f>
        <v>0</v>
      </c>
      <c r="K8" s="455">
        <f t="shared" ref="K8:K262" ca="1" si="2">IPMT(M8/12,1,12,-I8+J8,,0)</f>
        <v>13619.656666298652</v>
      </c>
      <c r="L8" s="455">
        <f t="shared" ref="L8:L262" ca="1" si="3">I8-J8+K8</f>
        <v>3282337.2565779751</v>
      </c>
      <c r="M8" s="471">
        <f>B2</f>
        <v>0.05</v>
      </c>
      <c r="N8" s="475">
        <f>'Retirement Calculator'!D7</f>
        <v>51288</v>
      </c>
    </row>
    <row r="9" spans="1:14" ht="11.25" customHeight="1" x14ac:dyDescent="0.3">
      <c r="A9" s="470">
        <v>2</v>
      </c>
      <c r="B9" s="458">
        <f t="shared" ref="B9:B71" ca="1" si="4">E8</f>
        <v>3435951.3959625815</v>
      </c>
      <c r="C9" s="458">
        <f t="shared" si="0"/>
        <v>0</v>
      </c>
      <c r="D9" s="458">
        <f ca="1">SUMIF(G:G,2,K:K)</f>
        <v>175789.7944468362</v>
      </c>
      <c r="E9" s="458">
        <f t="shared" ca="1" si="1"/>
        <v>3611741.1904094177</v>
      </c>
      <c r="F9" s="442"/>
      <c r="G9" s="470">
        <v>1</v>
      </c>
      <c r="H9" s="470">
        <v>2</v>
      </c>
      <c r="I9" s="455">
        <f t="shared" ref="I9:I263" ca="1" si="5">L8</f>
        <v>3282337.2565779751</v>
      </c>
      <c r="J9" s="455">
        <f t="array" ref="J9">IFERROR(INDEX('Retirement Calculator'!K:K,MATCH('Lorri 401b'!N9,'Retirement Calculator'!A:A,0),0),0)</f>
        <v>0</v>
      </c>
      <c r="K9" s="455">
        <f t="shared" ca="1" si="2"/>
        <v>13676.405235741562</v>
      </c>
      <c r="L9" s="455">
        <f t="shared" ca="1" si="3"/>
        <v>3296013.6618137169</v>
      </c>
      <c r="M9" s="471">
        <f t="shared" ref="M9:M263" si="6">M8</f>
        <v>0.05</v>
      </c>
      <c r="N9" s="475">
        <f t="shared" ref="N9:N263" si="7">EDATE(N8,1)</f>
        <v>51318</v>
      </c>
    </row>
    <row r="10" spans="1:14" ht="11.25" customHeight="1" x14ac:dyDescent="0.3">
      <c r="A10" s="470">
        <v>3</v>
      </c>
      <c r="B10" s="458">
        <f t="shared" ca="1" si="4"/>
        <v>3611741.1904094177</v>
      </c>
      <c r="C10" s="458">
        <f t="shared" si="0"/>
        <v>0</v>
      </c>
      <c r="D10" s="458">
        <f ca="1">SUMIF(G:G,3,K:K)</f>
        <v>184783.53395897607</v>
      </c>
      <c r="E10" s="458">
        <f t="shared" ca="1" si="1"/>
        <v>3796524.7243683939</v>
      </c>
      <c r="F10" s="442"/>
      <c r="G10" s="470">
        <v>1</v>
      </c>
      <c r="H10" s="470">
        <v>3</v>
      </c>
      <c r="I10" s="455">
        <f t="shared" ca="1" si="5"/>
        <v>3296013.6618137169</v>
      </c>
      <c r="J10" s="455">
        <f t="array" ref="J10">IFERROR(INDEX('Retirement Calculator'!K:K,MATCH('Lorri 401b'!N10,'Retirement Calculator'!A:A,0),0),0)</f>
        <v>0</v>
      </c>
      <c r="K10" s="455">
        <f t="shared" ca="1" si="2"/>
        <v>13733.390257557154</v>
      </c>
      <c r="L10" s="455">
        <f t="shared" ca="1" si="3"/>
        <v>3309747.0520712738</v>
      </c>
      <c r="M10" s="471">
        <f t="shared" si="6"/>
        <v>0.05</v>
      </c>
      <c r="N10" s="475">
        <f t="shared" si="7"/>
        <v>51349</v>
      </c>
    </row>
    <row r="11" spans="1:14" ht="11.25" customHeight="1" x14ac:dyDescent="0.3">
      <c r="A11" s="470">
        <v>4</v>
      </c>
      <c r="B11" s="458">
        <f t="shared" ca="1" si="4"/>
        <v>3796524.7243683939</v>
      </c>
      <c r="C11" s="458">
        <f t="shared" si="0"/>
        <v>0</v>
      </c>
      <c r="D11" s="458">
        <f ca="1">SUMIF(G:G,4,K:K)</f>
        <v>194237.41025361099</v>
      </c>
      <c r="E11" s="458">
        <f t="shared" ca="1" si="1"/>
        <v>3990762.1346220048</v>
      </c>
      <c r="F11" s="442"/>
      <c r="G11" s="470">
        <v>1</v>
      </c>
      <c r="H11" s="470">
        <v>4</v>
      </c>
      <c r="I11" s="455">
        <f t="shared" ca="1" si="5"/>
        <v>3309747.0520712738</v>
      </c>
      <c r="J11" s="455">
        <f t="array" ref="J11">IFERROR(INDEX('Retirement Calculator'!K:K,MATCH('Lorri 401b'!N11,'Retirement Calculator'!A:A,0),0),0)</f>
        <v>0</v>
      </c>
      <c r="K11" s="455">
        <f t="shared" ca="1" si="2"/>
        <v>13790.61271696364</v>
      </c>
      <c r="L11" s="455">
        <f t="shared" ca="1" si="3"/>
        <v>3323537.6647882373</v>
      </c>
      <c r="M11" s="471">
        <f t="shared" si="6"/>
        <v>0.05</v>
      </c>
      <c r="N11" s="475">
        <f t="shared" si="7"/>
        <v>51380</v>
      </c>
    </row>
    <row r="12" spans="1:14" ht="11.25" customHeight="1" x14ac:dyDescent="0.3">
      <c r="A12" s="470">
        <v>5</v>
      </c>
      <c r="B12" s="458">
        <f t="shared" ca="1" si="4"/>
        <v>3990762.1346220048</v>
      </c>
      <c r="C12" s="458">
        <f t="shared" si="0"/>
        <v>0</v>
      </c>
      <c r="D12" s="458">
        <f ca="1">SUMIF(G:G,5,K:K)</f>
        <v>204174.9648018186</v>
      </c>
      <c r="E12" s="458">
        <f t="shared" ca="1" si="1"/>
        <v>4194937.0994238239</v>
      </c>
      <c r="F12" s="442"/>
      <c r="G12" s="470">
        <v>1</v>
      </c>
      <c r="H12" s="470">
        <v>5</v>
      </c>
      <c r="I12" s="455">
        <f t="shared" ca="1" si="5"/>
        <v>3323537.6647882373</v>
      </c>
      <c r="J12" s="455">
        <f t="array" ref="J12">IFERROR(INDEX('Retirement Calculator'!K:K,MATCH('Lorri 401b'!N12,'Retirement Calculator'!A:A,0),0),0)</f>
        <v>0</v>
      </c>
      <c r="K12" s="455">
        <f t="shared" ca="1" si="2"/>
        <v>13848.07360328432</v>
      </c>
      <c r="L12" s="455">
        <f t="shared" ca="1" si="3"/>
        <v>3337385.7383915219</v>
      </c>
      <c r="M12" s="471">
        <f t="shared" si="6"/>
        <v>0.05</v>
      </c>
      <c r="N12" s="475">
        <f t="shared" si="7"/>
        <v>51410</v>
      </c>
    </row>
    <row r="13" spans="1:14" ht="11.25" customHeight="1" x14ac:dyDescent="0.3">
      <c r="A13" s="470">
        <v>6</v>
      </c>
      <c r="B13" s="458">
        <f t="shared" ca="1" si="4"/>
        <v>4194937.0994238239</v>
      </c>
      <c r="C13" s="458">
        <f t="shared" si="0"/>
        <v>110129.63259692027</v>
      </c>
      <c r="D13" s="458">
        <f ca="1">SUMIF(G:G,6,K:K)</f>
        <v>213236.65126288135</v>
      </c>
      <c r="E13" s="458">
        <f t="shared" ca="1" si="1"/>
        <v>4298044.1180897849</v>
      </c>
      <c r="F13" s="442"/>
      <c r="G13" s="470">
        <v>1</v>
      </c>
      <c r="H13" s="470">
        <v>6</v>
      </c>
      <c r="I13" s="455">
        <f t="shared" ca="1" si="5"/>
        <v>3337385.7383915219</v>
      </c>
      <c r="J13" s="455">
        <f t="array" ref="J13">IFERROR(INDEX('Retirement Calculator'!K:K,MATCH('Lorri 401b'!N13,'Retirement Calculator'!A:A,0),0),0)</f>
        <v>0</v>
      </c>
      <c r="K13" s="455">
        <f t="shared" ca="1" si="2"/>
        <v>13905.773909964673</v>
      </c>
      <c r="L13" s="455">
        <f t="shared" ca="1" si="3"/>
        <v>3351291.5123014865</v>
      </c>
      <c r="M13" s="471">
        <f t="shared" si="6"/>
        <v>0.05</v>
      </c>
      <c r="N13" s="475">
        <f t="shared" si="7"/>
        <v>51441</v>
      </c>
    </row>
    <row r="14" spans="1:14" ht="11.25" customHeight="1" x14ac:dyDescent="0.3">
      <c r="A14" s="470">
        <v>7</v>
      </c>
      <c r="B14" s="458">
        <f t="shared" ca="1" si="4"/>
        <v>4298044.1180897849</v>
      </c>
      <c r="C14" s="458">
        <f t="shared" si="0"/>
        <v>264311.11823260866</v>
      </c>
      <c r="D14" s="458">
        <f ca="1">SUMIF(G:G,7,K:K)</f>
        <v>212627.15548969849</v>
      </c>
      <c r="E14" s="458">
        <f t="shared" ca="1" si="1"/>
        <v>4246360.1553468741</v>
      </c>
      <c r="F14" s="442"/>
      <c r="G14" s="470">
        <v>1</v>
      </c>
      <c r="H14" s="470">
        <v>7</v>
      </c>
      <c r="I14" s="455">
        <f t="shared" ca="1" si="5"/>
        <v>3351291.5123014865</v>
      </c>
      <c r="J14" s="455">
        <f t="array" ref="J14">IFERROR(INDEX('Retirement Calculator'!K:K,MATCH('Lorri 401b'!N14,'Retirement Calculator'!A:A,0),0),0)</f>
        <v>0</v>
      </c>
      <c r="K14" s="455">
        <f t="shared" ca="1" si="2"/>
        <v>13963.714634589525</v>
      </c>
      <c r="L14" s="455">
        <f t="shared" ca="1" si="3"/>
        <v>3365255.2269360758</v>
      </c>
      <c r="M14" s="471">
        <f t="shared" si="6"/>
        <v>0.05</v>
      </c>
      <c r="N14" s="475">
        <f t="shared" si="7"/>
        <v>51471</v>
      </c>
    </row>
    <row r="15" spans="1:14" ht="11.25" customHeight="1" x14ac:dyDescent="0.3">
      <c r="A15" s="470">
        <v>8</v>
      </c>
      <c r="B15" s="458">
        <f t="shared" ca="1" si="4"/>
        <v>4246360.1553468741</v>
      </c>
      <c r="C15" s="458">
        <f t="shared" si="0"/>
        <v>264311.11823260866</v>
      </c>
      <c r="D15" s="458">
        <f ca="1">SUMIF(G:G,8,K:K)</f>
        <v>209982.90586572257</v>
      </c>
      <c r="E15" s="458">
        <f t="shared" ca="1" si="1"/>
        <v>4192031.9429799877</v>
      </c>
      <c r="F15" s="442"/>
      <c r="G15" s="470">
        <v>1</v>
      </c>
      <c r="H15" s="470">
        <v>8</v>
      </c>
      <c r="I15" s="455">
        <f t="shared" ca="1" si="5"/>
        <v>3365255.2269360758</v>
      </c>
      <c r="J15" s="455">
        <f t="array" ref="J15">IFERROR(INDEX('Retirement Calculator'!K:K,MATCH('Lorri 401b'!N15,'Retirement Calculator'!A:A,0),0),0)</f>
        <v>0</v>
      </c>
      <c r="K15" s="455">
        <f t="shared" ca="1" si="2"/>
        <v>14021.896778900318</v>
      </c>
      <c r="L15" s="455">
        <f t="shared" ca="1" si="3"/>
        <v>3379277.123714976</v>
      </c>
      <c r="M15" s="471">
        <f t="shared" si="6"/>
        <v>0.05</v>
      </c>
      <c r="N15" s="475">
        <f t="shared" si="7"/>
        <v>51502</v>
      </c>
    </row>
    <row r="16" spans="1:14" ht="11.25" customHeight="1" x14ac:dyDescent="0.3">
      <c r="A16" s="470">
        <v>9</v>
      </c>
      <c r="B16" s="458">
        <f t="shared" ca="1" si="4"/>
        <v>4192031.9429799877</v>
      </c>
      <c r="C16" s="458">
        <f t="shared" si="0"/>
        <v>245128.2138326086</v>
      </c>
      <c r="D16" s="458">
        <f ca="1">SUMIF(G:G,9,K:K)</f>
        <v>207689.66761588218</v>
      </c>
      <c r="E16" s="458">
        <f t="shared" ca="1" si="1"/>
        <v>4154593.3967632614</v>
      </c>
      <c r="F16" s="442"/>
      <c r="G16" s="470">
        <v>1</v>
      </c>
      <c r="H16" s="470">
        <v>9</v>
      </c>
      <c r="I16" s="455">
        <f t="shared" ca="1" si="5"/>
        <v>3379277.123714976</v>
      </c>
      <c r="J16" s="455">
        <f t="array" ref="J16">IFERROR(INDEX('Retirement Calculator'!K:K,MATCH('Lorri 401b'!N16,'Retirement Calculator'!A:A,0),0),0)</f>
        <v>0</v>
      </c>
      <c r="K16" s="455">
        <f t="shared" ca="1" si="2"/>
        <v>14080.3213488124</v>
      </c>
      <c r="L16" s="455">
        <f t="shared" ca="1" si="3"/>
        <v>3393357.4450637884</v>
      </c>
      <c r="M16" s="471">
        <f t="shared" si="6"/>
        <v>0.05</v>
      </c>
      <c r="N16" s="475">
        <f t="shared" si="7"/>
        <v>51533</v>
      </c>
    </row>
    <row r="17" spans="1:14" ht="11.25" customHeight="1" x14ac:dyDescent="0.3">
      <c r="A17" s="470">
        <v>10</v>
      </c>
      <c r="B17" s="458">
        <f t="shared" ca="1" si="4"/>
        <v>4154593.3967632614</v>
      </c>
      <c r="C17" s="458">
        <f t="shared" si="0"/>
        <v>243384.31343260861</v>
      </c>
      <c r="D17" s="458">
        <f ca="1">SUMIF(G:G,10,K:K)</f>
        <v>205863.46179168212</v>
      </c>
      <c r="E17" s="458">
        <f t="shared" ca="1" si="1"/>
        <v>4117072.5451223347</v>
      </c>
      <c r="F17" s="442"/>
      <c r="G17" s="470">
        <v>1</v>
      </c>
      <c r="H17" s="470">
        <v>10</v>
      </c>
      <c r="I17" s="455">
        <f t="shared" ca="1" si="5"/>
        <v>3393357.4450637884</v>
      </c>
      <c r="J17" s="455">
        <f t="array" ref="J17">IFERROR(INDEX('Retirement Calculator'!K:K,MATCH('Lorri 401b'!N17,'Retirement Calculator'!A:A,0),0),0)</f>
        <v>0</v>
      </c>
      <c r="K17" s="455">
        <f t="shared" ca="1" si="2"/>
        <v>14138.989354432451</v>
      </c>
      <c r="L17" s="455">
        <f t="shared" ca="1" si="3"/>
        <v>3407496.434418221</v>
      </c>
      <c r="M17" s="471">
        <f t="shared" si="6"/>
        <v>0.05</v>
      </c>
      <c r="N17" s="475">
        <f t="shared" si="7"/>
        <v>51561</v>
      </c>
    </row>
    <row r="18" spans="1:14" ht="11.25" customHeight="1" x14ac:dyDescent="0.3">
      <c r="A18" s="470">
        <v>11</v>
      </c>
      <c r="B18" s="458">
        <f t="shared" ca="1" si="4"/>
        <v>4117072.5451223347</v>
      </c>
      <c r="C18" s="458">
        <f t="shared" si="0"/>
        <v>243384.31343260861</v>
      </c>
      <c r="D18" s="458">
        <f ca="1">SUMIF(G:G,11,K:K)</f>
        <v>203943.82381159344</v>
      </c>
      <c r="E18" s="458">
        <f t="shared" ca="1" si="1"/>
        <v>4077632.0555013195</v>
      </c>
      <c r="F18" s="442"/>
      <c r="G18" s="470">
        <v>1</v>
      </c>
      <c r="H18" s="470">
        <v>11</v>
      </c>
      <c r="I18" s="455">
        <f t="shared" ca="1" si="5"/>
        <v>3407496.434418221</v>
      </c>
      <c r="J18" s="455">
        <f t="array" ref="J18">IFERROR(INDEX('Retirement Calculator'!K:K,MATCH('Lorri 401b'!N18,'Retirement Calculator'!A:A,0),0),0)</f>
        <v>0</v>
      </c>
      <c r="K18" s="455">
        <f t="shared" ca="1" si="2"/>
        <v>14197.901810075919</v>
      </c>
      <c r="L18" s="455">
        <f t="shared" ca="1" si="3"/>
        <v>3421694.3362282971</v>
      </c>
      <c r="M18" s="471">
        <f t="shared" si="6"/>
        <v>0.05</v>
      </c>
      <c r="N18" s="475">
        <f t="shared" si="7"/>
        <v>51592</v>
      </c>
    </row>
    <row r="19" spans="1:14" ht="11.25" customHeight="1" x14ac:dyDescent="0.3">
      <c r="A19" s="470">
        <v>12</v>
      </c>
      <c r="B19" s="458">
        <f t="shared" ca="1" si="4"/>
        <v>4077632.0555013195</v>
      </c>
      <c r="C19" s="458">
        <f t="shared" si="0"/>
        <v>243384.31343260861</v>
      </c>
      <c r="D19" s="458">
        <f ca="1">SUMIF(G:G,12,K:K)</f>
        <v>201925.97350919753</v>
      </c>
      <c r="E19" s="458">
        <f t="shared" ca="1" si="1"/>
        <v>4036173.7155779083</v>
      </c>
      <c r="F19" s="442"/>
      <c r="G19" s="470">
        <v>1</v>
      </c>
      <c r="H19" s="470">
        <v>12</v>
      </c>
      <c r="I19" s="455">
        <f t="shared" ca="1" si="5"/>
        <v>3421694.3362282971</v>
      </c>
      <c r="J19" s="455">
        <f t="array" ref="J19">IFERROR(INDEX('Retirement Calculator'!K:K,MATCH('Lorri 401b'!N19,'Retirement Calculator'!A:A,0),0),0)</f>
        <v>0</v>
      </c>
      <c r="K19" s="455">
        <f t="shared" ca="1" si="2"/>
        <v>14257.059734284572</v>
      </c>
      <c r="L19" s="455">
        <f t="shared" ca="1" si="3"/>
        <v>3435951.3959625815</v>
      </c>
      <c r="M19" s="471">
        <f t="shared" si="6"/>
        <v>0.05</v>
      </c>
      <c r="N19" s="475">
        <f t="shared" si="7"/>
        <v>51622</v>
      </c>
    </row>
    <row r="20" spans="1:14" ht="11.25" customHeight="1" x14ac:dyDescent="0.3">
      <c r="A20" s="470">
        <v>13</v>
      </c>
      <c r="B20" s="458">
        <f t="shared" ca="1" si="4"/>
        <v>4036173.7155779083</v>
      </c>
      <c r="C20" s="458">
        <f t="shared" si="0"/>
        <v>243384.31343260861</v>
      </c>
      <c r="D20" s="458">
        <f ca="1">SUMIF(G:G,13,K:K)</f>
        <v>199804.88615568978</v>
      </c>
      <c r="E20" s="458">
        <f t="shared" ca="1" si="1"/>
        <v>3992594.2883009892</v>
      </c>
      <c r="F20" s="442"/>
      <c r="G20" s="470">
        <v>2</v>
      </c>
      <c r="H20" s="470">
        <v>13</v>
      </c>
      <c r="I20" s="455">
        <f t="shared" ca="1" si="5"/>
        <v>3435951.3959625815</v>
      </c>
      <c r="J20" s="455">
        <f t="array" ref="J20">IFERROR(INDEX('Retirement Calculator'!K:K,MATCH('Lorri 401b'!N20,'Retirement Calculator'!A:A,0),0),0)</f>
        <v>0</v>
      </c>
      <c r="K20" s="455">
        <f t="shared" ca="1" si="2"/>
        <v>14316.464149844089</v>
      </c>
      <c r="L20" s="455">
        <f t="shared" ca="1" si="3"/>
        <v>3450267.8601124254</v>
      </c>
      <c r="M20" s="471">
        <f t="shared" si="6"/>
        <v>0.05</v>
      </c>
      <c r="N20" s="475">
        <f t="shared" si="7"/>
        <v>51653</v>
      </c>
    </row>
    <row r="21" spans="1:14" ht="11.25" customHeight="1" x14ac:dyDescent="0.3">
      <c r="A21" s="470">
        <v>14</v>
      </c>
      <c r="B21" s="458">
        <f t="shared" ca="1" si="4"/>
        <v>3992594.2883009892</v>
      </c>
      <c r="C21" s="458">
        <f t="shared" si="0"/>
        <v>243384.31343260861</v>
      </c>
      <c r="D21" s="458">
        <f ca="1">SUMIF(G:G,14,K:K)</f>
        <v>197575.2799476037</v>
      </c>
      <c r="E21" s="458">
        <f t="shared" ca="1" si="1"/>
        <v>3946785.2548159841</v>
      </c>
      <c r="F21" s="442"/>
      <c r="G21" s="470">
        <v>2</v>
      </c>
      <c r="H21" s="470">
        <v>14</v>
      </c>
      <c r="I21" s="455">
        <f t="shared" ca="1" si="5"/>
        <v>3450267.8601124254</v>
      </c>
      <c r="J21" s="455">
        <f t="array" ref="J21">IFERROR(INDEX('Retirement Calculator'!K:K,MATCH('Lorri 401b'!N21,'Retirement Calculator'!A:A,0),0),0)</f>
        <v>0</v>
      </c>
      <c r="K21" s="455">
        <f t="shared" ca="1" si="2"/>
        <v>14376.116083801773</v>
      </c>
      <c r="L21" s="455">
        <f t="shared" ca="1" si="3"/>
        <v>3464643.9761962271</v>
      </c>
      <c r="M21" s="471">
        <f t="shared" si="6"/>
        <v>0.05</v>
      </c>
      <c r="N21" s="475">
        <f t="shared" si="7"/>
        <v>51683</v>
      </c>
    </row>
    <row r="22" spans="1:14" ht="11.25" customHeight="1" x14ac:dyDescent="0.3">
      <c r="A22" s="470">
        <v>15</v>
      </c>
      <c r="B22" s="458">
        <f t="shared" ca="1" si="4"/>
        <v>3946785.2548159841</v>
      </c>
      <c r="C22" s="458">
        <f t="shared" si="0"/>
        <v>243384.31343260861</v>
      </c>
      <c r="D22" s="458">
        <f ca="1">SUMIF(G:G,15,K:K)</f>
        <v>195231.60285438303</v>
      </c>
      <c r="E22" s="458">
        <f t="shared" ca="1" si="1"/>
        <v>3898632.5442377585</v>
      </c>
      <c r="F22" s="442"/>
      <c r="G22" s="470">
        <v>2</v>
      </c>
      <c r="H22" s="470">
        <v>15</v>
      </c>
      <c r="I22" s="455">
        <f t="shared" ca="1" si="5"/>
        <v>3464643.9761962271</v>
      </c>
      <c r="J22" s="455">
        <f t="array" ref="J22">IFERROR(INDEX('Retirement Calculator'!K:K,MATCH('Lorri 401b'!N22,'Retirement Calculator'!A:A,0),0),0)</f>
        <v>0</v>
      </c>
      <c r="K22" s="455">
        <f t="shared" ca="1" si="2"/>
        <v>14436.016567484279</v>
      </c>
      <c r="L22" s="455">
        <f t="shared" ca="1" si="3"/>
        <v>3479079.9927637116</v>
      </c>
      <c r="M22" s="471">
        <f t="shared" si="6"/>
        <v>0.05</v>
      </c>
      <c r="N22" s="475">
        <f t="shared" si="7"/>
        <v>51714</v>
      </c>
    </row>
    <row r="23" spans="1:14" ht="11.25" customHeight="1" x14ac:dyDescent="0.3">
      <c r="A23" s="470">
        <v>16</v>
      </c>
      <c r="B23" s="458">
        <f t="shared" ca="1" si="4"/>
        <v>3898632.5442377585</v>
      </c>
      <c r="C23" s="458">
        <f t="shared" si="0"/>
        <v>243384.31343260861</v>
      </c>
      <c r="D23" s="458">
        <f ca="1">SUMIF(G:G,16,K:K)</f>
        <v>192768.01879305122</v>
      </c>
      <c r="E23" s="458">
        <f t="shared" ca="1" si="1"/>
        <v>3848016.2495982009</v>
      </c>
      <c r="F23" s="442"/>
      <c r="G23" s="470">
        <v>2</v>
      </c>
      <c r="H23" s="470">
        <v>16</v>
      </c>
      <c r="I23" s="455">
        <f t="shared" ca="1" si="5"/>
        <v>3479079.9927637116</v>
      </c>
      <c r="J23" s="455">
        <f t="array" ref="J23">IFERROR(INDEX('Retirement Calculator'!K:K,MATCH('Lorri 401b'!N23,'Retirement Calculator'!A:A,0),0),0)</f>
        <v>0</v>
      </c>
      <c r="K23" s="455">
        <f t="shared" ca="1" si="2"/>
        <v>14496.166636515467</v>
      </c>
      <c r="L23" s="455">
        <f t="shared" ca="1" si="3"/>
        <v>3493576.159400227</v>
      </c>
      <c r="M23" s="471">
        <f t="shared" si="6"/>
        <v>0.05</v>
      </c>
      <c r="N23" s="475">
        <f t="shared" si="7"/>
        <v>51745</v>
      </c>
    </row>
    <row r="24" spans="1:14" ht="11.25" customHeight="1" x14ac:dyDescent="0.3">
      <c r="A24" s="470">
        <v>17</v>
      </c>
      <c r="B24" s="458">
        <f t="shared" ca="1" si="4"/>
        <v>3848016.2495982009</v>
      </c>
      <c r="C24" s="458">
        <f t="shared" si="0"/>
        <v>243384.31343260861</v>
      </c>
      <c r="D24" s="458">
        <f ca="1">SUMIF(G:G,17,K:K)</f>
        <v>190178.39309555042</v>
      </c>
      <c r="E24" s="458">
        <f t="shared" ca="1" si="1"/>
        <v>3794810.3292611428</v>
      </c>
      <c r="F24" s="442"/>
      <c r="G24" s="470">
        <v>2</v>
      </c>
      <c r="H24" s="470">
        <v>17</v>
      </c>
      <c r="I24" s="455">
        <f t="shared" ca="1" si="5"/>
        <v>3493576.159400227</v>
      </c>
      <c r="J24" s="455">
        <f t="array" ref="J24">IFERROR(INDEX('Retirement Calculator'!K:K,MATCH('Lorri 401b'!N24,'Retirement Calculator'!A:A,0),0),0)</f>
        <v>0</v>
      </c>
      <c r="K24" s="455">
        <f t="shared" ca="1" si="2"/>
        <v>14556.567330834278</v>
      </c>
      <c r="L24" s="455">
        <f t="shared" ca="1" si="3"/>
        <v>3508132.7267310615</v>
      </c>
      <c r="M24" s="471">
        <f t="shared" si="6"/>
        <v>0.05</v>
      </c>
      <c r="N24" s="475">
        <f t="shared" si="7"/>
        <v>51775</v>
      </c>
    </row>
    <row r="25" spans="1:14" ht="11.25" customHeight="1" x14ac:dyDescent="0.3">
      <c r="A25" s="470">
        <v>18</v>
      </c>
      <c r="B25" s="458">
        <f t="shared" ca="1" si="4"/>
        <v>3794810.3292611428</v>
      </c>
      <c r="C25" s="458">
        <f t="shared" si="0"/>
        <v>243384.31343260861</v>
      </c>
      <c r="D25" s="458">
        <f ca="1">SUMIF(G:G,18,K:K)</f>
        <v>187456.27723256231</v>
      </c>
      <c r="E25" s="458">
        <f t="shared" ca="1" si="1"/>
        <v>3738882.2930610962</v>
      </c>
      <c r="F25" s="442"/>
      <c r="G25" s="470">
        <v>2</v>
      </c>
      <c r="H25" s="470">
        <v>18</v>
      </c>
      <c r="I25" s="455">
        <f t="shared" ca="1" si="5"/>
        <v>3508132.7267310615</v>
      </c>
      <c r="J25" s="455">
        <f t="array" ref="J25">IFERROR(INDEX('Retirement Calculator'!K:K,MATCH('Lorri 401b'!N25,'Retirement Calculator'!A:A,0),0),0)</f>
        <v>0</v>
      </c>
      <c r="K25" s="455">
        <f t="shared" ca="1" si="2"/>
        <v>14617.219694712756</v>
      </c>
      <c r="L25" s="455">
        <f t="shared" ca="1" si="3"/>
        <v>3522749.9464257741</v>
      </c>
      <c r="M25" s="471">
        <f t="shared" si="6"/>
        <v>0.05</v>
      </c>
      <c r="N25" s="475">
        <f t="shared" si="7"/>
        <v>51806</v>
      </c>
    </row>
    <row r="26" spans="1:14" ht="11.25" customHeight="1" x14ac:dyDescent="0.3">
      <c r="A26" s="470">
        <v>19</v>
      </c>
      <c r="B26" s="458">
        <f t="shared" ca="1" si="4"/>
        <v>3738882.2930610962</v>
      </c>
      <c r="C26" s="458">
        <f t="shared" si="0"/>
        <v>243384.31343260861</v>
      </c>
      <c r="D26" s="458">
        <f ca="1">SUMIF(G:G,19,K:K)</f>
        <v>184594.89275576972</v>
      </c>
      <c r="E26" s="458">
        <f t="shared" ca="1" si="1"/>
        <v>3680092.8723842571</v>
      </c>
      <c r="F26" s="442"/>
      <c r="G26" s="470">
        <v>2</v>
      </c>
      <c r="H26" s="470">
        <v>19</v>
      </c>
      <c r="I26" s="455">
        <f t="shared" ca="1" si="5"/>
        <v>3522749.9464257741</v>
      </c>
      <c r="J26" s="455">
        <f t="array" ref="J26">IFERROR(INDEX('Retirement Calculator'!K:K,MATCH('Lorri 401b'!N26,'Retirement Calculator'!A:A,0),0),0)</f>
        <v>0</v>
      </c>
      <c r="K26" s="455">
        <f t="shared" ca="1" si="2"/>
        <v>14678.124776774059</v>
      </c>
      <c r="L26" s="455">
        <f t="shared" ca="1" si="3"/>
        <v>3537428.0712025482</v>
      </c>
      <c r="M26" s="471">
        <f t="shared" si="6"/>
        <v>0.05</v>
      </c>
      <c r="N26" s="475">
        <f t="shared" si="7"/>
        <v>51836</v>
      </c>
    </row>
    <row r="27" spans="1:14" ht="11.25" customHeight="1" x14ac:dyDescent="0.3">
      <c r="A27" s="470">
        <v>20</v>
      </c>
      <c r="B27" s="458">
        <f t="shared" ca="1" si="4"/>
        <v>3680092.8723842571</v>
      </c>
      <c r="C27" s="458">
        <f t="shared" si="0"/>
        <v>243384.31343260861</v>
      </c>
      <c r="D27" s="458">
        <f ca="1">SUMIF(G:G,20,K:K)</f>
        <v>181587.1144185751</v>
      </c>
      <c r="E27" s="458">
        <f t="shared" ca="1" si="1"/>
        <v>3618295.6733702235</v>
      </c>
      <c r="F27" s="442"/>
      <c r="G27" s="470">
        <v>2</v>
      </c>
      <c r="H27" s="470">
        <v>20</v>
      </c>
      <c r="I27" s="455">
        <f t="shared" ca="1" si="5"/>
        <v>3537428.0712025482</v>
      </c>
      <c r="J27" s="455">
        <f t="array" ref="J27">IFERROR(INDEX('Retirement Calculator'!K:K,MATCH('Lorri 401b'!N27,'Retirement Calculator'!A:A,0),0),0)</f>
        <v>0</v>
      </c>
      <c r="K27" s="455">
        <f t="shared" ca="1" si="2"/>
        <v>14739.283630010617</v>
      </c>
      <c r="L27" s="455">
        <f t="shared" ca="1" si="3"/>
        <v>3552167.3548325589</v>
      </c>
      <c r="M27" s="471">
        <f t="shared" si="6"/>
        <v>0.05</v>
      </c>
      <c r="N27" s="475">
        <f t="shared" si="7"/>
        <v>51867</v>
      </c>
    </row>
    <row r="28" spans="1:14" ht="11.25" customHeight="1" x14ac:dyDescent="0.3">
      <c r="A28" s="470">
        <v>21</v>
      </c>
      <c r="B28" s="458">
        <f t="shared" ca="1" si="4"/>
        <v>3618295.6733702235</v>
      </c>
      <c r="C28" s="458">
        <f t="shared" si="0"/>
        <v>243384.31343260861</v>
      </c>
      <c r="D28" s="458">
        <f ca="1">SUMIF(G:G,21,K:K)</f>
        <v>178425.452433242</v>
      </c>
      <c r="E28" s="458">
        <f t="shared" ca="1" si="1"/>
        <v>3553336.8123708568</v>
      </c>
      <c r="F28" s="442"/>
      <c r="G28" s="470">
        <v>2</v>
      </c>
      <c r="H28" s="470">
        <v>21</v>
      </c>
      <c r="I28" s="455">
        <f t="shared" ca="1" si="5"/>
        <v>3552167.3548325589</v>
      </c>
      <c r="J28" s="455">
        <f t="array" ref="J28">IFERROR(INDEX('Retirement Calculator'!K:K,MATCH('Lorri 401b'!N28,'Retirement Calculator'!A:A,0),0),0)</f>
        <v>0</v>
      </c>
      <c r="K28" s="455">
        <f t="shared" ca="1" si="2"/>
        <v>14800.697311802329</v>
      </c>
      <c r="L28" s="455">
        <f t="shared" ca="1" si="3"/>
        <v>3566968.0521443612</v>
      </c>
      <c r="M28" s="471">
        <f t="shared" si="6"/>
        <v>0.05</v>
      </c>
      <c r="N28" s="475">
        <f t="shared" si="7"/>
        <v>51898</v>
      </c>
    </row>
    <row r="29" spans="1:14" ht="11.25" customHeight="1" x14ac:dyDescent="0.3">
      <c r="A29" s="470">
        <v>22</v>
      </c>
      <c r="B29" s="458">
        <f t="shared" ca="1" si="4"/>
        <v>3553336.8123708568</v>
      </c>
      <c r="C29" s="458">
        <f t="shared" si="0"/>
        <v>243384.31343260861</v>
      </c>
      <c r="D29" s="458">
        <f ca="1">SUMIF(G:G,22,K:K)</f>
        <v>175102.03382027877</v>
      </c>
      <c r="E29" s="458">
        <f t="shared" ca="1" si="1"/>
        <v>3485054.532758527</v>
      </c>
      <c r="F29" s="442"/>
      <c r="G29" s="470">
        <v>2</v>
      </c>
      <c r="H29" s="470">
        <v>22</v>
      </c>
      <c r="I29" s="455">
        <f t="shared" ca="1" si="5"/>
        <v>3566968.0521443612</v>
      </c>
      <c r="J29" s="455">
        <f t="array" ref="J29">IFERROR(INDEX('Retirement Calculator'!K:K,MATCH('Lorri 401b'!N29,'Retirement Calculator'!A:A,0),0),0)</f>
        <v>0</v>
      </c>
      <c r="K29" s="455">
        <f t="shared" ca="1" si="2"/>
        <v>14862.366883934837</v>
      </c>
      <c r="L29" s="455">
        <f t="shared" ca="1" si="3"/>
        <v>3581830.4190282961</v>
      </c>
      <c r="M29" s="471">
        <f t="shared" si="6"/>
        <v>0.05</v>
      </c>
      <c r="N29" s="475">
        <f t="shared" si="7"/>
        <v>51926</v>
      </c>
    </row>
    <row r="30" spans="1:14" ht="11.25" customHeight="1" x14ac:dyDescent="0.3">
      <c r="A30" s="470">
        <v>23</v>
      </c>
      <c r="B30" s="458">
        <f t="shared" ca="1" si="4"/>
        <v>3485054.532758527</v>
      </c>
      <c r="C30" s="458">
        <f t="shared" si="0"/>
        <v>243384.31343260861</v>
      </c>
      <c r="D30" s="458">
        <f ca="1">SUMIF(G:G,23,K:K)</f>
        <v>171608.58280362078</v>
      </c>
      <c r="E30" s="458">
        <f t="shared" ca="1" si="1"/>
        <v>3413278.8021295392</v>
      </c>
      <c r="F30" s="442"/>
      <c r="G30" s="470">
        <v>2</v>
      </c>
      <c r="H30" s="470">
        <v>23</v>
      </c>
      <c r="I30" s="455">
        <f t="shared" ca="1" si="5"/>
        <v>3581830.4190282961</v>
      </c>
      <c r="J30" s="455">
        <f t="array" ref="J30">IFERROR(INDEX('Retirement Calculator'!K:K,MATCH('Lorri 401b'!N30,'Retirement Calculator'!A:A,0),0),0)</f>
        <v>0</v>
      </c>
      <c r="K30" s="455">
        <f t="shared" ca="1" si="2"/>
        <v>14924.293412617903</v>
      </c>
      <c r="L30" s="455">
        <f t="shared" ca="1" si="3"/>
        <v>3596754.712440914</v>
      </c>
      <c r="M30" s="471">
        <f t="shared" si="6"/>
        <v>0.05</v>
      </c>
      <c r="N30" s="475">
        <f t="shared" si="7"/>
        <v>51957</v>
      </c>
    </row>
    <row r="31" spans="1:14" ht="11.25" customHeight="1" x14ac:dyDescent="0.3">
      <c r="A31" s="470">
        <v>24</v>
      </c>
      <c r="B31" s="458">
        <f t="shared" ca="1" si="4"/>
        <v>3413278.8021295392</v>
      </c>
      <c r="C31" s="458">
        <f t="shared" si="0"/>
        <v>243384.31343260861</v>
      </c>
      <c r="D31" s="458">
        <f ca="1">SUMIF(G:G,24,K:K)</f>
        <v>167936.40020279374</v>
      </c>
      <c r="E31" s="458">
        <f t="shared" ca="1" si="1"/>
        <v>3337830.888899724</v>
      </c>
      <c r="F31" s="442"/>
      <c r="G31" s="470">
        <v>2</v>
      </c>
      <c r="H31" s="470">
        <v>24</v>
      </c>
      <c r="I31" s="455">
        <f t="shared" ca="1" si="5"/>
        <v>3596754.712440914</v>
      </c>
      <c r="J31" s="455">
        <f t="array" ref="J31">IFERROR(INDEX('Retirement Calculator'!K:K,MATCH('Lorri 401b'!N31,'Retirement Calculator'!A:A,0),0),0)</f>
        <v>0</v>
      </c>
      <c r="K31" s="455">
        <f t="shared" ca="1" si="2"/>
        <v>14986.477968503808</v>
      </c>
      <c r="L31" s="455">
        <f t="shared" ca="1" si="3"/>
        <v>3611741.1904094177</v>
      </c>
      <c r="M31" s="471">
        <f t="shared" si="6"/>
        <v>0.05</v>
      </c>
      <c r="N31" s="475">
        <f t="shared" si="7"/>
        <v>51987</v>
      </c>
    </row>
    <row r="32" spans="1:14" ht="11.25" customHeight="1" x14ac:dyDescent="0.3">
      <c r="A32" s="470">
        <v>25</v>
      </c>
      <c r="B32" s="458">
        <f t="shared" ca="1" si="4"/>
        <v>3337830.888899724</v>
      </c>
      <c r="C32" s="458">
        <f t="shared" si="0"/>
        <v>243384.31343260861</v>
      </c>
      <c r="D32" s="458">
        <f ca="1">SUMIF(G:G,25,K:K)</f>
        <v>164076.34177074014</v>
      </c>
      <c r="E32" s="458">
        <f t="shared" ca="1" si="1"/>
        <v>3258522.9172378555</v>
      </c>
      <c r="F32" s="442"/>
      <c r="G32" s="470">
        <v>3</v>
      </c>
      <c r="H32" s="470">
        <v>25</v>
      </c>
      <c r="I32" s="455">
        <f t="shared" ca="1" si="5"/>
        <v>3611741.1904094177</v>
      </c>
      <c r="J32" s="455">
        <f t="array" ref="J32">IFERROR(INDEX('Retirement Calculator'!K:K,MATCH('Lorri 401b'!N32,'Retirement Calculator'!A:A,0),0),0)</f>
        <v>0</v>
      </c>
      <c r="K32" s="455">
        <f t="shared" ca="1" si="2"/>
        <v>15048.921626705907</v>
      </c>
      <c r="L32" s="455">
        <f t="shared" ca="1" si="3"/>
        <v>3626790.1120361234</v>
      </c>
      <c r="M32" s="471">
        <f t="shared" si="6"/>
        <v>0.05</v>
      </c>
      <c r="N32" s="475">
        <f t="shared" si="7"/>
        <v>52018</v>
      </c>
    </row>
    <row r="33" spans="1:14" ht="11.25" customHeight="1" x14ac:dyDescent="0.3">
      <c r="A33" s="470">
        <v>26</v>
      </c>
      <c r="B33" s="458">
        <f t="shared" ca="1" si="4"/>
        <v>3258522.9172378555</v>
      </c>
      <c r="C33" s="458">
        <f t="shared" si="0"/>
        <v>243384.31343260861</v>
      </c>
      <c r="D33" s="458">
        <f ca="1">SUMIF(G:G,26,K:K)</f>
        <v>160018.79542336831</v>
      </c>
      <c r="E33" s="458">
        <f t="shared" ca="1" si="1"/>
        <v>3175157.3992286152</v>
      </c>
      <c r="F33" s="442"/>
      <c r="G33" s="470">
        <v>3</v>
      </c>
      <c r="H33" s="470">
        <v>26</v>
      </c>
      <c r="I33" s="455">
        <f t="shared" ca="1" si="5"/>
        <v>3626790.1120361234</v>
      </c>
      <c r="J33" s="455">
        <f t="array" ref="J33">IFERROR(INDEX('Retirement Calculator'!K:K,MATCH('Lorri 401b'!N33,'Retirement Calculator'!A:A,0),0),0)</f>
        <v>0</v>
      </c>
      <c r="K33" s="455">
        <f t="shared" ca="1" si="2"/>
        <v>15111.62546681718</v>
      </c>
      <c r="L33" s="455">
        <f t="shared" ca="1" si="3"/>
        <v>3641901.7375029405</v>
      </c>
      <c r="M33" s="471">
        <f t="shared" si="6"/>
        <v>0.05</v>
      </c>
      <c r="N33" s="475">
        <f t="shared" si="7"/>
        <v>52048</v>
      </c>
    </row>
    <row r="34" spans="1:14" ht="11.25" customHeight="1" x14ac:dyDescent="0.3">
      <c r="A34" s="470">
        <v>27</v>
      </c>
      <c r="B34" s="458">
        <f t="shared" ca="1" si="4"/>
        <v>3175157.3992286152</v>
      </c>
      <c r="C34" s="458">
        <f t="shared" si="0"/>
        <v>243384.31343260861</v>
      </c>
      <c r="D34" s="458">
        <f ca="1">SUMIF(G:G,27,K:K)</f>
        <v>155753.65730412185</v>
      </c>
      <c r="E34" s="458">
        <f t="shared" ca="1" si="1"/>
        <v>3087526.7431001281</v>
      </c>
      <c r="F34" s="442"/>
      <c r="G34" s="470">
        <v>3</v>
      </c>
      <c r="H34" s="470">
        <v>27</v>
      </c>
      <c r="I34" s="455">
        <f t="shared" ca="1" si="5"/>
        <v>3641901.7375029405</v>
      </c>
      <c r="J34" s="455">
        <f t="array" ref="J34">IFERROR(INDEX('Retirement Calculator'!K:K,MATCH('Lorri 401b'!N34,'Retirement Calculator'!A:A,0),0),0)</f>
        <v>0</v>
      </c>
      <c r="K34" s="455">
        <f t="shared" ca="1" si="2"/>
        <v>15174.590572928917</v>
      </c>
      <c r="L34" s="455">
        <f t="shared" ca="1" si="3"/>
        <v>3657076.3280758695</v>
      </c>
      <c r="M34" s="471">
        <f t="shared" si="6"/>
        <v>0.05</v>
      </c>
      <c r="N34" s="475">
        <f t="shared" si="7"/>
        <v>52079</v>
      </c>
    </row>
    <row r="35" spans="1:14" ht="11.25" customHeight="1" x14ac:dyDescent="0.3">
      <c r="A35" s="470">
        <v>28</v>
      </c>
      <c r="B35" s="458">
        <f t="shared" ca="1" si="4"/>
        <v>3087526.7431001281</v>
      </c>
      <c r="C35" s="458">
        <f t="shared" si="0"/>
        <v>243384.31343260861</v>
      </c>
      <c r="D35" s="458">
        <f ca="1">SUMIF(G:G,28,K:K)</f>
        <v>151270.30662396699</v>
      </c>
      <c r="E35" s="458">
        <f t="shared" ca="1" si="1"/>
        <v>2995412.7362914863</v>
      </c>
      <c r="F35" s="442"/>
      <c r="G35" s="470">
        <v>3</v>
      </c>
      <c r="H35" s="470">
        <v>28</v>
      </c>
      <c r="I35" s="455">
        <f t="shared" ca="1" si="5"/>
        <v>3657076.3280758695</v>
      </c>
      <c r="J35" s="455">
        <f t="array" ref="J35">IFERROR(INDEX('Retirement Calculator'!K:K,MATCH('Lorri 401b'!N35,'Retirement Calculator'!A:A,0),0),0)</f>
        <v>0</v>
      </c>
      <c r="K35" s="455">
        <f t="shared" ca="1" si="2"/>
        <v>15237.818033649453</v>
      </c>
      <c r="L35" s="455">
        <f t="shared" ca="1" si="3"/>
        <v>3672314.1461095191</v>
      </c>
      <c r="M35" s="471">
        <f t="shared" si="6"/>
        <v>0.05</v>
      </c>
      <c r="N35" s="475">
        <f t="shared" si="7"/>
        <v>52110</v>
      </c>
    </row>
    <row r="36" spans="1:14" ht="11.25" customHeight="1" x14ac:dyDescent="0.3">
      <c r="A36" s="470">
        <v>29</v>
      </c>
      <c r="B36" s="458">
        <f t="shared" ca="1" si="4"/>
        <v>2995412.7362914863</v>
      </c>
      <c r="C36" s="458">
        <f t="shared" si="0"/>
        <v>243384.31343260861</v>
      </c>
      <c r="D36" s="458">
        <f ca="1">SUMIF(G:G,29,K:K)</f>
        <v>146557.57921414604</v>
      </c>
      <c r="E36" s="458">
        <f t="shared" ca="1" si="1"/>
        <v>2898586.0020730235</v>
      </c>
      <c r="F36" s="442"/>
      <c r="G36" s="470">
        <v>3</v>
      </c>
      <c r="H36" s="470">
        <v>29</v>
      </c>
      <c r="I36" s="455">
        <f t="shared" ca="1" si="5"/>
        <v>3672314.1461095191</v>
      </c>
      <c r="J36" s="455">
        <f t="array" ref="J36">IFERROR(INDEX('Retirement Calculator'!K:K,MATCH('Lorri 401b'!N36,'Retirement Calculator'!A:A,0),0),0)</f>
        <v>0</v>
      </c>
      <c r="K36" s="455">
        <f t="shared" ca="1" si="2"/>
        <v>15301.308942122994</v>
      </c>
      <c r="L36" s="455">
        <f t="shared" ca="1" si="3"/>
        <v>3687615.4550516419</v>
      </c>
      <c r="M36" s="471">
        <f t="shared" si="6"/>
        <v>0.05</v>
      </c>
      <c r="N36" s="475">
        <f t="shared" si="7"/>
        <v>52140</v>
      </c>
    </row>
    <row r="37" spans="1:14" ht="11.25" customHeight="1" x14ac:dyDescent="0.3">
      <c r="A37" s="470">
        <v>30</v>
      </c>
      <c r="B37" s="458">
        <f t="shared" ca="1" si="4"/>
        <v>2898586.0020730235</v>
      </c>
      <c r="C37" s="458">
        <f t="shared" si="0"/>
        <v>243384.31343260861</v>
      </c>
      <c r="D37" s="458">
        <f ca="1">SUMIF(G:G,30,K:K)</f>
        <v>141603.7397258394</v>
      </c>
      <c r="E37" s="458">
        <f t="shared" ca="1" si="1"/>
        <v>2796805.4283662541</v>
      </c>
      <c r="F37" s="442"/>
      <c r="G37" s="470">
        <v>3</v>
      </c>
      <c r="H37" s="470">
        <v>30</v>
      </c>
      <c r="I37" s="455">
        <f t="shared" ca="1" si="5"/>
        <v>3687615.4550516419</v>
      </c>
      <c r="J37" s="455">
        <f t="array" ref="J37">IFERROR(INDEX('Retirement Calculator'!K:K,MATCH('Lorri 401b'!N37,'Retirement Calculator'!A:A,0),0),0)</f>
        <v>0</v>
      </c>
      <c r="K37" s="455">
        <f t="shared" ca="1" si="2"/>
        <v>15365.064396048509</v>
      </c>
      <c r="L37" s="455">
        <f t="shared" ca="1" si="3"/>
        <v>3702980.5194476903</v>
      </c>
      <c r="M37" s="471">
        <f t="shared" si="6"/>
        <v>0.05</v>
      </c>
      <c r="N37" s="475">
        <f t="shared" si="7"/>
        <v>52171</v>
      </c>
    </row>
    <row r="38" spans="1:14" ht="11.25" customHeight="1" x14ac:dyDescent="0.3">
      <c r="A38" s="470">
        <v>31</v>
      </c>
      <c r="B38" s="458">
        <f t="shared" ca="1" si="4"/>
        <v>2796805.4283662541</v>
      </c>
      <c r="C38" s="458">
        <f t="shared" si="0"/>
        <v>243384.31343260861</v>
      </c>
      <c r="D38" s="458">
        <f ca="1">SUMIF(G:G,31,K:K)</f>
        <v>136396.4524075095</v>
      </c>
      <c r="E38" s="458">
        <f t="shared" ca="1" si="1"/>
        <v>2689817.5673411549</v>
      </c>
      <c r="F38" s="442"/>
      <c r="G38" s="470">
        <v>3</v>
      </c>
      <c r="H38" s="470">
        <v>31</v>
      </c>
      <c r="I38" s="455">
        <f t="shared" ca="1" si="5"/>
        <v>3702980.5194476903</v>
      </c>
      <c r="J38" s="455">
        <f t="array" ref="J38">IFERROR(INDEX('Retirement Calculator'!K:K,MATCH('Lorri 401b'!N38,'Retirement Calculator'!A:A,0),0),0)</f>
        <v>0</v>
      </c>
      <c r="K38" s="455">
        <f t="shared" ca="1" si="2"/>
        <v>15429.08549769871</v>
      </c>
      <c r="L38" s="455">
        <f t="shared" ca="1" si="3"/>
        <v>3718409.6049453891</v>
      </c>
      <c r="M38" s="471">
        <f t="shared" si="6"/>
        <v>0.05</v>
      </c>
      <c r="N38" s="475">
        <f t="shared" si="7"/>
        <v>52201</v>
      </c>
    </row>
    <row r="39" spans="1:14" ht="11.25" customHeight="1" x14ac:dyDescent="0.3">
      <c r="A39" s="470">
        <v>32</v>
      </c>
      <c r="B39" s="458">
        <f t="shared" ca="1" si="4"/>
        <v>2689817.5673411549</v>
      </c>
      <c r="C39" s="458">
        <f t="shared" si="0"/>
        <v>243384.31343260861</v>
      </c>
      <c r="D39" s="458">
        <f ca="1">SUMIF(G:G,32,K:K)</f>
        <v>130922.75038715832</v>
      </c>
      <c r="E39" s="458">
        <f t="shared" ca="1" si="1"/>
        <v>2577356.0042957044</v>
      </c>
      <c r="F39" s="442"/>
      <c r="G39" s="470">
        <v>3</v>
      </c>
      <c r="H39" s="470">
        <v>32</v>
      </c>
      <c r="I39" s="455">
        <f t="shared" ca="1" si="5"/>
        <v>3718409.6049453891</v>
      </c>
      <c r="J39" s="455">
        <f t="array" ref="J39">IFERROR(INDEX('Retirement Calculator'!K:K,MATCH('Lorri 401b'!N39,'Retirement Calculator'!A:A,0),0),0)</f>
        <v>0</v>
      </c>
      <c r="K39" s="455">
        <f t="shared" ca="1" si="2"/>
        <v>15493.373353939121</v>
      </c>
      <c r="L39" s="455">
        <f t="shared" ca="1" si="3"/>
        <v>3733902.9782993281</v>
      </c>
      <c r="M39" s="471">
        <f t="shared" si="6"/>
        <v>0.05</v>
      </c>
      <c r="N39" s="475">
        <f t="shared" si="7"/>
        <v>52232</v>
      </c>
    </row>
    <row r="40" spans="1:14" ht="11.25" customHeight="1" x14ac:dyDescent="0.3">
      <c r="A40" s="470">
        <v>33</v>
      </c>
      <c r="B40" s="458">
        <f t="shared" ca="1" si="4"/>
        <v>2577356.0042957044</v>
      </c>
      <c r="C40" s="458">
        <f t="shared" si="0"/>
        <v>243384.31343260861</v>
      </c>
      <c r="D40" s="458">
        <f ca="1">SUMIF(G:G,33,K:K)</f>
        <v>125169.0033830069</v>
      </c>
      <c r="E40" s="458">
        <f t="shared" ca="1" si="1"/>
        <v>2459140.6942461026</v>
      </c>
      <c r="F40" s="442"/>
      <c r="G40" s="470">
        <v>3</v>
      </c>
      <c r="H40" s="470">
        <v>33</v>
      </c>
      <c r="I40" s="455">
        <f t="shared" ca="1" si="5"/>
        <v>3733902.9782993281</v>
      </c>
      <c r="J40" s="455">
        <f t="array" ref="J40">IFERROR(INDEX('Retirement Calculator'!K:K,MATCH('Lorri 401b'!N40,'Retirement Calculator'!A:A,0),0),0)</f>
        <v>0</v>
      </c>
      <c r="K40" s="455">
        <f t="shared" ca="1" si="2"/>
        <v>15557.929076247201</v>
      </c>
      <c r="L40" s="455">
        <f t="shared" ca="1" si="3"/>
        <v>3749460.9073755755</v>
      </c>
      <c r="M40" s="471">
        <f t="shared" si="6"/>
        <v>0.05</v>
      </c>
      <c r="N40" s="475">
        <f t="shared" si="7"/>
        <v>52263</v>
      </c>
    </row>
    <row r="41" spans="1:14" ht="11.25" customHeight="1" x14ac:dyDescent="0.3">
      <c r="A41" s="470">
        <v>34</v>
      </c>
      <c r="B41" s="458">
        <f t="shared" ca="1" si="4"/>
        <v>2459140.6942461026</v>
      </c>
      <c r="C41" s="458">
        <f t="shared" si="0"/>
        <v>243384.31343260861</v>
      </c>
      <c r="D41" s="458">
        <f ca="1">SUMIF(G:G,34,K:K)</f>
        <v>119120.88376219184</v>
      </c>
      <c r="E41" s="458">
        <f t="shared" ca="1" si="1"/>
        <v>2334877.2645756858</v>
      </c>
      <c r="F41" s="442"/>
      <c r="G41" s="470">
        <v>3</v>
      </c>
      <c r="H41" s="470">
        <v>34</v>
      </c>
      <c r="I41" s="455">
        <f t="shared" ca="1" si="5"/>
        <v>3749460.9073755755</v>
      </c>
      <c r="J41" s="455">
        <f t="array" ref="J41">IFERROR(INDEX('Retirement Calculator'!K:K,MATCH('Lorri 401b'!N41,'Retirement Calculator'!A:A,0),0),0)</f>
        <v>0</v>
      </c>
      <c r="K41" s="455">
        <f t="shared" ca="1" si="2"/>
        <v>15622.753780731564</v>
      </c>
      <c r="L41" s="455">
        <f t="shared" ca="1" si="3"/>
        <v>3765083.661156307</v>
      </c>
      <c r="M41" s="471">
        <f t="shared" si="6"/>
        <v>0.05</v>
      </c>
      <c r="N41" s="475">
        <f t="shared" si="7"/>
        <v>52291</v>
      </c>
    </row>
    <row r="42" spans="1:14" ht="11.25" customHeight="1" x14ac:dyDescent="0.3">
      <c r="A42" s="470">
        <v>35</v>
      </c>
      <c r="B42" s="458">
        <f t="shared" ca="1" si="4"/>
        <v>2334877.2645756858</v>
      </c>
      <c r="C42" s="458">
        <f t="shared" si="0"/>
        <v>243384.31343260861</v>
      </c>
      <c r="D42" s="458">
        <f ca="1">SUMIF(G:G,35,K:K)</f>
        <v>112763.33086296011</v>
      </c>
      <c r="E42" s="458">
        <f t="shared" ca="1" si="1"/>
        <v>2204256.2820060374</v>
      </c>
      <c r="F42" s="442"/>
      <c r="G42" s="470">
        <v>3</v>
      </c>
      <c r="H42" s="470">
        <v>35</v>
      </c>
      <c r="I42" s="455">
        <f t="shared" ca="1" si="5"/>
        <v>3765083.661156307</v>
      </c>
      <c r="J42" s="455">
        <f t="array" ref="J42">IFERROR(INDEX('Retirement Calculator'!K:K,MATCH('Lorri 401b'!N42,'Retirement Calculator'!A:A,0),0),0)</f>
        <v>0</v>
      </c>
      <c r="K42" s="455">
        <f t="shared" ca="1" si="2"/>
        <v>15687.848588151279</v>
      </c>
      <c r="L42" s="455">
        <f t="shared" ca="1" si="3"/>
        <v>3780771.5097444584</v>
      </c>
      <c r="M42" s="471">
        <f t="shared" si="6"/>
        <v>0.05</v>
      </c>
      <c r="N42" s="475">
        <f t="shared" si="7"/>
        <v>52322</v>
      </c>
    </row>
    <row r="43" spans="1:14" ht="11.25" customHeight="1" x14ac:dyDescent="0.3">
      <c r="A43" s="470">
        <v>36</v>
      </c>
      <c r="B43" s="458">
        <f t="shared" ca="1" si="4"/>
        <v>2204256.2820060374</v>
      </c>
      <c r="C43" s="458">
        <f t="shared" si="0"/>
        <v>243384.31343260861</v>
      </c>
      <c r="D43" s="458">
        <f ca="1">SUMIF(G:G,36,K:K)</f>
        <v>106080.51349152013</v>
      </c>
      <c r="E43" s="458">
        <f t="shared" ca="1" si="1"/>
        <v>2066952.4820649489</v>
      </c>
      <c r="F43" s="442"/>
      <c r="G43" s="470">
        <v>3</v>
      </c>
      <c r="H43" s="470">
        <v>36</v>
      </c>
      <c r="I43" s="455">
        <f t="shared" ca="1" si="5"/>
        <v>3780771.5097444584</v>
      </c>
      <c r="J43" s="455">
        <f t="array" ref="J43">IFERROR(INDEX('Retirement Calculator'!K:K,MATCH('Lorri 401b'!N43,'Retirement Calculator'!A:A,0),0),0)</f>
        <v>0</v>
      </c>
      <c r="K43" s="455">
        <f t="shared" ca="1" si="2"/>
        <v>15753.214623935242</v>
      </c>
      <c r="L43" s="455">
        <f t="shared" ca="1" si="3"/>
        <v>3796524.7243683934</v>
      </c>
      <c r="M43" s="471">
        <f t="shared" si="6"/>
        <v>0.05</v>
      </c>
      <c r="N43" s="475">
        <f t="shared" si="7"/>
        <v>52352</v>
      </c>
    </row>
    <row r="44" spans="1:14" ht="11.25" customHeight="1" x14ac:dyDescent="0.3">
      <c r="A44" s="470">
        <v>37</v>
      </c>
      <c r="B44" s="458">
        <f t="shared" ca="1" si="4"/>
        <v>2066952.4820649489</v>
      </c>
      <c r="C44" s="458">
        <f t="shared" si="0"/>
        <v>243384.31343260861</v>
      </c>
      <c r="D44" s="458">
        <f ca="1">SUMIF(G:G,37,K:K)</f>
        <v>99055.790500160278</v>
      </c>
      <c r="E44" s="458">
        <f t="shared" ca="1" si="1"/>
        <v>1922623.9591325005</v>
      </c>
      <c r="F44" s="442"/>
      <c r="G44" s="470">
        <v>4</v>
      </c>
      <c r="H44" s="470">
        <v>37</v>
      </c>
      <c r="I44" s="455">
        <f t="shared" ca="1" si="5"/>
        <v>3796524.7243683934</v>
      </c>
      <c r="J44" s="455">
        <f t="array" ref="J44">IFERROR(INDEX('Retirement Calculator'!K:K,MATCH('Lorri 401b'!N44,'Retirement Calculator'!A:A,0),0),0)</f>
        <v>0</v>
      </c>
      <c r="K44" s="455">
        <f t="shared" ca="1" si="2"/>
        <v>15818.853018201638</v>
      </c>
      <c r="L44" s="455">
        <f t="shared" ca="1" si="3"/>
        <v>3812343.5773865948</v>
      </c>
      <c r="M44" s="471">
        <f t="shared" si="6"/>
        <v>0.05</v>
      </c>
      <c r="N44" s="475">
        <f t="shared" si="7"/>
        <v>52383</v>
      </c>
    </row>
    <row r="45" spans="1:14" ht="11.25" customHeight="1" x14ac:dyDescent="0.3">
      <c r="A45" s="470">
        <v>38</v>
      </c>
      <c r="B45" s="458">
        <f t="shared" ca="1" si="4"/>
        <v>1922623.9591325005</v>
      </c>
      <c r="C45" s="458">
        <f t="shared" si="0"/>
        <v>243384.31343260861</v>
      </c>
      <c r="D45" s="458">
        <f ca="1">SUMIF(G:G,38,K:K)</f>
        <v>91671.669348469004</v>
      </c>
      <c r="E45" s="458">
        <f t="shared" ca="1" si="1"/>
        <v>1770911.3150483607</v>
      </c>
      <c r="F45" s="442"/>
      <c r="G45" s="470">
        <v>4</v>
      </c>
      <c r="H45" s="470">
        <v>38</v>
      </c>
      <c r="I45" s="455">
        <f t="shared" ca="1" si="5"/>
        <v>3812343.5773865948</v>
      </c>
      <c r="J45" s="455">
        <f t="array" ref="J45">IFERROR(INDEX('Retirement Calculator'!K:K,MATCH('Lorri 401b'!N45,'Retirement Calculator'!A:A,0),0),0)</f>
        <v>0</v>
      </c>
      <c r="K45" s="455">
        <f t="shared" ca="1" si="2"/>
        <v>15884.764905777478</v>
      </c>
      <c r="L45" s="455">
        <f t="shared" ca="1" si="3"/>
        <v>3828228.3422923721</v>
      </c>
      <c r="M45" s="471">
        <f t="shared" si="6"/>
        <v>0.05</v>
      </c>
      <c r="N45" s="475">
        <f t="shared" si="7"/>
        <v>52413</v>
      </c>
    </row>
    <row r="46" spans="1:14" ht="11.25" customHeight="1" x14ac:dyDescent="0.3">
      <c r="A46" s="470">
        <v>39</v>
      </c>
      <c r="B46" s="458">
        <f t="shared" ca="1" si="4"/>
        <v>1770911.3150483607</v>
      </c>
      <c r="C46" s="458">
        <f t="shared" si="0"/>
        <v>243384.31343260861</v>
      </c>
      <c r="D46" s="458">
        <f ca="1">SUMIF(G:G,39,K:K)</f>
        <v>83909.76254446854</v>
      </c>
      <c r="E46" s="458">
        <f t="shared" ca="1" si="1"/>
        <v>1611436.7641602205</v>
      </c>
      <c r="F46" s="442"/>
      <c r="G46" s="470">
        <v>4</v>
      </c>
      <c r="H46" s="470">
        <v>39</v>
      </c>
      <c r="I46" s="455">
        <f t="shared" ca="1" si="5"/>
        <v>3828228.3422923721</v>
      </c>
      <c r="J46" s="455">
        <f t="array" ref="J46">IFERROR(INDEX('Retirement Calculator'!K:K,MATCH('Lorri 401b'!N46,'Retirement Calculator'!A:A,0),0),0)</f>
        <v>0</v>
      </c>
      <c r="K46" s="455">
        <f t="shared" ca="1" si="2"/>
        <v>15950.951426218217</v>
      </c>
      <c r="L46" s="455">
        <f t="shared" ca="1" si="3"/>
        <v>3844179.2937185904</v>
      </c>
      <c r="M46" s="471">
        <f t="shared" si="6"/>
        <v>0.05</v>
      </c>
      <c r="N46" s="475">
        <f t="shared" si="7"/>
        <v>52444</v>
      </c>
    </row>
    <row r="47" spans="1:14" ht="11.25" customHeight="1" x14ac:dyDescent="0.3">
      <c r="A47" s="470">
        <v>40</v>
      </c>
      <c r="B47" s="458">
        <f t="shared" ca="1" si="4"/>
        <v>1611436.7641602205</v>
      </c>
      <c r="C47" s="458">
        <f t="shared" si="0"/>
        <v>243384.31343260861</v>
      </c>
      <c r="D47" s="458">
        <f ca="1">SUMIF(G:G,40,K:K)</f>
        <v>75750.741857194313</v>
      </c>
      <c r="E47" s="458">
        <f t="shared" ca="1" si="1"/>
        <v>1443803.1925848061</v>
      </c>
      <c r="F47" s="442"/>
      <c r="G47" s="470">
        <v>4</v>
      </c>
      <c r="H47" s="470">
        <v>40</v>
      </c>
      <c r="I47" s="455">
        <f t="shared" ca="1" si="5"/>
        <v>3844179.2937185904</v>
      </c>
      <c r="J47" s="455">
        <f t="array" ref="J47">IFERROR(INDEX('Retirement Calculator'!K:K,MATCH('Lorri 401b'!N47,'Retirement Calculator'!A:A,0),0),0)</f>
        <v>0</v>
      </c>
      <c r="K47" s="455">
        <f t="shared" ca="1" si="2"/>
        <v>16017.41372382746</v>
      </c>
      <c r="L47" s="455">
        <f t="shared" ca="1" si="3"/>
        <v>3860196.7074424177</v>
      </c>
      <c r="M47" s="471">
        <f t="shared" si="6"/>
        <v>0.05</v>
      </c>
      <c r="N47" s="475">
        <f t="shared" si="7"/>
        <v>52475</v>
      </c>
    </row>
    <row r="48" spans="1:14" ht="11.25" customHeight="1" x14ac:dyDescent="0.3">
      <c r="A48" s="470">
        <v>41</v>
      </c>
      <c r="B48" s="458">
        <f t="shared" ca="1" si="4"/>
        <v>1443803.1925848061</v>
      </c>
      <c r="C48" s="458">
        <f t="shared" si="0"/>
        <v>243384.31343260861</v>
      </c>
      <c r="D48" s="458">
        <f ca="1">SUMIF(G:G,41,K:K)</f>
        <v>67174.290186702783</v>
      </c>
      <c r="E48" s="458">
        <f t="shared" ca="1" si="1"/>
        <v>1267593.1693389001</v>
      </c>
      <c r="F48" s="442"/>
      <c r="G48" s="470">
        <v>4</v>
      </c>
      <c r="H48" s="470">
        <v>41</v>
      </c>
      <c r="I48" s="455">
        <f t="shared" ca="1" si="5"/>
        <v>3860196.7074424177</v>
      </c>
      <c r="J48" s="455">
        <f t="array" ref="J48">IFERROR(INDEX('Retirement Calculator'!K:K,MATCH('Lorri 401b'!N48,'Retirement Calculator'!A:A,0),0),0)</f>
        <v>0</v>
      </c>
      <c r="K48" s="455">
        <f t="shared" ca="1" si="2"/>
        <v>16084.152947676739</v>
      </c>
      <c r="L48" s="455">
        <f t="shared" ca="1" si="3"/>
        <v>3876280.8603900946</v>
      </c>
      <c r="M48" s="471">
        <f t="shared" si="6"/>
        <v>0.05</v>
      </c>
      <c r="N48" s="475">
        <f t="shared" si="7"/>
        <v>52505</v>
      </c>
    </row>
    <row r="49" spans="1:14" ht="11.25" customHeight="1" x14ac:dyDescent="0.3">
      <c r="A49" s="470">
        <v>42</v>
      </c>
      <c r="B49" s="458">
        <f t="shared" ca="1" si="4"/>
        <v>1267593.1693389001</v>
      </c>
      <c r="C49" s="458">
        <f t="shared" si="0"/>
        <v>243384.31343260861</v>
      </c>
      <c r="D49" s="458">
        <f ca="1">SUMIF(G:G,42,K:K)</f>
        <v>58159.050971657991</v>
      </c>
      <c r="E49" s="458">
        <f t="shared" ca="1" si="1"/>
        <v>1082367.9068779496</v>
      </c>
      <c r="F49" s="442"/>
      <c r="G49" s="470">
        <v>4</v>
      </c>
      <c r="H49" s="470">
        <v>42</v>
      </c>
      <c r="I49" s="455">
        <f t="shared" ca="1" si="5"/>
        <v>3876280.8603900946</v>
      </c>
      <c r="J49" s="455">
        <f t="array" ref="J49">IFERROR(INDEX('Retirement Calculator'!K:K,MATCH('Lorri 401b'!N49,'Retirement Calculator'!A:A,0),0),0)</f>
        <v>0</v>
      </c>
      <c r="K49" s="455">
        <f t="shared" ca="1" si="2"/>
        <v>16151.170251625395</v>
      </c>
      <c r="L49" s="455">
        <f t="shared" ca="1" si="3"/>
        <v>3892432.0306417202</v>
      </c>
      <c r="M49" s="471">
        <f t="shared" si="6"/>
        <v>0.05</v>
      </c>
      <c r="N49" s="475">
        <f t="shared" si="7"/>
        <v>52536</v>
      </c>
    </row>
    <row r="50" spans="1:14" ht="11.25" customHeight="1" x14ac:dyDescent="0.3">
      <c r="A50" s="470">
        <v>43</v>
      </c>
      <c r="B50" s="458">
        <f t="shared" ca="1" si="4"/>
        <v>1082367.9068779496</v>
      </c>
      <c r="C50" s="458">
        <f t="shared" si="0"/>
        <v>243384.31343260861</v>
      </c>
      <c r="D50" s="458">
        <f ca="1">SUMIF(G:G,43,K:K)</f>
        <v>48682.575008513617</v>
      </c>
      <c r="E50" s="458">
        <f t="shared" ca="1" si="1"/>
        <v>887666.16845385463</v>
      </c>
      <c r="F50" s="442"/>
      <c r="G50" s="470">
        <v>4</v>
      </c>
      <c r="H50" s="470">
        <v>43</v>
      </c>
      <c r="I50" s="455">
        <f t="shared" ca="1" si="5"/>
        <v>3892432.0306417202</v>
      </c>
      <c r="J50" s="455">
        <f t="array" ref="J50">IFERROR(INDEX('Retirement Calculator'!K:K,MATCH('Lorri 401b'!N50,'Retirement Calculator'!A:A,0),0),0)</f>
        <v>0</v>
      </c>
      <c r="K50" s="455">
        <f t="shared" ca="1" si="2"/>
        <v>16218.466794340502</v>
      </c>
      <c r="L50" s="455">
        <f t="shared" ca="1" si="3"/>
        <v>3908650.4974360606</v>
      </c>
      <c r="M50" s="471">
        <f t="shared" si="6"/>
        <v>0.05</v>
      </c>
      <c r="N50" s="475">
        <f t="shared" si="7"/>
        <v>52566</v>
      </c>
    </row>
    <row r="51" spans="1:14" ht="11.25" customHeight="1" x14ac:dyDescent="0.3">
      <c r="A51" s="470">
        <v>44</v>
      </c>
      <c r="B51" s="458">
        <f t="shared" ca="1" si="4"/>
        <v>887666.16845385463</v>
      </c>
      <c r="C51" s="458">
        <f t="shared" si="0"/>
        <v>243384.31343260861</v>
      </c>
      <c r="D51" s="458">
        <f ca="1">SUMIF(G:G,44,K:K)</f>
        <v>38721.264549864107</v>
      </c>
      <c r="E51" s="458">
        <f t="shared" ca="1" si="1"/>
        <v>683003.11957111012</v>
      </c>
      <c r="F51" s="442"/>
      <c r="G51" s="470">
        <v>4</v>
      </c>
      <c r="H51" s="470">
        <v>44</v>
      </c>
      <c r="I51" s="455">
        <f t="shared" ca="1" si="5"/>
        <v>3908650.4974360606</v>
      </c>
      <c r="J51" s="455">
        <f t="array" ref="J51">IFERROR(INDEX('Retirement Calculator'!K:K,MATCH('Lorri 401b'!N51,'Retirement Calculator'!A:A,0),0),0)</f>
        <v>0</v>
      </c>
      <c r="K51" s="455">
        <f t="shared" ca="1" si="2"/>
        <v>16286.04373931692</v>
      </c>
      <c r="L51" s="455">
        <f t="shared" ca="1" si="3"/>
        <v>3924936.5411753776</v>
      </c>
      <c r="M51" s="471">
        <f t="shared" si="6"/>
        <v>0.05</v>
      </c>
      <c r="N51" s="475">
        <f t="shared" si="7"/>
        <v>52597</v>
      </c>
    </row>
    <row r="52" spans="1:14" ht="11.25" customHeight="1" x14ac:dyDescent="0.3">
      <c r="A52" s="470">
        <v>45</v>
      </c>
      <c r="B52" s="458">
        <f t="shared" ca="1" si="4"/>
        <v>683003.11957111012</v>
      </c>
      <c r="C52" s="458">
        <f t="shared" si="0"/>
        <v>243384.31343260861</v>
      </c>
      <c r="D52" s="458">
        <f ca="1">SUMIF(G:G,45,K:K)</f>
        <v>28250.314542760931</v>
      </c>
      <c r="E52" s="458">
        <f t="shared" ca="1" si="1"/>
        <v>467869.12068126246</v>
      </c>
      <c r="F52" s="442"/>
      <c r="G52" s="470">
        <v>4</v>
      </c>
      <c r="H52" s="470">
        <v>45</v>
      </c>
      <c r="I52" s="455">
        <f t="shared" ca="1" si="5"/>
        <v>3924936.5411753776</v>
      </c>
      <c r="J52" s="455">
        <f t="array" ref="J52">IFERROR(INDEX('Retirement Calculator'!K:K,MATCH('Lorri 401b'!N52,'Retirement Calculator'!A:A,0),0),0)</f>
        <v>0</v>
      </c>
      <c r="K52" s="455">
        <f t="shared" ca="1" si="2"/>
        <v>16353.902254897406</v>
      </c>
      <c r="L52" s="455">
        <f t="shared" ca="1" si="3"/>
        <v>3941290.4434302752</v>
      </c>
      <c r="M52" s="471">
        <f t="shared" si="6"/>
        <v>0.05</v>
      </c>
      <c r="N52" s="475">
        <f t="shared" si="7"/>
        <v>52628</v>
      </c>
    </row>
    <row r="53" spans="1:14" ht="11.25" customHeight="1" x14ac:dyDescent="0.3">
      <c r="A53" s="470">
        <v>46</v>
      </c>
      <c r="B53" s="458">
        <f t="shared" ca="1" si="4"/>
        <v>467869.12068126246</v>
      </c>
      <c r="C53" s="458">
        <f t="shared" si="0"/>
        <v>243384.31343260861</v>
      </c>
      <c r="D53" s="458">
        <f ca="1">SUMIF(G:G,46,K:K)</f>
        <v>17243.650860669641</v>
      </c>
      <c r="E53" s="458">
        <f t="shared" ca="1" si="1"/>
        <v>241728.45810932349</v>
      </c>
      <c r="F53" s="442"/>
      <c r="G53" s="470">
        <v>4</v>
      </c>
      <c r="H53" s="470">
        <v>46</v>
      </c>
      <c r="I53" s="455">
        <f t="shared" ca="1" si="5"/>
        <v>3941290.4434302752</v>
      </c>
      <c r="J53" s="455">
        <f t="array" ref="J53">IFERROR(INDEX('Retirement Calculator'!K:K,MATCH('Lorri 401b'!N53,'Retirement Calculator'!A:A,0),0),0)</f>
        <v>0</v>
      </c>
      <c r="K53" s="455">
        <f t="shared" ca="1" si="2"/>
        <v>16422.043514292815</v>
      </c>
      <c r="L53" s="455">
        <f t="shared" ca="1" si="3"/>
        <v>3957712.4869445679</v>
      </c>
      <c r="M53" s="471">
        <f t="shared" si="6"/>
        <v>0.05</v>
      </c>
      <c r="N53" s="475">
        <f t="shared" si="7"/>
        <v>52657</v>
      </c>
    </row>
    <row r="54" spans="1:14" ht="11.25" customHeight="1" x14ac:dyDescent="0.3">
      <c r="A54" s="470">
        <v>47</v>
      </c>
      <c r="B54" s="458">
        <f t="shared" ca="1" si="4"/>
        <v>241728.45810932349</v>
      </c>
      <c r="C54" s="458">
        <f t="shared" si="0"/>
        <v>243384.31343260861</v>
      </c>
      <c r="D54" s="458">
        <f ca="1">SUMIF(G:G,47,K:K)</f>
        <v>5673.8653752566179</v>
      </c>
      <c r="E54" s="458">
        <f t="shared" ca="1" si="1"/>
        <v>4018.0100519714915</v>
      </c>
      <c r="F54" s="442"/>
      <c r="G54" s="470">
        <v>4</v>
      </c>
      <c r="H54" s="470">
        <v>47</v>
      </c>
      <c r="I54" s="455">
        <f t="shared" ca="1" si="5"/>
        <v>3957712.4869445679</v>
      </c>
      <c r="J54" s="455">
        <f t="array" ref="J54">IFERROR(INDEX('Retirement Calculator'!K:K,MATCH('Lorri 401b'!N54,'Retirement Calculator'!A:A,0),0),0)</f>
        <v>0</v>
      </c>
      <c r="K54" s="455">
        <f t="shared" ca="1" si="2"/>
        <v>16490.468695602365</v>
      </c>
      <c r="L54" s="455">
        <f t="shared" ca="1" si="3"/>
        <v>3974202.9556401703</v>
      </c>
      <c r="M54" s="471">
        <f t="shared" si="6"/>
        <v>0.05</v>
      </c>
      <c r="N54" s="475">
        <f t="shared" si="7"/>
        <v>52688</v>
      </c>
    </row>
    <row r="55" spans="1:14" ht="11.25" customHeight="1" x14ac:dyDescent="0.3">
      <c r="A55" s="470">
        <v>48</v>
      </c>
      <c r="B55" s="458">
        <f t="shared" ca="1" si="4"/>
        <v>4018.0100519714915</v>
      </c>
      <c r="C55" s="458">
        <f t="shared" si="0"/>
        <v>243384.31343260861</v>
      </c>
      <c r="D55" s="458">
        <f ca="1">SUMIF(G:G,48,K:K)</f>
        <v>-6487.8522936746695</v>
      </c>
      <c r="E55" s="458">
        <f t="shared" ca="1" si="1"/>
        <v>-245854.15567431177</v>
      </c>
      <c r="F55" s="442"/>
      <c r="G55" s="470">
        <v>4</v>
      </c>
      <c r="H55" s="470">
        <v>48</v>
      </c>
      <c r="I55" s="455">
        <f t="shared" ca="1" si="5"/>
        <v>3974202.9556401703</v>
      </c>
      <c r="J55" s="455">
        <f t="array" ref="J55">IFERROR(INDEX('Retirement Calculator'!K:K,MATCH('Lorri 401b'!N55,'Retirement Calculator'!A:A,0),0),0)</f>
        <v>0</v>
      </c>
      <c r="K55" s="455">
        <f t="shared" ca="1" si="2"/>
        <v>16559.178981834044</v>
      </c>
      <c r="L55" s="455">
        <f t="shared" ca="1" si="3"/>
        <v>3990762.1346220043</v>
      </c>
      <c r="M55" s="471">
        <f t="shared" si="6"/>
        <v>0.05</v>
      </c>
      <c r="N55" s="475">
        <f t="shared" si="7"/>
        <v>52718</v>
      </c>
    </row>
    <row r="56" spans="1:14" ht="11.25" customHeight="1" x14ac:dyDescent="0.3">
      <c r="A56" s="470">
        <v>49</v>
      </c>
      <c r="B56" s="458">
        <f t="shared" ca="1" si="4"/>
        <v>-245854.15567431177</v>
      </c>
      <c r="C56" s="458">
        <f t="shared" si="0"/>
        <v>243384.31343260861</v>
      </c>
      <c r="D56" s="458">
        <f ca="1">SUMIF(G:G,49,K:K)</f>
        <v>-19271.786520050282</v>
      </c>
      <c r="E56" s="458">
        <f t="shared" ca="1" si="1"/>
        <v>-508510.25562697067</v>
      </c>
      <c r="F56" s="442"/>
      <c r="G56" s="470">
        <f>G55+1</f>
        <v>5</v>
      </c>
      <c r="H56" s="470">
        <v>49</v>
      </c>
      <c r="I56" s="455">
        <f t="shared" ca="1" si="5"/>
        <v>3990762.1346220043</v>
      </c>
      <c r="J56" s="455">
        <f t="array" ref="J56">IFERROR(INDEX('Retirement Calculator'!K:K,MATCH('Lorri 401b'!N56,'Retirement Calculator'!A:A,0),0),0)</f>
        <v>0</v>
      </c>
      <c r="K56" s="455">
        <f t="shared" ca="1" si="2"/>
        <v>16628.175560925018</v>
      </c>
      <c r="L56" s="455">
        <f t="shared" ca="1" si="3"/>
        <v>4007390.3101829295</v>
      </c>
      <c r="M56" s="471">
        <f t="shared" si="6"/>
        <v>0.05</v>
      </c>
      <c r="N56" s="475">
        <f t="shared" si="7"/>
        <v>52749</v>
      </c>
    </row>
    <row r="57" spans="1:14" ht="11.25" customHeight="1" x14ac:dyDescent="0.3">
      <c r="A57" s="470">
        <v>50</v>
      </c>
      <c r="B57" s="458">
        <f t="shared" ca="1" si="4"/>
        <v>-508510.25562697067</v>
      </c>
      <c r="C57" s="458">
        <f t="shared" si="0"/>
        <v>243384.31343260861</v>
      </c>
      <c r="D57" s="458">
        <f ca="1">SUMIF(G:G,50,K:K)</f>
        <v>-32709.771083842534</v>
      </c>
      <c r="E57" s="458">
        <f t="shared" ca="1" si="1"/>
        <v>-784604.34014342178</v>
      </c>
      <c r="F57" s="442"/>
      <c r="G57" s="470">
        <f t="shared" ref="G57:G67" si="8">G56</f>
        <v>5</v>
      </c>
      <c r="H57" s="470">
        <v>50</v>
      </c>
      <c r="I57" s="455">
        <f t="shared" ca="1" si="5"/>
        <v>4007390.3101829295</v>
      </c>
      <c r="J57" s="455">
        <f t="array" ref="J57">IFERROR(INDEX('Retirement Calculator'!K:K,MATCH('Lorri 401b'!N57,'Retirement Calculator'!A:A,0),0),0)</f>
        <v>0</v>
      </c>
      <c r="K57" s="455">
        <f t="shared" ca="1" si="2"/>
        <v>16697.459625762207</v>
      </c>
      <c r="L57" s="455">
        <f t="shared" ca="1" si="3"/>
        <v>4024087.7698086919</v>
      </c>
      <c r="M57" s="471">
        <f t="shared" si="6"/>
        <v>0.05</v>
      </c>
      <c r="N57" s="475">
        <f t="shared" si="7"/>
        <v>52779</v>
      </c>
    </row>
    <row r="58" spans="1:14" ht="11.25" customHeight="1" x14ac:dyDescent="0.3">
      <c r="A58" s="470">
        <v>51</v>
      </c>
      <c r="B58" s="458">
        <f t="shared" ca="1" si="4"/>
        <v>-784604.34014342178</v>
      </c>
      <c r="C58" s="458">
        <f t="shared" si="0"/>
        <v>243384.31343260861</v>
      </c>
      <c r="D58" s="458">
        <f ca="1">SUMIF(G:G,51,K:K)</f>
        <v>-46835.268441623848</v>
      </c>
      <c r="E58" s="458">
        <f t="shared" ca="1" si="1"/>
        <v>-1074823.9220176542</v>
      </c>
      <c r="F58" s="442"/>
      <c r="G58" s="470">
        <f t="shared" si="8"/>
        <v>5</v>
      </c>
      <c r="H58" s="470">
        <v>51</v>
      </c>
      <c r="I58" s="455">
        <f t="shared" ca="1" si="5"/>
        <v>4024087.7698086919</v>
      </c>
      <c r="J58" s="455">
        <f t="array" ref="J58">IFERROR(INDEX('Retirement Calculator'!K:K,MATCH('Lorri 401b'!N58,'Retirement Calculator'!A:A,0),0),0)</f>
        <v>0</v>
      </c>
      <c r="K58" s="455">
        <f t="shared" ca="1" si="2"/>
        <v>16767.032374202881</v>
      </c>
      <c r="L58" s="455">
        <f t="shared" ca="1" si="3"/>
        <v>4040854.8021828947</v>
      </c>
      <c r="M58" s="471">
        <f t="shared" si="6"/>
        <v>0.05</v>
      </c>
      <c r="N58" s="475">
        <f t="shared" si="7"/>
        <v>52810</v>
      </c>
    </row>
    <row r="59" spans="1:14" ht="11.25" customHeight="1" x14ac:dyDescent="0.3">
      <c r="A59" s="470">
        <v>52</v>
      </c>
      <c r="B59" s="458">
        <f t="shared" ca="1" si="4"/>
        <v>-1074823.9220176542</v>
      </c>
      <c r="C59" s="458">
        <f t="shared" si="0"/>
        <v>243384.31343260861</v>
      </c>
      <c r="D59" s="458">
        <f ca="1">SUMIF(G:G,52,K:K)</f>
        <v>-61683.453052752615</v>
      </c>
      <c r="E59" s="458">
        <f t="shared" ca="1" si="1"/>
        <v>-1379891.6885030153</v>
      </c>
      <c r="F59" s="442"/>
      <c r="G59" s="470">
        <f t="shared" si="8"/>
        <v>5</v>
      </c>
      <c r="H59" s="470">
        <v>52</v>
      </c>
      <c r="I59" s="455">
        <f t="shared" ca="1" si="5"/>
        <v>4040854.8021828947</v>
      </c>
      <c r="J59" s="455">
        <f t="array" ref="J59">IFERROR(INDEX('Retirement Calculator'!K:K,MATCH('Lorri 401b'!N59,'Retirement Calculator'!A:A,0),0),0)</f>
        <v>0</v>
      </c>
      <c r="K59" s="455">
        <f t="shared" ca="1" si="2"/>
        <v>16836.895009095395</v>
      </c>
      <c r="L59" s="455">
        <f t="shared" ca="1" si="3"/>
        <v>4057691.69719199</v>
      </c>
      <c r="M59" s="471">
        <f t="shared" si="6"/>
        <v>0.05</v>
      </c>
      <c r="N59" s="475">
        <f t="shared" si="7"/>
        <v>52841</v>
      </c>
    </row>
    <row r="60" spans="1:14" ht="11.25" customHeight="1" x14ac:dyDescent="0.3">
      <c r="A60" s="470">
        <v>53</v>
      </c>
      <c r="B60" s="458">
        <f t="shared" ca="1" si="4"/>
        <v>-1379891.6885030153</v>
      </c>
      <c r="C60" s="458">
        <f t="shared" si="0"/>
        <v>243384.31343260861</v>
      </c>
      <c r="D60" s="458">
        <f ca="1">SUMIF(G:G,53,K:K)</f>
        <v>-77291.298968685049</v>
      </c>
      <c r="E60" s="458">
        <f t="shared" ca="1" si="1"/>
        <v>-1700567.3009043091</v>
      </c>
      <c r="F60" s="442"/>
      <c r="G60" s="470">
        <f t="shared" si="8"/>
        <v>5</v>
      </c>
      <c r="H60" s="470">
        <v>53</v>
      </c>
      <c r="I60" s="455">
        <f t="shared" ca="1" si="5"/>
        <v>4057691.69719199</v>
      </c>
      <c r="J60" s="455">
        <f t="array" ref="J60">IFERROR(INDEX('Retirement Calculator'!K:K,MATCH('Lorri 401b'!N60,'Retirement Calculator'!A:A,0),0),0)</f>
        <v>0</v>
      </c>
      <c r="K60" s="455">
        <f t="shared" ca="1" si="2"/>
        <v>16907.04873829996</v>
      </c>
      <c r="L60" s="455">
        <f t="shared" ca="1" si="3"/>
        <v>4074598.7459302898</v>
      </c>
      <c r="M60" s="471">
        <f t="shared" si="6"/>
        <v>0.05</v>
      </c>
      <c r="N60" s="475">
        <f t="shared" si="7"/>
        <v>52871</v>
      </c>
    </row>
    <row r="61" spans="1:14" ht="11.25" customHeight="1" x14ac:dyDescent="0.3">
      <c r="A61" s="470">
        <v>54</v>
      </c>
      <c r="B61" s="458">
        <f t="shared" ca="1" si="4"/>
        <v>-1700567.3009043091</v>
      </c>
      <c r="C61" s="458">
        <f t="shared" si="0"/>
        <v>243384.31343260861</v>
      </c>
      <c r="D61" s="458">
        <f ca="1">SUMIF(G:G,54,K:K)</f>
        <v>-93697.671903522249</v>
      </c>
      <c r="E61" s="458">
        <f t="shared" ca="1" si="1"/>
        <v>-2037649.2862404399</v>
      </c>
      <c r="F61" s="442"/>
      <c r="G61" s="470">
        <f t="shared" si="8"/>
        <v>5</v>
      </c>
      <c r="H61" s="470">
        <v>54</v>
      </c>
      <c r="I61" s="455">
        <f t="shared" ca="1" si="5"/>
        <v>4074598.7459302898</v>
      </c>
      <c r="J61" s="455">
        <f t="array" ref="J61">IFERROR(INDEX('Retirement Calculator'!K:K,MATCH('Lorri 401b'!N61,'Retirement Calculator'!A:A,0),0),0)</f>
        <v>0</v>
      </c>
      <c r="K61" s="455">
        <f t="shared" ca="1" si="2"/>
        <v>16977.494774709539</v>
      </c>
      <c r="L61" s="455">
        <f t="shared" ca="1" si="3"/>
        <v>4091576.2407049993</v>
      </c>
      <c r="M61" s="471">
        <f t="shared" si="6"/>
        <v>0.05</v>
      </c>
      <c r="N61" s="475">
        <f t="shared" si="7"/>
        <v>52902</v>
      </c>
    </row>
    <row r="62" spans="1:14" ht="11.25" customHeight="1" x14ac:dyDescent="0.3">
      <c r="A62" s="470">
        <v>55</v>
      </c>
      <c r="B62" s="458">
        <f t="shared" ca="1" si="4"/>
        <v>-2037649.2862404399</v>
      </c>
      <c r="C62" s="458">
        <f t="shared" si="0"/>
        <v>243384.31343260861</v>
      </c>
      <c r="D62" s="458">
        <f ca="1">SUMIF(G:G,55,K:K)</f>
        <v>-110943.42601506124</v>
      </c>
      <c r="E62" s="458">
        <f t="shared" ca="1" si="1"/>
        <v>-2391977.0256881099</v>
      </c>
      <c r="F62" s="442"/>
      <c r="G62" s="470">
        <f t="shared" si="8"/>
        <v>5</v>
      </c>
      <c r="H62" s="470">
        <v>55</v>
      </c>
      <c r="I62" s="455">
        <f t="shared" ca="1" si="5"/>
        <v>4091576.2407049993</v>
      </c>
      <c r="J62" s="455">
        <f t="array" ref="J62">IFERROR(INDEX('Retirement Calculator'!K:K,MATCH('Lorri 401b'!N62,'Retirement Calculator'!A:A,0),0),0)</f>
        <v>0</v>
      </c>
      <c r="K62" s="455">
        <f t="shared" ca="1" si="2"/>
        <v>17048.234336270831</v>
      </c>
      <c r="L62" s="455">
        <f t="shared" ca="1" si="3"/>
        <v>4108624.4750412703</v>
      </c>
      <c r="M62" s="471">
        <f t="shared" si="6"/>
        <v>0.05</v>
      </c>
      <c r="N62" s="475">
        <f t="shared" si="7"/>
        <v>52932</v>
      </c>
    </row>
    <row r="63" spans="1:14" ht="11.25" customHeight="1" x14ac:dyDescent="0.3">
      <c r="A63" s="470">
        <v>56</v>
      </c>
      <c r="B63" s="458">
        <f t="shared" ca="1" si="4"/>
        <v>-2391977.0256881099</v>
      </c>
      <c r="C63" s="458">
        <f t="shared" si="0"/>
        <v>243384.31343260861</v>
      </c>
      <c r="D63" s="458">
        <f ca="1">SUMIF(G:G,56,K:K)</f>
        <v>-129071.50563734825</v>
      </c>
      <c r="E63" s="458">
        <f t="shared" ca="1" si="1"/>
        <v>-2764432.8447580668</v>
      </c>
      <c r="F63" s="442"/>
      <c r="G63" s="470">
        <f t="shared" si="8"/>
        <v>5</v>
      </c>
      <c r="H63" s="470">
        <v>56</v>
      </c>
      <c r="I63" s="455">
        <f t="shared" ca="1" si="5"/>
        <v>4108624.4750412703</v>
      </c>
      <c r="J63" s="455">
        <f t="array" ref="J63">IFERROR(INDEX('Retirement Calculator'!K:K,MATCH('Lorri 401b'!N63,'Retirement Calculator'!A:A,0),0),0)</f>
        <v>0</v>
      </c>
      <c r="K63" s="455">
        <f t="shared" ca="1" si="2"/>
        <v>17119.268646005294</v>
      </c>
      <c r="L63" s="455">
        <f t="shared" ca="1" si="3"/>
        <v>4125743.7436872753</v>
      </c>
      <c r="M63" s="471">
        <f t="shared" si="6"/>
        <v>0.05</v>
      </c>
      <c r="N63" s="475">
        <f t="shared" si="7"/>
        <v>52963</v>
      </c>
    </row>
    <row r="64" spans="1:14" ht="11.25" customHeight="1" x14ac:dyDescent="0.3">
      <c r="A64" s="470">
        <v>57</v>
      </c>
      <c r="B64" s="458">
        <f t="shared" ca="1" si="4"/>
        <v>-2764432.8447580668</v>
      </c>
      <c r="C64" s="458">
        <f t="shared" si="0"/>
        <v>243384.31343260861</v>
      </c>
      <c r="D64" s="458">
        <f ca="1">SUMIF(G:G,57,K:K)</f>
        <v>-148127.05221806263</v>
      </c>
      <c r="E64" s="458">
        <f t="shared" ca="1" si="1"/>
        <v>-3155944.2104087383</v>
      </c>
      <c r="F64" s="442"/>
      <c r="G64" s="470">
        <f t="shared" si="8"/>
        <v>5</v>
      </c>
      <c r="H64" s="470">
        <v>57</v>
      </c>
      <c r="I64" s="455">
        <f t="shared" ca="1" si="5"/>
        <v>4125743.7436872753</v>
      </c>
      <c r="J64" s="455">
        <f t="array" ref="J64">IFERROR(INDEX('Retirement Calculator'!K:K,MATCH('Lorri 401b'!N64,'Retirement Calculator'!A:A,0),0),0)</f>
        <v>0</v>
      </c>
      <c r="K64" s="455">
        <f t="shared" ca="1" si="2"/>
        <v>17190.598932030312</v>
      </c>
      <c r="L64" s="455">
        <f t="shared" ca="1" si="3"/>
        <v>4142934.3426193055</v>
      </c>
      <c r="M64" s="471">
        <f t="shared" si="6"/>
        <v>0.05</v>
      </c>
      <c r="N64" s="475">
        <f t="shared" si="7"/>
        <v>52994</v>
      </c>
    </row>
    <row r="65" spans="1:14" ht="11.25" customHeight="1" x14ac:dyDescent="0.3">
      <c r="A65" s="470">
        <v>58</v>
      </c>
      <c r="B65" s="458">
        <f t="shared" ca="1" si="4"/>
        <v>-3155944.2104087383</v>
      </c>
      <c r="C65" s="458">
        <f t="shared" si="0"/>
        <v>243384.31343260861</v>
      </c>
      <c r="D65" s="458">
        <f ca="1">SUMIF(G:G,58,K:K)</f>
        <v>-168157.51672702018</v>
      </c>
      <c r="E65" s="458">
        <f t="shared" ca="1" si="1"/>
        <v>-3567486.0405683671</v>
      </c>
      <c r="F65" s="442"/>
      <c r="G65" s="470">
        <f t="shared" si="8"/>
        <v>5</v>
      </c>
      <c r="H65" s="470">
        <v>58</v>
      </c>
      <c r="I65" s="455">
        <f t="shared" ca="1" si="5"/>
        <v>4142934.3426193055</v>
      </c>
      <c r="J65" s="455">
        <f t="array" ref="J65">IFERROR(INDEX('Retirement Calculator'!K:K,MATCH('Lorri 401b'!N65,'Retirement Calculator'!A:A,0),0),0)</f>
        <v>0</v>
      </c>
      <c r="K65" s="455">
        <f t="shared" ca="1" si="2"/>
        <v>17262.226427580441</v>
      </c>
      <c r="L65" s="455">
        <f t="shared" ca="1" si="3"/>
        <v>4160196.5690468857</v>
      </c>
      <c r="M65" s="471">
        <f t="shared" si="6"/>
        <v>0.05</v>
      </c>
      <c r="N65" s="475">
        <f t="shared" si="7"/>
        <v>53022</v>
      </c>
    </row>
    <row r="66" spans="1:14" ht="11.25" customHeight="1" x14ac:dyDescent="0.3">
      <c r="A66" s="470">
        <v>59</v>
      </c>
      <c r="B66" s="458">
        <f t="shared" ca="1" si="4"/>
        <v>-3567486.0405683671</v>
      </c>
      <c r="C66" s="458">
        <f t="shared" si="0"/>
        <v>243384.31343260861</v>
      </c>
      <c r="D66" s="458">
        <f ca="1">SUMIF(G:G,59,K:K)</f>
        <v>-189212.7778157086</v>
      </c>
      <c r="E66" s="458">
        <f t="shared" ca="1" si="1"/>
        <v>-4000083.1318166843</v>
      </c>
      <c r="F66" s="442"/>
      <c r="G66" s="470">
        <f t="shared" si="8"/>
        <v>5</v>
      </c>
      <c r="H66" s="470">
        <v>59</v>
      </c>
      <c r="I66" s="455">
        <f t="shared" ca="1" si="5"/>
        <v>4160196.5690468857</v>
      </c>
      <c r="J66" s="455">
        <f t="array" ref="J66">IFERROR(INDEX('Retirement Calculator'!K:K,MATCH('Lorri 401b'!N66,'Retirement Calculator'!A:A,0),0),0)</f>
        <v>0</v>
      </c>
      <c r="K66" s="455">
        <f t="shared" ca="1" si="2"/>
        <v>17334.152371028689</v>
      </c>
      <c r="L66" s="455">
        <f t="shared" ca="1" si="3"/>
        <v>4177530.7214179146</v>
      </c>
      <c r="M66" s="471">
        <f t="shared" si="6"/>
        <v>0.05</v>
      </c>
      <c r="N66" s="475">
        <f t="shared" si="7"/>
        <v>53053</v>
      </c>
    </row>
    <row r="67" spans="1:14" ht="11.25" customHeight="1" x14ac:dyDescent="0.3">
      <c r="A67" s="470">
        <v>60</v>
      </c>
      <c r="B67" s="458">
        <f t="shared" ca="1" si="4"/>
        <v>-4000083.1318166843</v>
      </c>
      <c r="C67" s="458">
        <f t="shared" si="0"/>
        <v>243384.31343260861</v>
      </c>
      <c r="D67" s="458">
        <f t="shared" ref="D67:D71" ca="1" si="9">SUMIF(G:G,60,K:K)</f>
        <v>-211345.26602208978</v>
      </c>
      <c r="E67" s="458">
        <f t="shared" ca="1" si="1"/>
        <v>-4454812.7112713829</v>
      </c>
      <c r="F67" s="442"/>
      <c r="G67" s="470">
        <f t="shared" si="8"/>
        <v>5</v>
      </c>
      <c r="H67" s="470">
        <v>60</v>
      </c>
      <c r="I67" s="455">
        <f t="shared" ca="1" si="5"/>
        <v>4177530.7214179146</v>
      </c>
      <c r="J67" s="455">
        <f t="array" ref="J67">IFERROR(INDEX('Retirement Calculator'!K:K,MATCH('Lorri 401b'!N67,'Retirement Calculator'!A:A,0),0),0)</f>
        <v>0</v>
      </c>
      <c r="K67" s="455">
        <f t="shared" ca="1" si="2"/>
        <v>17406.378005907976</v>
      </c>
      <c r="L67" s="455">
        <f t="shared" ca="1" si="3"/>
        <v>4194937.0994238229</v>
      </c>
      <c r="M67" s="471">
        <f t="shared" si="6"/>
        <v>0.05</v>
      </c>
      <c r="N67" s="475">
        <f t="shared" si="7"/>
        <v>53083</v>
      </c>
    </row>
    <row r="68" spans="1:14" ht="11.25" customHeight="1" x14ac:dyDescent="0.3">
      <c r="A68" s="470">
        <v>61</v>
      </c>
      <c r="B68" s="458">
        <f t="shared" ca="1" si="4"/>
        <v>-4454812.7112713829</v>
      </c>
      <c r="C68" s="458">
        <f t="shared" si="0"/>
        <v>243384.31343260861</v>
      </c>
      <c r="D68" s="458">
        <f t="shared" ca="1" si="9"/>
        <v>-211345.26602208978</v>
      </c>
      <c r="E68" s="458">
        <f t="shared" ca="1" si="1"/>
        <v>-4909542.2907260815</v>
      </c>
      <c r="F68" s="442"/>
      <c r="G68" s="470">
        <f>G67+1</f>
        <v>6</v>
      </c>
      <c r="H68" s="470">
        <v>61</v>
      </c>
      <c r="I68" s="455">
        <f t="shared" ca="1" si="5"/>
        <v>4194937.0994238229</v>
      </c>
      <c r="J68" s="455">
        <f t="array" ref="J68">IFERROR(INDEX('Retirement Calculator'!K:K,MATCH('Lorri 401b'!N68,'Retirement Calculator'!A:A,0),0),0)</f>
        <v>0</v>
      </c>
      <c r="K68" s="455">
        <f t="shared" ca="1" si="2"/>
        <v>17478.904580932594</v>
      </c>
      <c r="L68" s="455">
        <f t="shared" ca="1" si="3"/>
        <v>4212416.004004756</v>
      </c>
      <c r="M68" s="471">
        <f t="shared" si="6"/>
        <v>0.05</v>
      </c>
      <c r="N68" s="475">
        <f t="shared" si="7"/>
        <v>53114</v>
      </c>
    </row>
    <row r="69" spans="1:14" ht="11.25" customHeight="1" x14ac:dyDescent="0.3">
      <c r="A69" s="470">
        <v>62</v>
      </c>
      <c r="B69" s="458">
        <f t="shared" ca="1" si="4"/>
        <v>-4909542.2907260815</v>
      </c>
      <c r="C69" s="458">
        <f t="shared" si="0"/>
        <v>243384.31343260861</v>
      </c>
      <c r="D69" s="458">
        <f t="shared" ca="1" si="9"/>
        <v>-211345.26602208978</v>
      </c>
      <c r="E69" s="458">
        <f t="shared" ca="1" si="1"/>
        <v>-5364271.8701807801</v>
      </c>
      <c r="F69" s="442"/>
      <c r="G69" s="470">
        <f t="shared" ref="G69:G79" si="10">G68</f>
        <v>6</v>
      </c>
      <c r="H69" s="470">
        <v>62</v>
      </c>
      <c r="I69" s="455">
        <f t="shared" ca="1" si="5"/>
        <v>4212416.004004756</v>
      </c>
      <c r="J69" s="455">
        <f t="array" ref="J69">IFERROR(INDEX('Retirement Calculator'!K:K,MATCH('Lorri 401b'!N69,'Retirement Calculator'!A:A,0),0),0)</f>
        <v>0</v>
      </c>
      <c r="K69" s="455">
        <f t="shared" ca="1" si="2"/>
        <v>17551.733350019815</v>
      </c>
      <c r="L69" s="455">
        <f t="shared" ca="1" si="3"/>
        <v>4229967.7373547759</v>
      </c>
      <c r="M69" s="471">
        <f t="shared" si="6"/>
        <v>0.05</v>
      </c>
      <c r="N69" s="475">
        <f t="shared" si="7"/>
        <v>53144</v>
      </c>
    </row>
    <row r="70" spans="1:14" ht="11.25" customHeight="1" x14ac:dyDescent="0.3">
      <c r="A70" s="470">
        <v>63</v>
      </c>
      <c r="B70" s="458">
        <f t="shared" ca="1" si="4"/>
        <v>-5364271.8701807801</v>
      </c>
      <c r="C70" s="458">
        <f t="shared" si="0"/>
        <v>243384.31343260861</v>
      </c>
      <c r="D70" s="458">
        <f t="shared" ca="1" si="9"/>
        <v>-211345.26602208978</v>
      </c>
      <c r="E70" s="458">
        <f t="shared" ca="1" si="1"/>
        <v>-5819001.4496354787</v>
      </c>
      <c r="F70" s="442"/>
      <c r="G70" s="470">
        <f t="shared" si="10"/>
        <v>6</v>
      </c>
      <c r="H70" s="470">
        <v>63</v>
      </c>
      <c r="I70" s="455">
        <f t="shared" ca="1" si="5"/>
        <v>4229967.7373547759</v>
      </c>
      <c r="J70" s="455">
        <f t="array" ref="J70">IFERROR(INDEX('Retirement Calculator'!K:K,MATCH('Lorri 401b'!N70,'Retirement Calculator'!A:A,0),0),0)</f>
        <v>0</v>
      </c>
      <c r="K70" s="455">
        <f t="shared" ca="1" si="2"/>
        <v>17624.865572311566</v>
      </c>
      <c r="L70" s="455">
        <f t="shared" ca="1" si="3"/>
        <v>4247592.6029270878</v>
      </c>
      <c r="M70" s="471">
        <f t="shared" si="6"/>
        <v>0.05</v>
      </c>
      <c r="N70" s="475">
        <f t="shared" si="7"/>
        <v>53175</v>
      </c>
    </row>
    <row r="71" spans="1:14" ht="11.25" customHeight="1" x14ac:dyDescent="0.3">
      <c r="A71" s="470">
        <v>64</v>
      </c>
      <c r="B71" s="458">
        <f t="shared" ca="1" si="4"/>
        <v>-5819001.4496354787</v>
      </c>
      <c r="C71" s="458">
        <f t="shared" si="0"/>
        <v>243384.31343260861</v>
      </c>
      <c r="D71" s="458">
        <f t="shared" ca="1" si="9"/>
        <v>-211345.26602208978</v>
      </c>
      <c r="E71" s="458">
        <f t="shared" ca="1" si="1"/>
        <v>-6273731.0290901773</v>
      </c>
      <c r="F71" s="442"/>
      <c r="G71" s="470">
        <f t="shared" si="10"/>
        <v>6</v>
      </c>
      <c r="H71" s="470">
        <v>64</v>
      </c>
      <c r="I71" s="455">
        <f t="shared" ca="1" si="5"/>
        <v>4247592.6029270878</v>
      </c>
      <c r="J71" s="455">
        <f t="array" ref="J71">IFERROR(INDEX('Retirement Calculator'!K:K,MATCH('Lorri 401b'!N71,'Retirement Calculator'!A:A,0),0),0)</f>
        <v>0</v>
      </c>
      <c r="K71" s="455">
        <f t="shared" ca="1" si="2"/>
        <v>17698.302512196198</v>
      </c>
      <c r="L71" s="455">
        <f t="shared" ca="1" si="3"/>
        <v>4265290.9054392837</v>
      </c>
      <c r="M71" s="471">
        <f t="shared" si="6"/>
        <v>0.05</v>
      </c>
      <c r="N71" s="475">
        <f t="shared" si="7"/>
        <v>53206</v>
      </c>
    </row>
    <row r="72" spans="1:14" ht="11.25" customHeight="1" x14ac:dyDescent="0.3">
      <c r="A72" s="470">
        <v>65</v>
      </c>
      <c r="B72" s="442"/>
      <c r="C72" s="442"/>
      <c r="D72" s="442"/>
      <c r="E72" s="442"/>
      <c r="F72" s="442"/>
      <c r="G72" s="470">
        <f t="shared" si="10"/>
        <v>6</v>
      </c>
      <c r="H72" s="470">
        <v>65</v>
      </c>
      <c r="I72" s="455">
        <f t="shared" ca="1" si="5"/>
        <v>4265290.9054392837</v>
      </c>
      <c r="J72" s="455">
        <f t="array" ref="J72">IFERROR(INDEX('Retirement Calculator'!K:K,MATCH('Lorri 401b'!N72,'Retirement Calculator'!A:A,0),0),0)</f>
        <v>0</v>
      </c>
      <c r="K72" s="455">
        <f t="shared" ca="1" si="2"/>
        <v>17772.045439330348</v>
      </c>
      <c r="L72" s="455">
        <f t="shared" ca="1" si="3"/>
        <v>4283062.9508786136</v>
      </c>
      <c r="M72" s="471">
        <f t="shared" si="6"/>
        <v>0.05</v>
      </c>
      <c r="N72" s="475">
        <f t="shared" si="7"/>
        <v>53236</v>
      </c>
    </row>
    <row r="73" spans="1:14" ht="11.25" customHeight="1" x14ac:dyDescent="0.3">
      <c r="A73" s="470">
        <v>66</v>
      </c>
      <c r="B73" s="442"/>
      <c r="C73" s="442"/>
      <c r="D73" s="442"/>
      <c r="E73" s="442"/>
      <c r="F73" s="442"/>
      <c r="G73" s="470">
        <f t="shared" si="10"/>
        <v>6</v>
      </c>
      <c r="H73" s="470">
        <v>66</v>
      </c>
      <c r="I73" s="455">
        <f t="shared" ca="1" si="5"/>
        <v>4283062.9508786136</v>
      </c>
      <c r="J73" s="455">
        <f t="array" ref="J73">IFERROR(INDEX('Retirement Calculator'!K:K,MATCH('Lorri 401b'!N73,'Retirement Calculator'!A:A,0),0),0)</f>
        <v>0</v>
      </c>
      <c r="K73" s="455">
        <f t="shared" ca="1" si="2"/>
        <v>17846.095628660889</v>
      </c>
      <c r="L73" s="455">
        <f t="shared" ca="1" si="3"/>
        <v>4300909.0465072747</v>
      </c>
      <c r="M73" s="471">
        <f t="shared" si="6"/>
        <v>0.05</v>
      </c>
      <c r="N73" s="475">
        <f t="shared" si="7"/>
        <v>53267</v>
      </c>
    </row>
    <row r="74" spans="1:14" ht="11.25" customHeight="1" x14ac:dyDescent="0.3">
      <c r="A74" s="470">
        <v>67</v>
      </c>
      <c r="B74" s="442"/>
      <c r="C74" s="442"/>
      <c r="D74" s="442"/>
      <c r="E74" s="442"/>
      <c r="F74" s="442"/>
      <c r="G74" s="470">
        <f t="shared" si="10"/>
        <v>6</v>
      </c>
      <c r="H74" s="470">
        <v>67</v>
      </c>
      <c r="I74" s="455">
        <f t="shared" ca="1" si="5"/>
        <v>4300909.0465072747</v>
      </c>
      <c r="J74" s="455">
        <f t="array" ref="J74">IFERROR(INDEX('Retirement Calculator'!K:K,MATCH('Lorri 401b'!N74,'Retirement Calculator'!A:A,0),0),0)</f>
        <v>0</v>
      </c>
      <c r="K74" s="455">
        <f t="shared" ca="1" si="2"/>
        <v>17920.454360446976</v>
      </c>
      <c r="L74" s="455">
        <f t="shared" ca="1" si="3"/>
        <v>4318829.5008677216</v>
      </c>
      <c r="M74" s="471">
        <f t="shared" si="6"/>
        <v>0.05</v>
      </c>
      <c r="N74" s="475">
        <f t="shared" si="7"/>
        <v>53297</v>
      </c>
    </row>
    <row r="75" spans="1:14" ht="11.25" customHeight="1" x14ac:dyDescent="0.3">
      <c r="A75" s="470">
        <v>68</v>
      </c>
      <c r="B75" s="442"/>
      <c r="C75" s="442"/>
      <c r="D75" s="442"/>
      <c r="E75" s="442"/>
      <c r="F75" s="442"/>
      <c r="G75" s="470">
        <f t="shared" si="10"/>
        <v>6</v>
      </c>
      <c r="H75" s="470">
        <v>68</v>
      </c>
      <c r="I75" s="455">
        <f t="shared" ca="1" si="5"/>
        <v>4318829.5008677216</v>
      </c>
      <c r="J75" s="455">
        <f t="array" ref="J75">IFERROR(INDEX('Retirement Calculator'!K:K,MATCH('Lorri 401b'!N75,'Retirement Calculator'!A:A,0),0),0)</f>
        <v>22025.926519384055</v>
      </c>
      <c r="K75" s="455">
        <f t="shared" ca="1" si="2"/>
        <v>17903.34822645141</v>
      </c>
      <c r="L75" s="455">
        <f t="shared" ca="1" si="3"/>
        <v>4314706.9225747893</v>
      </c>
      <c r="M75" s="471">
        <f t="shared" si="6"/>
        <v>0.05</v>
      </c>
      <c r="N75" s="475">
        <f t="shared" si="7"/>
        <v>53328</v>
      </c>
    </row>
    <row r="76" spans="1:14" ht="11.25" customHeight="1" x14ac:dyDescent="0.3">
      <c r="A76" s="470">
        <v>69</v>
      </c>
      <c r="B76" s="442"/>
      <c r="C76" s="442"/>
      <c r="D76" s="442"/>
      <c r="E76" s="442"/>
      <c r="F76" s="442"/>
      <c r="G76" s="470">
        <f t="shared" si="10"/>
        <v>6</v>
      </c>
      <c r="H76" s="470">
        <v>69</v>
      </c>
      <c r="I76" s="455">
        <f t="shared" ca="1" si="5"/>
        <v>4314706.9225747893</v>
      </c>
      <c r="J76" s="455">
        <f t="array" ref="J76">IFERROR(INDEX('Retirement Calculator'!K:K,MATCH('Lorri 401b'!N76,'Retirement Calculator'!A:A,0),0),0)</f>
        <v>22025.926519384055</v>
      </c>
      <c r="K76" s="455">
        <f t="shared" ca="1" si="2"/>
        <v>17886.170816897524</v>
      </c>
      <c r="L76" s="455">
        <f t="shared" ca="1" si="3"/>
        <v>4310567.166872303</v>
      </c>
      <c r="M76" s="471">
        <f t="shared" si="6"/>
        <v>0.05</v>
      </c>
      <c r="N76" s="475">
        <f t="shared" si="7"/>
        <v>53359</v>
      </c>
    </row>
    <row r="77" spans="1:14" ht="11.25" customHeight="1" x14ac:dyDescent="0.3">
      <c r="A77" s="470">
        <v>70</v>
      </c>
      <c r="B77" s="442"/>
      <c r="C77" s="442"/>
      <c r="D77" s="442"/>
      <c r="E77" s="442"/>
      <c r="F77" s="442"/>
      <c r="G77" s="470">
        <f t="shared" si="10"/>
        <v>6</v>
      </c>
      <c r="H77" s="470">
        <v>70</v>
      </c>
      <c r="I77" s="455">
        <f t="shared" ca="1" si="5"/>
        <v>4310567.166872303</v>
      </c>
      <c r="J77" s="455">
        <f t="array" ref="J77">IFERROR(INDEX('Retirement Calculator'!K:K,MATCH('Lorri 401b'!N77,'Retirement Calculator'!A:A,0),0),0)</f>
        <v>22025.926519384055</v>
      </c>
      <c r="K77" s="455">
        <f t="shared" ca="1" si="2"/>
        <v>17868.92183480383</v>
      </c>
      <c r="L77" s="455">
        <f t="shared" ca="1" si="3"/>
        <v>4306410.1621877234</v>
      </c>
      <c r="M77" s="471">
        <f t="shared" si="6"/>
        <v>0.05</v>
      </c>
      <c r="N77" s="475">
        <f t="shared" si="7"/>
        <v>53387</v>
      </c>
    </row>
    <row r="78" spans="1:14" ht="11.25" customHeight="1" x14ac:dyDescent="0.3">
      <c r="A78" s="470">
        <v>71</v>
      </c>
      <c r="B78" s="442"/>
      <c r="C78" s="442"/>
      <c r="D78" s="442"/>
      <c r="E78" s="442"/>
      <c r="F78" s="442"/>
      <c r="G78" s="470">
        <f t="shared" si="10"/>
        <v>6</v>
      </c>
      <c r="H78" s="470">
        <v>71</v>
      </c>
      <c r="I78" s="455">
        <f t="shared" ca="1" si="5"/>
        <v>4306410.1621877234</v>
      </c>
      <c r="J78" s="455">
        <f t="array" ref="J78">IFERROR(INDEX('Retirement Calculator'!K:K,MATCH('Lorri 401b'!N78,'Retirement Calculator'!A:A,0),0),0)</f>
        <v>22025.926519384055</v>
      </c>
      <c r="K78" s="455">
        <f t="shared" ca="1" si="2"/>
        <v>17851.600981951415</v>
      </c>
      <c r="L78" s="455">
        <f t="shared" ca="1" si="3"/>
        <v>4302235.8366502915</v>
      </c>
      <c r="M78" s="471">
        <f t="shared" si="6"/>
        <v>0.05</v>
      </c>
      <c r="N78" s="475">
        <f t="shared" si="7"/>
        <v>53418</v>
      </c>
    </row>
    <row r="79" spans="1:14" ht="11.25" customHeight="1" x14ac:dyDescent="0.3">
      <c r="A79" s="470">
        <v>72</v>
      </c>
      <c r="B79" s="442"/>
      <c r="C79" s="442"/>
      <c r="D79" s="442"/>
      <c r="E79" s="442"/>
      <c r="F79" s="442"/>
      <c r="G79" s="470">
        <f t="shared" si="10"/>
        <v>6</v>
      </c>
      <c r="H79" s="470">
        <v>72</v>
      </c>
      <c r="I79" s="455">
        <f t="shared" ca="1" si="5"/>
        <v>4302235.8366502915</v>
      </c>
      <c r="J79" s="455">
        <f t="array" ref="J79">IFERROR(INDEX('Retirement Calculator'!K:K,MATCH('Lorri 401b'!N79,'Retirement Calculator'!A:A,0),0),0)</f>
        <v>22025.926519384055</v>
      </c>
      <c r="K79" s="455">
        <f t="shared" ca="1" si="2"/>
        <v>17834.207958878782</v>
      </c>
      <c r="L79" s="455">
        <f t="shared" ca="1" si="3"/>
        <v>4298044.1180897867</v>
      </c>
      <c r="M79" s="471">
        <f t="shared" si="6"/>
        <v>0.05</v>
      </c>
      <c r="N79" s="475">
        <f t="shared" si="7"/>
        <v>53448</v>
      </c>
    </row>
    <row r="80" spans="1:14" ht="11.25" customHeight="1" x14ac:dyDescent="0.3">
      <c r="A80" s="470">
        <v>73</v>
      </c>
      <c r="B80" s="442"/>
      <c r="C80" s="442"/>
      <c r="D80" s="442"/>
      <c r="E80" s="442"/>
      <c r="F80" s="442"/>
      <c r="G80" s="470">
        <f>G79+1</f>
        <v>7</v>
      </c>
      <c r="H80" s="470">
        <v>73</v>
      </c>
      <c r="I80" s="455">
        <f t="shared" ca="1" si="5"/>
        <v>4298044.1180897867</v>
      </c>
      <c r="J80" s="455">
        <f t="array" ref="J80">IFERROR(INDEX('Retirement Calculator'!K:K,MATCH('Lorri 401b'!N80,'Retirement Calculator'!A:A,0),0),0)</f>
        <v>22025.926519384055</v>
      </c>
      <c r="K80" s="455">
        <f t="shared" ca="1" si="2"/>
        <v>17816.742464876679</v>
      </c>
      <c r="L80" s="455">
        <f t="shared" ca="1" si="3"/>
        <v>4293834.9340352798</v>
      </c>
      <c r="M80" s="471">
        <f t="shared" si="6"/>
        <v>0.05</v>
      </c>
      <c r="N80" s="475">
        <f t="shared" si="7"/>
        <v>53479</v>
      </c>
    </row>
    <row r="81" spans="1:14" ht="11.25" customHeight="1" x14ac:dyDescent="0.3">
      <c r="A81" s="470">
        <v>74</v>
      </c>
      <c r="B81" s="442"/>
      <c r="C81" s="442"/>
      <c r="D81" s="442"/>
      <c r="E81" s="442"/>
      <c r="F81" s="442"/>
      <c r="G81" s="470">
        <f t="shared" ref="G81:G91" si="11">G80</f>
        <v>7</v>
      </c>
      <c r="H81" s="470">
        <v>74</v>
      </c>
      <c r="I81" s="455">
        <f t="shared" ca="1" si="5"/>
        <v>4293834.9340352798</v>
      </c>
      <c r="J81" s="455">
        <f t="array" ref="J81">IFERROR(INDEX('Retirement Calculator'!K:K,MATCH('Lorri 401b'!N81,'Retirement Calculator'!A:A,0),0),0)</f>
        <v>22025.926519384055</v>
      </c>
      <c r="K81" s="455">
        <f t="shared" ca="1" si="2"/>
        <v>17799.204197982901</v>
      </c>
      <c r="L81" s="455">
        <f t="shared" ca="1" si="3"/>
        <v>4289608.2117138794</v>
      </c>
      <c r="M81" s="471">
        <f t="shared" si="6"/>
        <v>0.05</v>
      </c>
      <c r="N81" s="475">
        <f t="shared" si="7"/>
        <v>53509</v>
      </c>
    </row>
    <row r="82" spans="1:14" ht="11.25" customHeight="1" x14ac:dyDescent="0.3">
      <c r="A82" s="470">
        <v>75</v>
      </c>
      <c r="B82" s="442"/>
      <c r="C82" s="442"/>
      <c r="D82" s="442"/>
      <c r="E82" s="442"/>
      <c r="F82" s="442"/>
      <c r="G82" s="470">
        <f t="shared" si="11"/>
        <v>7</v>
      </c>
      <c r="H82" s="470">
        <v>75</v>
      </c>
      <c r="I82" s="455">
        <f t="shared" ca="1" si="5"/>
        <v>4289608.2117138794</v>
      </c>
      <c r="J82" s="455">
        <f t="array" ref="J82">IFERROR(INDEX('Retirement Calculator'!K:K,MATCH('Lorri 401b'!N82,'Retirement Calculator'!A:A,0),0),0)</f>
        <v>22025.926519384055</v>
      </c>
      <c r="K82" s="455">
        <f t="shared" ca="1" si="2"/>
        <v>17781.592854977065</v>
      </c>
      <c r="L82" s="455">
        <f t="shared" ca="1" si="3"/>
        <v>4285363.8780494723</v>
      </c>
      <c r="M82" s="471">
        <f t="shared" si="6"/>
        <v>0.05</v>
      </c>
      <c r="N82" s="475">
        <f t="shared" si="7"/>
        <v>53540</v>
      </c>
    </row>
    <row r="83" spans="1:14" ht="11.25" customHeight="1" x14ac:dyDescent="0.3">
      <c r="A83" s="470">
        <v>76</v>
      </c>
      <c r="B83" s="442"/>
      <c r="C83" s="442"/>
      <c r="D83" s="442"/>
      <c r="E83" s="442"/>
      <c r="F83" s="442"/>
      <c r="G83" s="470">
        <f t="shared" si="11"/>
        <v>7</v>
      </c>
      <c r="H83" s="470">
        <v>76</v>
      </c>
      <c r="I83" s="455">
        <f t="shared" ca="1" si="5"/>
        <v>4285363.8780494723</v>
      </c>
      <c r="J83" s="455">
        <f t="array" ref="J83">IFERROR(INDEX('Retirement Calculator'!K:K,MATCH('Lorri 401b'!N83,'Retirement Calculator'!A:A,0),0),0)</f>
        <v>22025.926519384055</v>
      </c>
      <c r="K83" s="455">
        <f t="shared" ca="1" si="2"/>
        <v>17763.90813137537</v>
      </c>
      <c r="L83" s="455">
        <f t="shared" ca="1" si="3"/>
        <v>4281101.8596614636</v>
      </c>
      <c r="M83" s="471">
        <f t="shared" si="6"/>
        <v>0.05</v>
      </c>
      <c r="N83" s="475">
        <f t="shared" si="7"/>
        <v>53571</v>
      </c>
    </row>
    <row r="84" spans="1:14" ht="11.25" customHeight="1" x14ac:dyDescent="0.3">
      <c r="A84" s="470">
        <v>77</v>
      </c>
      <c r="B84" s="442"/>
      <c r="C84" s="442"/>
      <c r="D84" s="442"/>
      <c r="E84" s="442"/>
      <c r="F84" s="442"/>
      <c r="G84" s="470">
        <f t="shared" si="11"/>
        <v>7</v>
      </c>
      <c r="H84" s="470">
        <v>77</v>
      </c>
      <c r="I84" s="455">
        <f t="shared" ca="1" si="5"/>
        <v>4281101.8596614636</v>
      </c>
      <c r="J84" s="455">
        <f t="array" ref="J84">IFERROR(INDEX('Retirement Calculator'!K:K,MATCH('Lorri 401b'!N84,'Retirement Calculator'!A:A,0),0),0)</f>
        <v>22025.926519384055</v>
      </c>
      <c r="K84" s="455">
        <f t="shared" ca="1" si="2"/>
        <v>17746.149721425332</v>
      </c>
      <c r="L84" s="455">
        <f t="shared" ca="1" si="3"/>
        <v>4276822.082863505</v>
      </c>
      <c r="M84" s="471">
        <f t="shared" si="6"/>
        <v>0.05</v>
      </c>
      <c r="N84" s="475">
        <f t="shared" si="7"/>
        <v>53601</v>
      </c>
    </row>
    <row r="85" spans="1:14" ht="11.25" customHeight="1" x14ac:dyDescent="0.3">
      <c r="A85" s="470">
        <v>78</v>
      </c>
      <c r="B85" s="442"/>
      <c r="C85" s="442"/>
      <c r="D85" s="442"/>
      <c r="E85" s="442"/>
      <c r="F85" s="442"/>
      <c r="G85" s="470">
        <f t="shared" si="11"/>
        <v>7</v>
      </c>
      <c r="H85" s="470">
        <v>78</v>
      </c>
      <c r="I85" s="455">
        <f t="shared" ca="1" si="5"/>
        <v>4276822.082863505</v>
      </c>
      <c r="J85" s="455">
        <f t="array" ref="J85">IFERROR(INDEX('Retirement Calculator'!K:K,MATCH('Lorri 401b'!N85,'Retirement Calculator'!A:A,0),0),0)</f>
        <v>22025.926519384055</v>
      </c>
      <c r="K85" s="455">
        <f t="shared" ca="1" si="2"/>
        <v>17728.317318100504</v>
      </c>
      <c r="L85" s="455">
        <f t="shared" ca="1" si="3"/>
        <v>4272524.4736622218</v>
      </c>
      <c r="M85" s="471">
        <f t="shared" si="6"/>
        <v>0.05</v>
      </c>
      <c r="N85" s="475">
        <f t="shared" si="7"/>
        <v>53632</v>
      </c>
    </row>
    <row r="86" spans="1:14" ht="11.25" customHeight="1" x14ac:dyDescent="0.3">
      <c r="A86" s="470">
        <v>79</v>
      </c>
      <c r="B86" s="442"/>
      <c r="C86" s="442"/>
      <c r="D86" s="442"/>
      <c r="E86" s="442"/>
      <c r="F86" s="442"/>
      <c r="G86" s="470">
        <f t="shared" si="11"/>
        <v>7</v>
      </c>
      <c r="H86" s="470">
        <v>79</v>
      </c>
      <c r="I86" s="455">
        <f t="shared" ca="1" si="5"/>
        <v>4272524.4736622218</v>
      </c>
      <c r="J86" s="455">
        <f t="array" ref="J86">IFERROR(INDEX('Retirement Calculator'!K:K,MATCH('Lorri 401b'!N86,'Retirement Calculator'!A:A,0),0),0)</f>
        <v>22025.926519384055</v>
      </c>
      <c r="K86" s="455">
        <f t="shared" ca="1" si="2"/>
        <v>17710.410613095159</v>
      </c>
      <c r="L86" s="455">
        <f t="shared" ca="1" si="3"/>
        <v>4268208.9577559335</v>
      </c>
      <c r="M86" s="471">
        <f t="shared" si="6"/>
        <v>0.05</v>
      </c>
      <c r="N86" s="475">
        <f t="shared" si="7"/>
        <v>53662</v>
      </c>
    </row>
    <row r="87" spans="1:14" ht="11.25" customHeight="1" x14ac:dyDescent="0.3">
      <c r="A87" s="470">
        <v>80</v>
      </c>
      <c r="B87" s="442"/>
      <c r="C87" s="442"/>
      <c r="D87" s="442"/>
      <c r="E87" s="442"/>
      <c r="F87" s="442"/>
      <c r="G87" s="470">
        <f t="shared" si="11"/>
        <v>7</v>
      </c>
      <c r="H87" s="470">
        <v>80</v>
      </c>
      <c r="I87" s="455">
        <f t="shared" ca="1" si="5"/>
        <v>4268208.9577559335</v>
      </c>
      <c r="J87" s="455">
        <f t="array" ref="J87">IFERROR(INDEX('Retirement Calculator'!K:K,MATCH('Lorri 401b'!N87,'Retirement Calculator'!A:A,0),0),0)</f>
        <v>22025.926519384055</v>
      </c>
      <c r="K87" s="455">
        <f t="shared" ca="1" si="2"/>
        <v>17692.429296818958</v>
      </c>
      <c r="L87" s="455">
        <f t="shared" ca="1" si="3"/>
        <v>4263875.4605333684</v>
      </c>
      <c r="M87" s="471">
        <f t="shared" si="6"/>
        <v>0.05</v>
      </c>
      <c r="N87" s="475">
        <f t="shared" si="7"/>
        <v>53693</v>
      </c>
    </row>
    <row r="88" spans="1:14" ht="11.25" customHeight="1" x14ac:dyDescent="0.3">
      <c r="A88" s="470">
        <v>81</v>
      </c>
      <c r="B88" s="442"/>
      <c r="C88" s="442"/>
      <c r="D88" s="442"/>
      <c r="E88" s="442"/>
      <c r="F88" s="442"/>
      <c r="G88" s="470">
        <f t="shared" si="11"/>
        <v>7</v>
      </c>
      <c r="H88" s="470">
        <v>81</v>
      </c>
      <c r="I88" s="455">
        <f t="shared" ca="1" si="5"/>
        <v>4263875.4605333684</v>
      </c>
      <c r="J88" s="455">
        <f t="array" ref="J88">IFERROR(INDEX('Retirement Calculator'!K:K,MATCH('Lorri 401b'!N88,'Retirement Calculator'!A:A,0),0),0)</f>
        <v>22025.926519384055</v>
      </c>
      <c r="K88" s="455">
        <f t="shared" ca="1" si="2"/>
        <v>17674.373058391604</v>
      </c>
      <c r="L88" s="455">
        <f t="shared" ca="1" si="3"/>
        <v>4259523.9070723765</v>
      </c>
      <c r="M88" s="471">
        <f t="shared" si="6"/>
        <v>0.05</v>
      </c>
      <c r="N88" s="475">
        <f t="shared" si="7"/>
        <v>53724</v>
      </c>
    </row>
    <row r="89" spans="1:14" ht="11.25" customHeight="1" x14ac:dyDescent="0.3">
      <c r="A89" s="470">
        <v>82</v>
      </c>
      <c r="B89" s="442"/>
      <c r="C89" s="442"/>
      <c r="D89" s="442"/>
      <c r="E89" s="442"/>
      <c r="F89" s="442"/>
      <c r="G89" s="470">
        <f t="shared" si="11"/>
        <v>7</v>
      </c>
      <c r="H89" s="470">
        <v>82</v>
      </c>
      <c r="I89" s="455">
        <f t="shared" ca="1" si="5"/>
        <v>4259523.9070723765</v>
      </c>
      <c r="J89" s="455">
        <f t="array" ref="J89">IFERROR(INDEX('Retirement Calculator'!K:K,MATCH('Lorri 401b'!N89,'Retirement Calculator'!A:A,0),0),0)</f>
        <v>22025.926519384055</v>
      </c>
      <c r="K89" s="455">
        <f t="shared" ca="1" si="2"/>
        <v>17656.241585637468</v>
      </c>
      <c r="L89" s="455">
        <f t="shared" ca="1" si="3"/>
        <v>4255154.2221386302</v>
      </c>
      <c r="M89" s="471">
        <f t="shared" si="6"/>
        <v>0.05</v>
      </c>
      <c r="N89" s="475">
        <f t="shared" si="7"/>
        <v>53752</v>
      </c>
    </row>
    <row r="90" spans="1:14" ht="11.25" customHeight="1" x14ac:dyDescent="0.3">
      <c r="A90" s="470">
        <v>83</v>
      </c>
      <c r="B90" s="442"/>
      <c r="C90" s="442"/>
      <c r="D90" s="442"/>
      <c r="E90" s="442"/>
      <c r="F90" s="442"/>
      <c r="G90" s="470">
        <f t="shared" si="11"/>
        <v>7</v>
      </c>
      <c r="H90" s="470">
        <v>83</v>
      </c>
      <c r="I90" s="455">
        <f t="shared" ca="1" si="5"/>
        <v>4255154.2221386302</v>
      </c>
      <c r="J90" s="455">
        <f t="array" ref="J90">IFERROR(INDEX('Retirement Calculator'!K:K,MATCH('Lorri 401b'!N90,'Retirement Calculator'!A:A,0),0),0)</f>
        <v>22025.926519384055</v>
      </c>
      <c r="K90" s="455">
        <f t="shared" ca="1" si="2"/>
        <v>17638.034565080194</v>
      </c>
      <c r="L90" s="455">
        <f t="shared" ca="1" si="3"/>
        <v>4250766.3301843265</v>
      </c>
      <c r="M90" s="471">
        <f t="shared" si="6"/>
        <v>0.05</v>
      </c>
      <c r="N90" s="475">
        <f t="shared" si="7"/>
        <v>53783</v>
      </c>
    </row>
    <row r="91" spans="1:14" ht="11.25" customHeight="1" x14ac:dyDescent="0.3">
      <c r="A91" s="470">
        <v>84</v>
      </c>
      <c r="B91" s="442"/>
      <c r="C91" s="442"/>
      <c r="D91" s="442"/>
      <c r="E91" s="442"/>
      <c r="F91" s="442"/>
      <c r="G91" s="470">
        <f t="shared" si="11"/>
        <v>7</v>
      </c>
      <c r="H91" s="470">
        <v>84</v>
      </c>
      <c r="I91" s="455">
        <f t="shared" ca="1" si="5"/>
        <v>4250766.3301843265</v>
      </c>
      <c r="J91" s="455">
        <f t="array" ref="J91">IFERROR(INDEX('Retirement Calculator'!K:K,MATCH('Lorri 401b'!N91,'Retirement Calculator'!A:A,0),0),0)</f>
        <v>22025.926519384055</v>
      </c>
      <c r="K91" s="455">
        <f t="shared" ca="1" si="2"/>
        <v>17619.751681937261</v>
      </c>
      <c r="L91" s="455">
        <f t="shared" ca="1" si="3"/>
        <v>4246360.1553468797</v>
      </c>
      <c r="M91" s="471">
        <f t="shared" si="6"/>
        <v>0.05</v>
      </c>
      <c r="N91" s="475">
        <f t="shared" si="7"/>
        <v>53813</v>
      </c>
    </row>
    <row r="92" spans="1:14" ht="11.25" customHeight="1" x14ac:dyDescent="0.3">
      <c r="A92" s="470">
        <v>85</v>
      </c>
      <c r="B92" s="442"/>
      <c r="C92" s="442"/>
      <c r="D92" s="442"/>
      <c r="E92" s="442"/>
      <c r="F92" s="442"/>
      <c r="G92" s="470">
        <f>G91+1</f>
        <v>8</v>
      </c>
      <c r="H92" s="470">
        <v>85</v>
      </c>
      <c r="I92" s="455">
        <f t="shared" ca="1" si="5"/>
        <v>4246360.1553468797</v>
      </c>
      <c r="J92" s="455">
        <f t="array" ref="J92">IFERROR(INDEX('Retirement Calculator'!K:K,MATCH('Lorri 401b'!N92,'Retirement Calculator'!A:A,0),0),0)</f>
        <v>22025.926519384055</v>
      </c>
      <c r="K92" s="455">
        <f t="shared" ca="1" si="2"/>
        <v>17601.392620114566</v>
      </c>
      <c r="L92" s="455">
        <f t="shared" ca="1" si="3"/>
        <v>4241935.6214476107</v>
      </c>
      <c r="M92" s="471">
        <f t="shared" si="6"/>
        <v>0.05</v>
      </c>
      <c r="N92" s="475">
        <f t="shared" si="7"/>
        <v>53844</v>
      </c>
    </row>
    <row r="93" spans="1:14" ht="11.25" customHeight="1" x14ac:dyDescent="0.3">
      <c r="A93" s="470">
        <v>86</v>
      </c>
      <c r="B93" s="442"/>
      <c r="C93" s="442"/>
      <c r="D93" s="442"/>
      <c r="E93" s="442"/>
      <c r="F93" s="442"/>
      <c r="G93" s="470">
        <f t="shared" ref="G93:G103" si="12">G92</f>
        <v>8</v>
      </c>
      <c r="H93" s="470">
        <v>86</v>
      </c>
      <c r="I93" s="455">
        <f t="shared" ca="1" si="5"/>
        <v>4241935.6214476107</v>
      </c>
      <c r="J93" s="455">
        <f t="array" ref="J93">IFERROR(INDEX('Retirement Calculator'!K:K,MATCH('Lorri 401b'!N93,'Retirement Calculator'!A:A,0),0),0)</f>
        <v>22025.926519384055</v>
      </c>
      <c r="K93" s="455">
        <f t="shared" ca="1" si="2"/>
        <v>17582.957062200945</v>
      </c>
      <c r="L93" s="455">
        <f t="shared" ca="1" si="3"/>
        <v>4237492.6519904276</v>
      </c>
      <c r="M93" s="471">
        <f t="shared" si="6"/>
        <v>0.05</v>
      </c>
      <c r="N93" s="475">
        <f t="shared" si="7"/>
        <v>53874</v>
      </c>
    </row>
    <row r="94" spans="1:14" ht="11.25" customHeight="1" x14ac:dyDescent="0.3">
      <c r="A94" s="470">
        <v>87</v>
      </c>
      <c r="B94" s="442"/>
      <c r="C94" s="442"/>
      <c r="D94" s="442"/>
      <c r="E94" s="442"/>
      <c r="F94" s="442"/>
      <c r="G94" s="470">
        <f t="shared" si="12"/>
        <v>8</v>
      </c>
      <c r="H94" s="470">
        <v>87</v>
      </c>
      <c r="I94" s="455">
        <f t="shared" ca="1" si="5"/>
        <v>4237492.6519904276</v>
      </c>
      <c r="J94" s="455">
        <f t="array" ref="J94">IFERROR(INDEX('Retirement Calculator'!K:K,MATCH('Lorri 401b'!N94,'Retirement Calculator'!A:A,0),0),0)</f>
        <v>22025.926519384055</v>
      </c>
      <c r="K94" s="455">
        <f t="shared" ca="1" si="2"/>
        <v>17564.444689462682</v>
      </c>
      <c r="L94" s="455">
        <f t="shared" ca="1" si="3"/>
        <v>4233031.1701605069</v>
      </c>
      <c r="M94" s="471">
        <f t="shared" si="6"/>
        <v>0.05</v>
      </c>
      <c r="N94" s="475">
        <f t="shared" si="7"/>
        <v>53905</v>
      </c>
    </row>
    <row r="95" spans="1:14" ht="11.25" customHeight="1" x14ac:dyDescent="0.3">
      <c r="A95" s="470">
        <v>88</v>
      </c>
      <c r="B95" s="442"/>
      <c r="C95" s="442"/>
      <c r="D95" s="442"/>
      <c r="E95" s="442"/>
      <c r="F95" s="442"/>
      <c r="G95" s="470">
        <f t="shared" si="12"/>
        <v>8</v>
      </c>
      <c r="H95" s="470">
        <v>88</v>
      </c>
      <c r="I95" s="455">
        <f t="shared" ca="1" si="5"/>
        <v>4233031.1701605069</v>
      </c>
      <c r="J95" s="455">
        <f t="array" ref="J95">IFERROR(INDEX('Retirement Calculator'!K:K,MATCH('Lorri 401b'!N95,'Retirement Calculator'!A:A,0),0),0)</f>
        <v>22025.926519384055</v>
      </c>
      <c r="K95" s="455">
        <f t="shared" ca="1" si="2"/>
        <v>17545.855181838015</v>
      </c>
      <c r="L95" s="455">
        <f t="shared" ca="1" si="3"/>
        <v>4228551.0988229616</v>
      </c>
      <c r="M95" s="471">
        <f t="shared" si="6"/>
        <v>0.05</v>
      </c>
      <c r="N95" s="475">
        <f t="shared" si="7"/>
        <v>53936</v>
      </c>
    </row>
    <row r="96" spans="1:14" ht="11.25" customHeight="1" x14ac:dyDescent="0.3">
      <c r="A96" s="470">
        <v>89</v>
      </c>
      <c r="B96" s="442"/>
      <c r="C96" s="442"/>
      <c r="D96" s="442"/>
      <c r="E96" s="442"/>
      <c r="F96" s="442"/>
      <c r="G96" s="470">
        <f t="shared" si="12"/>
        <v>8</v>
      </c>
      <c r="H96" s="470">
        <v>89</v>
      </c>
      <c r="I96" s="455">
        <f t="shared" ca="1" si="5"/>
        <v>4228551.0988229616</v>
      </c>
      <c r="J96" s="455">
        <f t="array" ref="J96">IFERROR(INDEX('Retirement Calculator'!K:K,MATCH('Lorri 401b'!N96,'Retirement Calculator'!A:A,0),0),0)</f>
        <v>22025.926519384055</v>
      </c>
      <c r="K96" s="455">
        <f t="shared" ca="1" si="2"/>
        <v>17527.188217931573</v>
      </c>
      <c r="L96" s="455">
        <f t="shared" ca="1" si="3"/>
        <v>4224052.3605215093</v>
      </c>
      <c r="M96" s="471">
        <f t="shared" si="6"/>
        <v>0.05</v>
      </c>
      <c r="N96" s="475">
        <f t="shared" si="7"/>
        <v>53966</v>
      </c>
    </row>
    <row r="97" spans="1:14" ht="11.25" customHeight="1" x14ac:dyDescent="0.3">
      <c r="A97" s="470">
        <v>90</v>
      </c>
      <c r="B97" s="442"/>
      <c r="C97" s="442"/>
      <c r="D97" s="442"/>
      <c r="E97" s="442"/>
      <c r="F97" s="442"/>
      <c r="G97" s="470">
        <f t="shared" si="12"/>
        <v>8</v>
      </c>
      <c r="H97" s="470">
        <v>90</v>
      </c>
      <c r="I97" s="455">
        <f t="shared" ca="1" si="5"/>
        <v>4224052.3605215093</v>
      </c>
      <c r="J97" s="455">
        <f t="array" ref="J97">IFERROR(INDEX('Retirement Calculator'!K:K,MATCH('Lorri 401b'!N97,'Retirement Calculator'!A:A,0),0),0)</f>
        <v>22025.926519384055</v>
      </c>
      <c r="K97" s="455">
        <f t="shared" ca="1" si="2"/>
        <v>17508.443475008855</v>
      </c>
      <c r="L97" s="455">
        <f t="shared" ca="1" si="3"/>
        <v>4219534.8774771346</v>
      </c>
      <c r="M97" s="471">
        <f t="shared" si="6"/>
        <v>0.05</v>
      </c>
      <c r="N97" s="475">
        <f t="shared" si="7"/>
        <v>53997</v>
      </c>
    </row>
    <row r="98" spans="1:14" ht="11.25" customHeight="1" x14ac:dyDescent="0.3">
      <c r="A98" s="470">
        <v>91</v>
      </c>
      <c r="B98" s="442"/>
      <c r="C98" s="442"/>
      <c r="D98" s="442"/>
      <c r="E98" s="442"/>
      <c r="F98" s="442"/>
      <c r="G98" s="470">
        <f t="shared" si="12"/>
        <v>8</v>
      </c>
      <c r="H98" s="470">
        <v>91</v>
      </c>
      <c r="I98" s="455">
        <f t="shared" ca="1" si="5"/>
        <v>4219534.8774771346</v>
      </c>
      <c r="J98" s="455">
        <f t="array" ref="J98">IFERROR(INDEX('Retirement Calculator'!K:K,MATCH('Lorri 401b'!N98,'Retirement Calculator'!A:A,0),0),0)</f>
        <v>22025.926519384055</v>
      </c>
      <c r="K98" s="455">
        <f t="shared" ca="1" si="2"/>
        <v>17489.620628990629</v>
      </c>
      <c r="L98" s="455">
        <f t="shared" ca="1" si="3"/>
        <v>4214998.5715867411</v>
      </c>
      <c r="M98" s="471">
        <f t="shared" si="6"/>
        <v>0.05</v>
      </c>
      <c r="N98" s="475">
        <f t="shared" si="7"/>
        <v>54027</v>
      </c>
    </row>
    <row r="99" spans="1:14" ht="11.25" customHeight="1" x14ac:dyDescent="0.3">
      <c r="A99" s="470">
        <v>92</v>
      </c>
      <c r="B99" s="442"/>
      <c r="C99" s="442"/>
      <c r="D99" s="442"/>
      <c r="E99" s="442"/>
      <c r="F99" s="442"/>
      <c r="G99" s="470">
        <f t="shared" si="12"/>
        <v>8</v>
      </c>
      <c r="H99" s="470">
        <v>92</v>
      </c>
      <c r="I99" s="455">
        <f t="shared" ca="1" si="5"/>
        <v>4214998.5715867411</v>
      </c>
      <c r="J99" s="455">
        <f t="array" ref="J99">IFERROR(INDEX('Retirement Calculator'!K:K,MATCH('Lorri 401b'!N99,'Retirement Calculator'!A:A,0),0),0)</f>
        <v>22025.926519384055</v>
      </c>
      <c r="K99" s="455">
        <f t="shared" ca="1" si="2"/>
        <v>17470.719354447319</v>
      </c>
      <c r="L99" s="455">
        <f t="shared" ca="1" si="3"/>
        <v>4210443.3644218044</v>
      </c>
      <c r="M99" s="471">
        <f t="shared" si="6"/>
        <v>0.05</v>
      </c>
      <c r="N99" s="475">
        <f t="shared" si="7"/>
        <v>54058</v>
      </c>
    </row>
    <row r="100" spans="1:14" ht="11.25" customHeight="1" x14ac:dyDescent="0.3">
      <c r="A100" s="470">
        <v>93</v>
      </c>
      <c r="B100" s="442"/>
      <c r="C100" s="442"/>
      <c r="D100" s="442"/>
      <c r="E100" s="442"/>
      <c r="F100" s="442"/>
      <c r="G100" s="470">
        <f t="shared" si="12"/>
        <v>8</v>
      </c>
      <c r="H100" s="470">
        <v>93</v>
      </c>
      <c r="I100" s="455">
        <f t="shared" ca="1" si="5"/>
        <v>4210443.3644218044</v>
      </c>
      <c r="J100" s="455">
        <f t="array" ref="J100">IFERROR(INDEX('Retirement Calculator'!K:K,MATCH('Lorri 401b'!N100,'Retirement Calculator'!A:A,0),0),0)</f>
        <v>22025.926519384055</v>
      </c>
      <c r="K100" s="455">
        <f t="shared" ca="1" si="2"/>
        <v>17451.739324593418</v>
      </c>
      <c r="L100" s="455">
        <f t="shared" ca="1" si="3"/>
        <v>4205869.1772270137</v>
      </c>
      <c r="M100" s="471">
        <f t="shared" si="6"/>
        <v>0.05</v>
      </c>
      <c r="N100" s="475">
        <f t="shared" si="7"/>
        <v>54089</v>
      </c>
    </row>
    <row r="101" spans="1:14" ht="11.25" customHeight="1" x14ac:dyDescent="0.3">
      <c r="A101" s="470">
        <v>94</v>
      </c>
      <c r="B101" s="442"/>
      <c r="C101" s="442"/>
      <c r="D101" s="442"/>
      <c r="E101" s="442"/>
      <c r="F101" s="442"/>
      <c r="G101" s="470">
        <f t="shared" si="12"/>
        <v>8</v>
      </c>
      <c r="H101" s="470">
        <v>94</v>
      </c>
      <c r="I101" s="455">
        <f t="shared" ca="1" si="5"/>
        <v>4205869.1772270137</v>
      </c>
      <c r="J101" s="455">
        <f t="array" ref="J101">IFERROR(INDEX('Retirement Calculator'!K:K,MATCH('Lorri 401b'!N101,'Retirement Calculator'!A:A,0),0),0)</f>
        <v>22025.926519384055</v>
      </c>
      <c r="K101" s="455">
        <f t="shared" ca="1" si="2"/>
        <v>17432.68021128179</v>
      </c>
      <c r="L101" s="455">
        <f t="shared" ca="1" si="3"/>
        <v>4201275.9309189115</v>
      </c>
      <c r="M101" s="471">
        <f t="shared" si="6"/>
        <v>0.05</v>
      </c>
      <c r="N101" s="475">
        <f t="shared" si="7"/>
        <v>54118</v>
      </c>
    </row>
    <row r="102" spans="1:14" ht="11.25" customHeight="1" x14ac:dyDescent="0.3">
      <c r="A102" s="470">
        <v>95</v>
      </c>
      <c r="B102" s="442"/>
      <c r="C102" s="442"/>
      <c r="D102" s="442"/>
      <c r="E102" s="442"/>
      <c r="F102" s="442"/>
      <c r="G102" s="470">
        <f t="shared" si="12"/>
        <v>8</v>
      </c>
      <c r="H102" s="470">
        <v>95</v>
      </c>
      <c r="I102" s="455">
        <f t="shared" ca="1" si="5"/>
        <v>4201275.9309189115</v>
      </c>
      <c r="J102" s="455">
        <f t="array" ref="J102">IFERROR(INDEX('Retirement Calculator'!K:K,MATCH('Lorri 401b'!N102,'Retirement Calculator'!A:A,0),0),0)</f>
        <v>22025.926519384055</v>
      </c>
      <c r="K102" s="455">
        <f t="shared" ca="1" si="2"/>
        <v>17413.541684998032</v>
      </c>
      <c r="L102" s="455">
        <f t="shared" ca="1" si="3"/>
        <v>4196663.5460845251</v>
      </c>
      <c r="M102" s="471">
        <f t="shared" si="6"/>
        <v>0.05</v>
      </c>
      <c r="N102" s="475">
        <f t="shared" si="7"/>
        <v>54149</v>
      </c>
    </row>
    <row r="103" spans="1:14" ht="11.25" customHeight="1" x14ac:dyDescent="0.3">
      <c r="A103" s="470">
        <v>96</v>
      </c>
      <c r="B103" s="442"/>
      <c r="C103" s="442"/>
      <c r="D103" s="442"/>
      <c r="E103" s="442"/>
      <c r="F103" s="442"/>
      <c r="G103" s="470">
        <f t="shared" si="12"/>
        <v>8</v>
      </c>
      <c r="H103" s="470">
        <v>96</v>
      </c>
      <c r="I103" s="455">
        <f t="shared" ca="1" si="5"/>
        <v>4196663.5460845251</v>
      </c>
      <c r="J103" s="455">
        <f t="array" ref="J103">IFERROR(INDEX('Retirement Calculator'!K:K,MATCH('Lorri 401b'!N103,'Retirement Calculator'!A:A,0),0),0)</f>
        <v>22025.926519384055</v>
      </c>
      <c r="K103" s="455">
        <f t="shared" ca="1" si="2"/>
        <v>17394.323414854753</v>
      </c>
      <c r="L103" s="455">
        <f t="shared" ca="1" si="3"/>
        <v>4192031.9429799956</v>
      </c>
      <c r="M103" s="471">
        <f t="shared" si="6"/>
        <v>0.05</v>
      </c>
      <c r="N103" s="475">
        <f t="shared" si="7"/>
        <v>54179</v>
      </c>
    </row>
    <row r="104" spans="1:14" ht="11.25" customHeight="1" x14ac:dyDescent="0.3">
      <c r="A104" s="470">
        <v>97</v>
      </c>
      <c r="B104" s="442"/>
      <c r="C104" s="442"/>
      <c r="D104" s="442"/>
      <c r="E104" s="442"/>
      <c r="F104" s="442"/>
      <c r="G104" s="470">
        <f>G103+1</f>
        <v>9</v>
      </c>
      <c r="H104" s="470">
        <v>97</v>
      </c>
      <c r="I104" s="455">
        <f t="shared" ca="1" si="5"/>
        <v>4192031.9429799956</v>
      </c>
      <c r="J104" s="455">
        <f t="array" ref="J104">IFERROR(INDEX('Retirement Calculator'!K:K,MATCH('Lorri 401b'!N104,'Retirement Calculator'!A:A,0),0),0)</f>
        <v>22025.926519384055</v>
      </c>
      <c r="K104" s="455">
        <f t="shared" ca="1" si="2"/>
        <v>17375.025068585885</v>
      </c>
      <c r="L104" s="455">
        <f t="shared" ca="1" si="3"/>
        <v>4187381.0415291972</v>
      </c>
      <c r="M104" s="471">
        <f t="shared" si="6"/>
        <v>0.05</v>
      </c>
      <c r="N104" s="475">
        <f t="shared" si="7"/>
        <v>54210</v>
      </c>
    </row>
    <row r="105" spans="1:14" ht="11.25" customHeight="1" x14ac:dyDescent="0.3">
      <c r="A105" s="470">
        <v>98</v>
      </c>
      <c r="B105" s="442"/>
      <c r="C105" s="442"/>
      <c r="D105" s="442"/>
      <c r="E105" s="442"/>
      <c r="F105" s="442"/>
      <c r="G105" s="470">
        <f t="shared" ref="G105:G115" si="13">G104</f>
        <v>9</v>
      </c>
      <c r="H105" s="470">
        <v>98</v>
      </c>
      <c r="I105" s="455">
        <f t="shared" ca="1" si="5"/>
        <v>4187381.0415291972</v>
      </c>
      <c r="J105" s="455">
        <f t="array" ref="J105">IFERROR(INDEX('Retirement Calculator'!K:K,MATCH('Lorri 401b'!N105,'Retirement Calculator'!A:A,0),0),0)</f>
        <v>20282.026119384056</v>
      </c>
      <c r="K105" s="455">
        <f t="shared" ca="1" si="2"/>
        <v>17362.912564207556</v>
      </c>
      <c r="L105" s="455">
        <f t="shared" ca="1" si="3"/>
        <v>4184461.9279740206</v>
      </c>
      <c r="M105" s="471">
        <f t="shared" si="6"/>
        <v>0.05</v>
      </c>
      <c r="N105" s="475">
        <f t="shared" si="7"/>
        <v>54240</v>
      </c>
    </row>
    <row r="106" spans="1:14" ht="11.25" customHeight="1" x14ac:dyDescent="0.3">
      <c r="A106" s="470">
        <v>99</v>
      </c>
      <c r="B106" s="442"/>
      <c r="C106" s="442"/>
      <c r="D106" s="442"/>
      <c r="E106" s="442"/>
      <c r="F106" s="442"/>
      <c r="G106" s="470">
        <f t="shared" si="13"/>
        <v>9</v>
      </c>
      <c r="H106" s="470">
        <v>99</v>
      </c>
      <c r="I106" s="455">
        <f t="shared" ca="1" si="5"/>
        <v>4184461.9279740206</v>
      </c>
      <c r="J106" s="455">
        <f t="array" ref="J106">IFERROR(INDEX('Retirement Calculator'!K:K,MATCH('Lorri 401b'!N106,'Retirement Calculator'!A:A,0),0),0)</f>
        <v>20282.026119384056</v>
      </c>
      <c r="K106" s="455">
        <f t="shared" ca="1" si="2"/>
        <v>17350.749591060987</v>
      </c>
      <c r="L106" s="455">
        <f t="shared" ca="1" si="3"/>
        <v>4181530.6514456975</v>
      </c>
      <c r="M106" s="471">
        <f t="shared" si="6"/>
        <v>0.05</v>
      </c>
      <c r="N106" s="475">
        <f t="shared" si="7"/>
        <v>54271</v>
      </c>
    </row>
    <row r="107" spans="1:14" ht="11.25" customHeight="1" x14ac:dyDescent="0.3">
      <c r="A107" s="470">
        <v>100</v>
      </c>
      <c r="B107" s="442"/>
      <c r="C107" s="442"/>
      <c r="D107" s="442"/>
      <c r="E107" s="442"/>
      <c r="F107" s="442"/>
      <c r="G107" s="470">
        <f t="shared" si="13"/>
        <v>9</v>
      </c>
      <c r="H107" s="470">
        <v>100</v>
      </c>
      <c r="I107" s="455">
        <f t="shared" ca="1" si="5"/>
        <v>4181530.6514456975</v>
      </c>
      <c r="J107" s="455">
        <f t="array" ref="J107">IFERROR(INDEX('Retirement Calculator'!K:K,MATCH('Lorri 401b'!N107,'Retirement Calculator'!A:A,0),0),0)</f>
        <v>20282.026119384056</v>
      </c>
      <c r="K107" s="455">
        <f t="shared" ca="1" si="2"/>
        <v>17338.535938859641</v>
      </c>
      <c r="L107" s="455">
        <f t="shared" ca="1" si="3"/>
        <v>4178587.161265173</v>
      </c>
      <c r="M107" s="471">
        <f t="shared" si="6"/>
        <v>0.05</v>
      </c>
      <c r="N107" s="475">
        <f t="shared" si="7"/>
        <v>54302</v>
      </c>
    </row>
    <row r="108" spans="1:14" ht="11.25" customHeight="1" x14ac:dyDescent="0.3">
      <c r="A108" s="470">
        <v>101</v>
      </c>
      <c r="B108" s="442"/>
      <c r="C108" s="442"/>
      <c r="D108" s="442"/>
      <c r="E108" s="442"/>
      <c r="F108" s="442"/>
      <c r="G108" s="470">
        <f t="shared" si="13"/>
        <v>9</v>
      </c>
      <c r="H108" s="470">
        <v>101</v>
      </c>
      <c r="I108" s="455">
        <f t="shared" ca="1" si="5"/>
        <v>4178587.161265173</v>
      </c>
      <c r="J108" s="455">
        <f t="array" ref="J108">IFERROR(INDEX('Retirement Calculator'!K:K,MATCH('Lorri 401b'!N108,'Retirement Calculator'!A:A,0),0),0)</f>
        <v>20282.026119384056</v>
      </c>
      <c r="K108" s="455">
        <f t="shared" ca="1" si="2"/>
        <v>17326.271396440789</v>
      </c>
      <c r="L108" s="455">
        <f t="shared" ca="1" si="3"/>
        <v>4175631.4065422299</v>
      </c>
      <c r="M108" s="471">
        <f t="shared" si="6"/>
        <v>0.05</v>
      </c>
      <c r="N108" s="475">
        <f t="shared" si="7"/>
        <v>54332</v>
      </c>
    </row>
    <row r="109" spans="1:14" ht="11.25" customHeight="1" x14ac:dyDescent="0.3">
      <c r="A109" s="470">
        <v>102</v>
      </c>
      <c r="B109" s="442"/>
      <c r="C109" s="442"/>
      <c r="D109" s="442"/>
      <c r="E109" s="442"/>
      <c r="F109" s="442"/>
      <c r="G109" s="470">
        <f t="shared" si="13"/>
        <v>9</v>
      </c>
      <c r="H109" s="470">
        <v>102</v>
      </c>
      <c r="I109" s="455">
        <f t="shared" ca="1" si="5"/>
        <v>4175631.4065422299</v>
      </c>
      <c r="J109" s="455">
        <f t="array" ref="J109">IFERROR(INDEX('Retirement Calculator'!K:K,MATCH('Lorri 401b'!N109,'Retirement Calculator'!A:A,0),0),0)</f>
        <v>20282.026119384056</v>
      </c>
      <c r="K109" s="455">
        <f t="shared" ca="1" si="2"/>
        <v>17313.95575176186</v>
      </c>
      <c r="L109" s="455">
        <f t="shared" ca="1" si="3"/>
        <v>4172663.3361746077</v>
      </c>
      <c r="M109" s="471">
        <f t="shared" si="6"/>
        <v>0.05</v>
      </c>
      <c r="N109" s="475">
        <f t="shared" si="7"/>
        <v>54363</v>
      </c>
    </row>
    <row r="110" spans="1:14" ht="11.25" customHeight="1" x14ac:dyDescent="0.3">
      <c r="A110" s="470">
        <v>103</v>
      </c>
      <c r="B110" s="442"/>
      <c r="C110" s="442"/>
      <c r="D110" s="442"/>
      <c r="E110" s="442"/>
      <c r="F110" s="442"/>
      <c r="G110" s="470">
        <f t="shared" si="13"/>
        <v>9</v>
      </c>
      <c r="H110" s="470">
        <v>103</v>
      </c>
      <c r="I110" s="455">
        <f t="shared" ca="1" si="5"/>
        <v>4172663.3361746077</v>
      </c>
      <c r="J110" s="455">
        <f t="array" ref="J110">IFERROR(INDEX('Retirement Calculator'!K:K,MATCH('Lorri 401b'!N110,'Retirement Calculator'!A:A,0),0),0)</f>
        <v>20282.026119384056</v>
      </c>
      <c r="K110" s="455">
        <f t="shared" ca="1" si="2"/>
        <v>17301.588791896764</v>
      </c>
      <c r="L110" s="455">
        <f t="shared" ca="1" si="3"/>
        <v>4169682.8988471203</v>
      </c>
      <c r="M110" s="471">
        <f t="shared" si="6"/>
        <v>0.05</v>
      </c>
      <c r="N110" s="475">
        <f t="shared" si="7"/>
        <v>54393</v>
      </c>
    </row>
    <row r="111" spans="1:14" ht="11.25" customHeight="1" x14ac:dyDescent="0.3">
      <c r="A111" s="470">
        <v>104</v>
      </c>
      <c r="B111" s="442"/>
      <c r="C111" s="442"/>
      <c r="D111" s="442"/>
      <c r="E111" s="442"/>
      <c r="F111" s="442"/>
      <c r="G111" s="470">
        <f t="shared" si="13"/>
        <v>9</v>
      </c>
      <c r="H111" s="470">
        <v>104</v>
      </c>
      <c r="I111" s="455">
        <f t="shared" ca="1" si="5"/>
        <v>4169682.8988471203</v>
      </c>
      <c r="J111" s="455">
        <f t="array" ref="J111">IFERROR(INDEX('Retirement Calculator'!K:K,MATCH('Lorri 401b'!N111,'Retirement Calculator'!A:A,0),0),0)</f>
        <v>20282.026119384056</v>
      </c>
      <c r="K111" s="455">
        <f t="shared" ca="1" si="2"/>
        <v>17289.170303032235</v>
      </c>
      <c r="L111" s="455">
        <f t="shared" ca="1" si="3"/>
        <v>4166690.0430307686</v>
      </c>
      <c r="M111" s="471">
        <f t="shared" si="6"/>
        <v>0.05</v>
      </c>
      <c r="N111" s="475">
        <f t="shared" si="7"/>
        <v>54424</v>
      </c>
    </row>
    <row r="112" spans="1:14" ht="11.25" customHeight="1" x14ac:dyDescent="0.3">
      <c r="A112" s="470">
        <v>105</v>
      </c>
      <c r="B112" s="442"/>
      <c r="C112" s="442"/>
      <c r="D112" s="442"/>
      <c r="E112" s="442"/>
      <c r="F112" s="442"/>
      <c r="G112" s="470">
        <f t="shared" si="13"/>
        <v>9</v>
      </c>
      <c r="H112" s="470">
        <v>105</v>
      </c>
      <c r="I112" s="455">
        <f t="shared" ca="1" si="5"/>
        <v>4166690.0430307686</v>
      </c>
      <c r="J112" s="455">
        <f t="array" ref="J112">IFERROR(INDEX('Retirement Calculator'!K:K,MATCH('Lorri 401b'!N112,'Retirement Calculator'!A:A,0),0),0)</f>
        <v>20282.026119384056</v>
      </c>
      <c r="K112" s="455">
        <f t="shared" ca="1" si="2"/>
        <v>17276.7000704641</v>
      </c>
      <c r="L112" s="455">
        <f t="shared" ca="1" si="3"/>
        <v>4163684.7169818487</v>
      </c>
      <c r="M112" s="471">
        <f t="shared" si="6"/>
        <v>0.05</v>
      </c>
      <c r="N112" s="475">
        <f t="shared" si="7"/>
        <v>54455</v>
      </c>
    </row>
    <row r="113" spans="1:14" ht="11.25" customHeight="1" x14ac:dyDescent="0.3">
      <c r="A113" s="470">
        <v>106</v>
      </c>
      <c r="B113" s="442"/>
      <c r="C113" s="442"/>
      <c r="D113" s="442"/>
      <c r="E113" s="442"/>
      <c r="F113" s="442"/>
      <c r="G113" s="470">
        <f t="shared" si="13"/>
        <v>9</v>
      </c>
      <c r="H113" s="470">
        <v>106</v>
      </c>
      <c r="I113" s="455">
        <f t="shared" ca="1" si="5"/>
        <v>4163684.7169818487</v>
      </c>
      <c r="J113" s="455">
        <f t="array" ref="J113">IFERROR(INDEX('Retirement Calculator'!K:K,MATCH('Lorri 401b'!N113,'Retirement Calculator'!A:A,0),0),0)</f>
        <v>20282.026119384056</v>
      </c>
      <c r="K113" s="455">
        <f t="shared" ca="1" si="2"/>
        <v>17264.177878593604</v>
      </c>
      <c r="L113" s="455">
        <f t="shared" ca="1" si="3"/>
        <v>4160666.8687410583</v>
      </c>
      <c r="M113" s="471">
        <f t="shared" si="6"/>
        <v>0.05</v>
      </c>
      <c r="N113" s="475">
        <f t="shared" si="7"/>
        <v>54483</v>
      </c>
    </row>
    <row r="114" spans="1:14" ht="11.25" customHeight="1" x14ac:dyDescent="0.3">
      <c r="A114" s="470">
        <v>107</v>
      </c>
      <c r="B114" s="442"/>
      <c r="C114" s="442"/>
      <c r="D114" s="442"/>
      <c r="E114" s="442"/>
      <c r="F114" s="442"/>
      <c r="G114" s="470">
        <f t="shared" si="13"/>
        <v>9</v>
      </c>
      <c r="H114" s="470">
        <v>107</v>
      </c>
      <c r="I114" s="455">
        <f t="shared" ca="1" si="5"/>
        <v>4160666.8687410583</v>
      </c>
      <c r="J114" s="455">
        <f t="array" ref="J114">IFERROR(INDEX('Retirement Calculator'!K:K,MATCH('Lorri 401b'!N114,'Retirement Calculator'!A:A,0),0),0)</f>
        <v>20282.026119384056</v>
      </c>
      <c r="K114" s="455">
        <f t="shared" ca="1" si="2"/>
        <v>17251.603510923644</v>
      </c>
      <c r="L114" s="455">
        <f t="shared" ca="1" si="3"/>
        <v>4157636.446132598</v>
      </c>
      <c r="M114" s="471">
        <f t="shared" si="6"/>
        <v>0.05</v>
      </c>
      <c r="N114" s="475">
        <f t="shared" si="7"/>
        <v>54514</v>
      </c>
    </row>
    <row r="115" spans="1:14" ht="11.25" customHeight="1" x14ac:dyDescent="0.3">
      <c r="A115" s="470">
        <v>108</v>
      </c>
      <c r="B115" s="442"/>
      <c r="C115" s="442"/>
      <c r="D115" s="442"/>
      <c r="E115" s="442"/>
      <c r="F115" s="442"/>
      <c r="G115" s="470">
        <f t="shared" si="13"/>
        <v>9</v>
      </c>
      <c r="H115" s="470">
        <v>108</v>
      </c>
      <c r="I115" s="455">
        <f t="shared" ca="1" si="5"/>
        <v>4157636.446132598</v>
      </c>
      <c r="J115" s="455">
        <f t="array" ref="J115">IFERROR(INDEX('Retirement Calculator'!K:K,MATCH('Lorri 401b'!N115,'Retirement Calculator'!A:A,0),0),0)</f>
        <v>20282.026119384056</v>
      </c>
      <c r="K115" s="455">
        <f t="shared" ca="1" si="2"/>
        <v>17238.976750055055</v>
      </c>
      <c r="L115" s="455">
        <f t="shared" ca="1" si="3"/>
        <v>4154593.3967632689</v>
      </c>
      <c r="M115" s="471">
        <f t="shared" si="6"/>
        <v>0.05</v>
      </c>
      <c r="N115" s="475">
        <f t="shared" si="7"/>
        <v>54544</v>
      </c>
    </row>
    <row r="116" spans="1:14" ht="11.25" customHeight="1" x14ac:dyDescent="0.3">
      <c r="A116" s="470">
        <v>109</v>
      </c>
      <c r="B116" s="442"/>
      <c r="C116" s="442"/>
      <c r="D116" s="442"/>
      <c r="E116" s="442"/>
      <c r="F116" s="442"/>
      <c r="G116" s="470">
        <f>G115+1</f>
        <v>10</v>
      </c>
      <c r="H116" s="470">
        <v>109</v>
      </c>
      <c r="I116" s="455">
        <f t="shared" ca="1" si="5"/>
        <v>4154593.3967632689</v>
      </c>
      <c r="J116" s="455">
        <f t="array" ref="J116">IFERROR(INDEX('Retirement Calculator'!K:K,MATCH('Lorri 401b'!N116,'Retirement Calculator'!A:A,0),0),0)</f>
        <v>20282.026119384056</v>
      </c>
      <c r="K116" s="455">
        <f t="shared" ca="1" si="2"/>
        <v>17226.297377682851</v>
      </c>
      <c r="L116" s="455">
        <f t="shared" ca="1" si="3"/>
        <v>4151537.6680215676</v>
      </c>
      <c r="M116" s="471">
        <f t="shared" si="6"/>
        <v>0.05</v>
      </c>
      <c r="N116" s="475">
        <f t="shared" si="7"/>
        <v>54575</v>
      </c>
    </row>
    <row r="117" spans="1:14" ht="11.25" customHeight="1" x14ac:dyDescent="0.3">
      <c r="A117" s="470">
        <v>110</v>
      </c>
      <c r="B117" s="442"/>
      <c r="C117" s="442"/>
      <c r="D117" s="442"/>
      <c r="E117" s="442"/>
      <c r="F117" s="442"/>
      <c r="G117" s="470">
        <f t="shared" ref="G117:G127" si="14">G116</f>
        <v>10</v>
      </c>
      <c r="H117" s="470">
        <v>110</v>
      </c>
      <c r="I117" s="455">
        <f t="shared" ca="1" si="5"/>
        <v>4151537.6680215676</v>
      </c>
      <c r="J117" s="455">
        <f t="array" ref="J117">IFERROR(INDEX('Retirement Calculator'!K:K,MATCH('Lorri 401b'!N117,'Retirement Calculator'!A:A,0),0),0)</f>
        <v>20282.026119384056</v>
      </c>
      <c r="K117" s="455">
        <f t="shared" ca="1" si="2"/>
        <v>17213.565174592433</v>
      </c>
      <c r="L117" s="455">
        <f t="shared" ca="1" si="3"/>
        <v>4148469.2070767763</v>
      </c>
      <c r="M117" s="471">
        <f t="shared" si="6"/>
        <v>0.05</v>
      </c>
      <c r="N117" s="475">
        <f t="shared" si="7"/>
        <v>54605</v>
      </c>
    </row>
    <row r="118" spans="1:14" ht="11.25" customHeight="1" x14ac:dyDescent="0.3">
      <c r="A118" s="470">
        <v>111</v>
      </c>
      <c r="B118" s="442"/>
      <c r="C118" s="442"/>
      <c r="D118" s="442"/>
      <c r="E118" s="442"/>
      <c r="F118" s="442"/>
      <c r="G118" s="470">
        <f t="shared" si="14"/>
        <v>10</v>
      </c>
      <c r="H118" s="470">
        <v>111</v>
      </c>
      <c r="I118" s="455">
        <f t="shared" ca="1" si="5"/>
        <v>4148469.2070767763</v>
      </c>
      <c r="J118" s="455">
        <f t="array" ref="J118">IFERROR(INDEX('Retirement Calculator'!K:K,MATCH('Lorri 401b'!N118,'Retirement Calculator'!A:A,0),0),0)</f>
        <v>20282.026119384056</v>
      </c>
      <c r="K118" s="455">
        <f t="shared" ca="1" si="2"/>
        <v>17200.779920655797</v>
      </c>
      <c r="L118" s="455">
        <f t="shared" ca="1" si="3"/>
        <v>4145387.9608780481</v>
      </c>
      <c r="M118" s="471">
        <f t="shared" si="6"/>
        <v>0.05</v>
      </c>
      <c r="N118" s="475">
        <f t="shared" si="7"/>
        <v>54636</v>
      </c>
    </row>
    <row r="119" spans="1:14" ht="11.25" customHeight="1" x14ac:dyDescent="0.3">
      <c r="A119" s="470">
        <v>112</v>
      </c>
      <c r="B119" s="442"/>
      <c r="C119" s="442"/>
      <c r="D119" s="442"/>
      <c r="E119" s="442"/>
      <c r="F119" s="442"/>
      <c r="G119" s="470">
        <f t="shared" si="14"/>
        <v>10</v>
      </c>
      <c r="H119" s="470">
        <v>112</v>
      </c>
      <c r="I119" s="455">
        <f t="shared" ca="1" si="5"/>
        <v>4145387.9608780481</v>
      </c>
      <c r="J119" s="455">
        <f t="array" ref="J119">IFERROR(INDEX('Retirement Calculator'!K:K,MATCH('Lorri 401b'!N119,'Retirement Calculator'!A:A,0),0),0)</f>
        <v>20282.026119384056</v>
      </c>
      <c r="K119" s="455">
        <f t="shared" ca="1" si="2"/>
        <v>17187.941394827765</v>
      </c>
      <c r="L119" s="455">
        <f t="shared" ca="1" si="3"/>
        <v>4142293.8761534919</v>
      </c>
      <c r="M119" s="471">
        <f t="shared" si="6"/>
        <v>0.05</v>
      </c>
      <c r="N119" s="475">
        <f t="shared" si="7"/>
        <v>54667</v>
      </c>
    </row>
    <row r="120" spans="1:14" ht="11.25" customHeight="1" x14ac:dyDescent="0.3">
      <c r="A120" s="470">
        <v>113</v>
      </c>
      <c r="B120" s="442"/>
      <c r="C120" s="442"/>
      <c r="D120" s="442"/>
      <c r="E120" s="442"/>
      <c r="F120" s="442"/>
      <c r="G120" s="470">
        <f t="shared" si="14"/>
        <v>10</v>
      </c>
      <c r="H120" s="470">
        <v>113</v>
      </c>
      <c r="I120" s="455">
        <f t="shared" ca="1" si="5"/>
        <v>4142293.8761534919</v>
      </c>
      <c r="J120" s="455">
        <f t="array" ref="J120">IFERROR(INDEX('Retirement Calculator'!K:K,MATCH('Lorri 401b'!N120,'Retirement Calculator'!A:A,0),0),0)</f>
        <v>20282.026119384056</v>
      </c>
      <c r="K120" s="455">
        <f t="shared" ca="1" si="2"/>
        <v>17175.049375142116</v>
      </c>
      <c r="L120" s="455">
        <f t="shared" ca="1" si="3"/>
        <v>4139186.8994092499</v>
      </c>
      <c r="M120" s="471">
        <f t="shared" si="6"/>
        <v>0.05</v>
      </c>
      <c r="N120" s="475">
        <f t="shared" si="7"/>
        <v>54697</v>
      </c>
    </row>
    <row r="121" spans="1:14" ht="11.25" customHeight="1" x14ac:dyDescent="0.3">
      <c r="A121" s="470">
        <v>114</v>
      </c>
      <c r="B121" s="442"/>
      <c r="C121" s="442"/>
      <c r="D121" s="442"/>
      <c r="E121" s="442"/>
      <c r="F121" s="442"/>
      <c r="G121" s="470">
        <f t="shared" si="14"/>
        <v>10</v>
      </c>
      <c r="H121" s="470">
        <v>114</v>
      </c>
      <c r="I121" s="455">
        <f t="shared" ca="1" si="5"/>
        <v>4139186.8994092499</v>
      </c>
      <c r="J121" s="455">
        <f t="array" ref="J121">IFERROR(INDEX('Retirement Calculator'!K:K,MATCH('Lorri 401b'!N121,'Retirement Calculator'!A:A,0),0),0)</f>
        <v>20282.026119384056</v>
      </c>
      <c r="K121" s="455">
        <f t="shared" ca="1" si="2"/>
        <v>17162.103638707773</v>
      </c>
      <c r="L121" s="455">
        <f t="shared" ca="1" si="3"/>
        <v>4136066.9769285736</v>
      </c>
      <c r="M121" s="471">
        <f t="shared" si="6"/>
        <v>0.05</v>
      </c>
      <c r="N121" s="475">
        <f t="shared" si="7"/>
        <v>54728</v>
      </c>
    </row>
    <row r="122" spans="1:14" ht="11.25" customHeight="1" x14ac:dyDescent="0.3">
      <c r="A122" s="470">
        <v>115</v>
      </c>
      <c r="B122" s="442"/>
      <c r="C122" s="442"/>
      <c r="D122" s="442"/>
      <c r="E122" s="442"/>
      <c r="F122" s="442"/>
      <c r="G122" s="470">
        <f t="shared" si="14"/>
        <v>10</v>
      </c>
      <c r="H122" s="470">
        <v>115</v>
      </c>
      <c r="I122" s="455">
        <f t="shared" ca="1" si="5"/>
        <v>4136066.9769285736</v>
      </c>
      <c r="J122" s="455">
        <f t="array" ref="J122">IFERROR(INDEX('Retirement Calculator'!K:K,MATCH('Lorri 401b'!N122,'Retirement Calculator'!A:A,0),0),0)</f>
        <v>20282.026119384056</v>
      </c>
      <c r="K122" s="455">
        <f t="shared" ca="1" si="2"/>
        <v>17149.103961704957</v>
      </c>
      <c r="L122" s="455">
        <f t="shared" ca="1" si="3"/>
        <v>4132934.0547708943</v>
      </c>
      <c r="M122" s="471">
        <f t="shared" si="6"/>
        <v>0.05</v>
      </c>
      <c r="N122" s="475">
        <f t="shared" si="7"/>
        <v>54758</v>
      </c>
    </row>
    <row r="123" spans="1:14" ht="11.25" customHeight="1" x14ac:dyDescent="0.3">
      <c r="A123" s="470">
        <v>116</v>
      </c>
      <c r="B123" s="442"/>
      <c r="C123" s="442"/>
      <c r="D123" s="442"/>
      <c r="E123" s="442"/>
      <c r="F123" s="442"/>
      <c r="G123" s="470">
        <f t="shared" si="14"/>
        <v>10</v>
      </c>
      <c r="H123" s="470">
        <v>116</v>
      </c>
      <c r="I123" s="455">
        <f t="shared" ca="1" si="5"/>
        <v>4132934.0547708943</v>
      </c>
      <c r="J123" s="455">
        <f t="array" ref="J123">IFERROR(INDEX('Retirement Calculator'!K:K,MATCH('Lorri 401b'!N123,'Retirement Calculator'!A:A,0),0),0)</f>
        <v>20282.026119384056</v>
      </c>
      <c r="K123" s="455">
        <f t="shared" ca="1" si="2"/>
        <v>17136.050119381292</v>
      </c>
      <c r="L123" s="455">
        <f t="shared" ca="1" si="3"/>
        <v>4129788.0787708918</v>
      </c>
      <c r="M123" s="471">
        <f t="shared" si="6"/>
        <v>0.05</v>
      </c>
      <c r="N123" s="475">
        <f t="shared" si="7"/>
        <v>54789</v>
      </c>
    </row>
    <row r="124" spans="1:14" ht="11.25" customHeight="1" x14ac:dyDescent="0.3">
      <c r="A124" s="470">
        <v>117</v>
      </c>
      <c r="B124" s="442"/>
      <c r="C124" s="442"/>
      <c r="D124" s="442"/>
      <c r="E124" s="442"/>
      <c r="F124" s="442"/>
      <c r="G124" s="470">
        <f t="shared" si="14"/>
        <v>10</v>
      </c>
      <c r="H124" s="470">
        <v>117</v>
      </c>
      <c r="I124" s="455">
        <f t="shared" ca="1" si="5"/>
        <v>4129788.0787708918</v>
      </c>
      <c r="J124" s="455">
        <f t="array" ref="J124">IFERROR(INDEX('Retirement Calculator'!K:K,MATCH('Lorri 401b'!N124,'Retirement Calculator'!A:A,0),0),0)</f>
        <v>20282.026119384056</v>
      </c>
      <c r="K124" s="455">
        <f t="shared" ca="1" si="2"/>
        <v>17122.941886047949</v>
      </c>
      <c r="L124" s="455">
        <f t="shared" ca="1" si="3"/>
        <v>4126628.9945375556</v>
      </c>
      <c r="M124" s="471">
        <f t="shared" si="6"/>
        <v>0.05</v>
      </c>
      <c r="N124" s="475">
        <f t="shared" si="7"/>
        <v>54820</v>
      </c>
    </row>
    <row r="125" spans="1:14" ht="11.25" customHeight="1" x14ac:dyDescent="0.3">
      <c r="A125" s="470">
        <v>118</v>
      </c>
      <c r="B125" s="442"/>
      <c r="C125" s="442"/>
      <c r="D125" s="442"/>
      <c r="E125" s="442"/>
      <c r="F125" s="442"/>
      <c r="G125" s="470">
        <f t="shared" si="14"/>
        <v>10</v>
      </c>
      <c r="H125" s="470">
        <v>118</v>
      </c>
      <c r="I125" s="455">
        <f t="shared" ca="1" si="5"/>
        <v>4126628.9945375556</v>
      </c>
      <c r="J125" s="455">
        <f t="array" ref="J125">IFERROR(INDEX('Retirement Calculator'!K:K,MATCH('Lorri 401b'!N125,'Retirement Calculator'!A:A,0),0),0)</f>
        <v>20282.026119384056</v>
      </c>
      <c r="K125" s="455">
        <f t="shared" ca="1" si="2"/>
        <v>17109.779035075713</v>
      </c>
      <c r="L125" s="455">
        <f t="shared" ca="1" si="3"/>
        <v>4123456.7474532472</v>
      </c>
      <c r="M125" s="471">
        <f t="shared" si="6"/>
        <v>0.05</v>
      </c>
      <c r="N125" s="475">
        <f t="shared" si="7"/>
        <v>54848</v>
      </c>
    </row>
    <row r="126" spans="1:14" ht="11.25" customHeight="1" x14ac:dyDescent="0.3">
      <c r="A126" s="470">
        <v>119</v>
      </c>
      <c r="B126" s="442"/>
      <c r="C126" s="442"/>
      <c r="D126" s="442"/>
      <c r="E126" s="442"/>
      <c r="F126" s="442"/>
      <c r="G126" s="470">
        <f t="shared" si="14"/>
        <v>10</v>
      </c>
      <c r="H126" s="470">
        <v>119</v>
      </c>
      <c r="I126" s="455">
        <f t="shared" ca="1" si="5"/>
        <v>4123456.7474532472</v>
      </c>
      <c r="J126" s="455">
        <f t="array" ref="J126">IFERROR(INDEX('Retirement Calculator'!K:K,MATCH('Lorri 401b'!N126,'Retirement Calculator'!A:A,0),0),0)</f>
        <v>20282.026119384056</v>
      </c>
      <c r="K126" s="455">
        <f t="shared" ca="1" si="2"/>
        <v>17096.561338891097</v>
      </c>
      <c r="L126" s="455">
        <f t="shared" ca="1" si="3"/>
        <v>4120271.2826727545</v>
      </c>
      <c r="M126" s="471">
        <f t="shared" si="6"/>
        <v>0.05</v>
      </c>
      <c r="N126" s="475">
        <f t="shared" si="7"/>
        <v>54879</v>
      </c>
    </row>
    <row r="127" spans="1:14" ht="11.25" customHeight="1" x14ac:dyDescent="0.3">
      <c r="A127" s="470">
        <v>120</v>
      </c>
      <c r="B127" s="442"/>
      <c r="C127" s="442"/>
      <c r="D127" s="442"/>
      <c r="E127" s="442"/>
      <c r="F127" s="442"/>
      <c r="G127" s="470">
        <f t="shared" si="14"/>
        <v>10</v>
      </c>
      <c r="H127" s="470">
        <v>120</v>
      </c>
      <c r="I127" s="455">
        <f t="shared" ca="1" si="5"/>
        <v>4120271.2826727545</v>
      </c>
      <c r="J127" s="455">
        <f t="array" ref="J127">IFERROR(INDEX('Retirement Calculator'!K:K,MATCH('Lorri 401b'!N127,'Retirement Calculator'!A:A,0),0),0)</f>
        <v>20282.026119384056</v>
      </c>
      <c r="K127" s="455">
        <f t="shared" ca="1" si="2"/>
        <v>17083.288568972377</v>
      </c>
      <c r="L127" s="455">
        <f t="shared" ca="1" si="3"/>
        <v>4117072.5451223431</v>
      </c>
      <c r="M127" s="471">
        <f t="shared" si="6"/>
        <v>0.05</v>
      </c>
      <c r="N127" s="475">
        <f t="shared" si="7"/>
        <v>54909</v>
      </c>
    </row>
    <row r="128" spans="1:14" ht="11.25" customHeight="1" x14ac:dyDescent="0.3">
      <c r="A128" s="470">
        <v>121</v>
      </c>
      <c r="B128" s="442"/>
      <c r="C128" s="442"/>
      <c r="D128" s="442"/>
      <c r="E128" s="442"/>
      <c r="F128" s="442"/>
      <c r="G128" s="470">
        <f>G127+1</f>
        <v>11</v>
      </c>
      <c r="H128" s="470">
        <v>121</v>
      </c>
      <c r="I128" s="455">
        <f t="shared" ca="1" si="5"/>
        <v>4117072.5451223431</v>
      </c>
      <c r="J128" s="455">
        <f t="array" ref="J128">IFERROR(INDEX('Retirement Calculator'!K:K,MATCH('Lorri 401b'!N128,'Retirement Calculator'!A:A,0),0),0)</f>
        <v>20282.026119384056</v>
      </c>
      <c r="K128" s="455">
        <f t="shared" ca="1" si="2"/>
        <v>17069.960495845662</v>
      </c>
      <c r="L128" s="455">
        <f t="shared" ca="1" si="3"/>
        <v>4113860.479498805</v>
      </c>
      <c r="M128" s="471">
        <f t="shared" si="6"/>
        <v>0.05</v>
      </c>
      <c r="N128" s="475">
        <f t="shared" si="7"/>
        <v>54940</v>
      </c>
    </row>
    <row r="129" spans="1:14" ht="11.25" customHeight="1" x14ac:dyDescent="0.3">
      <c r="A129" s="470">
        <v>122</v>
      </c>
      <c r="B129" s="442"/>
      <c r="C129" s="442"/>
      <c r="D129" s="442"/>
      <c r="E129" s="442"/>
      <c r="F129" s="442"/>
      <c r="G129" s="470">
        <f t="shared" ref="G129:G139" si="15">G128</f>
        <v>11</v>
      </c>
      <c r="H129" s="470">
        <v>122</v>
      </c>
      <c r="I129" s="455">
        <f t="shared" ca="1" si="5"/>
        <v>4113860.479498805</v>
      </c>
      <c r="J129" s="455">
        <f t="array" ref="J129">IFERROR(INDEX('Retirement Calculator'!K:K,MATCH('Lorri 401b'!N129,'Retirement Calculator'!A:A,0),0),0)</f>
        <v>20282.026119384056</v>
      </c>
      <c r="K129" s="455">
        <f t="shared" ca="1" si="2"/>
        <v>17056.576889080919</v>
      </c>
      <c r="L129" s="455">
        <f t="shared" ca="1" si="3"/>
        <v>4110635.030268502</v>
      </c>
      <c r="M129" s="471">
        <f t="shared" si="6"/>
        <v>0.05</v>
      </c>
      <c r="N129" s="475">
        <f t="shared" si="7"/>
        <v>54970</v>
      </c>
    </row>
    <row r="130" spans="1:14" ht="11.25" customHeight="1" x14ac:dyDescent="0.3">
      <c r="A130" s="470">
        <v>123</v>
      </c>
      <c r="B130" s="442"/>
      <c r="C130" s="442"/>
      <c r="D130" s="442"/>
      <c r="E130" s="442"/>
      <c r="F130" s="442"/>
      <c r="G130" s="470">
        <f t="shared" si="15"/>
        <v>11</v>
      </c>
      <c r="H130" s="470">
        <v>123</v>
      </c>
      <c r="I130" s="455">
        <f t="shared" ca="1" si="5"/>
        <v>4110635.030268502</v>
      </c>
      <c r="J130" s="455">
        <f t="array" ref="J130">IFERROR(INDEX('Retirement Calculator'!K:K,MATCH('Lorri 401b'!N130,'Retirement Calculator'!A:A,0),0),0)</f>
        <v>20282.026119384056</v>
      </c>
      <c r="K130" s="455">
        <f t="shared" ca="1" si="2"/>
        <v>17043.137517287993</v>
      </c>
      <c r="L130" s="455">
        <f t="shared" ca="1" si="3"/>
        <v>4107396.1416664058</v>
      </c>
      <c r="M130" s="471">
        <f t="shared" si="6"/>
        <v>0.05</v>
      </c>
      <c r="N130" s="475">
        <f t="shared" si="7"/>
        <v>55001</v>
      </c>
    </row>
    <row r="131" spans="1:14" ht="11.25" customHeight="1" x14ac:dyDescent="0.3">
      <c r="A131" s="470">
        <v>124</v>
      </c>
      <c r="B131" s="442"/>
      <c r="C131" s="442"/>
      <c r="D131" s="442"/>
      <c r="E131" s="442"/>
      <c r="F131" s="442"/>
      <c r="G131" s="470">
        <f t="shared" si="15"/>
        <v>11</v>
      </c>
      <c r="H131" s="470">
        <v>124</v>
      </c>
      <c r="I131" s="455">
        <f t="shared" ca="1" si="5"/>
        <v>4107396.1416664058</v>
      </c>
      <c r="J131" s="455">
        <f t="array" ref="J131">IFERROR(INDEX('Retirement Calculator'!K:K,MATCH('Lorri 401b'!N131,'Retirement Calculator'!A:A,0),0),0)</f>
        <v>20282.026119384056</v>
      </c>
      <c r="K131" s="455">
        <f t="shared" ca="1" si="2"/>
        <v>17029.642148112591</v>
      </c>
      <c r="L131" s="455">
        <f t="shared" ca="1" si="3"/>
        <v>4104143.7576951343</v>
      </c>
      <c r="M131" s="471">
        <f t="shared" si="6"/>
        <v>0.05</v>
      </c>
      <c r="N131" s="475">
        <f t="shared" si="7"/>
        <v>55032</v>
      </c>
    </row>
    <row r="132" spans="1:14" ht="11.25" customHeight="1" x14ac:dyDescent="0.3">
      <c r="A132" s="470">
        <v>125</v>
      </c>
      <c r="B132" s="442"/>
      <c r="C132" s="442"/>
      <c r="D132" s="442"/>
      <c r="E132" s="442"/>
      <c r="F132" s="442"/>
      <c r="G132" s="470">
        <f t="shared" si="15"/>
        <v>11</v>
      </c>
      <c r="H132" s="470">
        <v>125</v>
      </c>
      <c r="I132" s="455">
        <f t="shared" ca="1" si="5"/>
        <v>4104143.7576951343</v>
      </c>
      <c r="J132" s="455">
        <f t="array" ref="J132">IFERROR(INDEX('Retirement Calculator'!K:K,MATCH('Lorri 401b'!N132,'Retirement Calculator'!A:A,0),0),0)</f>
        <v>20282.026119384056</v>
      </c>
      <c r="K132" s="455">
        <f t="shared" ca="1" si="2"/>
        <v>17016.090548232292</v>
      </c>
      <c r="L132" s="455">
        <f t="shared" ca="1" si="3"/>
        <v>4100877.8221239825</v>
      </c>
      <c r="M132" s="471">
        <f t="shared" si="6"/>
        <v>0.05</v>
      </c>
      <c r="N132" s="475">
        <f t="shared" si="7"/>
        <v>55062</v>
      </c>
    </row>
    <row r="133" spans="1:14" ht="11.25" customHeight="1" x14ac:dyDescent="0.3">
      <c r="A133" s="470">
        <v>126</v>
      </c>
      <c r="B133" s="442"/>
      <c r="C133" s="442"/>
      <c r="D133" s="442"/>
      <c r="E133" s="442"/>
      <c r="F133" s="442"/>
      <c r="G133" s="470">
        <f t="shared" si="15"/>
        <v>11</v>
      </c>
      <c r="H133" s="470">
        <v>126</v>
      </c>
      <c r="I133" s="455">
        <f t="shared" ca="1" si="5"/>
        <v>4100877.8221239825</v>
      </c>
      <c r="J133" s="455">
        <f t="array" ref="J133">IFERROR(INDEX('Retirement Calculator'!K:K,MATCH('Lorri 401b'!N133,'Retirement Calculator'!A:A,0),0),0)</f>
        <v>20282.026119384056</v>
      </c>
      <c r="K133" s="455">
        <f t="shared" ca="1" si="2"/>
        <v>17002.482483352491</v>
      </c>
      <c r="L133" s="455">
        <f t="shared" ca="1" si="3"/>
        <v>4097598.278487951</v>
      </c>
      <c r="M133" s="471">
        <f t="shared" si="6"/>
        <v>0.05</v>
      </c>
      <c r="N133" s="475">
        <f t="shared" si="7"/>
        <v>55093</v>
      </c>
    </row>
    <row r="134" spans="1:14" ht="11.25" customHeight="1" x14ac:dyDescent="0.3">
      <c r="A134" s="470">
        <v>127</v>
      </c>
      <c r="B134" s="442"/>
      <c r="C134" s="442"/>
      <c r="D134" s="442"/>
      <c r="E134" s="442"/>
      <c r="F134" s="442"/>
      <c r="G134" s="470">
        <f t="shared" si="15"/>
        <v>11</v>
      </c>
      <c r="H134" s="470">
        <v>127</v>
      </c>
      <c r="I134" s="455">
        <f t="shared" ca="1" si="5"/>
        <v>4097598.278487951</v>
      </c>
      <c r="J134" s="455">
        <f t="array" ref="J134">IFERROR(INDEX('Retirement Calculator'!K:K,MATCH('Lorri 401b'!N134,'Retirement Calculator'!A:A,0),0),0)</f>
        <v>20282.026119384056</v>
      </c>
      <c r="K134" s="455">
        <f t="shared" ca="1" si="2"/>
        <v>16988.817718202361</v>
      </c>
      <c r="L134" s="455">
        <f t="shared" ca="1" si="3"/>
        <v>4094305.0700867693</v>
      </c>
      <c r="M134" s="471">
        <f t="shared" si="6"/>
        <v>0.05</v>
      </c>
      <c r="N134" s="475">
        <f t="shared" si="7"/>
        <v>55123</v>
      </c>
    </row>
    <row r="135" spans="1:14" ht="11.25" customHeight="1" x14ac:dyDescent="0.3">
      <c r="A135" s="470">
        <v>128</v>
      </c>
      <c r="B135" s="442"/>
      <c r="C135" s="442"/>
      <c r="D135" s="442"/>
      <c r="E135" s="442"/>
      <c r="F135" s="442"/>
      <c r="G135" s="470">
        <f t="shared" si="15"/>
        <v>11</v>
      </c>
      <c r="H135" s="470">
        <v>128</v>
      </c>
      <c r="I135" s="455">
        <f t="shared" ca="1" si="5"/>
        <v>4094305.0700867693</v>
      </c>
      <c r="J135" s="455">
        <f t="array" ref="J135">IFERROR(INDEX('Retirement Calculator'!K:K,MATCH('Lorri 401b'!N135,'Retirement Calculator'!A:A,0),0),0)</f>
        <v>20282.026119384056</v>
      </c>
      <c r="K135" s="455">
        <f t="shared" ca="1" si="2"/>
        <v>16975.096016530773</v>
      </c>
      <c r="L135" s="455">
        <f t="shared" ca="1" si="3"/>
        <v>4090998.1399839162</v>
      </c>
      <c r="M135" s="471">
        <f t="shared" si="6"/>
        <v>0.05</v>
      </c>
      <c r="N135" s="475">
        <f t="shared" si="7"/>
        <v>55154</v>
      </c>
    </row>
    <row r="136" spans="1:14" ht="11.25" customHeight="1" x14ac:dyDescent="0.3">
      <c r="A136" s="470">
        <v>129</v>
      </c>
      <c r="B136" s="442"/>
      <c r="C136" s="442"/>
      <c r="D136" s="442"/>
      <c r="E136" s="442"/>
      <c r="F136" s="442"/>
      <c r="G136" s="470">
        <f t="shared" si="15"/>
        <v>11</v>
      </c>
      <c r="H136" s="470">
        <v>129</v>
      </c>
      <c r="I136" s="455">
        <f t="shared" ca="1" si="5"/>
        <v>4090998.1399839162</v>
      </c>
      <c r="J136" s="455">
        <f t="array" ref="J136">IFERROR(INDEX('Retirement Calculator'!K:K,MATCH('Lorri 401b'!N136,'Retirement Calculator'!A:A,0),0),0)</f>
        <v>20282.026119384056</v>
      </c>
      <c r="K136" s="455">
        <f t="shared" ca="1" si="2"/>
        <v>16961.317141102216</v>
      </c>
      <c r="L136" s="455">
        <f t="shared" ca="1" si="3"/>
        <v>4087677.4310056344</v>
      </c>
      <c r="M136" s="471">
        <f t="shared" si="6"/>
        <v>0.05</v>
      </c>
      <c r="N136" s="475">
        <f t="shared" si="7"/>
        <v>55185</v>
      </c>
    </row>
    <row r="137" spans="1:14" ht="11.25" customHeight="1" x14ac:dyDescent="0.3">
      <c r="A137" s="470"/>
      <c r="B137" s="442"/>
      <c r="C137" s="442"/>
      <c r="D137" s="442"/>
      <c r="E137" s="442"/>
      <c r="F137" s="442"/>
      <c r="G137" s="470">
        <f t="shared" si="15"/>
        <v>11</v>
      </c>
      <c r="H137" s="470">
        <v>130</v>
      </c>
      <c r="I137" s="455">
        <f t="shared" ca="1" si="5"/>
        <v>4087677.4310056344</v>
      </c>
      <c r="J137" s="455">
        <f t="array" ref="J137">IFERROR(INDEX('Retirement Calculator'!K:K,MATCH('Lorri 401b'!N137,'Retirement Calculator'!A:A,0),0),0)</f>
        <v>20282.026119384056</v>
      </c>
      <c r="K137" s="455">
        <f t="shared" ca="1" si="2"/>
        <v>16947.480853692708</v>
      </c>
      <c r="L137" s="455">
        <f t="shared" ca="1" si="3"/>
        <v>4084342.885739943</v>
      </c>
      <c r="M137" s="471">
        <f t="shared" si="6"/>
        <v>0.05</v>
      </c>
      <c r="N137" s="475">
        <f t="shared" si="7"/>
        <v>55213</v>
      </c>
    </row>
    <row r="138" spans="1:14" ht="11.25" customHeight="1" x14ac:dyDescent="0.3">
      <c r="A138" s="470"/>
      <c r="B138" s="442"/>
      <c r="C138" s="442"/>
      <c r="D138" s="442"/>
      <c r="E138" s="442"/>
      <c r="F138" s="442"/>
      <c r="G138" s="470">
        <f t="shared" si="15"/>
        <v>11</v>
      </c>
      <c r="H138" s="470">
        <v>131</v>
      </c>
      <c r="I138" s="455">
        <f t="shared" ca="1" si="5"/>
        <v>4084342.885739943</v>
      </c>
      <c r="J138" s="455">
        <f t="array" ref="J138">IFERROR(INDEX('Retirement Calculator'!K:K,MATCH('Lorri 401b'!N138,'Retirement Calculator'!A:A,0),0),0)</f>
        <v>20282.026119384056</v>
      </c>
      <c r="K138" s="455">
        <f t="shared" ca="1" si="2"/>
        <v>16933.58691508566</v>
      </c>
      <c r="L138" s="455">
        <f t="shared" ca="1" si="3"/>
        <v>4080994.4465356446</v>
      </c>
      <c r="M138" s="471">
        <f t="shared" si="6"/>
        <v>0.05</v>
      </c>
      <c r="N138" s="475">
        <f t="shared" si="7"/>
        <v>55244</v>
      </c>
    </row>
    <row r="139" spans="1:14" ht="11.25" customHeight="1" x14ac:dyDescent="0.3">
      <c r="A139" s="470"/>
      <c r="B139" s="442"/>
      <c r="C139" s="442"/>
      <c r="D139" s="442"/>
      <c r="E139" s="442"/>
      <c r="F139" s="442"/>
      <c r="G139" s="470">
        <f t="shared" si="15"/>
        <v>11</v>
      </c>
      <c r="H139" s="470">
        <v>132</v>
      </c>
      <c r="I139" s="455">
        <f t="shared" ca="1" si="5"/>
        <v>4080994.4465356446</v>
      </c>
      <c r="J139" s="455">
        <f t="array" ref="J139">IFERROR(INDEX('Retirement Calculator'!K:K,MATCH('Lorri 401b'!N139,'Retirement Calculator'!A:A,0),0),0)</f>
        <v>20282.026119384056</v>
      </c>
      <c r="K139" s="455">
        <f t="shared" ca="1" si="2"/>
        <v>16919.635085067752</v>
      </c>
      <c r="L139" s="455">
        <f t="shared" ca="1" si="3"/>
        <v>4077632.0555013283</v>
      </c>
      <c r="M139" s="471">
        <f t="shared" si="6"/>
        <v>0.05</v>
      </c>
      <c r="N139" s="475">
        <f t="shared" si="7"/>
        <v>55274</v>
      </c>
    </row>
    <row r="140" spans="1:14" ht="11.25" customHeight="1" x14ac:dyDescent="0.3">
      <c r="A140" s="470"/>
      <c r="B140" s="442"/>
      <c r="C140" s="442"/>
      <c r="D140" s="442"/>
      <c r="E140" s="442"/>
      <c r="F140" s="442"/>
      <c r="G140" s="470">
        <f>G139+1</f>
        <v>12</v>
      </c>
      <c r="H140" s="470">
        <v>133</v>
      </c>
      <c r="I140" s="455">
        <f t="shared" ca="1" si="5"/>
        <v>4077632.0555013283</v>
      </c>
      <c r="J140" s="455">
        <f t="array" ref="J140">IFERROR(INDEX('Retirement Calculator'!K:K,MATCH('Lorri 401b'!N140,'Retirement Calculator'!A:A,0),0),0)</f>
        <v>20282.026119384056</v>
      </c>
      <c r="K140" s="455">
        <f t="shared" ca="1" si="2"/>
        <v>16905.625122424768</v>
      </c>
      <c r="L140" s="455">
        <f t="shared" ca="1" si="3"/>
        <v>4074255.654504369</v>
      </c>
      <c r="M140" s="471">
        <f t="shared" si="6"/>
        <v>0.05</v>
      </c>
      <c r="N140" s="475">
        <f t="shared" si="7"/>
        <v>55305</v>
      </c>
    </row>
    <row r="141" spans="1:14" ht="11.25" customHeight="1" x14ac:dyDescent="0.3">
      <c r="A141" s="470"/>
      <c r="B141" s="442"/>
      <c r="C141" s="442"/>
      <c r="D141" s="442"/>
      <c r="E141" s="442"/>
      <c r="F141" s="442"/>
      <c r="G141" s="470">
        <f t="shared" ref="G141:G151" si="16">G140</f>
        <v>12</v>
      </c>
      <c r="H141" s="470">
        <v>134</v>
      </c>
      <c r="I141" s="455">
        <f t="shared" ca="1" si="5"/>
        <v>4074255.654504369</v>
      </c>
      <c r="J141" s="455">
        <f t="array" ref="J141">IFERROR(INDEX('Retirement Calculator'!K:K,MATCH('Lorri 401b'!N141,'Retirement Calculator'!A:A,0),0),0)</f>
        <v>20282.026119384056</v>
      </c>
      <c r="K141" s="455">
        <f t="shared" ca="1" si="2"/>
        <v>16891.556784937438</v>
      </c>
      <c r="L141" s="455">
        <f t="shared" ca="1" si="3"/>
        <v>4070865.1851699227</v>
      </c>
      <c r="M141" s="471">
        <f t="shared" si="6"/>
        <v>0.05</v>
      </c>
      <c r="N141" s="475">
        <f t="shared" si="7"/>
        <v>55335</v>
      </c>
    </row>
    <row r="142" spans="1:14" ht="11.25" customHeight="1" x14ac:dyDescent="0.3">
      <c r="A142" s="470"/>
      <c r="B142" s="442"/>
      <c r="C142" s="442"/>
      <c r="D142" s="442"/>
      <c r="E142" s="442"/>
      <c r="F142" s="442"/>
      <c r="G142" s="470">
        <f t="shared" si="16"/>
        <v>12</v>
      </c>
      <c r="H142" s="470">
        <v>135</v>
      </c>
      <c r="I142" s="455">
        <f t="shared" ca="1" si="5"/>
        <v>4070865.1851699227</v>
      </c>
      <c r="J142" s="455">
        <f t="array" ref="J142">IFERROR(INDEX('Retirement Calculator'!K:K,MATCH('Lorri 401b'!N142,'Retirement Calculator'!A:A,0),0),0)</f>
        <v>20282.026119384056</v>
      </c>
      <c r="K142" s="455">
        <f t="shared" ca="1" si="2"/>
        <v>16877.429829377244</v>
      </c>
      <c r="L142" s="455">
        <f t="shared" ca="1" si="3"/>
        <v>4067460.5888799159</v>
      </c>
      <c r="M142" s="471">
        <f t="shared" si="6"/>
        <v>0.05</v>
      </c>
      <c r="N142" s="475">
        <f t="shared" si="7"/>
        <v>55366</v>
      </c>
    </row>
    <row r="143" spans="1:14" ht="11.25" customHeight="1" x14ac:dyDescent="0.3">
      <c r="A143" s="470"/>
      <c r="B143" s="442"/>
      <c r="C143" s="442"/>
      <c r="D143" s="442"/>
      <c r="E143" s="442"/>
      <c r="F143" s="442"/>
      <c r="G143" s="470">
        <f t="shared" si="16"/>
        <v>12</v>
      </c>
      <c r="H143" s="470">
        <v>136</v>
      </c>
      <c r="I143" s="455">
        <f t="shared" ca="1" si="5"/>
        <v>4067460.5888799159</v>
      </c>
      <c r="J143" s="455">
        <f t="array" ref="J143">IFERROR(INDEX('Retirement Calculator'!K:K,MATCH('Lorri 401b'!N143,'Retirement Calculator'!A:A,0),0),0)</f>
        <v>20282.026119384056</v>
      </c>
      <c r="K143" s="455">
        <f t="shared" ca="1" si="2"/>
        <v>16863.244011502215</v>
      </c>
      <c r="L143" s="455">
        <f t="shared" ca="1" si="3"/>
        <v>4064041.8067720341</v>
      </c>
      <c r="M143" s="471">
        <f t="shared" si="6"/>
        <v>0.05</v>
      </c>
      <c r="N143" s="475">
        <f t="shared" si="7"/>
        <v>55397</v>
      </c>
    </row>
    <row r="144" spans="1:14" ht="11.25" customHeight="1" x14ac:dyDescent="0.3">
      <c r="A144" s="470"/>
      <c r="B144" s="442"/>
      <c r="C144" s="442"/>
      <c r="D144" s="442"/>
      <c r="E144" s="442"/>
      <c r="F144" s="442"/>
      <c r="G144" s="470">
        <f t="shared" si="16"/>
        <v>12</v>
      </c>
      <c r="H144" s="470">
        <v>137</v>
      </c>
      <c r="I144" s="455">
        <f t="shared" ca="1" si="5"/>
        <v>4064041.8067720341</v>
      </c>
      <c r="J144" s="455">
        <f t="array" ref="J144">IFERROR(INDEX('Retirement Calculator'!K:K,MATCH('Lorri 401b'!N144,'Retirement Calculator'!A:A,0),0),0)</f>
        <v>20282.026119384056</v>
      </c>
      <c r="K144" s="455">
        <f t="shared" ca="1" si="2"/>
        <v>16848.99908605271</v>
      </c>
      <c r="L144" s="455">
        <f t="shared" ca="1" si="3"/>
        <v>4060608.7797387028</v>
      </c>
      <c r="M144" s="471">
        <f t="shared" si="6"/>
        <v>0.05</v>
      </c>
      <c r="N144" s="475">
        <f t="shared" si="7"/>
        <v>55427</v>
      </c>
    </row>
    <row r="145" spans="7:14" ht="11.25" customHeight="1" x14ac:dyDescent="0.3">
      <c r="G145" s="470">
        <f t="shared" si="16"/>
        <v>12</v>
      </c>
      <c r="H145" s="470">
        <v>138</v>
      </c>
      <c r="I145" s="455">
        <f t="shared" ca="1" si="5"/>
        <v>4060608.7797387028</v>
      </c>
      <c r="J145" s="455">
        <f t="array" ref="J145">IFERROR(INDEX('Retirement Calculator'!K:K,MATCH('Lorri 401b'!N145,'Retirement Calculator'!A:A,0),0),0)</f>
        <v>20282.026119384056</v>
      </c>
      <c r="K145" s="455">
        <f t="shared" ca="1" si="2"/>
        <v>16834.694806747164</v>
      </c>
      <c r="L145" s="455">
        <f t="shared" ca="1" si="3"/>
        <v>4057161.448426066</v>
      </c>
      <c r="M145" s="471">
        <f t="shared" si="6"/>
        <v>0.05</v>
      </c>
      <c r="N145" s="475">
        <f t="shared" si="7"/>
        <v>55458</v>
      </c>
    </row>
    <row r="146" spans="7:14" ht="11.25" customHeight="1" x14ac:dyDescent="0.3">
      <c r="G146" s="470">
        <f t="shared" si="16"/>
        <v>12</v>
      </c>
      <c r="H146" s="470">
        <v>139</v>
      </c>
      <c r="I146" s="455">
        <f t="shared" ca="1" si="5"/>
        <v>4057161.448426066</v>
      </c>
      <c r="J146" s="455">
        <f t="array" ref="J146">IFERROR(INDEX('Retirement Calculator'!K:K,MATCH('Lorri 401b'!N146,'Retirement Calculator'!A:A,0),0),0)</f>
        <v>20282.026119384056</v>
      </c>
      <c r="K146" s="455">
        <f t="shared" ca="1" si="2"/>
        <v>16820.330926277842</v>
      </c>
      <c r="L146" s="455">
        <f t="shared" ca="1" si="3"/>
        <v>4053699.7532329597</v>
      </c>
      <c r="M146" s="471">
        <f t="shared" si="6"/>
        <v>0.05</v>
      </c>
      <c r="N146" s="475">
        <f t="shared" si="7"/>
        <v>55488</v>
      </c>
    </row>
    <row r="147" spans="7:14" ht="11.25" customHeight="1" x14ac:dyDescent="0.3">
      <c r="G147" s="470">
        <f t="shared" si="16"/>
        <v>12</v>
      </c>
      <c r="H147" s="470">
        <v>140</v>
      </c>
      <c r="I147" s="455">
        <f t="shared" ca="1" si="5"/>
        <v>4053699.7532329597</v>
      </c>
      <c r="J147" s="455">
        <f t="array" ref="J147">IFERROR(INDEX('Retirement Calculator'!K:K,MATCH('Lorri 401b'!N147,'Retirement Calculator'!A:A,0),0),0)</f>
        <v>20282.026119384056</v>
      </c>
      <c r="K147" s="455">
        <f t="shared" ca="1" si="2"/>
        <v>16805.907196306565</v>
      </c>
      <c r="L147" s="455">
        <f t="shared" ca="1" si="3"/>
        <v>4050223.6343098823</v>
      </c>
      <c r="M147" s="471">
        <f t="shared" si="6"/>
        <v>0.05</v>
      </c>
      <c r="N147" s="475">
        <f t="shared" si="7"/>
        <v>55519</v>
      </c>
    </row>
    <row r="148" spans="7:14" ht="11.25" customHeight="1" x14ac:dyDescent="0.3">
      <c r="G148" s="470">
        <f t="shared" si="16"/>
        <v>12</v>
      </c>
      <c r="H148" s="470">
        <v>141</v>
      </c>
      <c r="I148" s="455">
        <f t="shared" ca="1" si="5"/>
        <v>4050223.6343098823</v>
      </c>
      <c r="J148" s="455">
        <f t="array" ref="J148">IFERROR(INDEX('Retirement Calculator'!K:K,MATCH('Lorri 401b'!N148,'Retirement Calculator'!A:A,0),0),0)</f>
        <v>20282.026119384056</v>
      </c>
      <c r="K148" s="455">
        <f t="shared" ca="1" si="2"/>
        <v>16791.423367460411</v>
      </c>
      <c r="L148" s="455">
        <f t="shared" ca="1" si="3"/>
        <v>4046733.0315579586</v>
      </c>
      <c r="M148" s="471">
        <f t="shared" si="6"/>
        <v>0.05</v>
      </c>
      <c r="N148" s="475">
        <f t="shared" si="7"/>
        <v>55550</v>
      </c>
    </row>
    <row r="149" spans="7:14" ht="11.25" customHeight="1" x14ac:dyDescent="0.3">
      <c r="G149" s="470">
        <f t="shared" si="16"/>
        <v>12</v>
      </c>
      <c r="H149" s="470">
        <v>142</v>
      </c>
      <c r="I149" s="455">
        <f t="shared" ca="1" si="5"/>
        <v>4046733.0315579586</v>
      </c>
      <c r="J149" s="455">
        <f t="array" ref="J149">IFERROR(INDEX('Retirement Calculator'!K:K,MATCH('Lorri 401b'!N149,'Retirement Calculator'!A:A,0),0),0)</f>
        <v>20282.026119384056</v>
      </c>
      <c r="K149" s="455">
        <f t="shared" ca="1" si="2"/>
        <v>16776.879189327396</v>
      </c>
      <c r="L149" s="455">
        <f t="shared" ca="1" si="3"/>
        <v>4043227.8846279019</v>
      </c>
      <c r="M149" s="471">
        <f t="shared" si="6"/>
        <v>0.05</v>
      </c>
      <c r="N149" s="475">
        <f t="shared" si="7"/>
        <v>55579</v>
      </c>
    </row>
    <row r="150" spans="7:14" ht="11.25" customHeight="1" x14ac:dyDescent="0.3">
      <c r="G150" s="470">
        <f t="shared" si="16"/>
        <v>12</v>
      </c>
      <c r="H150" s="470">
        <v>143</v>
      </c>
      <c r="I150" s="455">
        <f t="shared" ca="1" si="5"/>
        <v>4043227.8846279019</v>
      </c>
      <c r="J150" s="455">
        <f t="array" ref="J150">IFERROR(INDEX('Retirement Calculator'!K:K,MATCH('Lorri 401b'!N150,'Retirement Calculator'!A:A,0),0),0)</f>
        <v>20282.026119384056</v>
      </c>
      <c r="K150" s="455">
        <f t="shared" ca="1" si="2"/>
        <v>16762.274410452159</v>
      </c>
      <c r="L150" s="455">
        <f t="shared" ca="1" si="3"/>
        <v>4039708.1329189702</v>
      </c>
      <c r="M150" s="471">
        <f t="shared" si="6"/>
        <v>0.05</v>
      </c>
      <c r="N150" s="475">
        <f t="shared" si="7"/>
        <v>55610</v>
      </c>
    </row>
    <row r="151" spans="7:14" ht="11.25" customHeight="1" x14ac:dyDescent="0.3">
      <c r="G151" s="470">
        <f t="shared" si="16"/>
        <v>12</v>
      </c>
      <c r="H151" s="470">
        <v>144</v>
      </c>
      <c r="I151" s="455">
        <f t="shared" ca="1" si="5"/>
        <v>4039708.1329189702</v>
      </c>
      <c r="J151" s="455">
        <f t="array" ref="J151">IFERROR(INDEX('Retirement Calculator'!K:K,MATCH('Lorri 401b'!N151,'Retirement Calculator'!A:A,0),0),0)</f>
        <v>20282.026119384056</v>
      </c>
      <c r="K151" s="455">
        <f t="shared" ca="1" si="2"/>
        <v>16747.608778331611</v>
      </c>
      <c r="L151" s="455">
        <f t="shared" ca="1" si="3"/>
        <v>4036173.7155779176</v>
      </c>
      <c r="M151" s="471">
        <f t="shared" si="6"/>
        <v>0.05</v>
      </c>
      <c r="N151" s="475">
        <f t="shared" si="7"/>
        <v>55640</v>
      </c>
    </row>
    <row r="152" spans="7:14" ht="11.25" customHeight="1" x14ac:dyDescent="0.3">
      <c r="G152" s="470">
        <f>G151+1</f>
        <v>13</v>
      </c>
      <c r="H152" s="470">
        <v>145</v>
      </c>
      <c r="I152" s="455">
        <f t="shared" ca="1" si="5"/>
        <v>4036173.7155779176</v>
      </c>
      <c r="J152" s="455">
        <f t="array" ref="J152">IFERROR(INDEX('Retirement Calculator'!K:K,MATCH('Lorri 401b'!N152,'Retirement Calculator'!A:A,0),0),0)</f>
        <v>20282.026119384056</v>
      </c>
      <c r="K152" s="455">
        <f t="shared" ca="1" si="2"/>
        <v>16732.882039410557</v>
      </c>
      <c r="L152" s="455">
        <f t="shared" ca="1" si="3"/>
        <v>4032624.5714979442</v>
      </c>
      <c r="M152" s="471">
        <f t="shared" si="6"/>
        <v>0.05</v>
      </c>
      <c r="N152" s="475">
        <f t="shared" si="7"/>
        <v>55671</v>
      </c>
    </row>
    <row r="153" spans="7:14" ht="11.25" customHeight="1" x14ac:dyDescent="0.3">
      <c r="G153" s="470">
        <f t="shared" ref="G153:G163" si="17">G152</f>
        <v>13</v>
      </c>
      <c r="H153" s="470">
        <v>146</v>
      </c>
      <c r="I153" s="455">
        <f t="shared" ca="1" si="5"/>
        <v>4032624.5714979442</v>
      </c>
      <c r="J153" s="455">
        <f t="array" ref="J153">IFERROR(INDEX('Retirement Calculator'!K:K,MATCH('Lorri 401b'!N153,'Retirement Calculator'!A:A,0),0),0)</f>
        <v>20282.026119384056</v>
      </c>
      <c r="K153" s="455">
        <f t="shared" ca="1" si="2"/>
        <v>16718.093939077335</v>
      </c>
      <c r="L153" s="455">
        <f t="shared" ca="1" si="3"/>
        <v>4029060.6393176373</v>
      </c>
      <c r="M153" s="471">
        <f t="shared" si="6"/>
        <v>0.05</v>
      </c>
      <c r="N153" s="475">
        <f t="shared" si="7"/>
        <v>55701</v>
      </c>
    </row>
    <row r="154" spans="7:14" ht="11.25" customHeight="1" x14ac:dyDescent="0.3">
      <c r="G154" s="470">
        <f t="shared" si="17"/>
        <v>13</v>
      </c>
      <c r="H154" s="470">
        <v>147</v>
      </c>
      <c r="I154" s="455">
        <f t="shared" ca="1" si="5"/>
        <v>4029060.6393176373</v>
      </c>
      <c r="J154" s="455">
        <f t="array" ref="J154">IFERROR(INDEX('Retirement Calculator'!K:K,MATCH('Lorri 401b'!N154,'Retirement Calculator'!A:A,0),0),0)</f>
        <v>20282.026119384056</v>
      </c>
      <c r="K154" s="455">
        <f t="shared" ca="1" si="2"/>
        <v>16703.244221659388</v>
      </c>
      <c r="L154" s="455">
        <f t="shared" ca="1" si="3"/>
        <v>4025481.8574199127</v>
      </c>
      <c r="M154" s="471">
        <f t="shared" si="6"/>
        <v>0.05</v>
      </c>
      <c r="N154" s="475">
        <f t="shared" si="7"/>
        <v>55732</v>
      </c>
    </row>
    <row r="155" spans="7:14" ht="11.25" customHeight="1" x14ac:dyDescent="0.3">
      <c r="G155" s="470">
        <f t="shared" si="17"/>
        <v>13</v>
      </c>
      <c r="H155" s="470">
        <v>148</v>
      </c>
      <c r="I155" s="455">
        <f t="shared" ca="1" si="5"/>
        <v>4025481.8574199127</v>
      </c>
      <c r="J155" s="455">
        <f t="array" ref="J155">IFERROR(INDEX('Retirement Calculator'!K:K,MATCH('Lorri 401b'!N155,'Retirement Calculator'!A:A,0),0),0)</f>
        <v>20282.026119384056</v>
      </c>
      <c r="K155" s="455">
        <f t="shared" ca="1" si="2"/>
        <v>16688.33263041887</v>
      </c>
      <c r="L155" s="455">
        <f t="shared" ca="1" si="3"/>
        <v>4021888.1639309474</v>
      </c>
      <c r="M155" s="471">
        <f t="shared" si="6"/>
        <v>0.05</v>
      </c>
      <c r="N155" s="475">
        <f t="shared" si="7"/>
        <v>55763</v>
      </c>
    </row>
    <row r="156" spans="7:14" ht="11.25" customHeight="1" x14ac:dyDescent="0.3">
      <c r="G156" s="470">
        <f t="shared" si="17"/>
        <v>13</v>
      </c>
      <c r="H156" s="470">
        <v>149</v>
      </c>
      <c r="I156" s="455">
        <f t="shared" ca="1" si="5"/>
        <v>4021888.1639309474</v>
      </c>
      <c r="J156" s="455">
        <f t="array" ref="J156">IFERROR(INDEX('Retirement Calculator'!K:K,MATCH('Lorri 401b'!N156,'Retirement Calculator'!A:A,0),0),0)</f>
        <v>20282.026119384056</v>
      </c>
      <c r="K156" s="455">
        <f t="shared" ca="1" si="2"/>
        <v>16673.35890754818</v>
      </c>
      <c r="L156" s="455">
        <f t="shared" ca="1" si="3"/>
        <v>4018279.4967191117</v>
      </c>
      <c r="M156" s="471">
        <f t="shared" si="6"/>
        <v>0.05</v>
      </c>
      <c r="N156" s="475">
        <f t="shared" si="7"/>
        <v>55793</v>
      </c>
    </row>
    <row r="157" spans="7:14" ht="11.25" customHeight="1" x14ac:dyDescent="0.3">
      <c r="G157" s="470">
        <f t="shared" si="17"/>
        <v>13</v>
      </c>
      <c r="H157" s="470">
        <v>150</v>
      </c>
      <c r="I157" s="455">
        <f t="shared" ca="1" si="5"/>
        <v>4018279.4967191117</v>
      </c>
      <c r="J157" s="455">
        <f t="array" ref="J157">IFERROR(INDEX('Retirement Calculator'!K:K,MATCH('Lorri 401b'!N157,'Retirement Calculator'!A:A,0),0),0)</f>
        <v>20282.026119384056</v>
      </c>
      <c r="K157" s="455">
        <f t="shared" ca="1" si="2"/>
        <v>16658.322794165535</v>
      </c>
      <c r="L157" s="455">
        <f t="shared" ca="1" si="3"/>
        <v>4014655.7933938932</v>
      </c>
      <c r="M157" s="471">
        <f t="shared" si="6"/>
        <v>0.05</v>
      </c>
      <c r="N157" s="475">
        <f t="shared" si="7"/>
        <v>55824</v>
      </c>
    </row>
    <row r="158" spans="7:14" ht="11.25" customHeight="1" x14ac:dyDescent="0.3">
      <c r="G158" s="470">
        <f t="shared" si="17"/>
        <v>13</v>
      </c>
      <c r="H158" s="470">
        <v>151</v>
      </c>
      <c r="I158" s="455">
        <f t="shared" ca="1" si="5"/>
        <v>4014655.7933938932</v>
      </c>
      <c r="J158" s="455">
        <f t="array" ref="J158">IFERROR(INDEX('Retirement Calculator'!K:K,MATCH('Lorri 401b'!N158,'Retirement Calculator'!A:A,0),0),0)</f>
        <v>20282.026119384056</v>
      </c>
      <c r="K158" s="455">
        <f t="shared" ca="1" si="2"/>
        <v>16643.224030310455</v>
      </c>
      <c r="L158" s="455">
        <f t="shared" ca="1" si="3"/>
        <v>4011016.9913048195</v>
      </c>
      <c r="M158" s="471">
        <f t="shared" si="6"/>
        <v>0.05</v>
      </c>
      <c r="N158" s="475">
        <f t="shared" si="7"/>
        <v>55854</v>
      </c>
    </row>
    <row r="159" spans="7:14" ht="11.25" customHeight="1" x14ac:dyDescent="0.3">
      <c r="G159" s="470">
        <f t="shared" si="17"/>
        <v>13</v>
      </c>
      <c r="H159" s="470">
        <v>152</v>
      </c>
      <c r="I159" s="455">
        <f t="shared" ca="1" si="5"/>
        <v>4011016.9913048195</v>
      </c>
      <c r="J159" s="455">
        <f t="array" ref="J159">IFERROR(INDEX('Retirement Calculator'!K:K,MATCH('Lorri 401b'!N159,'Retirement Calculator'!A:A,0),0),0)</f>
        <v>20282.026119384056</v>
      </c>
      <c r="K159" s="455">
        <f t="shared" ca="1" si="2"/>
        <v>16628.062354939313</v>
      </c>
      <c r="L159" s="455">
        <f t="shared" ca="1" si="3"/>
        <v>4007363.027540375</v>
      </c>
      <c r="M159" s="471">
        <f t="shared" si="6"/>
        <v>0.05</v>
      </c>
      <c r="N159" s="475">
        <f t="shared" si="7"/>
        <v>55885</v>
      </c>
    </row>
    <row r="160" spans="7:14" ht="11.25" customHeight="1" x14ac:dyDescent="0.3">
      <c r="G160" s="470">
        <f t="shared" si="17"/>
        <v>13</v>
      </c>
      <c r="H160" s="470">
        <v>153</v>
      </c>
      <c r="I160" s="455">
        <f t="shared" ca="1" si="5"/>
        <v>4007363.027540375</v>
      </c>
      <c r="J160" s="455">
        <f t="array" ref="J160">IFERROR(INDEX('Retirement Calculator'!K:K,MATCH('Lorri 401b'!N160,'Retirement Calculator'!A:A,0),0),0)</f>
        <v>20282.026119384056</v>
      </c>
      <c r="K160" s="455">
        <f t="shared" ca="1" si="2"/>
        <v>16612.837505920797</v>
      </c>
      <c r="L160" s="455">
        <f t="shared" ca="1" si="3"/>
        <v>4003693.8389269118</v>
      </c>
      <c r="M160" s="471">
        <f t="shared" si="6"/>
        <v>0.05</v>
      </c>
      <c r="N160" s="475">
        <f t="shared" si="7"/>
        <v>55916</v>
      </c>
    </row>
    <row r="161" spans="7:14" ht="11.25" customHeight="1" x14ac:dyDescent="0.3">
      <c r="G161" s="470">
        <f t="shared" si="17"/>
        <v>13</v>
      </c>
      <c r="H161" s="470">
        <v>154</v>
      </c>
      <c r="I161" s="455">
        <f t="shared" ca="1" si="5"/>
        <v>4003693.8389269118</v>
      </c>
      <c r="J161" s="455">
        <f t="array" ref="J161">IFERROR(INDEX('Retirement Calculator'!K:K,MATCH('Lorri 401b'!N161,'Retirement Calculator'!A:A,0),0),0)</f>
        <v>20282.026119384056</v>
      </c>
      <c r="K161" s="455">
        <f t="shared" ca="1" si="2"/>
        <v>16597.549220031367</v>
      </c>
      <c r="L161" s="455">
        <f t="shared" ca="1" si="3"/>
        <v>4000009.3620275594</v>
      </c>
      <c r="M161" s="471">
        <f t="shared" si="6"/>
        <v>0.05</v>
      </c>
      <c r="N161" s="475">
        <f t="shared" si="7"/>
        <v>55944</v>
      </c>
    </row>
    <row r="162" spans="7:14" ht="11.25" customHeight="1" x14ac:dyDescent="0.3">
      <c r="G162" s="470">
        <f t="shared" si="17"/>
        <v>13</v>
      </c>
      <c r="H162" s="470">
        <v>155</v>
      </c>
      <c r="I162" s="455">
        <f t="shared" ca="1" si="5"/>
        <v>4000009.3620275594</v>
      </c>
      <c r="J162" s="455">
        <f t="array" ref="J162">IFERROR(INDEX('Retirement Calculator'!K:K,MATCH('Lorri 401b'!N162,'Retirement Calculator'!A:A,0),0),0)</f>
        <v>20282.026119384056</v>
      </c>
      <c r="K162" s="455">
        <f t="shared" ca="1" si="2"/>
        <v>16582.19723295073</v>
      </c>
      <c r="L162" s="455">
        <f t="shared" ca="1" si="3"/>
        <v>3996309.5331411264</v>
      </c>
      <c r="M162" s="471">
        <f t="shared" si="6"/>
        <v>0.05</v>
      </c>
      <c r="N162" s="475">
        <f t="shared" si="7"/>
        <v>55975</v>
      </c>
    </row>
    <row r="163" spans="7:14" ht="11.25" customHeight="1" x14ac:dyDescent="0.3">
      <c r="G163" s="470">
        <f t="shared" si="17"/>
        <v>13</v>
      </c>
      <c r="H163" s="470">
        <v>156</v>
      </c>
      <c r="I163" s="455">
        <f t="shared" ca="1" si="5"/>
        <v>3996309.5331411264</v>
      </c>
      <c r="J163" s="455">
        <f t="array" ref="J163">IFERROR(INDEX('Retirement Calculator'!K:K,MATCH('Lorri 401b'!N163,'Retirement Calculator'!A:A,0),0),0)</f>
        <v>20282.026119384056</v>
      </c>
      <c r="K163" s="455">
        <f t="shared" ca="1" si="2"/>
        <v>16566.781279257259</v>
      </c>
      <c r="L163" s="455">
        <f t="shared" ca="1" si="3"/>
        <v>3992594.2883009994</v>
      </c>
      <c r="M163" s="471">
        <f t="shared" si="6"/>
        <v>0.05</v>
      </c>
      <c r="N163" s="475">
        <f t="shared" si="7"/>
        <v>56005</v>
      </c>
    </row>
    <row r="164" spans="7:14" ht="11.25" customHeight="1" x14ac:dyDescent="0.3">
      <c r="G164" s="470">
        <f>G163+1</f>
        <v>14</v>
      </c>
      <c r="H164" s="470">
        <v>157</v>
      </c>
      <c r="I164" s="455">
        <f t="shared" ca="1" si="5"/>
        <v>3992594.2883009994</v>
      </c>
      <c r="J164" s="455">
        <f t="array" ref="J164">IFERROR(INDEX('Retirement Calculator'!K:K,MATCH('Lorri 401b'!N164,'Retirement Calculator'!A:A,0),0),0)</f>
        <v>20282.026119384056</v>
      </c>
      <c r="K164" s="455">
        <f t="shared" ca="1" si="2"/>
        <v>16551.301092423397</v>
      </c>
      <c r="L164" s="455">
        <f t="shared" ca="1" si="3"/>
        <v>3988863.563274039</v>
      </c>
      <c r="M164" s="471">
        <f t="shared" si="6"/>
        <v>0.05</v>
      </c>
      <c r="N164" s="475">
        <f t="shared" si="7"/>
        <v>56036</v>
      </c>
    </row>
    <row r="165" spans="7:14" ht="11.25" customHeight="1" x14ac:dyDescent="0.3">
      <c r="G165" s="470">
        <f t="shared" ref="G165:G175" si="18">G164</f>
        <v>14</v>
      </c>
      <c r="H165" s="470">
        <v>158</v>
      </c>
      <c r="I165" s="455">
        <f t="shared" ca="1" si="5"/>
        <v>3988863.563274039</v>
      </c>
      <c r="J165" s="455">
        <f t="array" ref="J165">IFERROR(INDEX('Retirement Calculator'!K:K,MATCH('Lorri 401b'!N165,'Retirement Calculator'!A:A,0),0),0)</f>
        <v>20282.026119384056</v>
      </c>
      <c r="K165" s="455">
        <f t="shared" ca="1" si="2"/>
        <v>16535.756404811062</v>
      </c>
      <c r="L165" s="455">
        <f t="shared" ca="1" si="3"/>
        <v>3985117.293559466</v>
      </c>
      <c r="M165" s="471">
        <f t="shared" si="6"/>
        <v>0.05</v>
      </c>
      <c r="N165" s="475">
        <f t="shared" si="7"/>
        <v>56066</v>
      </c>
    </row>
    <row r="166" spans="7:14" ht="11.25" customHeight="1" x14ac:dyDescent="0.3">
      <c r="G166" s="470">
        <f t="shared" si="18"/>
        <v>14</v>
      </c>
      <c r="H166" s="470">
        <v>159</v>
      </c>
      <c r="I166" s="455">
        <f t="shared" ca="1" si="5"/>
        <v>3985117.293559466</v>
      </c>
      <c r="J166" s="455">
        <f t="array" ref="J166">IFERROR(INDEX('Retirement Calculator'!K:K,MATCH('Lorri 401b'!N166,'Retirement Calculator'!A:A,0),0),0)</f>
        <v>20282.026119384056</v>
      </c>
      <c r="K166" s="455">
        <f t="shared" ca="1" si="2"/>
        <v>16520.14694766701</v>
      </c>
      <c r="L166" s="455">
        <f t="shared" ca="1" si="3"/>
        <v>3981355.414387749</v>
      </c>
      <c r="M166" s="471">
        <f t="shared" si="6"/>
        <v>0.05</v>
      </c>
      <c r="N166" s="475">
        <f t="shared" si="7"/>
        <v>56097</v>
      </c>
    </row>
    <row r="167" spans="7:14" ht="11.25" customHeight="1" x14ac:dyDescent="0.3">
      <c r="G167" s="470">
        <f t="shared" si="18"/>
        <v>14</v>
      </c>
      <c r="H167" s="470">
        <v>160</v>
      </c>
      <c r="I167" s="455">
        <f t="shared" ca="1" si="5"/>
        <v>3981355.414387749</v>
      </c>
      <c r="J167" s="455">
        <f t="array" ref="J167">IFERROR(INDEX('Retirement Calculator'!K:K,MATCH('Lorri 401b'!N167,'Retirement Calculator'!A:A,0),0),0)</f>
        <v>20282.026119384056</v>
      </c>
      <c r="K167" s="455">
        <f t="shared" ca="1" si="2"/>
        <v>16504.472451118188</v>
      </c>
      <c r="L167" s="455">
        <f t="shared" ca="1" si="3"/>
        <v>3977577.8607194833</v>
      </c>
      <c r="M167" s="471">
        <f t="shared" si="6"/>
        <v>0.05</v>
      </c>
      <c r="N167" s="475">
        <f t="shared" si="7"/>
        <v>56128</v>
      </c>
    </row>
    <row r="168" spans="7:14" ht="11.25" customHeight="1" x14ac:dyDescent="0.3">
      <c r="G168" s="470">
        <f t="shared" si="18"/>
        <v>14</v>
      </c>
      <c r="H168" s="470">
        <v>161</v>
      </c>
      <c r="I168" s="455">
        <f t="shared" ca="1" si="5"/>
        <v>3977577.8607194833</v>
      </c>
      <c r="J168" s="455">
        <f t="array" ref="J168">IFERROR(INDEX('Retirement Calculator'!K:K,MATCH('Lorri 401b'!N168,'Retirement Calculator'!A:A,0),0),0)</f>
        <v>20282.026119384056</v>
      </c>
      <c r="K168" s="455">
        <f t="shared" ca="1" si="2"/>
        <v>16488.732644167078</v>
      </c>
      <c r="L168" s="455">
        <f t="shared" ca="1" si="3"/>
        <v>3973784.5672442666</v>
      </c>
      <c r="M168" s="471">
        <f t="shared" si="6"/>
        <v>0.05</v>
      </c>
      <c r="N168" s="475">
        <f t="shared" si="7"/>
        <v>56158</v>
      </c>
    </row>
    <row r="169" spans="7:14" ht="11.25" customHeight="1" x14ac:dyDescent="0.3">
      <c r="G169" s="470">
        <f t="shared" si="18"/>
        <v>14</v>
      </c>
      <c r="H169" s="470">
        <v>162</v>
      </c>
      <c r="I169" s="455">
        <f t="shared" ca="1" si="5"/>
        <v>3973784.5672442666</v>
      </c>
      <c r="J169" s="455">
        <f t="array" ref="J169">IFERROR(INDEX('Retirement Calculator'!K:K,MATCH('Lorri 401b'!N169,'Retirement Calculator'!A:A,0),0),0)</f>
        <v>20282.026119384056</v>
      </c>
      <c r="K169" s="455">
        <f t="shared" ca="1" si="2"/>
        <v>16472.927254687009</v>
      </c>
      <c r="L169" s="455">
        <f t="shared" ca="1" si="3"/>
        <v>3969975.4683795697</v>
      </c>
      <c r="M169" s="471">
        <f t="shared" si="6"/>
        <v>0.05</v>
      </c>
      <c r="N169" s="475">
        <f t="shared" si="7"/>
        <v>56189</v>
      </c>
    </row>
    <row r="170" spans="7:14" ht="11.25" customHeight="1" x14ac:dyDescent="0.3">
      <c r="G170" s="470">
        <f t="shared" si="18"/>
        <v>14</v>
      </c>
      <c r="H170" s="470">
        <v>163</v>
      </c>
      <c r="I170" s="455">
        <f t="shared" ca="1" si="5"/>
        <v>3969975.4683795697</v>
      </c>
      <c r="J170" s="455">
        <f t="array" ref="J170">IFERROR(INDEX('Retirement Calculator'!K:K,MATCH('Lorri 401b'!N170,'Retirement Calculator'!A:A,0),0),0)</f>
        <v>20282.026119384056</v>
      </c>
      <c r="K170" s="455">
        <f t="shared" ca="1" si="2"/>
        <v>16457.05600941744</v>
      </c>
      <c r="L170" s="455">
        <f t="shared" ca="1" si="3"/>
        <v>3966150.4982696031</v>
      </c>
      <c r="M170" s="471">
        <f t="shared" si="6"/>
        <v>0.05</v>
      </c>
      <c r="N170" s="475">
        <f t="shared" si="7"/>
        <v>56219</v>
      </c>
    </row>
    <row r="171" spans="7:14" ht="11.25" customHeight="1" x14ac:dyDescent="0.3">
      <c r="G171" s="470">
        <f t="shared" si="18"/>
        <v>14</v>
      </c>
      <c r="H171" s="470">
        <v>164</v>
      </c>
      <c r="I171" s="455">
        <f t="shared" ca="1" si="5"/>
        <v>3966150.4982696031</v>
      </c>
      <c r="J171" s="455">
        <f t="array" ref="J171">IFERROR(INDEX('Retirement Calculator'!K:K,MATCH('Lorri 401b'!N171,'Retirement Calculator'!A:A,0),0),0)</f>
        <v>20282.026119384056</v>
      </c>
      <c r="K171" s="455">
        <f t="shared" ca="1" si="2"/>
        <v>16441.118633959246</v>
      </c>
      <c r="L171" s="455">
        <f t="shared" ca="1" si="3"/>
        <v>3962309.5907841786</v>
      </c>
      <c r="M171" s="471">
        <f t="shared" si="6"/>
        <v>0.05</v>
      </c>
      <c r="N171" s="475">
        <f t="shared" si="7"/>
        <v>56250</v>
      </c>
    </row>
    <row r="172" spans="7:14" ht="11.25" customHeight="1" x14ac:dyDescent="0.3">
      <c r="G172" s="470">
        <f t="shared" si="18"/>
        <v>14</v>
      </c>
      <c r="H172" s="470">
        <v>165</v>
      </c>
      <c r="I172" s="455">
        <f t="shared" ca="1" si="5"/>
        <v>3962309.5907841786</v>
      </c>
      <c r="J172" s="455">
        <f t="array" ref="J172">IFERROR(INDEX('Retirement Calculator'!K:K,MATCH('Lorri 401b'!N172,'Retirement Calculator'!A:A,0),0),0)</f>
        <v>20282.026119384056</v>
      </c>
      <c r="K172" s="455">
        <f t="shared" ca="1" si="2"/>
        <v>16425.114852769977</v>
      </c>
      <c r="L172" s="455">
        <f t="shared" ca="1" si="3"/>
        <v>3958452.6795175644</v>
      </c>
      <c r="M172" s="471">
        <f t="shared" si="6"/>
        <v>0.05</v>
      </c>
      <c r="N172" s="475">
        <f t="shared" si="7"/>
        <v>56281</v>
      </c>
    </row>
    <row r="173" spans="7:14" ht="11.25" customHeight="1" x14ac:dyDescent="0.3">
      <c r="G173" s="470">
        <f t="shared" si="18"/>
        <v>14</v>
      </c>
      <c r="H173" s="470">
        <v>166</v>
      </c>
      <c r="I173" s="455">
        <f t="shared" ca="1" si="5"/>
        <v>3958452.6795175644</v>
      </c>
      <c r="J173" s="455">
        <f t="array" ref="J173">IFERROR(INDEX('Retirement Calculator'!K:K,MATCH('Lorri 401b'!N173,'Retirement Calculator'!A:A,0),0),0)</f>
        <v>20282.026119384056</v>
      </c>
      <c r="K173" s="455">
        <f t="shared" ca="1" si="2"/>
        <v>16409.044389159084</v>
      </c>
      <c r="L173" s="455">
        <f t="shared" ca="1" si="3"/>
        <v>3954579.6977873393</v>
      </c>
      <c r="M173" s="471">
        <f t="shared" si="6"/>
        <v>0.05</v>
      </c>
      <c r="N173" s="475">
        <f t="shared" si="7"/>
        <v>56309</v>
      </c>
    </row>
    <row r="174" spans="7:14" ht="11.25" customHeight="1" x14ac:dyDescent="0.3">
      <c r="G174" s="470">
        <f t="shared" si="18"/>
        <v>14</v>
      </c>
      <c r="H174" s="470">
        <v>167</v>
      </c>
      <c r="I174" s="455">
        <f t="shared" ca="1" si="5"/>
        <v>3954579.6977873393</v>
      </c>
      <c r="J174" s="455">
        <f t="array" ref="J174">IFERROR(INDEX('Retirement Calculator'!K:K,MATCH('Lorri 401b'!N174,'Retirement Calculator'!A:A,0),0),0)</f>
        <v>20282.026119384056</v>
      </c>
      <c r="K174" s="455">
        <f t="shared" ca="1" si="2"/>
        <v>16392.906965283149</v>
      </c>
      <c r="L174" s="455">
        <f t="shared" ca="1" si="3"/>
        <v>3950690.5786332386</v>
      </c>
      <c r="M174" s="471">
        <f t="shared" si="6"/>
        <v>0.05</v>
      </c>
      <c r="N174" s="475">
        <f t="shared" si="7"/>
        <v>56340</v>
      </c>
    </row>
    <row r="175" spans="7:14" ht="11.25" customHeight="1" x14ac:dyDescent="0.3">
      <c r="G175" s="470">
        <f t="shared" si="18"/>
        <v>14</v>
      </c>
      <c r="H175" s="470">
        <v>168</v>
      </c>
      <c r="I175" s="455">
        <f t="shared" ca="1" si="5"/>
        <v>3950690.5786332386</v>
      </c>
      <c r="J175" s="455">
        <f t="array" ref="J175">IFERROR(INDEX('Retirement Calculator'!K:K,MATCH('Lorri 401b'!N175,'Retirement Calculator'!A:A,0),0),0)</f>
        <v>20282.026119384056</v>
      </c>
      <c r="K175" s="455">
        <f t="shared" ca="1" si="2"/>
        <v>16376.70230214106</v>
      </c>
      <c r="L175" s="455">
        <f t="shared" ca="1" si="3"/>
        <v>3946785.2548159957</v>
      </c>
      <c r="M175" s="471">
        <f t="shared" si="6"/>
        <v>0.05</v>
      </c>
      <c r="N175" s="475">
        <f t="shared" si="7"/>
        <v>56370</v>
      </c>
    </row>
    <row r="176" spans="7:14" ht="11.25" customHeight="1" x14ac:dyDescent="0.3">
      <c r="G176" s="470">
        <f>G175+1</f>
        <v>15</v>
      </c>
      <c r="H176" s="470">
        <v>169</v>
      </c>
      <c r="I176" s="455">
        <f t="shared" ca="1" si="5"/>
        <v>3946785.2548159957</v>
      </c>
      <c r="J176" s="455">
        <f t="array" ref="J176">IFERROR(INDEX('Retirement Calculator'!K:K,MATCH('Lorri 401b'!N176,'Retirement Calculator'!A:A,0),0),0)</f>
        <v>20282.026119384056</v>
      </c>
      <c r="K176" s="455">
        <f t="shared" ca="1" si="2"/>
        <v>16360.430119569213</v>
      </c>
      <c r="L176" s="455">
        <f t="shared" ca="1" si="3"/>
        <v>3942863.6588161811</v>
      </c>
      <c r="M176" s="471">
        <f t="shared" si="6"/>
        <v>0.05</v>
      </c>
      <c r="N176" s="475">
        <f t="shared" si="7"/>
        <v>56401</v>
      </c>
    </row>
    <row r="177" spans="7:14" ht="11.25" customHeight="1" x14ac:dyDescent="0.3">
      <c r="G177" s="470">
        <f t="shared" ref="G177:G187" si="19">G176</f>
        <v>15</v>
      </c>
      <c r="H177" s="470">
        <v>170</v>
      </c>
      <c r="I177" s="455">
        <f t="shared" ca="1" si="5"/>
        <v>3942863.6588161811</v>
      </c>
      <c r="J177" s="455">
        <f t="array" ref="J177">IFERROR(INDEX('Retirement Calculator'!K:K,MATCH('Lorri 401b'!N177,'Retirement Calculator'!A:A,0),0),0)</f>
        <v>20282.026119384056</v>
      </c>
      <c r="K177" s="455">
        <f t="shared" ca="1" si="2"/>
        <v>16344.090136236655</v>
      </c>
      <c r="L177" s="455">
        <f t="shared" ca="1" si="3"/>
        <v>3938925.7228330337</v>
      </c>
      <c r="M177" s="471">
        <f t="shared" si="6"/>
        <v>0.05</v>
      </c>
      <c r="N177" s="475">
        <f t="shared" si="7"/>
        <v>56431</v>
      </c>
    </row>
    <row r="178" spans="7:14" ht="11.25" customHeight="1" x14ac:dyDescent="0.3">
      <c r="G178" s="470">
        <f t="shared" si="19"/>
        <v>15</v>
      </c>
      <c r="H178" s="470">
        <v>171</v>
      </c>
      <c r="I178" s="455">
        <f t="shared" ca="1" si="5"/>
        <v>3938925.7228330337</v>
      </c>
      <c r="J178" s="455">
        <f t="array" ref="J178">IFERROR(INDEX('Retirement Calculator'!K:K,MATCH('Lorri 401b'!N178,'Retirement Calculator'!A:A,0),0),0)</f>
        <v>20282.026119384056</v>
      </c>
      <c r="K178" s="455">
        <f t="shared" ca="1" si="2"/>
        <v>16327.682069640208</v>
      </c>
      <c r="L178" s="455">
        <f t="shared" ca="1" si="3"/>
        <v>3934971.3787832898</v>
      </c>
      <c r="M178" s="471">
        <f t="shared" si="6"/>
        <v>0.05</v>
      </c>
      <c r="N178" s="475">
        <f t="shared" si="7"/>
        <v>56462</v>
      </c>
    </row>
    <row r="179" spans="7:14" ht="11.25" customHeight="1" x14ac:dyDescent="0.3">
      <c r="G179" s="470">
        <f t="shared" si="19"/>
        <v>15</v>
      </c>
      <c r="H179" s="470">
        <v>172</v>
      </c>
      <c r="I179" s="455">
        <f t="shared" ca="1" si="5"/>
        <v>3934971.3787832898</v>
      </c>
      <c r="J179" s="455">
        <f t="array" ref="J179">IFERROR(INDEX('Retirement Calculator'!K:K,MATCH('Lorri 401b'!N179,'Retirement Calculator'!A:A,0),0),0)</f>
        <v>20282.026119384056</v>
      </c>
      <c r="K179" s="455">
        <f t="shared" ca="1" si="2"/>
        <v>16311.205636099605</v>
      </c>
      <c r="L179" s="455">
        <f t="shared" ca="1" si="3"/>
        <v>3931000.5583000053</v>
      </c>
      <c r="M179" s="471">
        <f t="shared" si="6"/>
        <v>0.05</v>
      </c>
      <c r="N179" s="475">
        <f t="shared" si="7"/>
        <v>56493</v>
      </c>
    </row>
    <row r="180" spans="7:14" ht="11.25" customHeight="1" x14ac:dyDescent="0.3">
      <c r="G180" s="470">
        <f t="shared" si="19"/>
        <v>15</v>
      </c>
      <c r="H180" s="470">
        <v>173</v>
      </c>
      <c r="I180" s="455">
        <f t="shared" ca="1" si="5"/>
        <v>3931000.5583000053</v>
      </c>
      <c r="J180" s="455">
        <f t="array" ref="J180">IFERROR(INDEX('Retirement Calculator'!K:K,MATCH('Lorri 401b'!N180,'Retirement Calculator'!A:A,0),0),0)</f>
        <v>20282.026119384056</v>
      </c>
      <c r="K180" s="455">
        <f t="shared" ca="1" si="2"/>
        <v>16294.660550752589</v>
      </c>
      <c r="L180" s="455">
        <f t="shared" ca="1" si="3"/>
        <v>3927013.1927313739</v>
      </c>
      <c r="M180" s="471">
        <f t="shared" si="6"/>
        <v>0.05</v>
      </c>
      <c r="N180" s="475">
        <f t="shared" si="7"/>
        <v>56523</v>
      </c>
    </row>
    <row r="181" spans="7:14" ht="11.25" customHeight="1" x14ac:dyDescent="0.3">
      <c r="G181" s="470">
        <f t="shared" si="19"/>
        <v>15</v>
      </c>
      <c r="H181" s="470">
        <v>174</v>
      </c>
      <c r="I181" s="455">
        <f t="shared" ca="1" si="5"/>
        <v>3927013.1927313739</v>
      </c>
      <c r="J181" s="455">
        <f t="array" ref="J181">IFERROR(INDEX('Retirement Calculator'!K:K,MATCH('Lorri 401b'!N181,'Retirement Calculator'!A:A,0),0),0)</f>
        <v>20282.026119384056</v>
      </c>
      <c r="K181" s="455">
        <f t="shared" ca="1" si="2"/>
        <v>16278.046527549959</v>
      </c>
      <c r="L181" s="455">
        <f t="shared" ca="1" si="3"/>
        <v>3923009.2131395401</v>
      </c>
      <c r="M181" s="471">
        <f t="shared" si="6"/>
        <v>0.05</v>
      </c>
      <c r="N181" s="475">
        <f t="shared" si="7"/>
        <v>56554</v>
      </c>
    </row>
    <row r="182" spans="7:14" ht="11.25" customHeight="1" x14ac:dyDescent="0.3">
      <c r="G182" s="470">
        <f t="shared" si="19"/>
        <v>15</v>
      </c>
      <c r="H182" s="470">
        <v>175</v>
      </c>
      <c r="I182" s="455">
        <f t="shared" ca="1" si="5"/>
        <v>3923009.2131395401</v>
      </c>
      <c r="J182" s="455">
        <f t="array" ref="J182">IFERROR(INDEX('Retirement Calculator'!K:K,MATCH('Lorri 401b'!N182,'Retirement Calculator'!A:A,0),0),0)</f>
        <v>20282.026119384056</v>
      </c>
      <c r="K182" s="455">
        <f t="shared" ca="1" si="2"/>
        <v>16261.363279250651</v>
      </c>
      <c r="L182" s="455">
        <f t="shared" ca="1" si="3"/>
        <v>3918988.5502994065</v>
      </c>
      <c r="M182" s="471">
        <f t="shared" si="6"/>
        <v>0.05</v>
      </c>
      <c r="N182" s="475">
        <f t="shared" si="7"/>
        <v>56584</v>
      </c>
    </row>
    <row r="183" spans="7:14" ht="11.25" customHeight="1" x14ac:dyDescent="0.3">
      <c r="G183" s="470">
        <f t="shared" si="19"/>
        <v>15</v>
      </c>
      <c r="H183" s="470">
        <v>176</v>
      </c>
      <c r="I183" s="455">
        <f t="shared" ca="1" si="5"/>
        <v>3918988.5502994065</v>
      </c>
      <c r="J183" s="455">
        <f t="array" ref="J183">IFERROR(INDEX('Retirement Calculator'!K:K,MATCH('Lorri 401b'!N183,'Retirement Calculator'!A:A,0),0),0)</f>
        <v>20282.026119384056</v>
      </c>
      <c r="K183" s="455">
        <f t="shared" ca="1" si="2"/>
        <v>16244.610517416762</v>
      </c>
      <c r="L183" s="455">
        <f t="shared" ca="1" si="3"/>
        <v>3914951.1346974391</v>
      </c>
      <c r="M183" s="471">
        <f t="shared" si="6"/>
        <v>0.05</v>
      </c>
      <c r="N183" s="475">
        <f t="shared" si="7"/>
        <v>56615</v>
      </c>
    </row>
    <row r="184" spans="7:14" ht="11.25" customHeight="1" x14ac:dyDescent="0.3">
      <c r="G184" s="470">
        <f t="shared" si="19"/>
        <v>15</v>
      </c>
      <c r="H184" s="470">
        <v>177</v>
      </c>
      <c r="I184" s="455">
        <f t="shared" ca="1" si="5"/>
        <v>3914951.1346974391</v>
      </c>
      <c r="J184" s="455">
        <f t="array" ref="J184">IFERROR(INDEX('Retirement Calculator'!K:K,MATCH('Lorri 401b'!N184,'Retirement Calculator'!A:A,0),0),0)</f>
        <v>20282.026119384056</v>
      </c>
      <c r="K184" s="455">
        <f t="shared" ca="1" si="2"/>
        <v>16227.787952408564</v>
      </c>
      <c r="L184" s="455">
        <f t="shared" ca="1" si="3"/>
        <v>3910896.8965304638</v>
      </c>
      <c r="M184" s="471">
        <f t="shared" si="6"/>
        <v>0.05</v>
      </c>
      <c r="N184" s="475">
        <f t="shared" si="7"/>
        <v>56646</v>
      </c>
    </row>
    <row r="185" spans="7:14" ht="11.25" customHeight="1" x14ac:dyDescent="0.3">
      <c r="G185" s="470">
        <f t="shared" si="19"/>
        <v>15</v>
      </c>
      <c r="H185" s="470">
        <v>178</v>
      </c>
      <c r="I185" s="455">
        <f t="shared" ca="1" si="5"/>
        <v>3910896.8965304638</v>
      </c>
      <c r="J185" s="455">
        <f t="array" ref="J185">IFERROR(INDEX('Retirement Calculator'!K:K,MATCH('Lorri 401b'!N185,'Retirement Calculator'!A:A,0),0),0)</f>
        <v>20282.026119384056</v>
      </c>
      <c r="K185" s="455">
        <f t="shared" ca="1" si="2"/>
        <v>16210.895293379501</v>
      </c>
      <c r="L185" s="455">
        <f t="shared" ca="1" si="3"/>
        <v>3906825.7657044595</v>
      </c>
      <c r="M185" s="471">
        <f t="shared" si="6"/>
        <v>0.05</v>
      </c>
      <c r="N185" s="475">
        <f t="shared" si="7"/>
        <v>56674</v>
      </c>
    </row>
    <row r="186" spans="7:14" ht="11.25" customHeight="1" x14ac:dyDescent="0.3">
      <c r="G186" s="470">
        <f t="shared" si="19"/>
        <v>15</v>
      </c>
      <c r="H186" s="470">
        <v>179</v>
      </c>
      <c r="I186" s="455">
        <f t="shared" ca="1" si="5"/>
        <v>3906825.7657044595</v>
      </c>
      <c r="J186" s="455">
        <f t="array" ref="J186">IFERROR(INDEX('Retirement Calculator'!K:K,MATCH('Lorri 401b'!N186,'Retirement Calculator'!A:A,0),0),0)</f>
        <v>20282.026119384056</v>
      </c>
      <c r="K186" s="455">
        <f t="shared" ca="1" si="2"/>
        <v>16193.932248271149</v>
      </c>
      <c r="L186" s="455">
        <f t="shared" ca="1" si="3"/>
        <v>3902737.6718333466</v>
      </c>
      <c r="M186" s="471">
        <f t="shared" si="6"/>
        <v>0.05</v>
      </c>
      <c r="N186" s="475">
        <f t="shared" si="7"/>
        <v>56705</v>
      </c>
    </row>
    <row r="187" spans="7:14" ht="11.25" customHeight="1" x14ac:dyDescent="0.3">
      <c r="G187" s="470">
        <f t="shared" si="19"/>
        <v>15</v>
      </c>
      <c r="H187" s="470">
        <v>180</v>
      </c>
      <c r="I187" s="455">
        <f t="shared" ca="1" si="5"/>
        <v>3902737.6718333466</v>
      </c>
      <c r="J187" s="455">
        <f t="array" ref="J187">IFERROR(INDEX('Retirement Calculator'!K:K,MATCH('Lorri 401b'!N187,'Retirement Calculator'!A:A,0),0),0)</f>
        <v>20282.026119384056</v>
      </c>
      <c r="K187" s="455">
        <f t="shared" ca="1" si="2"/>
        <v>16176.898523808175</v>
      </c>
      <c r="L187" s="455">
        <f t="shared" ca="1" si="3"/>
        <v>3898632.5442377706</v>
      </c>
      <c r="M187" s="471">
        <f t="shared" si="6"/>
        <v>0.05</v>
      </c>
      <c r="N187" s="475">
        <f t="shared" si="7"/>
        <v>56735</v>
      </c>
    </row>
    <row r="188" spans="7:14" ht="11.25" customHeight="1" x14ac:dyDescent="0.3">
      <c r="G188" s="470">
        <f>G187+1</f>
        <v>16</v>
      </c>
      <c r="H188" s="470">
        <v>181</v>
      </c>
      <c r="I188" s="455">
        <f t="shared" ca="1" si="5"/>
        <v>3898632.5442377706</v>
      </c>
      <c r="J188" s="455">
        <f t="array" ref="J188">IFERROR(INDEX('Retirement Calculator'!K:K,MATCH('Lorri 401b'!N188,'Retirement Calculator'!A:A,0),0),0)</f>
        <v>20282.026119384056</v>
      </c>
      <c r="K188" s="455">
        <f t="shared" ca="1" si="2"/>
        <v>16159.793825493278</v>
      </c>
      <c r="L188" s="455">
        <f t="shared" ca="1" si="3"/>
        <v>3894510.3119438798</v>
      </c>
      <c r="M188" s="471">
        <f t="shared" si="6"/>
        <v>0.05</v>
      </c>
      <c r="N188" s="475">
        <f t="shared" si="7"/>
        <v>56766</v>
      </c>
    </row>
    <row r="189" spans="7:14" ht="11.25" customHeight="1" x14ac:dyDescent="0.3">
      <c r="G189" s="470">
        <f t="shared" ref="G189:G199" si="20">G188</f>
        <v>16</v>
      </c>
      <c r="H189" s="470">
        <v>182</v>
      </c>
      <c r="I189" s="455">
        <f t="shared" ca="1" si="5"/>
        <v>3894510.3119438798</v>
      </c>
      <c r="J189" s="455">
        <f t="array" ref="J189">IFERROR(INDEX('Retirement Calculator'!K:K,MATCH('Lorri 401b'!N189,'Retirement Calculator'!A:A,0),0),0)</f>
        <v>20282.026119384056</v>
      </c>
      <c r="K189" s="455">
        <f t="shared" ca="1" si="2"/>
        <v>16142.617857602068</v>
      </c>
      <c r="L189" s="455">
        <f t="shared" ca="1" si="3"/>
        <v>3890370.9036820978</v>
      </c>
      <c r="M189" s="471">
        <f t="shared" si="6"/>
        <v>0.05</v>
      </c>
      <c r="N189" s="475">
        <f t="shared" si="7"/>
        <v>56796</v>
      </c>
    </row>
    <row r="190" spans="7:14" ht="11.25" customHeight="1" x14ac:dyDescent="0.3">
      <c r="G190" s="470">
        <f t="shared" si="20"/>
        <v>16</v>
      </c>
      <c r="H190" s="470">
        <v>183</v>
      </c>
      <c r="I190" s="455">
        <f t="shared" ca="1" si="5"/>
        <v>3890370.9036820978</v>
      </c>
      <c r="J190" s="455">
        <f t="array" ref="J190">IFERROR(INDEX('Retirement Calculator'!K:K,MATCH('Lorri 401b'!N190,'Retirement Calculator'!A:A,0),0),0)</f>
        <v>20282.026119384056</v>
      </c>
      <c r="K190" s="455">
        <f t="shared" ca="1" si="2"/>
        <v>16125.370323177975</v>
      </c>
      <c r="L190" s="455">
        <f t="shared" ca="1" si="3"/>
        <v>3886214.2478858917</v>
      </c>
      <c r="M190" s="471">
        <f t="shared" si="6"/>
        <v>0.05</v>
      </c>
      <c r="N190" s="475">
        <f t="shared" si="7"/>
        <v>56827</v>
      </c>
    </row>
    <row r="191" spans="7:14" ht="11.25" customHeight="1" x14ac:dyDescent="0.3">
      <c r="G191" s="470">
        <f t="shared" si="20"/>
        <v>16</v>
      </c>
      <c r="H191" s="470">
        <v>184</v>
      </c>
      <c r="I191" s="455">
        <f t="shared" ca="1" si="5"/>
        <v>3886214.2478858917</v>
      </c>
      <c r="J191" s="455">
        <f t="array" ref="J191">IFERROR(INDEX('Retirement Calculator'!K:K,MATCH('Lorri 401b'!N191,'Retirement Calculator'!A:A,0),0),0)</f>
        <v>20282.026119384056</v>
      </c>
      <c r="K191" s="455">
        <f t="shared" ca="1" si="2"/>
        <v>16108.050924027115</v>
      </c>
      <c r="L191" s="455">
        <f t="shared" ca="1" si="3"/>
        <v>3882040.2726905351</v>
      </c>
      <c r="M191" s="471">
        <f t="shared" si="6"/>
        <v>0.05</v>
      </c>
      <c r="N191" s="475">
        <f t="shared" si="7"/>
        <v>56858</v>
      </c>
    </row>
    <row r="192" spans="7:14" ht="11.25" customHeight="1" x14ac:dyDescent="0.3">
      <c r="G192" s="470">
        <f t="shared" si="20"/>
        <v>16</v>
      </c>
      <c r="H192" s="470">
        <v>185</v>
      </c>
      <c r="I192" s="455">
        <f t="shared" ca="1" si="5"/>
        <v>3882040.2726905351</v>
      </c>
      <c r="J192" s="455">
        <f t="array" ref="J192">IFERROR(INDEX('Retirement Calculator'!K:K,MATCH('Lorri 401b'!N192,'Retirement Calculator'!A:A,0),0),0)</f>
        <v>20282.026119384056</v>
      </c>
      <c r="K192" s="455">
        <f t="shared" ca="1" si="2"/>
        <v>16090.659360713129</v>
      </c>
      <c r="L192" s="455">
        <f t="shared" ca="1" si="3"/>
        <v>3877848.9059318644</v>
      </c>
      <c r="M192" s="471">
        <f t="shared" si="6"/>
        <v>0.05</v>
      </c>
      <c r="N192" s="475">
        <f t="shared" si="7"/>
        <v>56888</v>
      </c>
    </row>
    <row r="193" spans="7:14" ht="11.25" customHeight="1" x14ac:dyDescent="0.3">
      <c r="G193" s="470">
        <f t="shared" si="20"/>
        <v>16</v>
      </c>
      <c r="H193" s="470">
        <v>186</v>
      </c>
      <c r="I193" s="455">
        <f t="shared" ca="1" si="5"/>
        <v>3877848.9059318644</v>
      </c>
      <c r="J193" s="455">
        <f t="array" ref="J193">IFERROR(INDEX('Retirement Calculator'!K:K,MATCH('Lorri 401b'!N193,'Retirement Calculator'!A:A,0),0),0)</f>
        <v>20282.026119384056</v>
      </c>
      <c r="K193" s="455">
        <f t="shared" ca="1" si="2"/>
        <v>16073.195332552003</v>
      </c>
      <c r="L193" s="455">
        <f t="shared" ca="1" si="3"/>
        <v>3873640.0751450323</v>
      </c>
      <c r="M193" s="471">
        <f t="shared" si="6"/>
        <v>0.05</v>
      </c>
      <c r="N193" s="475">
        <f t="shared" si="7"/>
        <v>56919</v>
      </c>
    </row>
    <row r="194" spans="7:14" ht="11.25" customHeight="1" x14ac:dyDescent="0.3">
      <c r="G194" s="470">
        <f t="shared" si="20"/>
        <v>16</v>
      </c>
      <c r="H194" s="470">
        <v>187</v>
      </c>
      <c r="I194" s="455">
        <f t="shared" ca="1" si="5"/>
        <v>3873640.0751450323</v>
      </c>
      <c r="J194" s="455">
        <f t="array" ref="J194">IFERROR(INDEX('Retirement Calculator'!K:K,MATCH('Lorri 401b'!N194,'Retirement Calculator'!A:A,0),0),0)</f>
        <v>20282.026119384056</v>
      </c>
      <c r="K194" s="455">
        <f t="shared" ca="1" si="2"/>
        <v>16055.658537606867</v>
      </c>
      <c r="L194" s="455">
        <f t="shared" ca="1" si="3"/>
        <v>3869413.707563255</v>
      </c>
      <c r="M194" s="471">
        <f t="shared" si="6"/>
        <v>0.05</v>
      </c>
      <c r="N194" s="475">
        <f t="shared" si="7"/>
        <v>56949</v>
      </c>
    </row>
    <row r="195" spans="7:14" ht="11.25" customHeight="1" x14ac:dyDescent="0.3">
      <c r="G195" s="470">
        <f t="shared" si="20"/>
        <v>16</v>
      </c>
      <c r="H195" s="470">
        <v>188</v>
      </c>
      <c r="I195" s="455">
        <f t="shared" ca="1" si="5"/>
        <v>3869413.707563255</v>
      </c>
      <c r="J195" s="455">
        <f t="array" ref="J195">IFERROR(INDEX('Retirement Calculator'!K:K,MATCH('Lorri 401b'!N195,'Retirement Calculator'!A:A,0),0),0)</f>
        <v>20282.026119384056</v>
      </c>
      <c r="K195" s="455">
        <f t="shared" ca="1" si="2"/>
        <v>16038.048672682795</v>
      </c>
      <c r="L195" s="455">
        <f t="shared" ca="1" si="3"/>
        <v>3865169.7301165536</v>
      </c>
      <c r="M195" s="471">
        <f t="shared" si="6"/>
        <v>0.05</v>
      </c>
      <c r="N195" s="475">
        <f t="shared" si="7"/>
        <v>56980</v>
      </c>
    </row>
    <row r="196" spans="7:14" ht="11.25" customHeight="1" x14ac:dyDescent="0.3">
      <c r="G196" s="470">
        <f t="shared" si="20"/>
        <v>16</v>
      </c>
      <c r="H196" s="470">
        <v>189</v>
      </c>
      <c r="I196" s="455">
        <f t="shared" ca="1" si="5"/>
        <v>3865169.7301165536</v>
      </c>
      <c r="J196" s="455">
        <f t="array" ref="J196">IFERROR(INDEX('Retirement Calculator'!K:K,MATCH('Lorri 401b'!N196,'Retirement Calculator'!A:A,0),0),0)</f>
        <v>20282.026119384056</v>
      </c>
      <c r="K196" s="455">
        <f t="shared" ca="1" si="2"/>
        <v>16020.36543332154</v>
      </c>
      <c r="L196" s="455">
        <f t="shared" ca="1" si="3"/>
        <v>3860908.069430491</v>
      </c>
      <c r="M196" s="471">
        <f t="shared" si="6"/>
        <v>0.05</v>
      </c>
      <c r="N196" s="475">
        <f t="shared" si="7"/>
        <v>57011</v>
      </c>
    </row>
    <row r="197" spans="7:14" ht="11.25" customHeight="1" x14ac:dyDescent="0.3">
      <c r="G197" s="470">
        <f t="shared" si="20"/>
        <v>16</v>
      </c>
      <c r="H197" s="470">
        <v>190</v>
      </c>
      <c r="I197" s="455">
        <f t="shared" ca="1" si="5"/>
        <v>3860908.069430491</v>
      </c>
      <c r="J197" s="455">
        <f t="array" ref="J197">IFERROR(INDEX('Retirement Calculator'!K:K,MATCH('Lorri 401b'!N197,'Retirement Calculator'!A:A,0),0),0)</f>
        <v>20282.026119384056</v>
      </c>
      <c r="K197" s="455">
        <f t="shared" ca="1" si="2"/>
        <v>16002.608513796278</v>
      </c>
      <c r="L197" s="455">
        <f t="shared" ca="1" si="3"/>
        <v>3856628.6518249032</v>
      </c>
      <c r="M197" s="471">
        <f t="shared" si="6"/>
        <v>0.05</v>
      </c>
      <c r="N197" s="475">
        <f t="shared" si="7"/>
        <v>57040</v>
      </c>
    </row>
    <row r="198" spans="7:14" ht="11.25" customHeight="1" x14ac:dyDescent="0.3">
      <c r="G198" s="470">
        <f t="shared" si="20"/>
        <v>16</v>
      </c>
      <c r="H198" s="470">
        <v>191</v>
      </c>
      <c r="I198" s="455">
        <f t="shared" ca="1" si="5"/>
        <v>3856628.6518249032</v>
      </c>
      <c r="J198" s="455">
        <f t="array" ref="J198">IFERROR(INDEX('Retirement Calculator'!K:K,MATCH('Lorri 401b'!N198,'Retirement Calculator'!A:A,0),0),0)</f>
        <v>20282.026119384056</v>
      </c>
      <c r="K198" s="455">
        <f t="shared" ca="1" si="2"/>
        <v>15984.777607106327</v>
      </c>
      <c r="L198" s="455">
        <f t="shared" ca="1" si="3"/>
        <v>3852331.4033126254</v>
      </c>
      <c r="M198" s="471">
        <f t="shared" si="6"/>
        <v>0.05</v>
      </c>
      <c r="N198" s="475">
        <f t="shared" si="7"/>
        <v>57071</v>
      </c>
    </row>
    <row r="199" spans="7:14" ht="11.25" customHeight="1" x14ac:dyDescent="0.3">
      <c r="G199" s="470">
        <f t="shared" si="20"/>
        <v>16</v>
      </c>
      <c r="H199" s="470">
        <v>192</v>
      </c>
      <c r="I199" s="455">
        <f t="shared" ca="1" si="5"/>
        <v>3852331.4033126254</v>
      </c>
      <c r="J199" s="455">
        <f t="array" ref="J199">IFERROR(INDEX('Retirement Calculator'!K:K,MATCH('Lorri 401b'!N199,'Retirement Calculator'!A:A,0),0),0)</f>
        <v>20282.026119384056</v>
      </c>
      <c r="K199" s="455">
        <f t="shared" ca="1" si="2"/>
        <v>15966.872404971838</v>
      </c>
      <c r="L199" s="455">
        <f t="shared" ca="1" si="3"/>
        <v>3848016.249598213</v>
      </c>
      <c r="M199" s="471">
        <f t="shared" si="6"/>
        <v>0.05</v>
      </c>
      <c r="N199" s="475">
        <f t="shared" si="7"/>
        <v>57101</v>
      </c>
    </row>
    <row r="200" spans="7:14" ht="11.25" customHeight="1" x14ac:dyDescent="0.3">
      <c r="G200" s="470">
        <f>G199+1</f>
        <v>17</v>
      </c>
      <c r="H200" s="470">
        <v>193</v>
      </c>
      <c r="I200" s="455">
        <f t="shared" ca="1" si="5"/>
        <v>3848016.249598213</v>
      </c>
      <c r="J200" s="455">
        <f t="array" ref="J200">IFERROR(INDEX('Retirement Calculator'!K:K,MATCH('Lorri 401b'!N200,'Retirement Calculator'!A:A,0),0),0)</f>
        <v>20282.026119384056</v>
      </c>
      <c r="K200" s="455">
        <f t="shared" ca="1" si="2"/>
        <v>15948.892597828453</v>
      </c>
      <c r="L200" s="455">
        <f t="shared" ca="1" si="3"/>
        <v>3843683.1160766575</v>
      </c>
      <c r="M200" s="471">
        <f t="shared" si="6"/>
        <v>0.05</v>
      </c>
      <c r="N200" s="475">
        <f t="shared" si="7"/>
        <v>57132</v>
      </c>
    </row>
    <row r="201" spans="7:14" ht="11.25" customHeight="1" x14ac:dyDescent="0.3">
      <c r="G201" s="470">
        <f t="shared" ref="G201:G211" si="21">G200</f>
        <v>17</v>
      </c>
      <c r="H201" s="470">
        <v>194</v>
      </c>
      <c r="I201" s="455">
        <f t="shared" ca="1" si="5"/>
        <v>3843683.1160766575</v>
      </c>
      <c r="J201" s="455">
        <f t="array" ref="J201">IFERROR(INDEX('Retirement Calculator'!K:K,MATCH('Lorri 401b'!N201,'Retirement Calculator'!A:A,0),0),0)</f>
        <v>20282.026119384056</v>
      </c>
      <c r="K201" s="455">
        <f t="shared" ca="1" si="2"/>
        <v>15930.837874821973</v>
      </c>
      <c r="L201" s="455">
        <f t="shared" ca="1" si="3"/>
        <v>3839331.9278320954</v>
      </c>
      <c r="M201" s="471">
        <f t="shared" si="6"/>
        <v>0.05</v>
      </c>
      <c r="N201" s="475">
        <f t="shared" si="7"/>
        <v>57162</v>
      </c>
    </row>
    <row r="202" spans="7:14" ht="11.25" customHeight="1" x14ac:dyDescent="0.3">
      <c r="G202" s="470">
        <f t="shared" si="21"/>
        <v>17</v>
      </c>
      <c r="H202" s="470">
        <v>195</v>
      </c>
      <c r="I202" s="455">
        <f t="shared" ca="1" si="5"/>
        <v>3839331.9278320954</v>
      </c>
      <c r="J202" s="455">
        <f t="array" ref="J202">IFERROR(INDEX('Retirement Calculator'!K:K,MATCH('Lorri 401b'!N202,'Retirement Calculator'!A:A,0),0),0)</f>
        <v>20282.026119384056</v>
      </c>
      <c r="K202" s="455">
        <f t="shared" ca="1" si="2"/>
        <v>15912.707923802964</v>
      </c>
      <c r="L202" s="455">
        <f t="shared" ca="1" si="3"/>
        <v>3834962.6096365144</v>
      </c>
      <c r="M202" s="471">
        <f t="shared" si="6"/>
        <v>0.05</v>
      </c>
      <c r="N202" s="475">
        <f t="shared" si="7"/>
        <v>57193</v>
      </c>
    </row>
    <row r="203" spans="7:14" ht="11.25" customHeight="1" x14ac:dyDescent="0.3">
      <c r="G203" s="470">
        <f t="shared" si="21"/>
        <v>17</v>
      </c>
      <c r="H203" s="470">
        <v>196</v>
      </c>
      <c r="I203" s="455">
        <f t="shared" ca="1" si="5"/>
        <v>3834962.6096365144</v>
      </c>
      <c r="J203" s="455">
        <f t="array" ref="J203">IFERROR(INDEX('Retirement Calculator'!K:K,MATCH('Lorri 401b'!N203,'Retirement Calculator'!A:A,0),0),0)</f>
        <v>20282.026119384056</v>
      </c>
      <c r="K203" s="455">
        <f t="shared" ca="1" si="2"/>
        <v>15894.502431321376</v>
      </c>
      <c r="L203" s="455">
        <f t="shared" ca="1" si="3"/>
        <v>3830575.0859484519</v>
      </c>
      <c r="M203" s="471">
        <f t="shared" si="6"/>
        <v>0.05</v>
      </c>
      <c r="N203" s="475">
        <f t="shared" si="7"/>
        <v>57224</v>
      </c>
    </row>
    <row r="204" spans="7:14" ht="11.25" customHeight="1" x14ac:dyDescent="0.3">
      <c r="G204" s="470">
        <f t="shared" si="21"/>
        <v>17</v>
      </c>
      <c r="H204" s="470">
        <v>197</v>
      </c>
      <c r="I204" s="455">
        <f t="shared" ca="1" si="5"/>
        <v>3830575.0859484519</v>
      </c>
      <c r="J204" s="455">
        <f t="array" ref="J204">IFERROR(INDEX('Retirement Calculator'!K:K,MATCH('Lorri 401b'!N204,'Retirement Calculator'!A:A,0),0),0)</f>
        <v>20282.026119384056</v>
      </c>
      <c r="K204" s="455">
        <f t="shared" ca="1" si="2"/>
        <v>15876.221082621114</v>
      </c>
      <c r="L204" s="455">
        <f t="shared" ca="1" si="3"/>
        <v>3826169.2809116892</v>
      </c>
      <c r="M204" s="471">
        <f t="shared" si="6"/>
        <v>0.05</v>
      </c>
      <c r="N204" s="475">
        <f t="shared" si="7"/>
        <v>57254</v>
      </c>
    </row>
    <row r="205" spans="7:14" ht="11.25" customHeight="1" x14ac:dyDescent="0.3">
      <c r="G205" s="470">
        <f t="shared" si="21"/>
        <v>17</v>
      </c>
      <c r="H205" s="470">
        <v>198</v>
      </c>
      <c r="I205" s="455">
        <f t="shared" ca="1" si="5"/>
        <v>3826169.2809116892</v>
      </c>
      <c r="J205" s="455">
        <f t="array" ref="J205">IFERROR(INDEX('Retirement Calculator'!K:K,MATCH('Lorri 401b'!N205,'Retirement Calculator'!A:A,0),0),0)</f>
        <v>20282.026119384056</v>
      </c>
      <c r="K205" s="455">
        <f t="shared" ca="1" si="2"/>
        <v>15857.863561634602</v>
      </c>
      <c r="L205" s="455">
        <f t="shared" ca="1" si="3"/>
        <v>3821745.1183539396</v>
      </c>
      <c r="M205" s="471">
        <f t="shared" si="6"/>
        <v>0.05</v>
      </c>
      <c r="N205" s="475">
        <f t="shared" si="7"/>
        <v>57285</v>
      </c>
    </row>
    <row r="206" spans="7:14" ht="11.25" customHeight="1" x14ac:dyDescent="0.3">
      <c r="G206" s="470">
        <f t="shared" si="21"/>
        <v>17</v>
      </c>
      <c r="H206" s="470">
        <v>199</v>
      </c>
      <c r="I206" s="455">
        <f t="shared" ca="1" si="5"/>
        <v>3821745.1183539396</v>
      </c>
      <c r="J206" s="455">
        <f t="array" ref="J206">IFERROR(INDEX('Retirement Calculator'!K:K,MATCH('Lorri 401b'!N206,'Retirement Calculator'!A:A,0),0),0)</f>
        <v>20282.026119384056</v>
      </c>
      <c r="K206" s="455">
        <f t="shared" ca="1" si="2"/>
        <v>15839.429550977315</v>
      </c>
      <c r="L206" s="455">
        <f t="shared" ca="1" si="3"/>
        <v>3817302.5217855331</v>
      </c>
      <c r="M206" s="471">
        <f t="shared" si="6"/>
        <v>0.05</v>
      </c>
      <c r="N206" s="475">
        <f t="shared" si="7"/>
        <v>57315</v>
      </c>
    </row>
    <row r="207" spans="7:14" ht="11.25" customHeight="1" x14ac:dyDescent="0.3">
      <c r="G207" s="470">
        <f t="shared" si="21"/>
        <v>17</v>
      </c>
      <c r="H207" s="470">
        <v>200</v>
      </c>
      <c r="I207" s="455">
        <f t="shared" ca="1" si="5"/>
        <v>3817302.5217855331</v>
      </c>
      <c r="J207" s="455">
        <f t="array" ref="J207">IFERROR(INDEX('Retirement Calculator'!K:K,MATCH('Lorri 401b'!N207,'Retirement Calculator'!A:A,0),0),0)</f>
        <v>20282.026119384056</v>
      </c>
      <c r="K207" s="455">
        <f t="shared" ca="1" si="2"/>
        <v>15820.918731942285</v>
      </c>
      <c r="L207" s="455">
        <f t="shared" ca="1" si="3"/>
        <v>3812841.4143980914</v>
      </c>
      <c r="M207" s="471">
        <f t="shared" si="6"/>
        <v>0.05</v>
      </c>
      <c r="N207" s="475">
        <f t="shared" si="7"/>
        <v>57346</v>
      </c>
    </row>
    <row r="208" spans="7:14" ht="11.25" customHeight="1" x14ac:dyDescent="0.3">
      <c r="G208" s="470">
        <f t="shared" si="21"/>
        <v>17</v>
      </c>
      <c r="H208" s="470">
        <v>201</v>
      </c>
      <c r="I208" s="455">
        <f t="shared" ca="1" si="5"/>
        <v>3812841.4143980914</v>
      </c>
      <c r="J208" s="455">
        <f t="array" ref="J208">IFERROR(INDEX('Retirement Calculator'!K:K,MATCH('Lorri 401b'!N208,'Retirement Calculator'!A:A,0),0),0)</f>
        <v>20282.026119384056</v>
      </c>
      <c r="K208" s="455">
        <f t="shared" ca="1" si="2"/>
        <v>15802.330784494614</v>
      </c>
      <c r="L208" s="455">
        <f t="shared" ca="1" si="3"/>
        <v>3808361.7190632019</v>
      </c>
      <c r="M208" s="471">
        <f t="shared" si="6"/>
        <v>0.05</v>
      </c>
      <c r="N208" s="475">
        <f t="shared" si="7"/>
        <v>57377</v>
      </c>
    </row>
    <row r="209" spans="7:14" ht="11.25" customHeight="1" x14ac:dyDescent="0.3">
      <c r="G209" s="470">
        <f t="shared" si="21"/>
        <v>17</v>
      </c>
      <c r="H209" s="470">
        <v>202</v>
      </c>
      <c r="I209" s="455">
        <f t="shared" ca="1" si="5"/>
        <v>3808361.7190632019</v>
      </c>
      <c r="J209" s="455">
        <f t="array" ref="J209">IFERROR(INDEX('Retirement Calculator'!K:K,MATCH('Lorri 401b'!N209,'Retirement Calculator'!A:A,0),0),0)</f>
        <v>20282.026119384056</v>
      </c>
      <c r="K209" s="455">
        <f t="shared" ca="1" si="2"/>
        <v>15783.665387265908</v>
      </c>
      <c r="L209" s="455">
        <f t="shared" ca="1" si="3"/>
        <v>3803863.3583310838</v>
      </c>
      <c r="M209" s="471">
        <f t="shared" si="6"/>
        <v>0.05</v>
      </c>
      <c r="N209" s="475">
        <f t="shared" si="7"/>
        <v>57405</v>
      </c>
    </row>
    <row r="210" spans="7:14" ht="11.25" customHeight="1" x14ac:dyDescent="0.3">
      <c r="G210" s="470">
        <f t="shared" si="21"/>
        <v>17</v>
      </c>
      <c r="H210" s="470">
        <v>203</v>
      </c>
      <c r="I210" s="455">
        <f t="shared" ca="1" si="5"/>
        <v>3803863.3583310838</v>
      </c>
      <c r="J210" s="455">
        <f t="array" ref="J210">IFERROR(INDEX('Retirement Calculator'!K:K,MATCH('Lorri 401b'!N210,'Retirement Calculator'!A:A,0),0),0)</f>
        <v>20282.026119384056</v>
      </c>
      <c r="K210" s="455">
        <f t="shared" ca="1" si="2"/>
        <v>15764.92221754875</v>
      </c>
      <c r="L210" s="455">
        <f t="shared" ca="1" si="3"/>
        <v>3799346.2544292486</v>
      </c>
      <c r="M210" s="471">
        <f t="shared" si="6"/>
        <v>0.05</v>
      </c>
      <c r="N210" s="475">
        <f t="shared" si="7"/>
        <v>57436</v>
      </c>
    </row>
    <row r="211" spans="7:14" ht="11.25" customHeight="1" x14ac:dyDescent="0.3">
      <c r="G211" s="470">
        <f t="shared" si="21"/>
        <v>17</v>
      </c>
      <c r="H211" s="470">
        <v>204</v>
      </c>
      <c r="I211" s="455">
        <f t="shared" ca="1" si="5"/>
        <v>3799346.2544292486</v>
      </c>
      <c r="J211" s="455">
        <f t="array" ref="J211">IFERROR(INDEX('Retirement Calculator'!K:K,MATCH('Lorri 401b'!N211,'Retirement Calculator'!A:A,0),0),0)</f>
        <v>20282.026119384056</v>
      </c>
      <c r="K211" s="455">
        <f t="shared" ca="1" si="2"/>
        <v>15746.100951291101</v>
      </c>
      <c r="L211" s="455">
        <f t="shared" ca="1" si="3"/>
        <v>3794810.3292611558</v>
      </c>
      <c r="M211" s="471">
        <f t="shared" si="6"/>
        <v>0.05</v>
      </c>
      <c r="N211" s="475">
        <f t="shared" si="7"/>
        <v>57466</v>
      </c>
    </row>
    <row r="212" spans="7:14" ht="11.25" customHeight="1" x14ac:dyDescent="0.3">
      <c r="G212" s="470">
        <f>G211+1</f>
        <v>18</v>
      </c>
      <c r="H212" s="470">
        <v>205</v>
      </c>
      <c r="I212" s="455">
        <f t="shared" ca="1" si="5"/>
        <v>3794810.3292611558</v>
      </c>
      <c r="J212" s="455">
        <f t="array" ref="J212">IFERROR(INDEX('Retirement Calculator'!K:K,MATCH('Lorri 401b'!N212,'Retirement Calculator'!A:A,0),0),0)</f>
        <v>20282.026119384056</v>
      </c>
      <c r="K212" s="455">
        <f t="shared" ca="1" si="2"/>
        <v>15727.201263090714</v>
      </c>
      <c r="L212" s="455">
        <f t="shared" ca="1" si="3"/>
        <v>3790255.5044048624</v>
      </c>
      <c r="M212" s="471">
        <f t="shared" si="6"/>
        <v>0.05</v>
      </c>
      <c r="N212" s="475">
        <f t="shared" si="7"/>
        <v>57497</v>
      </c>
    </row>
    <row r="213" spans="7:14" ht="11.25" customHeight="1" x14ac:dyDescent="0.3">
      <c r="G213" s="470">
        <f t="shared" ref="G213:G223" si="22">G212</f>
        <v>18</v>
      </c>
      <c r="H213" s="470">
        <v>206</v>
      </c>
      <c r="I213" s="455">
        <f t="shared" ca="1" si="5"/>
        <v>3790255.5044048624</v>
      </c>
      <c r="J213" s="455">
        <f t="array" ref="J213">IFERROR(INDEX('Retirement Calculator'!K:K,MATCH('Lorri 401b'!N213,'Retirement Calculator'!A:A,0),0),0)</f>
        <v>20282.026119384056</v>
      </c>
      <c r="K213" s="455">
        <f t="shared" ca="1" si="2"/>
        <v>15708.222826189492</v>
      </c>
      <c r="L213" s="455">
        <f t="shared" ca="1" si="3"/>
        <v>3785681.7011116678</v>
      </c>
      <c r="M213" s="471">
        <f t="shared" si="6"/>
        <v>0.05</v>
      </c>
      <c r="N213" s="475">
        <f t="shared" si="7"/>
        <v>57527</v>
      </c>
    </row>
    <row r="214" spans="7:14" ht="11.25" customHeight="1" x14ac:dyDescent="0.3">
      <c r="G214" s="470">
        <f t="shared" si="22"/>
        <v>18</v>
      </c>
      <c r="H214" s="470">
        <v>207</v>
      </c>
      <c r="I214" s="455">
        <f t="shared" ca="1" si="5"/>
        <v>3785681.7011116678</v>
      </c>
      <c r="J214" s="455">
        <f t="array" ref="J214">IFERROR(INDEX('Retirement Calculator'!K:K,MATCH('Lorri 401b'!N214,'Retirement Calculator'!A:A,0),0),0)</f>
        <v>20282.026119384056</v>
      </c>
      <c r="K214" s="455">
        <f t="shared" ca="1" si="2"/>
        <v>15689.165312467851</v>
      </c>
      <c r="L214" s="455">
        <f t="shared" ca="1" si="3"/>
        <v>3781088.8403047519</v>
      </c>
      <c r="M214" s="471">
        <f t="shared" si="6"/>
        <v>0.05</v>
      </c>
      <c r="N214" s="475">
        <f t="shared" si="7"/>
        <v>57558</v>
      </c>
    </row>
    <row r="215" spans="7:14" ht="11.25" customHeight="1" x14ac:dyDescent="0.3">
      <c r="G215" s="470">
        <f t="shared" si="22"/>
        <v>18</v>
      </c>
      <c r="H215" s="470">
        <v>208</v>
      </c>
      <c r="I215" s="455">
        <f t="shared" ca="1" si="5"/>
        <v>3781088.8403047519</v>
      </c>
      <c r="J215" s="455">
        <f t="array" ref="J215">IFERROR(INDEX('Retirement Calculator'!K:K,MATCH('Lorri 401b'!N215,'Retirement Calculator'!A:A,0),0),0)</f>
        <v>20282.026119384056</v>
      </c>
      <c r="K215" s="455">
        <f t="shared" ca="1" si="2"/>
        <v>15670.028392439033</v>
      </c>
      <c r="L215" s="455">
        <f t="shared" ca="1" si="3"/>
        <v>3776476.8425778071</v>
      </c>
      <c r="M215" s="471">
        <f t="shared" si="6"/>
        <v>0.05</v>
      </c>
      <c r="N215" s="475">
        <f t="shared" si="7"/>
        <v>57589</v>
      </c>
    </row>
    <row r="216" spans="7:14" ht="11.25" customHeight="1" x14ac:dyDescent="0.3">
      <c r="G216" s="470">
        <f t="shared" si="22"/>
        <v>18</v>
      </c>
      <c r="H216" s="470">
        <v>209</v>
      </c>
      <c r="I216" s="455">
        <f t="shared" ca="1" si="5"/>
        <v>3776476.8425778071</v>
      </c>
      <c r="J216" s="455">
        <f t="array" ref="J216">IFERROR(INDEX('Retirement Calculator'!K:K,MATCH('Lorri 401b'!N216,'Retirement Calculator'!A:A,0),0),0)</f>
        <v>20282.026119384056</v>
      </c>
      <c r="K216" s="455">
        <f t="shared" ca="1" si="2"/>
        <v>15650.811735243429</v>
      </c>
      <c r="L216" s="455">
        <f t="shared" ca="1" si="3"/>
        <v>3771845.6281936667</v>
      </c>
      <c r="M216" s="471">
        <f t="shared" si="6"/>
        <v>0.05</v>
      </c>
      <c r="N216" s="475">
        <f t="shared" si="7"/>
        <v>57619</v>
      </c>
    </row>
    <row r="217" spans="7:14" ht="11.25" customHeight="1" x14ac:dyDescent="0.3">
      <c r="G217" s="470">
        <f t="shared" si="22"/>
        <v>18</v>
      </c>
      <c r="H217" s="470">
        <v>210</v>
      </c>
      <c r="I217" s="455">
        <f t="shared" ca="1" si="5"/>
        <v>3771845.6281936667</v>
      </c>
      <c r="J217" s="455">
        <f t="array" ref="J217">IFERROR(INDEX('Retirement Calculator'!K:K,MATCH('Lorri 401b'!N217,'Retirement Calculator'!A:A,0),0),0)</f>
        <v>20282.026119384056</v>
      </c>
      <c r="K217" s="455">
        <f t="shared" ca="1" si="2"/>
        <v>15631.515008642844</v>
      </c>
      <c r="L217" s="455">
        <f t="shared" ca="1" si="3"/>
        <v>3767195.1170829255</v>
      </c>
      <c r="M217" s="471">
        <f t="shared" si="6"/>
        <v>0.05</v>
      </c>
      <c r="N217" s="475">
        <f t="shared" si="7"/>
        <v>57650</v>
      </c>
    </row>
    <row r="218" spans="7:14" ht="11.25" customHeight="1" x14ac:dyDescent="0.3">
      <c r="G218" s="470">
        <f t="shared" si="22"/>
        <v>18</v>
      </c>
      <c r="H218" s="470">
        <v>211</v>
      </c>
      <c r="I218" s="455">
        <f t="shared" ca="1" si="5"/>
        <v>3767195.1170829255</v>
      </c>
      <c r="J218" s="455">
        <f t="array" ref="J218">IFERROR(INDEX('Retirement Calculator'!K:K,MATCH('Lorri 401b'!N218,'Retirement Calculator'!A:A,0),0),0)</f>
        <v>20282.026119384056</v>
      </c>
      <c r="K218" s="455">
        <f t="shared" ca="1" si="2"/>
        <v>15612.137879014756</v>
      </c>
      <c r="L218" s="455">
        <f t="shared" ca="1" si="3"/>
        <v>3762525.2288425565</v>
      </c>
      <c r="M218" s="471">
        <f t="shared" si="6"/>
        <v>0.05</v>
      </c>
      <c r="N218" s="475">
        <f t="shared" si="7"/>
        <v>57680</v>
      </c>
    </row>
    <row r="219" spans="7:14" ht="11.25" customHeight="1" x14ac:dyDescent="0.3">
      <c r="G219" s="470">
        <f t="shared" si="22"/>
        <v>18</v>
      </c>
      <c r="H219" s="470">
        <v>212</v>
      </c>
      <c r="I219" s="455">
        <f t="shared" ca="1" si="5"/>
        <v>3762525.2288425565</v>
      </c>
      <c r="J219" s="455">
        <f t="array" ref="J219">IFERROR(INDEX('Retirement Calculator'!K:K,MATCH('Lorri 401b'!N219,'Retirement Calculator'!A:A,0),0),0)</f>
        <v>20282.026119384056</v>
      </c>
      <c r="K219" s="455">
        <f t="shared" ca="1" si="2"/>
        <v>15592.680011346552</v>
      </c>
      <c r="L219" s="455">
        <f t="shared" ca="1" si="3"/>
        <v>3757835.882734519</v>
      </c>
      <c r="M219" s="471">
        <f t="shared" si="6"/>
        <v>0.05</v>
      </c>
      <c r="N219" s="475">
        <f t="shared" si="7"/>
        <v>57711</v>
      </c>
    </row>
    <row r="220" spans="7:14" ht="11.25" customHeight="1" x14ac:dyDescent="0.3">
      <c r="G220" s="470">
        <f t="shared" si="22"/>
        <v>18</v>
      </c>
      <c r="H220" s="470">
        <v>213</v>
      </c>
      <c r="I220" s="455">
        <f t="shared" ca="1" si="5"/>
        <v>3757835.882734519</v>
      </c>
      <c r="J220" s="455">
        <f t="array" ref="J220">IFERROR(INDEX('Retirement Calculator'!K:K,MATCH('Lorri 401b'!N220,'Retirement Calculator'!A:A,0),0),0)</f>
        <v>20282.026119384056</v>
      </c>
      <c r="K220" s="455">
        <f t="shared" ca="1" si="2"/>
        <v>15573.141069229729</v>
      </c>
      <c r="L220" s="455">
        <f t="shared" ca="1" si="3"/>
        <v>3753126.9976843647</v>
      </c>
      <c r="M220" s="471">
        <f t="shared" si="6"/>
        <v>0.05</v>
      </c>
      <c r="N220" s="475">
        <f t="shared" si="7"/>
        <v>57742</v>
      </c>
    </row>
    <row r="221" spans="7:14" ht="11.25" customHeight="1" x14ac:dyDescent="0.3">
      <c r="G221" s="470">
        <f t="shared" si="22"/>
        <v>18</v>
      </c>
      <c r="H221" s="470">
        <v>214</v>
      </c>
      <c r="I221" s="455">
        <f t="shared" ca="1" si="5"/>
        <v>3753126.9976843647</v>
      </c>
      <c r="J221" s="455">
        <f t="array" ref="J221">IFERROR(INDEX('Retirement Calculator'!K:K,MATCH('Lorri 401b'!N221,'Retirement Calculator'!A:A,0),0),0)</f>
        <v>20282.026119384056</v>
      </c>
      <c r="K221" s="455">
        <f t="shared" ca="1" si="2"/>
        <v>15553.520714854085</v>
      </c>
      <c r="L221" s="455">
        <f t="shared" ca="1" si="3"/>
        <v>3748398.4922798346</v>
      </c>
      <c r="M221" s="471">
        <f t="shared" si="6"/>
        <v>0.05</v>
      </c>
      <c r="N221" s="475">
        <f t="shared" si="7"/>
        <v>57770</v>
      </c>
    </row>
    <row r="222" spans="7:14" ht="11.25" customHeight="1" x14ac:dyDescent="0.3">
      <c r="G222" s="470">
        <f t="shared" si="22"/>
        <v>18</v>
      </c>
      <c r="H222" s="470">
        <v>215</v>
      </c>
      <c r="I222" s="455">
        <f t="shared" ca="1" si="5"/>
        <v>3748398.4922798346</v>
      </c>
      <c r="J222" s="455">
        <f t="array" ref="J222">IFERROR(INDEX('Retirement Calculator'!K:K,MATCH('Lorri 401b'!N222,'Retirement Calculator'!A:A,0),0),0)</f>
        <v>20282.026119384056</v>
      </c>
      <c r="K222" s="455">
        <f t="shared" ca="1" si="2"/>
        <v>15533.818609001877</v>
      </c>
      <c r="L222" s="455">
        <f t="shared" ca="1" si="3"/>
        <v>3743650.2847694526</v>
      </c>
      <c r="M222" s="471">
        <f t="shared" si="6"/>
        <v>0.05</v>
      </c>
      <c r="N222" s="475">
        <f t="shared" si="7"/>
        <v>57801</v>
      </c>
    </row>
    <row r="223" spans="7:14" ht="11.25" customHeight="1" x14ac:dyDescent="0.3">
      <c r="G223" s="470">
        <f t="shared" si="22"/>
        <v>18</v>
      </c>
      <c r="H223" s="470">
        <v>216</v>
      </c>
      <c r="I223" s="455">
        <f t="shared" ca="1" si="5"/>
        <v>3743650.2847694526</v>
      </c>
      <c r="J223" s="455">
        <f t="array" ref="J223">IFERROR(INDEX('Retirement Calculator'!K:K,MATCH('Lorri 401b'!N223,'Retirement Calculator'!A:A,0),0),0)</f>
        <v>20282.026119384056</v>
      </c>
      <c r="K223" s="455">
        <f t="shared" ca="1" si="2"/>
        <v>15514.034411041952</v>
      </c>
      <c r="L223" s="455">
        <f t="shared" ca="1" si="3"/>
        <v>3738882.2930611107</v>
      </c>
      <c r="M223" s="471">
        <f t="shared" si="6"/>
        <v>0.05</v>
      </c>
      <c r="N223" s="475">
        <f t="shared" si="7"/>
        <v>57831</v>
      </c>
    </row>
    <row r="224" spans="7:14" ht="11.25" customHeight="1" x14ac:dyDescent="0.3">
      <c r="G224" s="470">
        <f>G223+1</f>
        <v>19</v>
      </c>
      <c r="H224" s="470">
        <v>217</v>
      </c>
      <c r="I224" s="455">
        <f t="shared" ca="1" si="5"/>
        <v>3738882.2930611107</v>
      </c>
      <c r="J224" s="455">
        <f t="array" ref="J224">IFERROR(INDEX('Retirement Calculator'!K:K,MATCH('Lorri 401b'!N224,'Retirement Calculator'!A:A,0),0),0)</f>
        <v>20282.026119384056</v>
      </c>
      <c r="K224" s="455">
        <f t="shared" ca="1" si="2"/>
        <v>15494.16777892386</v>
      </c>
      <c r="L224" s="455">
        <f t="shared" ca="1" si="3"/>
        <v>3734094.4347206503</v>
      </c>
      <c r="M224" s="471">
        <f t="shared" si="6"/>
        <v>0.05</v>
      </c>
      <c r="N224" s="475">
        <f t="shared" si="7"/>
        <v>57862</v>
      </c>
    </row>
    <row r="225" spans="7:14" ht="11.25" customHeight="1" x14ac:dyDescent="0.3">
      <c r="G225" s="470">
        <f t="shared" ref="G225:G235" si="23">G224</f>
        <v>19</v>
      </c>
      <c r="H225" s="470">
        <v>218</v>
      </c>
      <c r="I225" s="455">
        <f t="shared" ca="1" si="5"/>
        <v>3734094.4347206503</v>
      </c>
      <c r="J225" s="455">
        <f t="array" ref="J225">IFERROR(INDEX('Retirement Calculator'!K:K,MATCH('Lorri 401b'!N225,'Retirement Calculator'!A:A,0),0),0)</f>
        <v>20282.026119384056</v>
      </c>
      <c r="K225" s="455">
        <f t="shared" ca="1" si="2"/>
        <v>15474.218369171942</v>
      </c>
      <c r="L225" s="455">
        <f t="shared" ca="1" si="3"/>
        <v>3729286.6269704383</v>
      </c>
      <c r="M225" s="471">
        <f t="shared" si="6"/>
        <v>0.05</v>
      </c>
      <c r="N225" s="475">
        <f t="shared" si="7"/>
        <v>57892</v>
      </c>
    </row>
    <row r="226" spans="7:14" ht="11.25" customHeight="1" x14ac:dyDescent="0.3">
      <c r="G226" s="470">
        <f t="shared" si="23"/>
        <v>19</v>
      </c>
      <c r="H226" s="470">
        <v>219</v>
      </c>
      <c r="I226" s="455">
        <f t="shared" ca="1" si="5"/>
        <v>3729286.6269704383</v>
      </c>
      <c r="J226" s="455">
        <f t="array" ref="J226">IFERROR(INDEX('Retirement Calculator'!K:K,MATCH('Lorri 401b'!N226,'Retirement Calculator'!A:A,0),0),0)</f>
        <v>20282.026119384056</v>
      </c>
      <c r="K226" s="455">
        <f t="shared" ca="1" si="2"/>
        <v>15454.185836879393</v>
      </c>
      <c r="L226" s="455">
        <f t="shared" ca="1" si="3"/>
        <v>3724458.7866879338</v>
      </c>
      <c r="M226" s="471">
        <f t="shared" si="6"/>
        <v>0.05</v>
      </c>
      <c r="N226" s="475">
        <f t="shared" si="7"/>
        <v>57923</v>
      </c>
    </row>
    <row r="227" spans="7:14" ht="11.25" customHeight="1" x14ac:dyDescent="0.3">
      <c r="G227" s="470">
        <f t="shared" si="23"/>
        <v>19</v>
      </c>
      <c r="H227" s="470">
        <v>220</v>
      </c>
      <c r="I227" s="455">
        <f t="shared" ca="1" si="5"/>
        <v>3724458.7866879338</v>
      </c>
      <c r="J227" s="455">
        <f t="array" ref="J227">IFERROR(INDEX('Retirement Calculator'!K:K,MATCH('Lorri 401b'!N227,'Retirement Calculator'!A:A,0),0),0)</f>
        <v>20282.026119384056</v>
      </c>
      <c r="K227" s="455">
        <f t="shared" ca="1" si="2"/>
        <v>15434.06983570229</v>
      </c>
      <c r="L227" s="455">
        <f t="shared" ca="1" si="3"/>
        <v>3719610.8304042523</v>
      </c>
      <c r="M227" s="471">
        <f t="shared" si="6"/>
        <v>0.05</v>
      </c>
      <c r="N227" s="475">
        <f t="shared" si="7"/>
        <v>57954</v>
      </c>
    </row>
    <row r="228" spans="7:14" ht="11.25" customHeight="1" x14ac:dyDescent="0.3">
      <c r="G228" s="470">
        <f t="shared" si="23"/>
        <v>19</v>
      </c>
      <c r="H228" s="470">
        <v>221</v>
      </c>
      <c r="I228" s="455">
        <f t="shared" ca="1" si="5"/>
        <v>3719610.8304042523</v>
      </c>
      <c r="J228" s="455">
        <f t="array" ref="J228">IFERROR(INDEX('Retirement Calculator'!K:K,MATCH('Lorri 401b'!N228,'Retirement Calculator'!A:A,0),0),0)</f>
        <v>20282.026119384056</v>
      </c>
      <c r="K228" s="455">
        <f t="shared" ca="1" si="2"/>
        <v>15413.870017853618</v>
      </c>
      <c r="L228" s="455">
        <f t="shared" ca="1" si="3"/>
        <v>3714742.6743027219</v>
      </c>
      <c r="M228" s="471">
        <f t="shared" si="6"/>
        <v>0.05</v>
      </c>
      <c r="N228" s="475">
        <f t="shared" si="7"/>
        <v>57984</v>
      </c>
    </row>
    <row r="229" spans="7:14" ht="11.25" customHeight="1" x14ac:dyDescent="0.3">
      <c r="G229" s="470">
        <f t="shared" si="23"/>
        <v>19</v>
      </c>
      <c r="H229" s="470">
        <v>222</v>
      </c>
      <c r="I229" s="455">
        <f t="shared" ca="1" si="5"/>
        <v>3714742.6743027219</v>
      </c>
      <c r="J229" s="455">
        <f t="array" ref="J229">IFERROR(INDEX('Retirement Calculator'!K:K,MATCH('Lorri 401b'!N229,'Retirement Calculator'!A:A,0),0),0)</f>
        <v>20282.026119384056</v>
      </c>
      <c r="K229" s="455">
        <f t="shared" ca="1" si="2"/>
        <v>15393.586034097239</v>
      </c>
      <c r="L229" s="455">
        <f t="shared" ca="1" si="3"/>
        <v>3709854.2342174351</v>
      </c>
      <c r="M229" s="471">
        <f t="shared" si="6"/>
        <v>0.05</v>
      </c>
      <c r="N229" s="475">
        <f t="shared" si="7"/>
        <v>58015</v>
      </c>
    </row>
    <row r="230" spans="7:14" ht="11.25" customHeight="1" x14ac:dyDescent="0.3">
      <c r="G230" s="470">
        <f t="shared" si="23"/>
        <v>19</v>
      </c>
      <c r="H230" s="470">
        <v>223</v>
      </c>
      <c r="I230" s="455">
        <f t="shared" ca="1" si="5"/>
        <v>3709854.2342174351</v>
      </c>
      <c r="J230" s="455">
        <f t="array" ref="J230">IFERROR(INDEX('Retirement Calculator'!K:K,MATCH('Lorri 401b'!N230,'Retirement Calculator'!A:A,0),0),0)</f>
        <v>20282.026119384056</v>
      </c>
      <c r="K230" s="455">
        <f t="shared" ca="1" si="2"/>
        <v>15373.217533741879</v>
      </c>
      <c r="L230" s="455">
        <f t="shared" ca="1" si="3"/>
        <v>3704945.4256317932</v>
      </c>
      <c r="M230" s="471">
        <f t="shared" si="6"/>
        <v>0.05</v>
      </c>
      <c r="N230" s="475">
        <f t="shared" si="7"/>
        <v>58045</v>
      </c>
    </row>
    <row r="231" spans="7:14" ht="11.25" customHeight="1" x14ac:dyDescent="0.3">
      <c r="G231" s="470">
        <f t="shared" si="23"/>
        <v>19</v>
      </c>
      <c r="H231" s="470">
        <v>224</v>
      </c>
      <c r="I231" s="455">
        <f t="shared" ca="1" si="5"/>
        <v>3704945.4256317932</v>
      </c>
      <c r="J231" s="455">
        <f t="array" ref="J231">IFERROR(INDEX('Retirement Calculator'!K:K,MATCH('Lorri 401b'!N231,'Retirement Calculator'!A:A,0),0),0)</f>
        <v>20282.026119384056</v>
      </c>
      <c r="K231" s="455">
        <f t="shared" ca="1" si="2"/>
        <v>15352.764164635038</v>
      </c>
      <c r="L231" s="455">
        <f t="shared" ca="1" si="3"/>
        <v>3700016.1636770442</v>
      </c>
      <c r="M231" s="471">
        <f t="shared" si="6"/>
        <v>0.05</v>
      </c>
      <c r="N231" s="475">
        <f t="shared" si="7"/>
        <v>58076</v>
      </c>
    </row>
    <row r="232" spans="7:14" ht="11.25" customHeight="1" x14ac:dyDescent="0.3">
      <c r="G232" s="470">
        <f t="shared" si="23"/>
        <v>19</v>
      </c>
      <c r="H232" s="470">
        <v>225</v>
      </c>
      <c r="I232" s="455">
        <f t="shared" ca="1" si="5"/>
        <v>3700016.1636770442</v>
      </c>
      <c r="J232" s="455">
        <f t="array" ref="J232">IFERROR(INDEX('Retirement Calculator'!K:K,MATCH('Lorri 401b'!N232,'Retirement Calculator'!A:A,0),0),0)</f>
        <v>20282.026119384056</v>
      </c>
      <c r="K232" s="455">
        <f t="shared" ca="1" si="2"/>
        <v>15332.225573156917</v>
      </c>
      <c r="L232" s="455">
        <f t="shared" ca="1" si="3"/>
        <v>3695066.3631308172</v>
      </c>
      <c r="M232" s="471">
        <f t="shared" si="6"/>
        <v>0.05</v>
      </c>
      <c r="N232" s="475">
        <f t="shared" si="7"/>
        <v>58107</v>
      </c>
    </row>
    <row r="233" spans="7:14" ht="11.25" customHeight="1" x14ac:dyDescent="0.3">
      <c r="G233" s="470">
        <f t="shared" si="23"/>
        <v>19</v>
      </c>
      <c r="H233" s="470">
        <v>226</v>
      </c>
      <c r="I233" s="455">
        <f t="shared" ca="1" si="5"/>
        <v>3695066.3631308172</v>
      </c>
      <c r="J233" s="455">
        <f t="array" ref="J233">IFERROR(INDEX('Retirement Calculator'!K:K,MATCH('Lorri 401b'!N233,'Retirement Calculator'!A:A,0),0),0)</f>
        <v>20282.026119384056</v>
      </c>
      <c r="K233" s="455">
        <f t="shared" ca="1" si="2"/>
        <v>15311.601404214305</v>
      </c>
      <c r="L233" s="455">
        <f t="shared" ca="1" si="3"/>
        <v>3690095.9384156475</v>
      </c>
      <c r="M233" s="471">
        <f t="shared" si="6"/>
        <v>0.05</v>
      </c>
      <c r="N233" s="475">
        <f t="shared" si="7"/>
        <v>58135</v>
      </c>
    </row>
    <row r="234" spans="7:14" ht="11.25" customHeight="1" x14ac:dyDescent="0.3">
      <c r="G234" s="470">
        <f t="shared" si="23"/>
        <v>19</v>
      </c>
      <c r="H234" s="470">
        <v>227</v>
      </c>
      <c r="I234" s="455">
        <f t="shared" ca="1" si="5"/>
        <v>3690095.9384156475</v>
      </c>
      <c r="J234" s="455">
        <f t="array" ref="J234">IFERROR(INDEX('Retirement Calculator'!K:K,MATCH('Lorri 401b'!N234,'Retirement Calculator'!A:A,0),0),0)</f>
        <v>20282.026119384056</v>
      </c>
      <c r="K234" s="455">
        <f t="shared" ca="1" si="2"/>
        <v>15290.891301234433</v>
      </c>
      <c r="L234" s="455">
        <f t="shared" ca="1" si="3"/>
        <v>3685104.8035974978</v>
      </c>
      <c r="M234" s="471">
        <f t="shared" si="6"/>
        <v>0.05</v>
      </c>
      <c r="N234" s="475">
        <f t="shared" si="7"/>
        <v>58166</v>
      </c>
    </row>
    <row r="235" spans="7:14" ht="11.25" customHeight="1" x14ac:dyDescent="0.3">
      <c r="G235" s="470">
        <f t="shared" si="23"/>
        <v>19</v>
      </c>
      <c r="H235" s="470">
        <v>228</v>
      </c>
      <c r="I235" s="455">
        <f t="shared" ca="1" si="5"/>
        <v>3685104.8035974978</v>
      </c>
      <c r="J235" s="455">
        <f t="array" ref="J235">IFERROR(INDEX('Retirement Calculator'!K:K,MATCH('Lorri 401b'!N235,'Retirement Calculator'!A:A,0),0),0)</f>
        <v>20282.026119384056</v>
      </c>
      <c r="K235" s="455">
        <f t="shared" ca="1" si="2"/>
        <v>15270.094906158807</v>
      </c>
      <c r="L235" s="455">
        <f t="shared" ca="1" si="3"/>
        <v>3680092.8723842725</v>
      </c>
      <c r="M235" s="471">
        <f t="shared" si="6"/>
        <v>0.05</v>
      </c>
      <c r="N235" s="475">
        <f t="shared" si="7"/>
        <v>58196</v>
      </c>
    </row>
    <row r="236" spans="7:14" ht="11.25" customHeight="1" x14ac:dyDescent="0.3">
      <c r="G236" s="470">
        <f>G235+1</f>
        <v>20</v>
      </c>
      <c r="H236" s="470">
        <v>229</v>
      </c>
      <c r="I236" s="455">
        <f t="shared" ca="1" si="5"/>
        <v>3680092.8723842725</v>
      </c>
      <c r="J236" s="455">
        <f t="array" ref="J236">IFERROR(INDEX('Retirement Calculator'!K:K,MATCH('Lorri 401b'!N236,'Retirement Calculator'!A:A,0),0),0)</f>
        <v>20282.026119384056</v>
      </c>
      <c r="K236" s="455">
        <f t="shared" ca="1" si="2"/>
        <v>15249.211859437035</v>
      </c>
      <c r="L236" s="455">
        <f t="shared" ca="1" si="3"/>
        <v>3675060.0581243257</v>
      </c>
      <c r="M236" s="471">
        <f t="shared" si="6"/>
        <v>0.05</v>
      </c>
      <c r="N236" s="475">
        <f t="shared" si="7"/>
        <v>58227</v>
      </c>
    </row>
    <row r="237" spans="7:14" ht="11.25" customHeight="1" x14ac:dyDescent="0.3">
      <c r="G237" s="470">
        <f t="shared" ref="G237:G247" si="24">G236</f>
        <v>20</v>
      </c>
      <c r="H237" s="470">
        <v>230</v>
      </c>
      <c r="I237" s="455">
        <f t="shared" ca="1" si="5"/>
        <v>3675060.0581243257</v>
      </c>
      <c r="J237" s="455">
        <f t="array" ref="J237">IFERROR(INDEX('Retirement Calculator'!K:K,MATCH('Lorri 401b'!N237,'Retirement Calculator'!A:A,0),0),0)</f>
        <v>20282.026119384056</v>
      </c>
      <c r="K237" s="455">
        <f t="shared" ca="1" si="2"/>
        <v>15228.241800020591</v>
      </c>
      <c r="L237" s="455">
        <f t="shared" ca="1" si="3"/>
        <v>3670006.2738049622</v>
      </c>
      <c r="M237" s="471">
        <f t="shared" si="6"/>
        <v>0.05</v>
      </c>
      <c r="N237" s="475">
        <f t="shared" si="7"/>
        <v>58257</v>
      </c>
    </row>
    <row r="238" spans="7:14" ht="11.25" customHeight="1" x14ac:dyDescent="0.3">
      <c r="G238" s="470">
        <f t="shared" si="24"/>
        <v>20</v>
      </c>
      <c r="H238" s="470">
        <v>231</v>
      </c>
      <c r="I238" s="455">
        <f t="shared" ca="1" si="5"/>
        <v>3670006.2738049622</v>
      </c>
      <c r="J238" s="455">
        <f t="array" ref="J238">IFERROR(INDEX('Retirement Calculator'!K:K,MATCH('Lorri 401b'!N238,'Retirement Calculator'!A:A,0),0),0)</f>
        <v>20282.026119384056</v>
      </c>
      <c r="K238" s="455">
        <f t="shared" ca="1" si="2"/>
        <v>15207.184365356576</v>
      </c>
      <c r="L238" s="455">
        <f t="shared" ca="1" si="3"/>
        <v>3664931.432050935</v>
      </c>
      <c r="M238" s="471">
        <f t="shared" si="6"/>
        <v>0.05</v>
      </c>
      <c r="N238" s="475">
        <f t="shared" si="7"/>
        <v>58288</v>
      </c>
    </row>
    <row r="239" spans="7:14" ht="11.25" customHeight="1" x14ac:dyDescent="0.3">
      <c r="G239" s="470">
        <f t="shared" si="24"/>
        <v>20</v>
      </c>
      <c r="H239" s="470">
        <v>232</v>
      </c>
      <c r="I239" s="455">
        <f t="shared" ca="1" si="5"/>
        <v>3664931.432050935</v>
      </c>
      <c r="J239" s="455">
        <f t="array" ref="J239">IFERROR(INDEX('Retirement Calculator'!K:K,MATCH('Lorri 401b'!N239,'Retirement Calculator'!A:A,0),0),0)</f>
        <v>20282.026119384056</v>
      </c>
      <c r="K239" s="455">
        <f t="shared" ca="1" si="2"/>
        <v>15186.039191381462</v>
      </c>
      <c r="L239" s="455">
        <f t="shared" ca="1" si="3"/>
        <v>3659835.4451229325</v>
      </c>
      <c r="M239" s="471">
        <f t="shared" si="6"/>
        <v>0.05</v>
      </c>
      <c r="N239" s="475">
        <f t="shared" si="7"/>
        <v>58319</v>
      </c>
    </row>
    <row r="240" spans="7:14" ht="11.25" customHeight="1" x14ac:dyDescent="0.3">
      <c r="G240" s="470">
        <f t="shared" si="24"/>
        <v>20</v>
      </c>
      <c r="H240" s="470">
        <v>233</v>
      </c>
      <c r="I240" s="455">
        <f t="shared" ca="1" si="5"/>
        <v>3659835.4451229325</v>
      </c>
      <c r="J240" s="455">
        <f t="array" ref="J240">IFERROR(INDEX('Retirement Calculator'!K:K,MATCH('Lorri 401b'!N240,'Retirement Calculator'!A:A,0),0),0)</f>
        <v>20282.026119384056</v>
      </c>
      <c r="K240" s="455">
        <f t="shared" ca="1" si="2"/>
        <v>15164.805912514787</v>
      </c>
      <c r="L240" s="455">
        <f t="shared" ca="1" si="3"/>
        <v>3654718.2249160632</v>
      </c>
      <c r="M240" s="471">
        <f t="shared" si="6"/>
        <v>0.05</v>
      </c>
      <c r="N240" s="475">
        <f t="shared" si="7"/>
        <v>58349</v>
      </c>
    </row>
    <row r="241" spans="7:14" ht="11.25" customHeight="1" x14ac:dyDescent="0.3">
      <c r="G241" s="470">
        <f t="shared" si="24"/>
        <v>20</v>
      </c>
      <c r="H241" s="470">
        <v>234</v>
      </c>
      <c r="I241" s="455">
        <f t="shared" ca="1" si="5"/>
        <v>3654718.2249160632</v>
      </c>
      <c r="J241" s="455">
        <f t="array" ref="J241">IFERROR(INDEX('Retirement Calculator'!K:K,MATCH('Lorri 401b'!N241,'Retirement Calculator'!A:A,0),0),0)</f>
        <v>20282.026119384056</v>
      </c>
      <c r="K241" s="455">
        <f t="shared" ca="1" si="2"/>
        <v>15143.48416165283</v>
      </c>
      <c r="L241" s="455">
        <f t="shared" ca="1" si="3"/>
        <v>3649579.6829583319</v>
      </c>
      <c r="M241" s="471">
        <f t="shared" si="6"/>
        <v>0.05</v>
      </c>
      <c r="N241" s="475">
        <f t="shared" si="7"/>
        <v>58380</v>
      </c>
    </row>
    <row r="242" spans="7:14" ht="11.25" customHeight="1" x14ac:dyDescent="0.3">
      <c r="G242" s="470">
        <f t="shared" si="24"/>
        <v>20</v>
      </c>
      <c r="H242" s="470">
        <v>235</v>
      </c>
      <c r="I242" s="455">
        <f t="shared" ca="1" si="5"/>
        <v>3649579.6829583319</v>
      </c>
      <c r="J242" s="455">
        <f t="array" ref="J242">IFERROR(INDEX('Retirement Calculator'!K:K,MATCH('Lorri 401b'!N242,'Retirement Calculator'!A:A,0),0),0)</f>
        <v>20282.026119384056</v>
      </c>
      <c r="K242" s="455">
        <f t="shared" ca="1" si="2"/>
        <v>15122.073570162285</v>
      </c>
      <c r="L242" s="455">
        <f t="shared" ca="1" si="3"/>
        <v>3644419.73040911</v>
      </c>
      <c r="M242" s="471">
        <f t="shared" si="6"/>
        <v>0.05</v>
      </c>
      <c r="N242" s="475">
        <f t="shared" si="7"/>
        <v>58410</v>
      </c>
    </row>
    <row r="243" spans="7:14" ht="11.25" customHeight="1" x14ac:dyDescent="0.3">
      <c r="G243" s="470">
        <f t="shared" si="24"/>
        <v>20</v>
      </c>
      <c r="H243" s="470">
        <v>236</v>
      </c>
      <c r="I243" s="455">
        <f t="shared" ca="1" si="5"/>
        <v>3644419.73040911</v>
      </c>
      <c r="J243" s="455">
        <f t="array" ref="J243">IFERROR(INDEX('Retirement Calculator'!K:K,MATCH('Lorri 401b'!N243,'Retirement Calculator'!A:A,0),0),0)</f>
        <v>20282.026119384056</v>
      </c>
      <c r="K243" s="455">
        <f t="shared" ca="1" si="2"/>
        <v>15100.573767873861</v>
      </c>
      <c r="L243" s="455">
        <f t="shared" ca="1" si="3"/>
        <v>3639238.2780575999</v>
      </c>
      <c r="M243" s="471">
        <f t="shared" si="6"/>
        <v>0.05</v>
      </c>
      <c r="N243" s="475">
        <f t="shared" si="7"/>
        <v>58441</v>
      </c>
    </row>
    <row r="244" spans="7:14" ht="11.25" customHeight="1" x14ac:dyDescent="0.3">
      <c r="G244" s="470">
        <f t="shared" si="24"/>
        <v>20</v>
      </c>
      <c r="H244" s="470">
        <v>237</v>
      </c>
      <c r="I244" s="455">
        <f t="shared" ca="1" si="5"/>
        <v>3639238.2780575999</v>
      </c>
      <c r="J244" s="455">
        <f t="array" ref="J244">IFERROR(INDEX('Retirement Calculator'!K:K,MATCH('Lorri 401b'!N244,'Retirement Calculator'!A:A,0),0),0)</f>
        <v>20282.026119384056</v>
      </c>
      <c r="K244" s="455">
        <f t="shared" ca="1" si="2"/>
        <v>15078.9843830759</v>
      </c>
      <c r="L244" s="455">
        <f t="shared" ca="1" si="3"/>
        <v>3634035.2363212919</v>
      </c>
      <c r="M244" s="471">
        <f t="shared" si="6"/>
        <v>0.05</v>
      </c>
      <c r="N244" s="475">
        <f t="shared" si="7"/>
        <v>58472</v>
      </c>
    </row>
    <row r="245" spans="7:14" ht="11.25" customHeight="1" x14ac:dyDescent="0.3">
      <c r="G245" s="470">
        <f t="shared" si="24"/>
        <v>20</v>
      </c>
      <c r="H245" s="470">
        <v>238</v>
      </c>
      <c r="I245" s="455">
        <f t="shared" ca="1" si="5"/>
        <v>3634035.2363212919</v>
      </c>
      <c r="J245" s="455">
        <f t="array" ref="J245">IFERROR(INDEX('Retirement Calculator'!K:K,MATCH('Lorri 401b'!N245,'Retirement Calculator'!A:A,0),0),0)</f>
        <v>20282.026119384056</v>
      </c>
      <c r="K245" s="455">
        <f t="shared" ca="1" si="2"/>
        <v>15057.305042507949</v>
      </c>
      <c r="L245" s="455">
        <f t="shared" ca="1" si="3"/>
        <v>3628810.515244416</v>
      </c>
      <c r="M245" s="471">
        <f t="shared" si="6"/>
        <v>0.05</v>
      </c>
      <c r="N245" s="475">
        <f t="shared" si="7"/>
        <v>58501</v>
      </c>
    </row>
    <row r="246" spans="7:14" ht="11.25" customHeight="1" x14ac:dyDescent="0.3">
      <c r="G246" s="470">
        <f t="shared" si="24"/>
        <v>20</v>
      </c>
      <c r="H246" s="470">
        <v>239</v>
      </c>
      <c r="I246" s="455">
        <f t="shared" ca="1" si="5"/>
        <v>3628810.515244416</v>
      </c>
      <c r="J246" s="455">
        <f t="array" ref="J246">IFERROR(INDEX('Retirement Calculator'!K:K,MATCH('Lorri 401b'!N246,'Retirement Calculator'!A:A,0),0),0)</f>
        <v>20282.026119384056</v>
      </c>
      <c r="K246" s="455">
        <f t="shared" ca="1" si="2"/>
        <v>15035.535371354301</v>
      </c>
      <c r="L246" s="455">
        <f t="shared" ca="1" si="3"/>
        <v>3623564.0244963863</v>
      </c>
      <c r="M246" s="471">
        <f t="shared" si="6"/>
        <v>0.05</v>
      </c>
      <c r="N246" s="475">
        <f t="shared" si="7"/>
        <v>58532</v>
      </c>
    </row>
    <row r="247" spans="7:14" ht="11.25" customHeight="1" x14ac:dyDescent="0.3">
      <c r="G247" s="470">
        <f t="shared" si="24"/>
        <v>20</v>
      </c>
      <c r="H247" s="470">
        <v>240</v>
      </c>
      <c r="I247" s="455">
        <f t="shared" ca="1" si="5"/>
        <v>3623564.0244963863</v>
      </c>
      <c r="J247" s="455">
        <f t="array" ref="J247">IFERROR(INDEX('Retirement Calculator'!K:K,MATCH('Lorri 401b'!N247,'Retirement Calculator'!A:A,0),0),0)</f>
        <v>20282.026119384056</v>
      </c>
      <c r="K247" s="455">
        <f t="shared" ca="1" si="2"/>
        <v>15013.674993237511</v>
      </c>
      <c r="L247" s="455">
        <f t="shared" ca="1" si="3"/>
        <v>3618295.6733702398</v>
      </c>
      <c r="M247" s="471">
        <f t="shared" si="6"/>
        <v>0.05</v>
      </c>
      <c r="N247" s="475">
        <f t="shared" si="7"/>
        <v>58562</v>
      </c>
    </row>
    <row r="248" spans="7:14" ht="11.25" customHeight="1" x14ac:dyDescent="0.3">
      <c r="G248" s="470">
        <f>G247+1</f>
        <v>21</v>
      </c>
      <c r="H248" s="470">
        <v>241</v>
      </c>
      <c r="I248" s="455">
        <f t="shared" ca="1" si="5"/>
        <v>3618295.6733702398</v>
      </c>
      <c r="J248" s="455">
        <f t="array" ref="J248">IFERROR(INDEX('Retirement Calculator'!K:K,MATCH('Lorri 401b'!N248,'Retirement Calculator'!A:A,0),0),0)</f>
        <v>20282.026119384056</v>
      </c>
      <c r="K248" s="455">
        <f t="shared" ca="1" si="2"/>
        <v>14991.723530211899</v>
      </c>
      <c r="L248" s="455">
        <f t="shared" ca="1" si="3"/>
        <v>3613005.3707810678</v>
      </c>
      <c r="M248" s="471">
        <f t="shared" si="6"/>
        <v>0.05</v>
      </c>
      <c r="N248" s="475">
        <f t="shared" si="7"/>
        <v>58593</v>
      </c>
    </row>
    <row r="249" spans="7:14" ht="11.25" customHeight="1" x14ac:dyDescent="0.3">
      <c r="G249" s="470">
        <f t="shared" ref="G249:G259" si="25">G248</f>
        <v>21</v>
      </c>
      <c r="H249" s="470">
        <v>242</v>
      </c>
      <c r="I249" s="455">
        <f t="shared" ca="1" si="5"/>
        <v>3613005.3707810678</v>
      </c>
      <c r="J249" s="455">
        <f t="array" ref="J249">IFERROR(INDEX('Retirement Calculator'!K:K,MATCH('Lorri 401b'!N249,'Retirement Calculator'!A:A,0),0),0)</f>
        <v>20282.026119384056</v>
      </c>
      <c r="K249" s="455">
        <f t="shared" ca="1" si="2"/>
        <v>14969.680602757018</v>
      </c>
      <c r="L249" s="455">
        <f t="shared" ca="1" si="3"/>
        <v>3607693.0252644406</v>
      </c>
      <c r="M249" s="471">
        <f t="shared" si="6"/>
        <v>0.05</v>
      </c>
      <c r="N249" s="475">
        <f t="shared" si="7"/>
        <v>58623</v>
      </c>
    </row>
    <row r="250" spans="7:14" ht="11.25" customHeight="1" x14ac:dyDescent="0.3">
      <c r="G250" s="470">
        <f t="shared" si="25"/>
        <v>21</v>
      </c>
      <c r="H250" s="470">
        <v>243</v>
      </c>
      <c r="I250" s="455">
        <f t="shared" ca="1" si="5"/>
        <v>3607693.0252644406</v>
      </c>
      <c r="J250" s="455">
        <f t="array" ref="J250">IFERROR(INDEX('Retirement Calculator'!K:K,MATCH('Lorri 401b'!N250,'Retirement Calculator'!A:A,0),0),0)</f>
        <v>20282.026119384056</v>
      </c>
      <c r="K250" s="455">
        <f t="shared" ca="1" si="2"/>
        <v>14947.545829771068</v>
      </c>
      <c r="L250" s="455">
        <f t="shared" ca="1" si="3"/>
        <v>3602358.5449748277</v>
      </c>
      <c r="M250" s="471">
        <f t="shared" si="6"/>
        <v>0.05</v>
      </c>
      <c r="N250" s="475">
        <f t="shared" si="7"/>
        <v>58654</v>
      </c>
    </row>
    <row r="251" spans="7:14" ht="11.25" customHeight="1" x14ac:dyDescent="0.3">
      <c r="G251" s="470">
        <f t="shared" si="25"/>
        <v>21</v>
      </c>
      <c r="H251" s="470">
        <v>244</v>
      </c>
      <c r="I251" s="455">
        <f t="shared" ca="1" si="5"/>
        <v>3602358.5449748277</v>
      </c>
      <c r="J251" s="455">
        <f t="array" ref="J251">IFERROR(INDEX('Retirement Calculator'!K:K,MATCH('Lorri 401b'!N251,'Retirement Calculator'!A:A,0),0),0)</f>
        <v>20282.026119384056</v>
      </c>
      <c r="K251" s="455">
        <f t="shared" ca="1" si="2"/>
        <v>14925.318828564348</v>
      </c>
      <c r="L251" s="455">
        <f t="shared" ca="1" si="3"/>
        <v>3597001.8376840078</v>
      </c>
      <c r="M251" s="471">
        <f t="shared" si="6"/>
        <v>0.05</v>
      </c>
      <c r="N251" s="475">
        <f t="shared" si="7"/>
        <v>58685</v>
      </c>
    </row>
    <row r="252" spans="7:14" ht="11.25" customHeight="1" x14ac:dyDescent="0.3">
      <c r="G252" s="470">
        <f t="shared" si="25"/>
        <v>21</v>
      </c>
      <c r="H252" s="470">
        <v>245</v>
      </c>
      <c r="I252" s="455">
        <f t="shared" ca="1" si="5"/>
        <v>3597001.8376840078</v>
      </c>
      <c r="J252" s="455">
        <f t="array" ref="J252">IFERROR(INDEX('Retirement Calculator'!K:K,MATCH('Lorri 401b'!N252,'Retirement Calculator'!A:A,0),0),0)</f>
        <v>20282.026119384056</v>
      </c>
      <c r="K252" s="455">
        <f t="shared" ca="1" si="2"/>
        <v>14902.999214852602</v>
      </c>
      <c r="L252" s="455">
        <f t="shared" ca="1" si="3"/>
        <v>3591622.8107794765</v>
      </c>
      <c r="M252" s="471">
        <f t="shared" si="6"/>
        <v>0.05</v>
      </c>
      <c r="N252" s="475">
        <f t="shared" si="7"/>
        <v>58715</v>
      </c>
    </row>
    <row r="253" spans="7:14" ht="11.25" customHeight="1" x14ac:dyDescent="0.3">
      <c r="G253" s="470">
        <f t="shared" si="25"/>
        <v>21</v>
      </c>
      <c r="H253" s="470">
        <v>246</v>
      </c>
      <c r="I253" s="455">
        <f t="shared" ca="1" si="5"/>
        <v>3591622.8107794765</v>
      </c>
      <c r="J253" s="455">
        <f t="array" ref="J253">IFERROR(INDEX('Retirement Calculator'!K:K,MATCH('Lorri 401b'!N253,'Retirement Calculator'!A:A,0),0),0)</f>
        <v>20282.026119384056</v>
      </c>
      <c r="K253" s="455">
        <f t="shared" ca="1" si="2"/>
        <v>14880.586602750387</v>
      </c>
      <c r="L253" s="455">
        <f t="shared" ca="1" si="3"/>
        <v>3586221.3712628428</v>
      </c>
      <c r="M253" s="471">
        <f t="shared" si="6"/>
        <v>0.05</v>
      </c>
      <c r="N253" s="475">
        <f t="shared" si="7"/>
        <v>58746</v>
      </c>
    </row>
    <row r="254" spans="7:14" ht="11.25" customHeight="1" x14ac:dyDescent="0.3">
      <c r="G254" s="470">
        <f t="shared" si="25"/>
        <v>21</v>
      </c>
      <c r="H254" s="470">
        <v>247</v>
      </c>
      <c r="I254" s="455">
        <f t="shared" ca="1" si="5"/>
        <v>3586221.3712628428</v>
      </c>
      <c r="J254" s="455">
        <f t="array" ref="J254">IFERROR(INDEX('Retirement Calculator'!K:K,MATCH('Lorri 401b'!N254,'Retirement Calculator'!A:A,0),0),0)</f>
        <v>20282.026119384056</v>
      </c>
      <c r="K254" s="455">
        <f t="shared" ca="1" si="2"/>
        <v>14858.080604764413</v>
      </c>
      <c r="L254" s="455">
        <f t="shared" ca="1" si="3"/>
        <v>3580797.4257482234</v>
      </c>
      <c r="M254" s="471">
        <f t="shared" si="6"/>
        <v>0.05</v>
      </c>
      <c r="N254" s="475">
        <f t="shared" si="7"/>
        <v>58776</v>
      </c>
    </row>
    <row r="255" spans="7:14" ht="11.25" customHeight="1" x14ac:dyDescent="0.3">
      <c r="G255" s="470">
        <f t="shared" si="25"/>
        <v>21</v>
      </c>
      <c r="H255" s="470">
        <v>248</v>
      </c>
      <c r="I255" s="455">
        <f t="shared" ca="1" si="5"/>
        <v>3580797.4257482234</v>
      </c>
      <c r="J255" s="455">
        <f t="array" ref="J255">IFERROR(INDEX('Retirement Calculator'!K:K,MATCH('Lorri 401b'!N255,'Retirement Calculator'!A:A,0),0),0)</f>
        <v>20282.026119384056</v>
      </c>
      <c r="K255" s="455">
        <f t="shared" ca="1" si="2"/>
        <v>14835.48083178683</v>
      </c>
      <c r="L255" s="455">
        <f t="shared" ca="1" si="3"/>
        <v>3575350.8804606264</v>
      </c>
      <c r="M255" s="471">
        <f t="shared" si="6"/>
        <v>0.05</v>
      </c>
      <c r="N255" s="475">
        <f t="shared" si="7"/>
        <v>58807</v>
      </c>
    </row>
    <row r="256" spans="7:14" ht="11.25" customHeight="1" x14ac:dyDescent="0.3">
      <c r="G256" s="470">
        <f t="shared" si="25"/>
        <v>21</v>
      </c>
      <c r="H256" s="470">
        <v>249</v>
      </c>
      <c r="I256" s="455">
        <f t="shared" ca="1" si="5"/>
        <v>3575350.8804606264</v>
      </c>
      <c r="J256" s="455">
        <f t="array" ref="J256">IFERROR(INDEX('Retirement Calculator'!K:K,MATCH('Lorri 401b'!N256,'Retirement Calculator'!A:A,0),0),0)</f>
        <v>20282.026119384056</v>
      </c>
      <c r="K256" s="455">
        <f t="shared" ca="1" si="2"/>
        <v>14812.786893088511</v>
      </c>
      <c r="L256" s="455">
        <f t="shared" ca="1" si="3"/>
        <v>3569881.6412343308</v>
      </c>
      <c r="M256" s="471">
        <f t="shared" si="6"/>
        <v>0.05</v>
      </c>
      <c r="N256" s="475">
        <f t="shared" si="7"/>
        <v>58838</v>
      </c>
    </row>
    <row r="257" spans="7:14" ht="11.25" customHeight="1" x14ac:dyDescent="0.3">
      <c r="G257" s="470">
        <f t="shared" si="25"/>
        <v>21</v>
      </c>
      <c r="H257" s="470">
        <v>250</v>
      </c>
      <c r="I257" s="455">
        <f t="shared" ca="1" si="5"/>
        <v>3569881.6412343308</v>
      </c>
      <c r="J257" s="455">
        <f t="array" ref="J257">IFERROR(INDEX('Retirement Calculator'!K:K,MATCH('Lorri 401b'!N257,'Retirement Calculator'!A:A,0),0),0)</f>
        <v>20282.026119384056</v>
      </c>
      <c r="K257" s="455">
        <f t="shared" ca="1" si="2"/>
        <v>14789.998396312278</v>
      </c>
      <c r="L257" s="455">
        <f t="shared" ca="1" si="3"/>
        <v>3564389.6135112592</v>
      </c>
      <c r="M257" s="471">
        <f t="shared" si="6"/>
        <v>0.05</v>
      </c>
      <c r="N257" s="475">
        <f t="shared" si="7"/>
        <v>58866</v>
      </c>
    </row>
    <row r="258" spans="7:14" ht="11.25" customHeight="1" x14ac:dyDescent="0.3">
      <c r="G258" s="470">
        <f t="shared" si="25"/>
        <v>21</v>
      </c>
      <c r="H258" s="470">
        <v>251</v>
      </c>
      <c r="I258" s="455">
        <f t="shared" ca="1" si="5"/>
        <v>3564389.6135112592</v>
      </c>
      <c r="J258" s="455">
        <f t="array" ref="J258">IFERROR(INDEX('Retirement Calculator'!K:K,MATCH('Lorri 401b'!N258,'Retirement Calculator'!A:A,0),0),0)</f>
        <v>20282.026119384056</v>
      </c>
      <c r="K258" s="455">
        <f t="shared" ca="1" si="2"/>
        <v>14767.114947466147</v>
      </c>
      <c r="L258" s="455">
        <f t="shared" ca="1" si="3"/>
        <v>3558874.7023393414</v>
      </c>
      <c r="M258" s="471">
        <f t="shared" si="6"/>
        <v>0.05</v>
      </c>
      <c r="N258" s="475">
        <f t="shared" si="7"/>
        <v>58897</v>
      </c>
    </row>
    <row r="259" spans="7:14" ht="11.25" customHeight="1" x14ac:dyDescent="0.3">
      <c r="G259" s="470">
        <f t="shared" si="25"/>
        <v>21</v>
      </c>
      <c r="H259" s="470">
        <v>252</v>
      </c>
      <c r="I259" s="455">
        <f t="shared" ca="1" si="5"/>
        <v>3558874.7023393414</v>
      </c>
      <c r="J259" s="455">
        <f t="array" ref="J259">IFERROR(INDEX('Retirement Calculator'!K:K,MATCH('Lorri 401b'!N259,'Retirement Calculator'!A:A,0),0),0)</f>
        <v>20282.026119384056</v>
      </c>
      <c r="K259" s="455">
        <f t="shared" ca="1" si="2"/>
        <v>14744.136150916491</v>
      </c>
      <c r="L259" s="455">
        <f t="shared" ca="1" si="3"/>
        <v>3553336.812370874</v>
      </c>
      <c r="M259" s="471">
        <f t="shared" si="6"/>
        <v>0.05</v>
      </c>
      <c r="N259" s="475">
        <f t="shared" si="7"/>
        <v>58927</v>
      </c>
    </row>
    <row r="260" spans="7:14" ht="11.25" customHeight="1" x14ac:dyDescent="0.3">
      <c r="G260" s="470">
        <f>G259+1</f>
        <v>22</v>
      </c>
      <c r="H260" s="470">
        <v>253</v>
      </c>
      <c r="I260" s="455">
        <f t="shared" ca="1" si="5"/>
        <v>3553336.812370874</v>
      </c>
      <c r="J260" s="455">
        <f t="array" ref="J260">IFERROR(INDEX('Retirement Calculator'!K:K,MATCH('Lorri 401b'!N260,'Retirement Calculator'!A:A,0),0),0)</f>
        <v>20282.026119384056</v>
      </c>
      <c r="K260" s="455">
        <f t="shared" ca="1" si="2"/>
        <v>14721.061609381208</v>
      </c>
      <c r="L260" s="455">
        <f t="shared" ca="1" si="3"/>
        <v>3547775.8478608713</v>
      </c>
      <c r="M260" s="471">
        <f t="shared" si="6"/>
        <v>0.05</v>
      </c>
      <c r="N260" s="475">
        <f t="shared" si="7"/>
        <v>58958</v>
      </c>
    </row>
    <row r="261" spans="7:14" ht="11.25" customHeight="1" x14ac:dyDescent="0.3">
      <c r="G261" s="470">
        <f t="shared" ref="G261:G271" si="26">G260</f>
        <v>22</v>
      </c>
      <c r="H261" s="470">
        <v>254</v>
      </c>
      <c r="I261" s="455">
        <f t="shared" ca="1" si="5"/>
        <v>3547775.8478608713</v>
      </c>
      <c r="J261" s="455">
        <f t="array" ref="J261">IFERROR(INDEX('Retirement Calculator'!K:K,MATCH('Lorri 401b'!N261,'Retirement Calculator'!A:A,0),0),0)</f>
        <v>20282.026119384056</v>
      </c>
      <c r="K261" s="455">
        <f t="shared" ca="1" si="2"/>
        <v>14697.890923922861</v>
      </c>
      <c r="L261" s="455">
        <f t="shared" ca="1" si="3"/>
        <v>3542191.7126654102</v>
      </c>
      <c r="M261" s="471">
        <f t="shared" si="6"/>
        <v>0.05</v>
      </c>
      <c r="N261" s="475">
        <f t="shared" si="7"/>
        <v>58988</v>
      </c>
    </row>
    <row r="262" spans="7:14" ht="11.25" customHeight="1" x14ac:dyDescent="0.3">
      <c r="G262" s="470">
        <f t="shared" si="26"/>
        <v>22</v>
      </c>
      <c r="H262" s="470">
        <v>255</v>
      </c>
      <c r="I262" s="455">
        <f t="shared" ca="1" si="5"/>
        <v>3542191.7126654102</v>
      </c>
      <c r="J262" s="455">
        <f t="array" ref="J262">IFERROR(INDEX('Retirement Calculator'!K:K,MATCH('Lorri 401b'!N262,'Retirement Calculator'!A:A,0),0),0)</f>
        <v>20282.026119384056</v>
      </c>
      <c r="K262" s="455">
        <f t="shared" ca="1" si="2"/>
        <v>14674.623693941778</v>
      </c>
      <c r="L262" s="455">
        <f t="shared" ca="1" si="3"/>
        <v>3536584.3102399679</v>
      </c>
      <c r="M262" s="471">
        <f t="shared" si="6"/>
        <v>0.05</v>
      </c>
      <c r="N262" s="475">
        <f t="shared" si="7"/>
        <v>59019</v>
      </c>
    </row>
    <row r="263" spans="7:14" ht="11.25" customHeight="1" x14ac:dyDescent="0.3">
      <c r="G263" s="470">
        <f t="shared" si="26"/>
        <v>22</v>
      </c>
      <c r="H263" s="470">
        <v>256</v>
      </c>
      <c r="I263" s="455">
        <f t="shared" ca="1" si="5"/>
        <v>3536584.3102399679</v>
      </c>
      <c r="J263" s="455">
        <f t="array" ref="J263">IFERROR(INDEX('Retirement Calculator'!K:K,MATCH('Lorri 401b'!N263,'Retirement Calculator'!A:A,0),0),0)</f>
        <v>20282.026119384056</v>
      </c>
      <c r="K263" s="455">
        <f t="shared" ref="K263:K517" ca="1" si="27">IPMT(M263/12,1,12,-I263+J263,,0)</f>
        <v>14651.259517169099</v>
      </c>
      <c r="L263" s="455">
        <f t="shared" ref="L263:L517" ca="1" si="28">I263-J263+K263</f>
        <v>3530953.543637753</v>
      </c>
      <c r="M263" s="471">
        <f t="shared" si="6"/>
        <v>0.05</v>
      </c>
      <c r="N263" s="475">
        <f t="shared" si="7"/>
        <v>59050</v>
      </c>
    </row>
    <row r="264" spans="7:14" ht="11.25" customHeight="1" x14ac:dyDescent="0.3">
      <c r="G264" s="470">
        <f t="shared" si="26"/>
        <v>22</v>
      </c>
      <c r="H264" s="470">
        <v>257</v>
      </c>
      <c r="I264" s="455">
        <f t="shared" ref="I264:I518" ca="1" si="29">L263</f>
        <v>3530953.543637753</v>
      </c>
      <c r="J264" s="455">
        <f t="array" ref="J264">IFERROR(INDEX('Retirement Calculator'!K:K,MATCH('Lorri 401b'!N264,'Retirement Calculator'!A:A,0),0),0)</f>
        <v>20282.026119384056</v>
      </c>
      <c r="K264" s="455">
        <f t="shared" ca="1" si="27"/>
        <v>14627.79798965987</v>
      </c>
      <c r="L264" s="455">
        <f t="shared" ca="1" si="28"/>
        <v>3525299.315508029</v>
      </c>
      <c r="M264" s="471">
        <f t="shared" ref="M264:M518" si="30">M263</f>
        <v>0.05</v>
      </c>
      <c r="N264" s="475">
        <f t="shared" ref="N264:N518" si="31">EDATE(N263,1)</f>
        <v>59080</v>
      </c>
    </row>
    <row r="265" spans="7:14" ht="11.25" customHeight="1" x14ac:dyDescent="0.3">
      <c r="G265" s="470">
        <f t="shared" si="26"/>
        <v>22</v>
      </c>
      <c r="H265" s="470">
        <v>258</v>
      </c>
      <c r="I265" s="455">
        <f t="shared" ca="1" si="29"/>
        <v>3525299.315508029</v>
      </c>
      <c r="J265" s="455">
        <f t="array" ref="J265">IFERROR(INDEX('Retirement Calculator'!K:K,MATCH('Lorri 401b'!N265,'Retirement Calculator'!A:A,0),0),0)</f>
        <v>20282.026119384056</v>
      </c>
      <c r="K265" s="455">
        <f t="shared" ca="1" si="27"/>
        <v>14604.238705786018</v>
      </c>
      <c r="L265" s="455">
        <f t="shared" ca="1" si="28"/>
        <v>3519621.5280944309</v>
      </c>
      <c r="M265" s="471">
        <f t="shared" si="30"/>
        <v>0.05</v>
      </c>
      <c r="N265" s="475">
        <f t="shared" si="31"/>
        <v>59111</v>
      </c>
    </row>
    <row r="266" spans="7:14" ht="11.25" customHeight="1" x14ac:dyDescent="0.3">
      <c r="G266" s="470">
        <f t="shared" si="26"/>
        <v>22</v>
      </c>
      <c r="H266" s="470">
        <v>259</v>
      </c>
      <c r="I266" s="455">
        <f t="shared" ca="1" si="29"/>
        <v>3519621.5280944309</v>
      </c>
      <c r="J266" s="455">
        <f t="array" ref="J266">IFERROR(INDEX('Retirement Calculator'!K:K,MATCH('Lorri 401b'!N266,'Retirement Calculator'!A:A,0),0),0)</f>
        <v>20282.026119384056</v>
      </c>
      <c r="K266" s="455">
        <f t="shared" ca="1" si="27"/>
        <v>14580.581258229362</v>
      </c>
      <c r="L266" s="455">
        <f t="shared" ca="1" si="28"/>
        <v>3513920.0832332764</v>
      </c>
      <c r="M266" s="471">
        <f t="shared" si="30"/>
        <v>0.05</v>
      </c>
      <c r="N266" s="475">
        <f t="shared" si="31"/>
        <v>59141</v>
      </c>
    </row>
    <row r="267" spans="7:14" ht="11.25" customHeight="1" x14ac:dyDescent="0.3">
      <c r="G267" s="470">
        <f t="shared" si="26"/>
        <v>22</v>
      </c>
      <c r="H267" s="470">
        <v>260</v>
      </c>
      <c r="I267" s="455">
        <f t="shared" ca="1" si="29"/>
        <v>3513920.0832332764</v>
      </c>
      <c r="J267" s="455">
        <f t="array" ref="J267">IFERROR(INDEX('Retirement Calculator'!K:K,MATCH('Lorri 401b'!N267,'Retirement Calculator'!A:A,0),0),0)</f>
        <v>20282.026119384056</v>
      </c>
      <c r="K267" s="455">
        <f t="shared" ca="1" si="27"/>
        <v>14556.825237974552</v>
      </c>
      <c r="L267" s="455">
        <f t="shared" ca="1" si="28"/>
        <v>3508194.8823518669</v>
      </c>
      <c r="M267" s="471">
        <f t="shared" si="30"/>
        <v>0.05</v>
      </c>
      <c r="N267" s="475">
        <f t="shared" si="31"/>
        <v>59172</v>
      </c>
    </row>
    <row r="268" spans="7:14" ht="11.25" customHeight="1" x14ac:dyDescent="0.3">
      <c r="G268" s="470">
        <f t="shared" si="26"/>
        <v>22</v>
      </c>
      <c r="H268" s="470">
        <v>261</v>
      </c>
      <c r="I268" s="455">
        <f t="shared" ca="1" si="29"/>
        <v>3508194.8823518669</v>
      </c>
      <c r="J268" s="455">
        <f t="array" ref="J268">IFERROR(INDEX('Retirement Calculator'!K:K,MATCH('Lorri 401b'!N268,'Retirement Calculator'!A:A,0),0),0)</f>
        <v>20282.026119384056</v>
      </c>
      <c r="K268" s="455">
        <f t="shared" ca="1" si="27"/>
        <v>14532.970234302011</v>
      </c>
      <c r="L268" s="455">
        <f t="shared" ca="1" si="28"/>
        <v>3502445.8264667848</v>
      </c>
      <c r="M268" s="471">
        <f t="shared" si="30"/>
        <v>0.05</v>
      </c>
      <c r="N268" s="475">
        <f t="shared" si="31"/>
        <v>59203</v>
      </c>
    </row>
    <row r="269" spans="7:14" ht="11.25" customHeight="1" x14ac:dyDescent="0.3">
      <c r="G269" s="470">
        <f t="shared" si="26"/>
        <v>22</v>
      </c>
      <c r="H269" s="470">
        <v>262</v>
      </c>
      <c r="I269" s="455">
        <f t="shared" ca="1" si="29"/>
        <v>3502445.8264667848</v>
      </c>
      <c r="J269" s="455">
        <f t="array" ref="J269">IFERROR(INDEX('Retirement Calculator'!K:K,MATCH('Lorri 401b'!N269,'Retirement Calculator'!A:A,0),0),0)</f>
        <v>20282.026119384056</v>
      </c>
      <c r="K269" s="455">
        <f t="shared" ca="1" si="27"/>
        <v>14509.015834780837</v>
      </c>
      <c r="L269" s="455">
        <f t="shared" ca="1" si="28"/>
        <v>3496672.8161821817</v>
      </c>
      <c r="M269" s="471">
        <f t="shared" si="30"/>
        <v>0.05</v>
      </c>
      <c r="N269" s="475">
        <f t="shared" si="31"/>
        <v>59231</v>
      </c>
    </row>
    <row r="270" spans="7:14" ht="11.25" customHeight="1" x14ac:dyDescent="0.3">
      <c r="G270" s="470">
        <f t="shared" si="26"/>
        <v>22</v>
      </c>
      <c r="H270" s="470">
        <v>263</v>
      </c>
      <c r="I270" s="455">
        <f t="shared" ca="1" si="29"/>
        <v>3496672.8161821817</v>
      </c>
      <c r="J270" s="455">
        <f t="array" ref="J270">IFERROR(INDEX('Retirement Calculator'!K:K,MATCH('Lorri 401b'!N270,'Retirement Calculator'!A:A,0),0),0)</f>
        <v>20282.026119384056</v>
      </c>
      <c r="K270" s="455">
        <f t="shared" ca="1" si="27"/>
        <v>14484.961625261656</v>
      </c>
      <c r="L270" s="455">
        <f t="shared" ca="1" si="28"/>
        <v>3490875.7516880594</v>
      </c>
      <c r="M270" s="471">
        <f t="shared" si="30"/>
        <v>0.05</v>
      </c>
      <c r="N270" s="475">
        <f t="shared" si="31"/>
        <v>59262</v>
      </c>
    </row>
    <row r="271" spans="7:14" ht="11.25" customHeight="1" x14ac:dyDescent="0.3">
      <c r="G271" s="470">
        <f t="shared" si="26"/>
        <v>22</v>
      </c>
      <c r="H271" s="470">
        <v>264</v>
      </c>
      <c r="I271" s="455">
        <f t="shared" ca="1" si="29"/>
        <v>3490875.7516880594</v>
      </c>
      <c r="J271" s="455">
        <f t="array" ref="J271">IFERROR(INDEX('Retirement Calculator'!K:K,MATCH('Lorri 401b'!N271,'Retirement Calculator'!A:A,0),0),0)</f>
        <v>20282.026119384056</v>
      </c>
      <c r="K271" s="455">
        <f t="shared" ca="1" si="27"/>
        <v>14460.807189869482</v>
      </c>
      <c r="L271" s="455">
        <f t="shared" ca="1" si="28"/>
        <v>3485054.5327585451</v>
      </c>
      <c r="M271" s="471">
        <f t="shared" si="30"/>
        <v>0.05</v>
      </c>
      <c r="N271" s="475">
        <f t="shared" si="31"/>
        <v>59292</v>
      </c>
    </row>
    <row r="272" spans="7:14" ht="11.25" customHeight="1" x14ac:dyDescent="0.3">
      <c r="G272" s="470">
        <f>G271+1</f>
        <v>23</v>
      </c>
      <c r="H272" s="470">
        <v>265</v>
      </c>
      <c r="I272" s="455">
        <f t="shared" ca="1" si="29"/>
        <v>3485054.5327585451</v>
      </c>
      <c r="J272" s="455">
        <f t="array" ref="J272">IFERROR(INDEX('Retirement Calculator'!K:K,MATCH('Lorri 401b'!N272,'Retirement Calculator'!A:A,0),0),0)</f>
        <v>20282.026119384056</v>
      </c>
      <c r="K272" s="455">
        <f t="shared" ca="1" si="27"/>
        <v>14436.552110996505</v>
      </c>
      <c r="L272" s="455">
        <f t="shared" ca="1" si="28"/>
        <v>3479209.0587501577</v>
      </c>
      <c r="M272" s="471">
        <f t="shared" si="30"/>
        <v>0.05</v>
      </c>
      <c r="N272" s="475">
        <f t="shared" si="31"/>
        <v>59323</v>
      </c>
    </row>
    <row r="273" spans="7:14" ht="11.25" customHeight="1" x14ac:dyDescent="0.3">
      <c r="G273" s="470">
        <f t="shared" ref="G273:G283" si="32">G272</f>
        <v>23</v>
      </c>
      <c r="H273" s="470">
        <v>266</v>
      </c>
      <c r="I273" s="455">
        <f t="shared" ca="1" si="29"/>
        <v>3479209.0587501577</v>
      </c>
      <c r="J273" s="455">
        <f t="array" ref="J273">IFERROR(INDEX('Retirement Calculator'!K:K,MATCH('Lorri 401b'!N273,'Retirement Calculator'!A:A,0),0),0)</f>
        <v>20282.026119384056</v>
      </c>
      <c r="K273" s="455">
        <f t="shared" ca="1" si="27"/>
        <v>14412.195969294889</v>
      </c>
      <c r="L273" s="455">
        <f t="shared" ca="1" si="28"/>
        <v>3473339.2286000685</v>
      </c>
      <c r="M273" s="471">
        <f t="shared" si="30"/>
        <v>0.05</v>
      </c>
      <c r="N273" s="475">
        <f t="shared" si="31"/>
        <v>59353</v>
      </c>
    </row>
    <row r="274" spans="7:14" ht="11.25" customHeight="1" x14ac:dyDescent="0.3">
      <c r="G274" s="470">
        <f t="shared" si="32"/>
        <v>23</v>
      </c>
      <c r="H274" s="470">
        <v>267</v>
      </c>
      <c r="I274" s="455">
        <f t="shared" ca="1" si="29"/>
        <v>3473339.2286000685</v>
      </c>
      <c r="J274" s="455">
        <f t="array" ref="J274">IFERROR(INDEX('Retirement Calculator'!K:K,MATCH('Lorri 401b'!N274,'Retirement Calculator'!A:A,0),0),0)</f>
        <v>20282.026119384056</v>
      </c>
      <c r="K274" s="455">
        <f t="shared" ca="1" si="27"/>
        <v>14387.738343669518</v>
      </c>
      <c r="L274" s="455">
        <f t="shared" ca="1" si="28"/>
        <v>3467444.9408243541</v>
      </c>
      <c r="M274" s="471">
        <f t="shared" si="30"/>
        <v>0.05</v>
      </c>
      <c r="N274" s="475">
        <f t="shared" si="31"/>
        <v>59384</v>
      </c>
    </row>
    <row r="275" spans="7:14" ht="11.25" customHeight="1" x14ac:dyDescent="0.3">
      <c r="G275" s="470">
        <f t="shared" si="32"/>
        <v>23</v>
      </c>
      <c r="H275" s="470">
        <v>268</v>
      </c>
      <c r="I275" s="455">
        <f t="shared" ca="1" si="29"/>
        <v>3467444.9408243541</v>
      </c>
      <c r="J275" s="455">
        <f t="array" ref="J275">IFERROR(INDEX('Retirement Calculator'!K:K,MATCH('Lorri 401b'!N275,'Retirement Calculator'!A:A,0),0),0)</f>
        <v>20282.026119384056</v>
      </c>
      <c r="K275" s="455">
        <f t="shared" ca="1" si="27"/>
        <v>14363.178811270711</v>
      </c>
      <c r="L275" s="455">
        <f t="shared" ca="1" si="28"/>
        <v>3461526.0935162408</v>
      </c>
      <c r="M275" s="471">
        <f t="shared" si="30"/>
        <v>0.05</v>
      </c>
      <c r="N275" s="475">
        <f t="shared" si="31"/>
        <v>59415</v>
      </c>
    </row>
    <row r="276" spans="7:14" ht="11.25" customHeight="1" x14ac:dyDescent="0.3">
      <c r="G276" s="470">
        <f t="shared" si="32"/>
        <v>23</v>
      </c>
      <c r="H276" s="470">
        <v>269</v>
      </c>
      <c r="I276" s="455">
        <f t="shared" ca="1" si="29"/>
        <v>3461526.0935162408</v>
      </c>
      <c r="J276" s="455">
        <f t="array" ref="J276">IFERROR(INDEX('Retirement Calculator'!K:K,MATCH('Lorri 401b'!N276,'Retirement Calculator'!A:A,0),0),0)</f>
        <v>20282.026119384056</v>
      </c>
      <c r="K276" s="455">
        <f t="shared" ca="1" si="27"/>
        <v>14338.516947486905</v>
      </c>
      <c r="L276" s="455">
        <f t="shared" ca="1" si="28"/>
        <v>3455582.5843443437</v>
      </c>
      <c r="M276" s="471">
        <f t="shared" si="30"/>
        <v>0.05</v>
      </c>
      <c r="N276" s="475">
        <f t="shared" si="31"/>
        <v>59445</v>
      </c>
    </row>
    <row r="277" spans="7:14" ht="11.25" customHeight="1" x14ac:dyDescent="0.3">
      <c r="G277" s="470">
        <f t="shared" si="32"/>
        <v>23</v>
      </c>
      <c r="H277" s="470">
        <v>270</v>
      </c>
      <c r="I277" s="455">
        <f t="shared" ca="1" si="29"/>
        <v>3455582.5843443437</v>
      </c>
      <c r="J277" s="455">
        <f t="array" ref="J277">IFERROR(INDEX('Retirement Calculator'!K:K,MATCH('Lorri 401b'!N277,'Retirement Calculator'!A:A,0),0),0)</f>
        <v>20282.026119384056</v>
      </c>
      <c r="K277" s="455">
        <f t="shared" ca="1" si="27"/>
        <v>14313.75232593733</v>
      </c>
      <c r="L277" s="455">
        <f t="shared" ca="1" si="28"/>
        <v>3449614.3105508969</v>
      </c>
      <c r="M277" s="471">
        <f t="shared" si="30"/>
        <v>0.05</v>
      </c>
      <c r="N277" s="475">
        <f t="shared" si="31"/>
        <v>59476</v>
      </c>
    </row>
    <row r="278" spans="7:14" ht="11.25" customHeight="1" x14ac:dyDescent="0.3">
      <c r="G278" s="470">
        <f t="shared" si="32"/>
        <v>23</v>
      </c>
      <c r="H278" s="470">
        <v>271</v>
      </c>
      <c r="I278" s="455">
        <f t="shared" ca="1" si="29"/>
        <v>3449614.3105508969</v>
      </c>
      <c r="J278" s="455">
        <f t="array" ref="J278">IFERROR(INDEX('Retirement Calculator'!K:K,MATCH('Lorri 401b'!N278,'Retirement Calculator'!A:A,0),0),0)</f>
        <v>20282.026119384056</v>
      </c>
      <c r="K278" s="455">
        <f t="shared" ca="1" si="27"/>
        <v>14288.884518464636</v>
      </c>
      <c r="L278" s="455">
        <f t="shared" ca="1" si="28"/>
        <v>3443621.1689499775</v>
      </c>
      <c r="M278" s="471">
        <f t="shared" si="30"/>
        <v>0.05</v>
      </c>
      <c r="N278" s="475">
        <f t="shared" si="31"/>
        <v>59506</v>
      </c>
    </row>
    <row r="279" spans="7:14" ht="11.25" customHeight="1" x14ac:dyDescent="0.3">
      <c r="G279" s="470">
        <f t="shared" si="32"/>
        <v>23</v>
      </c>
      <c r="H279" s="470">
        <v>272</v>
      </c>
      <c r="I279" s="455">
        <f t="shared" ca="1" si="29"/>
        <v>3443621.1689499775</v>
      </c>
      <c r="J279" s="455">
        <f t="array" ref="J279">IFERROR(INDEX('Retirement Calculator'!K:K,MATCH('Lorri 401b'!N279,'Retirement Calculator'!A:A,0),0),0)</f>
        <v>20282.026119384056</v>
      </c>
      <c r="K279" s="455">
        <f t="shared" ca="1" si="27"/>
        <v>14263.913095127475</v>
      </c>
      <c r="L279" s="455">
        <f t="shared" ca="1" si="28"/>
        <v>3437603.0559257208</v>
      </c>
      <c r="M279" s="471">
        <f t="shared" si="30"/>
        <v>0.05</v>
      </c>
      <c r="N279" s="475">
        <f t="shared" si="31"/>
        <v>59537</v>
      </c>
    </row>
    <row r="280" spans="7:14" ht="11.25" customHeight="1" x14ac:dyDescent="0.3">
      <c r="G280" s="470">
        <f t="shared" si="32"/>
        <v>23</v>
      </c>
      <c r="H280" s="470">
        <v>273</v>
      </c>
      <c r="I280" s="455">
        <f t="shared" ca="1" si="29"/>
        <v>3437603.0559257208</v>
      </c>
      <c r="J280" s="455">
        <f t="array" ref="J280">IFERROR(INDEX('Retirement Calculator'!K:K,MATCH('Lorri 401b'!N280,'Retirement Calculator'!A:A,0),0),0)</f>
        <v>20282.026119384056</v>
      </c>
      <c r="K280" s="455">
        <f t="shared" ca="1" si="27"/>
        <v>14238.837624193073</v>
      </c>
      <c r="L280" s="455">
        <f t="shared" ca="1" si="28"/>
        <v>3431559.86743053</v>
      </c>
      <c r="M280" s="471">
        <f t="shared" si="30"/>
        <v>0.05</v>
      </c>
      <c r="N280" s="475">
        <f t="shared" si="31"/>
        <v>59568</v>
      </c>
    </row>
    <row r="281" spans="7:14" ht="11.25" customHeight="1" x14ac:dyDescent="0.3">
      <c r="G281" s="470">
        <f t="shared" si="32"/>
        <v>23</v>
      </c>
      <c r="H281" s="470">
        <v>274</v>
      </c>
      <c r="I281" s="455">
        <f t="shared" ca="1" si="29"/>
        <v>3431559.86743053</v>
      </c>
      <c r="J281" s="455">
        <f t="array" ref="J281">IFERROR(INDEX('Retirement Calculator'!K:K,MATCH('Lorri 401b'!N281,'Retirement Calculator'!A:A,0),0),0)</f>
        <v>20282.026119384056</v>
      </c>
      <c r="K281" s="455">
        <f t="shared" ca="1" si="27"/>
        <v>14213.657672129773</v>
      </c>
      <c r="L281" s="455">
        <f t="shared" ca="1" si="28"/>
        <v>3425491.4989832756</v>
      </c>
      <c r="M281" s="471">
        <f t="shared" si="30"/>
        <v>0.05</v>
      </c>
      <c r="N281" s="475">
        <f t="shared" si="31"/>
        <v>59596</v>
      </c>
    </row>
    <row r="282" spans="7:14" ht="11.25" customHeight="1" x14ac:dyDescent="0.3">
      <c r="G282" s="470">
        <f t="shared" si="32"/>
        <v>23</v>
      </c>
      <c r="H282" s="470">
        <v>275</v>
      </c>
      <c r="I282" s="455">
        <f t="shared" ca="1" si="29"/>
        <v>3425491.4989832756</v>
      </c>
      <c r="J282" s="455">
        <f t="array" ref="J282">IFERROR(INDEX('Retirement Calculator'!K:K,MATCH('Lorri 401b'!N282,'Retirement Calculator'!A:A,0),0),0)</f>
        <v>20282.026119384056</v>
      </c>
      <c r="K282" s="455">
        <f t="shared" ca="1" si="27"/>
        <v>14188.372803599548</v>
      </c>
      <c r="L282" s="455">
        <f t="shared" ca="1" si="28"/>
        <v>3419397.8456674912</v>
      </c>
      <c r="M282" s="471">
        <f t="shared" si="30"/>
        <v>0.05</v>
      </c>
      <c r="N282" s="475">
        <f t="shared" si="31"/>
        <v>59627</v>
      </c>
    </row>
    <row r="283" spans="7:14" ht="11.25" customHeight="1" x14ac:dyDescent="0.3">
      <c r="G283" s="470">
        <f t="shared" si="32"/>
        <v>23</v>
      </c>
      <c r="H283" s="470">
        <v>276</v>
      </c>
      <c r="I283" s="455">
        <f t="shared" ca="1" si="29"/>
        <v>3419397.8456674912</v>
      </c>
      <c r="J283" s="455">
        <f t="array" ref="J283">IFERROR(INDEX('Retirement Calculator'!K:K,MATCH('Lorri 401b'!N283,'Retirement Calculator'!A:A,0),0),0)</f>
        <v>20282.026119384056</v>
      </c>
      <c r="K283" s="455">
        <f t="shared" ca="1" si="27"/>
        <v>14162.982581450444</v>
      </c>
      <c r="L283" s="455">
        <f t="shared" ca="1" si="28"/>
        <v>3413278.8021295578</v>
      </c>
      <c r="M283" s="471">
        <f t="shared" si="30"/>
        <v>0.05</v>
      </c>
      <c r="N283" s="475">
        <f t="shared" si="31"/>
        <v>59657</v>
      </c>
    </row>
    <row r="284" spans="7:14" ht="11.25" customHeight="1" x14ac:dyDescent="0.3">
      <c r="G284" s="470">
        <f>G283+1</f>
        <v>24</v>
      </c>
      <c r="H284" s="470">
        <v>277</v>
      </c>
      <c r="I284" s="455">
        <f t="shared" ca="1" si="29"/>
        <v>3413278.8021295578</v>
      </c>
      <c r="J284" s="455">
        <f t="array" ref="J284">IFERROR(INDEX('Retirement Calculator'!K:K,MATCH('Lorri 401b'!N284,'Retirement Calculator'!A:A,0),0),0)</f>
        <v>20282.026119384056</v>
      </c>
      <c r="K284" s="455">
        <f t="shared" ca="1" si="27"/>
        <v>14137.48656670906</v>
      </c>
      <c r="L284" s="455">
        <f t="shared" ca="1" si="28"/>
        <v>3407134.2625768827</v>
      </c>
      <c r="M284" s="471">
        <f t="shared" si="30"/>
        <v>0.05</v>
      </c>
      <c r="N284" s="475">
        <f t="shared" si="31"/>
        <v>59688</v>
      </c>
    </row>
    <row r="285" spans="7:14" ht="11.25" customHeight="1" x14ac:dyDescent="0.3">
      <c r="G285" s="470">
        <f t="shared" ref="G285:G295" si="33">G284</f>
        <v>24</v>
      </c>
      <c r="H285" s="470">
        <v>278</v>
      </c>
      <c r="I285" s="455">
        <f t="shared" ca="1" si="29"/>
        <v>3407134.2625768827</v>
      </c>
      <c r="J285" s="455">
        <f t="array" ref="J285">IFERROR(INDEX('Retirement Calculator'!K:K,MATCH('Lorri 401b'!N285,'Retirement Calculator'!A:A,0),0),0)</f>
        <v>20282.026119384056</v>
      </c>
      <c r="K285" s="455">
        <f t="shared" ca="1" si="27"/>
        <v>14111.884318572911</v>
      </c>
      <c r="L285" s="455">
        <f t="shared" ca="1" si="28"/>
        <v>3400964.1207760717</v>
      </c>
      <c r="M285" s="471">
        <f t="shared" si="30"/>
        <v>0.05</v>
      </c>
      <c r="N285" s="475">
        <f t="shared" si="31"/>
        <v>59718</v>
      </c>
    </row>
    <row r="286" spans="7:14" ht="11.25" customHeight="1" x14ac:dyDescent="0.3">
      <c r="G286" s="470">
        <f t="shared" si="33"/>
        <v>24</v>
      </c>
      <c r="H286" s="470">
        <v>279</v>
      </c>
      <c r="I286" s="455">
        <f t="shared" ca="1" si="29"/>
        <v>3400964.1207760717</v>
      </c>
      <c r="J286" s="455">
        <f t="array" ref="J286">IFERROR(INDEX('Retirement Calculator'!K:K,MATCH('Lorri 401b'!N286,'Retirement Calculator'!A:A,0),0),0)</f>
        <v>20282.026119384056</v>
      </c>
      <c r="K286" s="455">
        <f t="shared" ca="1" si="27"/>
        <v>14086.175394402862</v>
      </c>
      <c r="L286" s="455">
        <f t="shared" ca="1" si="28"/>
        <v>3394768.2700510905</v>
      </c>
      <c r="M286" s="471">
        <f t="shared" si="30"/>
        <v>0.05</v>
      </c>
      <c r="N286" s="475">
        <f t="shared" si="31"/>
        <v>59749</v>
      </c>
    </row>
    <row r="287" spans="7:14" ht="11.25" customHeight="1" x14ac:dyDescent="0.3">
      <c r="G287" s="470">
        <f t="shared" si="33"/>
        <v>24</v>
      </c>
      <c r="H287" s="470">
        <v>280</v>
      </c>
      <c r="I287" s="455">
        <f t="shared" ca="1" si="29"/>
        <v>3394768.2700510905</v>
      </c>
      <c r="J287" s="455">
        <f t="array" ref="J287">IFERROR(INDEX('Retirement Calculator'!K:K,MATCH('Lorri 401b'!N287,'Retirement Calculator'!A:A,0),0),0)</f>
        <v>20282.026119384056</v>
      </c>
      <c r="K287" s="455">
        <f t="shared" ca="1" si="27"/>
        <v>14060.359349715443</v>
      </c>
      <c r="L287" s="455">
        <f t="shared" ca="1" si="28"/>
        <v>3388546.6032814221</v>
      </c>
      <c r="M287" s="471">
        <f t="shared" si="30"/>
        <v>0.05</v>
      </c>
      <c r="N287" s="475">
        <f t="shared" si="31"/>
        <v>59780</v>
      </c>
    </row>
    <row r="288" spans="7:14" ht="11.25" customHeight="1" x14ac:dyDescent="0.3">
      <c r="G288" s="470">
        <f t="shared" si="33"/>
        <v>24</v>
      </c>
      <c r="H288" s="470">
        <v>281</v>
      </c>
      <c r="I288" s="455">
        <f t="shared" ca="1" si="29"/>
        <v>3388546.6032814221</v>
      </c>
      <c r="J288" s="455">
        <f t="array" ref="J288">IFERROR(INDEX('Retirement Calculator'!K:K,MATCH('Lorri 401b'!N288,'Retirement Calculator'!A:A,0),0),0)</f>
        <v>20282.026119384056</v>
      </c>
      <c r="K288" s="455">
        <f t="shared" ca="1" si="27"/>
        <v>14034.435738175158</v>
      </c>
      <c r="L288" s="455">
        <f t="shared" ca="1" si="28"/>
        <v>3382299.0129002132</v>
      </c>
      <c r="M288" s="471">
        <f t="shared" si="30"/>
        <v>0.05</v>
      </c>
      <c r="N288" s="475">
        <f t="shared" si="31"/>
        <v>59810</v>
      </c>
    </row>
    <row r="289" spans="7:14" ht="11.25" customHeight="1" x14ac:dyDescent="0.3">
      <c r="G289" s="470">
        <f t="shared" si="33"/>
        <v>24</v>
      </c>
      <c r="H289" s="470">
        <v>282</v>
      </c>
      <c r="I289" s="455">
        <f t="shared" ca="1" si="29"/>
        <v>3382299.0129002132</v>
      </c>
      <c r="J289" s="455">
        <f t="array" ref="J289">IFERROR(INDEX('Retirement Calculator'!K:K,MATCH('Lorri 401b'!N289,'Retirement Calculator'!A:A,0),0),0)</f>
        <v>20282.026119384056</v>
      </c>
      <c r="K289" s="455">
        <f t="shared" ca="1" si="27"/>
        <v>14008.404111586788</v>
      </c>
      <c r="L289" s="455">
        <f t="shared" ca="1" si="28"/>
        <v>3376025.3908924162</v>
      </c>
      <c r="M289" s="471">
        <f t="shared" si="30"/>
        <v>0.05</v>
      </c>
      <c r="N289" s="475">
        <f t="shared" si="31"/>
        <v>59841</v>
      </c>
    </row>
    <row r="290" spans="7:14" ht="11.25" customHeight="1" x14ac:dyDescent="0.3">
      <c r="G290" s="470">
        <f t="shared" si="33"/>
        <v>24</v>
      </c>
      <c r="H290" s="470">
        <v>283</v>
      </c>
      <c r="I290" s="455">
        <f t="shared" ca="1" si="29"/>
        <v>3376025.3908924162</v>
      </c>
      <c r="J290" s="455">
        <f t="array" ref="J290">IFERROR(INDEX('Retirement Calculator'!K:K,MATCH('Lorri 401b'!N290,'Retirement Calculator'!A:A,0),0),0)</f>
        <v>20282.026119384056</v>
      </c>
      <c r="K290" s="455">
        <f t="shared" ca="1" si="27"/>
        <v>13982.264019887634</v>
      </c>
      <c r="L290" s="455">
        <f t="shared" ca="1" si="28"/>
        <v>3369725.6287929197</v>
      </c>
      <c r="M290" s="471">
        <f t="shared" si="30"/>
        <v>0.05</v>
      </c>
      <c r="N290" s="475">
        <f t="shared" si="31"/>
        <v>59871</v>
      </c>
    </row>
    <row r="291" spans="7:14" ht="11.25" customHeight="1" x14ac:dyDescent="0.3">
      <c r="G291" s="470">
        <f t="shared" si="33"/>
        <v>24</v>
      </c>
      <c r="H291" s="470">
        <v>284</v>
      </c>
      <c r="I291" s="455">
        <f t="shared" ca="1" si="29"/>
        <v>3369725.6287929197</v>
      </c>
      <c r="J291" s="455">
        <f t="array" ref="J291">IFERROR(INDEX('Retirement Calculator'!K:K,MATCH('Lorri 401b'!N291,'Retirement Calculator'!A:A,0),0),0)</f>
        <v>20282.026119384056</v>
      </c>
      <c r="K291" s="455">
        <f t="shared" ca="1" si="27"/>
        <v>13956.015011139732</v>
      </c>
      <c r="L291" s="455">
        <f t="shared" ca="1" si="28"/>
        <v>3363399.6176846754</v>
      </c>
      <c r="M291" s="471">
        <f t="shared" si="30"/>
        <v>0.05</v>
      </c>
      <c r="N291" s="475">
        <f t="shared" si="31"/>
        <v>59902</v>
      </c>
    </row>
    <row r="292" spans="7:14" ht="11.25" customHeight="1" x14ac:dyDescent="0.3">
      <c r="G292" s="470">
        <f t="shared" si="33"/>
        <v>24</v>
      </c>
      <c r="H292" s="470">
        <v>285</v>
      </c>
      <c r="I292" s="455">
        <f t="shared" ca="1" si="29"/>
        <v>3363399.6176846754</v>
      </c>
      <c r="J292" s="455">
        <f t="array" ref="J292">IFERROR(INDEX('Retirement Calculator'!K:K,MATCH('Lorri 401b'!N292,'Retirement Calculator'!A:A,0),0),0)</f>
        <v>20282.026119384056</v>
      </c>
      <c r="K292" s="455">
        <f t="shared" ca="1" si="27"/>
        <v>13929.656631522048</v>
      </c>
      <c r="L292" s="455">
        <f t="shared" ca="1" si="28"/>
        <v>3357047.2481968133</v>
      </c>
      <c r="M292" s="471">
        <f t="shared" si="30"/>
        <v>0.05</v>
      </c>
      <c r="N292" s="475">
        <f t="shared" si="31"/>
        <v>59933</v>
      </c>
    </row>
    <row r="293" spans="7:14" ht="11.25" customHeight="1" x14ac:dyDescent="0.3">
      <c r="G293" s="470">
        <f t="shared" si="33"/>
        <v>24</v>
      </c>
      <c r="H293" s="470">
        <v>286</v>
      </c>
      <c r="I293" s="455">
        <f t="shared" ca="1" si="29"/>
        <v>3357047.2481968133</v>
      </c>
      <c r="J293" s="455">
        <f t="array" ref="J293">IFERROR(INDEX('Retirement Calculator'!K:K,MATCH('Lorri 401b'!N293,'Retirement Calculator'!A:A,0),0),0)</f>
        <v>20282.026119384056</v>
      </c>
      <c r="K293" s="455">
        <f t="shared" ca="1" si="27"/>
        <v>13903.188425322622</v>
      </c>
      <c r="L293" s="455">
        <f t="shared" ca="1" si="28"/>
        <v>3350668.4105027518</v>
      </c>
      <c r="M293" s="471">
        <f t="shared" si="30"/>
        <v>0.05</v>
      </c>
      <c r="N293" s="475">
        <f t="shared" si="31"/>
        <v>59962</v>
      </c>
    </row>
    <row r="294" spans="7:14" ht="11.25" customHeight="1" x14ac:dyDescent="0.3">
      <c r="G294" s="470">
        <f t="shared" si="33"/>
        <v>24</v>
      </c>
      <c r="H294" s="470">
        <v>287</v>
      </c>
      <c r="I294" s="455">
        <f t="shared" ca="1" si="29"/>
        <v>3350668.4105027518</v>
      </c>
      <c r="J294" s="455">
        <f t="array" ref="J294">IFERROR(INDEX('Retirement Calculator'!K:K,MATCH('Lorri 401b'!N294,'Retirement Calculator'!A:A,0),0),0)</f>
        <v>20282.026119384056</v>
      </c>
      <c r="K294" s="455">
        <f t="shared" ca="1" si="27"/>
        <v>13876.609934930699</v>
      </c>
      <c r="L294" s="455">
        <f t="shared" ca="1" si="28"/>
        <v>3344262.9943182985</v>
      </c>
      <c r="M294" s="471">
        <f t="shared" si="30"/>
        <v>0.05</v>
      </c>
      <c r="N294" s="475">
        <f t="shared" si="31"/>
        <v>59993</v>
      </c>
    </row>
    <row r="295" spans="7:14" ht="11.25" customHeight="1" x14ac:dyDescent="0.3">
      <c r="G295" s="470">
        <f t="shared" si="33"/>
        <v>24</v>
      </c>
      <c r="H295" s="470">
        <v>288</v>
      </c>
      <c r="I295" s="455">
        <f t="shared" ca="1" si="29"/>
        <v>3344262.9943182985</v>
      </c>
      <c r="J295" s="455">
        <f t="array" ref="J295">IFERROR(INDEX('Retirement Calculator'!K:K,MATCH('Lorri 401b'!N295,'Retirement Calculator'!A:A,0),0),0)</f>
        <v>20282.026119384056</v>
      </c>
      <c r="K295" s="455">
        <f t="shared" ca="1" si="27"/>
        <v>13849.92070082881</v>
      </c>
      <c r="L295" s="455">
        <f t="shared" ca="1" si="28"/>
        <v>3337830.8888997436</v>
      </c>
      <c r="M295" s="471">
        <f t="shared" si="30"/>
        <v>0.05</v>
      </c>
      <c r="N295" s="475">
        <f t="shared" si="31"/>
        <v>60023</v>
      </c>
    </row>
    <row r="296" spans="7:14" ht="11.25" customHeight="1" x14ac:dyDescent="0.3">
      <c r="G296" s="470">
        <f>G295+1</f>
        <v>25</v>
      </c>
      <c r="H296" s="470">
        <v>289</v>
      </c>
      <c r="I296" s="455">
        <f t="shared" ca="1" si="29"/>
        <v>3337830.8888997436</v>
      </c>
      <c r="J296" s="455">
        <f t="array" ref="J296">IFERROR(INDEX('Retirement Calculator'!K:K,MATCH('Lorri 401b'!N296,'Retirement Calculator'!A:A,0),0),0)</f>
        <v>20282.026119384056</v>
      </c>
      <c r="K296" s="455">
        <f t="shared" ca="1" si="27"/>
        <v>13823.120261584831</v>
      </c>
      <c r="L296" s="455">
        <f t="shared" ca="1" si="28"/>
        <v>3331371.9830419444</v>
      </c>
      <c r="M296" s="471">
        <f t="shared" si="30"/>
        <v>0.05</v>
      </c>
      <c r="N296" s="475">
        <f t="shared" si="31"/>
        <v>60054</v>
      </c>
    </row>
    <row r="297" spans="7:14" ht="11.25" customHeight="1" x14ac:dyDescent="0.3">
      <c r="G297" s="470">
        <f t="shared" ref="G297:G307" si="34">G296</f>
        <v>25</v>
      </c>
      <c r="H297" s="470">
        <v>290</v>
      </c>
      <c r="I297" s="455">
        <f t="shared" ca="1" si="29"/>
        <v>3331371.9830419444</v>
      </c>
      <c r="J297" s="455">
        <f t="array" ref="J297">IFERROR(INDEX('Retirement Calculator'!K:K,MATCH('Lorri 401b'!N297,'Retirement Calculator'!A:A,0),0),0)</f>
        <v>20282.026119384056</v>
      </c>
      <c r="K297" s="455">
        <f t="shared" ca="1" si="27"/>
        <v>13796.208153844002</v>
      </c>
      <c r="L297" s="455">
        <f t="shared" ca="1" si="28"/>
        <v>3324886.1650764043</v>
      </c>
      <c r="M297" s="471">
        <f t="shared" si="30"/>
        <v>0.05</v>
      </c>
      <c r="N297" s="475">
        <f t="shared" si="31"/>
        <v>60084</v>
      </c>
    </row>
    <row r="298" spans="7:14" ht="11.25" customHeight="1" x14ac:dyDescent="0.3">
      <c r="G298" s="470">
        <f t="shared" si="34"/>
        <v>25</v>
      </c>
      <c r="H298" s="470">
        <v>291</v>
      </c>
      <c r="I298" s="455">
        <f t="shared" ca="1" si="29"/>
        <v>3324886.1650764043</v>
      </c>
      <c r="J298" s="455">
        <f t="array" ref="J298">IFERROR(INDEX('Retirement Calculator'!K:K,MATCH('Lorri 401b'!N298,'Retirement Calculator'!A:A,0),0),0)</f>
        <v>20282.026119384056</v>
      </c>
      <c r="K298" s="455">
        <f t="shared" ca="1" si="27"/>
        <v>13769.183912320917</v>
      </c>
      <c r="L298" s="455">
        <f t="shared" ca="1" si="28"/>
        <v>3318373.3228693414</v>
      </c>
      <c r="M298" s="471">
        <f t="shared" si="30"/>
        <v>0.05</v>
      </c>
      <c r="N298" s="475">
        <f t="shared" si="31"/>
        <v>60115</v>
      </c>
    </row>
    <row r="299" spans="7:14" ht="11.25" customHeight="1" x14ac:dyDescent="0.3">
      <c r="G299" s="470">
        <f t="shared" si="34"/>
        <v>25</v>
      </c>
      <c r="H299" s="470">
        <v>292</v>
      </c>
      <c r="I299" s="455">
        <f t="shared" ca="1" si="29"/>
        <v>3318373.3228693414</v>
      </c>
      <c r="J299" s="455">
        <f t="array" ref="J299">IFERROR(INDEX('Retirement Calculator'!K:K,MATCH('Lorri 401b'!N299,'Retirement Calculator'!A:A,0),0),0)</f>
        <v>20282.026119384056</v>
      </c>
      <c r="K299" s="455">
        <f t="shared" ca="1" si="27"/>
        <v>13742.047069791488</v>
      </c>
      <c r="L299" s="455">
        <f t="shared" ca="1" si="28"/>
        <v>3311833.3438197491</v>
      </c>
      <c r="M299" s="471">
        <f t="shared" si="30"/>
        <v>0.05</v>
      </c>
      <c r="N299" s="475">
        <f t="shared" si="31"/>
        <v>60146</v>
      </c>
    </row>
    <row r="300" spans="7:14" ht="11.25" customHeight="1" x14ac:dyDescent="0.3">
      <c r="G300" s="470">
        <f t="shared" si="34"/>
        <v>25</v>
      </c>
      <c r="H300" s="470">
        <v>293</v>
      </c>
      <c r="I300" s="455">
        <f t="shared" ca="1" si="29"/>
        <v>3311833.3438197491</v>
      </c>
      <c r="J300" s="455">
        <f t="array" ref="J300">IFERROR(INDEX('Retirement Calculator'!K:K,MATCH('Lorri 401b'!N300,'Retirement Calculator'!A:A,0),0),0)</f>
        <v>20282.026119384056</v>
      </c>
      <c r="K300" s="455">
        <f t="shared" ca="1" si="27"/>
        <v>13714.797157084853</v>
      </c>
      <c r="L300" s="455">
        <f t="shared" ca="1" si="28"/>
        <v>3305266.1148574501</v>
      </c>
      <c r="M300" s="471">
        <f t="shared" si="30"/>
        <v>0.05</v>
      </c>
      <c r="N300" s="475">
        <f t="shared" si="31"/>
        <v>60176</v>
      </c>
    </row>
    <row r="301" spans="7:14" ht="11.25" customHeight="1" x14ac:dyDescent="0.3">
      <c r="G301" s="470">
        <f t="shared" si="34"/>
        <v>25</v>
      </c>
      <c r="H301" s="470">
        <v>294</v>
      </c>
      <c r="I301" s="455">
        <f t="shared" ca="1" si="29"/>
        <v>3305266.1148574501</v>
      </c>
      <c r="J301" s="455">
        <f t="array" ref="J301">IFERROR(INDEX('Retirement Calculator'!K:K,MATCH('Lorri 401b'!N301,'Retirement Calculator'!A:A,0),0),0)</f>
        <v>20282.026119384056</v>
      </c>
      <c r="K301" s="455">
        <f t="shared" ca="1" si="27"/>
        <v>13687.433703075274</v>
      </c>
      <c r="L301" s="455">
        <f t="shared" ca="1" si="28"/>
        <v>3298671.5224411413</v>
      </c>
      <c r="M301" s="471">
        <f t="shared" si="30"/>
        <v>0.05</v>
      </c>
      <c r="N301" s="475">
        <f t="shared" si="31"/>
        <v>60207</v>
      </c>
    </row>
    <row r="302" spans="7:14" ht="11.25" customHeight="1" x14ac:dyDescent="0.3">
      <c r="G302" s="470">
        <f t="shared" si="34"/>
        <v>25</v>
      </c>
      <c r="H302" s="470">
        <v>295</v>
      </c>
      <c r="I302" s="455">
        <f t="shared" ca="1" si="29"/>
        <v>3298671.5224411413</v>
      </c>
      <c r="J302" s="455">
        <f t="array" ref="J302">IFERROR(INDEX('Retirement Calculator'!K:K,MATCH('Lorri 401b'!N302,'Retirement Calculator'!A:A,0),0),0)</f>
        <v>20282.026119384056</v>
      </c>
      <c r="K302" s="455">
        <f t="shared" ca="1" si="27"/>
        <v>13659.956234673989</v>
      </c>
      <c r="L302" s="455">
        <f t="shared" ca="1" si="28"/>
        <v>3292049.4525564313</v>
      </c>
      <c r="M302" s="471">
        <f t="shared" si="30"/>
        <v>0.05</v>
      </c>
      <c r="N302" s="475">
        <f t="shared" si="31"/>
        <v>60237</v>
      </c>
    </row>
    <row r="303" spans="7:14" ht="11.25" customHeight="1" x14ac:dyDescent="0.3">
      <c r="G303" s="470">
        <f t="shared" si="34"/>
        <v>25</v>
      </c>
      <c r="H303" s="470">
        <v>296</v>
      </c>
      <c r="I303" s="455">
        <f t="shared" ca="1" si="29"/>
        <v>3292049.4525564313</v>
      </c>
      <c r="J303" s="455">
        <f t="array" ref="J303">IFERROR(INDEX('Retirement Calculator'!K:K,MATCH('Lorri 401b'!N303,'Retirement Calculator'!A:A,0),0),0)</f>
        <v>20282.026119384056</v>
      </c>
      <c r="K303" s="455">
        <f t="shared" ca="1" si="27"/>
        <v>13632.36427682103</v>
      </c>
      <c r="L303" s="455">
        <f t="shared" ca="1" si="28"/>
        <v>3285399.7907138686</v>
      </c>
      <c r="M303" s="471">
        <f t="shared" si="30"/>
        <v>0.05</v>
      </c>
      <c r="N303" s="475">
        <f t="shared" si="31"/>
        <v>60268</v>
      </c>
    </row>
    <row r="304" spans="7:14" ht="11.25" customHeight="1" x14ac:dyDescent="0.3">
      <c r="G304" s="470">
        <f t="shared" si="34"/>
        <v>25</v>
      </c>
      <c r="H304" s="470">
        <v>297</v>
      </c>
      <c r="I304" s="455">
        <f t="shared" ca="1" si="29"/>
        <v>3285399.7907138686</v>
      </c>
      <c r="J304" s="455">
        <f t="array" ref="J304">IFERROR(INDEX('Retirement Calculator'!K:K,MATCH('Lorri 401b'!N304,'Retirement Calculator'!A:A,0),0),0)</f>
        <v>20282.026119384056</v>
      </c>
      <c r="K304" s="455">
        <f t="shared" ca="1" si="27"/>
        <v>13604.657352477019</v>
      </c>
      <c r="L304" s="455">
        <f t="shared" ca="1" si="28"/>
        <v>3278722.4219469614</v>
      </c>
      <c r="M304" s="471">
        <f t="shared" si="30"/>
        <v>0.05</v>
      </c>
      <c r="N304" s="475">
        <f t="shared" si="31"/>
        <v>60299</v>
      </c>
    </row>
    <row r="305" spans="7:14" ht="11.25" customHeight="1" x14ac:dyDescent="0.3">
      <c r="G305" s="470">
        <f t="shared" si="34"/>
        <v>25</v>
      </c>
      <c r="H305" s="470">
        <v>298</v>
      </c>
      <c r="I305" s="455">
        <f t="shared" ca="1" si="29"/>
        <v>3278722.4219469614</v>
      </c>
      <c r="J305" s="455">
        <f t="array" ref="J305">IFERROR(INDEX('Retirement Calculator'!K:K,MATCH('Lorri 401b'!N305,'Retirement Calculator'!A:A,0),0),0)</f>
        <v>20282.026119384056</v>
      </c>
      <c r="K305" s="455">
        <f t="shared" ca="1" si="27"/>
        <v>13576.834982614906</v>
      </c>
      <c r="L305" s="455">
        <f t="shared" ca="1" si="28"/>
        <v>3272017.2308101924</v>
      </c>
      <c r="M305" s="471">
        <f t="shared" si="30"/>
        <v>0.05</v>
      </c>
      <c r="N305" s="475">
        <f t="shared" si="31"/>
        <v>60327</v>
      </c>
    </row>
    <row r="306" spans="7:14" ht="11.25" customHeight="1" x14ac:dyDescent="0.3">
      <c r="G306" s="470">
        <f t="shared" si="34"/>
        <v>25</v>
      </c>
      <c r="H306" s="470">
        <v>299</v>
      </c>
      <c r="I306" s="455">
        <f t="shared" ca="1" si="29"/>
        <v>3272017.2308101924</v>
      </c>
      <c r="J306" s="455">
        <f t="array" ref="J306">IFERROR(INDEX('Retirement Calculator'!K:K,MATCH('Lorri 401b'!N306,'Retirement Calculator'!A:A,0),0),0)</f>
        <v>20282.026119384056</v>
      </c>
      <c r="K306" s="455">
        <f t="shared" ca="1" si="27"/>
        <v>13548.896686211701</v>
      </c>
      <c r="L306" s="455">
        <f t="shared" ca="1" si="28"/>
        <v>3265284.1013770201</v>
      </c>
      <c r="M306" s="471">
        <f t="shared" si="30"/>
        <v>0.05</v>
      </c>
      <c r="N306" s="475">
        <f t="shared" si="31"/>
        <v>60358</v>
      </c>
    </row>
    <row r="307" spans="7:14" ht="11.25" customHeight="1" x14ac:dyDescent="0.3">
      <c r="G307" s="470">
        <f t="shared" si="34"/>
        <v>25</v>
      </c>
      <c r="H307" s="470">
        <v>300</v>
      </c>
      <c r="I307" s="455">
        <f t="shared" ca="1" si="29"/>
        <v>3265284.1013770201</v>
      </c>
      <c r="J307" s="455">
        <f t="array" ref="J307">IFERROR(INDEX('Retirement Calculator'!K:K,MATCH('Lorri 401b'!N307,'Retirement Calculator'!A:A,0),0),0)</f>
        <v>20282.026119384056</v>
      </c>
      <c r="K307" s="455">
        <f t="shared" ca="1" si="27"/>
        <v>13520.841980240149</v>
      </c>
      <c r="L307" s="455">
        <f t="shared" ca="1" si="28"/>
        <v>3258522.9172378764</v>
      </c>
      <c r="M307" s="471">
        <f t="shared" si="30"/>
        <v>0.05</v>
      </c>
      <c r="N307" s="475">
        <f t="shared" si="31"/>
        <v>60388</v>
      </c>
    </row>
    <row r="308" spans="7:14" ht="11.25" customHeight="1" x14ac:dyDescent="0.3">
      <c r="G308" s="470">
        <f>G307+1</f>
        <v>26</v>
      </c>
      <c r="H308" s="470">
        <v>301</v>
      </c>
      <c r="I308" s="455">
        <f t="shared" ca="1" si="29"/>
        <v>3258522.9172378764</v>
      </c>
      <c r="J308" s="455">
        <f t="array" ref="J308">IFERROR(INDEX('Retirement Calculator'!K:K,MATCH('Lorri 401b'!N308,'Retirement Calculator'!A:A,0),0),0)</f>
        <v>20282.026119384056</v>
      </c>
      <c r="K308" s="455">
        <f t="shared" ca="1" si="27"/>
        <v>13492.670379660385</v>
      </c>
      <c r="L308" s="455">
        <f t="shared" ca="1" si="28"/>
        <v>3251733.561498153</v>
      </c>
      <c r="M308" s="471">
        <f t="shared" si="30"/>
        <v>0.05</v>
      </c>
      <c r="N308" s="475">
        <f t="shared" si="31"/>
        <v>60419</v>
      </c>
    </row>
    <row r="309" spans="7:14" ht="11.25" customHeight="1" x14ac:dyDescent="0.3">
      <c r="G309" s="470">
        <f t="shared" ref="G309:G319" si="35">G308</f>
        <v>26</v>
      </c>
      <c r="H309" s="470">
        <v>302</v>
      </c>
      <c r="I309" s="455">
        <f t="shared" ca="1" si="29"/>
        <v>3251733.561498153</v>
      </c>
      <c r="J309" s="455">
        <f t="array" ref="J309">IFERROR(INDEX('Retirement Calculator'!K:K,MATCH('Lorri 401b'!N309,'Retirement Calculator'!A:A,0),0),0)</f>
        <v>20282.026119384056</v>
      </c>
      <c r="K309" s="455">
        <f t="shared" ca="1" si="27"/>
        <v>13464.381397411538</v>
      </c>
      <c r="L309" s="455">
        <f t="shared" ca="1" si="28"/>
        <v>3244915.9167761807</v>
      </c>
      <c r="M309" s="471">
        <f t="shared" si="30"/>
        <v>0.05</v>
      </c>
      <c r="N309" s="475">
        <f t="shared" si="31"/>
        <v>60449</v>
      </c>
    </row>
    <row r="310" spans="7:14" ht="11.25" customHeight="1" x14ac:dyDescent="0.3">
      <c r="G310" s="470">
        <f t="shared" si="35"/>
        <v>26</v>
      </c>
      <c r="H310" s="470">
        <v>303</v>
      </c>
      <c r="I310" s="455">
        <f t="shared" ca="1" si="29"/>
        <v>3244915.9167761807</v>
      </c>
      <c r="J310" s="455">
        <f t="array" ref="J310">IFERROR(INDEX('Retirement Calculator'!K:K,MATCH('Lorri 401b'!N310,'Retirement Calculator'!A:A,0),0),0)</f>
        <v>20282.026119384056</v>
      </c>
      <c r="K310" s="455">
        <f t="shared" ca="1" si="27"/>
        <v>13435.97454440332</v>
      </c>
      <c r="L310" s="455">
        <f t="shared" ca="1" si="28"/>
        <v>3238069.8652011999</v>
      </c>
      <c r="M310" s="471">
        <f t="shared" si="30"/>
        <v>0.05</v>
      </c>
      <c r="N310" s="475">
        <f t="shared" si="31"/>
        <v>60480</v>
      </c>
    </row>
    <row r="311" spans="7:14" ht="11.25" customHeight="1" x14ac:dyDescent="0.3">
      <c r="G311" s="470">
        <f t="shared" si="35"/>
        <v>26</v>
      </c>
      <c r="H311" s="470">
        <v>304</v>
      </c>
      <c r="I311" s="455">
        <f t="shared" ca="1" si="29"/>
        <v>3238069.8652011999</v>
      </c>
      <c r="J311" s="455">
        <f t="array" ref="J311">IFERROR(INDEX('Retirement Calculator'!K:K,MATCH('Lorri 401b'!N311,'Retirement Calculator'!A:A,0),0),0)</f>
        <v>20282.026119384056</v>
      </c>
      <c r="K311" s="455">
        <f t="shared" ca="1" si="27"/>
        <v>13407.449329507566</v>
      </c>
      <c r="L311" s="455">
        <f t="shared" ca="1" si="28"/>
        <v>3231195.2884113234</v>
      </c>
      <c r="M311" s="471">
        <f t="shared" si="30"/>
        <v>0.05</v>
      </c>
      <c r="N311" s="475">
        <f t="shared" si="31"/>
        <v>60511</v>
      </c>
    </row>
    <row r="312" spans="7:14" ht="11.25" customHeight="1" x14ac:dyDescent="0.3">
      <c r="G312" s="470">
        <f t="shared" si="35"/>
        <v>26</v>
      </c>
      <c r="H312" s="470">
        <v>305</v>
      </c>
      <c r="I312" s="455">
        <f t="shared" ca="1" si="29"/>
        <v>3231195.2884113234</v>
      </c>
      <c r="J312" s="455">
        <f t="array" ref="J312">IFERROR(INDEX('Retirement Calculator'!K:K,MATCH('Lorri 401b'!N312,'Retirement Calculator'!A:A,0),0),0)</f>
        <v>20282.026119384056</v>
      </c>
      <c r="K312" s="455">
        <f t="shared" ca="1" si="27"/>
        <v>13378.805259549748</v>
      </c>
      <c r="L312" s="455">
        <f t="shared" ca="1" si="28"/>
        <v>3224292.067551489</v>
      </c>
      <c r="M312" s="471">
        <f t="shared" si="30"/>
        <v>0.05</v>
      </c>
      <c r="N312" s="475">
        <f t="shared" si="31"/>
        <v>60541</v>
      </c>
    </row>
    <row r="313" spans="7:14" ht="11.25" customHeight="1" x14ac:dyDescent="0.3">
      <c r="G313" s="470">
        <f t="shared" si="35"/>
        <v>26</v>
      </c>
      <c r="H313" s="470">
        <v>306</v>
      </c>
      <c r="I313" s="455">
        <f t="shared" ca="1" si="29"/>
        <v>3224292.067551489</v>
      </c>
      <c r="J313" s="455">
        <f t="array" ref="J313">IFERROR(INDEX('Retirement Calculator'!K:K,MATCH('Lorri 401b'!N313,'Retirement Calculator'!A:A,0),0),0)</f>
        <v>20282.026119384056</v>
      </c>
      <c r="K313" s="455">
        <f t="shared" ca="1" si="27"/>
        <v>13350.041839300437</v>
      </c>
      <c r="L313" s="455">
        <f t="shared" ca="1" si="28"/>
        <v>3217360.0832714057</v>
      </c>
      <c r="M313" s="471">
        <f t="shared" si="30"/>
        <v>0.05</v>
      </c>
      <c r="N313" s="475">
        <f t="shared" si="31"/>
        <v>60572</v>
      </c>
    </row>
    <row r="314" spans="7:14" ht="11.25" customHeight="1" x14ac:dyDescent="0.3">
      <c r="G314" s="470">
        <f t="shared" si="35"/>
        <v>26</v>
      </c>
      <c r="H314" s="470">
        <v>307</v>
      </c>
      <c r="I314" s="455">
        <f t="shared" ca="1" si="29"/>
        <v>3217360.0832714057</v>
      </c>
      <c r="J314" s="455">
        <f t="array" ref="J314">IFERROR(INDEX('Retirement Calculator'!K:K,MATCH('Lorri 401b'!N314,'Retirement Calculator'!A:A,0),0),0)</f>
        <v>20282.026119384056</v>
      </c>
      <c r="K314" s="455">
        <f t="shared" ca="1" si="27"/>
        <v>13321.158571466756</v>
      </c>
      <c r="L314" s="455">
        <f t="shared" ca="1" si="28"/>
        <v>3210399.2157234885</v>
      </c>
      <c r="M314" s="471">
        <f t="shared" si="30"/>
        <v>0.05</v>
      </c>
      <c r="N314" s="475">
        <f t="shared" si="31"/>
        <v>60602</v>
      </c>
    </row>
    <row r="315" spans="7:14" ht="11.25" customHeight="1" x14ac:dyDescent="0.3">
      <c r="G315" s="470">
        <f t="shared" si="35"/>
        <v>26</v>
      </c>
      <c r="H315" s="470">
        <v>308</v>
      </c>
      <c r="I315" s="455">
        <f t="shared" ca="1" si="29"/>
        <v>3210399.2157234885</v>
      </c>
      <c r="J315" s="455">
        <f t="array" ref="J315">IFERROR(INDEX('Retirement Calculator'!K:K,MATCH('Lorri 401b'!N315,'Retirement Calculator'!A:A,0),0),0)</f>
        <v>20282.026119384056</v>
      </c>
      <c r="K315" s="455">
        <f t="shared" ca="1" si="27"/>
        <v>13292.154956683769</v>
      </c>
      <c r="L315" s="455">
        <f t="shared" ca="1" si="28"/>
        <v>3203409.3445607885</v>
      </c>
      <c r="M315" s="471">
        <f t="shared" si="30"/>
        <v>0.05</v>
      </c>
      <c r="N315" s="475">
        <f t="shared" si="31"/>
        <v>60633</v>
      </c>
    </row>
    <row r="316" spans="7:14" ht="11.25" customHeight="1" x14ac:dyDescent="0.3">
      <c r="G316" s="470">
        <f t="shared" si="35"/>
        <v>26</v>
      </c>
      <c r="H316" s="470">
        <v>309</v>
      </c>
      <c r="I316" s="455">
        <f t="shared" ca="1" si="29"/>
        <v>3203409.3445607885</v>
      </c>
      <c r="J316" s="455">
        <f t="array" ref="J316">IFERROR(INDEX('Retirement Calculator'!K:K,MATCH('Lorri 401b'!N316,'Retirement Calculator'!A:A,0),0),0)</f>
        <v>20282.026119384056</v>
      </c>
      <c r="K316" s="455">
        <f t="shared" ca="1" si="27"/>
        <v>13263.030493505852</v>
      </c>
      <c r="L316" s="455">
        <f t="shared" ca="1" si="28"/>
        <v>3196390.3489349103</v>
      </c>
      <c r="M316" s="471">
        <f t="shared" si="30"/>
        <v>0.05</v>
      </c>
      <c r="N316" s="475">
        <f t="shared" si="31"/>
        <v>60664</v>
      </c>
    </row>
    <row r="317" spans="7:14" ht="11.25" customHeight="1" x14ac:dyDescent="0.3">
      <c r="G317" s="470">
        <f t="shared" si="35"/>
        <v>26</v>
      </c>
      <c r="H317" s="470">
        <v>310</v>
      </c>
      <c r="I317" s="455">
        <f t="shared" ca="1" si="29"/>
        <v>3196390.3489349103</v>
      </c>
      <c r="J317" s="455">
        <f t="array" ref="J317">IFERROR(INDEX('Retirement Calculator'!K:K,MATCH('Lorri 401b'!N317,'Retirement Calculator'!A:A,0),0),0)</f>
        <v>20282.026119384056</v>
      </c>
      <c r="K317" s="455">
        <f t="shared" ca="1" si="27"/>
        <v>13233.784678398026</v>
      </c>
      <c r="L317" s="455">
        <f t="shared" ca="1" si="28"/>
        <v>3189342.1074939244</v>
      </c>
      <c r="M317" s="471">
        <f t="shared" si="30"/>
        <v>0.05</v>
      </c>
      <c r="N317" s="475">
        <f t="shared" si="31"/>
        <v>60692</v>
      </c>
    </row>
    <row r="318" spans="7:14" ht="11.25" customHeight="1" x14ac:dyDescent="0.3">
      <c r="G318" s="470">
        <f t="shared" si="35"/>
        <v>26</v>
      </c>
      <c r="H318" s="470">
        <v>311</v>
      </c>
      <c r="I318" s="455">
        <f t="shared" ca="1" si="29"/>
        <v>3189342.1074939244</v>
      </c>
      <c r="J318" s="455">
        <f t="array" ref="J318">IFERROR(INDEX('Retirement Calculator'!K:K,MATCH('Lorri 401b'!N318,'Retirement Calculator'!A:A,0),0),0)</f>
        <v>20282.026119384056</v>
      </c>
      <c r="K318" s="455">
        <f t="shared" ca="1" si="27"/>
        <v>13204.417005727251</v>
      </c>
      <c r="L318" s="455">
        <f t="shared" ca="1" si="28"/>
        <v>3182264.4983802675</v>
      </c>
      <c r="M318" s="471">
        <f t="shared" si="30"/>
        <v>0.05</v>
      </c>
      <c r="N318" s="475">
        <f t="shared" si="31"/>
        <v>60723</v>
      </c>
    </row>
    <row r="319" spans="7:14" ht="11.25" customHeight="1" x14ac:dyDescent="0.3">
      <c r="G319" s="470">
        <f t="shared" si="35"/>
        <v>26</v>
      </c>
      <c r="H319" s="470">
        <v>312</v>
      </c>
      <c r="I319" s="455">
        <f t="shared" ca="1" si="29"/>
        <v>3182264.4983802675</v>
      </c>
      <c r="J319" s="455">
        <f t="array" ref="J319">IFERROR(INDEX('Retirement Calculator'!K:K,MATCH('Lorri 401b'!N319,'Retirement Calculator'!A:A,0),0),0)</f>
        <v>20282.026119384056</v>
      </c>
      <c r="K319" s="455">
        <f t="shared" ca="1" si="27"/>
        <v>13174.926967753681</v>
      </c>
      <c r="L319" s="455">
        <f t="shared" ca="1" si="28"/>
        <v>3175157.3992286371</v>
      </c>
      <c r="M319" s="471">
        <f t="shared" si="30"/>
        <v>0.05</v>
      </c>
      <c r="N319" s="475">
        <f t="shared" si="31"/>
        <v>60753</v>
      </c>
    </row>
    <row r="320" spans="7:14" ht="11.25" customHeight="1" x14ac:dyDescent="0.3">
      <c r="G320" s="470">
        <f>G319+1</f>
        <v>27</v>
      </c>
      <c r="H320" s="470">
        <v>313</v>
      </c>
      <c r="I320" s="455">
        <f t="shared" ca="1" si="29"/>
        <v>3175157.3992286371</v>
      </c>
      <c r="J320" s="455">
        <f t="array" ref="J320">IFERROR(INDEX('Retirement Calculator'!K:K,MATCH('Lorri 401b'!N320,'Retirement Calculator'!A:A,0),0),0)</f>
        <v>20282.026119384056</v>
      </c>
      <c r="K320" s="455">
        <f t="shared" ca="1" si="27"/>
        <v>13145.314054621887</v>
      </c>
      <c r="L320" s="455">
        <f t="shared" ca="1" si="28"/>
        <v>3168020.687163875</v>
      </c>
      <c r="M320" s="471">
        <f t="shared" si="30"/>
        <v>0.05</v>
      </c>
      <c r="N320" s="475">
        <f t="shared" si="31"/>
        <v>60784</v>
      </c>
    </row>
    <row r="321" spans="7:14" ht="11.25" customHeight="1" x14ac:dyDescent="0.3">
      <c r="G321" s="470">
        <f t="shared" ref="G321:G331" si="36">G320</f>
        <v>27</v>
      </c>
      <c r="H321" s="470">
        <v>314</v>
      </c>
      <c r="I321" s="455">
        <f t="shared" ca="1" si="29"/>
        <v>3168020.687163875</v>
      </c>
      <c r="J321" s="455">
        <f t="array" ref="J321">IFERROR(INDEX('Retirement Calculator'!K:K,MATCH('Lorri 401b'!N321,'Retirement Calculator'!A:A,0),0),0)</f>
        <v>20282.026119384056</v>
      </c>
      <c r="K321" s="455">
        <f t="shared" ca="1" si="27"/>
        <v>13115.577754352045</v>
      </c>
      <c r="L321" s="455">
        <f t="shared" ca="1" si="28"/>
        <v>3160854.2387988432</v>
      </c>
      <c r="M321" s="471">
        <f t="shared" si="30"/>
        <v>0.05</v>
      </c>
      <c r="N321" s="475">
        <f t="shared" si="31"/>
        <v>60814</v>
      </c>
    </row>
    <row r="322" spans="7:14" ht="11.25" customHeight="1" x14ac:dyDescent="0.3">
      <c r="G322" s="470">
        <f t="shared" si="36"/>
        <v>27</v>
      </c>
      <c r="H322" s="470">
        <v>315</v>
      </c>
      <c r="I322" s="455">
        <f t="shared" ca="1" si="29"/>
        <v>3160854.2387988432</v>
      </c>
      <c r="J322" s="455">
        <f t="array" ref="J322">IFERROR(INDEX('Retirement Calculator'!K:K,MATCH('Lorri 401b'!N322,'Retirement Calculator'!A:A,0),0),0)</f>
        <v>20282.026119384056</v>
      </c>
      <c r="K322" s="455">
        <f t="shared" ca="1" si="27"/>
        <v>13085.71755283108</v>
      </c>
      <c r="L322" s="455">
        <f t="shared" ca="1" si="28"/>
        <v>3153657.9302322902</v>
      </c>
      <c r="M322" s="471">
        <f t="shared" si="30"/>
        <v>0.05</v>
      </c>
      <c r="N322" s="475">
        <f t="shared" si="31"/>
        <v>60845</v>
      </c>
    </row>
    <row r="323" spans="7:14" ht="11.25" customHeight="1" x14ac:dyDescent="0.3">
      <c r="G323" s="470">
        <f t="shared" si="36"/>
        <v>27</v>
      </c>
      <c r="H323" s="470">
        <v>316</v>
      </c>
      <c r="I323" s="455">
        <f t="shared" ca="1" si="29"/>
        <v>3153657.9302322902</v>
      </c>
      <c r="J323" s="455">
        <f t="array" ref="J323">IFERROR(INDEX('Retirement Calculator'!K:K,MATCH('Lorri 401b'!N323,'Retirement Calculator'!A:A,0),0),0)</f>
        <v>20282.026119384056</v>
      </c>
      <c r="K323" s="455">
        <f t="shared" ca="1" si="27"/>
        <v>13055.732933803776</v>
      </c>
      <c r="L323" s="455">
        <f t="shared" ca="1" si="28"/>
        <v>3146431.6370467101</v>
      </c>
      <c r="M323" s="471">
        <f t="shared" si="30"/>
        <v>0.05</v>
      </c>
      <c r="N323" s="475">
        <f t="shared" si="31"/>
        <v>60876</v>
      </c>
    </row>
    <row r="324" spans="7:14" ht="11.25" customHeight="1" x14ac:dyDescent="0.3">
      <c r="G324" s="470">
        <f t="shared" si="36"/>
        <v>27</v>
      </c>
      <c r="H324" s="470">
        <v>317</v>
      </c>
      <c r="I324" s="455">
        <f t="shared" ca="1" si="29"/>
        <v>3146431.6370467101</v>
      </c>
      <c r="J324" s="455">
        <f t="array" ref="J324">IFERROR(INDEX('Retirement Calculator'!K:K,MATCH('Lorri 401b'!N324,'Retirement Calculator'!A:A,0),0),0)</f>
        <v>20282.026119384056</v>
      </c>
      <c r="K324" s="455">
        <f t="shared" ca="1" si="27"/>
        <v>13025.623378863858</v>
      </c>
      <c r="L324" s="455">
        <f t="shared" ca="1" si="28"/>
        <v>3139175.2343061902</v>
      </c>
      <c r="M324" s="471">
        <f t="shared" si="30"/>
        <v>0.05</v>
      </c>
      <c r="N324" s="475">
        <f t="shared" si="31"/>
        <v>60906</v>
      </c>
    </row>
    <row r="325" spans="7:14" ht="11.25" customHeight="1" x14ac:dyDescent="0.3">
      <c r="G325" s="470">
        <f t="shared" si="36"/>
        <v>27</v>
      </c>
      <c r="H325" s="470">
        <v>318</v>
      </c>
      <c r="I325" s="455">
        <f t="shared" ca="1" si="29"/>
        <v>3139175.2343061902</v>
      </c>
      <c r="J325" s="455">
        <f t="array" ref="J325">IFERROR(INDEX('Retirement Calculator'!K:K,MATCH('Lorri 401b'!N325,'Retirement Calculator'!A:A,0),0),0)</f>
        <v>20282.026119384056</v>
      </c>
      <c r="K325" s="455">
        <f t="shared" ca="1" si="27"/>
        <v>12995.388367445026</v>
      </c>
      <c r="L325" s="455">
        <f t="shared" ca="1" si="28"/>
        <v>3131888.5965542514</v>
      </c>
      <c r="M325" s="471">
        <f t="shared" si="30"/>
        <v>0.05</v>
      </c>
      <c r="N325" s="475">
        <f t="shared" si="31"/>
        <v>60937</v>
      </c>
    </row>
    <row r="326" spans="7:14" ht="11.25" customHeight="1" x14ac:dyDescent="0.3">
      <c r="G326" s="470">
        <f t="shared" si="36"/>
        <v>27</v>
      </c>
      <c r="H326" s="470">
        <v>319</v>
      </c>
      <c r="I326" s="455">
        <f t="shared" ca="1" si="29"/>
        <v>3131888.5965542514</v>
      </c>
      <c r="J326" s="455">
        <f t="array" ref="J326">IFERROR(INDEX('Retirement Calculator'!K:K,MATCH('Lorri 401b'!N326,'Retirement Calculator'!A:A,0),0),0)</f>
        <v>20282.026119384056</v>
      </c>
      <c r="K326" s="455">
        <f t="shared" ca="1" si="27"/>
        <v>12965.027376811948</v>
      </c>
      <c r="L326" s="455">
        <f t="shared" ca="1" si="28"/>
        <v>3124571.5978116794</v>
      </c>
      <c r="M326" s="471">
        <f t="shared" si="30"/>
        <v>0.05</v>
      </c>
      <c r="N326" s="475">
        <f t="shared" si="31"/>
        <v>60967</v>
      </c>
    </row>
    <row r="327" spans="7:14" ht="11.25" customHeight="1" x14ac:dyDescent="0.3">
      <c r="G327" s="470">
        <f t="shared" si="36"/>
        <v>27</v>
      </c>
      <c r="H327" s="470">
        <v>320</v>
      </c>
      <c r="I327" s="455">
        <f t="shared" ca="1" si="29"/>
        <v>3124571.5978116794</v>
      </c>
      <c r="J327" s="455">
        <f t="array" ref="J327">IFERROR(INDEX('Retirement Calculator'!K:K,MATCH('Lorri 401b'!N327,'Retirement Calculator'!A:A,0),0),0)</f>
        <v>20282.026119384056</v>
      </c>
      <c r="K327" s="455">
        <f t="shared" ca="1" si="27"/>
        <v>12934.539882051231</v>
      </c>
      <c r="L327" s="455">
        <f t="shared" ca="1" si="28"/>
        <v>3117224.1115743467</v>
      </c>
      <c r="M327" s="471">
        <f t="shared" si="30"/>
        <v>0.05</v>
      </c>
      <c r="N327" s="475">
        <f t="shared" si="31"/>
        <v>60998</v>
      </c>
    </row>
    <row r="328" spans="7:14" ht="11.25" customHeight="1" x14ac:dyDescent="0.3">
      <c r="G328" s="470">
        <f t="shared" si="36"/>
        <v>27</v>
      </c>
      <c r="H328" s="470">
        <v>321</v>
      </c>
      <c r="I328" s="455">
        <f t="shared" ca="1" si="29"/>
        <v>3117224.1115743467</v>
      </c>
      <c r="J328" s="455">
        <f t="array" ref="J328">IFERROR(INDEX('Retirement Calculator'!K:K,MATCH('Lorri 401b'!N328,'Retirement Calculator'!A:A,0),0),0)</f>
        <v>20282.026119384056</v>
      </c>
      <c r="K328" s="455">
        <f t="shared" ca="1" si="27"/>
        <v>12903.925356062344</v>
      </c>
      <c r="L328" s="455">
        <f t="shared" ca="1" si="28"/>
        <v>3109846.0108110248</v>
      </c>
      <c r="M328" s="471">
        <f t="shared" si="30"/>
        <v>0.05</v>
      </c>
      <c r="N328" s="475">
        <f t="shared" si="31"/>
        <v>61029</v>
      </c>
    </row>
    <row r="329" spans="7:14" ht="11.25" customHeight="1" x14ac:dyDescent="0.3">
      <c r="G329" s="470">
        <f t="shared" si="36"/>
        <v>27</v>
      </c>
      <c r="H329" s="470">
        <v>322</v>
      </c>
      <c r="I329" s="455">
        <f t="shared" ca="1" si="29"/>
        <v>3109846.0108110248</v>
      </c>
      <c r="J329" s="455">
        <f t="array" ref="J329">IFERROR(INDEX('Retirement Calculator'!K:K,MATCH('Lorri 401b'!N329,'Retirement Calculator'!A:A,0),0),0)</f>
        <v>20282.026119384056</v>
      </c>
      <c r="K329" s="455">
        <f t="shared" ca="1" si="27"/>
        <v>12873.183269548503</v>
      </c>
      <c r="L329" s="455">
        <f t="shared" ca="1" si="28"/>
        <v>3102437.1679611895</v>
      </c>
      <c r="M329" s="471">
        <f t="shared" si="30"/>
        <v>0.05</v>
      </c>
      <c r="N329" s="475">
        <f t="shared" si="31"/>
        <v>61057</v>
      </c>
    </row>
    <row r="330" spans="7:14" ht="11.25" customHeight="1" x14ac:dyDescent="0.3">
      <c r="G330" s="470">
        <f t="shared" si="36"/>
        <v>27</v>
      </c>
      <c r="H330" s="470">
        <v>323</v>
      </c>
      <c r="I330" s="455">
        <f t="shared" ca="1" si="29"/>
        <v>3102437.1679611895</v>
      </c>
      <c r="J330" s="455">
        <f t="array" ref="J330">IFERROR(INDEX('Retirement Calculator'!K:K,MATCH('Lorri 401b'!N330,'Retirement Calculator'!A:A,0),0),0)</f>
        <v>20282.026119384056</v>
      </c>
      <c r="K330" s="455">
        <f t="shared" ca="1" si="27"/>
        <v>12842.313091007523</v>
      </c>
      <c r="L330" s="455">
        <f t="shared" ca="1" si="28"/>
        <v>3094997.4549328131</v>
      </c>
      <c r="M330" s="471">
        <f t="shared" si="30"/>
        <v>0.05</v>
      </c>
      <c r="N330" s="475">
        <f t="shared" si="31"/>
        <v>61088</v>
      </c>
    </row>
    <row r="331" spans="7:14" ht="11.25" customHeight="1" x14ac:dyDescent="0.3">
      <c r="G331" s="470">
        <f t="shared" si="36"/>
        <v>27</v>
      </c>
      <c r="H331" s="470">
        <v>324</v>
      </c>
      <c r="I331" s="455">
        <f t="shared" ca="1" si="29"/>
        <v>3094997.4549328131</v>
      </c>
      <c r="J331" s="455">
        <f t="array" ref="J331">IFERROR(INDEX('Retirement Calculator'!K:K,MATCH('Lorri 401b'!N331,'Retirement Calculator'!A:A,0),0),0)</f>
        <v>20282.026119384056</v>
      </c>
      <c r="K331" s="455">
        <f t="shared" ca="1" si="27"/>
        <v>12811.314286722622</v>
      </c>
      <c r="L331" s="455">
        <f t="shared" ca="1" si="28"/>
        <v>3087526.7431001519</v>
      </c>
      <c r="M331" s="471">
        <f t="shared" si="30"/>
        <v>0.05</v>
      </c>
      <c r="N331" s="475">
        <f t="shared" si="31"/>
        <v>61118</v>
      </c>
    </row>
    <row r="332" spans="7:14" ht="11.25" customHeight="1" x14ac:dyDescent="0.3">
      <c r="G332" s="470">
        <f>G331+1</f>
        <v>28</v>
      </c>
      <c r="H332" s="470">
        <v>325</v>
      </c>
      <c r="I332" s="455">
        <f t="shared" ca="1" si="29"/>
        <v>3087526.7431001519</v>
      </c>
      <c r="J332" s="455">
        <f t="array" ref="J332">IFERROR(INDEX('Retirement Calculator'!K:K,MATCH('Lorri 401b'!N332,'Retirement Calculator'!A:A,0),0),0)</f>
        <v>20282.026119384056</v>
      </c>
      <c r="K332" s="455">
        <f t="shared" ca="1" si="27"/>
        <v>12780.186320753199</v>
      </c>
      <c r="L332" s="455">
        <f t="shared" ca="1" si="28"/>
        <v>3080024.9033015212</v>
      </c>
      <c r="M332" s="471">
        <f t="shared" si="30"/>
        <v>0.05</v>
      </c>
      <c r="N332" s="475">
        <f t="shared" si="31"/>
        <v>61149</v>
      </c>
    </row>
    <row r="333" spans="7:14" ht="11.25" customHeight="1" x14ac:dyDescent="0.3">
      <c r="G333" s="470">
        <f t="shared" ref="G333:G343" si="37">G332</f>
        <v>28</v>
      </c>
      <c r="H333" s="470">
        <v>326</v>
      </c>
      <c r="I333" s="455">
        <f t="shared" ca="1" si="29"/>
        <v>3080024.9033015212</v>
      </c>
      <c r="J333" s="455">
        <f t="array" ref="J333">IFERROR(INDEX('Retirement Calculator'!K:K,MATCH('Lorri 401b'!N333,'Retirement Calculator'!A:A,0),0),0)</f>
        <v>20282.026119384056</v>
      </c>
      <c r="K333" s="455">
        <f t="shared" ca="1" si="27"/>
        <v>12748.928654925572</v>
      </c>
      <c r="L333" s="455">
        <f t="shared" ca="1" si="28"/>
        <v>3072491.8058370627</v>
      </c>
      <c r="M333" s="471">
        <f t="shared" si="30"/>
        <v>0.05</v>
      </c>
      <c r="N333" s="475">
        <f t="shared" si="31"/>
        <v>61179</v>
      </c>
    </row>
    <row r="334" spans="7:14" ht="11.25" customHeight="1" x14ac:dyDescent="0.3">
      <c r="G334" s="470">
        <f t="shared" si="37"/>
        <v>28</v>
      </c>
      <c r="H334" s="470">
        <v>327</v>
      </c>
      <c r="I334" s="455">
        <f t="shared" ca="1" si="29"/>
        <v>3072491.8058370627</v>
      </c>
      <c r="J334" s="455">
        <f t="array" ref="J334">IFERROR(INDEX('Retirement Calculator'!K:K,MATCH('Lorri 401b'!N334,'Retirement Calculator'!A:A,0),0),0)</f>
        <v>20282.026119384056</v>
      </c>
      <c r="K334" s="455">
        <f t="shared" ca="1" si="27"/>
        <v>12717.540748823661</v>
      </c>
      <c r="L334" s="455">
        <f t="shared" ca="1" si="28"/>
        <v>3064927.3204665021</v>
      </c>
      <c r="M334" s="471">
        <f t="shared" si="30"/>
        <v>0.05</v>
      </c>
      <c r="N334" s="475">
        <f t="shared" si="31"/>
        <v>61210</v>
      </c>
    </row>
    <row r="335" spans="7:14" ht="11.25" customHeight="1" x14ac:dyDescent="0.3">
      <c r="G335" s="470">
        <f t="shared" si="37"/>
        <v>28</v>
      </c>
      <c r="H335" s="470">
        <v>328</v>
      </c>
      <c r="I335" s="455">
        <f t="shared" ca="1" si="29"/>
        <v>3064927.3204665021</v>
      </c>
      <c r="J335" s="455">
        <f t="array" ref="J335">IFERROR(INDEX('Retirement Calculator'!K:K,MATCH('Lorri 401b'!N335,'Retirement Calculator'!A:A,0),0),0)</f>
        <v>20282.026119384056</v>
      </c>
      <c r="K335" s="455">
        <f t="shared" ca="1" si="27"/>
        <v>12686.022059779658</v>
      </c>
      <c r="L335" s="455">
        <f t="shared" ca="1" si="28"/>
        <v>3057331.3164068977</v>
      </c>
      <c r="M335" s="471">
        <f t="shared" si="30"/>
        <v>0.05</v>
      </c>
      <c r="N335" s="475">
        <f t="shared" si="31"/>
        <v>61241</v>
      </c>
    </row>
    <row r="336" spans="7:14" ht="11.25" customHeight="1" x14ac:dyDescent="0.3">
      <c r="G336" s="470">
        <f t="shared" si="37"/>
        <v>28</v>
      </c>
      <c r="H336" s="470">
        <v>329</v>
      </c>
      <c r="I336" s="455">
        <f t="shared" ca="1" si="29"/>
        <v>3057331.3164068977</v>
      </c>
      <c r="J336" s="455">
        <f t="array" ref="J336">IFERROR(INDEX('Retirement Calculator'!K:K,MATCH('Lorri 401b'!N336,'Retirement Calculator'!A:A,0),0),0)</f>
        <v>20282.026119384056</v>
      </c>
      <c r="K336" s="455">
        <f t="shared" ca="1" si="27"/>
        <v>12654.372042864641</v>
      </c>
      <c r="L336" s="455">
        <f t="shared" ca="1" si="28"/>
        <v>3049703.6623303783</v>
      </c>
      <c r="M336" s="471">
        <f t="shared" si="30"/>
        <v>0.05</v>
      </c>
      <c r="N336" s="475">
        <f t="shared" si="31"/>
        <v>61271</v>
      </c>
    </row>
    <row r="337" spans="7:14" ht="11.25" customHeight="1" x14ac:dyDescent="0.3">
      <c r="G337" s="470">
        <f t="shared" si="37"/>
        <v>28</v>
      </c>
      <c r="H337" s="470">
        <v>330</v>
      </c>
      <c r="I337" s="455">
        <f t="shared" ca="1" si="29"/>
        <v>3049703.6623303783</v>
      </c>
      <c r="J337" s="455">
        <f t="array" ref="J337">IFERROR(INDEX('Retirement Calculator'!K:K,MATCH('Lorri 401b'!N337,'Retirement Calculator'!A:A,0),0),0)</f>
        <v>20282.026119384056</v>
      </c>
      <c r="K337" s="455">
        <f t="shared" ca="1" si="27"/>
        <v>12622.590150879143</v>
      </c>
      <c r="L337" s="455">
        <f t="shared" ca="1" si="28"/>
        <v>3042044.2263618736</v>
      </c>
      <c r="M337" s="471">
        <f t="shared" si="30"/>
        <v>0.05</v>
      </c>
      <c r="N337" s="475">
        <f t="shared" si="31"/>
        <v>61302</v>
      </c>
    </row>
    <row r="338" spans="7:14" ht="11.25" customHeight="1" x14ac:dyDescent="0.3">
      <c r="G338" s="470">
        <f t="shared" si="37"/>
        <v>28</v>
      </c>
      <c r="H338" s="470">
        <v>331</v>
      </c>
      <c r="I338" s="455">
        <f t="shared" ca="1" si="29"/>
        <v>3042044.2263618736</v>
      </c>
      <c r="J338" s="455">
        <f t="array" ref="J338">IFERROR(INDEX('Retirement Calculator'!K:K,MATCH('Lorri 401b'!N338,'Retirement Calculator'!A:A,0),0),0)</f>
        <v>20282.026119384056</v>
      </c>
      <c r="K338" s="455">
        <f t="shared" ca="1" si="27"/>
        <v>12590.675834343707</v>
      </c>
      <c r="L338" s="455">
        <f t="shared" ca="1" si="28"/>
        <v>3034352.8760768333</v>
      </c>
      <c r="M338" s="471">
        <f t="shared" si="30"/>
        <v>0.05</v>
      </c>
      <c r="N338" s="475">
        <f t="shared" si="31"/>
        <v>61332</v>
      </c>
    </row>
    <row r="339" spans="7:14" ht="11.25" customHeight="1" x14ac:dyDescent="0.3">
      <c r="G339" s="470">
        <f t="shared" si="37"/>
        <v>28</v>
      </c>
      <c r="H339" s="470">
        <v>332</v>
      </c>
      <c r="I339" s="455">
        <f t="shared" ca="1" si="29"/>
        <v>3034352.8760768333</v>
      </c>
      <c r="J339" s="455">
        <f t="array" ref="J339">IFERROR(INDEX('Retirement Calculator'!K:K,MATCH('Lorri 401b'!N339,'Retirement Calculator'!A:A,0),0),0)</f>
        <v>20282.026119384056</v>
      </c>
      <c r="K339" s="455">
        <f t="shared" ca="1" si="27"/>
        <v>12558.628541489372</v>
      </c>
      <c r="L339" s="455">
        <f t="shared" ca="1" si="28"/>
        <v>3026629.478498939</v>
      </c>
      <c r="M339" s="471">
        <f t="shared" si="30"/>
        <v>0.05</v>
      </c>
      <c r="N339" s="475">
        <f t="shared" si="31"/>
        <v>61363</v>
      </c>
    </row>
    <row r="340" spans="7:14" ht="11.25" customHeight="1" x14ac:dyDescent="0.3">
      <c r="G340" s="470">
        <f t="shared" si="37"/>
        <v>28</v>
      </c>
      <c r="H340" s="470">
        <v>333</v>
      </c>
      <c r="I340" s="455">
        <f t="shared" ca="1" si="29"/>
        <v>3026629.478498939</v>
      </c>
      <c r="J340" s="455">
        <f t="array" ref="J340">IFERROR(INDEX('Retirement Calculator'!K:K,MATCH('Lorri 401b'!N340,'Retirement Calculator'!A:A,0),0),0)</f>
        <v>20282.026119384056</v>
      </c>
      <c r="K340" s="455">
        <f t="shared" ca="1" si="27"/>
        <v>12526.447718248146</v>
      </c>
      <c r="L340" s="455">
        <f t="shared" ca="1" si="28"/>
        <v>3018873.9000978032</v>
      </c>
      <c r="M340" s="471">
        <f t="shared" si="30"/>
        <v>0.05</v>
      </c>
      <c r="N340" s="475">
        <f t="shared" si="31"/>
        <v>61394</v>
      </c>
    </row>
    <row r="341" spans="7:14" ht="11.25" customHeight="1" x14ac:dyDescent="0.3">
      <c r="G341" s="470">
        <f t="shared" si="37"/>
        <v>28</v>
      </c>
      <c r="H341" s="470">
        <v>334</v>
      </c>
      <c r="I341" s="455">
        <f t="shared" ca="1" si="29"/>
        <v>3018873.9000978032</v>
      </c>
      <c r="J341" s="455">
        <f t="array" ref="J341">IFERROR(INDEX('Retirement Calculator'!K:K,MATCH('Lorri 401b'!N341,'Retirement Calculator'!A:A,0),0),0)</f>
        <v>20282.026119384056</v>
      </c>
      <c r="K341" s="455">
        <f t="shared" ca="1" si="27"/>
        <v>12494.132808243414</v>
      </c>
      <c r="L341" s="455">
        <f t="shared" ca="1" si="28"/>
        <v>3011086.0067866626</v>
      </c>
      <c r="M341" s="471">
        <f t="shared" si="30"/>
        <v>0.05</v>
      </c>
      <c r="N341" s="475">
        <f t="shared" si="31"/>
        <v>61423</v>
      </c>
    </row>
    <row r="342" spans="7:14" ht="11.25" customHeight="1" x14ac:dyDescent="0.3">
      <c r="G342" s="470">
        <f t="shared" si="37"/>
        <v>28</v>
      </c>
      <c r="H342" s="470">
        <v>335</v>
      </c>
      <c r="I342" s="455">
        <f t="shared" ca="1" si="29"/>
        <v>3011086.0067866626</v>
      </c>
      <c r="J342" s="455">
        <f t="array" ref="J342">IFERROR(INDEX('Retirement Calculator'!K:K,MATCH('Lorri 401b'!N342,'Retirement Calculator'!A:A,0),0),0)</f>
        <v>20282.026119384056</v>
      </c>
      <c r="K342" s="455">
        <f t="shared" ca="1" si="27"/>
        <v>12461.683252780327</v>
      </c>
      <c r="L342" s="455">
        <f t="shared" ca="1" si="28"/>
        <v>3003265.6639200589</v>
      </c>
      <c r="M342" s="471">
        <f t="shared" si="30"/>
        <v>0.05</v>
      </c>
      <c r="N342" s="475">
        <f t="shared" si="31"/>
        <v>61454</v>
      </c>
    </row>
    <row r="343" spans="7:14" ht="11.25" customHeight="1" x14ac:dyDescent="0.3">
      <c r="G343" s="470">
        <f t="shared" si="37"/>
        <v>28</v>
      </c>
      <c r="H343" s="470">
        <v>336</v>
      </c>
      <c r="I343" s="455">
        <f t="shared" ca="1" si="29"/>
        <v>3003265.6639200589</v>
      </c>
      <c r="J343" s="455">
        <f t="array" ref="J343">IFERROR(INDEX('Retirement Calculator'!K:K,MATCH('Lorri 401b'!N343,'Retirement Calculator'!A:A,0),0),0)</f>
        <v>20282.026119384056</v>
      </c>
      <c r="K343" s="455">
        <f t="shared" ca="1" si="27"/>
        <v>12429.098490836146</v>
      </c>
      <c r="L343" s="455">
        <f t="shared" ca="1" si="28"/>
        <v>2995412.736291511</v>
      </c>
      <c r="M343" s="471">
        <f t="shared" si="30"/>
        <v>0.05</v>
      </c>
      <c r="N343" s="475">
        <f t="shared" si="31"/>
        <v>61484</v>
      </c>
    </row>
    <row r="344" spans="7:14" ht="11.25" customHeight="1" x14ac:dyDescent="0.3">
      <c r="G344" s="470">
        <f>G343+1</f>
        <v>29</v>
      </c>
      <c r="H344" s="470">
        <v>337</v>
      </c>
      <c r="I344" s="455">
        <f t="shared" ca="1" si="29"/>
        <v>2995412.736291511</v>
      </c>
      <c r="J344" s="455">
        <f t="array" ref="J344">IFERROR(INDEX('Retirement Calculator'!K:K,MATCH('Lorri 401b'!N344,'Retirement Calculator'!A:A,0),0),0)</f>
        <v>20282.026119384056</v>
      </c>
      <c r="K344" s="455">
        <f t="shared" ca="1" si="27"/>
        <v>12396.377959050529</v>
      </c>
      <c r="L344" s="455">
        <f t="shared" ca="1" si="28"/>
        <v>2987527.0881311777</v>
      </c>
      <c r="M344" s="471">
        <f t="shared" si="30"/>
        <v>0.05</v>
      </c>
      <c r="N344" s="475">
        <f t="shared" si="31"/>
        <v>61515</v>
      </c>
    </row>
    <row r="345" spans="7:14" ht="11.25" customHeight="1" x14ac:dyDescent="0.3">
      <c r="G345" s="470">
        <f t="shared" ref="G345:G355" si="38">G344</f>
        <v>29</v>
      </c>
      <c r="H345" s="470">
        <v>338</v>
      </c>
      <c r="I345" s="455">
        <f t="shared" ca="1" si="29"/>
        <v>2987527.0881311777</v>
      </c>
      <c r="J345" s="455">
        <f t="array" ref="J345">IFERROR(INDEX('Retirement Calculator'!K:K,MATCH('Lorri 401b'!N345,'Retirement Calculator'!A:A,0),0),0)</f>
        <v>20282.026119384056</v>
      </c>
      <c r="K345" s="455">
        <f t="shared" ca="1" si="27"/>
        <v>12363.521091715807</v>
      </c>
      <c r="L345" s="455">
        <f t="shared" ca="1" si="28"/>
        <v>2979608.5831035096</v>
      </c>
      <c r="M345" s="471">
        <f t="shared" si="30"/>
        <v>0.05</v>
      </c>
      <c r="N345" s="475">
        <f t="shared" si="31"/>
        <v>61545</v>
      </c>
    </row>
    <row r="346" spans="7:14" ht="11.25" customHeight="1" x14ac:dyDescent="0.3">
      <c r="G346" s="470">
        <f t="shared" si="38"/>
        <v>29</v>
      </c>
      <c r="H346" s="470">
        <v>339</v>
      </c>
      <c r="I346" s="455">
        <f t="shared" ca="1" si="29"/>
        <v>2979608.5831035096</v>
      </c>
      <c r="J346" s="455">
        <f t="array" ref="J346">IFERROR(INDEX('Retirement Calculator'!K:K,MATCH('Lorri 401b'!N346,'Retirement Calculator'!A:A,0),0),0)</f>
        <v>20282.026119384056</v>
      </c>
      <c r="K346" s="455">
        <f t="shared" ca="1" si="27"/>
        <v>12330.527320767191</v>
      </c>
      <c r="L346" s="455">
        <f t="shared" ca="1" si="28"/>
        <v>2971657.0843048929</v>
      </c>
      <c r="M346" s="471">
        <f t="shared" si="30"/>
        <v>0.05</v>
      </c>
      <c r="N346" s="475">
        <f t="shared" si="31"/>
        <v>61576</v>
      </c>
    </row>
    <row r="347" spans="7:14" ht="11.25" customHeight="1" x14ac:dyDescent="0.3">
      <c r="G347" s="470">
        <f t="shared" si="38"/>
        <v>29</v>
      </c>
      <c r="H347" s="470">
        <v>340</v>
      </c>
      <c r="I347" s="455">
        <f t="shared" ca="1" si="29"/>
        <v>2971657.0843048929</v>
      </c>
      <c r="J347" s="455">
        <f t="array" ref="J347">IFERROR(INDEX('Retirement Calculator'!K:K,MATCH('Lorri 401b'!N347,'Retirement Calculator'!A:A,0),0),0)</f>
        <v>20282.026119384056</v>
      </c>
      <c r="K347" s="455">
        <f t="shared" ca="1" si="27"/>
        <v>12297.396075772955</v>
      </c>
      <c r="L347" s="455">
        <f t="shared" ca="1" si="28"/>
        <v>2963672.454261282</v>
      </c>
      <c r="M347" s="471">
        <f t="shared" si="30"/>
        <v>0.05</v>
      </c>
      <c r="N347" s="475">
        <f t="shared" si="31"/>
        <v>61607</v>
      </c>
    </row>
    <row r="348" spans="7:14" ht="11.25" customHeight="1" x14ac:dyDescent="0.3">
      <c r="G348" s="470">
        <f t="shared" si="38"/>
        <v>29</v>
      </c>
      <c r="H348" s="470">
        <v>341</v>
      </c>
      <c r="I348" s="455">
        <f t="shared" ca="1" si="29"/>
        <v>2963672.454261282</v>
      </c>
      <c r="J348" s="455">
        <f t="array" ref="J348">IFERROR(INDEX('Retirement Calculator'!K:K,MATCH('Lorri 401b'!N348,'Retirement Calculator'!A:A,0),0),0)</f>
        <v>20282.026119384056</v>
      </c>
      <c r="K348" s="455">
        <f t="shared" ca="1" si="27"/>
        <v>12264.126783924576</v>
      </c>
      <c r="L348" s="455">
        <f t="shared" ca="1" si="28"/>
        <v>2955654.5549258227</v>
      </c>
      <c r="M348" s="471">
        <f t="shared" si="30"/>
        <v>0.05</v>
      </c>
      <c r="N348" s="475">
        <f t="shared" si="31"/>
        <v>61637</v>
      </c>
    </row>
    <row r="349" spans="7:14" ht="11.25" customHeight="1" x14ac:dyDescent="0.3">
      <c r="G349" s="470">
        <f t="shared" si="38"/>
        <v>29</v>
      </c>
      <c r="H349" s="470">
        <v>342</v>
      </c>
      <c r="I349" s="455">
        <f t="shared" ca="1" si="29"/>
        <v>2955654.5549258227</v>
      </c>
      <c r="J349" s="455">
        <f t="array" ref="J349">IFERROR(INDEX('Retirement Calculator'!K:K,MATCH('Lorri 401b'!N349,'Retirement Calculator'!A:A,0),0),0)</f>
        <v>20282.026119384056</v>
      </c>
      <c r="K349" s="455">
        <f t="shared" ca="1" si="27"/>
        <v>12230.718870026827</v>
      </c>
      <c r="L349" s="455">
        <f t="shared" ca="1" si="28"/>
        <v>2947603.2476764657</v>
      </c>
      <c r="M349" s="471">
        <f t="shared" si="30"/>
        <v>0.05</v>
      </c>
      <c r="N349" s="475">
        <f t="shared" si="31"/>
        <v>61668</v>
      </c>
    </row>
    <row r="350" spans="7:14" ht="11.25" customHeight="1" x14ac:dyDescent="0.3">
      <c r="G350" s="470">
        <f t="shared" si="38"/>
        <v>29</v>
      </c>
      <c r="H350" s="470">
        <v>343</v>
      </c>
      <c r="I350" s="455">
        <f t="shared" ca="1" si="29"/>
        <v>2947603.2476764657</v>
      </c>
      <c r="J350" s="455">
        <f t="array" ref="J350">IFERROR(INDEX('Retirement Calculator'!K:K,MATCH('Lorri 401b'!N350,'Retirement Calculator'!A:A,0),0),0)</f>
        <v>20282.026119384056</v>
      </c>
      <c r="K350" s="455">
        <f t="shared" ca="1" si="27"/>
        <v>12197.17175648784</v>
      </c>
      <c r="L350" s="455">
        <f t="shared" ca="1" si="28"/>
        <v>2939518.3933135695</v>
      </c>
      <c r="M350" s="471">
        <f t="shared" si="30"/>
        <v>0.05</v>
      </c>
      <c r="N350" s="475">
        <f t="shared" si="31"/>
        <v>61698</v>
      </c>
    </row>
    <row r="351" spans="7:14" ht="11.25" customHeight="1" x14ac:dyDescent="0.3">
      <c r="G351" s="470">
        <f t="shared" si="38"/>
        <v>29</v>
      </c>
      <c r="H351" s="470">
        <v>344</v>
      </c>
      <c r="I351" s="455">
        <f t="shared" ca="1" si="29"/>
        <v>2939518.3933135695</v>
      </c>
      <c r="J351" s="455">
        <f t="array" ref="J351">IFERROR(INDEX('Retirement Calculator'!K:K,MATCH('Lorri 401b'!N351,'Retirement Calculator'!A:A,0),0),0)</f>
        <v>20282.026119384056</v>
      </c>
      <c r="K351" s="455">
        <f t="shared" ca="1" si="27"/>
        <v>12163.484863309106</v>
      </c>
      <c r="L351" s="455">
        <f t="shared" ca="1" si="28"/>
        <v>2931399.8520574947</v>
      </c>
      <c r="M351" s="471">
        <f t="shared" si="30"/>
        <v>0.05</v>
      </c>
      <c r="N351" s="475">
        <f t="shared" si="31"/>
        <v>61729</v>
      </c>
    </row>
    <row r="352" spans="7:14" ht="11.25" customHeight="1" x14ac:dyDescent="0.3">
      <c r="G352" s="470">
        <f t="shared" si="38"/>
        <v>29</v>
      </c>
      <c r="H352" s="470">
        <v>345</v>
      </c>
      <c r="I352" s="455">
        <f t="shared" ca="1" si="29"/>
        <v>2931399.8520574947</v>
      </c>
      <c r="J352" s="455">
        <f t="array" ref="J352">IFERROR(INDEX('Retirement Calculator'!K:K,MATCH('Lorri 401b'!N352,'Retirement Calculator'!A:A,0),0),0)</f>
        <v>20282.026119384056</v>
      </c>
      <c r="K352" s="455">
        <f t="shared" ca="1" si="27"/>
        <v>12129.65760807546</v>
      </c>
      <c r="L352" s="455">
        <f t="shared" ca="1" si="28"/>
        <v>2923247.4835461862</v>
      </c>
      <c r="M352" s="471">
        <f t="shared" si="30"/>
        <v>0.05</v>
      </c>
      <c r="N352" s="475">
        <f t="shared" si="31"/>
        <v>61760</v>
      </c>
    </row>
    <row r="353" spans="7:14" ht="11.25" customHeight="1" x14ac:dyDescent="0.3">
      <c r="G353" s="470">
        <f t="shared" si="38"/>
        <v>29</v>
      </c>
      <c r="H353" s="470">
        <v>346</v>
      </c>
      <c r="I353" s="455">
        <f t="shared" ca="1" si="29"/>
        <v>2923247.4835461862</v>
      </c>
      <c r="J353" s="455">
        <f t="array" ref="J353">IFERROR(INDEX('Retirement Calculator'!K:K,MATCH('Lorri 401b'!N353,'Retirement Calculator'!A:A,0),0),0)</f>
        <v>20282.026119384056</v>
      </c>
      <c r="K353" s="455">
        <f t="shared" ca="1" si="27"/>
        <v>12095.68940594501</v>
      </c>
      <c r="L353" s="455">
        <f t="shared" ca="1" si="28"/>
        <v>2915061.1468327474</v>
      </c>
      <c r="M353" s="471">
        <f t="shared" si="30"/>
        <v>0.05</v>
      </c>
      <c r="N353" s="475">
        <f t="shared" si="31"/>
        <v>61788</v>
      </c>
    </row>
    <row r="354" spans="7:14" ht="11.25" customHeight="1" x14ac:dyDescent="0.3">
      <c r="G354" s="470">
        <f t="shared" si="38"/>
        <v>29</v>
      </c>
      <c r="H354" s="470">
        <v>347</v>
      </c>
      <c r="I354" s="455">
        <f t="shared" ca="1" si="29"/>
        <v>2915061.1468327474</v>
      </c>
      <c r="J354" s="455">
        <f t="array" ref="J354">IFERROR(INDEX('Retirement Calculator'!K:K,MATCH('Lorri 401b'!N354,'Retirement Calculator'!A:A,0),0),0)</f>
        <v>20282.026119384056</v>
      </c>
      <c r="K354" s="455">
        <f t="shared" ca="1" si="27"/>
        <v>12061.579669639013</v>
      </c>
      <c r="L354" s="455">
        <f t="shared" ca="1" si="28"/>
        <v>2906840.7003830024</v>
      </c>
      <c r="M354" s="471">
        <f t="shared" si="30"/>
        <v>0.05</v>
      </c>
      <c r="N354" s="475">
        <f t="shared" si="31"/>
        <v>61819</v>
      </c>
    </row>
    <row r="355" spans="7:14" ht="11.25" customHeight="1" x14ac:dyDescent="0.3">
      <c r="G355" s="470">
        <f t="shared" si="38"/>
        <v>29</v>
      </c>
      <c r="H355" s="470">
        <v>348</v>
      </c>
      <c r="I355" s="455">
        <f t="shared" ca="1" si="29"/>
        <v>2906840.7003830024</v>
      </c>
      <c r="J355" s="455">
        <f t="array" ref="J355">IFERROR(INDEX('Retirement Calculator'!K:K,MATCH('Lorri 401b'!N355,'Retirement Calculator'!A:A,0),0),0)</f>
        <v>20282.026119384056</v>
      </c>
      <c r="K355" s="455">
        <f t="shared" ca="1" si="27"/>
        <v>12027.327809431743</v>
      </c>
      <c r="L355" s="455">
        <f t="shared" ca="1" si="28"/>
        <v>2898586.00207305</v>
      </c>
      <c r="M355" s="471">
        <f t="shared" si="30"/>
        <v>0.05</v>
      </c>
      <c r="N355" s="475">
        <f t="shared" si="31"/>
        <v>61849</v>
      </c>
    </row>
    <row r="356" spans="7:14" ht="11.25" customHeight="1" x14ac:dyDescent="0.3">
      <c r="G356" s="470">
        <f>G355+1</f>
        <v>30</v>
      </c>
      <c r="H356" s="470">
        <v>349</v>
      </c>
      <c r="I356" s="455">
        <f t="shared" ca="1" si="29"/>
        <v>2898586.00207305</v>
      </c>
      <c r="J356" s="455">
        <f t="array" ref="J356">IFERROR(INDEX('Retirement Calculator'!K:K,MATCH('Lorri 401b'!N356,'Retirement Calculator'!A:A,0),0),0)</f>
        <v>20282.026119384056</v>
      </c>
      <c r="K356" s="455">
        <f t="shared" ca="1" si="27"/>
        <v>11992.933233140275</v>
      </c>
      <c r="L356" s="455">
        <f t="shared" ca="1" si="28"/>
        <v>2890296.9091868065</v>
      </c>
      <c r="M356" s="471">
        <f t="shared" si="30"/>
        <v>0.05</v>
      </c>
      <c r="N356" s="475">
        <f t="shared" si="31"/>
        <v>61880</v>
      </c>
    </row>
    <row r="357" spans="7:14" ht="11.25" customHeight="1" x14ac:dyDescent="0.3">
      <c r="G357" s="470">
        <f t="shared" ref="G357:G367" si="39">G356</f>
        <v>30</v>
      </c>
      <c r="H357" s="470">
        <v>350</v>
      </c>
      <c r="I357" s="455">
        <f t="shared" ca="1" si="29"/>
        <v>2890296.9091868065</v>
      </c>
      <c r="J357" s="455">
        <f t="array" ref="J357">IFERROR(INDEX('Retirement Calculator'!K:K,MATCH('Lorri 401b'!N357,'Retirement Calculator'!A:A,0),0),0)</f>
        <v>20282.026119384056</v>
      </c>
      <c r="K357" s="455">
        <f t="shared" ca="1" si="27"/>
        <v>11958.395346114261</v>
      </c>
      <c r="L357" s="455">
        <f t="shared" ca="1" si="28"/>
        <v>2881973.278413537</v>
      </c>
      <c r="M357" s="471">
        <f t="shared" si="30"/>
        <v>0.05</v>
      </c>
      <c r="N357" s="475">
        <f t="shared" si="31"/>
        <v>61910</v>
      </c>
    </row>
    <row r="358" spans="7:14" ht="11.25" customHeight="1" x14ac:dyDescent="0.3">
      <c r="G358" s="470">
        <f t="shared" si="39"/>
        <v>30</v>
      </c>
      <c r="H358" s="470">
        <v>351</v>
      </c>
      <c r="I358" s="455">
        <f t="shared" ca="1" si="29"/>
        <v>2881973.278413537</v>
      </c>
      <c r="J358" s="455">
        <f t="array" ref="J358">IFERROR(INDEX('Retirement Calculator'!K:K,MATCH('Lorri 401b'!N358,'Retirement Calculator'!A:A,0),0),0)</f>
        <v>20282.026119384056</v>
      </c>
      <c r="K358" s="455">
        <f t="shared" ca="1" si="27"/>
        <v>11923.713551225637</v>
      </c>
      <c r="L358" s="455">
        <f t="shared" ca="1" si="28"/>
        <v>2873614.9658453786</v>
      </c>
      <c r="M358" s="471">
        <f t="shared" si="30"/>
        <v>0.05</v>
      </c>
      <c r="N358" s="475">
        <f t="shared" si="31"/>
        <v>61941</v>
      </c>
    </row>
    <row r="359" spans="7:14" ht="11.25" customHeight="1" x14ac:dyDescent="0.3">
      <c r="G359" s="470">
        <f t="shared" si="39"/>
        <v>30</v>
      </c>
      <c r="H359" s="470">
        <v>352</v>
      </c>
      <c r="I359" s="455">
        <f t="shared" ca="1" si="29"/>
        <v>2873614.9658453786</v>
      </c>
      <c r="J359" s="455">
        <f t="array" ref="J359">IFERROR(INDEX('Retirement Calculator'!K:K,MATCH('Lorri 401b'!N359,'Retirement Calculator'!A:A,0),0),0)</f>
        <v>20282.026119384056</v>
      </c>
      <c r="K359" s="455">
        <f t="shared" ca="1" si="27"/>
        <v>11888.887248858311</v>
      </c>
      <c r="L359" s="455">
        <f t="shared" ca="1" si="28"/>
        <v>2865221.8269748529</v>
      </c>
      <c r="M359" s="471">
        <f t="shared" si="30"/>
        <v>0.05</v>
      </c>
      <c r="N359" s="475">
        <f t="shared" si="31"/>
        <v>61972</v>
      </c>
    </row>
    <row r="360" spans="7:14" ht="11.25" customHeight="1" x14ac:dyDescent="0.3">
      <c r="G360" s="470">
        <f t="shared" si="39"/>
        <v>30</v>
      </c>
      <c r="H360" s="470">
        <v>353</v>
      </c>
      <c r="I360" s="455">
        <f t="shared" ca="1" si="29"/>
        <v>2865221.8269748529</v>
      </c>
      <c r="J360" s="455">
        <f t="array" ref="J360">IFERROR(INDEX('Retirement Calculator'!K:K,MATCH('Lorri 401b'!N360,'Retirement Calculator'!A:A,0),0),0)</f>
        <v>20282.026119384056</v>
      </c>
      <c r="K360" s="455">
        <f t="shared" ca="1" si="27"/>
        <v>11853.915836897788</v>
      </c>
      <c r="L360" s="455">
        <f t="shared" ca="1" si="28"/>
        <v>2856793.7166923666</v>
      </c>
      <c r="M360" s="471">
        <f t="shared" si="30"/>
        <v>0.05</v>
      </c>
      <c r="N360" s="475">
        <f t="shared" si="31"/>
        <v>62002</v>
      </c>
    </row>
    <row r="361" spans="7:14" ht="11.25" customHeight="1" x14ac:dyDescent="0.3">
      <c r="G361" s="470">
        <f t="shared" si="39"/>
        <v>30</v>
      </c>
      <c r="H361" s="470">
        <v>354</v>
      </c>
      <c r="I361" s="455">
        <f t="shared" ca="1" si="29"/>
        <v>2856793.7166923666</v>
      </c>
      <c r="J361" s="455">
        <f t="array" ref="J361">IFERROR(INDEX('Retirement Calculator'!K:K,MATCH('Lorri 401b'!N361,'Retirement Calculator'!A:A,0),0),0)</f>
        <v>20282.026119384056</v>
      </c>
      <c r="K361" s="455">
        <f t="shared" ca="1" si="27"/>
        <v>11818.798710720761</v>
      </c>
      <c r="L361" s="455">
        <f t="shared" ca="1" si="28"/>
        <v>2848330.4892837033</v>
      </c>
      <c r="M361" s="471">
        <f t="shared" si="30"/>
        <v>0.05</v>
      </c>
      <c r="N361" s="475">
        <f t="shared" si="31"/>
        <v>62033</v>
      </c>
    </row>
    <row r="362" spans="7:14" ht="11.25" customHeight="1" x14ac:dyDescent="0.3">
      <c r="G362" s="470">
        <f t="shared" si="39"/>
        <v>30</v>
      </c>
      <c r="H362" s="470">
        <v>355</v>
      </c>
      <c r="I362" s="455">
        <f t="shared" ca="1" si="29"/>
        <v>2848330.4892837033</v>
      </c>
      <c r="J362" s="455">
        <f t="array" ref="J362">IFERROR(INDEX('Retirement Calculator'!K:K,MATCH('Lorri 401b'!N362,'Retirement Calculator'!A:A,0),0),0)</f>
        <v>20282.026119384056</v>
      </c>
      <c r="K362" s="455">
        <f t="shared" ca="1" si="27"/>
        <v>11783.535263184664</v>
      </c>
      <c r="L362" s="455">
        <f t="shared" ca="1" si="28"/>
        <v>2839831.9984275037</v>
      </c>
      <c r="M362" s="471">
        <f t="shared" si="30"/>
        <v>0.05</v>
      </c>
      <c r="N362" s="475">
        <f t="shared" si="31"/>
        <v>62063</v>
      </c>
    </row>
    <row r="363" spans="7:14" ht="11.25" customHeight="1" x14ac:dyDescent="0.3">
      <c r="G363" s="470">
        <f t="shared" si="39"/>
        <v>30</v>
      </c>
      <c r="H363" s="470">
        <v>356</v>
      </c>
      <c r="I363" s="455">
        <f t="shared" ca="1" si="29"/>
        <v>2839831.9984275037</v>
      </c>
      <c r="J363" s="455">
        <f t="array" ref="J363">IFERROR(INDEX('Retirement Calculator'!K:K,MATCH('Lorri 401b'!N363,'Retirement Calculator'!A:A,0),0),0)</f>
        <v>20282.026119384056</v>
      </c>
      <c r="K363" s="455">
        <f t="shared" ca="1" si="27"/>
        <v>11748.124884617166</v>
      </c>
      <c r="L363" s="455">
        <f t="shared" ca="1" si="28"/>
        <v>2831298.0971927368</v>
      </c>
      <c r="M363" s="471">
        <f t="shared" si="30"/>
        <v>0.05</v>
      </c>
      <c r="N363" s="475">
        <f t="shared" si="31"/>
        <v>62094</v>
      </c>
    </row>
    <row r="364" spans="7:14" ht="11.25" customHeight="1" x14ac:dyDescent="0.3">
      <c r="G364" s="470">
        <f t="shared" si="39"/>
        <v>30</v>
      </c>
      <c r="H364" s="470">
        <v>357</v>
      </c>
      <c r="I364" s="455">
        <f t="shared" ca="1" si="29"/>
        <v>2831298.0971927368</v>
      </c>
      <c r="J364" s="455">
        <f t="array" ref="J364">IFERROR(INDEX('Retirement Calculator'!K:K,MATCH('Lorri 401b'!N364,'Retirement Calculator'!A:A,0),0),0)</f>
        <v>20282.026119384056</v>
      </c>
      <c r="K364" s="455">
        <f t="shared" ca="1" si="27"/>
        <v>11712.566962805637</v>
      </c>
      <c r="L364" s="455">
        <f t="shared" ca="1" si="28"/>
        <v>2822728.6380361584</v>
      </c>
      <c r="M364" s="471">
        <f t="shared" si="30"/>
        <v>0.05</v>
      </c>
      <c r="N364" s="475">
        <f t="shared" si="31"/>
        <v>62125</v>
      </c>
    </row>
    <row r="365" spans="7:14" ht="11.25" customHeight="1" x14ac:dyDescent="0.3">
      <c r="G365" s="470">
        <f t="shared" si="39"/>
        <v>30</v>
      </c>
      <c r="H365" s="470">
        <v>358</v>
      </c>
      <c r="I365" s="455">
        <f t="shared" ca="1" si="29"/>
        <v>2822728.6380361584</v>
      </c>
      <c r="J365" s="455">
        <f t="array" ref="J365">IFERROR(INDEX('Retirement Calculator'!K:K,MATCH('Lorri 401b'!N365,'Retirement Calculator'!A:A,0),0),0)</f>
        <v>20282.026119384056</v>
      </c>
      <c r="K365" s="455">
        <f t="shared" ca="1" si="27"/>
        <v>11676.860882986561</v>
      </c>
      <c r="L365" s="455">
        <f t="shared" ca="1" si="28"/>
        <v>2814123.4727997608</v>
      </c>
      <c r="M365" s="471">
        <f t="shared" si="30"/>
        <v>0.05</v>
      </c>
      <c r="N365" s="475">
        <f t="shared" si="31"/>
        <v>62153</v>
      </c>
    </row>
    <row r="366" spans="7:14" ht="11.25" customHeight="1" x14ac:dyDescent="0.3">
      <c r="G366" s="470">
        <f t="shared" si="39"/>
        <v>30</v>
      </c>
      <c r="H366" s="470">
        <v>359</v>
      </c>
      <c r="I366" s="455">
        <f t="shared" ca="1" si="29"/>
        <v>2814123.4727997608</v>
      </c>
      <c r="J366" s="455">
        <f t="array" ref="J366">IFERROR(INDEX('Retirement Calculator'!K:K,MATCH('Lorri 401b'!N366,'Retirement Calculator'!A:A,0),0),0)</f>
        <v>20282.026119384056</v>
      </c>
      <c r="K366" s="455">
        <f t="shared" ca="1" si="27"/>
        <v>11641.006027834903</v>
      </c>
      <c r="L366" s="455">
        <f t="shared" ca="1" si="28"/>
        <v>2805482.4527082117</v>
      </c>
      <c r="M366" s="471">
        <f t="shared" si="30"/>
        <v>0.05</v>
      </c>
      <c r="N366" s="475">
        <f t="shared" si="31"/>
        <v>62184</v>
      </c>
    </row>
    <row r="367" spans="7:14" ht="11.25" customHeight="1" x14ac:dyDescent="0.3">
      <c r="G367" s="470">
        <f t="shared" si="39"/>
        <v>30</v>
      </c>
      <c r="H367" s="470">
        <v>360</v>
      </c>
      <c r="I367" s="455">
        <f t="shared" ca="1" si="29"/>
        <v>2805482.4527082117</v>
      </c>
      <c r="J367" s="455">
        <f t="array" ref="J367">IFERROR(INDEX('Retirement Calculator'!K:K,MATCH('Lorri 401b'!N367,'Retirement Calculator'!A:A,0),0),0)</f>
        <v>20282.026119384056</v>
      </c>
      <c r="K367" s="455">
        <f t="shared" ca="1" si="27"/>
        <v>11605.001777453448</v>
      </c>
      <c r="L367" s="455">
        <f t="shared" ca="1" si="28"/>
        <v>2796805.4283662811</v>
      </c>
      <c r="M367" s="471">
        <f t="shared" si="30"/>
        <v>0.05</v>
      </c>
      <c r="N367" s="475">
        <f t="shared" si="31"/>
        <v>62214</v>
      </c>
    </row>
    <row r="368" spans="7:14" ht="11.25" customHeight="1" x14ac:dyDescent="0.3">
      <c r="G368" s="470">
        <f>G367+1</f>
        <v>31</v>
      </c>
      <c r="H368" s="470">
        <v>361</v>
      </c>
      <c r="I368" s="455">
        <f t="shared" ca="1" si="29"/>
        <v>2796805.4283662811</v>
      </c>
      <c r="J368" s="455">
        <f t="array" ref="J368">IFERROR(INDEX('Retirement Calculator'!K:K,MATCH('Lorri 401b'!N368,'Retirement Calculator'!A:A,0),0),0)</f>
        <v>20282.026119384056</v>
      </c>
      <c r="K368" s="455">
        <f t="shared" ca="1" si="27"/>
        <v>11568.847509362071</v>
      </c>
      <c r="L368" s="455">
        <f t="shared" ca="1" si="28"/>
        <v>2788092.2497562594</v>
      </c>
      <c r="M368" s="471">
        <f t="shared" si="30"/>
        <v>0.05</v>
      </c>
      <c r="N368" s="475">
        <f t="shared" si="31"/>
        <v>62245</v>
      </c>
    </row>
    <row r="369" spans="7:14" ht="11.25" customHeight="1" x14ac:dyDescent="0.3">
      <c r="G369" s="470">
        <f t="shared" ref="G369:G379" si="40">G368</f>
        <v>31</v>
      </c>
      <c r="H369" s="470">
        <v>362</v>
      </c>
      <c r="I369" s="455">
        <f t="shared" ca="1" si="29"/>
        <v>2788092.2497562594</v>
      </c>
      <c r="J369" s="455">
        <f t="array" ref="J369">IFERROR(INDEX('Retirement Calculator'!K:K,MATCH('Lorri 401b'!N369,'Retirement Calculator'!A:A,0),0),0)</f>
        <v>20282.026119384056</v>
      </c>
      <c r="K369" s="455">
        <f t="shared" ca="1" si="27"/>
        <v>11532.54259848698</v>
      </c>
      <c r="L369" s="455">
        <f t="shared" ca="1" si="28"/>
        <v>2779342.7662353623</v>
      </c>
      <c r="M369" s="471">
        <f t="shared" si="30"/>
        <v>0.05</v>
      </c>
      <c r="N369" s="475">
        <f t="shared" si="31"/>
        <v>62275</v>
      </c>
    </row>
    <row r="370" spans="7:14" ht="11.25" customHeight="1" x14ac:dyDescent="0.3">
      <c r="G370" s="470">
        <f t="shared" si="40"/>
        <v>31</v>
      </c>
      <c r="H370" s="470">
        <v>363</v>
      </c>
      <c r="I370" s="455">
        <f t="shared" ca="1" si="29"/>
        <v>2779342.7662353623</v>
      </c>
      <c r="J370" s="455">
        <f t="array" ref="J370">IFERROR(INDEX('Retirement Calculator'!K:K,MATCH('Lorri 401b'!N370,'Retirement Calculator'!A:A,0),0),0)</f>
        <v>20282.026119384056</v>
      </c>
      <c r="K370" s="455">
        <f t="shared" ca="1" si="27"/>
        <v>11496.086417149909</v>
      </c>
      <c r="L370" s="455">
        <f t="shared" ca="1" si="28"/>
        <v>2770556.826533128</v>
      </c>
      <c r="M370" s="471">
        <f t="shared" si="30"/>
        <v>0.05</v>
      </c>
      <c r="N370" s="475">
        <f t="shared" si="31"/>
        <v>62306</v>
      </c>
    </row>
    <row r="371" spans="7:14" ht="11.25" customHeight="1" x14ac:dyDescent="0.3">
      <c r="G371" s="470">
        <f t="shared" si="40"/>
        <v>31</v>
      </c>
      <c r="H371" s="470">
        <v>364</v>
      </c>
      <c r="I371" s="455">
        <f t="shared" ca="1" si="29"/>
        <v>2770556.826533128</v>
      </c>
      <c r="J371" s="455">
        <f t="array" ref="J371">IFERROR(INDEX('Retirement Calculator'!K:K,MATCH('Lorri 401b'!N371,'Retirement Calculator'!A:A,0),0),0)</f>
        <v>20282.026119384056</v>
      </c>
      <c r="K371" s="455">
        <f t="shared" ca="1" si="27"/>
        <v>11459.478335057267</v>
      </c>
      <c r="L371" s="455">
        <f t="shared" ca="1" si="28"/>
        <v>2761734.2787488014</v>
      </c>
      <c r="M371" s="471">
        <f t="shared" si="30"/>
        <v>0.05</v>
      </c>
      <c r="N371" s="475">
        <f t="shared" si="31"/>
        <v>62337</v>
      </c>
    </row>
    <row r="372" spans="7:14" ht="11.25" customHeight="1" x14ac:dyDescent="0.3">
      <c r="G372" s="470">
        <f t="shared" si="40"/>
        <v>31</v>
      </c>
      <c r="H372" s="470">
        <v>365</v>
      </c>
      <c r="I372" s="455">
        <f t="shared" ca="1" si="29"/>
        <v>2761734.2787488014</v>
      </c>
      <c r="J372" s="455">
        <f t="array" ref="J372">IFERROR(INDEX('Retirement Calculator'!K:K,MATCH('Lorri 401b'!N372,'Retirement Calculator'!A:A,0),0),0)</f>
        <v>20282.026119384056</v>
      </c>
      <c r="K372" s="455">
        <f t="shared" ca="1" si="27"/>
        <v>11422.71771928924</v>
      </c>
      <c r="L372" s="455">
        <f t="shared" ca="1" si="28"/>
        <v>2752874.9703487065</v>
      </c>
      <c r="M372" s="471">
        <f t="shared" si="30"/>
        <v>0.05</v>
      </c>
      <c r="N372" s="475">
        <f t="shared" si="31"/>
        <v>62367</v>
      </c>
    </row>
    <row r="373" spans="7:14" ht="11.25" customHeight="1" x14ac:dyDescent="0.3">
      <c r="G373" s="470">
        <f t="shared" si="40"/>
        <v>31</v>
      </c>
      <c r="H373" s="470">
        <v>366</v>
      </c>
      <c r="I373" s="455">
        <f t="shared" ca="1" si="29"/>
        <v>2752874.9703487065</v>
      </c>
      <c r="J373" s="455">
        <f t="array" ref="J373">IFERROR(INDEX('Retirement Calculator'!K:K,MATCH('Lorri 401b'!N373,'Retirement Calculator'!A:A,0),0),0)</f>
        <v>20282.026119384056</v>
      </c>
      <c r="K373" s="455">
        <f t="shared" ca="1" si="27"/>
        <v>11385.803934288844</v>
      </c>
      <c r="L373" s="455">
        <f t="shared" ca="1" si="28"/>
        <v>2743978.7481636112</v>
      </c>
      <c r="M373" s="471">
        <f t="shared" si="30"/>
        <v>0.05</v>
      </c>
      <c r="N373" s="475">
        <f t="shared" si="31"/>
        <v>62398</v>
      </c>
    </row>
    <row r="374" spans="7:14" ht="11.25" customHeight="1" x14ac:dyDescent="0.3">
      <c r="G374" s="470">
        <f t="shared" si="40"/>
        <v>31</v>
      </c>
      <c r="H374" s="470">
        <v>367</v>
      </c>
      <c r="I374" s="455">
        <f t="shared" ca="1" si="29"/>
        <v>2743978.7481636112</v>
      </c>
      <c r="J374" s="455">
        <f t="array" ref="J374">IFERROR(INDEX('Retirement Calculator'!K:K,MATCH('Lorri 401b'!N374,'Retirement Calculator'!A:A,0),0),0)</f>
        <v>20282.026119384056</v>
      </c>
      <c r="K374" s="455">
        <f t="shared" ca="1" si="27"/>
        <v>11348.736341850947</v>
      </c>
      <c r="L374" s="455">
        <f t="shared" ca="1" si="28"/>
        <v>2735045.458386078</v>
      </c>
      <c r="M374" s="471">
        <f t="shared" si="30"/>
        <v>0.05</v>
      </c>
      <c r="N374" s="475">
        <f t="shared" si="31"/>
        <v>62428</v>
      </c>
    </row>
    <row r="375" spans="7:14" ht="11.25" customHeight="1" x14ac:dyDescent="0.3">
      <c r="G375" s="470">
        <f t="shared" si="40"/>
        <v>31</v>
      </c>
      <c r="H375" s="470">
        <v>368</v>
      </c>
      <c r="I375" s="455">
        <f t="shared" ca="1" si="29"/>
        <v>2735045.458386078</v>
      </c>
      <c r="J375" s="455">
        <f t="array" ref="J375">IFERROR(INDEX('Retirement Calculator'!K:K,MATCH('Lorri 401b'!N375,'Retirement Calculator'!A:A,0),0),0)</f>
        <v>20282.026119384056</v>
      </c>
      <c r="K375" s="455">
        <f t="shared" ca="1" si="27"/>
        <v>11311.514301111225</v>
      </c>
      <c r="L375" s="455">
        <f t="shared" ca="1" si="28"/>
        <v>2726074.9465678055</v>
      </c>
      <c r="M375" s="471">
        <f t="shared" si="30"/>
        <v>0.05</v>
      </c>
      <c r="N375" s="475">
        <f t="shared" si="31"/>
        <v>62459</v>
      </c>
    </row>
    <row r="376" spans="7:14" ht="11.25" customHeight="1" x14ac:dyDescent="0.3">
      <c r="G376" s="470">
        <f t="shared" si="40"/>
        <v>31</v>
      </c>
      <c r="H376" s="470">
        <v>369</v>
      </c>
      <c r="I376" s="455">
        <f t="shared" ca="1" si="29"/>
        <v>2726074.9465678055</v>
      </c>
      <c r="J376" s="455">
        <f t="array" ref="J376">IFERROR(INDEX('Retirement Calculator'!K:K,MATCH('Lorri 401b'!N376,'Retirement Calculator'!A:A,0),0),0)</f>
        <v>20282.026119384056</v>
      </c>
      <c r="K376" s="455">
        <f t="shared" ca="1" si="27"/>
        <v>11274.13716853509</v>
      </c>
      <c r="L376" s="455">
        <f t="shared" ca="1" si="28"/>
        <v>2717067.0576169565</v>
      </c>
      <c r="M376" s="471">
        <f t="shared" si="30"/>
        <v>0.05</v>
      </c>
      <c r="N376" s="475">
        <f t="shared" si="31"/>
        <v>62490</v>
      </c>
    </row>
    <row r="377" spans="7:14" ht="11.25" customHeight="1" x14ac:dyDescent="0.3">
      <c r="G377" s="470">
        <f t="shared" si="40"/>
        <v>31</v>
      </c>
      <c r="H377" s="470">
        <v>370</v>
      </c>
      <c r="I377" s="455">
        <f t="shared" ca="1" si="29"/>
        <v>2717067.0576169565</v>
      </c>
      <c r="J377" s="455">
        <f t="array" ref="J377">IFERROR(INDEX('Retirement Calculator'!K:K,MATCH('Lorri 401b'!N377,'Retirement Calculator'!A:A,0),0),0)</f>
        <v>20282.026119384056</v>
      </c>
      <c r="K377" s="455">
        <f t="shared" ca="1" si="27"/>
        <v>11236.604297906551</v>
      </c>
      <c r="L377" s="455">
        <f t="shared" ca="1" si="28"/>
        <v>2708021.6357954792</v>
      </c>
      <c r="M377" s="471">
        <f t="shared" si="30"/>
        <v>0.05</v>
      </c>
      <c r="N377" s="475">
        <f t="shared" si="31"/>
        <v>62518</v>
      </c>
    </row>
    <row r="378" spans="7:14" ht="11.25" customHeight="1" x14ac:dyDescent="0.3">
      <c r="G378" s="470">
        <f t="shared" si="40"/>
        <v>31</v>
      </c>
      <c r="H378" s="470">
        <v>371</v>
      </c>
      <c r="I378" s="455">
        <f t="shared" ca="1" si="29"/>
        <v>2708021.6357954792</v>
      </c>
      <c r="J378" s="455">
        <f t="array" ref="J378">IFERROR(INDEX('Retirement Calculator'!K:K,MATCH('Lorri 401b'!N378,'Retirement Calculator'!A:A,0),0),0)</f>
        <v>20282.026119384056</v>
      </c>
      <c r="K378" s="455">
        <f t="shared" ca="1" si="27"/>
        <v>11198.915040317062</v>
      </c>
      <c r="L378" s="455">
        <f t="shared" ca="1" si="28"/>
        <v>2698938.5247164122</v>
      </c>
      <c r="M378" s="471">
        <f t="shared" si="30"/>
        <v>0.05</v>
      </c>
      <c r="N378" s="475">
        <f t="shared" si="31"/>
        <v>62549</v>
      </c>
    </row>
    <row r="379" spans="7:14" ht="11.25" customHeight="1" x14ac:dyDescent="0.3">
      <c r="G379" s="470">
        <f t="shared" si="40"/>
        <v>31</v>
      </c>
      <c r="H379" s="470">
        <v>372</v>
      </c>
      <c r="I379" s="455">
        <f t="shared" ca="1" si="29"/>
        <v>2698938.5247164122</v>
      </c>
      <c r="J379" s="455">
        <f t="array" ref="J379">IFERROR(INDEX('Retirement Calculator'!K:K,MATCH('Lorri 401b'!N379,'Retirement Calculator'!A:A,0),0),0)</f>
        <v>20282.026119384056</v>
      </c>
      <c r="K379" s="455">
        <f t="shared" ca="1" si="27"/>
        <v>11161.068744154283</v>
      </c>
      <c r="L379" s="455">
        <f t="shared" ca="1" si="28"/>
        <v>2689817.5673411824</v>
      </c>
      <c r="M379" s="471">
        <f t="shared" si="30"/>
        <v>0.05</v>
      </c>
      <c r="N379" s="475">
        <f t="shared" si="31"/>
        <v>62579</v>
      </c>
    </row>
    <row r="380" spans="7:14" ht="11.25" customHeight="1" x14ac:dyDescent="0.3">
      <c r="G380" s="470">
        <f>G379+1</f>
        <v>32</v>
      </c>
      <c r="H380" s="470">
        <v>373</v>
      </c>
      <c r="I380" s="455">
        <f t="shared" ca="1" si="29"/>
        <v>2689817.5673411824</v>
      </c>
      <c r="J380" s="455">
        <f t="array" ref="J380">IFERROR(INDEX('Retirement Calculator'!K:K,MATCH('Lorri 401b'!N380,'Retirement Calculator'!A:A,0),0),0)</f>
        <v>20282.026119384056</v>
      </c>
      <c r="K380" s="455">
        <f t="shared" ca="1" si="27"/>
        <v>11123.064755090827</v>
      </c>
      <c r="L380" s="455">
        <f t="shared" ca="1" si="28"/>
        <v>2680658.6059768894</v>
      </c>
      <c r="M380" s="471">
        <f t="shared" si="30"/>
        <v>0.05</v>
      </c>
      <c r="N380" s="475">
        <f t="shared" si="31"/>
        <v>62610</v>
      </c>
    </row>
    <row r="381" spans="7:14" ht="11.25" customHeight="1" x14ac:dyDescent="0.3">
      <c r="G381" s="470">
        <f t="shared" ref="G381:G391" si="41">G380</f>
        <v>32</v>
      </c>
      <c r="H381" s="470">
        <v>374</v>
      </c>
      <c r="I381" s="455">
        <f t="shared" ca="1" si="29"/>
        <v>2680658.6059768894</v>
      </c>
      <c r="J381" s="455">
        <f t="array" ref="J381">IFERROR(INDEX('Retirement Calculator'!K:K,MATCH('Lorri 401b'!N381,'Retirement Calculator'!A:A,0),0),0)</f>
        <v>20282.026119384056</v>
      </c>
      <c r="K381" s="455">
        <f t="shared" ca="1" si="27"/>
        <v>11084.902416072939</v>
      </c>
      <c r="L381" s="455">
        <f t="shared" ca="1" si="28"/>
        <v>2671461.4822735782</v>
      </c>
      <c r="M381" s="471">
        <f t="shared" si="30"/>
        <v>0.05</v>
      </c>
      <c r="N381" s="475">
        <f t="shared" si="31"/>
        <v>62640</v>
      </c>
    </row>
    <row r="382" spans="7:14" ht="11.25" customHeight="1" x14ac:dyDescent="0.3">
      <c r="G382" s="470">
        <f t="shared" si="41"/>
        <v>32</v>
      </c>
      <c r="H382" s="470">
        <v>375</v>
      </c>
      <c r="I382" s="455">
        <f t="shared" ca="1" si="29"/>
        <v>2671461.4822735782</v>
      </c>
      <c r="J382" s="455">
        <f t="array" ref="J382">IFERROR(INDEX('Retirement Calculator'!K:K,MATCH('Lorri 401b'!N382,'Retirement Calculator'!A:A,0),0),0)</f>
        <v>20282.026119384056</v>
      </c>
      <c r="K382" s="455">
        <f t="shared" ca="1" si="27"/>
        <v>11046.581067309142</v>
      </c>
      <c r="L382" s="455">
        <f t="shared" ca="1" si="28"/>
        <v>2662226.0372215034</v>
      </c>
      <c r="M382" s="471">
        <f t="shared" si="30"/>
        <v>0.05</v>
      </c>
      <c r="N382" s="475">
        <f t="shared" si="31"/>
        <v>62671</v>
      </c>
    </row>
    <row r="383" spans="7:14" ht="11.25" customHeight="1" x14ac:dyDescent="0.3">
      <c r="G383" s="470">
        <f t="shared" si="41"/>
        <v>32</v>
      </c>
      <c r="H383" s="470">
        <v>376</v>
      </c>
      <c r="I383" s="455">
        <f t="shared" ca="1" si="29"/>
        <v>2662226.0372215034</v>
      </c>
      <c r="J383" s="455">
        <f t="array" ref="J383">IFERROR(INDEX('Retirement Calculator'!K:K,MATCH('Lorri 401b'!N383,'Retirement Calculator'!A:A,0),0),0)</f>
        <v>20282.026119384056</v>
      </c>
      <c r="K383" s="455">
        <f t="shared" ca="1" si="27"/>
        <v>11008.100046258831</v>
      </c>
      <c r="L383" s="455">
        <f t="shared" ca="1" si="28"/>
        <v>2652952.1111483783</v>
      </c>
      <c r="M383" s="471">
        <f t="shared" si="30"/>
        <v>0.05</v>
      </c>
      <c r="N383" s="475">
        <f t="shared" si="31"/>
        <v>62702</v>
      </c>
    </row>
    <row r="384" spans="7:14" ht="11.25" customHeight="1" x14ac:dyDescent="0.3">
      <c r="G384" s="470">
        <f t="shared" si="41"/>
        <v>32</v>
      </c>
      <c r="H384" s="470">
        <v>377</v>
      </c>
      <c r="I384" s="455">
        <f t="shared" ca="1" si="29"/>
        <v>2652952.1111483783</v>
      </c>
      <c r="J384" s="455">
        <f t="array" ref="J384">IFERROR(INDEX('Retirement Calculator'!K:K,MATCH('Lorri 401b'!N384,'Retirement Calculator'!A:A,0),0),0)</f>
        <v>20282.026119384056</v>
      </c>
      <c r="K384" s="455">
        <f t="shared" ca="1" si="27"/>
        <v>10969.45868762081</v>
      </c>
      <c r="L384" s="455">
        <f t="shared" ca="1" si="28"/>
        <v>2643639.5437166151</v>
      </c>
      <c r="M384" s="471">
        <f t="shared" si="30"/>
        <v>0.05</v>
      </c>
      <c r="N384" s="475">
        <f t="shared" si="31"/>
        <v>62732</v>
      </c>
    </row>
    <row r="385" spans="7:14" ht="11.25" customHeight="1" x14ac:dyDescent="0.3">
      <c r="G385" s="470">
        <f t="shared" si="41"/>
        <v>32</v>
      </c>
      <c r="H385" s="470">
        <v>378</v>
      </c>
      <c r="I385" s="455">
        <f t="shared" ca="1" si="29"/>
        <v>2643639.5437166151</v>
      </c>
      <c r="J385" s="455">
        <f t="array" ref="J385">IFERROR(INDEX('Retirement Calculator'!K:K,MATCH('Lorri 401b'!N385,'Retirement Calculator'!A:A,0),0),0)</f>
        <v>20282.026119384056</v>
      </c>
      <c r="K385" s="455">
        <f t="shared" ca="1" si="27"/>
        <v>10930.656323321797</v>
      </c>
      <c r="L385" s="455">
        <f t="shared" ca="1" si="28"/>
        <v>2634288.1739205527</v>
      </c>
      <c r="M385" s="471">
        <f t="shared" si="30"/>
        <v>0.05</v>
      </c>
      <c r="N385" s="475">
        <f t="shared" si="31"/>
        <v>62763</v>
      </c>
    </row>
    <row r="386" spans="7:14" ht="11.25" customHeight="1" x14ac:dyDescent="0.3">
      <c r="G386" s="470">
        <f t="shared" si="41"/>
        <v>32</v>
      </c>
      <c r="H386" s="470">
        <v>379</v>
      </c>
      <c r="I386" s="455">
        <f t="shared" ca="1" si="29"/>
        <v>2634288.1739205527</v>
      </c>
      <c r="J386" s="455">
        <f t="array" ref="J386">IFERROR(INDEX('Retirement Calculator'!K:K,MATCH('Lorri 401b'!N386,'Retirement Calculator'!A:A,0),0),0)</f>
        <v>20282.026119384056</v>
      </c>
      <c r="K386" s="455">
        <f t="shared" ca="1" si="27"/>
        <v>10891.69228250487</v>
      </c>
      <c r="L386" s="455">
        <f t="shared" ca="1" si="28"/>
        <v>2624897.8400836736</v>
      </c>
      <c r="M386" s="471">
        <f t="shared" si="30"/>
        <v>0.05</v>
      </c>
      <c r="N386" s="475">
        <f t="shared" si="31"/>
        <v>62793</v>
      </c>
    </row>
    <row r="387" spans="7:14" ht="11.25" customHeight="1" x14ac:dyDescent="0.3">
      <c r="G387" s="470">
        <f t="shared" si="41"/>
        <v>32</v>
      </c>
      <c r="H387" s="470">
        <v>380</v>
      </c>
      <c r="I387" s="455">
        <f t="shared" ca="1" si="29"/>
        <v>2624897.8400836736</v>
      </c>
      <c r="J387" s="455">
        <f t="array" ref="J387">IFERROR(INDEX('Retirement Calculator'!K:K,MATCH('Lorri 401b'!N387,'Retirement Calculator'!A:A,0),0),0)</f>
        <v>20282.026119384056</v>
      </c>
      <c r="K387" s="455">
        <f t="shared" ca="1" si="27"/>
        <v>10852.565891517874</v>
      </c>
      <c r="L387" s="455">
        <f t="shared" ca="1" si="28"/>
        <v>2615468.3798558074</v>
      </c>
      <c r="M387" s="471">
        <f t="shared" si="30"/>
        <v>0.05</v>
      </c>
      <c r="N387" s="475">
        <f t="shared" si="31"/>
        <v>62824</v>
      </c>
    </row>
    <row r="388" spans="7:14" ht="11.25" customHeight="1" x14ac:dyDescent="0.3">
      <c r="G388" s="470">
        <f t="shared" si="41"/>
        <v>32</v>
      </c>
      <c r="H388" s="470">
        <v>381</v>
      </c>
      <c r="I388" s="455">
        <f t="shared" ca="1" si="29"/>
        <v>2615468.3798558074</v>
      </c>
      <c r="J388" s="455">
        <f t="array" ref="J388">IFERROR(INDEX('Retirement Calculator'!K:K,MATCH('Lorri 401b'!N388,'Retirement Calculator'!A:A,0),0),0)</f>
        <v>20282.026119384056</v>
      </c>
      <c r="K388" s="455">
        <f t="shared" ca="1" si="27"/>
        <v>10813.276473901764</v>
      </c>
      <c r="L388" s="455">
        <f t="shared" ca="1" si="28"/>
        <v>2605999.6302103251</v>
      </c>
      <c r="M388" s="471">
        <f t="shared" si="30"/>
        <v>0.05</v>
      </c>
      <c r="N388" s="475">
        <f t="shared" si="31"/>
        <v>62855</v>
      </c>
    </row>
    <row r="389" spans="7:14" ht="11.25" customHeight="1" x14ac:dyDescent="0.3">
      <c r="G389" s="470">
        <f t="shared" si="41"/>
        <v>32</v>
      </c>
      <c r="H389" s="470">
        <v>382</v>
      </c>
      <c r="I389" s="455">
        <f t="shared" ca="1" si="29"/>
        <v>2605999.6302103251</v>
      </c>
      <c r="J389" s="455">
        <f t="array" ref="J389">IFERROR(INDEX('Retirement Calculator'!K:K,MATCH('Lorri 401b'!N389,'Retirement Calculator'!A:A,0),0),0)</f>
        <v>20282.026119384056</v>
      </c>
      <c r="K389" s="455">
        <f t="shared" ca="1" si="27"/>
        <v>10773.823350378922</v>
      </c>
      <c r="L389" s="455">
        <f t="shared" ca="1" si="28"/>
        <v>2596491.4274413199</v>
      </c>
      <c r="M389" s="471">
        <f t="shared" si="30"/>
        <v>0.05</v>
      </c>
      <c r="N389" s="475">
        <f t="shared" si="31"/>
        <v>62884</v>
      </c>
    </row>
    <row r="390" spans="7:14" ht="11.25" customHeight="1" x14ac:dyDescent="0.3">
      <c r="G390" s="470">
        <f t="shared" si="41"/>
        <v>32</v>
      </c>
      <c r="H390" s="470">
        <v>383</v>
      </c>
      <c r="I390" s="455">
        <f t="shared" ca="1" si="29"/>
        <v>2596491.4274413199</v>
      </c>
      <c r="J390" s="455">
        <f t="array" ref="J390">IFERROR(INDEX('Retirement Calculator'!K:K,MATCH('Lorri 401b'!N390,'Retirement Calculator'!A:A,0),0),0)</f>
        <v>20282.026119384056</v>
      </c>
      <c r="K390" s="455">
        <f t="shared" ca="1" si="27"/>
        <v>10734.205838841399</v>
      </c>
      <c r="L390" s="455">
        <f t="shared" ca="1" si="28"/>
        <v>2586943.6071607773</v>
      </c>
      <c r="M390" s="471">
        <f t="shared" si="30"/>
        <v>0.05</v>
      </c>
      <c r="N390" s="475">
        <f t="shared" si="31"/>
        <v>62915</v>
      </c>
    </row>
    <row r="391" spans="7:14" ht="11.25" customHeight="1" x14ac:dyDescent="0.3">
      <c r="G391" s="470">
        <f t="shared" si="41"/>
        <v>32</v>
      </c>
      <c r="H391" s="470">
        <v>384</v>
      </c>
      <c r="I391" s="455">
        <f t="shared" ca="1" si="29"/>
        <v>2586943.6071607773</v>
      </c>
      <c r="J391" s="455">
        <f t="array" ref="J391">IFERROR(INDEX('Retirement Calculator'!K:K,MATCH('Lorri 401b'!N391,'Retirement Calculator'!A:A,0),0),0)</f>
        <v>20282.026119384056</v>
      </c>
      <c r="K391" s="455">
        <f t="shared" ca="1" si="27"/>
        <v>10694.423254339139</v>
      </c>
      <c r="L391" s="455">
        <f t="shared" ca="1" si="28"/>
        <v>2577356.0042957324</v>
      </c>
      <c r="M391" s="471">
        <f t="shared" si="30"/>
        <v>0.05</v>
      </c>
      <c r="N391" s="475">
        <f t="shared" si="31"/>
        <v>62945</v>
      </c>
    </row>
    <row r="392" spans="7:14" ht="11.25" customHeight="1" x14ac:dyDescent="0.3">
      <c r="G392" s="470">
        <f>G391+1</f>
        <v>33</v>
      </c>
      <c r="H392" s="470">
        <v>385</v>
      </c>
      <c r="I392" s="455">
        <f t="shared" ca="1" si="29"/>
        <v>2577356.0042957324</v>
      </c>
      <c r="J392" s="455">
        <f t="array" ref="J392">IFERROR(INDEX('Retirement Calculator'!K:K,MATCH('Lorri 401b'!N392,'Retirement Calculator'!A:A,0),0),0)</f>
        <v>20282.026119384056</v>
      </c>
      <c r="K392" s="455">
        <f t="shared" ca="1" si="27"/>
        <v>10654.474909068118</v>
      </c>
      <c r="L392" s="455">
        <f t="shared" ca="1" si="28"/>
        <v>2567728.4530854165</v>
      </c>
      <c r="M392" s="471">
        <f t="shared" si="30"/>
        <v>0.05</v>
      </c>
      <c r="N392" s="475">
        <f t="shared" si="31"/>
        <v>62976</v>
      </c>
    </row>
    <row r="393" spans="7:14" ht="11.25" customHeight="1" x14ac:dyDescent="0.3">
      <c r="G393" s="470">
        <f t="shared" ref="G393:G403" si="42">G392</f>
        <v>33</v>
      </c>
      <c r="H393" s="470">
        <v>386</v>
      </c>
      <c r="I393" s="455">
        <f t="shared" ca="1" si="29"/>
        <v>2567728.4530854165</v>
      </c>
      <c r="J393" s="455">
        <f t="array" ref="J393">IFERROR(INDEX('Retirement Calculator'!K:K,MATCH('Lorri 401b'!N393,'Retirement Calculator'!A:A,0),0),0)</f>
        <v>20282.026119384056</v>
      </c>
      <c r="K393" s="455">
        <f t="shared" ca="1" si="27"/>
        <v>10614.360112358469</v>
      </c>
      <c r="L393" s="455">
        <f t="shared" ca="1" si="28"/>
        <v>2558060.7870783908</v>
      </c>
      <c r="M393" s="471">
        <f t="shared" si="30"/>
        <v>0.05</v>
      </c>
      <c r="N393" s="475">
        <f t="shared" si="31"/>
        <v>63006</v>
      </c>
    </row>
    <row r="394" spans="7:14" ht="11.25" customHeight="1" x14ac:dyDescent="0.3">
      <c r="G394" s="470">
        <f t="shared" si="42"/>
        <v>33</v>
      </c>
      <c r="H394" s="470">
        <v>387</v>
      </c>
      <c r="I394" s="455">
        <f t="shared" ca="1" si="29"/>
        <v>2558060.7870783908</v>
      </c>
      <c r="J394" s="455">
        <f t="array" ref="J394">IFERROR(INDEX('Retirement Calculator'!K:K,MATCH('Lorri 401b'!N394,'Retirement Calculator'!A:A,0),0),0)</f>
        <v>20282.026119384056</v>
      </c>
      <c r="K394" s="455">
        <f t="shared" ca="1" si="27"/>
        <v>10574.078170662528</v>
      </c>
      <c r="L394" s="455">
        <f t="shared" ca="1" si="28"/>
        <v>2548352.8391296696</v>
      </c>
      <c r="M394" s="471">
        <f t="shared" si="30"/>
        <v>0.05</v>
      </c>
      <c r="N394" s="475">
        <f t="shared" si="31"/>
        <v>63037</v>
      </c>
    </row>
    <row r="395" spans="7:14" ht="11.25" customHeight="1" x14ac:dyDescent="0.3">
      <c r="G395" s="470">
        <f t="shared" si="42"/>
        <v>33</v>
      </c>
      <c r="H395" s="470">
        <v>388</v>
      </c>
      <c r="I395" s="455">
        <f t="shared" ca="1" si="29"/>
        <v>2548352.8391296696</v>
      </c>
      <c r="J395" s="455">
        <f t="array" ref="J395">IFERROR(INDEX('Retirement Calculator'!K:K,MATCH('Lorri 401b'!N395,'Retirement Calculator'!A:A,0),0),0)</f>
        <v>20282.026119384056</v>
      </c>
      <c r="K395" s="455">
        <f t="shared" ca="1" si="27"/>
        <v>10533.628387542856</v>
      </c>
      <c r="L395" s="455">
        <f t="shared" ca="1" si="28"/>
        <v>2538604.4413978285</v>
      </c>
      <c r="M395" s="471">
        <f t="shared" si="30"/>
        <v>0.05</v>
      </c>
      <c r="N395" s="475">
        <f t="shared" si="31"/>
        <v>63068</v>
      </c>
    </row>
    <row r="396" spans="7:14" ht="11.25" customHeight="1" x14ac:dyDescent="0.3">
      <c r="G396" s="470">
        <f t="shared" si="42"/>
        <v>33</v>
      </c>
      <c r="H396" s="470">
        <v>389</v>
      </c>
      <c r="I396" s="455">
        <f t="shared" ca="1" si="29"/>
        <v>2538604.4413978285</v>
      </c>
      <c r="J396" s="455">
        <f t="array" ref="J396">IFERROR(INDEX('Retirement Calculator'!K:K,MATCH('Lorri 401b'!N396,'Retirement Calculator'!A:A,0),0),0)</f>
        <v>20282.026119384056</v>
      </c>
      <c r="K396" s="455">
        <f t="shared" ca="1" si="27"/>
        <v>10493.010063660186</v>
      </c>
      <c r="L396" s="455">
        <f t="shared" ca="1" si="28"/>
        <v>2528815.4253421049</v>
      </c>
      <c r="M396" s="471">
        <f t="shared" si="30"/>
        <v>0.05</v>
      </c>
      <c r="N396" s="475">
        <f t="shared" si="31"/>
        <v>63098</v>
      </c>
    </row>
    <row r="397" spans="7:14" ht="11.25" customHeight="1" x14ac:dyDescent="0.3">
      <c r="G397" s="470">
        <f t="shared" si="42"/>
        <v>33</v>
      </c>
      <c r="H397" s="470">
        <v>390</v>
      </c>
      <c r="I397" s="455">
        <f t="shared" ca="1" si="29"/>
        <v>2528815.4253421049</v>
      </c>
      <c r="J397" s="455">
        <f t="array" ref="J397">IFERROR(INDEX('Retirement Calculator'!K:K,MATCH('Lorri 401b'!N397,'Retirement Calculator'!A:A,0),0),0)</f>
        <v>20282.026119384056</v>
      </c>
      <c r="K397" s="455">
        <f t="shared" ca="1" si="27"/>
        <v>10452.222496761337</v>
      </c>
      <c r="L397" s="455">
        <f t="shared" ca="1" si="28"/>
        <v>2518985.6217194824</v>
      </c>
      <c r="M397" s="471">
        <f t="shared" si="30"/>
        <v>0.05</v>
      </c>
      <c r="N397" s="475">
        <f t="shared" si="31"/>
        <v>63129</v>
      </c>
    </row>
    <row r="398" spans="7:14" ht="11.25" customHeight="1" x14ac:dyDescent="0.3">
      <c r="G398" s="470">
        <f t="shared" si="42"/>
        <v>33</v>
      </c>
      <c r="H398" s="470">
        <v>391</v>
      </c>
      <c r="I398" s="455">
        <f t="shared" ca="1" si="29"/>
        <v>2518985.6217194824</v>
      </c>
      <c r="J398" s="455">
        <f t="array" ref="J398">IFERROR(INDEX('Retirement Calculator'!K:K,MATCH('Lorri 401b'!N398,'Retirement Calculator'!A:A,0),0),0)</f>
        <v>20282.026119384056</v>
      </c>
      <c r="K398" s="455">
        <f t="shared" ca="1" si="27"/>
        <v>10411.264981667076</v>
      </c>
      <c r="L398" s="455">
        <f t="shared" ca="1" si="28"/>
        <v>2509114.8605817654</v>
      </c>
      <c r="M398" s="471">
        <f t="shared" si="30"/>
        <v>0.05</v>
      </c>
      <c r="N398" s="475">
        <f t="shared" si="31"/>
        <v>63159</v>
      </c>
    </row>
    <row r="399" spans="7:14" ht="11.25" customHeight="1" x14ac:dyDescent="0.3">
      <c r="G399" s="470">
        <f t="shared" si="42"/>
        <v>33</v>
      </c>
      <c r="H399" s="470">
        <v>392</v>
      </c>
      <c r="I399" s="455">
        <f t="shared" ca="1" si="29"/>
        <v>2509114.8605817654</v>
      </c>
      <c r="J399" s="455">
        <f t="array" ref="J399">IFERROR(INDEX('Retirement Calculator'!K:K,MATCH('Lorri 401b'!N399,'Retirement Calculator'!A:A,0),0),0)</f>
        <v>20282.026119384056</v>
      </c>
      <c r="K399" s="455">
        <f t="shared" ca="1" si="27"/>
        <v>10370.136810259923</v>
      </c>
      <c r="L399" s="455">
        <f t="shared" ca="1" si="28"/>
        <v>2499202.9712726413</v>
      </c>
      <c r="M399" s="471">
        <f t="shared" si="30"/>
        <v>0.05</v>
      </c>
      <c r="N399" s="475">
        <f t="shared" si="31"/>
        <v>63190</v>
      </c>
    </row>
    <row r="400" spans="7:14" ht="11.25" customHeight="1" x14ac:dyDescent="0.3">
      <c r="G400" s="470">
        <f t="shared" si="42"/>
        <v>33</v>
      </c>
      <c r="H400" s="470">
        <v>393</v>
      </c>
      <c r="I400" s="455">
        <f t="shared" ca="1" si="29"/>
        <v>2499202.9712726413</v>
      </c>
      <c r="J400" s="455">
        <f t="array" ref="J400">IFERROR(INDEX('Retirement Calculator'!K:K,MATCH('Lorri 401b'!N400,'Retirement Calculator'!A:A,0),0),0)</f>
        <v>20282.026119384056</v>
      </c>
      <c r="K400" s="455">
        <f t="shared" ca="1" si="27"/>
        <v>10328.837271471906</v>
      </c>
      <c r="L400" s="455">
        <f t="shared" ca="1" si="28"/>
        <v>2489249.7824247293</v>
      </c>
      <c r="M400" s="471">
        <f t="shared" si="30"/>
        <v>0.05</v>
      </c>
      <c r="N400" s="475">
        <f t="shared" si="31"/>
        <v>63221</v>
      </c>
    </row>
    <row r="401" spans="7:14" ht="11.25" customHeight="1" x14ac:dyDescent="0.3">
      <c r="G401" s="470">
        <f t="shared" si="42"/>
        <v>33</v>
      </c>
      <c r="H401" s="470">
        <v>394</v>
      </c>
      <c r="I401" s="455">
        <f t="shared" ca="1" si="29"/>
        <v>2489249.7824247293</v>
      </c>
      <c r="J401" s="455">
        <f t="array" ref="J401">IFERROR(INDEX('Retirement Calculator'!K:K,MATCH('Lorri 401b'!N401,'Retirement Calculator'!A:A,0),0),0)</f>
        <v>20282.026119384056</v>
      </c>
      <c r="K401" s="455">
        <f t="shared" ca="1" si="27"/>
        <v>10287.365651272272</v>
      </c>
      <c r="L401" s="455">
        <f t="shared" ca="1" si="28"/>
        <v>2479255.1219566176</v>
      </c>
      <c r="M401" s="471">
        <f t="shared" si="30"/>
        <v>0.05</v>
      </c>
      <c r="N401" s="475">
        <f t="shared" si="31"/>
        <v>63249</v>
      </c>
    </row>
    <row r="402" spans="7:14" ht="11.25" customHeight="1" x14ac:dyDescent="0.3">
      <c r="G402" s="470">
        <f t="shared" si="42"/>
        <v>33</v>
      </c>
      <c r="H402" s="470">
        <v>395</v>
      </c>
      <c r="I402" s="455">
        <f t="shared" ca="1" si="29"/>
        <v>2479255.1219566176</v>
      </c>
      <c r="J402" s="455">
        <f t="array" ref="J402">IFERROR(INDEX('Retirement Calculator'!K:K,MATCH('Lorri 401b'!N402,'Retirement Calculator'!A:A,0),0),0)</f>
        <v>20282.026119384056</v>
      </c>
      <c r="K402" s="455">
        <f t="shared" ca="1" si="27"/>
        <v>10245.72123265514</v>
      </c>
      <c r="L402" s="455">
        <f t="shared" ca="1" si="28"/>
        <v>2469218.8170698886</v>
      </c>
      <c r="M402" s="471">
        <f t="shared" si="30"/>
        <v>0.05</v>
      </c>
      <c r="N402" s="475">
        <f t="shared" si="31"/>
        <v>63280</v>
      </c>
    </row>
    <row r="403" spans="7:14" ht="11.25" customHeight="1" x14ac:dyDescent="0.3">
      <c r="G403" s="470">
        <f t="shared" si="42"/>
        <v>33</v>
      </c>
      <c r="H403" s="470">
        <v>396</v>
      </c>
      <c r="I403" s="455">
        <f t="shared" ca="1" si="29"/>
        <v>2469218.8170698886</v>
      </c>
      <c r="J403" s="455">
        <f t="array" ref="J403">IFERROR(INDEX('Retirement Calculator'!K:K,MATCH('Lorri 401b'!N403,'Retirement Calculator'!A:A,0),0),0)</f>
        <v>20282.026119384056</v>
      </c>
      <c r="K403" s="455">
        <f t="shared" ca="1" si="27"/>
        <v>10203.903295627102</v>
      </c>
      <c r="L403" s="455">
        <f t="shared" ca="1" si="28"/>
        <v>2459140.6942461319</v>
      </c>
      <c r="M403" s="471">
        <f t="shared" si="30"/>
        <v>0.05</v>
      </c>
      <c r="N403" s="475">
        <f t="shared" si="31"/>
        <v>63310</v>
      </c>
    </row>
    <row r="404" spans="7:14" ht="11.25" customHeight="1" x14ac:dyDescent="0.3">
      <c r="G404" s="470">
        <f>G403+1</f>
        <v>34</v>
      </c>
      <c r="H404" s="470">
        <v>397</v>
      </c>
      <c r="I404" s="455">
        <f t="shared" ca="1" si="29"/>
        <v>2459140.6942461319</v>
      </c>
      <c r="J404" s="455">
        <f t="array" ref="J404">IFERROR(INDEX('Retirement Calculator'!K:K,MATCH('Lorri 401b'!N404,'Retirement Calculator'!A:A,0),0),0)</f>
        <v>20282.026119384056</v>
      </c>
      <c r="K404" s="455">
        <f t="shared" ca="1" si="27"/>
        <v>10161.911117194782</v>
      </c>
      <c r="L404" s="455">
        <f t="shared" ca="1" si="28"/>
        <v>2449020.5792439426</v>
      </c>
      <c r="M404" s="471">
        <f t="shared" si="30"/>
        <v>0.05</v>
      </c>
      <c r="N404" s="475">
        <f t="shared" si="31"/>
        <v>63341</v>
      </c>
    </row>
    <row r="405" spans="7:14" ht="11.25" customHeight="1" x14ac:dyDescent="0.3">
      <c r="G405" s="470">
        <f t="shared" ref="G405:G415" si="43">G404</f>
        <v>34</v>
      </c>
      <c r="H405" s="470">
        <v>398</v>
      </c>
      <c r="I405" s="455">
        <f t="shared" ca="1" si="29"/>
        <v>2449020.5792439426</v>
      </c>
      <c r="J405" s="455">
        <f t="array" ref="J405">IFERROR(INDEX('Retirement Calculator'!K:K,MATCH('Lorri 401b'!N405,'Retirement Calculator'!A:A,0),0),0)</f>
        <v>20282.026119384056</v>
      </c>
      <c r="K405" s="455">
        <f t="shared" ca="1" si="27"/>
        <v>10119.743971352327</v>
      </c>
      <c r="L405" s="455">
        <f t="shared" ca="1" si="28"/>
        <v>2438858.2970959111</v>
      </c>
      <c r="M405" s="471">
        <f t="shared" si="30"/>
        <v>0.05</v>
      </c>
      <c r="N405" s="475">
        <f t="shared" si="31"/>
        <v>63371</v>
      </c>
    </row>
    <row r="406" spans="7:14" ht="11.25" customHeight="1" x14ac:dyDescent="0.3">
      <c r="G406" s="470">
        <f t="shared" si="43"/>
        <v>34</v>
      </c>
      <c r="H406" s="470">
        <v>399</v>
      </c>
      <c r="I406" s="455">
        <f t="shared" ca="1" si="29"/>
        <v>2438858.2970959111</v>
      </c>
      <c r="J406" s="455">
        <f t="array" ref="J406">IFERROR(INDEX('Retirement Calculator'!K:K,MATCH('Lorri 401b'!N406,'Retirement Calculator'!A:A,0),0),0)</f>
        <v>20282.026119384056</v>
      </c>
      <c r="K406" s="455">
        <f t="shared" ca="1" si="27"/>
        <v>10077.401129068863</v>
      </c>
      <c r="L406" s="455">
        <f t="shared" ca="1" si="28"/>
        <v>2428653.6721055959</v>
      </c>
      <c r="M406" s="471">
        <f t="shared" si="30"/>
        <v>0.05</v>
      </c>
      <c r="N406" s="475">
        <f t="shared" si="31"/>
        <v>63402</v>
      </c>
    </row>
    <row r="407" spans="7:14" ht="11.25" customHeight="1" x14ac:dyDescent="0.3">
      <c r="G407" s="470">
        <f t="shared" si="43"/>
        <v>34</v>
      </c>
      <c r="H407" s="470">
        <v>400</v>
      </c>
      <c r="I407" s="455">
        <f t="shared" ca="1" si="29"/>
        <v>2428653.6721055959</v>
      </c>
      <c r="J407" s="455">
        <f t="array" ref="J407">IFERROR(INDEX('Retirement Calculator'!K:K,MATCH('Lorri 401b'!N407,'Retirement Calculator'!A:A,0),0),0)</f>
        <v>20282.026119384056</v>
      </c>
      <c r="K407" s="455">
        <f t="shared" ca="1" si="27"/>
        <v>10034.881858275883</v>
      </c>
      <c r="L407" s="455">
        <f t="shared" ca="1" si="28"/>
        <v>2418406.5278444877</v>
      </c>
      <c r="M407" s="471">
        <f t="shared" si="30"/>
        <v>0.05</v>
      </c>
      <c r="N407" s="475">
        <f t="shared" si="31"/>
        <v>63433</v>
      </c>
    </row>
    <row r="408" spans="7:14" ht="11.25" customHeight="1" x14ac:dyDescent="0.3">
      <c r="G408" s="470">
        <f t="shared" si="43"/>
        <v>34</v>
      </c>
      <c r="H408" s="470">
        <v>401</v>
      </c>
      <c r="I408" s="455">
        <f t="shared" ca="1" si="29"/>
        <v>2418406.5278444877</v>
      </c>
      <c r="J408" s="455">
        <f t="array" ref="J408">IFERROR(INDEX('Retirement Calculator'!K:K,MATCH('Lorri 401b'!N408,'Retirement Calculator'!A:A,0),0),0)</f>
        <v>20282.026119384056</v>
      </c>
      <c r="K408" s="455">
        <f t="shared" ca="1" si="27"/>
        <v>9992.1854238545984</v>
      </c>
      <c r="L408" s="455">
        <f t="shared" ca="1" si="28"/>
        <v>2408116.6871489584</v>
      </c>
      <c r="M408" s="471">
        <f t="shared" si="30"/>
        <v>0.05</v>
      </c>
      <c r="N408" s="475">
        <f t="shared" si="31"/>
        <v>63463</v>
      </c>
    </row>
    <row r="409" spans="7:14" ht="11.25" customHeight="1" x14ac:dyDescent="0.3">
      <c r="G409" s="470">
        <f t="shared" si="43"/>
        <v>34</v>
      </c>
      <c r="H409" s="470">
        <v>402</v>
      </c>
      <c r="I409" s="455">
        <f t="shared" ca="1" si="29"/>
        <v>2408116.6871489584</v>
      </c>
      <c r="J409" s="455">
        <f t="array" ref="J409">IFERROR(INDEX('Retirement Calculator'!K:K,MATCH('Lorri 401b'!N409,'Retirement Calculator'!A:A,0),0),0)</f>
        <v>20282.026119384056</v>
      </c>
      <c r="K409" s="455">
        <f t="shared" ca="1" si="27"/>
        <v>9949.3110876232276</v>
      </c>
      <c r="L409" s="455">
        <f t="shared" ca="1" si="28"/>
        <v>2397783.9721171977</v>
      </c>
      <c r="M409" s="471">
        <f t="shared" si="30"/>
        <v>0.05</v>
      </c>
      <c r="N409" s="475">
        <f t="shared" si="31"/>
        <v>63494</v>
      </c>
    </row>
    <row r="410" spans="7:14" ht="11.25" customHeight="1" x14ac:dyDescent="0.3">
      <c r="G410" s="470">
        <f t="shared" si="43"/>
        <v>34</v>
      </c>
      <c r="H410" s="470">
        <v>403</v>
      </c>
      <c r="I410" s="455">
        <f t="shared" ca="1" si="29"/>
        <v>2397783.9721171977</v>
      </c>
      <c r="J410" s="455">
        <f t="array" ref="J410">IFERROR(INDEX('Retirement Calculator'!K:K,MATCH('Lorri 401b'!N410,'Retirement Calculator'!A:A,0),0),0)</f>
        <v>20282.026119384056</v>
      </c>
      <c r="K410" s="455">
        <f t="shared" ca="1" si="27"/>
        <v>9906.2581083242239</v>
      </c>
      <c r="L410" s="455">
        <f t="shared" ca="1" si="28"/>
        <v>2387408.2041061381</v>
      </c>
      <c r="M410" s="471">
        <f t="shared" si="30"/>
        <v>0.05</v>
      </c>
      <c r="N410" s="475">
        <f t="shared" si="31"/>
        <v>63524</v>
      </c>
    </row>
    <row r="411" spans="7:14" ht="11.25" customHeight="1" x14ac:dyDescent="0.3">
      <c r="G411" s="470">
        <f t="shared" si="43"/>
        <v>34</v>
      </c>
      <c r="H411" s="470">
        <v>404</v>
      </c>
      <c r="I411" s="455">
        <f t="shared" ca="1" si="29"/>
        <v>2387408.2041061381</v>
      </c>
      <c r="J411" s="455">
        <f t="array" ref="J411">IFERROR(INDEX('Retirement Calculator'!K:K,MATCH('Lorri 401b'!N411,'Retirement Calculator'!A:A,0),0),0)</f>
        <v>20282.026119384056</v>
      </c>
      <c r="K411" s="455">
        <f t="shared" ca="1" si="27"/>
        <v>9863.0257416114746</v>
      </c>
      <c r="L411" s="455">
        <f t="shared" ca="1" si="28"/>
        <v>2376989.2037283657</v>
      </c>
      <c r="M411" s="471">
        <f t="shared" si="30"/>
        <v>0.05</v>
      </c>
      <c r="N411" s="475">
        <f t="shared" si="31"/>
        <v>63555</v>
      </c>
    </row>
    <row r="412" spans="7:14" ht="11.25" customHeight="1" x14ac:dyDescent="0.3">
      <c r="G412" s="470">
        <f t="shared" si="43"/>
        <v>34</v>
      </c>
      <c r="H412" s="470">
        <v>405</v>
      </c>
      <c r="I412" s="455">
        <f t="shared" ca="1" si="29"/>
        <v>2376989.2037283657</v>
      </c>
      <c r="J412" s="455">
        <f t="array" ref="J412">IFERROR(INDEX('Retirement Calculator'!K:K,MATCH('Lorri 401b'!N412,'Retirement Calculator'!A:A,0),0),0)</f>
        <v>20282.026119384056</v>
      </c>
      <c r="K412" s="455">
        <f t="shared" ca="1" si="27"/>
        <v>9819.6132400374245</v>
      </c>
      <c r="L412" s="455">
        <f t="shared" ca="1" si="28"/>
        <v>2366526.7908490193</v>
      </c>
      <c r="M412" s="471">
        <f t="shared" si="30"/>
        <v>0.05</v>
      </c>
      <c r="N412" s="475">
        <f t="shared" si="31"/>
        <v>63586</v>
      </c>
    </row>
    <row r="413" spans="7:14" ht="11.25" customHeight="1" x14ac:dyDescent="0.3">
      <c r="G413" s="470">
        <f t="shared" si="43"/>
        <v>34</v>
      </c>
      <c r="H413" s="470">
        <v>406</v>
      </c>
      <c r="I413" s="455">
        <f t="shared" ca="1" si="29"/>
        <v>2366526.7908490193</v>
      </c>
      <c r="J413" s="455">
        <f t="array" ref="J413">IFERROR(INDEX('Retirement Calculator'!K:K,MATCH('Lorri 401b'!N413,'Retirement Calculator'!A:A,0),0),0)</f>
        <v>20282.026119384056</v>
      </c>
      <c r="K413" s="455">
        <f t="shared" ca="1" si="27"/>
        <v>9776.0198530401467</v>
      </c>
      <c r="L413" s="455">
        <f t="shared" ca="1" si="28"/>
        <v>2356020.7845826754</v>
      </c>
      <c r="M413" s="471">
        <f t="shared" si="30"/>
        <v>0.05</v>
      </c>
      <c r="N413" s="475">
        <f t="shared" si="31"/>
        <v>63614</v>
      </c>
    </row>
    <row r="414" spans="7:14" ht="11.25" customHeight="1" x14ac:dyDescent="0.3">
      <c r="G414" s="470">
        <f t="shared" si="43"/>
        <v>34</v>
      </c>
      <c r="H414" s="470">
        <v>407</v>
      </c>
      <c r="I414" s="455">
        <f t="shared" ca="1" si="29"/>
        <v>2356020.7845826754</v>
      </c>
      <c r="J414" s="455">
        <f t="array" ref="J414">IFERROR(INDEX('Retirement Calculator'!K:K,MATCH('Lorri 401b'!N414,'Retirement Calculator'!A:A,0),0),0)</f>
        <v>20282.026119384056</v>
      </c>
      <c r="K414" s="455">
        <f t="shared" ca="1" si="27"/>
        <v>9732.2448269303804</v>
      </c>
      <c r="L414" s="455">
        <f t="shared" ca="1" si="28"/>
        <v>2345471.003290222</v>
      </c>
      <c r="M414" s="471">
        <f t="shared" si="30"/>
        <v>0.05</v>
      </c>
      <c r="N414" s="475">
        <f t="shared" si="31"/>
        <v>63645</v>
      </c>
    </row>
    <row r="415" spans="7:14" ht="11.25" customHeight="1" x14ac:dyDescent="0.3">
      <c r="G415" s="470">
        <f t="shared" si="43"/>
        <v>34</v>
      </c>
      <c r="H415" s="470">
        <v>408</v>
      </c>
      <c r="I415" s="455">
        <f t="shared" ca="1" si="29"/>
        <v>2345471.003290222</v>
      </c>
      <c r="J415" s="455">
        <f t="array" ref="J415">IFERROR(INDEX('Retirement Calculator'!K:K,MATCH('Lorri 401b'!N415,'Retirement Calculator'!A:A,0),0),0)</f>
        <v>20282.026119384056</v>
      </c>
      <c r="K415" s="455">
        <f t="shared" ca="1" si="27"/>
        <v>9688.2874048784925</v>
      </c>
      <c r="L415" s="455">
        <f t="shared" ca="1" si="28"/>
        <v>2334877.2645757166</v>
      </c>
      <c r="M415" s="471">
        <f t="shared" si="30"/>
        <v>0.05</v>
      </c>
      <c r="N415" s="475">
        <f t="shared" si="31"/>
        <v>63675</v>
      </c>
    </row>
    <row r="416" spans="7:14" ht="11.25" customHeight="1" x14ac:dyDescent="0.3">
      <c r="G416" s="470">
        <f>G415+1</f>
        <v>35</v>
      </c>
      <c r="H416" s="470">
        <v>409</v>
      </c>
      <c r="I416" s="455">
        <f t="shared" ca="1" si="29"/>
        <v>2334877.2645757166</v>
      </c>
      <c r="J416" s="455">
        <f t="array" ref="J416">IFERROR(INDEX('Retirement Calculator'!K:K,MATCH('Lorri 401b'!N416,'Retirement Calculator'!A:A,0),0),0)</f>
        <v>20282.026119384056</v>
      </c>
      <c r="K416" s="455">
        <f t="shared" ca="1" si="27"/>
        <v>9644.1468269013858</v>
      </c>
      <c r="L416" s="455">
        <f t="shared" ca="1" si="28"/>
        <v>2324239.3852832341</v>
      </c>
      <c r="M416" s="471">
        <f t="shared" si="30"/>
        <v>0.05</v>
      </c>
      <c r="N416" s="475">
        <f t="shared" si="31"/>
        <v>63706</v>
      </c>
    </row>
    <row r="417" spans="7:14" ht="11.25" customHeight="1" x14ac:dyDescent="0.3">
      <c r="G417" s="470">
        <f t="shared" ref="G417:G427" si="44">G416</f>
        <v>35</v>
      </c>
      <c r="H417" s="470">
        <v>410</v>
      </c>
      <c r="I417" s="455">
        <f t="shared" ca="1" si="29"/>
        <v>2324239.3852832341</v>
      </c>
      <c r="J417" s="455">
        <f t="array" ref="J417">IFERROR(INDEX('Retirement Calculator'!K:K,MATCH('Lorri 401b'!N417,'Retirement Calculator'!A:A,0),0),0)</f>
        <v>20282.026119384056</v>
      </c>
      <c r="K417" s="455">
        <f t="shared" ca="1" si="27"/>
        <v>9599.8223298493758</v>
      </c>
      <c r="L417" s="455">
        <f t="shared" ca="1" si="28"/>
        <v>2313557.1814936996</v>
      </c>
      <c r="M417" s="471">
        <f t="shared" si="30"/>
        <v>0.05</v>
      </c>
      <c r="N417" s="475">
        <f t="shared" si="31"/>
        <v>63736</v>
      </c>
    </row>
    <row r="418" spans="7:14" ht="11.25" customHeight="1" x14ac:dyDescent="0.3">
      <c r="G418" s="470">
        <f t="shared" si="44"/>
        <v>35</v>
      </c>
      <c r="H418" s="470">
        <v>411</v>
      </c>
      <c r="I418" s="455">
        <f t="shared" ca="1" si="29"/>
        <v>2313557.1814936996</v>
      </c>
      <c r="J418" s="455">
        <f t="array" ref="J418">IFERROR(INDEX('Retirement Calculator'!K:K,MATCH('Lorri 401b'!N418,'Retirement Calculator'!A:A,0),0),0)</f>
        <v>20282.026119384056</v>
      </c>
      <c r="K418" s="455">
        <f t="shared" ca="1" si="27"/>
        <v>9555.3131473929807</v>
      </c>
      <c r="L418" s="455">
        <f t="shared" ca="1" si="28"/>
        <v>2302830.4685217086</v>
      </c>
      <c r="M418" s="471">
        <f t="shared" si="30"/>
        <v>0.05</v>
      </c>
      <c r="N418" s="475">
        <f t="shared" si="31"/>
        <v>63767</v>
      </c>
    </row>
    <row r="419" spans="7:14" ht="11.25" customHeight="1" x14ac:dyDescent="0.3">
      <c r="G419" s="470">
        <f t="shared" si="44"/>
        <v>35</v>
      </c>
      <c r="H419" s="470">
        <v>412</v>
      </c>
      <c r="I419" s="455">
        <f t="shared" ca="1" si="29"/>
        <v>2302830.4685217086</v>
      </c>
      <c r="J419" s="455">
        <f t="array" ref="J419">IFERROR(INDEX('Retirement Calculator'!K:K,MATCH('Lorri 401b'!N419,'Retirement Calculator'!A:A,0),0),0)</f>
        <v>20282.026119384056</v>
      </c>
      <c r="K419" s="455">
        <f t="shared" ca="1" si="27"/>
        <v>9510.6185100096864</v>
      </c>
      <c r="L419" s="455">
        <f t="shared" ca="1" si="28"/>
        <v>2292059.0609123344</v>
      </c>
      <c r="M419" s="471">
        <f t="shared" si="30"/>
        <v>0.05</v>
      </c>
      <c r="N419" s="475">
        <f t="shared" si="31"/>
        <v>63798</v>
      </c>
    </row>
    <row r="420" spans="7:14" ht="11.25" customHeight="1" x14ac:dyDescent="0.3">
      <c r="G420" s="470">
        <f t="shared" si="44"/>
        <v>35</v>
      </c>
      <c r="H420" s="470">
        <v>413</v>
      </c>
      <c r="I420" s="455">
        <f t="shared" ca="1" si="29"/>
        <v>2292059.0609123344</v>
      </c>
      <c r="J420" s="455">
        <f t="array" ref="J420">IFERROR(INDEX('Retirement Calculator'!K:K,MATCH('Lorri 401b'!N420,'Retirement Calculator'!A:A,0),0),0)</f>
        <v>20282.026119384056</v>
      </c>
      <c r="K420" s="455">
        <f t="shared" ca="1" si="27"/>
        <v>9465.7376449706262</v>
      </c>
      <c r="L420" s="455">
        <f t="shared" ca="1" si="28"/>
        <v>2281242.7724379208</v>
      </c>
      <c r="M420" s="471">
        <f t="shared" si="30"/>
        <v>0.05</v>
      </c>
      <c r="N420" s="475">
        <f t="shared" si="31"/>
        <v>63828</v>
      </c>
    </row>
    <row r="421" spans="7:14" ht="11.25" customHeight="1" x14ac:dyDescent="0.3">
      <c r="G421" s="470">
        <f t="shared" si="44"/>
        <v>35</v>
      </c>
      <c r="H421" s="470">
        <v>414</v>
      </c>
      <c r="I421" s="455">
        <f t="shared" ca="1" si="29"/>
        <v>2281242.7724379208</v>
      </c>
      <c r="J421" s="455">
        <f t="array" ref="J421">IFERROR(INDEX('Retirement Calculator'!K:K,MATCH('Lorri 401b'!N421,'Retirement Calculator'!A:A,0),0),0)</f>
        <v>20282.026119384056</v>
      </c>
      <c r="K421" s="455">
        <f t="shared" ca="1" si="27"/>
        <v>9420.6697763272368</v>
      </c>
      <c r="L421" s="455">
        <f t="shared" ca="1" si="28"/>
        <v>2270381.4160948643</v>
      </c>
      <c r="M421" s="471">
        <f t="shared" si="30"/>
        <v>0.05</v>
      </c>
      <c r="N421" s="475">
        <f t="shared" si="31"/>
        <v>63859</v>
      </c>
    </row>
    <row r="422" spans="7:14" ht="11.25" customHeight="1" x14ac:dyDescent="0.3">
      <c r="G422" s="470">
        <f t="shared" si="44"/>
        <v>35</v>
      </c>
      <c r="H422" s="470">
        <v>415</v>
      </c>
      <c r="I422" s="455">
        <f t="shared" ca="1" si="29"/>
        <v>2270381.4160948643</v>
      </c>
      <c r="J422" s="455">
        <f t="array" ref="J422">IFERROR(INDEX('Retirement Calculator'!K:K,MATCH('Lorri 401b'!N422,'Retirement Calculator'!A:A,0),0),0)</f>
        <v>20282.026119384056</v>
      </c>
      <c r="K422" s="455">
        <f t="shared" ca="1" si="27"/>
        <v>9375.414124897834</v>
      </c>
      <c r="L422" s="455">
        <f t="shared" ca="1" si="28"/>
        <v>2259474.804100378</v>
      </c>
      <c r="M422" s="471">
        <f t="shared" si="30"/>
        <v>0.05</v>
      </c>
      <c r="N422" s="475">
        <f t="shared" si="31"/>
        <v>63889</v>
      </c>
    </row>
    <row r="423" spans="7:14" ht="11.25" customHeight="1" x14ac:dyDescent="0.3">
      <c r="G423" s="470">
        <f t="shared" si="44"/>
        <v>35</v>
      </c>
      <c r="H423" s="470">
        <v>416</v>
      </c>
      <c r="I423" s="455">
        <f t="shared" ca="1" si="29"/>
        <v>2259474.804100378</v>
      </c>
      <c r="J423" s="455">
        <f t="array" ref="J423">IFERROR(INDEX('Retirement Calculator'!K:K,MATCH('Lorri 401b'!N423,'Retirement Calculator'!A:A,0),0),0)</f>
        <v>20282.026119384056</v>
      </c>
      <c r="K423" s="455">
        <f t="shared" ca="1" si="27"/>
        <v>9329.969908254141</v>
      </c>
      <c r="L423" s="455">
        <f t="shared" ca="1" si="28"/>
        <v>2248522.7478892482</v>
      </c>
      <c r="M423" s="471">
        <f t="shared" si="30"/>
        <v>0.05</v>
      </c>
      <c r="N423" s="475">
        <f t="shared" si="31"/>
        <v>63920</v>
      </c>
    </row>
    <row r="424" spans="7:14" ht="11.25" customHeight="1" x14ac:dyDescent="0.3">
      <c r="G424" s="470">
        <f t="shared" si="44"/>
        <v>35</v>
      </c>
      <c r="H424" s="470">
        <v>417</v>
      </c>
      <c r="I424" s="455">
        <f t="shared" ca="1" si="29"/>
        <v>2248522.7478892482</v>
      </c>
      <c r="J424" s="455">
        <f t="array" ref="J424">IFERROR(INDEX('Retirement Calculator'!K:K,MATCH('Lorri 401b'!N424,'Retirement Calculator'!A:A,0),0),0)</f>
        <v>20282.026119384056</v>
      </c>
      <c r="K424" s="455">
        <f t="shared" ca="1" si="27"/>
        <v>9284.3363407077668</v>
      </c>
      <c r="L424" s="455">
        <f t="shared" ca="1" si="28"/>
        <v>2237525.0581105719</v>
      </c>
      <c r="M424" s="471">
        <f t="shared" si="30"/>
        <v>0.05</v>
      </c>
      <c r="N424" s="475">
        <f t="shared" si="31"/>
        <v>63951</v>
      </c>
    </row>
    <row r="425" spans="7:14" ht="11.25" customHeight="1" x14ac:dyDescent="0.3">
      <c r="G425" s="470">
        <f t="shared" si="44"/>
        <v>35</v>
      </c>
      <c r="H425" s="470">
        <v>418</v>
      </c>
      <c r="I425" s="455">
        <f t="shared" ca="1" si="29"/>
        <v>2237525.0581105719</v>
      </c>
      <c r="J425" s="455">
        <f t="array" ref="J425">IFERROR(INDEX('Retirement Calculator'!K:K,MATCH('Lorri 401b'!N425,'Retirement Calculator'!A:A,0),0),0)</f>
        <v>20282.026119384056</v>
      </c>
      <c r="K425" s="455">
        <f t="shared" ca="1" si="27"/>
        <v>9238.5126332966156</v>
      </c>
      <c r="L425" s="455">
        <f t="shared" ca="1" si="28"/>
        <v>2226481.5446244846</v>
      </c>
      <c r="M425" s="471">
        <f t="shared" si="30"/>
        <v>0.05</v>
      </c>
      <c r="N425" s="475">
        <f t="shared" si="31"/>
        <v>63979</v>
      </c>
    </row>
    <row r="426" spans="7:14" ht="11.25" customHeight="1" x14ac:dyDescent="0.3">
      <c r="G426" s="470">
        <f t="shared" si="44"/>
        <v>35</v>
      </c>
      <c r="H426" s="470">
        <v>419</v>
      </c>
      <c r="I426" s="455">
        <f t="shared" ca="1" si="29"/>
        <v>2226481.5446244846</v>
      </c>
      <c r="J426" s="455">
        <f t="array" ref="J426">IFERROR(INDEX('Retirement Calculator'!K:K,MATCH('Lorri 401b'!N426,'Retirement Calculator'!A:A,0),0),0)</f>
        <v>20282.026119384056</v>
      </c>
      <c r="K426" s="455">
        <f t="shared" ca="1" si="27"/>
        <v>9192.4979937712524</v>
      </c>
      <c r="L426" s="455">
        <f t="shared" ca="1" si="28"/>
        <v>2215392.0164988721</v>
      </c>
      <c r="M426" s="471">
        <f t="shared" si="30"/>
        <v>0.05</v>
      </c>
      <c r="N426" s="475">
        <f t="shared" si="31"/>
        <v>64010</v>
      </c>
    </row>
    <row r="427" spans="7:14" ht="11.25" customHeight="1" x14ac:dyDescent="0.3">
      <c r="G427" s="470">
        <f t="shared" si="44"/>
        <v>35</v>
      </c>
      <c r="H427" s="470">
        <v>420</v>
      </c>
      <c r="I427" s="455">
        <f t="shared" ca="1" si="29"/>
        <v>2215392.0164988721</v>
      </c>
      <c r="J427" s="455">
        <f t="array" ref="J427">IFERROR(INDEX('Retirement Calculator'!K:K,MATCH('Lorri 401b'!N427,'Retirement Calculator'!A:A,0),0),0)</f>
        <v>20282.026119384056</v>
      </c>
      <c r="K427" s="455">
        <f t="shared" ca="1" si="27"/>
        <v>9146.2916265812</v>
      </c>
      <c r="L427" s="455">
        <f t="shared" ca="1" si="28"/>
        <v>2204256.2820060691</v>
      </c>
      <c r="M427" s="471">
        <f t="shared" si="30"/>
        <v>0.05</v>
      </c>
      <c r="N427" s="475">
        <f t="shared" si="31"/>
        <v>64040</v>
      </c>
    </row>
    <row r="428" spans="7:14" ht="11.25" customHeight="1" x14ac:dyDescent="0.3">
      <c r="G428" s="470">
        <f>G427+1</f>
        <v>36</v>
      </c>
      <c r="H428" s="470">
        <v>421</v>
      </c>
      <c r="I428" s="455">
        <f t="shared" ca="1" si="29"/>
        <v>2204256.2820060691</v>
      </c>
      <c r="J428" s="455">
        <f t="array" ref="J428">IFERROR(INDEX('Retirement Calculator'!K:K,MATCH('Lorri 401b'!N428,'Retirement Calculator'!A:A,0),0),0)</f>
        <v>20282.026119384056</v>
      </c>
      <c r="K428" s="455">
        <f t="shared" ca="1" si="27"/>
        <v>9099.8927328611881</v>
      </c>
      <c r="L428" s="455">
        <f t="shared" ca="1" si="28"/>
        <v>2193074.1486195461</v>
      </c>
      <c r="M428" s="471">
        <f t="shared" si="30"/>
        <v>0.05</v>
      </c>
      <c r="N428" s="475">
        <f t="shared" si="31"/>
        <v>64071</v>
      </c>
    </row>
    <row r="429" spans="7:14" ht="11.25" customHeight="1" x14ac:dyDescent="0.3">
      <c r="G429" s="470">
        <f t="shared" ref="G429:G439" si="45">G428</f>
        <v>36</v>
      </c>
      <c r="H429" s="470">
        <v>422</v>
      </c>
      <c r="I429" s="455">
        <f t="shared" ca="1" si="29"/>
        <v>2193074.1486195461</v>
      </c>
      <c r="J429" s="455">
        <f t="array" ref="J429">IFERROR(INDEX('Retirement Calculator'!K:K,MATCH('Lorri 401b'!N429,'Retirement Calculator'!A:A,0),0),0)</f>
        <v>20282.026119384056</v>
      </c>
      <c r="K429" s="455">
        <f t="shared" ca="1" si="27"/>
        <v>9053.3005104173426</v>
      </c>
      <c r="L429" s="455">
        <f t="shared" ca="1" si="28"/>
        <v>2181845.4230105793</v>
      </c>
      <c r="M429" s="471">
        <f t="shared" si="30"/>
        <v>0.05</v>
      </c>
      <c r="N429" s="475">
        <f t="shared" si="31"/>
        <v>64101</v>
      </c>
    </row>
    <row r="430" spans="7:14" ht="11.25" customHeight="1" x14ac:dyDescent="0.3">
      <c r="G430" s="470">
        <f t="shared" si="45"/>
        <v>36</v>
      </c>
      <c r="H430" s="470">
        <v>423</v>
      </c>
      <c r="I430" s="455">
        <f t="shared" ca="1" si="29"/>
        <v>2181845.4230105793</v>
      </c>
      <c r="J430" s="455">
        <f t="array" ref="J430">IFERROR(INDEX('Retirement Calculator'!K:K,MATCH('Lorri 401b'!N430,'Retirement Calculator'!A:A,0),0),0)</f>
        <v>20282.026119384056</v>
      </c>
      <c r="K430" s="455">
        <f t="shared" ca="1" si="27"/>
        <v>9006.5141537133131</v>
      </c>
      <c r="L430" s="455">
        <f t="shared" ca="1" si="28"/>
        <v>2170569.9110449087</v>
      </c>
      <c r="M430" s="471">
        <f t="shared" si="30"/>
        <v>0.05</v>
      </c>
      <c r="N430" s="475">
        <f t="shared" si="31"/>
        <v>64132</v>
      </c>
    </row>
    <row r="431" spans="7:14" ht="11.25" customHeight="1" x14ac:dyDescent="0.3">
      <c r="G431" s="470">
        <f t="shared" si="45"/>
        <v>36</v>
      </c>
      <c r="H431" s="470">
        <v>424</v>
      </c>
      <c r="I431" s="455">
        <f t="shared" ca="1" si="29"/>
        <v>2170569.9110449087</v>
      </c>
      <c r="J431" s="455">
        <f t="array" ref="J431">IFERROR(INDEX('Retirement Calculator'!K:K,MATCH('Lorri 401b'!N431,'Retirement Calculator'!A:A,0),0),0)</f>
        <v>20282.026119384056</v>
      </c>
      <c r="K431" s="455">
        <f t="shared" ca="1" si="27"/>
        <v>8959.5328538563535</v>
      </c>
      <c r="L431" s="455">
        <f t="shared" ca="1" si="28"/>
        <v>2159247.4177793809</v>
      </c>
      <c r="M431" s="471">
        <f t="shared" si="30"/>
        <v>0.05</v>
      </c>
      <c r="N431" s="475">
        <f t="shared" si="31"/>
        <v>64163</v>
      </c>
    </row>
    <row r="432" spans="7:14" ht="11.25" customHeight="1" x14ac:dyDescent="0.3">
      <c r="G432" s="470">
        <f t="shared" si="45"/>
        <v>36</v>
      </c>
      <c r="H432" s="470">
        <v>425</v>
      </c>
      <c r="I432" s="455">
        <f t="shared" ca="1" si="29"/>
        <v>2159247.4177793809</v>
      </c>
      <c r="J432" s="455">
        <f t="array" ref="J432">IFERROR(INDEX('Retirement Calculator'!K:K,MATCH('Lorri 401b'!N432,'Retirement Calculator'!A:A,0),0),0)</f>
        <v>20282.026119384056</v>
      </c>
      <c r="K432" s="455">
        <f t="shared" ca="1" si="27"/>
        <v>8912.3557985833213</v>
      </c>
      <c r="L432" s="455">
        <f t="shared" ca="1" si="28"/>
        <v>2147877.7474585804</v>
      </c>
      <c r="M432" s="471">
        <f t="shared" si="30"/>
        <v>0.05</v>
      </c>
      <c r="N432" s="475">
        <f t="shared" si="31"/>
        <v>64193</v>
      </c>
    </row>
    <row r="433" spans="7:14" ht="11.25" customHeight="1" x14ac:dyDescent="0.3">
      <c r="G433" s="470">
        <f t="shared" si="45"/>
        <v>36</v>
      </c>
      <c r="H433" s="470">
        <v>426</v>
      </c>
      <c r="I433" s="455">
        <f t="shared" ca="1" si="29"/>
        <v>2147877.7474585804</v>
      </c>
      <c r="J433" s="455">
        <f t="array" ref="J433">IFERROR(INDEX('Retirement Calculator'!K:K,MATCH('Lorri 401b'!N433,'Retirement Calculator'!A:A,0),0),0)</f>
        <v>20282.026119384056</v>
      </c>
      <c r="K433" s="455">
        <f t="shared" ca="1" si="27"/>
        <v>8864.9821722466513</v>
      </c>
      <c r="L433" s="455">
        <f t="shared" ca="1" si="28"/>
        <v>2136460.703511443</v>
      </c>
      <c r="M433" s="471">
        <f t="shared" si="30"/>
        <v>0.05</v>
      </c>
      <c r="N433" s="475">
        <f t="shared" si="31"/>
        <v>64224</v>
      </c>
    </row>
    <row r="434" spans="7:14" ht="11.25" customHeight="1" x14ac:dyDescent="0.3">
      <c r="G434" s="470">
        <f t="shared" si="45"/>
        <v>36</v>
      </c>
      <c r="H434" s="470">
        <v>427</v>
      </c>
      <c r="I434" s="455">
        <f t="shared" ca="1" si="29"/>
        <v>2136460.703511443</v>
      </c>
      <c r="J434" s="455">
        <f t="array" ref="J434">IFERROR(INDEX('Retirement Calculator'!K:K,MATCH('Lorri 401b'!N434,'Retirement Calculator'!A:A,0),0),0)</f>
        <v>20282.026119384056</v>
      </c>
      <c r="K434" s="455">
        <f t="shared" ca="1" si="27"/>
        <v>8817.411155800246</v>
      </c>
      <c r="L434" s="455">
        <f t="shared" ca="1" si="28"/>
        <v>2124996.0885478593</v>
      </c>
      <c r="M434" s="471">
        <f t="shared" si="30"/>
        <v>0.05</v>
      </c>
      <c r="N434" s="475">
        <f t="shared" si="31"/>
        <v>64254</v>
      </c>
    </row>
    <row r="435" spans="7:14" ht="11.25" customHeight="1" x14ac:dyDescent="0.3">
      <c r="G435" s="470">
        <f t="shared" si="45"/>
        <v>36</v>
      </c>
      <c r="H435" s="470">
        <v>428</v>
      </c>
      <c r="I435" s="455">
        <f t="shared" ca="1" si="29"/>
        <v>2124996.0885478593</v>
      </c>
      <c r="J435" s="455">
        <f t="array" ref="J435">IFERROR(INDEX('Retirement Calculator'!K:K,MATCH('Lorri 401b'!N435,'Retirement Calculator'!A:A,0),0),0)</f>
        <v>20282.026119384056</v>
      </c>
      <c r="K435" s="455">
        <f t="shared" ca="1" si="27"/>
        <v>8769.6419267853144</v>
      </c>
      <c r="L435" s="455">
        <f t="shared" ca="1" si="28"/>
        <v>2113483.7043552608</v>
      </c>
      <c r="M435" s="471">
        <f t="shared" si="30"/>
        <v>0.05</v>
      </c>
      <c r="N435" s="475">
        <f t="shared" si="31"/>
        <v>64285</v>
      </c>
    </row>
    <row r="436" spans="7:14" ht="11.25" customHeight="1" x14ac:dyDescent="0.3">
      <c r="G436" s="470">
        <f t="shared" si="45"/>
        <v>36</v>
      </c>
      <c r="H436" s="470">
        <v>429</v>
      </c>
      <c r="I436" s="455">
        <f t="shared" ca="1" si="29"/>
        <v>2113483.7043552608</v>
      </c>
      <c r="J436" s="455">
        <f t="array" ref="J436">IFERROR(INDEX('Retirement Calculator'!K:K,MATCH('Lorri 401b'!N436,'Retirement Calculator'!A:A,0),0),0)</f>
        <v>20282.026119384056</v>
      </c>
      <c r="K436" s="455">
        <f t="shared" ca="1" si="27"/>
        <v>8721.673659316155</v>
      </c>
      <c r="L436" s="455">
        <f t="shared" ca="1" si="28"/>
        <v>2101923.3518951931</v>
      </c>
      <c r="M436" s="471">
        <f t="shared" si="30"/>
        <v>0.05</v>
      </c>
      <c r="N436" s="475">
        <f t="shared" si="31"/>
        <v>64316</v>
      </c>
    </row>
    <row r="437" spans="7:14" ht="11.25" customHeight="1" x14ac:dyDescent="0.3">
      <c r="G437" s="470">
        <f t="shared" si="45"/>
        <v>36</v>
      </c>
      <c r="H437" s="470">
        <v>430</v>
      </c>
      <c r="I437" s="455">
        <f t="shared" ca="1" si="29"/>
        <v>2101923.3518951931</v>
      </c>
      <c r="J437" s="455">
        <f t="array" ref="J437">IFERROR(INDEX('Retirement Calculator'!K:K,MATCH('Lorri 401b'!N437,'Retirement Calculator'!A:A,0),0),0)</f>
        <v>20282.026119384056</v>
      </c>
      <c r="K437" s="455">
        <f t="shared" ca="1" si="27"/>
        <v>8673.5055240658712</v>
      </c>
      <c r="L437" s="455">
        <f t="shared" ca="1" si="28"/>
        <v>2090314.8312998749</v>
      </c>
      <c r="M437" s="471">
        <f t="shared" si="30"/>
        <v>0.05</v>
      </c>
      <c r="N437" s="475">
        <f t="shared" si="31"/>
        <v>64345</v>
      </c>
    </row>
    <row r="438" spans="7:14" ht="11.25" customHeight="1" x14ac:dyDescent="0.3">
      <c r="G438" s="470">
        <f t="shared" si="45"/>
        <v>36</v>
      </c>
      <c r="H438" s="470">
        <v>431</v>
      </c>
      <c r="I438" s="455">
        <f t="shared" ca="1" si="29"/>
        <v>2090314.8312998749</v>
      </c>
      <c r="J438" s="455">
        <f t="array" ref="J438">IFERROR(INDEX('Retirement Calculator'!K:K,MATCH('Lorri 401b'!N438,'Retirement Calculator'!A:A,0),0),0)</f>
        <v>20282.026119384056</v>
      </c>
      <c r="K438" s="455">
        <f t="shared" ca="1" si="27"/>
        <v>8625.1366882520451</v>
      </c>
      <c r="L438" s="455">
        <f t="shared" ca="1" si="28"/>
        <v>2078657.9418687429</v>
      </c>
      <c r="M438" s="471">
        <f t="shared" si="30"/>
        <v>0.05</v>
      </c>
      <c r="N438" s="475">
        <f t="shared" si="31"/>
        <v>64376</v>
      </c>
    </row>
    <row r="439" spans="7:14" ht="11.25" customHeight="1" x14ac:dyDescent="0.3">
      <c r="G439" s="470">
        <f t="shared" si="45"/>
        <v>36</v>
      </c>
      <c r="H439" s="470">
        <v>432</v>
      </c>
      <c r="I439" s="455">
        <f t="shared" ca="1" si="29"/>
        <v>2078657.9418687429</v>
      </c>
      <c r="J439" s="455">
        <f t="array" ref="J439">IFERROR(INDEX('Retirement Calculator'!K:K,MATCH('Lorri 401b'!N439,'Retirement Calculator'!A:A,0),0),0)</f>
        <v>20282.026119384056</v>
      </c>
      <c r="K439" s="455">
        <f t="shared" ca="1" si="27"/>
        <v>8576.5663156223272</v>
      </c>
      <c r="L439" s="455">
        <f t="shared" ca="1" si="28"/>
        <v>2066952.4820649812</v>
      </c>
      <c r="M439" s="471">
        <f t="shared" si="30"/>
        <v>0.05</v>
      </c>
      <c r="N439" s="475">
        <f t="shared" si="31"/>
        <v>64406</v>
      </c>
    </row>
    <row r="440" spans="7:14" ht="11.25" customHeight="1" x14ac:dyDescent="0.3">
      <c r="G440" s="470">
        <f>G439+1</f>
        <v>37</v>
      </c>
      <c r="H440" s="470">
        <v>433</v>
      </c>
      <c r="I440" s="455">
        <f t="shared" ca="1" si="29"/>
        <v>2066952.4820649812</v>
      </c>
      <c r="J440" s="455">
        <f t="array" ref="J440">IFERROR(INDEX('Retirement Calculator'!K:K,MATCH('Lorri 401b'!N440,'Retirement Calculator'!A:A,0),0),0)</f>
        <v>20282.026119384056</v>
      </c>
      <c r="K440" s="455">
        <f t="shared" ca="1" si="27"/>
        <v>8527.7935664399884</v>
      </c>
      <c r="L440" s="455">
        <f t="shared" ca="1" si="28"/>
        <v>2055198.2495120373</v>
      </c>
      <c r="M440" s="471">
        <f t="shared" si="30"/>
        <v>0.05</v>
      </c>
      <c r="N440" s="475">
        <f t="shared" si="31"/>
        <v>64437</v>
      </c>
    </row>
    <row r="441" spans="7:14" ht="11.25" customHeight="1" x14ac:dyDescent="0.3">
      <c r="G441" s="470">
        <f t="shared" ref="G441:G451" si="46">G440</f>
        <v>37</v>
      </c>
      <c r="H441" s="470">
        <v>434</v>
      </c>
      <c r="I441" s="455">
        <f t="shared" ca="1" si="29"/>
        <v>2055198.2495120373</v>
      </c>
      <c r="J441" s="455">
        <f t="array" ref="J441">IFERROR(INDEX('Retirement Calculator'!K:K,MATCH('Lorri 401b'!N441,'Retirement Calculator'!A:A,0),0),0)</f>
        <v>20282.026119384056</v>
      </c>
      <c r="K441" s="455">
        <f t="shared" ca="1" si="27"/>
        <v>8478.8175974693877</v>
      </c>
      <c r="L441" s="455">
        <f t="shared" ca="1" si="28"/>
        <v>2043395.0409901226</v>
      </c>
      <c r="M441" s="471">
        <f t="shared" si="30"/>
        <v>0.05</v>
      </c>
      <c r="N441" s="475">
        <f t="shared" si="31"/>
        <v>64467</v>
      </c>
    </row>
    <row r="442" spans="7:14" ht="11.25" customHeight="1" x14ac:dyDescent="0.3">
      <c r="G442" s="470">
        <f t="shared" si="46"/>
        <v>37</v>
      </c>
      <c r="H442" s="470">
        <v>435</v>
      </c>
      <c r="I442" s="455">
        <f t="shared" ca="1" si="29"/>
        <v>2043395.0409901226</v>
      </c>
      <c r="J442" s="455">
        <f t="array" ref="J442">IFERROR(INDEX('Retirement Calculator'!K:K,MATCH('Lorri 401b'!N442,'Retirement Calculator'!A:A,0),0),0)</f>
        <v>20282.026119384056</v>
      </c>
      <c r="K442" s="455">
        <f t="shared" ca="1" si="27"/>
        <v>8429.63756196141</v>
      </c>
      <c r="L442" s="455">
        <f t="shared" ca="1" si="28"/>
        <v>2031542.6524326999</v>
      </c>
      <c r="M442" s="471">
        <f t="shared" si="30"/>
        <v>0.05</v>
      </c>
      <c r="N442" s="475">
        <f t="shared" si="31"/>
        <v>64498</v>
      </c>
    </row>
    <row r="443" spans="7:14" ht="11.25" customHeight="1" x14ac:dyDescent="0.3">
      <c r="G443" s="470">
        <f t="shared" si="46"/>
        <v>37</v>
      </c>
      <c r="H443" s="470">
        <v>436</v>
      </c>
      <c r="I443" s="455">
        <f t="shared" ca="1" si="29"/>
        <v>2031542.6524326999</v>
      </c>
      <c r="J443" s="455">
        <f t="array" ref="J443">IFERROR(INDEX('Retirement Calculator'!K:K,MATCH('Lorri 401b'!N443,'Retirement Calculator'!A:A,0),0),0)</f>
        <v>20282.026119384056</v>
      </c>
      <c r="K443" s="455">
        <f t="shared" ca="1" si="27"/>
        <v>8380.2526096388156</v>
      </c>
      <c r="L443" s="455">
        <f t="shared" ca="1" si="28"/>
        <v>2019640.8789229547</v>
      </c>
      <c r="M443" s="471">
        <f t="shared" si="30"/>
        <v>0.05</v>
      </c>
      <c r="N443" s="475">
        <f t="shared" si="31"/>
        <v>64529</v>
      </c>
    </row>
    <row r="444" spans="7:14" ht="11.25" customHeight="1" x14ac:dyDescent="0.3">
      <c r="G444" s="470">
        <f t="shared" si="46"/>
        <v>37</v>
      </c>
      <c r="H444" s="470">
        <v>437</v>
      </c>
      <c r="I444" s="455">
        <f t="shared" ca="1" si="29"/>
        <v>2019640.8789229547</v>
      </c>
      <c r="J444" s="455">
        <f t="array" ref="J444">IFERROR(INDEX('Retirement Calculator'!K:K,MATCH('Lorri 401b'!N444,'Retirement Calculator'!A:A,0),0),0)</f>
        <v>20282.026119384056</v>
      </c>
      <c r="K444" s="455">
        <f t="shared" ca="1" si="27"/>
        <v>8330.6618866815461</v>
      </c>
      <c r="L444" s="455">
        <f t="shared" ca="1" si="28"/>
        <v>2007689.5146902523</v>
      </c>
      <c r="M444" s="471">
        <f t="shared" si="30"/>
        <v>0.05</v>
      </c>
      <c r="N444" s="475">
        <f t="shared" si="31"/>
        <v>64559</v>
      </c>
    </row>
    <row r="445" spans="7:14" ht="11.25" customHeight="1" x14ac:dyDescent="0.3">
      <c r="G445" s="470">
        <f t="shared" si="46"/>
        <v>37</v>
      </c>
      <c r="H445" s="470">
        <v>438</v>
      </c>
      <c r="I445" s="455">
        <f t="shared" ca="1" si="29"/>
        <v>2007689.5146902523</v>
      </c>
      <c r="J445" s="455">
        <f t="array" ref="J445">IFERROR(INDEX('Retirement Calculator'!K:K,MATCH('Lorri 401b'!N445,'Retirement Calculator'!A:A,0),0),0)</f>
        <v>20282.026119384056</v>
      </c>
      <c r="K445" s="455">
        <f t="shared" ca="1" si="27"/>
        <v>8280.8645357119494</v>
      </c>
      <c r="L445" s="455">
        <f t="shared" ca="1" si="28"/>
        <v>1995688.3531065802</v>
      </c>
      <c r="M445" s="471">
        <f t="shared" si="30"/>
        <v>0.05</v>
      </c>
      <c r="N445" s="475">
        <f t="shared" si="31"/>
        <v>64590</v>
      </c>
    </row>
    <row r="446" spans="7:14" ht="11.25" customHeight="1" x14ac:dyDescent="0.3">
      <c r="G446" s="470">
        <f t="shared" si="46"/>
        <v>37</v>
      </c>
      <c r="H446" s="470">
        <v>439</v>
      </c>
      <c r="I446" s="455">
        <f t="shared" ca="1" si="29"/>
        <v>1995688.3531065802</v>
      </c>
      <c r="J446" s="455">
        <f t="array" ref="J446">IFERROR(INDEX('Retirement Calculator'!K:K,MATCH('Lorri 401b'!N446,'Retirement Calculator'!A:A,0),0),0)</f>
        <v>20282.026119384056</v>
      </c>
      <c r="K446" s="455">
        <f t="shared" ca="1" si="27"/>
        <v>8230.8596957799837</v>
      </c>
      <c r="L446" s="455">
        <f t="shared" ca="1" si="28"/>
        <v>1983637.1866829763</v>
      </c>
      <c r="M446" s="471">
        <f t="shared" si="30"/>
        <v>0.05</v>
      </c>
      <c r="N446" s="475">
        <f t="shared" si="31"/>
        <v>64620</v>
      </c>
    </row>
    <row r="447" spans="7:14" ht="11.25" customHeight="1" x14ac:dyDescent="0.3">
      <c r="G447" s="470">
        <f t="shared" si="46"/>
        <v>37</v>
      </c>
      <c r="H447" s="470">
        <v>440</v>
      </c>
      <c r="I447" s="455">
        <f t="shared" ca="1" si="29"/>
        <v>1983637.1866829763</v>
      </c>
      <c r="J447" s="455">
        <f t="array" ref="J447">IFERROR(INDEX('Retirement Calculator'!K:K,MATCH('Lorri 401b'!N447,'Retirement Calculator'!A:A,0),0),0)</f>
        <v>20282.026119384056</v>
      </c>
      <c r="K447" s="455">
        <f t="shared" ca="1" si="27"/>
        <v>8180.6465023483006</v>
      </c>
      <c r="L447" s="455">
        <f t="shared" ca="1" si="28"/>
        <v>1971535.8070659407</v>
      </c>
      <c r="M447" s="471">
        <f t="shared" si="30"/>
        <v>0.05</v>
      </c>
      <c r="N447" s="475">
        <f t="shared" si="31"/>
        <v>64651</v>
      </c>
    </row>
    <row r="448" spans="7:14" ht="11.25" customHeight="1" x14ac:dyDescent="0.3">
      <c r="G448" s="470">
        <f t="shared" si="46"/>
        <v>37</v>
      </c>
      <c r="H448" s="470">
        <v>441</v>
      </c>
      <c r="I448" s="455">
        <f t="shared" ca="1" si="29"/>
        <v>1971535.8070659407</v>
      </c>
      <c r="J448" s="455">
        <f t="array" ref="J448">IFERROR(INDEX('Retirement Calculator'!K:K,MATCH('Lorri 401b'!N448,'Retirement Calculator'!A:A,0),0),0)</f>
        <v>20282.026119384056</v>
      </c>
      <c r="K448" s="455">
        <f t="shared" ca="1" si="27"/>
        <v>8130.2240872773191</v>
      </c>
      <c r="L448" s="455">
        <f t="shared" ca="1" si="28"/>
        <v>1959384.0050338341</v>
      </c>
      <c r="M448" s="471">
        <f t="shared" si="30"/>
        <v>0.05</v>
      </c>
      <c r="N448" s="475">
        <f t="shared" si="31"/>
        <v>64682</v>
      </c>
    </row>
    <row r="449" spans="7:14" ht="11.25" customHeight="1" x14ac:dyDescent="0.3">
      <c r="G449" s="470">
        <f t="shared" si="46"/>
        <v>37</v>
      </c>
      <c r="H449" s="470">
        <v>442</v>
      </c>
      <c r="I449" s="455">
        <f t="shared" ca="1" si="29"/>
        <v>1959384.0050338341</v>
      </c>
      <c r="J449" s="455">
        <f t="array" ref="J449">IFERROR(INDEX('Retirement Calculator'!K:K,MATCH('Lorri 401b'!N449,'Retirement Calculator'!A:A,0),0),0)</f>
        <v>20282.026119384056</v>
      </c>
      <c r="K449" s="455">
        <f t="shared" ca="1" si="27"/>
        <v>8079.5915788102093</v>
      </c>
      <c r="L449" s="455">
        <f t="shared" ca="1" si="28"/>
        <v>1947181.5704932604</v>
      </c>
      <c r="M449" s="471">
        <f t="shared" si="30"/>
        <v>0.05</v>
      </c>
      <c r="N449" s="475">
        <f t="shared" si="31"/>
        <v>64710</v>
      </c>
    </row>
    <row r="450" spans="7:14" ht="11.25" customHeight="1" x14ac:dyDescent="0.3">
      <c r="G450" s="470">
        <f t="shared" si="46"/>
        <v>37</v>
      </c>
      <c r="H450" s="470">
        <v>443</v>
      </c>
      <c r="I450" s="455">
        <f t="shared" ca="1" si="29"/>
        <v>1947181.5704932604</v>
      </c>
      <c r="J450" s="455">
        <f t="array" ref="J450">IFERROR(INDEX('Retirement Calculator'!K:K,MATCH('Lorri 401b'!N450,'Retirement Calculator'!A:A,0),0),0)</f>
        <v>20282.026119384056</v>
      </c>
      <c r="K450" s="455">
        <f t="shared" ca="1" si="27"/>
        <v>8028.7481015578187</v>
      </c>
      <c r="L450" s="455">
        <f t="shared" ca="1" si="28"/>
        <v>1934928.2924754343</v>
      </c>
      <c r="M450" s="471">
        <f t="shared" si="30"/>
        <v>0.05</v>
      </c>
      <c r="N450" s="475">
        <f t="shared" si="31"/>
        <v>64741</v>
      </c>
    </row>
    <row r="451" spans="7:14" ht="11.25" customHeight="1" x14ac:dyDescent="0.3">
      <c r="G451" s="470">
        <f t="shared" si="46"/>
        <v>37</v>
      </c>
      <c r="H451" s="470">
        <v>444</v>
      </c>
      <c r="I451" s="455">
        <f t="shared" ca="1" si="29"/>
        <v>1934928.2924754343</v>
      </c>
      <c r="J451" s="455">
        <f t="array" ref="J451">IFERROR(INDEX('Retirement Calculator'!K:K,MATCH('Lorri 401b'!N451,'Retirement Calculator'!A:A,0),0),0)</f>
        <v>20282.026119384056</v>
      </c>
      <c r="K451" s="455">
        <f t="shared" ca="1" si="27"/>
        <v>7977.6927764835418</v>
      </c>
      <c r="L451" s="455">
        <f t="shared" ca="1" si="28"/>
        <v>1922623.9591325338</v>
      </c>
      <c r="M451" s="471">
        <f t="shared" si="30"/>
        <v>0.05</v>
      </c>
      <c r="N451" s="475">
        <f t="shared" si="31"/>
        <v>64771</v>
      </c>
    </row>
    <row r="452" spans="7:14" ht="11.25" customHeight="1" x14ac:dyDescent="0.3">
      <c r="G452" s="470">
        <f>G451+1</f>
        <v>38</v>
      </c>
      <c r="H452" s="470">
        <v>445</v>
      </c>
      <c r="I452" s="455">
        <f t="shared" ca="1" si="29"/>
        <v>1922623.9591325338</v>
      </c>
      <c r="J452" s="455">
        <f t="array" ref="J452">IFERROR(INDEX('Retirement Calculator'!K:K,MATCH('Lorri 401b'!N452,'Retirement Calculator'!A:A,0),0),0)</f>
        <v>20282.026119384056</v>
      </c>
      <c r="K452" s="455">
        <f t="shared" ca="1" si="27"/>
        <v>7926.4247208881252</v>
      </c>
      <c r="L452" s="455">
        <f t="shared" ca="1" si="28"/>
        <v>1910268.3577340378</v>
      </c>
      <c r="M452" s="471">
        <f t="shared" si="30"/>
        <v>0.05</v>
      </c>
      <c r="N452" s="475">
        <f t="shared" si="31"/>
        <v>64802</v>
      </c>
    </row>
    <row r="453" spans="7:14" ht="11.25" customHeight="1" x14ac:dyDescent="0.3">
      <c r="G453" s="470">
        <f t="shared" ref="G453:G463" si="47">G452</f>
        <v>38</v>
      </c>
      <c r="H453" s="470">
        <v>446</v>
      </c>
      <c r="I453" s="455">
        <f t="shared" ca="1" si="29"/>
        <v>1910268.3577340378</v>
      </c>
      <c r="J453" s="455">
        <f t="array" ref="J453">IFERROR(INDEX('Retirement Calculator'!K:K,MATCH('Lorri 401b'!N453,'Retirement Calculator'!A:A,0),0),0)</f>
        <v>20282.026119384056</v>
      </c>
      <c r="K453" s="455">
        <f t="shared" ca="1" si="27"/>
        <v>7874.9430483943906</v>
      </c>
      <c r="L453" s="455">
        <f t="shared" ca="1" si="28"/>
        <v>1897861.2746630481</v>
      </c>
      <c r="M453" s="471">
        <f t="shared" si="30"/>
        <v>0.05</v>
      </c>
      <c r="N453" s="475">
        <f t="shared" si="31"/>
        <v>64832</v>
      </c>
    </row>
    <row r="454" spans="7:14" ht="11.25" customHeight="1" x14ac:dyDescent="0.3">
      <c r="G454" s="470">
        <f t="shared" si="47"/>
        <v>38</v>
      </c>
      <c r="H454" s="470">
        <v>447</v>
      </c>
      <c r="I454" s="455">
        <f t="shared" ca="1" si="29"/>
        <v>1897861.2746630481</v>
      </c>
      <c r="J454" s="455">
        <f t="array" ref="J454">IFERROR(INDEX('Retirement Calculator'!K:K,MATCH('Lorri 401b'!N454,'Retirement Calculator'!A:A,0),0),0)</f>
        <v>20282.026119384056</v>
      </c>
      <c r="K454" s="455">
        <f t="shared" ca="1" si="27"/>
        <v>7823.2468689319348</v>
      </c>
      <c r="L454" s="455">
        <f t="shared" ca="1" si="28"/>
        <v>1885402.495412596</v>
      </c>
      <c r="M454" s="471">
        <f t="shared" si="30"/>
        <v>0.05</v>
      </c>
      <c r="N454" s="475">
        <f t="shared" si="31"/>
        <v>64863</v>
      </c>
    </row>
    <row r="455" spans="7:14" ht="11.25" customHeight="1" x14ac:dyDescent="0.3">
      <c r="G455" s="470">
        <f t="shared" si="47"/>
        <v>38</v>
      </c>
      <c r="H455" s="470">
        <v>448</v>
      </c>
      <c r="I455" s="455">
        <f t="shared" ca="1" si="29"/>
        <v>1885402.495412596</v>
      </c>
      <c r="J455" s="455">
        <f t="array" ref="J455">IFERROR(INDEX('Retirement Calculator'!K:K,MATCH('Lorri 401b'!N455,'Retirement Calculator'!A:A,0),0),0)</f>
        <v>20282.026119384056</v>
      </c>
      <c r="K455" s="455">
        <f t="shared" ca="1" si="27"/>
        <v>7771.335288721717</v>
      </c>
      <c r="L455" s="455">
        <f t="shared" ca="1" si="28"/>
        <v>1872891.8045819337</v>
      </c>
      <c r="M455" s="471">
        <f t="shared" si="30"/>
        <v>0.05</v>
      </c>
      <c r="N455" s="475">
        <f t="shared" si="31"/>
        <v>64894</v>
      </c>
    </row>
    <row r="456" spans="7:14" ht="11.25" customHeight="1" x14ac:dyDescent="0.3">
      <c r="G456" s="470">
        <f t="shared" si="47"/>
        <v>38</v>
      </c>
      <c r="H456" s="470">
        <v>449</v>
      </c>
      <c r="I456" s="455">
        <f t="shared" ca="1" si="29"/>
        <v>1872891.8045819337</v>
      </c>
      <c r="J456" s="455">
        <f t="array" ref="J456">IFERROR(INDEX('Retirement Calculator'!K:K,MATCH('Lorri 401b'!N456,'Retirement Calculator'!A:A,0),0),0)</f>
        <v>20282.026119384056</v>
      </c>
      <c r="K456" s="455">
        <f t="shared" ca="1" si="27"/>
        <v>7719.2074102606239</v>
      </c>
      <c r="L456" s="455">
        <f t="shared" ca="1" si="28"/>
        <v>1860328.9858728102</v>
      </c>
      <c r="M456" s="471">
        <f t="shared" si="30"/>
        <v>0.05</v>
      </c>
      <c r="N456" s="475">
        <f t="shared" si="31"/>
        <v>64924</v>
      </c>
    </row>
    <row r="457" spans="7:14" ht="11.25" customHeight="1" x14ac:dyDescent="0.3">
      <c r="G457" s="470">
        <f t="shared" si="47"/>
        <v>38</v>
      </c>
      <c r="H457" s="470">
        <v>450</v>
      </c>
      <c r="I457" s="455">
        <f t="shared" ca="1" si="29"/>
        <v>1860328.9858728102</v>
      </c>
      <c r="J457" s="455">
        <f t="array" ref="J457">IFERROR(INDEX('Retirement Calculator'!K:K,MATCH('Lorri 401b'!N457,'Retirement Calculator'!A:A,0),0),0)</f>
        <v>20282.026119384056</v>
      </c>
      <c r="K457" s="455">
        <f t="shared" ca="1" si="27"/>
        <v>7666.8623323059428</v>
      </c>
      <c r="L457" s="455">
        <f t="shared" ca="1" si="28"/>
        <v>1847713.8220857321</v>
      </c>
      <c r="M457" s="471">
        <f t="shared" si="30"/>
        <v>0.05</v>
      </c>
      <c r="N457" s="475">
        <f t="shared" si="31"/>
        <v>64955</v>
      </c>
    </row>
    <row r="458" spans="7:14" ht="11.25" customHeight="1" x14ac:dyDescent="0.3">
      <c r="G458" s="470">
        <f t="shared" si="47"/>
        <v>38</v>
      </c>
      <c r="H458" s="470">
        <v>451</v>
      </c>
      <c r="I458" s="455">
        <f t="shared" ca="1" si="29"/>
        <v>1847713.8220857321</v>
      </c>
      <c r="J458" s="455">
        <f t="array" ref="J458">IFERROR(INDEX('Retirement Calculator'!K:K,MATCH('Lorri 401b'!N458,'Retirement Calculator'!A:A,0),0),0)</f>
        <v>20282.026119384056</v>
      </c>
      <c r="K458" s="455">
        <f t="shared" ca="1" si="27"/>
        <v>7614.2991498597848</v>
      </c>
      <c r="L458" s="455">
        <f t="shared" ca="1" si="28"/>
        <v>1835046.0951162078</v>
      </c>
      <c r="M458" s="471">
        <f t="shared" si="30"/>
        <v>0.05</v>
      </c>
      <c r="N458" s="475">
        <f t="shared" si="31"/>
        <v>64985</v>
      </c>
    </row>
    <row r="459" spans="7:14" ht="11.25" customHeight="1" x14ac:dyDescent="0.3">
      <c r="G459" s="470">
        <f t="shared" si="47"/>
        <v>38</v>
      </c>
      <c r="H459" s="470">
        <v>452</v>
      </c>
      <c r="I459" s="455">
        <f t="shared" ca="1" si="29"/>
        <v>1835046.0951162078</v>
      </c>
      <c r="J459" s="455">
        <f t="array" ref="J459">IFERROR(INDEX('Retirement Calculator'!K:K,MATCH('Lorri 401b'!N459,'Retirement Calculator'!A:A,0),0),0)</f>
        <v>20282.026119384056</v>
      </c>
      <c r="K459" s="455">
        <f t="shared" ca="1" si="27"/>
        <v>7561.5169541534324</v>
      </c>
      <c r="L459" s="455">
        <f t="shared" ca="1" si="28"/>
        <v>1822325.5859509774</v>
      </c>
      <c r="M459" s="471">
        <f t="shared" si="30"/>
        <v>0.05</v>
      </c>
      <c r="N459" s="475">
        <f t="shared" si="31"/>
        <v>65016</v>
      </c>
    </row>
    <row r="460" spans="7:14" ht="11.25" customHeight="1" x14ac:dyDescent="0.3">
      <c r="G460" s="470">
        <f t="shared" si="47"/>
        <v>38</v>
      </c>
      <c r="H460" s="470">
        <v>453</v>
      </c>
      <c r="I460" s="455">
        <f t="shared" ca="1" si="29"/>
        <v>1822325.5859509774</v>
      </c>
      <c r="J460" s="455">
        <f t="array" ref="J460">IFERROR(INDEX('Retirement Calculator'!K:K,MATCH('Lorri 401b'!N460,'Retirement Calculator'!A:A,0),0),0)</f>
        <v>20282.026119384056</v>
      </c>
      <c r="K460" s="455">
        <f t="shared" ca="1" si="27"/>
        <v>7508.5148326316394</v>
      </c>
      <c r="L460" s="455">
        <f t="shared" ca="1" si="28"/>
        <v>1809552.0746642251</v>
      </c>
      <c r="M460" s="471">
        <f t="shared" si="30"/>
        <v>0.05</v>
      </c>
      <c r="N460" s="475">
        <f t="shared" si="31"/>
        <v>65047</v>
      </c>
    </row>
    <row r="461" spans="7:14" ht="11.25" customHeight="1" x14ac:dyDescent="0.3">
      <c r="G461" s="470">
        <f t="shared" si="47"/>
        <v>38</v>
      </c>
      <c r="H461" s="470">
        <v>454</v>
      </c>
      <c r="I461" s="455">
        <f t="shared" ca="1" si="29"/>
        <v>1809552.0746642251</v>
      </c>
      <c r="J461" s="455">
        <f t="array" ref="J461">IFERROR(INDEX('Retirement Calculator'!K:K,MATCH('Lorri 401b'!N461,'Retirement Calculator'!A:A,0),0),0)</f>
        <v>20282.026119384056</v>
      </c>
      <c r="K461" s="455">
        <f t="shared" ca="1" si="27"/>
        <v>7455.291868936838</v>
      </c>
      <c r="L461" s="455">
        <f t="shared" ca="1" si="28"/>
        <v>1796725.3404137779</v>
      </c>
      <c r="M461" s="471">
        <f t="shared" si="30"/>
        <v>0.05</v>
      </c>
      <c r="N461" s="475">
        <f t="shared" si="31"/>
        <v>65075</v>
      </c>
    </row>
    <row r="462" spans="7:14" ht="11.25" customHeight="1" x14ac:dyDescent="0.3">
      <c r="G462" s="470">
        <f t="shared" si="47"/>
        <v>38</v>
      </c>
      <c r="H462" s="470">
        <v>455</v>
      </c>
      <c r="I462" s="455">
        <f t="shared" ca="1" si="29"/>
        <v>1796725.3404137779</v>
      </c>
      <c r="J462" s="455">
        <f t="array" ref="J462">IFERROR(INDEX('Retirement Calculator'!K:K,MATCH('Lorri 401b'!N462,'Retirement Calculator'!A:A,0),0),0)</f>
        <v>20282.026119384056</v>
      </c>
      <c r="K462" s="455">
        <f t="shared" ca="1" si="27"/>
        <v>7401.847142893308</v>
      </c>
      <c r="L462" s="455">
        <f t="shared" ca="1" si="28"/>
        <v>1783845.1614372872</v>
      </c>
      <c r="M462" s="471">
        <f t="shared" si="30"/>
        <v>0.05</v>
      </c>
      <c r="N462" s="475">
        <f t="shared" si="31"/>
        <v>65106</v>
      </c>
    </row>
    <row r="463" spans="7:14" ht="11.25" customHeight="1" x14ac:dyDescent="0.3">
      <c r="G463" s="470">
        <f t="shared" si="47"/>
        <v>38</v>
      </c>
      <c r="H463" s="470">
        <v>456</v>
      </c>
      <c r="I463" s="455">
        <f t="shared" ca="1" si="29"/>
        <v>1783845.1614372872</v>
      </c>
      <c r="J463" s="455">
        <f t="array" ref="J463">IFERROR(INDEX('Retirement Calculator'!K:K,MATCH('Lorri 401b'!N463,'Retirement Calculator'!A:A,0),0),0)</f>
        <v>20282.026119384056</v>
      </c>
      <c r="K463" s="455">
        <f t="shared" ca="1" si="27"/>
        <v>7348.1797304912643</v>
      </c>
      <c r="L463" s="455">
        <f t="shared" ca="1" si="28"/>
        <v>1770911.3150483945</v>
      </c>
      <c r="M463" s="471">
        <f t="shared" si="30"/>
        <v>0.05</v>
      </c>
      <c r="N463" s="475">
        <f t="shared" si="31"/>
        <v>65136</v>
      </c>
    </row>
    <row r="464" spans="7:14" ht="11.25" customHeight="1" x14ac:dyDescent="0.3">
      <c r="G464" s="470">
        <f>G463+1</f>
        <v>39</v>
      </c>
      <c r="H464" s="470">
        <v>457</v>
      </c>
      <c r="I464" s="455">
        <f t="shared" ca="1" si="29"/>
        <v>1770911.3150483945</v>
      </c>
      <c r="J464" s="455">
        <f t="array" ref="J464">IFERROR(INDEX('Retirement Calculator'!K:K,MATCH('Lorri 401b'!N464,'Retirement Calculator'!A:A,0),0),0)</f>
        <v>20282.026119384056</v>
      </c>
      <c r="K464" s="455">
        <f t="shared" ca="1" si="27"/>
        <v>7294.2887038708777</v>
      </c>
      <c r="L464" s="455">
        <f t="shared" ca="1" si="28"/>
        <v>1757923.5776328815</v>
      </c>
      <c r="M464" s="471">
        <f t="shared" si="30"/>
        <v>0.05</v>
      </c>
      <c r="N464" s="475">
        <f t="shared" si="31"/>
        <v>65167</v>
      </c>
    </row>
    <row r="465" spans="7:14" ht="11.25" customHeight="1" x14ac:dyDescent="0.3">
      <c r="G465" s="470">
        <f t="shared" ref="G465:G475" si="48">G464</f>
        <v>39</v>
      </c>
      <c r="H465" s="470">
        <v>458</v>
      </c>
      <c r="I465" s="455">
        <f t="shared" ca="1" si="29"/>
        <v>1757923.5776328815</v>
      </c>
      <c r="J465" s="455">
        <f t="array" ref="J465">IFERROR(INDEX('Retirement Calculator'!K:K,MATCH('Lorri 401b'!N465,'Retirement Calculator'!A:A,0),0),0)</f>
        <v>20282.026119384056</v>
      </c>
      <c r="K465" s="455">
        <f t="shared" ca="1" si="27"/>
        <v>7240.1731313062401</v>
      </c>
      <c r="L465" s="455">
        <f t="shared" ca="1" si="28"/>
        <v>1744881.7246448037</v>
      </c>
      <c r="M465" s="471">
        <f t="shared" si="30"/>
        <v>0.05</v>
      </c>
      <c r="N465" s="475">
        <f t="shared" si="31"/>
        <v>65197</v>
      </c>
    </row>
    <row r="466" spans="7:14" ht="11.25" customHeight="1" x14ac:dyDescent="0.3">
      <c r="G466" s="470">
        <f t="shared" si="48"/>
        <v>39</v>
      </c>
      <c r="H466" s="470">
        <v>459</v>
      </c>
      <c r="I466" s="455">
        <f t="shared" ca="1" si="29"/>
        <v>1744881.7246448037</v>
      </c>
      <c r="J466" s="455">
        <f t="array" ref="J466">IFERROR(INDEX('Retirement Calculator'!K:K,MATCH('Lorri 401b'!N466,'Retirement Calculator'!A:A,0),0),0)</f>
        <v>20282.026119384056</v>
      </c>
      <c r="K466" s="455">
        <f t="shared" ca="1" si="27"/>
        <v>7185.8320771892495</v>
      </c>
      <c r="L466" s="455">
        <f t="shared" ca="1" si="28"/>
        <v>1731785.530602609</v>
      </c>
      <c r="M466" s="471">
        <f t="shared" si="30"/>
        <v>0.05</v>
      </c>
      <c r="N466" s="475">
        <f t="shared" si="31"/>
        <v>65228</v>
      </c>
    </row>
    <row r="467" spans="7:14" ht="11.25" customHeight="1" x14ac:dyDescent="0.3">
      <c r="G467" s="470">
        <f t="shared" si="48"/>
        <v>39</v>
      </c>
      <c r="H467" s="470">
        <v>460</v>
      </c>
      <c r="I467" s="455">
        <f t="shared" ca="1" si="29"/>
        <v>1731785.530602609</v>
      </c>
      <c r="J467" s="455">
        <f t="array" ref="J467">IFERROR(INDEX('Retirement Calculator'!K:K,MATCH('Lorri 401b'!N467,'Retirement Calculator'!A:A,0),0),0)</f>
        <v>20282.026119384056</v>
      </c>
      <c r="K467" s="455">
        <f t="shared" ca="1" si="27"/>
        <v>7131.2646020134389</v>
      </c>
      <c r="L467" s="455">
        <f t="shared" ca="1" si="28"/>
        <v>1718634.7690852385</v>
      </c>
      <c r="M467" s="471">
        <f t="shared" si="30"/>
        <v>0.05</v>
      </c>
      <c r="N467" s="475">
        <f t="shared" si="31"/>
        <v>65259</v>
      </c>
    </row>
    <row r="468" spans="7:14" ht="11.25" customHeight="1" x14ac:dyDescent="0.3">
      <c r="G468" s="470">
        <f t="shared" si="48"/>
        <v>39</v>
      </c>
      <c r="H468" s="470">
        <v>461</v>
      </c>
      <c r="I468" s="455">
        <f t="shared" ca="1" si="29"/>
        <v>1718634.7690852385</v>
      </c>
      <c r="J468" s="455">
        <f t="array" ref="J468">IFERROR(INDEX('Retirement Calculator'!K:K,MATCH('Lorri 401b'!N468,'Retirement Calculator'!A:A,0),0),0)</f>
        <v>20282.026119384056</v>
      </c>
      <c r="K468" s="455">
        <f t="shared" ca="1" si="27"/>
        <v>7076.4697623577267</v>
      </c>
      <c r="L468" s="455">
        <f t="shared" ca="1" si="28"/>
        <v>1705429.2127282121</v>
      </c>
      <c r="M468" s="471">
        <f t="shared" si="30"/>
        <v>0.05</v>
      </c>
      <c r="N468" s="475">
        <f t="shared" si="31"/>
        <v>65289</v>
      </c>
    </row>
    <row r="469" spans="7:14" ht="11.25" customHeight="1" x14ac:dyDescent="0.3">
      <c r="G469" s="470">
        <f t="shared" si="48"/>
        <v>39</v>
      </c>
      <c r="H469" s="470">
        <v>462</v>
      </c>
      <c r="I469" s="455">
        <f t="shared" ca="1" si="29"/>
        <v>1705429.2127282121</v>
      </c>
      <c r="J469" s="455">
        <f t="array" ref="J469">IFERROR(INDEX('Retirement Calculator'!K:K,MATCH('Lorri 401b'!N469,'Retirement Calculator'!A:A,0),0),0)</f>
        <v>20282.026119384056</v>
      </c>
      <c r="K469" s="455">
        <f t="shared" ca="1" si="27"/>
        <v>7021.4466108701172</v>
      </c>
      <c r="L469" s="455">
        <f t="shared" ca="1" si="28"/>
        <v>1692168.6332196982</v>
      </c>
      <c r="M469" s="471">
        <f t="shared" si="30"/>
        <v>0.05</v>
      </c>
      <c r="N469" s="475">
        <f t="shared" si="31"/>
        <v>65320</v>
      </c>
    </row>
    <row r="470" spans="7:14" ht="11.25" customHeight="1" x14ac:dyDescent="0.3">
      <c r="G470" s="470">
        <f t="shared" si="48"/>
        <v>39</v>
      </c>
      <c r="H470" s="470">
        <v>463</v>
      </c>
      <c r="I470" s="455">
        <f t="shared" ca="1" si="29"/>
        <v>1692168.6332196982</v>
      </c>
      <c r="J470" s="455">
        <f t="array" ref="J470">IFERROR(INDEX('Retirement Calculator'!K:K,MATCH('Lorri 401b'!N470,'Retirement Calculator'!A:A,0),0),0)</f>
        <v>20282.026119384056</v>
      </c>
      <c r="K470" s="455">
        <f t="shared" ca="1" si="27"/>
        <v>6966.1941962513092</v>
      </c>
      <c r="L470" s="455">
        <f t="shared" ca="1" si="28"/>
        <v>1678852.8012965654</v>
      </c>
      <c r="M470" s="471">
        <f t="shared" si="30"/>
        <v>0.05</v>
      </c>
      <c r="N470" s="475">
        <f t="shared" si="31"/>
        <v>65350</v>
      </c>
    </row>
    <row r="471" spans="7:14" ht="11.25" customHeight="1" x14ac:dyDescent="0.3">
      <c r="G471" s="470">
        <f t="shared" si="48"/>
        <v>39</v>
      </c>
      <c r="H471" s="470">
        <v>464</v>
      </c>
      <c r="I471" s="455">
        <f t="shared" ca="1" si="29"/>
        <v>1678852.8012965654</v>
      </c>
      <c r="J471" s="455">
        <f t="array" ref="J471">IFERROR(INDEX('Retirement Calculator'!K:K,MATCH('Lorri 401b'!N471,'Retirement Calculator'!A:A,0),0),0)</f>
        <v>20282.026119384056</v>
      </c>
      <c r="K471" s="455">
        <f t="shared" ca="1" si="27"/>
        <v>6910.7115632382556</v>
      </c>
      <c r="L471" s="455">
        <f t="shared" ca="1" si="28"/>
        <v>1665481.4867404196</v>
      </c>
      <c r="M471" s="471">
        <f t="shared" si="30"/>
        <v>0.05</v>
      </c>
      <c r="N471" s="475">
        <f t="shared" si="31"/>
        <v>65381</v>
      </c>
    </row>
    <row r="472" spans="7:14" ht="11.25" customHeight="1" x14ac:dyDescent="0.3">
      <c r="G472" s="470">
        <f t="shared" si="48"/>
        <v>39</v>
      </c>
      <c r="H472" s="470">
        <v>465</v>
      </c>
      <c r="I472" s="455">
        <f t="shared" ca="1" si="29"/>
        <v>1665481.4867404196</v>
      </c>
      <c r="J472" s="455">
        <f t="array" ref="J472">IFERROR(INDEX('Retirement Calculator'!K:K,MATCH('Lorri 401b'!N472,'Retirement Calculator'!A:A,0),0),0)</f>
        <v>20282.026119384056</v>
      </c>
      <c r="K472" s="455">
        <f t="shared" ca="1" si="27"/>
        <v>6854.9977525876493</v>
      </c>
      <c r="L472" s="455">
        <f t="shared" ca="1" si="28"/>
        <v>1652054.4583736232</v>
      </c>
      <c r="M472" s="471">
        <f t="shared" si="30"/>
        <v>0.05</v>
      </c>
      <c r="N472" s="475">
        <f t="shared" si="31"/>
        <v>65412</v>
      </c>
    </row>
    <row r="473" spans="7:14" ht="11.25" customHeight="1" x14ac:dyDescent="0.3">
      <c r="G473" s="470">
        <f t="shared" si="48"/>
        <v>39</v>
      </c>
      <c r="H473" s="470">
        <v>466</v>
      </c>
      <c r="I473" s="455">
        <f t="shared" ca="1" si="29"/>
        <v>1652054.4583736232</v>
      </c>
      <c r="J473" s="455">
        <f t="array" ref="J473">IFERROR(INDEX('Retirement Calculator'!K:K,MATCH('Lorri 401b'!N473,'Retirement Calculator'!A:A,0),0),0)</f>
        <v>20282.026119384056</v>
      </c>
      <c r="K473" s="455">
        <f t="shared" ca="1" si="27"/>
        <v>6799.0518010593296</v>
      </c>
      <c r="L473" s="455">
        <f t="shared" ca="1" si="28"/>
        <v>1638571.4840552986</v>
      </c>
      <c r="M473" s="471">
        <f t="shared" si="30"/>
        <v>0.05</v>
      </c>
      <c r="N473" s="475">
        <f t="shared" si="31"/>
        <v>65440</v>
      </c>
    </row>
    <row r="474" spans="7:14" ht="11.25" customHeight="1" x14ac:dyDescent="0.3">
      <c r="G474" s="470">
        <f t="shared" si="48"/>
        <v>39</v>
      </c>
      <c r="H474" s="470">
        <v>467</v>
      </c>
      <c r="I474" s="455">
        <f t="shared" ca="1" si="29"/>
        <v>1638571.4840552986</v>
      </c>
      <c r="J474" s="455">
        <f t="array" ref="J474">IFERROR(INDEX('Retirement Calculator'!K:K,MATCH('Lorri 401b'!N474,'Retirement Calculator'!A:A,0),0),0)</f>
        <v>20282.026119384056</v>
      </c>
      <c r="K474" s="455">
        <f t="shared" ca="1" si="27"/>
        <v>6742.8727413996439</v>
      </c>
      <c r="L474" s="455">
        <f t="shared" ca="1" si="28"/>
        <v>1625032.3306773142</v>
      </c>
      <c r="M474" s="471">
        <f t="shared" si="30"/>
        <v>0.05</v>
      </c>
      <c r="N474" s="475">
        <f t="shared" si="31"/>
        <v>65471</v>
      </c>
    </row>
    <row r="475" spans="7:14" ht="11.25" customHeight="1" x14ac:dyDescent="0.3">
      <c r="G475" s="470">
        <f t="shared" si="48"/>
        <v>39</v>
      </c>
      <c r="H475" s="470">
        <v>468</v>
      </c>
      <c r="I475" s="455">
        <f t="shared" ca="1" si="29"/>
        <v>1625032.3306773142</v>
      </c>
      <c r="J475" s="455">
        <f t="array" ref="J475">IFERROR(INDEX('Retirement Calculator'!K:K,MATCH('Lorri 401b'!N475,'Retirement Calculator'!A:A,0),0),0)</f>
        <v>20282.026119384056</v>
      </c>
      <c r="K475" s="455">
        <f t="shared" ca="1" si="27"/>
        <v>6686.4596023247095</v>
      </c>
      <c r="L475" s="455">
        <f t="shared" ca="1" si="28"/>
        <v>1611436.764160255</v>
      </c>
      <c r="M475" s="471">
        <f t="shared" si="30"/>
        <v>0.05</v>
      </c>
      <c r="N475" s="475">
        <f t="shared" si="31"/>
        <v>65501</v>
      </c>
    </row>
    <row r="476" spans="7:14" ht="11.25" customHeight="1" x14ac:dyDescent="0.3">
      <c r="G476" s="470">
        <f>G475+1</f>
        <v>40</v>
      </c>
      <c r="H476" s="470">
        <v>469</v>
      </c>
      <c r="I476" s="455">
        <f t="shared" ca="1" si="29"/>
        <v>1611436.764160255</v>
      </c>
      <c r="J476" s="455">
        <f t="array" ref="J476">IFERROR(INDEX('Retirement Calculator'!K:K,MATCH('Lorri 401b'!N476,'Retirement Calculator'!A:A,0),0),0)</f>
        <v>20282.026119384056</v>
      </c>
      <c r="K476" s="455">
        <f t="shared" ca="1" si="27"/>
        <v>6629.8114085036286</v>
      </c>
      <c r="L476" s="455">
        <f t="shared" ca="1" si="28"/>
        <v>1597784.5494493747</v>
      </c>
      <c r="M476" s="471">
        <f t="shared" si="30"/>
        <v>0.05</v>
      </c>
      <c r="N476" s="475">
        <f t="shared" si="31"/>
        <v>65532</v>
      </c>
    </row>
    <row r="477" spans="7:14" ht="11.25" customHeight="1" x14ac:dyDescent="0.3">
      <c r="G477" s="470">
        <f t="shared" ref="G477:G487" si="49">G476</f>
        <v>40</v>
      </c>
      <c r="H477" s="470">
        <v>470</v>
      </c>
      <c r="I477" s="455">
        <f t="shared" ca="1" si="29"/>
        <v>1597784.5494493747</v>
      </c>
      <c r="J477" s="455">
        <f t="array" ref="J477">IFERROR(INDEX('Retirement Calculator'!K:K,MATCH('Lorri 401b'!N477,'Retirement Calculator'!A:A,0),0),0)</f>
        <v>20282.026119384056</v>
      </c>
      <c r="K477" s="455">
        <f t="shared" ca="1" si="27"/>
        <v>6572.9271805416274</v>
      </c>
      <c r="L477" s="455">
        <f t="shared" ca="1" si="28"/>
        <v>1584075.4505105324</v>
      </c>
      <c r="M477" s="471">
        <f t="shared" si="30"/>
        <v>0.05</v>
      </c>
      <c r="N477" s="475">
        <f t="shared" si="31"/>
        <v>65562</v>
      </c>
    </row>
    <row r="478" spans="7:14" ht="11.25" customHeight="1" x14ac:dyDescent="0.3">
      <c r="G478" s="470">
        <f t="shared" si="49"/>
        <v>40</v>
      </c>
      <c r="H478" s="470">
        <v>471</v>
      </c>
      <c r="I478" s="455">
        <f t="shared" ca="1" si="29"/>
        <v>1584075.4505105324</v>
      </c>
      <c r="J478" s="455">
        <f t="array" ref="J478">IFERROR(INDEX('Retirement Calculator'!K:K,MATCH('Lorri 401b'!N478,'Retirement Calculator'!A:A,0),0),0)</f>
        <v>20282.026119384056</v>
      </c>
      <c r="K478" s="455">
        <f t="shared" ca="1" si="27"/>
        <v>6515.8059349631185</v>
      </c>
      <c r="L478" s="455">
        <f t="shared" ca="1" si="28"/>
        <v>1570309.2303261114</v>
      </c>
      <c r="M478" s="471">
        <f t="shared" si="30"/>
        <v>0.05</v>
      </c>
      <c r="N478" s="475">
        <f t="shared" si="31"/>
        <v>65593</v>
      </c>
    </row>
    <row r="479" spans="7:14" ht="11.25" customHeight="1" x14ac:dyDescent="0.3">
      <c r="G479" s="470">
        <f t="shared" si="49"/>
        <v>40</v>
      </c>
      <c r="H479" s="470">
        <v>472</v>
      </c>
      <c r="I479" s="455">
        <f t="shared" ca="1" si="29"/>
        <v>1570309.2303261114</v>
      </c>
      <c r="J479" s="455">
        <f t="array" ref="J479">IFERROR(INDEX('Retirement Calculator'!K:K,MATCH('Lorri 401b'!N479,'Retirement Calculator'!A:A,0),0),0)</f>
        <v>20282.026119384056</v>
      </c>
      <c r="K479" s="455">
        <f t="shared" ca="1" si="27"/>
        <v>6458.4466841946978</v>
      </c>
      <c r="L479" s="455">
        <f t="shared" ca="1" si="28"/>
        <v>1556485.6508909222</v>
      </c>
      <c r="M479" s="471">
        <f t="shared" si="30"/>
        <v>0.05</v>
      </c>
      <c r="N479" s="475">
        <f t="shared" si="31"/>
        <v>65624</v>
      </c>
    </row>
    <row r="480" spans="7:14" ht="11.25" customHeight="1" x14ac:dyDescent="0.3">
      <c r="G480" s="470">
        <f t="shared" si="49"/>
        <v>40</v>
      </c>
      <c r="H480" s="470">
        <v>473</v>
      </c>
      <c r="I480" s="455">
        <f t="shared" ca="1" si="29"/>
        <v>1556485.6508909222</v>
      </c>
      <c r="J480" s="455">
        <f t="array" ref="J480">IFERROR(INDEX('Retirement Calculator'!K:K,MATCH('Lorri 401b'!N480,'Retirement Calculator'!A:A,0),0),0)</f>
        <v>20282.026119384056</v>
      </c>
      <c r="K480" s="455">
        <f t="shared" ca="1" si="27"/>
        <v>6400.8484365480754</v>
      </c>
      <c r="L480" s="455">
        <f t="shared" ca="1" si="28"/>
        <v>1542604.4732080863</v>
      </c>
      <c r="M480" s="471">
        <f t="shared" si="30"/>
        <v>0.05</v>
      </c>
      <c r="N480" s="475">
        <f t="shared" si="31"/>
        <v>65654</v>
      </c>
    </row>
    <row r="481" spans="7:14" ht="11.25" customHeight="1" x14ac:dyDescent="0.3">
      <c r="G481" s="470">
        <f t="shared" si="49"/>
        <v>40</v>
      </c>
      <c r="H481" s="470">
        <v>474</v>
      </c>
      <c r="I481" s="455">
        <f t="shared" ca="1" si="29"/>
        <v>1542604.4732080863</v>
      </c>
      <c r="J481" s="455">
        <f t="array" ref="J481">IFERROR(INDEX('Retirement Calculator'!K:K,MATCH('Lorri 401b'!N481,'Retirement Calculator'!A:A,0),0),0)</f>
        <v>20282.026119384056</v>
      </c>
      <c r="K481" s="455">
        <f t="shared" ca="1" si="27"/>
        <v>6343.0101962029266</v>
      </c>
      <c r="L481" s="455">
        <f t="shared" ca="1" si="28"/>
        <v>1528665.4572849052</v>
      </c>
      <c r="M481" s="471">
        <f t="shared" si="30"/>
        <v>0.05</v>
      </c>
      <c r="N481" s="475">
        <f t="shared" si="31"/>
        <v>65685</v>
      </c>
    </row>
    <row r="482" spans="7:14" ht="11.25" customHeight="1" x14ac:dyDescent="0.3">
      <c r="G482" s="470">
        <f t="shared" si="49"/>
        <v>40</v>
      </c>
      <c r="H482" s="470">
        <v>475</v>
      </c>
      <c r="I482" s="455">
        <f t="shared" ca="1" si="29"/>
        <v>1528665.4572849052</v>
      </c>
      <c r="J482" s="455">
        <f t="array" ref="J482">IFERROR(INDEX('Retirement Calculator'!K:K,MATCH('Lorri 401b'!N482,'Retirement Calculator'!A:A,0),0),0)</f>
        <v>20282.026119384056</v>
      </c>
      <c r="K482" s="455">
        <f t="shared" ca="1" si="27"/>
        <v>6284.9309631896722</v>
      </c>
      <c r="L482" s="455">
        <f t="shared" ca="1" si="28"/>
        <v>1514668.3621287108</v>
      </c>
      <c r="M482" s="471">
        <f t="shared" si="30"/>
        <v>0.05</v>
      </c>
      <c r="N482" s="475">
        <f t="shared" si="31"/>
        <v>65715</v>
      </c>
    </row>
    <row r="483" spans="7:14" ht="11.25" customHeight="1" x14ac:dyDescent="0.3">
      <c r="G483" s="470">
        <f t="shared" si="49"/>
        <v>40</v>
      </c>
      <c r="H483" s="470">
        <v>476</v>
      </c>
      <c r="I483" s="455">
        <f t="shared" ca="1" si="29"/>
        <v>1514668.3621287108</v>
      </c>
      <c r="J483" s="455">
        <f t="array" ref="J483">IFERROR(INDEX('Retirement Calculator'!K:K,MATCH('Lorri 401b'!N483,'Retirement Calculator'!A:A,0),0),0)</f>
        <v>20282.026119384056</v>
      </c>
      <c r="K483" s="455">
        <f t="shared" ca="1" si="27"/>
        <v>6226.6097333721955</v>
      </c>
      <c r="L483" s="455">
        <f t="shared" ca="1" si="28"/>
        <v>1500612.9457426991</v>
      </c>
      <c r="M483" s="471">
        <f t="shared" si="30"/>
        <v>0.05</v>
      </c>
      <c r="N483" s="475">
        <f t="shared" si="31"/>
        <v>65746</v>
      </c>
    </row>
    <row r="484" spans="7:14" ht="11.25" customHeight="1" x14ac:dyDescent="0.3">
      <c r="G484" s="470">
        <f t="shared" si="49"/>
        <v>40</v>
      </c>
      <c r="H484" s="470">
        <v>477</v>
      </c>
      <c r="I484" s="455">
        <f t="shared" ca="1" si="29"/>
        <v>1500612.9457426991</v>
      </c>
      <c r="J484" s="455">
        <f t="array" ref="J484">IFERROR(INDEX('Retirement Calculator'!K:K,MATCH('Lorri 401b'!N484,'Retirement Calculator'!A:A,0),0),0)</f>
        <v>20282.026119384056</v>
      </c>
      <c r="K484" s="455">
        <f t="shared" ca="1" si="27"/>
        <v>6168.0454984304797</v>
      </c>
      <c r="L484" s="455">
        <f t="shared" ca="1" si="28"/>
        <v>1486498.9651217456</v>
      </c>
      <c r="M484" s="471">
        <f t="shared" si="30"/>
        <v>0.05</v>
      </c>
      <c r="N484" s="475">
        <f t="shared" si="31"/>
        <v>65777</v>
      </c>
    </row>
    <row r="485" spans="7:14" ht="11.25" customHeight="1" x14ac:dyDescent="0.3">
      <c r="G485" s="470">
        <f t="shared" si="49"/>
        <v>40</v>
      </c>
      <c r="H485" s="470">
        <v>478</v>
      </c>
      <c r="I485" s="455">
        <f t="shared" ca="1" si="29"/>
        <v>1486498.9651217456</v>
      </c>
      <c r="J485" s="455">
        <f t="array" ref="J485">IFERROR(INDEX('Retirement Calculator'!K:K,MATCH('Lorri 401b'!N485,'Retirement Calculator'!A:A,0),0),0)</f>
        <v>20282.026119384056</v>
      </c>
      <c r="K485" s="455">
        <f t="shared" ca="1" si="27"/>
        <v>6109.2372458431737</v>
      </c>
      <c r="L485" s="455">
        <f t="shared" ca="1" si="28"/>
        <v>1472326.1762482049</v>
      </c>
      <c r="M485" s="471">
        <f t="shared" si="30"/>
        <v>0.05</v>
      </c>
      <c r="N485" s="475">
        <f t="shared" si="31"/>
        <v>65806</v>
      </c>
    </row>
    <row r="486" spans="7:14" ht="11.25" customHeight="1" x14ac:dyDescent="0.3">
      <c r="G486" s="470">
        <f t="shared" si="49"/>
        <v>40</v>
      </c>
      <c r="H486" s="470">
        <v>479</v>
      </c>
      <c r="I486" s="455">
        <f t="shared" ca="1" si="29"/>
        <v>1472326.1762482049</v>
      </c>
      <c r="J486" s="455">
        <f t="array" ref="J486">IFERROR(INDEX('Retirement Calculator'!K:K,MATCH('Lorri 401b'!N486,'Retirement Calculator'!A:A,0),0),0)</f>
        <v>20282.026119384056</v>
      </c>
      <c r="K486" s="455">
        <f t="shared" ca="1" si="27"/>
        <v>6050.1839588700868</v>
      </c>
      <c r="L486" s="455">
        <f t="shared" ca="1" si="28"/>
        <v>1458094.334087691</v>
      </c>
      <c r="M486" s="471">
        <f t="shared" si="30"/>
        <v>0.05</v>
      </c>
      <c r="N486" s="475">
        <f t="shared" si="31"/>
        <v>65837</v>
      </c>
    </row>
    <row r="487" spans="7:14" ht="11.25" customHeight="1" x14ac:dyDescent="0.3">
      <c r="G487" s="470">
        <f t="shared" si="49"/>
        <v>40</v>
      </c>
      <c r="H487" s="470">
        <v>480</v>
      </c>
      <c r="I487" s="455">
        <f t="shared" ca="1" si="29"/>
        <v>1458094.334087691</v>
      </c>
      <c r="J487" s="455">
        <f t="array" ref="J487">IFERROR(INDEX('Retirement Calculator'!K:K,MATCH('Lorri 401b'!N487,'Retirement Calculator'!A:A,0),0),0)</f>
        <v>20282.026119384056</v>
      </c>
      <c r="K487" s="455">
        <f t="shared" ca="1" si="27"/>
        <v>5990.8846165346131</v>
      </c>
      <c r="L487" s="455">
        <f t="shared" ca="1" si="28"/>
        <v>1443803.1925848417</v>
      </c>
      <c r="M487" s="471">
        <f t="shared" si="30"/>
        <v>0.05</v>
      </c>
      <c r="N487" s="475">
        <f t="shared" si="31"/>
        <v>65867</v>
      </c>
    </row>
    <row r="488" spans="7:14" ht="11.25" customHeight="1" x14ac:dyDescent="0.3">
      <c r="G488" s="470">
        <f>G487+1</f>
        <v>41</v>
      </c>
      <c r="H488" s="470">
        <v>481</v>
      </c>
      <c r="I488" s="455">
        <f t="shared" ca="1" si="29"/>
        <v>1443803.1925848417</v>
      </c>
      <c r="J488" s="455">
        <f t="array" ref="J488">IFERROR(INDEX('Retirement Calculator'!K:K,MATCH('Lorri 401b'!N488,'Retirement Calculator'!A:A,0),0),0)</f>
        <v>20282.026119384056</v>
      </c>
      <c r="K488" s="455">
        <f t="shared" ca="1" si="27"/>
        <v>5931.3381936060741</v>
      </c>
      <c r="L488" s="455">
        <f t="shared" ca="1" si="28"/>
        <v>1429452.5046590639</v>
      </c>
      <c r="M488" s="471">
        <f t="shared" si="30"/>
        <v>0.05</v>
      </c>
      <c r="N488" s="475">
        <f t="shared" si="31"/>
        <v>65898</v>
      </c>
    </row>
    <row r="489" spans="7:14" ht="11.25" customHeight="1" x14ac:dyDescent="0.3">
      <c r="G489" s="470">
        <f t="shared" ref="G489:G499" si="50">G488</f>
        <v>41</v>
      </c>
      <c r="H489" s="470">
        <v>482</v>
      </c>
      <c r="I489" s="455">
        <f t="shared" ca="1" si="29"/>
        <v>1429452.5046590639</v>
      </c>
      <c r="J489" s="455">
        <f t="array" ref="J489">IFERROR(INDEX('Retirement Calculator'!K:K,MATCH('Lorri 401b'!N489,'Retirement Calculator'!A:A,0),0),0)</f>
        <v>20282.026119384056</v>
      </c>
      <c r="K489" s="455">
        <f t="shared" ca="1" si="27"/>
        <v>5871.5436605819996</v>
      </c>
      <c r="L489" s="455">
        <f t="shared" ca="1" si="28"/>
        <v>1415042.0222002619</v>
      </c>
      <c r="M489" s="471">
        <f t="shared" si="30"/>
        <v>0.05</v>
      </c>
      <c r="N489" s="475">
        <f t="shared" si="31"/>
        <v>65928</v>
      </c>
    </row>
    <row r="490" spans="7:14" ht="11.25" customHeight="1" x14ac:dyDescent="0.3">
      <c r="G490" s="470">
        <f t="shared" si="50"/>
        <v>41</v>
      </c>
      <c r="H490" s="470">
        <v>483</v>
      </c>
      <c r="I490" s="455">
        <f t="shared" ca="1" si="29"/>
        <v>1415042.0222002619</v>
      </c>
      <c r="J490" s="455">
        <f t="array" ref="J490">IFERROR(INDEX('Retirement Calculator'!K:K,MATCH('Lorri 401b'!N490,'Retirement Calculator'!A:A,0),0),0)</f>
        <v>20282.026119384056</v>
      </c>
      <c r="K490" s="455">
        <f t="shared" ca="1" si="27"/>
        <v>5811.4999836703246</v>
      </c>
      <c r="L490" s="455">
        <f t="shared" ca="1" si="28"/>
        <v>1400571.4960645484</v>
      </c>
      <c r="M490" s="471">
        <f t="shared" si="30"/>
        <v>0.05</v>
      </c>
      <c r="N490" s="475">
        <f t="shared" si="31"/>
        <v>65959</v>
      </c>
    </row>
    <row r="491" spans="7:14" ht="11.25" customHeight="1" x14ac:dyDescent="0.3">
      <c r="G491" s="470">
        <f t="shared" si="50"/>
        <v>41</v>
      </c>
      <c r="H491" s="470">
        <v>484</v>
      </c>
      <c r="I491" s="455">
        <f t="shared" ca="1" si="29"/>
        <v>1400571.4960645484</v>
      </c>
      <c r="J491" s="455">
        <f t="array" ref="J491">IFERROR(INDEX('Retirement Calculator'!K:K,MATCH('Lorri 401b'!N491,'Retirement Calculator'!A:A,0),0),0)</f>
        <v>20282.026119384056</v>
      </c>
      <c r="K491" s="455">
        <f t="shared" ca="1" si="27"/>
        <v>5751.2061247715183</v>
      </c>
      <c r="L491" s="455">
        <f t="shared" ca="1" si="28"/>
        <v>1386040.676069936</v>
      </c>
      <c r="M491" s="471">
        <f t="shared" si="30"/>
        <v>0.05</v>
      </c>
      <c r="N491" s="475">
        <f t="shared" si="31"/>
        <v>65990</v>
      </c>
    </row>
    <row r="492" spans="7:14" ht="11.25" customHeight="1" x14ac:dyDescent="0.3">
      <c r="G492" s="470">
        <f t="shared" si="50"/>
        <v>41</v>
      </c>
      <c r="H492" s="470">
        <v>485</v>
      </c>
      <c r="I492" s="455">
        <f t="shared" ca="1" si="29"/>
        <v>1386040.676069936</v>
      </c>
      <c r="J492" s="455">
        <f t="array" ref="J492">IFERROR(INDEX('Retirement Calculator'!K:K,MATCH('Lorri 401b'!N492,'Retirement Calculator'!A:A,0),0),0)</f>
        <v>20282.026119384056</v>
      </c>
      <c r="K492" s="455">
        <f t="shared" ca="1" si="27"/>
        <v>5690.661041460633</v>
      </c>
      <c r="L492" s="455">
        <f t="shared" ca="1" si="28"/>
        <v>1371449.3109920127</v>
      </c>
      <c r="M492" s="471">
        <f t="shared" si="30"/>
        <v>0.05</v>
      </c>
      <c r="N492" s="475">
        <f t="shared" si="31"/>
        <v>66020</v>
      </c>
    </row>
    <row r="493" spans="7:14" ht="11.25" customHeight="1" x14ac:dyDescent="0.3">
      <c r="G493" s="470">
        <f t="shared" si="50"/>
        <v>41</v>
      </c>
      <c r="H493" s="470">
        <v>486</v>
      </c>
      <c r="I493" s="455">
        <f t="shared" ca="1" si="29"/>
        <v>1371449.3109920127</v>
      </c>
      <c r="J493" s="455">
        <f t="array" ref="J493">IFERROR(INDEX('Retirement Calculator'!K:K,MATCH('Lorri 401b'!N493,'Retirement Calculator'!A:A,0),0),0)</f>
        <v>20282.026119384056</v>
      </c>
      <c r="K493" s="455">
        <f t="shared" ca="1" si="27"/>
        <v>5629.8636869692864</v>
      </c>
      <c r="L493" s="455">
        <f t="shared" ca="1" si="28"/>
        <v>1356797.148559598</v>
      </c>
      <c r="M493" s="471">
        <f t="shared" si="30"/>
        <v>0.05</v>
      </c>
      <c r="N493" s="475">
        <f t="shared" si="31"/>
        <v>66051</v>
      </c>
    </row>
    <row r="494" spans="7:14" ht="11.25" customHeight="1" x14ac:dyDescent="0.3">
      <c r="G494" s="470">
        <f t="shared" si="50"/>
        <v>41</v>
      </c>
      <c r="H494" s="470">
        <v>487</v>
      </c>
      <c r="I494" s="455">
        <f t="shared" ca="1" si="29"/>
        <v>1356797.148559598</v>
      </c>
      <c r="J494" s="455">
        <f t="array" ref="J494">IFERROR(INDEX('Retirement Calculator'!K:K,MATCH('Lorri 401b'!N494,'Retirement Calculator'!A:A,0),0),0)</f>
        <v>20282.026119384056</v>
      </c>
      <c r="K494" s="455">
        <f t="shared" ca="1" si="27"/>
        <v>5568.8130101675588</v>
      </c>
      <c r="L494" s="455">
        <f t="shared" ca="1" si="28"/>
        <v>1342083.9354503816</v>
      </c>
      <c r="M494" s="471">
        <f t="shared" si="30"/>
        <v>0.05</v>
      </c>
      <c r="N494" s="475">
        <f t="shared" si="31"/>
        <v>66081</v>
      </c>
    </row>
    <row r="495" spans="7:14" ht="11.25" customHeight="1" x14ac:dyDescent="0.3">
      <c r="G495" s="470">
        <f t="shared" si="50"/>
        <v>41</v>
      </c>
      <c r="H495" s="470">
        <v>488</v>
      </c>
      <c r="I495" s="455">
        <f t="shared" ca="1" si="29"/>
        <v>1342083.9354503816</v>
      </c>
      <c r="J495" s="455">
        <f t="array" ref="J495">IFERROR(INDEX('Retirement Calculator'!K:K,MATCH('Lorri 401b'!N495,'Retirement Calculator'!A:A,0),0),0)</f>
        <v>20282.026119384056</v>
      </c>
      <c r="K495" s="455">
        <f t="shared" ca="1" si="27"/>
        <v>5507.5079555458233</v>
      </c>
      <c r="L495" s="455">
        <f t="shared" ca="1" si="28"/>
        <v>1327309.4172865434</v>
      </c>
      <c r="M495" s="471">
        <f t="shared" si="30"/>
        <v>0.05</v>
      </c>
      <c r="N495" s="475">
        <f t="shared" si="31"/>
        <v>66112</v>
      </c>
    </row>
    <row r="496" spans="7:14" ht="11.25" customHeight="1" x14ac:dyDescent="0.3">
      <c r="G496" s="470">
        <f t="shared" si="50"/>
        <v>41</v>
      </c>
      <c r="H496" s="470">
        <v>489</v>
      </c>
      <c r="I496" s="455">
        <f t="shared" ca="1" si="29"/>
        <v>1327309.4172865434</v>
      </c>
      <c r="J496" s="455">
        <f t="array" ref="J496">IFERROR(INDEX('Retirement Calculator'!K:K,MATCH('Lorri 401b'!N496,'Retirement Calculator'!A:A,0),0),0)</f>
        <v>20282.026119384056</v>
      </c>
      <c r="K496" s="455">
        <f t="shared" ca="1" si="27"/>
        <v>5445.9474631964977</v>
      </c>
      <c r="L496" s="455">
        <f t="shared" ca="1" si="28"/>
        <v>1312473.3386303559</v>
      </c>
      <c r="M496" s="471">
        <f t="shared" si="30"/>
        <v>0.05</v>
      </c>
      <c r="N496" s="475">
        <f t="shared" si="31"/>
        <v>66143</v>
      </c>
    </row>
    <row r="497" spans="7:14" ht="11.25" customHeight="1" x14ac:dyDescent="0.3">
      <c r="G497" s="470">
        <f t="shared" si="50"/>
        <v>41</v>
      </c>
      <c r="H497" s="470">
        <v>490</v>
      </c>
      <c r="I497" s="455">
        <f t="shared" ca="1" si="29"/>
        <v>1312473.3386303559</v>
      </c>
      <c r="J497" s="455">
        <f t="array" ref="J497">IFERROR(INDEX('Retirement Calculator'!K:K,MATCH('Lorri 401b'!N497,'Retirement Calculator'!A:A,0),0),0)</f>
        <v>20282.026119384056</v>
      </c>
      <c r="K497" s="455">
        <f t="shared" ca="1" si="27"/>
        <v>5384.1304687957163</v>
      </c>
      <c r="L497" s="455">
        <f t="shared" ca="1" si="28"/>
        <v>1297575.4429797677</v>
      </c>
      <c r="M497" s="471">
        <f t="shared" si="30"/>
        <v>0.05</v>
      </c>
      <c r="N497" s="475">
        <f t="shared" si="31"/>
        <v>66171</v>
      </c>
    </row>
    <row r="498" spans="7:14" ht="11.25" customHeight="1" x14ac:dyDescent="0.3">
      <c r="G498" s="470">
        <f t="shared" si="50"/>
        <v>41</v>
      </c>
      <c r="H498" s="470">
        <v>491</v>
      </c>
      <c r="I498" s="455">
        <f t="shared" ca="1" si="29"/>
        <v>1297575.4429797677</v>
      </c>
      <c r="J498" s="455">
        <f t="array" ref="J498">IFERROR(INDEX('Retirement Calculator'!K:K,MATCH('Lorri 401b'!N498,'Retirement Calculator'!A:A,0),0),0)</f>
        <v>20282.026119384056</v>
      </c>
      <c r="K498" s="455">
        <f t="shared" ca="1" si="27"/>
        <v>5322.0559035849319</v>
      </c>
      <c r="L498" s="455">
        <f t="shared" ca="1" si="28"/>
        <v>1282615.4727639686</v>
      </c>
      <c r="M498" s="471">
        <f t="shared" si="30"/>
        <v>0.05</v>
      </c>
      <c r="N498" s="475">
        <f t="shared" si="31"/>
        <v>66202</v>
      </c>
    </row>
    <row r="499" spans="7:14" ht="11.25" customHeight="1" x14ac:dyDescent="0.3">
      <c r="G499" s="470">
        <f t="shared" si="50"/>
        <v>41</v>
      </c>
      <c r="H499" s="470">
        <v>492</v>
      </c>
      <c r="I499" s="455">
        <f t="shared" ca="1" si="29"/>
        <v>1282615.4727639686</v>
      </c>
      <c r="J499" s="455">
        <f t="array" ref="J499">IFERROR(INDEX('Retirement Calculator'!K:K,MATCH('Lorri 401b'!N499,'Retirement Calculator'!A:A,0),0),0)</f>
        <v>20282.026119384056</v>
      </c>
      <c r="K499" s="455">
        <f t="shared" ca="1" si="27"/>
        <v>5259.7226943524356</v>
      </c>
      <c r="L499" s="455">
        <f t="shared" ca="1" si="28"/>
        <v>1267593.1693389372</v>
      </c>
      <c r="M499" s="471">
        <f t="shared" si="30"/>
        <v>0.05</v>
      </c>
      <c r="N499" s="475">
        <f t="shared" si="31"/>
        <v>66232</v>
      </c>
    </row>
    <row r="500" spans="7:14" ht="11.25" customHeight="1" x14ac:dyDescent="0.3">
      <c r="G500" s="470">
        <f>G499+1</f>
        <v>42</v>
      </c>
      <c r="H500" s="470">
        <v>493</v>
      </c>
      <c r="I500" s="455">
        <f t="shared" ca="1" si="29"/>
        <v>1267593.1693389372</v>
      </c>
      <c r="J500" s="455">
        <f t="array" ref="J500">IFERROR(INDEX('Retirement Calculator'!K:K,MATCH('Lorri 401b'!N500,'Retirement Calculator'!A:A,0),0),0)</f>
        <v>20282.026119384056</v>
      </c>
      <c r="K500" s="455">
        <f t="shared" ca="1" si="27"/>
        <v>5197.129763414805</v>
      </c>
      <c r="L500" s="455">
        <f t="shared" ca="1" si="28"/>
        <v>1252508.272982968</v>
      </c>
      <c r="M500" s="471">
        <f t="shared" si="30"/>
        <v>0.05</v>
      </c>
      <c r="N500" s="475">
        <f t="shared" si="31"/>
        <v>66263</v>
      </c>
    </row>
    <row r="501" spans="7:14" ht="11.25" customHeight="1" x14ac:dyDescent="0.3">
      <c r="G501" s="470">
        <f t="shared" ref="G501:G511" si="51">G500</f>
        <v>42</v>
      </c>
      <c r="H501" s="470">
        <v>494</v>
      </c>
      <c r="I501" s="455">
        <f t="shared" ca="1" si="29"/>
        <v>1252508.272982968</v>
      </c>
      <c r="J501" s="455">
        <f t="array" ref="J501">IFERROR(INDEX('Retirement Calculator'!K:K,MATCH('Lorri 401b'!N501,'Retirement Calculator'!A:A,0),0),0)</f>
        <v>20282.026119384056</v>
      </c>
      <c r="K501" s="455">
        <f t="shared" ca="1" si="27"/>
        <v>5134.2760285982667</v>
      </c>
      <c r="L501" s="455">
        <f t="shared" ca="1" si="28"/>
        <v>1237360.5228921822</v>
      </c>
      <c r="M501" s="471">
        <f t="shared" si="30"/>
        <v>0.05</v>
      </c>
      <c r="N501" s="475">
        <f t="shared" si="31"/>
        <v>66293</v>
      </c>
    </row>
    <row r="502" spans="7:14" ht="11.25" customHeight="1" x14ac:dyDescent="0.3">
      <c r="G502" s="470">
        <f t="shared" si="51"/>
        <v>42</v>
      </c>
      <c r="H502" s="470">
        <v>495</v>
      </c>
      <c r="I502" s="455">
        <f t="shared" ca="1" si="29"/>
        <v>1237360.5228921822</v>
      </c>
      <c r="J502" s="455">
        <f t="array" ref="J502">IFERROR(INDEX('Retirement Calculator'!K:K,MATCH('Lorri 401b'!N502,'Retirement Calculator'!A:A,0),0),0)</f>
        <v>20282.026119384056</v>
      </c>
      <c r="K502" s="455">
        <f t="shared" ca="1" si="27"/>
        <v>5071.160403219993</v>
      </c>
      <c r="L502" s="455">
        <f t="shared" ca="1" si="28"/>
        <v>1222149.6571760182</v>
      </c>
      <c r="M502" s="471">
        <f t="shared" si="30"/>
        <v>0.05</v>
      </c>
      <c r="N502" s="475">
        <f t="shared" si="31"/>
        <v>66324</v>
      </c>
    </row>
    <row r="503" spans="7:14" ht="11.25" customHeight="1" x14ac:dyDescent="0.3">
      <c r="G503" s="470">
        <f t="shared" si="51"/>
        <v>42</v>
      </c>
      <c r="H503" s="470">
        <v>496</v>
      </c>
      <c r="I503" s="455">
        <f t="shared" ca="1" si="29"/>
        <v>1222149.6571760182</v>
      </c>
      <c r="J503" s="455">
        <f t="array" ref="J503">IFERROR(INDEX('Retirement Calculator'!K:K,MATCH('Lorri 401b'!N503,'Retirement Calculator'!A:A,0),0),0)</f>
        <v>20282.026119384056</v>
      </c>
      <c r="K503" s="455">
        <f t="shared" ca="1" si="27"/>
        <v>5007.7817960693092</v>
      </c>
      <c r="L503" s="455">
        <f t="shared" ca="1" si="28"/>
        <v>1206875.4128527036</v>
      </c>
      <c r="M503" s="471">
        <f t="shared" si="30"/>
        <v>0.05</v>
      </c>
      <c r="N503" s="475">
        <f t="shared" si="31"/>
        <v>66355</v>
      </c>
    </row>
    <row r="504" spans="7:14" ht="11.25" customHeight="1" x14ac:dyDescent="0.3">
      <c r="G504" s="470">
        <f t="shared" si="51"/>
        <v>42</v>
      </c>
      <c r="H504" s="470">
        <v>497</v>
      </c>
      <c r="I504" s="455">
        <f t="shared" ca="1" si="29"/>
        <v>1206875.4128527036</v>
      </c>
      <c r="J504" s="455">
        <f t="array" ref="J504">IFERROR(INDEX('Retirement Calculator'!K:K,MATCH('Lorri 401b'!N504,'Retirement Calculator'!A:A,0),0),0)</f>
        <v>20282.026119384056</v>
      </c>
      <c r="K504" s="455">
        <f t="shared" ca="1" si="27"/>
        <v>4944.1391113888312</v>
      </c>
      <c r="L504" s="455">
        <f t="shared" ca="1" si="28"/>
        <v>1191537.5258447086</v>
      </c>
      <c r="M504" s="471">
        <f t="shared" si="30"/>
        <v>0.05</v>
      </c>
      <c r="N504" s="475">
        <f t="shared" si="31"/>
        <v>66385</v>
      </c>
    </row>
    <row r="505" spans="7:14" ht="11.25" customHeight="1" x14ac:dyDescent="0.3">
      <c r="G505" s="470">
        <f t="shared" si="51"/>
        <v>42</v>
      </c>
      <c r="H505" s="470">
        <v>498</v>
      </c>
      <c r="I505" s="455">
        <f t="shared" ca="1" si="29"/>
        <v>1191537.5258447086</v>
      </c>
      <c r="J505" s="455">
        <f t="array" ref="J505">IFERROR(INDEX('Retirement Calculator'!K:K,MATCH('Lorri 401b'!N505,'Retirement Calculator'!A:A,0),0),0)</f>
        <v>20282.026119384056</v>
      </c>
      <c r="K505" s="455">
        <f t="shared" ca="1" si="27"/>
        <v>4880.231248855519</v>
      </c>
      <c r="L505" s="455">
        <f t="shared" ca="1" si="28"/>
        <v>1176135.7309741802</v>
      </c>
      <c r="M505" s="471">
        <f t="shared" si="30"/>
        <v>0.05</v>
      </c>
      <c r="N505" s="475">
        <f t="shared" si="31"/>
        <v>66416</v>
      </c>
    </row>
    <row r="506" spans="7:14" ht="11.25" customHeight="1" x14ac:dyDescent="0.3">
      <c r="G506" s="470">
        <f t="shared" si="51"/>
        <v>42</v>
      </c>
      <c r="H506" s="470">
        <v>499</v>
      </c>
      <c r="I506" s="455">
        <f t="shared" ca="1" si="29"/>
        <v>1176135.7309741802</v>
      </c>
      <c r="J506" s="455">
        <f t="array" ref="J506">IFERROR(INDEX('Retirement Calculator'!K:K,MATCH('Lorri 401b'!N506,'Retirement Calculator'!A:A,0),0),0)</f>
        <v>20282.026119384056</v>
      </c>
      <c r="K506" s="455">
        <f t="shared" ca="1" si="27"/>
        <v>4816.0571035616504</v>
      </c>
      <c r="L506" s="455">
        <f t="shared" ca="1" si="28"/>
        <v>1160669.7619583579</v>
      </c>
      <c r="M506" s="471">
        <f t="shared" si="30"/>
        <v>0.05</v>
      </c>
      <c r="N506" s="475">
        <f t="shared" si="31"/>
        <v>66446</v>
      </c>
    </row>
    <row r="507" spans="7:14" ht="11.25" customHeight="1" x14ac:dyDescent="0.3">
      <c r="G507" s="470">
        <f t="shared" si="51"/>
        <v>42</v>
      </c>
      <c r="H507" s="470">
        <v>500</v>
      </c>
      <c r="I507" s="455">
        <f t="shared" ca="1" si="29"/>
        <v>1160669.7619583579</v>
      </c>
      <c r="J507" s="455">
        <f t="array" ref="J507">IFERROR(INDEX('Retirement Calculator'!K:K,MATCH('Lorri 401b'!N507,'Retirement Calculator'!A:A,0),0),0)</f>
        <v>20282.026119384056</v>
      </c>
      <c r="K507" s="455">
        <f t="shared" ca="1" si="27"/>
        <v>4751.6155659957249</v>
      </c>
      <c r="L507" s="455">
        <f t="shared" ca="1" si="28"/>
        <v>1145139.3514049696</v>
      </c>
      <c r="M507" s="471">
        <f t="shared" si="30"/>
        <v>0.05</v>
      </c>
      <c r="N507" s="475">
        <f t="shared" si="31"/>
        <v>66477</v>
      </c>
    </row>
    <row r="508" spans="7:14" ht="11.25" customHeight="1" x14ac:dyDescent="0.3">
      <c r="G508" s="470">
        <f t="shared" si="51"/>
        <v>42</v>
      </c>
      <c r="H508" s="470">
        <v>501</v>
      </c>
      <c r="I508" s="455">
        <f t="shared" ca="1" si="29"/>
        <v>1145139.3514049696</v>
      </c>
      <c r="J508" s="455">
        <f t="array" ref="J508">IFERROR(INDEX('Retirement Calculator'!K:K,MATCH('Lorri 401b'!N508,'Retirement Calculator'!A:A,0),0),0)</f>
        <v>20282.026119384056</v>
      </c>
      <c r="K508" s="455">
        <f t="shared" ca="1" si="27"/>
        <v>4686.9055220232731</v>
      </c>
      <c r="L508" s="455">
        <f t="shared" ca="1" si="28"/>
        <v>1129544.2308076089</v>
      </c>
      <c r="M508" s="471">
        <f t="shared" si="30"/>
        <v>0.05</v>
      </c>
      <c r="N508" s="475">
        <f t="shared" si="31"/>
        <v>66508</v>
      </c>
    </row>
    <row r="509" spans="7:14" ht="11.25" customHeight="1" x14ac:dyDescent="0.3">
      <c r="G509" s="470">
        <f t="shared" si="51"/>
        <v>42</v>
      </c>
      <c r="H509" s="470">
        <v>502</v>
      </c>
      <c r="I509" s="455">
        <f t="shared" ca="1" si="29"/>
        <v>1129544.2308076089</v>
      </c>
      <c r="J509" s="455">
        <f t="array" ref="J509">IFERROR(INDEX('Retirement Calculator'!K:K,MATCH('Lorri 401b'!N509,'Retirement Calculator'!A:A,0),0),0)</f>
        <v>20282.026119384056</v>
      </c>
      <c r="K509" s="455">
        <f t="shared" ca="1" si="27"/>
        <v>4621.9258528676037</v>
      </c>
      <c r="L509" s="455">
        <f t="shared" ca="1" si="28"/>
        <v>1113884.1305410925</v>
      </c>
      <c r="M509" s="471">
        <f t="shared" si="30"/>
        <v>0.05</v>
      </c>
      <c r="N509" s="475">
        <f t="shared" si="31"/>
        <v>66536</v>
      </c>
    </row>
    <row r="510" spans="7:14" ht="11.25" customHeight="1" x14ac:dyDescent="0.3">
      <c r="G510" s="470">
        <f t="shared" si="51"/>
        <v>42</v>
      </c>
      <c r="H510" s="470">
        <v>503</v>
      </c>
      <c r="I510" s="455">
        <f t="shared" ca="1" si="29"/>
        <v>1113884.1305410925</v>
      </c>
      <c r="J510" s="455">
        <f t="array" ref="J510">IFERROR(INDEX('Retirement Calculator'!K:K,MATCH('Lorri 401b'!N510,'Retirement Calculator'!A:A,0),0),0)</f>
        <v>20282.026119384056</v>
      </c>
      <c r="K510" s="455">
        <f t="shared" ca="1" si="27"/>
        <v>4556.6754350904521</v>
      </c>
      <c r="L510" s="455">
        <f t="shared" ca="1" si="28"/>
        <v>1098158.7798567989</v>
      </c>
      <c r="M510" s="471">
        <f t="shared" si="30"/>
        <v>0.05</v>
      </c>
      <c r="N510" s="475">
        <f t="shared" si="31"/>
        <v>66567</v>
      </c>
    </row>
    <row r="511" spans="7:14" ht="11.25" customHeight="1" x14ac:dyDescent="0.3">
      <c r="G511" s="470">
        <f t="shared" si="51"/>
        <v>42</v>
      </c>
      <c r="H511" s="470">
        <v>504</v>
      </c>
      <c r="I511" s="455">
        <f t="shared" ca="1" si="29"/>
        <v>1098158.7798567989</v>
      </c>
      <c r="J511" s="455">
        <f t="array" ref="J511">IFERROR(INDEX('Retirement Calculator'!K:K,MATCH('Lorri 401b'!N511,'Retirement Calculator'!A:A,0),0),0)</f>
        <v>20282.026119384056</v>
      </c>
      <c r="K511" s="455">
        <f t="shared" ca="1" si="27"/>
        <v>4491.1531405725618</v>
      </c>
      <c r="L511" s="455">
        <f t="shared" ca="1" si="28"/>
        <v>1082367.9068779876</v>
      </c>
      <c r="M511" s="471">
        <f t="shared" si="30"/>
        <v>0.05</v>
      </c>
      <c r="N511" s="475">
        <f t="shared" si="31"/>
        <v>66597</v>
      </c>
    </row>
    <row r="512" spans="7:14" ht="11.25" customHeight="1" x14ac:dyDescent="0.3">
      <c r="G512" s="470">
        <f>G511+1</f>
        <v>43</v>
      </c>
      <c r="H512" s="470">
        <v>505</v>
      </c>
      <c r="I512" s="455">
        <f t="shared" ca="1" si="29"/>
        <v>1082367.9068779876</v>
      </c>
      <c r="J512" s="455">
        <f t="array" ref="J512">IFERROR(INDEX('Retirement Calculator'!K:K,MATCH('Lorri 401b'!N512,'Retirement Calculator'!A:A,0),0),0)</f>
        <v>20282.026119384056</v>
      </c>
      <c r="K512" s="455">
        <f t="shared" ca="1" si="27"/>
        <v>4425.3578364941814</v>
      </c>
      <c r="L512" s="455">
        <f t="shared" ca="1" si="28"/>
        <v>1066511.2385950978</v>
      </c>
      <c r="M512" s="471">
        <f t="shared" si="30"/>
        <v>0.05</v>
      </c>
      <c r="N512" s="475">
        <f t="shared" si="31"/>
        <v>66628</v>
      </c>
    </row>
    <row r="513" spans="7:14" ht="11.25" customHeight="1" x14ac:dyDescent="0.3">
      <c r="G513" s="470">
        <f t="shared" ref="G513:G523" si="52">G512</f>
        <v>43</v>
      </c>
      <c r="H513" s="470">
        <v>506</v>
      </c>
      <c r="I513" s="455">
        <f t="shared" ca="1" si="29"/>
        <v>1066511.2385950978</v>
      </c>
      <c r="J513" s="455">
        <f t="array" ref="J513">IFERROR(INDEX('Retirement Calculator'!K:K,MATCH('Lorri 401b'!N513,'Retirement Calculator'!A:A,0),0),0)</f>
        <v>20282.026119384056</v>
      </c>
      <c r="K513" s="455">
        <f t="shared" ca="1" si="27"/>
        <v>4359.2883853154735</v>
      </c>
      <c r="L513" s="455">
        <f t="shared" ca="1" si="28"/>
        <v>1050588.5008610291</v>
      </c>
      <c r="M513" s="471">
        <f t="shared" si="30"/>
        <v>0.05</v>
      </c>
      <c r="N513" s="475">
        <f t="shared" si="31"/>
        <v>66658</v>
      </c>
    </row>
    <row r="514" spans="7:14" ht="11.25" customHeight="1" x14ac:dyDescent="0.3">
      <c r="G514" s="470">
        <f t="shared" si="52"/>
        <v>43</v>
      </c>
      <c r="H514" s="470">
        <v>507</v>
      </c>
      <c r="I514" s="455">
        <f t="shared" ca="1" si="29"/>
        <v>1050588.5008610291</v>
      </c>
      <c r="J514" s="455">
        <f t="array" ref="J514">IFERROR(INDEX('Retirement Calculator'!K:K,MATCH('Lorri 401b'!N514,'Retirement Calculator'!A:A,0),0),0)</f>
        <v>20282.026119384056</v>
      </c>
      <c r="K514" s="455">
        <f t="shared" ca="1" si="27"/>
        <v>4292.9436447568542</v>
      </c>
      <c r="L514" s="455">
        <f t="shared" ca="1" si="28"/>
        <v>1034599.4183864018</v>
      </c>
      <c r="M514" s="471">
        <f t="shared" si="30"/>
        <v>0.05</v>
      </c>
      <c r="N514" s="475">
        <f t="shared" si="31"/>
        <v>66689</v>
      </c>
    </row>
    <row r="515" spans="7:14" ht="11.25" customHeight="1" x14ac:dyDescent="0.3">
      <c r="G515" s="470">
        <f t="shared" si="52"/>
        <v>43</v>
      </c>
      <c r="H515" s="470">
        <v>508</v>
      </c>
      <c r="I515" s="455">
        <f t="shared" ca="1" si="29"/>
        <v>1034599.4183864018</v>
      </c>
      <c r="J515" s="455">
        <f t="array" ref="J515">IFERROR(INDEX('Retirement Calculator'!K:K,MATCH('Lorri 401b'!N515,'Retirement Calculator'!A:A,0),0),0)</f>
        <v>20282.026119384056</v>
      </c>
      <c r="K515" s="455">
        <f t="shared" ca="1" si="27"/>
        <v>4226.3224677792405</v>
      </c>
      <c r="L515" s="455">
        <f t="shared" ca="1" si="28"/>
        <v>1018543.714734797</v>
      </c>
      <c r="M515" s="471">
        <f t="shared" si="30"/>
        <v>0.05</v>
      </c>
      <c r="N515" s="475">
        <f t="shared" si="31"/>
        <v>66720</v>
      </c>
    </row>
    <row r="516" spans="7:14" ht="11.25" customHeight="1" x14ac:dyDescent="0.3">
      <c r="G516" s="470">
        <f t="shared" si="52"/>
        <v>43</v>
      </c>
      <c r="H516" s="470">
        <v>509</v>
      </c>
      <c r="I516" s="455">
        <f t="shared" ca="1" si="29"/>
        <v>1018543.714734797</v>
      </c>
      <c r="J516" s="455">
        <f t="array" ref="J516">IFERROR(INDEX('Retirement Calculator'!K:K,MATCH('Lorri 401b'!N516,'Retirement Calculator'!A:A,0),0),0)</f>
        <v>20282.026119384056</v>
      </c>
      <c r="K516" s="455">
        <f t="shared" ca="1" si="27"/>
        <v>4159.4237025642196</v>
      </c>
      <c r="L516" s="455">
        <f t="shared" ca="1" si="28"/>
        <v>1002421.1123179771</v>
      </c>
      <c r="M516" s="471">
        <f t="shared" si="30"/>
        <v>0.05</v>
      </c>
      <c r="N516" s="475">
        <f t="shared" si="31"/>
        <v>66750</v>
      </c>
    </row>
    <row r="517" spans="7:14" ht="11.25" customHeight="1" x14ac:dyDescent="0.3">
      <c r="G517" s="470">
        <f t="shared" si="52"/>
        <v>43</v>
      </c>
      <c r="H517" s="470">
        <v>510</v>
      </c>
      <c r="I517" s="455">
        <f t="shared" ca="1" si="29"/>
        <v>1002421.1123179771</v>
      </c>
      <c r="J517" s="455">
        <f t="array" ref="J517">IFERROR(INDEX('Retirement Calculator'!K:K,MATCH('Lorri 401b'!N517,'Retirement Calculator'!A:A,0),0),0)</f>
        <v>20282.026119384056</v>
      </c>
      <c r="K517" s="455">
        <f t="shared" ca="1" si="27"/>
        <v>4092.2461924941376</v>
      </c>
      <c r="L517" s="455">
        <f t="shared" ca="1" si="28"/>
        <v>986231.3323910872</v>
      </c>
      <c r="M517" s="471">
        <f t="shared" si="30"/>
        <v>0.05</v>
      </c>
      <c r="N517" s="475">
        <f t="shared" si="31"/>
        <v>66781</v>
      </c>
    </row>
    <row r="518" spans="7:14" ht="11.25" customHeight="1" x14ac:dyDescent="0.3">
      <c r="G518" s="470">
        <f t="shared" si="52"/>
        <v>43</v>
      </c>
      <c r="H518" s="470">
        <v>511</v>
      </c>
      <c r="I518" s="455">
        <f t="shared" ca="1" si="29"/>
        <v>986231.3323910872</v>
      </c>
      <c r="J518" s="455">
        <f t="array" ref="J518">IFERROR(INDEX('Retirement Calculator'!K:K,MATCH('Lorri 401b'!N518,'Retirement Calculator'!A:A,0),0),0)</f>
        <v>20282.026119384056</v>
      </c>
      <c r="K518" s="455">
        <f t="shared" ref="K518:K772" ca="1" si="53">IPMT(M518/12,1,12,-I518+J518,,0)</f>
        <v>4024.7887761320967</v>
      </c>
      <c r="L518" s="455">
        <f t="shared" ref="L518:L772" ca="1" si="54">I518-J518+K518</f>
        <v>969974.09504783514</v>
      </c>
      <c r="M518" s="471">
        <f t="shared" si="30"/>
        <v>0.05</v>
      </c>
      <c r="N518" s="475">
        <f t="shared" si="31"/>
        <v>66811</v>
      </c>
    </row>
    <row r="519" spans="7:14" ht="11.25" customHeight="1" x14ac:dyDescent="0.3">
      <c r="G519" s="470">
        <f t="shared" si="52"/>
        <v>43</v>
      </c>
      <c r="H519" s="470">
        <v>512</v>
      </c>
      <c r="I519" s="455">
        <f t="shared" ref="I519:I773" ca="1" si="55">L518</f>
        <v>969974.09504783514</v>
      </c>
      <c r="J519" s="455">
        <f t="array" ref="J519">IFERROR(INDEX('Retirement Calculator'!K:K,MATCH('Lorri 401b'!N519,'Retirement Calculator'!A:A,0),0),0)</f>
        <v>20282.026119384056</v>
      </c>
      <c r="K519" s="455">
        <f t="shared" ca="1" si="53"/>
        <v>3957.0502872018797</v>
      </c>
      <c r="L519" s="455">
        <f t="shared" ca="1" si="54"/>
        <v>953649.11921565293</v>
      </c>
      <c r="M519" s="471">
        <f t="shared" ref="M519:M773" si="56">M518</f>
        <v>0.05</v>
      </c>
      <c r="N519" s="475">
        <f t="shared" ref="N519:N773" si="57">EDATE(N518,1)</f>
        <v>66842</v>
      </c>
    </row>
    <row r="520" spans="7:14" ht="11.25" customHeight="1" x14ac:dyDescent="0.3">
      <c r="G520" s="470">
        <f t="shared" si="52"/>
        <v>43</v>
      </c>
      <c r="H520" s="470">
        <v>513</v>
      </c>
      <c r="I520" s="455">
        <f t="shared" ca="1" si="55"/>
        <v>953649.11921565293</v>
      </c>
      <c r="J520" s="455">
        <f t="array" ref="J520">IFERROR(INDEX('Retirement Calculator'!K:K,MATCH('Lorri 401b'!N520,'Retirement Calculator'!A:A,0),0),0)</f>
        <v>20282.026119384056</v>
      </c>
      <c r="K520" s="455">
        <f t="shared" ca="1" si="53"/>
        <v>3889.0295545677868</v>
      </c>
      <c r="L520" s="455">
        <f t="shared" ca="1" si="54"/>
        <v>937256.12265083659</v>
      </c>
      <c r="M520" s="471">
        <f t="shared" si="56"/>
        <v>0.05</v>
      </c>
      <c r="N520" s="475">
        <f t="shared" si="57"/>
        <v>66873</v>
      </c>
    </row>
    <row r="521" spans="7:14" ht="11.25" customHeight="1" x14ac:dyDescent="0.3">
      <c r="G521" s="470">
        <f t="shared" si="52"/>
        <v>43</v>
      </c>
      <c r="H521" s="470">
        <v>514</v>
      </c>
      <c r="I521" s="455">
        <f t="shared" ca="1" si="55"/>
        <v>937256.12265083659</v>
      </c>
      <c r="J521" s="455">
        <f t="array" ref="J521">IFERROR(INDEX('Retirement Calculator'!K:K,MATCH('Lorri 401b'!N521,'Retirement Calculator'!A:A,0),0),0)</f>
        <v>20282.026119384056</v>
      </c>
      <c r="K521" s="455">
        <f t="shared" ca="1" si="53"/>
        <v>3820.7254022143848</v>
      </c>
      <c r="L521" s="455">
        <f t="shared" ca="1" si="54"/>
        <v>920794.82193366683</v>
      </c>
      <c r="M521" s="471">
        <f t="shared" si="56"/>
        <v>0.05</v>
      </c>
      <c r="N521" s="475">
        <f t="shared" si="57"/>
        <v>66901</v>
      </c>
    </row>
    <row r="522" spans="7:14" ht="11.25" customHeight="1" x14ac:dyDescent="0.3">
      <c r="G522" s="470">
        <f t="shared" si="52"/>
        <v>43</v>
      </c>
      <c r="H522" s="470">
        <v>515</v>
      </c>
      <c r="I522" s="455">
        <f t="shared" ca="1" si="55"/>
        <v>920794.82193366683</v>
      </c>
      <c r="J522" s="455">
        <f t="array" ref="J522">IFERROR(INDEX('Retirement Calculator'!K:K,MATCH('Lorri 401b'!N522,'Retirement Calculator'!A:A,0),0),0)</f>
        <v>20282.026119384056</v>
      </c>
      <c r="K522" s="455">
        <f t="shared" ca="1" si="53"/>
        <v>3752.1366492261782</v>
      </c>
      <c r="L522" s="455">
        <f t="shared" ca="1" si="54"/>
        <v>904264.93246350891</v>
      </c>
      <c r="M522" s="471">
        <f t="shared" si="56"/>
        <v>0.05</v>
      </c>
      <c r="N522" s="475">
        <f t="shared" si="57"/>
        <v>66932</v>
      </c>
    </row>
    <row r="523" spans="7:14" ht="11.25" customHeight="1" x14ac:dyDescent="0.3">
      <c r="G523" s="470">
        <f t="shared" si="52"/>
        <v>43</v>
      </c>
      <c r="H523" s="470">
        <v>516</v>
      </c>
      <c r="I523" s="455">
        <f t="shared" ca="1" si="55"/>
        <v>904264.93246350891</v>
      </c>
      <c r="J523" s="455">
        <f t="array" ref="J523">IFERROR(INDEX('Retirement Calculator'!K:K,MATCH('Lorri 401b'!N523,'Retirement Calculator'!A:A,0),0),0)</f>
        <v>20282.026119384056</v>
      </c>
      <c r="K523" s="455">
        <f t="shared" ca="1" si="53"/>
        <v>3683.2621097671868</v>
      </c>
      <c r="L523" s="455">
        <f t="shared" ca="1" si="54"/>
        <v>887666.16845389199</v>
      </c>
      <c r="M523" s="471">
        <f t="shared" si="56"/>
        <v>0.05</v>
      </c>
      <c r="N523" s="475">
        <f t="shared" si="57"/>
        <v>66962</v>
      </c>
    </row>
    <row r="524" spans="7:14" ht="11.25" customHeight="1" x14ac:dyDescent="0.3">
      <c r="G524" s="470">
        <f>G523+1</f>
        <v>44</v>
      </c>
      <c r="H524" s="470">
        <v>517</v>
      </c>
      <c r="I524" s="455">
        <f t="shared" ca="1" si="55"/>
        <v>887666.16845389199</v>
      </c>
      <c r="J524" s="455">
        <f t="array" ref="J524">IFERROR(INDEX('Retirement Calculator'!K:K,MATCH('Lorri 401b'!N524,'Retirement Calculator'!A:A,0),0),0)</f>
        <v>20282.026119384056</v>
      </c>
      <c r="K524" s="455">
        <f t="shared" ca="1" si="53"/>
        <v>3614.1005930604492</v>
      </c>
      <c r="L524" s="455">
        <f t="shared" ca="1" si="54"/>
        <v>870998.24292756838</v>
      </c>
      <c r="M524" s="471">
        <f t="shared" si="56"/>
        <v>0.05</v>
      </c>
      <c r="N524" s="475">
        <f t="shared" si="57"/>
        <v>66993</v>
      </c>
    </row>
    <row r="525" spans="7:14" ht="11.25" customHeight="1" x14ac:dyDescent="0.3">
      <c r="G525" s="470">
        <f t="shared" ref="G525:G535" si="58">G524</f>
        <v>44</v>
      </c>
      <c r="H525" s="470">
        <v>518</v>
      </c>
      <c r="I525" s="455">
        <f t="shared" ca="1" si="55"/>
        <v>870998.24292756838</v>
      </c>
      <c r="J525" s="455">
        <f t="array" ref="J525">IFERROR(INDEX('Retirement Calculator'!K:K,MATCH('Lorri 401b'!N525,'Retirement Calculator'!A:A,0),0),0)</f>
        <v>20282.026119384056</v>
      </c>
      <c r="K525" s="455">
        <f t="shared" ca="1" si="53"/>
        <v>3544.6509033674338</v>
      </c>
      <c r="L525" s="455">
        <f t="shared" ca="1" si="54"/>
        <v>854260.86771155172</v>
      </c>
      <c r="M525" s="471">
        <f t="shared" si="56"/>
        <v>0.05</v>
      </c>
      <c r="N525" s="475">
        <f t="shared" si="57"/>
        <v>67023</v>
      </c>
    </row>
    <row r="526" spans="7:14" ht="11.25" customHeight="1" x14ac:dyDescent="0.3">
      <c r="G526" s="470">
        <f t="shared" si="58"/>
        <v>44</v>
      </c>
      <c r="H526" s="470">
        <v>519</v>
      </c>
      <c r="I526" s="455">
        <f t="shared" ca="1" si="55"/>
        <v>854260.86771155172</v>
      </c>
      <c r="J526" s="455">
        <f t="array" ref="J526">IFERROR(INDEX('Retirement Calculator'!K:K,MATCH('Lorri 401b'!N526,'Retirement Calculator'!A:A,0),0),0)</f>
        <v>20282.026119384056</v>
      </c>
      <c r="K526" s="455">
        <f t="shared" ca="1" si="53"/>
        <v>3474.9118399673657</v>
      </c>
      <c r="L526" s="455">
        <f t="shared" ca="1" si="54"/>
        <v>837453.75343213498</v>
      </c>
      <c r="M526" s="471">
        <f t="shared" si="56"/>
        <v>0.05</v>
      </c>
      <c r="N526" s="475">
        <f t="shared" si="57"/>
        <v>67054</v>
      </c>
    </row>
    <row r="527" spans="7:14" ht="11.25" customHeight="1" x14ac:dyDescent="0.3">
      <c r="G527" s="470">
        <f t="shared" si="58"/>
        <v>44</v>
      </c>
      <c r="H527" s="470">
        <v>520</v>
      </c>
      <c r="I527" s="455">
        <f t="shared" ca="1" si="55"/>
        <v>837453.75343213498</v>
      </c>
      <c r="J527" s="455">
        <f t="array" ref="J527">IFERROR(INDEX('Retirement Calculator'!K:K,MATCH('Lorri 401b'!N527,'Retirement Calculator'!A:A,0),0),0)</f>
        <v>20282.026119384056</v>
      </c>
      <c r="K527" s="455">
        <f t="shared" ca="1" si="53"/>
        <v>3404.8821971364619</v>
      </c>
      <c r="L527" s="455">
        <f t="shared" ca="1" si="54"/>
        <v>820576.60950988729</v>
      </c>
      <c r="M527" s="471">
        <f t="shared" si="56"/>
        <v>0.05</v>
      </c>
      <c r="N527" s="475">
        <f t="shared" si="57"/>
        <v>67085</v>
      </c>
    </row>
    <row r="528" spans="7:14" ht="11.25" customHeight="1" x14ac:dyDescent="0.3">
      <c r="G528" s="470">
        <f t="shared" si="58"/>
        <v>44</v>
      </c>
      <c r="H528" s="470">
        <v>521</v>
      </c>
      <c r="I528" s="455">
        <f t="shared" ca="1" si="55"/>
        <v>820576.60950988729</v>
      </c>
      <c r="J528" s="455">
        <f t="array" ref="J528">IFERROR(INDEX('Retirement Calculator'!K:K,MATCH('Lorri 401b'!N528,'Retirement Calculator'!A:A,0),0),0)</f>
        <v>20282.026119384056</v>
      </c>
      <c r="K528" s="455">
        <f t="shared" ca="1" si="53"/>
        <v>3334.5607641270967</v>
      </c>
      <c r="L528" s="455">
        <f t="shared" ca="1" si="54"/>
        <v>803629.14415463025</v>
      </c>
      <c r="M528" s="471">
        <f t="shared" si="56"/>
        <v>0.05</v>
      </c>
      <c r="N528" s="475">
        <f t="shared" si="57"/>
        <v>67115</v>
      </c>
    </row>
    <row r="529" spans="7:14" ht="11.25" customHeight="1" x14ac:dyDescent="0.3">
      <c r="G529" s="470">
        <f t="shared" si="58"/>
        <v>44</v>
      </c>
      <c r="H529" s="470">
        <v>522</v>
      </c>
      <c r="I529" s="455">
        <f t="shared" ca="1" si="55"/>
        <v>803629.14415463025</v>
      </c>
      <c r="J529" s="455">
        <f t="array" ref="J529">IFERROR(INDEX('Retirement Calculator'!K:K,MATCH('Lorri 401b'!N529,'Retirement Calculator'!A:A,0),0),0)</f>
        <v>20282.026119384056</v>
      </c>
      <c r="K529" s="455">
        <f t="shared" ca="1" si="53"/>
        <v>3263.9463251468587</v>
      </c>
      <c r="L529" s="455">
        <f t="shared" ca="1" si="54"/>
        <v>786611.06436039298</v>
      </c>
      <c r="M529" s="471">
        <f t="shared" si="56"/>
        <v>0.05</v>
      </c>
      <c r="N529" s="475">
        <f t="shared" si="57"/>
        <v>67146</v>
      </c>
    </row>
    <row r="530" spans="7:14" ht="11.25" customHeight="1" x14ac:dyDescent="0.3">
      <c r="G530" s="470">
        <f t="shared" si="58"/>
        <v>44</v>
      </c>
      <c r="H530" s="470">
        <v>523</v>
      </c>
      <c r="I530" s="455">
        <f t="shared" ca="1" si="55"/>
        <v>786611.06436039298</v>
      </c>
      <c r="J530" s="455">
        <f t="array" ref="J530">IFERROR(INDEX('Retirement Calculator'!K:K,MATCH('Lorri 401b'!N530,'Retirement Calculator'!A:A,0),0),0)</f>
        <v>20282.026119384056</v>
      </c>
      <c r="K530" s="455">
        <f t="shared" ca="1" si="53"/>
        <v>3193.0376593375368</v>
      </c>
      <c r="L530" s="455">
        <f t="shared" ca="1" si="54"/>
        <v>769522.07590034639</v>
      </c>
      <c r="M530" s="471">
        <f t="shared" si="56"/>
        <v>0.05</v>
      </c>
      <c r="N530" s="475">
        <f t="shared" si="57"/>
        <v>67176</v>
      </c>
    </row>
    <row r="531" spans="7:14" ht="11.25" customHeight="1" x14ac:dyDescent="0.3">
      <c r="G531" s="470">
        <f t="shared" si="58"/>
        <v>44</v>
      </c>
      <c r="H531" s="470">
        <v>524</v>
      </c>
      <c r="I531" s="455">
        <f t="shared" ca="1" si="55"/>
        <v>769522.07590034639</v>
      </c>
      <c r="J531" s="455">
        <f t="array" ref="J531">IFERROR(INDEX('Retirement Calculator'!K:K,MATCH('Lorri 401b'!N531,'Retirement Calculator'!A:A,0),0),0)</f>
        <v>20282.026119384056</v>
      </c>
      <c r="K531" s="455">
        <f t="shared" ca="1" si="53"/>
        <v>3121.8335407540094</v>
      </c>
      <c r="L531" s="455">
        <f t="shared" ca="1" si="54"/>
        <v>752361.88332171633</v>
      </c>
      <c r="M531" s="471">
        <f t="shared" si="56"/>
        <v>0.05</v>
      </c>
      <c r="N531" s="475">
        <f t="shared" si="57"/>
        <v>67207</v>
      </c>
    </row>
    <row r="532" spans="7:14" ht="11.25" customHeight="1" x14ac:dyDescent="0.3">
      <c r="G532" s="470">
        <f t="shared" si="58"/>
        <v>44</v>
      </c>
      <c r="H532" s="470">
        <v>525</v>
      </c>
      <c r="I532" s="455">
        <f t="shared" ca="1" si="55"/>
        <v>752361.88332171633</v>
      </c>
      <c r="J532" s="455">
        <f t="array" ref="J532">IFERROR(INDEX('Retirement Calculator'!K:K,MATCH('Lorri 401b'!N532,'Retirement Calculator'!A:A,0),0),0)</f>
        <v>20282.026119384056</v>
      </c>
      <c r="K532" s="455">
        <f t="shared" ca="1" si="53"/>
        <v>3050.332738343051</v>
      </c>
      <c r="L532" s="455">
        <f t="shared" ca="1" si="54"/>
        <v>735130.18994067528</v>
      </c>
      <c r="M532" s="471">
        <f t="shared" si="56"/>
        <v>0.05</v>
      </c>
      <c r="N532" s="475">
        <f t="shared" si="57"/>
        <v>67238</v>
      </c>
    </row>
    <row r="533" spans="7:14" ht="11.25" customHeight="1" x14ac:dyDescent="0.3">
      <c r="G533" s="470">
        <f t="shared" si="58"/>
        <v>44</v>
      </c>
      <c r="H533" s="470">
        <v>526</v>
      </c>
      <c r="I533" s="455">
        <f t="shared" ca="1" si="55"/>
        <v>735130.18994067528</v>
      </c>
      <c r="J533" s="455">
        <f t="array" ref="J533">IFERROR(INDEX('Retirement Calculator'!K:K,MATCH('Lorri 401b'!N533,'Retirement Calculator'!A:A,0),0),0)</f>
        <v>20282.026119384056</v>
      </c>
      <c r="K533" s="455">
        <f t="shared" ca="1" si="53"/>
        <v>2978.5340159220464</v>
      </c>
      <c r="L533" s="455">
        <f t="shared" ca="1" si="54"/>
        <v>717826.69783721317</v>
      </c>
      <c r="M533" s="471">
        <f t="shared" si="56"/>
        <v>0.05</v>
      </c>
      <c r="N533" s="475">
        <f t="shared" si="57"/>
        <v>67267</v>
      </c>
    </row>
    <row r="534" spans="7:14" ht="11.25" customHeight="1" x14ac:dyDescent="0.3">
      <c r="G534" s="470">
        <f t="shared" si="58"/>
        <v>44</v>
      </c>
      <c r="H534" s="470">
        <v>527</v>
      </c>
      <c r="I534" s="455">
        <f t="shared" ca="1" si="55"/>
        <v>717826.69783721317</v>
      </c>
      <c r="J534" s="455">
        <f t="array" ref="J534">IFERROR(INDEX('Retirement Calculator'!K:K,MATCH('Lorri 401b'!N534,'Retirement Calculator'!A:A,0),0),0)</f>
        <v>20282.026119384056</v>
      </c>
      <c r="K534" s="455">
        <f t="shared" ca="1" si="53"/>
        <v>2906.4361321576212</v>
      </c>
      <c r="L534" s="455">
        <f t="shared" ca="1" si="54"/>
        <v>700451.10784998664</v>
      </c>
      <c r="M534" s="471">
        <f t="shared" si="56"/>
        <v>0.05</v>
      </c>
      <c r="N534" s="475">
        <f t="shared" si="57"/>
        <v>67298</v>
      </c>
    </row>
    <row r="535" spans="7:14" ht="11.25" customHeight="1" x14ac:dyDescent="0.3">
      <c r="G535" s="470">
        <f t="shared" si="58"/>
        <v>44</v>
      </c>
      <c r="H535" s="470">
        <v>528</v>
      </c>
      <c r="I535" s="455">
        <f t="shared" ca="1" si="55"/>
        <v>700451.10784998664</v>
      </c>
      <c r="J535" s="455">
        <f t="array" ref="J535">IFERROR(INDEX('Retirement Calculator'!K:K,MATCH('Lorri 401b'!N535,'Retirement Calculator'!A:A,0),0),0)</f>
        <v>20282.026119384056</v>
      </c>
      <c r="K535" s="455">
        <f t="shared" ca="1" si="53"/>
        <v>2834.037840544177</v>
      </c>
      <c r="L535" s="455">
        <f t="shared" ca="1" si="54"/>
        <v>683003.11957114667</v>
      </c>
      <c r="M535" s="471">
        <f t="shared" si="56"/>
        <v>0.05</v>
      </c>
      <c r="N535" s="475">
        <f t="shared" si="57"/>
        <v>67328</v>
      </c>
    </row>
    <row r="536" spans="7:14" ht="11.25" customHeight="1" x14ac:dyDescent="0.3">
      <c r="G536" s="470">
        <f>G535+1</f>
        <v>45</v>
      </c>
      <c r="H536" s="470">
        <v>529</v>
      </c>
      <c r="I536" s="455">
        <f t="shared" ca="1" si="55"/>
        <v>683003.11957114667</v>
      </c>
      <c r="J536" s="455">
        <f t="array" ref="J536">IFERROR(INDEX('Retirement Calculator'!K:K,MATCH('Lorri 401b'!N536,'Retirement Calculator'!A:A,0),0),0)</f>
        <v>20282.026119384056</v>
      </c>
      <c r="K536" s="455">
        <f t="shared" ca="1" si="53"/>
        <v>2761.3378893823442</v>
      </c>
      <c r="L536" s="455">
        <f t="shared" ca="1" si="54"/>
        <v>665482.43134114495</v>
      </c>
      <c r="M536" s="471">
        <f t="shared" si="56"/>
        <v>0.05</v>
      </c>
      <c r="N536" s="475">
        <f t="shared" si="57"/>
        <v>67359</v>
      </c>
    </row>
    <row r="537" spans="7:14" ht="11.25" customHeight="1" x14ac:dyDescent="0.3">
      <c r="G537" s="470">
        <f t="shared" ref="G537:G547" si="59">G536</f>
        <v>45</v>
      </c>
      <c r="H537" s="470">
        <v>530</v>
      </c>
      <c r="I537" s="455">
        <f t="shared" ca="1" si="55"/>
        <v>665482.43134114495</v>
      </c>
      <c r="J537" s="455">
        <f t="array" ref="J537">IFERROR(INDEX('Retirement Calculator'!K:K,MATCH('Lorri 401b'!N537,'Retirement Calculator'!A:A,0),0),0)</f>
        <v>20282.026119384056</v>
      </c>
      <c r="K537" s="455">
        <f t="shared" ca="1" si="53"/>
        <v>2688.335021757337</v>
      </c>
      <c r="L537" s="455">
        <f t="shared" ca="1" si="54"/>
        <v>647888.74024351814</v>
      </c>
      <c r="M537" s="471">
        <f t="shared" si="56"/>
        <v>0.05</v>
      </c>
      <c r="N537" s="475">
        <f t="shared" si="57"/>
        <v>67389</v>
      </c>
    </row>
    <row r="538" spans="7:14" ht="11.25" customHeight="1" x14ac:dyDescent="0.3">
      <c r="G538" s="470">
        <f t="shared" si="59"/>
        <v>45</v>
      </c>
      <c r="H538" s="470">
        <v>531</v>
      </c>
      <c r="I538" s="455">
        <f t="shared" ca="1" si="55"/>
        <v>647888.74024351814</v>
      </c>
      <c r="J538" s="455">
        <f t="array" ref="J538">IFERROR(INDEX('Retirement Calculator'!K:K,MATCH('Lorri 401b'!N538,'Retirement Calculator'!A:A,0),0),0)</f>
        <v>20282.026119384056</v>
      </c>
      <c r="K538" s="455">
        <f t="shared" ca="1" si="53"/>
        <v>2615.0279755172251</v>
      </c>
      <c r="L538" s="455">
        <f t="shared" ca="1" si="54"/>
        <v>630221.74209965125</v>
      </c>
      <c r="M538" s="471">
        <f t="shared" si="56"/>
        <v>0.05</v>
      </c>
      <c r="N538" s="475">
        <f t="shared" si="57"/>
        <v>67420</v>
      </c>
    </row>
    <row r="539" spans="7:14" ht="11.25" customHeight="1" x14ac:dyDescent="0.3">
      <c r="G539" s="470">
        <f t="shared" si="59"/>
        <v>45</v>
      </c>
      <c r="H539" s="470">
        <v>532</v>
      </c>
      <c r="I539" s="455">
        <f t="shared" ca="1" si="55"/>
        <v>630221.74209965125</v>
      </c>
      <c r="J539" s="455">
        <f t="array" ref="J539">IFERROR(INDEX('Retirement Calculator'!K:K,MATCH('Lorri 401b'!N539,'Retirement Calculator'!A:A,0),0),0)</f>
        <v>20282.026119384056</v>
      </c>
      <c r="K539" s="455">
        <f t="shared" ca="1" si="53"/>
        <v>2541.4154832511131</v>
      </c>
      <c r="L539" s="455">
        <f t="shared" ca="1" si="54"/>
        <v>612481.13146351825</v>
      </c>
      <c r="M539" s="471">
        <f t="shared" si="56"/>
        <v>0.05</v>
      </c>
      <c r="N539" s="475">
        <f t="shared" si="57"/>
        <v>67451</v>
      </c>
    </row>
    <row r="540" spans="7:14" ht="11.25" customHeight="1" x14ac:dyDescent="0.3">
      <c r="G540" s="470">
        <f t="shared" si="59"/>
        <v>45</v>
      </c>
      <c r="H540" s="470">
        <v>533</v>
      </c>
      <c r="I540" s="455">
        <f t="shared" ca="1" si="55"/>
        <v>612481.13146351825</v>
      </c>
      <c r="J540" s="455">
        <f t="array" ref="J540">IFERROR(INDEX('Retirement Calculator'!K:K,MATCH('Lorri 401b'!N540,'Retirement Calculator'!A:A,0),0),0)</f>
        <v>20282.026119384056</v>
      </c>
      <c r="K540" s="455">
        <f t="shared" ca="1" si="53"/>
        <v>2467.4962722672258</v>
      </c>
      <c r="L540" s="455">
        <f t="shared" ca="1" si="54"/>
        <v>594666.60161640134</v>
      </c>
      <c r="M540" s="471">
        <f t="shared" si="56"/>
        <v>0.05</v>
      </c>
      <c r="N540" s="475">
        <f t="shared" si="57"/>
        <v>67481</v>
      </c>
    </row>
    <row r="541" spans="7:14" ht="11.25" customHeight="1" x14ac:dyDescent="0.3">
      <c r="G541" s="470">
        <f t="shared" si="59"/>
        <v>45</v>
      </c>
      <c r="H541" s="470">
        <v>534</v>
      </c>
      <c r="I541" s="455">
        <f t="shared" ca="1" si="55"/>
        <v>594666.60161640134</v>
      </c>
      <c r="J541" s="455">
        <f t="array" ref="J541">IFERROR(INDEX('Retirement Calculator'!K:K,MATCH('Lorri 401b'!N541,'Retirement Calculator'!A:A,0),0),0)</f>
        <v>20282.026119384056</v>
      </c>
      <c r="K541" s="455">
        <f t="shared" ca="1" si="53"/>
        <v>2393.2690645709054</v>
      </c>
      <c r="L541" s="455">
        <f t="shared" ca="1" si="54"/>
        <v>576777.84456158814</v>
      </c>
      <c r="M541" s="471">
        <f t="shared" si="56"/>
        <v>0.05</v>
      </c>
      <c r="N541" s="475">
        <f t="shared" si="57"/>
        <v>67512</v>
      </c>
    </row>
    <row r="542" spans="7:14" ht="11.25" customHeight="1" x14ac:dyDescent="0.3">
      <c r="G542" s="470">
        <f t="shared" si="59"/>
        <v>45</v>
      </c>
      <c r="H542" s="470">
        <v>535</v>
      </c>
      <c r="I542" s="455">
        <f t="shared" ca="1" si="55"/>
        <v>576777.84456158814</v>
      </c>
      <c r="J542" s="455">
        <f t="array" ref="J542">IFERROR(INDEX('Retirement Calculator'!K:K,MATCH('Lorri 401b'!N542,'Retirement Calculator'!A:A,0),0),0)</f>
        <v>20282.026119384056</v>
      </c>
      <c r="K542" s="455">
        <f t="shared" ca="1" si="53"/>
        <v>2318.7325768425167</v>
      </c>
      <c r="L542" s="455">
        <f t="shared" ca="1" si="54"/>
        <v>558814.55101904657</v>
      </c>
      <c r="M542" s="471">
        <f t="shared" si="56"/>
        <v>0.05</v>
      </c>
      <c r="N542" s="475">
        <f t="shared" si="57"/>
        <v>67542</v>
      </c>
    </row>
    <row r="543" spans="7:14" ht="11.25" customHeight="1" x14ac:dyDescent="0.3">
      <c r="G543" s="470">
        <f t="shared" si="59"/>
        <v>45</v>
      </c>
      <c r="H543" s="470">
        <v>536</v>
      </c>
      <c r="I543" s="455">
        <f t="shared" ca="1" si="55"/>
        <v>558814.55101904657</v>
      </c>
      <c r="J543" s="455">
        <f t="array" ref="J543">IFERROR(INDEX('Retirement Calculator'!K:K,MATCH('Lorri 401b'!N543,'Retirement Calculator'!A:A,0),0),0)</f>
        <v>20282.026119384056</v>
      </c>
      <c r="K543" s="455">
        <f t="shared" ca="1" si="53"/>
        <v>2243.8855204152601</v>
      </c>
      <c r="L543" s="455">
        <f t="shared" ca="1" si="54"/>
        <v>540776.41042007774</v>
      </c>
      <c r="M543" s="471">
        <f t="shared" si="56"/>
        <v>0.05</v>
      </c>
      <c r="N543" s="475">
        <f t="shared" si="57"/>
        <v>67573</v>
      </c>
    </row>
    <row r="544" spans="7:14" ht="11.25" customHeight="1" x14ac:dyDescent="0.3">
      <c r="G544" s="470">
        <f t="shared" si="59"/>
        <v>45</v>
      </c>
      <c r="H544" s="470">
        <v>537</v>
      </c>
      <c r="I544" s="455">
        <f t="shared" ca="1" si="55"/>
        <v>540776.41042007774</v>
      </c>
      <c r="J544" s="455">
        <f t="array" ref="J544">IFERROR(INDEX('Retirement Calculator'!K:K,MATCH('Lorri 401b'!N544,'Retirement Calculator'!A:A,0),0),0)</f>
        <v>20282.026119384056</v>
      </c>
      <c r="K544" s="455">
        <f t="shared" ca="1" si="53"/>
        <v>2168.7266012528903</v>
      </c>
      <c r="L544" s="455">
        <f t="shared" ca="1" si="54"/>
        <v>522663.11090194661</v>
      </c>
      <c r="M544" s="471">
        <f t="shared" si="56"/>
        <v>0.05</v>
      </c>
      <c r="N544" s="475">
        <f t="shared" si="57"/>
        <v>67604</v>
      </c>
    </row>
    <row r="545" spans="7:14" ht="11.25" customHeight="1" x14ac:dyDescent="0.3">
      <c r="G545" s="470">
        <f t="shared" si="59"/>
        <v>45</v>
      </c>
      <c r="H545" s="470">
        <v>538</v>
      </c>
      <c r="I545" s="455">
        <f t="shared" ca="1" si="55"/>
        <v>522663.11090194661</v>
      </c>
      <c r="J545" s="455">
        <f t="array" ref="J545">IFERROR(INDEX('Retirement Calculator'!K:K,MATCH('Lorri 401b'!N545,'Retirement Calculator'!A:A,0),0),0)</f>
        <v>20282.026119384056</v>
      </c>
      <c r="K545" s="455">
        <f t="shared" ca="1" si="53"/>
        <v>2093.2545199273436</v>
      </c>
      <c r="L545" s="455">
        <f t="shared" ca="1" si="54"/>
        <v>504474.33930248988</v>
      </c>
      <c r="M545" s="471">
        <f t="shared" si="56"/>
        <v>0.05</v>
      </c>
      <c r="N545" s="475">
        <f t="shared" si="57"/>
        <v>67632</v>
      </c>
    </row>
    <row r="546" spans="7:14" ht="11.25" customHeight="1" x14ac:dyDescent="0.3">
      <c r="G546" s="470">
        <f t="shared" si="59"/>
        <v>45</v>
      </c>
      <c r="H546" s="470">
        <v>539</v>
      </c>
      <c r="I546" s="455">
        <f t="shared" ca="1" si="55"/>
        <v>504474.33930248988</v>
      </c>
      <c r="J546" s="455">
        <f t="array" ref="J546">IFERROR(INDEX('Retirement Calculator'!K:K,MATCH('Lorri 401b'!N546,'Retirement Calculator'!A:A,0),0),0)</f>
        <v>20282.026119384056</v>
      </c>
      <c r="K546" s="455">
        <f t="shared" ca="1" si="53"/>
        <v>2017.4679715962741</v>
      </c>
      <c r="L546" s="455">
        <f t="shared" ca="1" si="54"/>
        <v>486209.78115470213</v>
      </c>
      <c r="M546" s="471">
        <f t="shared" si="56"/>
        <v>0.05</v>
      </c>
      <c r="N546" s="475">
        <f t="shared" si="57"/>
        <v>67663</v>
      </c>
    </row>
    <row r="547" spans="7:14" ht="11.25" customHeight="1" x14ac:dyDescent="0.3">
      <c r="G547" s="470">
        <f t="shared" si="59"/>
        <v>45</v>
      </c>
      <c r="H547" s="470">
        <v>540</v>
      </c>
      <c r="I547" s="455">
        <f t="shared" ca="1" si="55"/>
        <v>486209.78115470213</v>
      </c>
      <c r="J547" s="455">
        <f t="array" ref="J547">IFERROR(INDEX('Retirement Calculator'!K:K,MATCH('Lorri 401b'!N547,'Retirement Calculator'!A:A,0),0),0)</f>
        <v>20282.026119384056</v>
      </c>
      <c r="K547" s="455">
        <f t="shared" ca="1" si="53"/>
        <v>1941.3656459804918</v>
      </c>
      <c r="L547" s="455">
        <f t="shared" ca="1" si="54"/>
        <v>467869.12068129861</v>
      </c>
      <c r="M547" s="471">
        <f t="shared" si="56"/>
        <v>0.05</v>
      </c>
      <c r="N547" s="475">
        <f t="shared" si="57"/>
        <v>67693</v>
      </c>
    </row>
    <row r="548" spans="7:14" ht="11.25" customHeight="1" x14ac:dyDescent="0.3">
      <c r="G548" s="470">
        <f>G547+1</f>
        <v>46</v>
      </c>
      <c r="H548" s="470">
        <v>541</v>
      </c>
      <c r="I548" s="455">
        <f t="shared" ca="1" si="55"/>
        <v>467869.12068129861</v>
      </c>
      <c r="J548" s="455">
        <f t="array" ref="J548">IFERROR(INDEX('Retirement Calculator'!K:K,MATCH('Lorri 401b'!N548,'Retirement Calculator'!A:A,0),0),0)</f>
        <v>20282.026119384056</v>
      </c>
      <c r="K548" s="455">
        <f t="shared" ca="1" si="53"/>
        <v>1864.9462273413108</v>
      </c>
      <c r="L548" s="455">
        <f t="shared" ca="1" si="54"/>
        <v>449452.04078925587</v>
      </c>
      <c r="M548" s="471">
        <f t="shared" si="56"/>
        <v>0.05</v>
      </c>
      <c r="N548" s="475">
        <f t="shared" si="57"/>
        <v>67724</v>
      </c>
    </row>
    <row r="549" spans="7:14" ht="11.25" customHeight="1" x14ac:dyDescent="0.3">
      <c r="G549" s="470">
        <f t="shared" ref="G549:G559" si="60">G548</f>
        <v>46</v>
      </c>
      <c r="H549" s="470">
        <v>542</v>
      </c>
      <c r="I549" s="455">
        <f t="shared" ca="1" si="55"/>
        <v>449452.04078925587</v>
      </c>
      <c r="J549" s="455">
        <f t="array" ref="J549">IFERROR(INDEX('Retirement Calculator'!K:K,MATCH('Lorri 401b'!N549,'Retirement Calculator'!A:A,0),0),0)</f>
        <v>20282.026119384056</v>
      </c>
      <c r="K549" s="455">
        <f t="shared" ca="1" si="53"/>
        <v>1788.2083944577992</v>
      </c>
      <c r="L549" s="455">
        <f t="shared" ca="1" si="54"/>
        <v>430958.22306432965</v>
      </c>
      <c r="M549" s="471">
        <f t="shared" si="56"/>
        <v>0.05</v>
      </c>
      <c r="N549" s="475">
        <f t="shared" si="57"/>
        <v>67754</v>
      </c>
    </row>
    <row r="550" spans="7:14" ht="11.25" customHeight="1" x14ac:dyDescent="0.3">
      <c r="G550" s="470">
        <f t="shared" si="60"/>
        <v>46</v>
      </c>
      <c r="H550" s="470">
        <v>543</v>
      </c>
      <c r="I550" s="455">
        <f t="shared" ca="1" si="55"/>
        <v>430958.22306432965</v>
      </c>
      <c r="J550" s="455">
        <f t="array" ref="J550">IFERROR(INDEX('Retirement Calculator'!K:K,MATCH('Lorri 401b'!N550,'Retirement Calculator'!A:A,0),0),0)</f>
        <v>20282.026119384056</v>
      </c>
      <c r="K550" s="455">
        <f t="shared" ca="1" si="53"/>
        <v>1711.15082060394</v>
      </c>
      <c r="L550" s="455">
        <f t="shared" ca="1" si="54"/>
        <v>412387.34776554955</v>
      </c>
      <c r="M550" s="471">
        <f t="shared" si="56"/>
        <v>0.05</v>
      </c>
      <c r="N550" s="475">
        <f t="shared" si="57"/>
        <v>67785</v>
      </c>
    </row>
    <row r="551" spans="7:14" ht="11.25" customHeight="1" x14ac:dyDescent="0.3">
      <c r="G551" s="470">
        <f t="shared" si="60"/>
        <v>46</v>
      </c>
      <c r="H551" s="470">
        <v>544</v>
      </c>
      <c r="I551" s="455">
        <f t="shared" ca="1" si="55"/>
        <v>412387.34776554955</v>
      </c>
      <c r="J551" s="455">
        <f t="array" ref="J551">IFERROR(INDEX('Retirement Calculator'!K:K,MATCH('Lorri 401b'!N551,'Retirement Calculator'!A:A,0),0),0)</f>
        <v>20282.026119384056</v>
      </c>
      <c r="K551" s="455">
        <f t="shared" ca="1" si="53"/>
        <v>1633.7721735256896</v>
      </c>
      <c r="L551" s="455">
        <f t="shared" ca="1" si="54"/>
        <v>393739.09381969122</v>
      </c>
      <c r="M551" s="471">
        <f t="shared" si="56"/>
        <v>0.05</v>
      </c>
      <c r="N551" s="475">
        <f t="shared" si="57"/>
        <v>67816</v>
      </c>
    </row>
    <row r="552" spans="7:14" ht="11.25" customHeight="1" x14ac:dyDescent="0.3">
      <c r="G552" s="470">
        <f t="shared" si="60"/>
        <v>46</v>
      </c>
      <c r="H552" s="470">
        <v>545</v>
      </c>
      <c r="I552" s="455">
        <f t="shared" ca="1" si="55"/>
        <v>393739.09381969122</v>
      </c>
      <c r="J552" s="455">
        <f t="array" ref="J552">IFERROR(INDEX('Retirement Calculator'!K:K,MATCH('Lorri 401b'!N552,'Retirement Calculator'!A:A,0),0),0)</f>
        <v>20282.026119384056</v>
      </c>
      <c r="K552" s="455">
        <f t="shared" ca="1" si="53"/>
        <v>1556.0711154179467</v>
      </c>
      <c r="L552" s="455">
        <f t="shared" ca="1" si="54"/>
        <v>375013.13881572511</v>
      </c>
      <c r="M552" s="471">
        <f t="shared" si="56"/>
        <v>0.05</v>
      </c>
      <c r="N552" s="475">
        <f t="shared" si="57"/>
        <v>67846</v>
      </c>
    </row>
    <row r="553" spans="7:14" ht="11.25" customHeight="1" x14ac:dyDescent="0.3">
      <c r="G553" s="470">
        <f t="shared" si="60"/>
        <v>46</v>
      </c>
      <c r="H553" s="470">
        <v>546</v>
      </c>
      <c r="I553" s="455">
        <f t="shared" ca="1" si="55"/>
        <v>375013.13881572511</v>
      </c>
      <c r="J553" s="455">
        <f t="array" ref="J553">IFERROR(INDEX('Retirement Calculator'!K:K,MATCH('Lorri 401b'!N553,'Retirement Calculator'!A:A,0),0),0)</f>
        <v>20282.026119384056</v>
      </c>
      <c r="K553" s="455">
        <f t="shared" ca="1" si="53"/>
        <v>1478.0463029014211</v>
      </c>
      <c r="L553" s="455">
        <f t="shared" ca="1" si="54"/>
        <v>356209.15899924247</v>
      </c>
      <c r="M553" s="471">
        <f t="shared" si="56"/>
        <v>0.05</v>
      </c>
      <c r="N553" s="475">
        <f t="shared" si="57"/>
        <v>67877</v>
      </c>
    </row>
    <row r="554" spans="7:14" ht="11.25" customHeight="1" x14ac:dyDescent="0.3">
      <c r="G554" s="470">
        <f t="shared" si="60"/>
        <v>46</v>
      </c>
      <c r="H554" s="470">
        <v>547</v>
      </c>
      <c r="I554" s="455">
        <f t="shared" ca="1" si="55"/>
        <v>356209.15899924247</v>
      </c>
      <c r="J554" s="455">
        <f t="array" ref="J554">IFERROR(INDEX('Retirement Calculator'!K:K,MATCH('Lorri 401b'!N554,'Retirement Calculator'!A:A,0),0),0)</f>
        <v>20282.026119384056</v>
      </c>
      <c r="K554" s="455">
        <f t="shared" ca="1" si="53"/>
        <v>1399.6963869994102</v>
      </c>
      <c r="L554" s="455">
        <f t="shared" ca="1" si="54"/>
        <v>337326.82926685782</v>
      </c>
      <c r="M554" s="471">
        <f t="shared" si="56"/>
        <v>0.05</v>
      </c>
      <c r="N554" s="475">
        <f t="shared" si="57"/>
        <v>67907</v>
      </c>
    </row>
    <row r="555" spans="7:14" ht="11.25" customHeight="1" x14ac:dyDescent="0.3">
      <c r="G555" s="470">
        <f t="shared" si="60"/>
        <v>46</v>
      </c>
      <c r="H555" s="470">
        <v>548</v>
      </c>
      <c r="I555" s="455">
        <f t="shared" ca="1" si="55"/>
        <v>337326.82926685782</v>
      </c>
      <c r="J555" s="455">
        <f t="array" ref="J555">IFERROR(INDEX('Retirement Calculator'!K:K,MATCH('Lorri 401b'!N555,'Retirement Calculator'!A:A,0),0),0)</f>
        <v>20282.026119384056</v>
      </c>
      <c r="K555" s="455">
        <f t="shared" ca="1" si="53"/>
        <v>1321.0200131144741</v>
      </c>
      <c r="L555" s="455">
        <f t="shared" ca="1" si="54"/>
        <v>318365.82316058828</v>
      </c>
      <c r="M555" s="471">
        <f t="shared" si="56"/>
        <v>0.05</v>
      </c>
      <c r="N555" s="475">
        <f t="shared" si="57"/>
        <v>67938</v>
      </c>
    </row>
    <row r="556" spans="7:14" ht="11.25" customHeight="1" x14ac:dyDescent="0.3">
      <c r="G556" s="470">
        <f t="shared" si="60"/>
        <v>46</v>
      </c>
      <c r="H556" s="470">
        <v>549</v>
      </c>
      <c r="I556" s="455">
        <f t="shared" ca="1" si="55"/>
        <v>318365.82316058828</v>
      </c>
      <c r="J556" s="455">
        <f t="array" ref="J556">IFERROR(INDEX('Retirement Calculator'!K:K,MATCH('Lorri 401b'!N556,'Retirement Calculator'!A:A,0),0),0)</f>
        <v>20282.026119384056</v>
      </c>
      <c r="K556" s="455">
        <f t="shared" ca="1" si="53"/>
        <v>1242.0158210050176</v>
      </c>
      <c r="L556" s="455">
        <f t="shared" ca="1" si="54"/>
        <v>299325.81286220928</v>
      </c>
      <c r="M556" s="471">
        <f t="shared" si="56"/>
        <v>0.05</v>
      </c>
      <c r="N556" s="475">
        <f t="shared" si="57"/>
        <v>67969</v>
      </c>
    </row>
    <row r="557" spans="7:14" ht="11.25" customHeight="1" x14ac:dyDescent="0.3">
      <c r="G557" s="470">
        <f t="shared" si="60"/>
        <v>46</v>
      </c>
      <c r="H557" s="470">
        <v>550</v>
      </c>
      <c r="I557" s="455">
        <f t="shared" ca="1" si="55"/>
        <v>299325.81286220928</v>
      </c>
      <c r="J557" s="455">
        <f t="array" ref="J557">IFERROR(INDEX('Retirement Calculator'!K:K,MATCH('Lorri 401b'!N557,'Retirement Calculator'!A:A,0),0),0)</f>
        <v>20282.026119384056</v>
      </c>
      <c r="K557" s="455">
        <f t="shared" ca="1" si="53"/>
        <v>1162.6824447617719</v>
      </c>
      <c r="L557" s="455">
        <f t="shared" ca="1" si="54"/>
        <v>280206.46918758703</v>
      </c>
      <c r="M557" s="471">
        <f t="shared" si="56"/>
        <v>0.05</v>
      </c>
      <c r="N557" s="475">
        <f t="shared" si="57"/>
        <v>67997</v>
      </c>
    </row>
    <row r="558" spans="7:14" ht="11.25" customHeight="1" x14ac:dyDescent="0.3">
      <c r="G558" s="470">
        <f t="shared" si="60"/>
        <v>46</v>
      </c>
      <c r="H558" s="470">
        <v>551</v>
      </c>
      <c r="I558" s="455">
        <f t="shared" ca="1" si="55"/>
        <v>280206.46918758703</v>
      </c>
      <c r="J558" s="455">
        <f t="array" ref="J558">IFERROR(INDEX('Retirement Calculator'!K:K,MATCH('Lorri 401b'!N558,'Retirement Calculator'!A:A,0),0),0)</f>
        <v>20282.026119384056</v>
      </c>
      <c r="K558" s="455">
        <f t="shared" ca="1" si="53"/>
        <v>1083.0185127841792</v>
      </c>
      <c r="L558" s="455">
        <f t="shared" ca="1" si="54"/>
        <v>261007.46158098718</v>
      </c>
      <c r="M558" s="471">
        <f t="shared" si="56"/>
        <v>0.05</v>
      </c>
      <c r="N558" s="475">
        <f t="shared" si="57"/>
        <v>68028</v>
      </c>
    </row>
    <row r="559" spans="7:14" ht="11.25" customHeight="1" x14ac:dyDescent="0.3">
      <c r="G559" s="470">
        <f t="shared" si="60"/>
        <v>46</v>
      </c>
      <c r="H559" s="470">
        <v>552</v>
      </c>
      <c r="I559" s="455">
        <f t="shared" ca="1" si="55"/>
        <v>261007.46158098718</v>
      </c>
      <c r="J559" s="455">
        <f t="array" ref="J559">IFERROR(INDEX('Retirement Calculator'!K:K,MATCH('Lorri 401b'!N559,'Retirement Calculator'!A:A,0),0),0)</f>
        <v>20282.026119384056</v>
      </c>
      <c r="K559" s="455">
        <f t="shared" ca="1" si="53"/>
        <v>1003.0226477566796</v>
      </c>
      <c r="L559" s="455">
        <f t="shared" ca="1" si="54"/>
        <v>241728.45810935978</v>
      </c>
      <c r="M559" s="471">
        <f t="shared" si="56"/>
        <v>0.05</v>
      </c>
      <c r="N559" s="475">
        <f t="shared" si="57"/>
        <v>68058</v>
      </c>
    </row>
    <row r="560" spans="7:14" ht="11.25" customHeight="1" x14ac:dyDescent="0.3">
      <c r="G560" s="470">
        <f>G559+1</f>
        <v>47</v>
      </c>
      <c r="H560" s="470">
        <v>553</v>
      </c>
      <c r="I560" s="455">
        <f t="shared" ca="1" si="55"/>
        <v>241728.45810935978</v>
      </c>
      <c r="J560" s="455">
        <f t="array" ref="J560">IFERROR(INDEX('Retirement Calculator'!K:K,MATCH('Lorri 401b'!N560,'Retirement Calculator'!A:A,0),0),0)</f>
        <v>20282.026119384056</v>
      </c>
      <c r="K560" s="455">
        <f t="shared" ca="1" si="53"/>
        <v>922.69346662489886</v>
      </c>
      <c r="L560" s="455">
        <f t="shared" ca="1" si="54"/>
        <v>222369.12545660062</v>
      </c>
      <c r="M560" s="471">
        <f t="shared" si="56"/>
        <v>0.05</v>
      </c>
      <c r="N560" s="475">
        <f t="shared" si="57"/>
        <v>68089</v>
      </c>
    </row>
    <row r="561" spans="7:14" ht="11.25" customHeight="1" x14ac:dyDescent="0.3">
      <c r="G561" s="470">
        <f t="shared" ref="G561:G571" si="61">G560</f>
        <v>47</v>
      </c>
      <c r="H561" s="470">
        <v>554</v>
      </c>
      <c r="I561" s="455">
        <f t="shared" ca="1" si="55"/>
        <v>222369.12545660062</v>
      </c>
      <c r="J561" s="455">
        <f t="array" ref="J561">IFERROR(INDEX('Retirement Calculator'!K:K,MATCH('Lorri 401b'!N561,'Retirement Calculator'!A:A,0),0),0)</f>
        <v>20282.026119384056</v>
      </c>
      <c r="K561" s="455">
        <f t="shared" ca="1" si="53"/>
        <v>842.02958057173578</v>
      </c>
      <c r="L561" s="455">
        <f t="shared" ca="1" si="54"/>
        <v>202929.12891778833</v>
      </c>
      <c r="M561" s="471">
        <f t="shared" si="56"/>
        <v>0.05</v>
      </c>
      <c r="N561" s="475">
        <f t="shared" si="57"/>
        <v>68119</v>
      </c>
    </row>
    <row r="562" spans="7:14" ht="11.25" customHeight="1" x14ac:dyDescent="0.3">
      <c r="G562" s="470">
        <f t="shared" si="61"/>
        <v>47</v>
      </c>
      <c r="H562" s="470">
        <v>555</v>
      </c>
      <c r="I562" s="455">
        <f t="shared" ca="1" si="55"/>
        <v>202929.12891778833</v>
      </c>
      <c r="J562" s="455">
        <f t="array" ref="J562">IFERROR(INDEX('Retirement Calculator'!K:K,MATCH('Lorri 401b'!N562,'Retirement Calculator'!A:A,0),0),0)</f>
        <v>20282.026119384056</v>
      </c>
      <c r="K562" s="455">
        <f t="shared" ca="1" si="53"/>
        <v>761.02959499335122</v>
      </c>
      <c r="L562" s="455">
        <f t="shared" ca="1" si="54"/>
        <v>183408.13239339765</v>
      </c>
      <c r="M562" s="471">
        <f t="shared" si="56"/>
        <v>0.05</v>
      </c>
      <c r="N562" s="475">
        <f t="shared" si="57"/>
        <v>68150</v>
      </c>
    </row>
    <row r="563" spans="7:14" ht="11.25" customHeight="1" x14ac:dyDescent="0.3">
      <c r="G563" s="470">
        <f t="shared" si="61"/>
        <v>47</v>
      </c>
      <c r="H563" s="470">
        <v>556</v>
      </c>
      <c r="I563" s="455">
        <f t="shared" ca="1" si="55"/>
        <v>183408.13239339765</v>
      </c>
      <c r="J563" s="455">
        <f t="array" ref="J563">IFERROR(INDEX('Retirement Calculator'!K:K,MATCH('Lorri 401b'!N563,'Retirement Calculator'!A:A,0),0),0)</f>
        <v>20282.026119384056</v>
      </c>
      <c r="K563" s="455">
        <f t="shared" ca="1" si="53"/>
        <v>679.69210947505655</v>
      </c>
      <c r="L563" s="455">
        <f t="shared" ca="1" si="54"/>
        <v>163805.79838348864</v>
      </c>
      <c r="M563" s="471">
        <f t="shared" si="56"/>
        <v>0.05</v>
      </c>
      <c r="N563" s="475">
        <f t="shared" si="57"/>
        <v>68181</v>
      </c>
    </row>
    <row r="564" spans="7:14" ht="11.25" customHeight="1" x14ac:dyDescent="0.3">
      <c r="G564" s="470">
        <f t="shared" si="61"/>
        <v>47</v>
      </c>
      <c r="H564" s="470">
        <v>557</v>
      </c>
      <c r="I564" s="455">
        <f t="shared" ca="1" si="55"/>
        <v>163805.79838348864</v>
      </c>
      <c r="J564" s="455">
        <f t="array" ref="J564">IFERROR(INDEX('Retirement Calculator'!K:K,MATCH('Lorri 401b'!N564,'Retirement Calculator'!A:A,0),0),0)</f>
        <v>20282.026119384056</v>
      </c>
      <c r="K564" s="455">
        <f t="shared" ca="1" si="53"/>
        <v>598.01571776710239</v>
      </c>
      <c r="L564" s="455">
        <f t="shared" ca="1" si="54"/>
        <v>144121.78798187166</v>
      </c>
      <c r="M564" s="471">
        <f t="shared" si="56"/>
        <v>0.05</v>
      </c>
      <c r="N564" s="475">
        <f t="shared" si="57"/>
        <v>68211</v>
      </c>
    </row>
    <row r="565" spans="7:14" ht="11.25" customHeight="1" x14ac:dyDescent="0.3">
      <c r="G565" s="470">
        <f t="shared" si="61"/>
        <v>47</v>
      </c>
      <c r="H565" s="470">
        <v>558</v>
      </c>
      <c r="I565" s="455">
        <f t="shared" ca="1" si="55"/>
        <v>144121.78798187166</v>
      </c>
      <c r="J565" s="455">
        <f t="array" ref="J565">IFERROR(INDEX('Retirement Calculator'!K:K,MATCH('Lorri 401b'!N565,'Retirement Calculator'!A:A,0),0),0)</f>
        <v>20282.026119384056</v>
      </c>
      <c r="K565" s="455">
        <f t="shared" ca="1" si="53"/>
        <v>515.99900776036498</v>
      </c>
      <c r="L565" s="455">
        <f t="shared" ca="1" si="54"/>
        <v>124355.76087024796</v>
      </c>
      <c r="M565" s="471">
        <f t="shared" si="56"/>
        <v>0.05</v>
      </c>
      <c r="N565" s="475">
        <f t="shared" si="57"/>
        <v>68242</v>
      </c>
    </row>
    <row r="566" spans="7:14" ht="11.25" customHeight="1" x14ac:dyDescent="0.3">
      <c r="G566" s="470">
        <f t="shared" si="61"/>
        <v>47</v>
      </c>
      <c r="H566" s="470">
        <v>559</v>
      </c>
      <c r="I566" s="455">
        <f t="shared" ca="1" si="55"/>
        <v>124355.76087024796</v>
      </c>
      <c r="J566" s="455">
        <f t="array" ref="J566">IFERROR(INDEX('Retirement Calculator'!K:K,MATCH('Lorri 401b'!N566,'Retirement Calculator'!A:A,0),0),0)</f>
        <v>20282.026119384056</v>
      </c>
      <c r="K566" s="455">
        <f t="shared" ca="1" si="53"/>
        <v>433.64056146193286</v>
      </c>
      <c r="L566" s="455">
        <f t="shared" ca="1" si="54"/>
        <v>104507.37531232584</v>
      </c>
      <c r="M566" s="471">
        <f t="shared" si="56"/>
        <v>0.05</v>
      </c>
      <c r="N566" s="475">
        <f t="shared" si="57"/>
        <v>68272</v>
      </c>
    </row>
    <row r="567" spans="7:14" ht="11.25" customHeight="1" x14ac:dyDescent="0.3">
      <c r="G567" s="470">
        <f t="shared" si="61"/>
        <v>47</v>
      </c>
      <c r="H567" s="470">
        <v>560</v>
      </c>
      <c r="I567" s="455">
        <f t="shared" ca="1" si="55"/>
        <v>104507.37531232584</v>
      </c>
      <c r="J567" s="455">
        <f t="array" ref="J567">IFERROR(INDEX('Retirement Calculator'!K:K,MATCH('Lorri 401b'!N567,'Retirement Calculator'!A:A,0),0),0)</f>
        <v>20282.026119384056</v>
      </c>
      <c r="K567" s="455">
        <f t="shared" ca="1" si="53"/>
        <v>350.93895497059077</v>
      </c>
      <c r="L567" s="455">
        <f t="shared" ca="1" si="54"/>
        <v>84576.288147912375</v>
      </c>
      <c r="M567" s="471">
        <f t="shared" si="56"/>
        <v>0.05</v>
      </c>
      <c r="N567" s="475">
        <f t="shared" si="57"/>
        <v>68303</v>
      </c>
    </row>
    <row r="568" spans="7:14" ht="11.25" customHeight="1" x14ac:dyDescent="0.3">
      <c r="G568" s="470">
        <f t="shared" si="61"/>
        <v>47</v>
      </c>
      <c r="H568" s="470">
        <v>561</v>
      </c>
      <c r="I568" s="455">
        <f t="shared" ca="1" si="55"/>
        <v>84576.288147912375</v>
      </c>
      <c r="J568" s="455">
        <f t="array" ref="J568">IFERROR(INDEX('Retirement Calculator'!K:K,MATCH('Lorri 401b'!N568,'Retirement Calculator'!A:A,0),0),0)</f>
        <v>20282.026119384056</v>
      </c>
      <c r="K568" s="455">
        <f t="shared" ca="1" si="53"/>
        <v>267.89275845220135</v>
      </c>
      <c r="L568" s="455">
        <f t="shared" ca="1" si="54"/>
        <v>64562.154786980522</v>
      </c>
      <c r="M568" s="471">
        <f t="shared" si="56"/>
        <v>0.05</v>
      </c>
      <c r="N568" s="475">
        <f t="shared" si="57"/>
        <v>68334</v>
      </c>
    </row>
    <row r="569" spans="7:14" ht="11.25" customHeight="1" x14ac:dyDescent="0.3">
      <c r="G569" s="470">
        <f t="shared" si="61"/>
        <v>47</v>
      </c>
      <c r="H569" s="470">
        <v>562</v>
      </c>
      <c r="I569" s="455">
        <f t="shared" ca="1" si="55"/>
        <v>64562.154786980522</v>
      </c>
      <c r="J569" s="455">
        <f t="array" ref="J569">IFERROR(INDEX('Retirement Calculator'!K:K,MATCH('Lorri 401b'!N569,'Retirement Calculator'!A:A,0),0),0)</f>
        <v>20282.026119384056</v>
      </c>
      <c r="K569" s="455">
        <f t="shared" ca="1" si="53"/>
        <v>184.50053611498527</v>
      </c>
      <c r="L569" s="455">
        <f t="shared" ca="1" si="54"/>
        <v>44464.629203711454</v>
      </c>
      <c r="M569" s="471">
        <f t="shared" si="56"/>
        <v>0.05</v>
      </c>
      <c r="N569" s="475">
        <f t="shared" si="57"/>
        <v>68362</v>
      </c>
    </row>
    <row r="570" spans="7:14" ht="11.25" customHeight="1" x14ac:dyDescent="0.3">
      <c r="G570" s="470">
        <f t="shared" si="61"/>
        <v>47</v>
      </c>
      <c r="H570" s="470">
        <v>563</v>
      </c>
      <c r="I570" s="455">
        <f t="shared" ca="1" si="55"/>
        <v>44464.629203711454</v>
      </c>
      <c r="J570" s="455">
        <f t="array" ref="J570">IFERROR(INDEX('Retirement Calculator'!K:K,MATCH('Lorri 401b'!N570,'Retirement Calculator'!A:A,0),0),0)</f>
        <v>20282.026119384056</v>
      </c>
      <c r="K570" s="455">
        <f t="shared" ca="1" si="53"/>
        <v>100.7608461846975</v>
      </c>
      <c r="L570" s="455">
        <f t="shared" ca="1" si="54"/>
        <v>24283.363930512096</v>
      </c>
      <c r="M570" s="471">
        <f t="shared" si="56"/>
        <v>0.05</v>
      </c>
      <c r="N570" s="475">
        <f t="shared" si="57"/>
        <v>68393</v>
      </c>
    </row>
    <row r="571" spans="7:14" ht="11.25" customHeight="1" x14ac:dyDescent="0.3">
      <c r="G571" s="470">
        <f t="shared" si="61"/>
        <v>47</v>
      </c>
      <c r="H571" s="470">
        <v>564</v>
      </c>
      <c r="I571" s="455">
        <f t="shared" ca="1" si="55"/>
        <v>24283.363930512096</v>
      </c>
      <c r="J571" s="455">
        <f t="array" ref="J571">IFERROR(INDEX('Retirement Calculator'!K:K,MATCH('Lorri 401b'!N571,'Retirement Calculator'!A:A,0),0),0)</f>
        <v>20282.026119384056</v>
      </c>
      <c r="K571" s="455">
        <f t="shared" ca="1" si="53"/>
        <v>16.672240879700166</v>
      </c>
      <c r="L571" s="455">
        <f t="shared" ca="1" si="54"/>
        <v>4018.0100520077399</v>
      </c>
      <c r="M571" s="471">
        <f t="shared" si="56"/>
        <v>0.05</v>
      </c>
      <c r="N571" s="475">
        <f t="shared" si="57"/>
        <v>68423</v>
      </c>
    </row>
    <row r="572" spans="7:14" ht="11.25" customHeight="1" x14ac:dyDescent="0.3">
      <c r="G572" s="470">
        <f>G571+1</f>
        <v>48</v>
      </c>
      <c r="H572" s="470">
        <v>565</v>
      </c>
      <c r="I572" s="455">
        <f t="shared" ca="1" si="55"/>
        <v>4018.0100520077399</v>
      </c>
      <c r="J572" s="455">
        <f t="array" ref="J572">IFERROR(INDEX('Retirement Calculator'!K:K,MATCH('Lorri 401b'!N572,'Retirement Calculator'!A:A,0),0),0)</f>
        <v>20282.026119384056</v>
      </c>
      <c r="K572" s="455">
        <f t="shared" ca="1" si="53"/>
        <v>-67.766733614067988</v>
      </c>
      <c r="L572" s="455">
        <f t="shared" ca="1" si="54"/>
        <v>-16331.782800990384</v>
      </c>
      <c r="M572" s="471">
        <f t="shared" si="56"/>
        <v>0.05</v>
      </c>
      <c r="N572" s="475">
        <f t="shared" si="57"/>
        <v>68454</v>
      </c>
    </row>
    <row r="573" spans="7:14" ht="11.25" customHeight="1" x14ac:dyDescent="0.3">
      <c r="G573" s="470">
        <f t="shared" ref="G573:G583" si="62">G572</f>
        <v>48</v>
      </c>
      <c r="H573" s="470">
        <v>566</v>
      </c>
      <c r="I573" s="455">
        <f t="shared" ca="1" si="55"/>
        <v>-16331.782800990384</v>
      </c>
      <c r="J573" s="455">
        <f t="array" ref="J573">IFERROR(INDEX('Retirement Calculator'!K:K,MATCH('Lorri 401b'!N573,'Retirement Calculator'!A:A,0),0),0)</f>
        <v>20282.026119384056</v>
      </c>
      <c r="K573" s="455">
        <f t="shared" ca="1" si="53"/>
        <v>-152.55753716822682</v>
      </c>
      <c r="L573" s="455">
        <f t="shared" ca="1" si="54"/>
        <v>-36766.366457542666</v>
      </c>
      <c r="M573" s="471">
        <f t="shared" si="56"/>
        <v>0.05</v>
      </c>
      <c r="N573" s="475">
        <f t="shared" si="57"/>
        <v>68484</v>
      </c>
    </row>
    <row r="574" spans="7:14" ht="11.25" customHeight="1" x14ac:dyDescent="0.3">
      <c r="G574" s="470">
        <f t="shared" si="62"/>
        <v>48</v>
      </c>
      <c r="H574" s="470">
        <v>567</v>
      </c>
      <c r="I574" s="455">
        <f t="shared" ca="1" si="55"/>
        <v>-36766.366457542666</v>
      </c>
      <c r="J574" s="455">
        <f t="array" ref="J574">IFERROR(INDEX('Retirement Calculator'!K:K,MATCH('Lorri 401b'!N574,'Retirement Calculator'!A:A,0),0),0)</f>
        <v>20282.026119384056</v>
      </c>
      <c r="K574" s="455">
        <f t="shared" ca="1" si="53"/>
        <v>-237.70163573719466</v>
      </c>
      <c r="L574" s="455">
        <f t="shared" ca="1" si="54"/>
        <v>-57286.09421266392</v>
      </c>
      <c r="M574" s="471">
        <f t="shared" si="56"/>
        <v>0.05</v>
      </c>
      <c r="N574" s="475">
        <f t="shared" si="57"/>
        <v>68515</v>
      </c>
    </row>
    <row r="575" spans="7:14" ht="11.25" customHeight="1" x14ac:dyDescent="0.3">
      <c r="G575" s="470">
        <f t="shared" si="62"/>
        <v>48</v>
      </c>
      <c r="H575" s="470">
        <v>568</v>
      </c>
      <c r="I575" s="455">
        <f t="shared" ca="1" si="55"/>
        <v>-57286.09421266392</v>
      </c>
      <c r="J575" s="455">
        <f t="array" ref="J575">IFERROR(INDEX('Retirement Calculator'!K:K,MATCH('Lorri 401b'!N575,'Retirement Calculator'!A:A,0),0),0)</f>
        <v>20282.026119384056</v>
      </c>
      <c r="K575" s="455">
        <f t="shared" ca="1" si="53"/>
        <v>-323.20050138353326</v>
      </c>
      <c r="L575" s="455">
        <f t="shared" ca="1" si="54"/>
        <v>-77891.320833431513</v>
      </c>
      <c r="M575" s="471">
        <f t="shared" si="56"/>
        <v>0.05</v>
      </c>
      <c r="N575" s="475">
        <f t="shared" si="57"/>
        <v>68546</v>
      </c>
    </row>
    <row r="576" spans="7:14" ht="11.25" customHeight="1" x14ac:dyDescent="0.3">
      <c r="G576" s="470">
        <f t="shared" si="62"/>
        <v>48</v>
      </c>
      <c r="H576" s="470">
        <v>569</v>
      </c>
      <c r="I576" s="455">
        <f t="shared" ca="1" si="55"/>
        <v>-77891.320833431513</v>
      </c>
      <c r="J576" s="455">
        <f t="array" ref="J576">IFERROR(INDEX('Retirement Calculator'!K:K,MATCH('Lorri 401b'!N576,'Retirement Calculator'!A:A,0),0),0)</f>
        <v>20282.026119384056</v>
      </c>
      <c r="K576" s="455">
        <f t="shared" ca="1" si="53"/>
        <v>-409.05561230339822</v>
      </c>
      <c r="L576" s="455">
        <f t="shared" ca="1" si="54"/>
        <v>-98582.402565118973</v>
      </c>
      <c r="M576" s="471">
        <f t="shared" si="56"/>
        <v>0.05</v>
      </c>
      <c r="N576" s="475">
        <f t="shared" si="57"/>
        <v>68576</v>
      </c>
    </row>
    <row r="577" spans="7:14" ht="11.25" customHeight="1" x14ac:dyDescent="0.3">
      <c r="G577" s="470">
        <f t="shared" si="62"/>
        <v>48</v>
      </c>
      <c r="H577" s="470">
        <v>570</v>
      </c>
      <c r="I577" s="455">
        <f t="shared" ca="1" si="55"/>
        <v>-98582.402565118973</v>
      </c>
      <c r="J577" s="455">
        <f t="array" ref="J577">IFERROR(INDEX('Retirement Calculator'!K:K,MATCH('Lorri 401b'!N577,'Retirement Calculator'!A:A,0),0),0)</f>
        <v>20282.026119384056</v>
      </c>
      <c r="K577" s="455">
        <f t="shared" ca="1" si="53"/>
        <v>-495.26845285209595</v>
      </c>
      <c r="L577" s="455">
        <f t="shared" ca="1" si="54"/>
        <v>-119359.69713735512</v>
      </c>
      <c r="M577" s="471">
        <f t="shared" si="56"/>
        <v>0.05</v>
      </c>
      <c r="N577" s="475">
        <f t="shared" si="57"/>
        <v>68607</v>
      </c>
    </row>
    <row r="578" spans="7:14" ht="11.25" customHeight="1" x14ac:dyDescent="0.3">
      <c r="G578" s="470">
        <f t="shared" si="62"/>
        <v>48</v>
      </c>
      <c r="H578" s="470">
        <v>571</v>
      </c>
      <c r="I578" s="455">
        <f t="shared" ca="1" si="55"/>
        <v>-119359.69713735512</v>
      </c>
      <c r="J578" s="455">
        <f t="array" ref="J578">IFERROR(INDEX('Retirement Calculator'!K:K,MATCH('Lorri 401b'!N578,'Retirement Calculator'!A:A,0),0),0)</f>
        <v>20282.026119384056</v>
      </c>
      <c r="K578" s="455">
        <f t="shared" ca="1" si="53"/>
        <v>-581.84051356974658</v>
      </c>
      <c r="L578" s="455">
        <f t="shared" ca="1" si="54"/>
        <v>-140223.56377030892</v>
      </c>
      <c r="M578" s="471">
        <f t="shared" si="56"/>
        <v>0.05</v>
      </c>
      <c r="N578" s="475">
        <f t="shared" si="57"/>
        <v>68637</v>
      </c>
    </row>
    <row r="579" spans="7:14" ht="11.25" customHeight="1" x14ac:dyDescent="0.3">
      <c r="G579" s="470">
        <f t="shared" si="62"/>
        <v>48</v>
      </c>
      <c r="H579" s="470">
        <v>572</v>
      </c>
      <c r="I579" s="455">
        <f t="shared" ca="1" si="55"/>
        <v>-140223.56377030892</v>
      </c>
      <c r="J579" s="455">
        <f t="array" ref="J579">IFERROR(INDEX('Retirement Calculator'!K:K,MATCH('Lorri 401b'!N579,'Retirement Calculator'!A:A,0),0),0)</f>
        <v>20282.026119384056</v>
      </c>
      <c r="K579" s="455">
        <f t="shared" ca="1" si="53"/>
        <v>-668.77329120705394</v>
      </c>
      <c r="L579" s="455">
        <f t="shared" ca="1" si="54"/>
        <v>-161174.36318090002</v>
      </c>
      <c r="M579" s="471">
        <f t="shared" si="56"/>
        <v>0.05</v>
      </c>
      <c r="N579" s="475">
        <f t="shared" si="57"/>
        <v>68668</v>
      </c>
    </row>
    <row r="580" spans="7:14" ht="11.25" customHeight="1" x14ac:dyDescent="0.3">
      <c r="G580" s="470">
        <f t="shared" si="62"/>
        <v>48</v>
      </c>
      <c r="H580" s="470">
        <v>573</v>
      </c>
      <c r="I580" s="455">
        <f t="shared" ca="1" si="55"/>
        <v>-161174.36318090002</v>
      </c>
      <c r="J580" s="455">
        <f t="array" ref="J580">IFERROR(INDEX('Retirement Calculator'!K:K,MATCH('Lorri 401b'!N580,'Retirement Calculator'!A:A,0),0),0)</f>
        <v>20282.026119384056</v>
      </c>
      <c r="K580" s="455">
        <f t="shared" ca="1" si="53"/>
        <v>-756.06828875118367</v>
      </c>
      <c r="L580" s="455">
        <f t="shared" ca="1" si="54"/>
        <v>-182212.45758903527</v>
      </c>
      <c r="M580" s="471">
        <f t="shared" si="56"/>
        <v>0.05</v>
      </c>
      <c r="N580" s="475">
        <f t="shared" si="57"/>
        <v>68699</v>
      </c>
    </row>
    <row r="581" spans="7:14" ht="11.25" customHeight="1" x14ac:dyDescent="0.3">
      <c r="G581" s="470">
        <f t="shared" si="62"/>
        <v>48</v>
      </c>
      <c r="H581" s="470">
        <v>574</v>
      </c>
      <c r="I581" s="455">
        <f t="shared" ca="1" si="55"/>
        <v>-182212.45758903527</v>
      </c>
      <c r="J581" s="455">
        <f t="array" ref="J581">IFERROR(INDEX('Retirement Calculator'!K:K,MATCH('Lorri 401b'!N581,'Retirement Calculator'!A:A,0),0),0)</f>
        <v>20282.026119384056</v>
      </c>
      <c r="K581" s="455">
        <f t="shared" ca="1" si="53"/>
        <v>-843.72701545174709</v>
      </c>
      <c r="L581" s="455">
        <f t="shared" ca="1" si="54"/>
        <v>-203338.21072387107</v>
      </c>
      <c r="M581" s="471">
        <f t="shared" si="56"/>
        <v>0.05</v>
      </c>
      <c r="N581" s="475">
        <f t="shared" si="57"/>
        <v>68728</v>
      </c>
    </row>
    <row r="582" spans="7:14" ht="11.25" customHeight="1" x14ac:dyDescent="0.3">
      <c r="G582" s="470">
        <f t="shared" si="62"/>
        <v>48</v>
      </c>
      <c r="H582" s="470">
        <v>575</v>
      </c>
      <c r="I582" s="455">
        <f t="shared" ca="1" si="55"/>
        <v>-203338.21072387107</v>
      </c>
      <c r="J582" s="455">
        <f t="array" ref="J582">IFERROR(INDEX('Retirement Calculator'!K:K,MATCH('Lorri 401b'!N582,'Retirement Calculator'!A:A,0),0),0)</f>
        <v>20282.026119384056</v>
      </c>
      <c r="K582" s="455">
        <f t="shared" ca="1" si="53"/>
        <v>-931.75098684689647</v>
      </c>
      <c r="L582" s="455">
        <f t="shared" ca="1" si="54"/>
        <v>-224551.98783010201</v>
      </c>
      <c r="M582" s="471">
        <f t="shared" si="56"/>
        <v>0.05</v>
      </c>
      <c r="N582" s="475">
        <f t="shared" si="57"/>
        <v>68759</v>
      </c>
    </row>
    <row r="583" spans="7:14" ht="11.25" customHeight="1" x14ac:dyDescent="0.3">
      <c r="G583" s="470">
        <f t="shared" si="62"/>
        <v>48</v>
      </c>
      <c r="H583" s="470">
        <v>576</v>
      </c>
      <c r="I583" s="455">
        <f t="shared" ca="1" si="55"/>
        <v>-224551.98783010201</v>
      </c>
      <c r="J583" s="455">
        <f t="array" ref="J583">IFERROR(INDEX('Retirement Calculator'!K:K,MATCH('Lorri 401b'!N583,'Retirement Calculator'!A:A,0),0),0)</f>
        <v>20282.026119384056</v>
      </c>
      <c r="K583" s="455">
        <f t="shared" ca="1" si="53"/>
        <v>-1020.1417247895253</v>
      </c>
      <c r="L583" s="455">
        <f t="shared" ca="1" si="54"/>
        <v>-245854.15567427559</v>
      </c>
      <c r="M583" s="471">
        <f t="shared" si="56"/>
        <v>0.05</v>
      </c>
      <c r="N583" s="475">
        <f t="shared" si="57"/>
        <v>68789</v>
      </c>
    </row>
    <row r="584" spans="7:14" ht="11.25" customHeight="1" x14ac:dyDescent="0.3">
      <c r="G584" s="470">
        <f>G583+1</f>
        <v>49</v>
      </c>
      <c r="H584" s="470">
        <v>577</v>
      </c>
      <c r="I584" s="455">
        <f t="shared" ca="1" si="55"/>
        <v>-245854.15567427559</v>
      </c>
      <c r="J584" s="455">
        <f t="array" ref="J584">IFERROR(INDEX('Retirement Calculator'!K:K,MATCH('Lorri 401b'!N584,'Retirement Calculator'!A:A,0),0),0)</f>
        <v>20282.026119384056</v>
      </c>
      <c r="K584" s="455">
        <f t="shared" ca="1" si="53"/>
        <v>-1108.9007574735817</v>
      </c>
      <c r="L584" s="455">
        <f t="shared" ca="1" si="54"/>
        <v>-267245.08255113324</v>
      </c>
      <c r="M584" s="471">
        <f t="shared" si="56"/>
        <v>0.05</v>
      </c>
      <c r="N584" s="475">
        <f t="shared" si="57"/>
        <v>68820</v>
      </c>
    </row>
    <row r="585" spans="7:14" ht="11.25" customHeight="1" x14ac:dyDescent="0.3">
      <c r="G585" s="470">
        <f t="shared" ref="G585:G595" si="63">G584</f>
        <v>49</v>
      </c>
      <c r="H585" s="470">
        <v>578</v>
      </c>
      <c r="I585" s="455">
        <f t="shared" ca="1" si="55"/>
        <v>-267245.08255113324</v>
      </c>
      <c r="J585" s="455">
        <f t="array" ref="J585">IFERROR(INDEX('Retirement Calculator'!K:K,MATCH('Lorri 401b'!N585,'Retirement Calculator'!A:A,0),0),0)</f>
        <v>20282.026119384056</v>
      </c>
      <c r="K585" s="455">
        <f t="shared" ca="1" si="53"/>
        <v>-1198.0296194604887</v>
      </c>
      <c r="L585" s="455">
        <f t="shared" ca="1" si="54"/>
        <v>-288725.13828997774</v>
      </c>
      <c r="M585" s="471">
        <f t="shared" si="56"/>
        <v>0.05</v>
      </c>
      <c r="N585" s="475">
        <f t="shared" si="57"/>
        <v>68850</v>
      </c>
    </row>
    <row r="586" spans="7:14" ht="11.25" customHeight="1" x14ac:dyDescent="0.3">
      <c r="G586" s="470">
        <f t="shared" si="63"/>
        <v>49</v>
      </c>
      <c r="H586" s="470">
        <v>579</v>
      </c>
      <c r="I586" s="455">
        <f t="shared" ca="1" si="55"/>
        <v>-288725.13828997774</v>
      </c>
      <c r="J586" s="455">
        <f t="array" ref="J586">IFERROR(INDEX('Retirement Calculator'!K:K,MATCH('Lorri 401b'!N586,'Retirement Calculator'!A:A,0),0),0)</f>
        <v>20282.026119384056</v>
      </c>
      <c r="K586" s="455">
        <f t="shared" ca="1" si="53"/>
        <v>-1287.529851705674</v>
      </c>
      <c r="L586" s="455">
        <f t="shared" ca="1" si="54"/>
        <v>-310294.69426106743</v>
      </c>
      <c r="M586" s="471">
        <f t="shared" si="56"/>
        <v>0.05</v>
      </c>
      <c r="N586" s="475">
        <f t="shared" si="57"/>
        <v>68881</v>
      </c>
    </row>
    <row r="587" spans="7:14" ht="11.25" customHeight="1" x14ac:dyDescent="0.3">
      <c r="G587" s="470">
        <f t="shared" si="63"/>
        <v>49</v>
      </c>
      <c r="H587" s="470">
        <v>580</v>
      </c>
      <c r="I587" s="455">
        <f t="shared" ca="1" si="55"/>
        <v>-310294.69426106743</v>
      </c>
      <c r="J587" s="455">
        <f t="array" ref="J587">IFERROR(INDEX('Retirement Calculator'!K:K,MATCH('Lorri 401b'!N587,'Retirement Calculator'!A:A,0),0),0)</f>
        <v>20282.026119384056</v>
      </c>
      <c r="K587" s="455">
        <f t="shared" ca="1" si="53"/>
        <v>-1377.4030015852145</v>
      </c>
      <c r="L587" s="455">
        <f t="shared" ca="1" si="54"/>
        <v>-331954.12338203669</v>
      </c>
      <c r="M587" s="471">
        <f t="shared" si="56"/>
        <v>0.05</v>
      </c>
      <c r="N587" s="475">
        <f t="shared" si="57"/>
        <v>68912</v>
      </c>
    </row>
    <row r="588" spans="7:14" ht="11.25" customHeight="1" x14ac:dyDescent="0.3">
      <c r="G588" s="470">
        <f t="shared" si="63"/>
        <v>49</v>
      </c>
      <c r="H588" s="470">
        <v>581</v>
      </c>
      <c r="I588" s="455">
        <f t="shared" ca="1" si="55"/>
        <v>-331954.12338203669</v>
      </c>
      <c r="J588" s="455">
        <f t="array" ref="J588">IFERROR(INDEX('Retirement Calculator'!K:K,MATCH('Lorri 401b'!N588,'Retirement Calculator'!A:A,0),0),0)</f>
        <v>20282.026119384056</v>
      </c>
      <c r="K588" s="455">
        <f t="shared" ca="1" si="53"/>
        <v>-1467.6506229225863</v>
      </c>
      <c r="L588" s="455">
        <f t="shared" ca="1" si="54"/>
        <v>-353703.80012434331</v>
      </c>
      <c r="M588" s="471">
        <f t="shared" si="56"/>
        <v>0.05</v>
      </c>
      <c r="N588" s="475">
        <f t="shared" si="57"/>
        <v>68942</v>
      </c>
    </row>
    <row r="589" spans="7:14" ht="11.25" customHeight="1" x14ac:dyDescent="0.3">
      <c r="G589" s="470">
        <f t="shared" si="63"/>
        <v>49</v>
      </c>
      <c r="H589" s="470">
        <v>582</v>
      </c>
      <c r="I589" s="455">
        <f t="shared" ca="1" si="55"/>
        <v>-353703.80012434331</v>
      </c>
      <c r="J589" s="455">
        <f t="array" ref="J589">IFERROR(INDEX('Retirement Calculator'!K:K,MATCH('Lorri 401b'!N589,'Retirement Calculator'!A:A,0),0),0)</f>
        <v>20282.026119384056</v>
      </c>
      <c r="K589" s="455">
        <f t="shared" ca="1" si="53"/>
        <v>-1558.2742760155306</v>
      </c>
      <c r="L589" s="455">
        <f t="shared" ca="1" si="54"/>
        <v>-375544.10051974287</v>
      </c>
      <c r="M589" s="471">
        <f t="shared" si="56"/>
        <v>0.05</v>
      </c>
      <c r="N589" s="475">
        <f t="shared" si="57"/>
        <v>68973</v>
      </c>
    </row>
    <row r="590" spans="7:14" ht="11.25" customHeight="1" x14ac:dyDescent="0.3">
      <c r="G590" s="470">
        <f t="shared" si="63"/>
        <v>49</v>
      </c>
      <c r="H590" s="470">
        <v>583</v>
      </c>
      <c r="I590" s="455">
        <f t="shared" ca="1" si="55"/>
        <v>-375544.10051974287</v>
      </c>
      <c r="J590" s="455">
        <f t="array" ref="J590">IFERROR(INDEX('Retirement Calculator'!K:K,MATCH('Lorri 401b'!N590,'Retirement Calculator'!A:A,0),0),0)</f>
        <v>20282.026119384056</v>
      </c>
      <c r="K590" s="455">
        <f t="shared" ca="1" si="53"/>
        <v>-1649.2755276630287</v>
      </c>
      <c r="L590" s="455">
        <f t="shared" ca="1" si="54"/>
        <v>-397475.40216678992</v>
      </c>
      <c r="M590" s="471">
        <f t="shared" si="56"/>
        <v>0.05</v>
      </c>
      <c r="N590" s="475">
        <f t="shared" si="57"/>
        <v>69003</v>
      </c>
    </row>
    <row r="591" spans="7:14" ht="11.25" customHeight="1" x14ac:dyDescent="0.3">
      <c r="G591" s="470">
        <f t="shared" si="63"/>
        <v>49</v>
      </c>
      <c r="H591" s="470">
        <v>584</v>
      </c>
      <c r="I591" s="455">
        <f t="shared" ca="1" si="55"/>
        <v>-397475.40216678992</v>
      </c>
      <c r="J591" s="455">
        <f t="array" ref="J591">IFERROR(INDEX('Retirement Calculator'!K:K,MATCH('Lorri 401b'!N591,'Retirement Calculator'!A:A,0),0),0)</f>
        <v>20282.026119384056</v>
      </c>
      <c r="K591" s="455">
        <f t="shared" ca="1" si="53"/>
        <v>-1740.6559511923917</v>
      </c>
      <c r="L591" s="455">
        <f t="shared" ca="1" si="54"/>
        <v>-419498.08423736633</v>
      </c>
      <c r="M591" s="471">
        <f t="shared" si="56"/>
        <v>0.05</v>
      </c>
      <c r="N591" s="475">
        <f t="shared" si="57"/>
        <v>69034</v>
      </c>
    </row>
    <row r="592" spans="7:14" ht="11.25" customHeight="1" x14ac:dyDescent="0.3">
      <c r="G592" s="470">
        <f t="shared" si="63"/>
        <v>49</v>
      </c>
      <c r="H592" s="470">
        <v>585</v>
      </c>
      <c r="I592" s="455">
        <f t="shared" ca="1" si="55"/>
        <v>-419498.08423736633</v>
      </c>
      <c r="J592" s="455">
        <f t="array" ref="J592">IFERROR(INDEX('Retirement Calculator'!K:K,MATCH('Lorri 401b'!N592,'Retirement Calculator'!A:A,0),0),0)</f>
        <v>20282.026119384056</v>
      </c>
      <c r="K592" s="455">
        <f t="shared" ca="1" si="53"/>
        <v>-1832.4171264864599</v>
      </c>
      <c r="L592" s="455">
        <f t="shared" ca="1" si="54"/>
        <v>-441612.52748323686</v>
      </c>
      <c r="M592" s="471">
        <f t="shared" si="56"/>
        <v>0.05</v>
      </c>
      <c r="N592" s="475">
        <f t="shared" si="57"/>
        <v>69065</v>
      </c>
    </row>
    <row r="593" spans="7:14" ht="11.25" customHeight="1" x14ac:dyDescent="0.3">
      <c r="G593" s="470">
        <f t="shared" si="63"/>
        <v>49</v>
      </c>
      <c r="H593" s="470">
        <v>586</v>
      </c>
      <c r="I593" s="455">
        <f t="shared" ca="1" si="55"/>
        <v>-441612.52748323686</v>
      </c>
      <c r="J593" s="455">
        <f t="array" ref="J593">IFERROR(INDEX('Retirement Calculator'!K:K,MATCH('Lorri 401b'!N593,'Retirement Calculator'!A:A,0),0),0)</f>
        <v>20282.026119384056</v>
      </c>
      <c r="K593" s="455">
        <f t="shared" ca="1" si="53"/>
        <v>-1924.5606400109205</v>
      </c>
      <c r="L593" s="455">
        <f t="shared" ca="1" si="54"/>
        <v>-463819.11424263183</v>
      </c>
      <c r="M593" s="471">
        <f t="shared" si="56"/>
        <v>0.05</v>
      </c>
      <c r="N593" s="475">
        <f t="shared" si="57"/>
        <v>69093</v>
      </c>
    </row>
    <row r="594" spans="7:14" ht="11.25" customHeight="1" x14ac:dyDescent="0.3">
      <c r="G594" s="470">
        <f t="shared" si="63"/>
        <v>49</v>
      </c>
      <c r="H594" s="470">
        <v>587</v>
      </c>
      <c r="I594" s="455">
        <f t="shared" ca="1" si="55"/>
        <v>-463819.11424263183</v>
      </c>
      <c r="J594" s="455">
        <f t="array" ref="J594">IFERROR(INDEX('Retirement Calculator'!K:K,MATCH('Lorri 401b'!N594,'Retirement Calculator'!A:A,0),0),0)</f>
        <v>20282.026119384056</v>
      </c>
      <c r="K594" s="455">
        <f t="shared" ca="1" si="53"/>
        <v>-2017.0880848417328</v>
      </c>
      <c r="L594" s="455">
        <f t="shared" ca="1" si="54"/>
        <v>-486118.2284468576</v>
      </c>
      <c r="M594" s="471">
        <f t="shared" si="56"/>
        <v>0.05</v>
      </c>
      <c r="N594" s="475">
        <f t="shared" si="57"/>
        <v>69124</v>
      </c>
    </row>
    <row r="595" spans="7:14" ht="11.25" customHeight="1" x14ac:dyDescent="0.3">
      <c r="G595" s="470">
        <f t="shared" si="63"/>
        <v>49</v>
      </c>
      <c r="H595" s="470">
        <v>588</v>
      </c>
      <c r="I595" s="455">
        <f t="shared" ca="1" si="55"/>
        <v>-486118.2284468576</v>
      </c>
      <c r="J595" s="455">
        <f t="array" ref="J595">IFERROR(INDEX('Retirement Calculator'!K:K,MATCH('Lorri 401b'!N595,'Retirement Calculator'!A:A,0),0),0)</f>
        <v>20282.026119384056</v>
      </c>
      <c r="K595" s="455">
        <f t="shared" ca="1" si="53"/>
        <v>-2110.0010606926735</v>
      </c>
      <c r="L595" s="455">
        <f t="shared" ca="1" si="54"/>
        <v>-508510.25562693429</v>
      </c>
      <c r="M595" s="471">
        <f t="shared" si="56"/>
        <v>0.05</v>
      </c>
      <c r="N595" s="475">
        <f t="shared" si="57"/>
        <v>69154</v>
      </c>
    </row>
    <row r="596" spans="7:14" ht="11.25" customHeight="1" x14ac:dyDescent="0.3">
      <c r="G596" s="470">
        <f>G595+1</f>
        <v>50</v>
      </c>
      <c r="H596" s="470">
        <v>589</v>
      </c>
      <c r="I596" s="455">
        <f t="shared" ca="1" si="55"/>
        <v>-508510.25562693429</v>
      </c>
      <c r="J596" s="455">
        <f t="array" ref="J596">IFERROR(INDEX('Retirement Calculator'!K:K,MATCH('Lorri 401b'!N596,'Retirement Calculator'!A:A,0),0),0)</f>
        <v>20282.026119384056</v>
      </c>
      <c r="K596" s="455">
        <f t="shared" ca="1" si="53"/>
        <v>-2203.301173942993</v>
      </c>
      <c r="L596" s="455">
        <f t="shared" ca="1" si="54"/>
        <v>-530995.58292026131</v>
      </c>
      <c r="M596" s="471">
        <f t="shared" si="56"/>
        <v>0.05</v>
      </c>
      <c r="N596" s="475">
        <f t="shared" si="57"/>
        <v>69185</v>
      </c>
    </row>
    <row r="597" spans="7:14" ht="11.25" customHeight="1" x14ac:dyDescent="0.3">
      <c r="G597" s="470">
        <f t="shared" ref="G597:G607" si="64">G596</f>
        <v>50</v>
      </c>
      <c r="H597" s="470">
        <v>590</v>
      </c>
      <c r="I597" s="455">
        <f t="shared" ca="1" si="55"/>
        <v>-530995.58292026131</v>
      </c>
      <c r="J597" s="455">
        <f t="array" ref="J597">IFERROR(INDEX('Retirement Calculator'!K:K,MATCH('Lorri 401b'!N597,'Retirement Calculator'!A:A,0),0),0)</f>
        <v>20282.026119384056</v>
      </c>
      <c r="K597" s="455">
        <f t="shared" ca="1" si="53"/>
        <v>-2296.990037665189</v>
      </c>
      <c r="L597" s="455">
        <f t="shared" ca="1" si="54"/>
        <v>-553574.59907731065</v>
      </c>
      <c r="M597" s="471">
        <f t="shared" si="56"/>
        <v>0.05</v>
      </c>
      <c r="N597" s="475">
        <f t="shared" si="57"/>
        <v>69215</v>
      </c>
    </row>
    <row r="598" spans="7:14" ht="11.25" customHeight="1" x14ac:dyDescent="0.3">
      <c r="G598" s="470">
        <f t="shared" si="64"/>
        <v>50</v>
      </c>
      <c r="H598" s="470">
        <v>591</v>
      </c>
      <c r="I598" s="455">
        <f t="shared" ca="1" si="55"/>
        <v>-553574.59907731065</v>
      </c>
      <c r="J598" s="455">
        <f t="array" ref="J598">IFERROR(INDEX('Retirement Calculator'!K:K,MATCH('Lorri 401b'!N598,'Retirement Calculator'!A:A,0),0),0)</f>
        <v>20282.026119384056</v>
      </c>
      <c r="K598" s="455">
        <f t="shared" ca="1" si="53"/>
        <v>-2391.0692716528947</v>
      </c>
      <c r="L598" s="455">
        <f t="shared" ca="1" si="54"/>
        <v>-576247.69446834759</v>
      </c>
      <c r="M598" s="471">
        <f t="shared" si="56"/>
        <v>0.05</v>
      </c>
      <c r="N598" s="475">
        <f t="shared" si="57"/>
        <v>69246</v>
      </c>
    </row>
    <row r="599" spans="7:14" ht="11.25" customHeight="1" x14ac:dyDescent="0.3">
      <c r="G599" s="470">
        <f t="shared" si="64"/>
        <v>50</v>
      </c>
      <c r="H599" s="470">
        <v>592</v>
      </c>
      <c r="I599" s="455">
        <f t="shared" ca="1" si="55"/>
        <v>-576247.69446834759</v>
      </c>
      <c r="J599" s="455">
        <f t="array" ref="J599">IFERROR(INDEX('Retirement Calculator'!K:K,MATCH('Lorri 401b'!N599,'Retirement Calculator'!A:A,0),0),0)</f>
        <v>20282.026119384056</v>
      </c>
      <c r="K599" s="455">
        <f t="shared" ca="1" si="53"/>
        <v>-2485.5405024488819</v>
      </c>
      <c r="L599" s="455">
        <f t="shared" ca="1" si="54"/>
        <v>-599015.2610901806</v>
      </c>
      <c r="M599" s="471">
        <f t="shared" si="56"/>
        <v>0.05</v>
      </c>
      <c r="N599" s="475">
        <f t="shared" si="57"/>
        <v>69277</v>
      </c>
    </row>
    <row r="600" spans="7:14" ht="11.25" customHeight="1" x14ac:dyDescent="0.3">
      <c r="G600" s="470">
        <f t="shared" si="64"/>
        <v>50</v>
      </c>
      <c r="H600" s="470">
        <v>593</v>
      </c>
      <c r="I600" s="455">
        <f t="shared" ca="1" si="55"/>
        <v>-599015.2610901806</v>
      </c>
      <c r="J600" s="455">
        <f t="array" ref="J600">IFERROR(INDEX('Retirement Calculator'!K:K,MATCH('Lorri 401b'!N600,'Retirement Calculator'!A:A,0),0),0)</f>
        <v>20282.026119384056</v>
      </c>
      <c r="K600" s="455">
        <f t="shared" ca="1" si="53"/>
        <v>-2580.4053633731864</v>
      </c>
      <c r="L600" s="455">
        <f t="shared" ca="1" si="54"/>
        <v>-621877.69257293793</v>
      </c>
      <c r="M600" s="471">
        <f t="shared" si="56"/>
        <v>0.05</v>
      </c>
      <c r="N600" s="475">
        <f t="shared" si="57"/>
        <v>69307</v>
      </c>
    </row>
    <row r="601" spans="7:14" ht="11.25" customHeight="1" x14ac:dyDescent="0.3">
      <c r="G601" s="470">
        <f t="shared" si="64"/>
        <v>50</v>
      </c>
      <c r="H601" s="470">
        <v>594</v>
      </c>
      <c r="I601" s="455">
        <f t="shared" ca="1" si="55"/>
        <v>-621877.69257293793</v>
      </c>
      <c r="J601" s="455">
        <f t="array" ref="J601">IFERROR(INDEX('Retirement Calculator'!K:K,MATCH('Lorri 401b'!N601,'Retirement Calculator'!A:A,0),0),0)</f>
        <v>20282.026119384056</v>
      </c>
      <c r="K601" s="455">
        <f t="shared" ca="1" si="53"/>
        <v>-2675.6654945513419</v>
      </c>
      <c r="L601" s="455">
        <f t="shared" ca="1" si="54"/>
        <v>-644835.38418687333</v>
      </c>
      <c r="M601" s="471">
        <f t="shared" si="56"/>
        <v>0.05</v>
      </c>
      <c r="N601" s="475">
        <f t="shared" si="57"/>
        <v>69338</v>
      </c>
    </row>
    <row r="602" spans="7:14" ht="11.25" customHeight="1" x14ac:dyDescent="0.3">
      <c r="G602" s="470">
        <f t="shared" si="64"/>
        <v>50</v>
      </c>
      <c r="H602" s="470">
        <v>595</v>
      </c>
      <c r="I602" s="455">
        <f t="shared" ca="1" si="55"/>
        <v>-644835.38418687333</v>
      </c>
      <c r="J602" s="455">
        <f t="array" ref="J602">IFERROR(INDEX('Retirement Calculator'!K:K,MATCH('Lorri 401b'!N602,'Retirement Calculator'!A:A,0),0),0)</f>
        <v>20282.026119384056</v>
      </c>
      <c r="K602" s="455">
        <f t="shared" ca="1" si="53"/>
        <v>-2771.3225429427393</v>
      </c>
      <c r="L602" s="455">
        <f t="shared" ca="1" si="54"/>
        <v>-667888.73284920014</v>
      </c>
      <c r="M602" s="471">
        <f t="shared" si="56"/>
        <v>0.05</v>
      </c>
      <c r="N602" s="475">
        <f t="shared" si="57"/>
        <v>69368</v>
      </c>
    </row>
    <row r="603" spans="7:14" ht="11.25" customHeight="1" x14ac:dyDescent="0.3">
      <c r="G603" s="470">
        <f t="shared" si="64"/>
        <v>50</v>
      </c>
      <c r="H603" s="470">
        <v>596</v>
      </c>
      <c r="I603" s="455">
        <f t="shared" ca="1" si="55"/>
        <v>-667888.73284920014</v>
      </c>
      <c r="J603" s="455">
        <f t="array" ref="J603">IFERROR(INDEX('Retirement Calculator'!K:K,MATCH('Lorri 401b'!N603,'Retirement Calculator'!A:A,0),0),0)</f>
        <v>20282.026119384056</v>
      </c>
      <c r="K603" s="455">
        <f t="shared" ca="1" si="53"/>
        <v>-2867.3781623691011</v>
      </c>
      <c r="L603" s="455">
        <f t="shared" ca="1" si="54"/>
        <v>-691038.13713095337</v>
      </c>
      <c r="M603" s="471">
        <f t="shared" si="56"/>
        <v>0.05</v>
      </c>
      <c r="N603" s="475">
        <f t="shared" si="57"/>
        <v>69399</v>
      </c>
    </row>
    <row r="604" spans="7:14" ht="11.25" customHeight="1" x14ac:dyDescent="0.3">
      <c r="G604" s="470">
        <f t="shared" si="64"/>
        <v>50</v>
      </c>
      <c r="H604" s="470">
        <v>597</v>
      </c>
      <c r="I604" s="455">
        <f t="shared" ca="1" si="55"/>
        <v>-691038.13713095337</v>
      </c>
      <c r="J604" s="455">
        <f t="array" ref="J604">IFERROR(INDEX('Retirement Calculator'!K:K,MATCH('Lorri 401b'!N604,'Retirement Calculator'!A:A,0),0),0)</f>
        <v>20282.026119384056</v>
      </c>
      <c r="K604" s="455">
        <f t="shared" ca="1" si="53"/>
        <v>-2963.8340135430726</v>
      </c>
      <c r="L604" s="455">
        <f t="shared" ca="1" si="54"/>
        <v>-714283.99726388056</v>
      </c>
      <c r="M604" s="471">
        <f t="shared" si="56"/>
        <v>0.05</v>
      </c>
      <c r="N604" s="475">
        <f t="shared" si="57"/>
        <v>69430</v>
      </c>
    </row>
    <row r="605" spans="7:14" ht="11.25" customHeight="1" x14ac:dyDescent="0.3">
      <c r="G605" s="470">
        <f t="shared" si="64"/>
        <v>50</v>
      </c>
      <c r="H605" s="470">
        <v>598</v>
      </c>
      <c r="I605" s="455">
        <f t="shared" ca="1" si="55"/>
        <v>-714283.99726388056</v>
      </c>
      <c r="J605" s="455">
        <f t="array" ref="J605">IFERROR(INDEX('Retirement Calculator'!K:K,MATCH('Lorri 401b'!N605,'Retirement Calculator'!A:A,0),0),0)</f>
        <v>20282.026119384056</v>
      </c>
      <c r="K605" s="455">
        <f t="shared" ca="1" si="53"/>
        <v>-3060.6917640969359</v>
      </c>
      <c r="L605" s="455">
        <f t="shared" ca="1" si="54"/>
        <v>-737626.71514736162</v>
      </c>
      <c r="M605" s="471">
        <f t="shared" si="56"/>
        <v>0.05</v>
      </c>
      <c r="N605" s="475">
        <f t="shared" si="57"/>
        <v>69458</v>
      </c>
    </row>
    <row r="606" spans="7:14" ht="11.25" customHeight="1" x14ac:dyDescent="0.3">
      <c r="G606" s="470">
        <f t="shared" si="64"/>
        <v>50</v>
      </c>
      <c r="H606" s="470">
        <v>599</v>
      </c>
      <c r="I606" s="455">
        <f t="shared" ca="1" si="55"/>
        <v>-737626.71514736162</v>
      </c>
      <c r="J606" s="455">
        <f t="array" ref="J606">IFERROR(INDEX('Retirement Calculator'!K:K,MATCH('Lorri 401b'!N606,'Retirement Calculator'!A:A,0),0),0)</f>
        <v>20282.026119384056</v>
      </c>
      <c r="K606" s="455">
        <f t="shared" ca="1" si="53"/>
        <v>-3157.9530886114403</v>
      </c>
      <c r="L606" s="455">
        <f t="shared" ca="1" si="54"/>
        <v>-761066.69435535721</v>
      </c>
      <c r="M606" s="471">
        <f t="shared" si="56"/>
        <v>0.05</v>
      </c>
      <c r="N606" s="475">
        <f t="shared" si="57"/>
        <v>69489</v>
      </c>
    </row>
    <row r="607" spans="7:14" ht="11.25" customHeight="1" x14ac:dyDescent="0.3">
      <c r="G607" s="470">
        <f t="shared" si="64"/>
        <v>50</v>
      </c>
      <c r="H607" s="470">
        <v>600</v>
      </c>
      <c r="I607" s="455">
        <f t="shared" ca="1" si="55"/>
        <v>-761066.69435535721</v>
      </c>
      <c r="J607" s="455">
        <f t="array" ref="J607">IFERROR(INDEX('Retirement Calculator'!K:K,MATCH('Lorri 401b'!N607,'Retirement Calculator'!A:A,0),0),0)</f>
        <v>20282.026119384056</v>
      </c>
      <c r="K607" s="455">
        <f t="shared" ca="1" si="53"/>
        <v>-3255.6196686447556</v>
      </c>
      <c r="L607" s="455">
        <f t="shared" ca="1" si="54"/>
        <v>-784604.34014338604</v>
      </c>
      <c r="M607" s="471">
        <f t="shared" si="56"/>
        <v>0.05</v>
      </c>
      <c r="N607" s="475">
        <f t="shared" si="57"/>
        <v>69519</v>
      </c>
    </row>
    <row r="608" spans="7:14" ht="11.25" customHeight="1" x14ac:dyDescent="0.3">
      <c r="G608" s="470">
        <f>G607+1</f>
        <v>51</v>
      </c>
      <c r="H608" s="470">
        <v>601</v>
      </c>
      <c r="I608" s="455">
        <f t="shared" ca="1" si="55"/>
        <v>-784604.34014338604</v>
      </c>
      <c r="J608" s="455">
        <f t="array" ref="J608">IFERROR(INDEX('Retirement Calculator'!K:K,MATCH('Lorri 401b'!N608,'Retirement Calculator'!A:A,0),0),0)</f>
        <v>20282.026119384056</v>
      </c>
      <c r="K608" s="455">
        <f t="shared" ca="1" si="53"/>
        <v>-3353.6931927615424</v>
      </c>
      <c r="L608" s="455">
        <f t="shared" ca="1" si="54"/>
        <v>-808240.05945553165</v>
      </c>
      <c r="M608" s="471">
        <f t="shared" si="56"/>
        <v>0.05</v>
      </c>
      <c r="N608" s="475">
        <f t="shared" si="57"/>
        <v>69550</v>
      </c>
    </row>
    <row r="609" spans="7:14" ht="11.25" customHeight="1" x14ac:dyDescent="0.3">
      <c r="G609" s="470">
        <f t="shared" ref="G609:G619" si="65">G608</f>
        <v>51</v>
      </c>
      <c r="H609" s="470">
        <v>602</v>
      </c>
      <c r="I609" s="455">
        <f t="shared" ca="1" si="55"/>
        <v>-808240.05945553165</v>
      </c>
      <c r="J609" s="455">
        <f t="array" ref="J609">IFERROR(INDEX('Retirement Calculator'!K:K,MATCH('Lorri 401b'!N609,'Retirement Calculator'!A:A,0),0),0)</f>
        <v>20282.026119384056</v>
      </c>
      <c r="K609" s="455">
        <f t="shared" ca="1" si="53"/>
        <v>-3452.1753565621489</v>
      </c>
      <c r="L609" s="455">
        <f t="shared" ca="1" si="54"/>
        <v>-831974.26093147788</v>
      </c>
      <c r="M609" s="471">
        <f t="shared" si="56"/>
        <v>0.05</v>
      </c>
      <c r="N609" s="475">
        <f t="shared" si="57"/>
        <v>69580</v>
      </c>
    </row>
    <row r="610" spans="7:14" ht="11.25" customHeight="1" x14ac:dyDescent="0.3">
      <c r="G610" s="470">
        <f t="shared" si="65"/>
        <v>51</v>
      </c>
      <c r="H610" s="470">
        <v>603</v>
      </c>
      <c r="I610" s="455">
        <f t="shared" ca="1" si="55"/>
        <v>-831974.26093147788</v>
      </c>
      <c r="J610" s="455">
        <f t="array" ref="J610">IFERROR(INDEX('Retirement Calculator'!K:K,MATCH('Lorri 401b'!N610,'Retirement Calculator'!A:A,0),0),0)</f>
        <v>20282.026119384056</v>
      </c>
      <c r="K610" s="455">
        <f t="shared" ca="1" si="53"/>
        <v>-3551.067862711925</v>
      </c>
      <c r="L610" s="455">
        <f t="shared" ca="1" si="54"/>
        <v>-855807.35491357394</v>
      </c>
      <c r="M610" s="471">
        <f t="shared" si="56"/>
        <v>0.05</v>
      </c>
      <c r="N610" s="475">
        <f t="shared" si="57"/>
        <v>69611</v>
      </c>
    </row>
    <row r="611" spans="7:14" ht="11.25" customHeight="1" x14ac:dyDescent="0.3">
      <c r="G611" s="470">
        <f t="shared" si="65"/>
        <v>51</v>
      </c>
      <c r="H611" s="470">
        <v>604</v>
      </c>
      <c r="I611" s="455">
        <f t="shared" ca="1" si="55"/>
        <v>-855807.35491357394</v>
      </c>
      <c r="J611" s="455">
        <f t="array" ref="J611">IFERROR(INDEX('Retirement Calculator'!K:K,MATCH('Lorri 401b'!N611,'Retirement Calculator'!A:A,0),0),0)</f>
        <v>20282.026119384056</v>
      </c>
      <c r="K611" s="455">
        <f t="shared" ca="1" si="53"/>
        <v>-3650.3724209706584</v>
      </c>
      <c r="L611" s="455">
        <f t="shared" ca="1" si="54"/>
        <v>-879739.75345392874</v>
      </c>
      <c r="M611" s="471">
        <f t="shared" si="56"/>
        <v>0.05</v>
      </c>
      <c r="N611" s="475">
        <f t="shared" si="57"/>
        <v>69642</v>
      </c>
    </row>
    <row r="612" spans="7:14" ht="11.25" customHeight="1" x14ac:dyDescent="0.3">
      <c r="G612" s="470">
        <f t="shared" si="65"/>
        <v>51</v>
      </c>
      <c r="H612" s="470">
        <v>605</v>
      </c>
      <c r="I612" s="455">
        <f t="shared" ca="1" si="55"/>
        <v>-879739.75345392874</v>
      </c>
      <c r="J612" s="455">
        <f t="array" ref="J612">IFERROR(INDEX('Retirement Calculator'!K:K,MATCH('Lorri 401b'!N612,'Retirement Calculator'!A:A,0),0),0)</f>
        <v>20282.026119384056</v>
      </c>
      <c r="K612" s="455">
        <f t="shared" ca="1" si="53"/>
        <v>-3750.0907482221369</v>
      </c>
      <c r="L612" s="455">
        <f t="shared" ca="1" si="54"/>
        <v>-903771.87032153492</v>
      </c>
      <c r="M612" s="471">
        <f t="shared" si="56"/>
        <v>0.05</v>
      </c>
      <c r="N612" s="475">
        <f t="shared" si="57"/>
        <v>69672</v>
      </c>
    </row>
    <row r="613" spans="7:14" ht="11.25" customHeight="1" x14ac:dyDescent="0.3">
      <c r="G613" s="470">
        <f t="shared" si="65"/>
        <v>51</v>
      </c>
      <c r="H613" s="470">
        <v>606</v>
      </c>
      <c r="I613" s="455">
        <f t="shared" ca="1" si="55"/>
        <v>-903771.87032153492</v>
      </c>
      <c r="J613" s="455">
        <f t="array" ref="J613">IFERROR(INDEX('Retirement Calculator'!K:K,MATCH('Lorri 401b'!N613,'Retirement Calculator'!A:A,0),0),0)</f>
        <v>20282.026119384056</v>
      </c>
      <c r="K613" s="455">
        <f t="shared" ca="1" si="53"/>
        <v>-3850.2245685038292</v>
      </c>
      <c r="L613" s="455">
        <f t="shared" ca="1" si="54"/>
        <v>-927904.12100942282</v>
      </c>
      <c r="M613" s="471">
        <f t="shared" si="56"/>
        <v>0.05</v>
      </c>
      <c r="N613" s="475">
        <f t="shared" si="57"/>
        <v>69703</v>
      </c>
    </row>
    <row r="614" spans="7:14" ht="11.25" customHeight="1" x14ac:dyDescent="0.3">
      <c r="G614" s="470">
        <f t="shared" si="65"/>
        <v>51</v>
      </c>
      <c r="H614" s="470">
        <v>607</v>
      </c>
      <c r="I614" s="455">
        <f t="shared" ca="1" si="55"/>
        <v>-927904.12100942282</v>
      </c>
      <c r="J614" s="455">
        <f t="array" ref="J614">IFERROR(INDEX('Retirement Calculator'!K:K,MATCH('Lorri 401b'!N614,'Retirement Calculator'!A:A,0),0),0)</f>
        <v>20282.026119384056</v>
      </c>
      <c r="K614" s="455">
        <f t="shared" ca="1" si="53"/>
        <v>-3950.7756130366961</v>
      </c>
      <c r="L614" s="455">
        <f t="shared" ca="1" si="54"/>
        <v>-952136.92274184362</v>
      </c>
      <c r="M614" s="471">
        <f t="shared" si="56"/>
        <v>0.05</v>
      </c>
      <c r="N614" s="475">
        <f t="shared" si="57"/>
        <v>69733</v>
      </c>
    </row>
    <row r="615" spans="7:14" ht="11.25" customHeight="1" x14ac:dyDescent="0.3">
      <c r="G615" s="470">
        <f t="shared" si="65"/>
        <v>51</v>
      </c>
      <c r="H615" s="470">
        <v>608</v>
      </c>
      <c r="I615" s="455">
        <f t="shared" ca="1" si="55"/>
        <v>-952136.92274184362</v>
      </c>
      <c r="J615" s="455">
        <f t="array" ref="J615">IFERROR(INDEX('Retirement Calculator'!K:K,MATCH('Lorri 401b'!N615,'Retirement Calculator'!A:A,0),0),0)</f>
        <v>20282.026119384056</v>
      </c>
      <c r="K615" s="455">
        <f t="shared" ca="1" si="53"/>
        <v>-4051.7456202551161</v>
      </c>
      <c r="L615" s="455">
        <f t="shared" ca="1" si="54"/>
        <v>-976470.69448148285</v>
      </c>
      <c r="M615" s="471">
        <f t="shared" si="56"/>
        <v>0.05</v>
      </c>
      <c r="N615" s="475">
        <f t="shared" si="57"/>
        <v>69764</v>
      </c>
    </row>
    <row r="616" spans="7:14" ht="11.25" customHeight="1" x14ac:dyDescent="0.3">
      <c r="G616" s="470">
        <f t="shared" si="65"/>
        <v>51</v>
      </c>
      <c r="H616" s="470">
        <v>609</v>
      </c>
      <c r="I616" s="455">
        <f t="shared" ca="1" si="55"/>
        <v>-976470.69448148285</v>
      </c>
      <c r="J616" s="455">
        <f t="array" ref="J616">IFERROR(INDEX('Retirement Calculator'!K:K,MATCH('Lorri 401b'!N616,'Retirement Calculator'!A:A,0),0),0)</f>
        <v>20282.026119384056</v>
      </c>
      <c r="K616" s="455">
        <f t="shared" ca="1" si="53"/>
        <v>-4153.1363358369463</v>
      </c>
      <c r="L616" s="455">
        <f t="shared" ca="1" si="54"/>
        <v>-1000905.8569367039</v>
      </c>
      <c r="M616" s="471">
        <f t="shared" si="56"/>
        <v>0.05</v>
      </c>
      <c r="N616" s="475">
        <f t="shared" si="57"/>
        <v>69795</v>
      </c>
    </row>
    <row r="617" spans="7:14" ht="11.25" customHeight="1" x14ac:dyDescent="0.3">
      <c r="G617" s="470">
        <f t="shared" si="65"/>
        <v>51</v>
      </c>
      <c r="H617" s="470">
        <v>610</v>
      </c>
      <c r="I617" s="455">
        <f t="shared" ca="1" si="55"/>
        <v>-1000905.8569367039</v>
      </c>
      <c r="J617" s="455">
        <f t="array" ref="J617">IFERROR(INDEX('Retirement Calculator'!K:K,MATCH('Lorri 401b'!N617,'Retirement Calculator'!A:A,0),0),0)</f>
        <v>20282.026119384056</v>
      </c>
      <c r="K617" s="455">
        <f t="shared" ca="1" si="53"/>
        <v>-4254.9495127336995</v>
      </c>
      <c r="L617" s="455">
        <f t="shared" ca="1" si="54"/>
        <v>-1025442.8325688217</v>
      </c>
      <c r="M617" s="471">
        <f t="shared" si="56"/>
        <v>0.05</v>
      </c>
      <c r="N617" s="475">
        <f t="shared" si="57"/>
        <v>69823</v>
      </c>
    </row>
    <row r="618" spans="7:14" ht="11.25" customHeight="1" x14ac:dyDescent="0.3">
      <c r="G618" s="470">
        <f t="shared" si="65"/>
        <v>51</v>
      </c>
      <c r="H618" s="470">
        <v>611</v>
      </c>
      <c r="I618" s="455">
        <f t="shared" ca="1" si="55"/>
        <v>-1025442.8325688217</v>
      </c>
      <c r="J618" s="455">
        <f t="array" ref="J618">IFERROR(INDEX('Retirement Calculator'!K:K,MATCH('Lorri 401b'!N618,'Retirement Calculator'!A:A,0),0),0)</f>
        <v>20282.026119384056</v>
      </c>
      <c r="K618" s="455">
        <f t="shared" ca="1" si="53"/>
        <v>-4357.1869112008571</v>
      </c>
      <c r="L618" s="455">
        <f t="shared" ca="1" si="54"/>
        <v>-1050082.0455994066</v>
      </c>
      <c r="M618" s="471">
        <f t="shared" si="56"/>
        <v>0.05</v>
      </c>
      <c r="N618" s="475">
        <f t="shared" si="57"/>
        <v>69854</v>
      </c>
    </row>
    <row r="619" spans="7:14" ht="11.25" customHeight="1" x14ac:dyDescent="0.3">
      <c r="G619" s="470">
        <f t="shared" si="65"/>
        <v>51</v>
      </c>
      <c r="H619" s="470">
        <v>612</v>
      </c>
      <c r="I619" s="455">
        <f t="shared" ca="1" si="55"/>
        <v>-1050082.0455994066</v>
      </c>
      <c r="J619" s="455">
        <f t="array" ref="J619">IFERROR(INDEX('Retirement Calculator'!K:K,MATCH('Lorri 401b'!N619,'Retirement Calculator'!A:A,0),0),0)</f>
        <v>20282.026119384056</v>
      </c>
      <c r="K619" s="455">
        <f t="shared" ca="1" si="53"/>
        <v>-4459.8502988282944</v>
      </c>
      <c r="L619" s="455">
        <f t="shared" ca="1" si="54"/>
        <v>-1074823.9220176188</v>
      </c>
      <c r="M619" s="471">
        <f t="shared" si="56"/>
        <v>0.05</v>
      </c>
      <c r="N619" s="475">
        <f t="shared" si="57"/>
        <v>69884</v>
      </c>
    </row>
    <row r="620" spans="7:14" ht="11.25" customHeight="1" x14ac:dyDescent="0.3">
      <c r="G620" s="470">
        <f>G619+1</f>
        <v>52</v>
      </c>
      <c r="H620" s="470">
        <v>613</v>
      </c>
      <c r="I620" s="455">
        <f t="shared" ca="1" si="55"/>
        <v>-1074823.9220176188</v>
      </c>
      <c r="J620" s="455">
        <f t="array" ref="J620">IFERROR(INDEX('Retirement Calculator'!K:K,MATCH('Lorri 401b'!N620,'Retirement Calculator'!A:A,0),0),0)</f>
        <v>20282.026119384056</v>
      </c>
      <c r="K620" s="455">
        <f t="shared" ca="1" si="53"/>
        <v>-4562.9414505708446</v>
      </c>
      <c r="L620" s="455">
        <f t="shared" ca="1" si="54"/>
        <v>-1099668.8895875737</v>
      </c>
      <c r="M620" s="471">
        <f t="shared" si="56"/>
        <v>0.05</v>
      </c>
      <c r="N620" s="475">
        <f t="shared" si="57"/>
        <v>69915</v>
      </c>
    </row>
    <row r="621" spans="7:14" ht="11.25" customHeight="1" x14ac:dyDescent="0.3">
      <c r="G621" s="470">
        <f t="shared" ref="G621:G631" si="66">G620</f>
        <v>52</v>
      </c>
      <c r="H621" s="470">
        <v>614</v>
      </c>
      <c r="I621" s="455">
        <f t="shared" ca="1" si="55"/>
        <v>-1099668.8895875737</v>
      </c>
      <c r="J621" s="455">
        <f t="array" ref="J621">IFERROR(INDEX('Retirement Calculator'!K:K,MATCH('Lorri 401b'!N621,'Retirement Calculator'!A:A,0),0),0)</f>
        <v>20282.026119384056</v>
      </c>
      <c r="K621" s="455">
        <f t="shared" ca="1" si="53"/>
        <v>-4666.46214877899</v>
      </c>
      <c r="L621" s="455">
        <f t="shared" ca="1" si="54"/>
        <v>-1124617.3778557368</v>
      </c>
      <c r="M621" s="471">
        <f t="shared" si="56"/>
        <v>0.05</v>
      </c>
      <c r="N621" s="475">
        <f t="shared" si="57"/>
        <v>69945</v>
      </c>
    </row>
    <row r="622" spans="7:14" ht="11.25" customHeight="1" x14ac:dyDescent="0.3">
      <c r="G622" s="470">
        <f t="shared" si="66"/>
        <v>52</v>
      </c>
      <c r="H622" s="470">
        <v>615</v>
      </c>
      <c r="I622" s="455">
        <f t="shared" ca="1" si="55"/>
        <v>-1124617.3778557368</v>
      </c>
      <c r="J622" s="455">
        <f t="array" ref="J622">IFERROR(INDEX('Retirement Calculator'!K:K,MATCH('Lorri 401b'!N622,'Retirement Calculator'!A:A,0),0),0)</f>
        <v>20282.026119384056</v>
      </c>
      <c r="K622" s="455">
        <f t="shared" ca="1" si="53"/>
        <v>-4770.41418322967</v>
      </c>
      <c r="L622" s="455">
        <f t="shared" ca="1" si="54"/>
        <v>-1149669.8181583504</v>
      </c>
      <c r="M622" s="471">
        <f t="shared" si="56"/>
        <v>0.05</v>
      </c>
      <c r="N622" s="475">
        <f t="shared" si="57"/>
        <v>69976</v>
      </c>
    </row>
    <row r="623" spans="7:14" ht="11.25" customHeight="1" x14ac:dyDescent="0.3">
      <c r="G623" s="470">
        <f t="shared" si="66"/>
        <v>52</v>
      </c>
      <c r="H623" s="470">
        <v>616</v>
      </c>
      <c r="I623" s="455">
        <f t="shared" ca="1" si="55"/>
        <v>-1149669.8181583504</v>
      </c>
      <c r="J623" s="455">
        <f t="array" ref="J623">IFERROR(INDEX('Retirement Calculator'!K:K,MATCH('Lorri 401b'!N623,'Retirement Calculator'!A:A,0),0),0)</f>
        <v>20282.026119384056</v>
      </c>
      <c r="K623" s="455">
        <f t="shared" ca="1" si="53"/>
        <v>-4874.7993511572267</v>
      </c>
      <c r="L623" s="455">
        <f t="shared" ca="1" si="54"/>
        <v>-1174826.6436288916</v>
      </c>
      <c r="M623" s="471">
        <f t="shared" si="56"/>
        <v>0.05</v>
      </c>
      <c r="N623" s="475">
        <f t="shared" si="57"/>
        <v>70007</v>
      </c>
    </row>
    <row r="624" spans="7:14" ht="11.25" customHeight="1" x14ac:dyDescent="0.3">
      <c r="G624" s="470">
        <f t="shared" si="66"/>
        <v>52</v>
      </c>
      <c r="H624" s="470">
        <v>617</v>
      </c>
      <c r="I624" s="455">
        <f t="shared" ca="1" si="55"/>
        <v>-1174826.6436288916</v>
      </c>
      <c r="J624" s="455">
        <f t="array" ref="J624">IFERROR(INDEX('Retirement Calculator'!K:K,MATCH('Lorri 401b'!N624,'Retirement Calculator'!A:A,0),0),0)</f>
        <v>20282.026119384056</v>
      </c>
      <c r="K624" s="455">
        <f t="shared" ca="1" si="53"/>
        <v>-4979.6194572844815</v>
      </c>
      <c r="L624" s="455">
        <f t="shared" ca="1" si="54"/>
        <v>-1200088.28920556</v>
      </c>
      <c r="M624" s="471">
        <f t="shared" si="56"/>
        <v>0.05</v>
      </c>
      <c r="N624" s="475">
        <f t="shared" si="57"/>
        <v>70037</v>
      </c>
    </row>
    <row r="625" spans="7:14" ht="11.25" customHeight="1" x14ac:dyDescent="0.3">
      <c r="G625" s="470">
        <f t="shared" si="66"/>
        <v>52</v>
      </c>
      <c r="H625" s="470">
        <v>618</v>
      </c>
      <c r="I625" s="455">
        <f t="shared" ca="1" si="55"/>
        <v>-1200088.28920556</v>
      </c>
      <c r="J625" s="455">
        <f t="array" ref="J625">IFERROR(INDEX('Retirement Calculator'!K:K,MATCH('Lorri 401b'!N625,'Retirement Calculator'!A:A,0),0),0)</f>
        <v>20282.026119384056</v>
      </c>
      <c r="K625" s="455">
        <f t="shared" ca="1" si="53"/>
        <v>-5084.8763138539334</v>
      </c>
      <c r="L625" s="455">
        <f t="shared" ca="1" si="54"/>
        <v>-1225455.191638798</v>
      </c>
      <c r="M625" s="471">
        <f t="shared" si="56"/>
        <v>0.05</v>
      </c>
      <c r="N625" s="475">
        <f t="shared" si="57"/>
        <v>70068</v>
      </c>
    </row>
    <row r="626" spans="7:14" ht="11.25" customHeight="1" x14ac:dyDescent="0.3">
      <c r="G626" s="470">
        <f t="shared" si="66"/>
        <v>52</v>
      </c>
      <c r="H626" s="470">
        <v>619</v>
      </c>
      <c r="I626" s="455">
        <f t="shared" ca="1" si="55"/>
        <v>-1225455.191638798</v>
      </c>
      <c r="J626" s="455">
        <f t="array" ref="J626">IFERROR(INDEX('Retirement Calculator'!K:K,MATCH('Lorri 401b'!N626,'Retirement Calculator'!A:A,0),0),0)</f>
        <v>20282.026119384056</v>
      </c>
      <c r="K626" s="455">
        <f t="shared" ca="1" si="53"/>
        <v>-5190.5717406590911</v>
      </c>
      <c r="L626" s="455">
        <f t="shared" ca="1" si="54"/>
        <v>-1250927.7894988412</v>
      </c>
      <c r="M626" s="471">
        <f t="shared" si="56"/>
        <v>0.05</v>
      </c>
      <c r="N626" s="475">
        <f t="shared" si="57"/>
        <v>70098</v>
      </c>
    </row>
    <row r="627" spans="7:14" ht="11.25" customHeight="1" x14ac:dyDescent="0.3">
      <c r="G627" s="470">
        <f t="shared" si="66"/>
        <v>52</v>
      </c>
      <c r="H627" s="470">
        <v>620</v>
      </c>
      <c r="I627" s="455">
        <f t="shared" ca="1" si="55"/>
        <v>-1250927.7894988412</v>
      </c>
      <c r="J627" s="455">
        <f t="array" ref="J627">IFERROR(INDEX('Retirement Calculator'!K:K,MATCH('Lorri 401b'!N627,'Retirement Calculator'!A:A,0),0),0)</f>
        <v>20282.026119384056</v>
      </c>
      <c r="K627" s="455">
        <f t="shared" ca="1" si="53"/>
        <v>-5296.707565075938</v>
      </c>
      <c r="L627" s="455">
        <f t="shared" ca="1" si="54"/>
        <v>-1276506.5231833011</v>
      </c>
      <c r="M627" s="471">
        <f t="shared" si="56"/>
        <v>0.05</v>
      </c>
      <c r="N627" s="475">
        <f t="shared" si="57"/>
        <v>70129</v>
      </c>
    </row>
    <row r="628" spans="7:14" ht="11.25" customHeight="1" x14ac:dyDescent="0.3">
      <c r="G628" s="470">
        <f t="shared" si="66"/>
        <v>52</v>
      </c>
      <c r="H628" s="470">
        <v>621</v>
      </c>
      <c r="I628" s="455">
        <f t="shared" ca="1" si="55"/>
        <v>-1276506.5231833011</v>
      </c>
      <c r="J628" s="455">
        <f t="array" ref="J628">IFERROR(INDEX('Retirement Calculator'!K:K,MATCH('Lorri 401b'!N628,'Retirement Calculator'!A:A,0),0),0)</f>
        <v>20282.026119384056</v>
      </c>
      <c r="K628" s="455">
        <f t="shared" ca="1" si="53"/>
        <v>-5403.2856220945214</v>
      </c>
      <c r="L628" s="455">
        <f t="shared" ca="1" si="54"/>
        <v>-1302191.8349247796</v>
      </c>
      <c r="M628" s="471">
        <f t="shared" si="56"/>
        <v>0.05</v>
      </c>
      <c r="N628" s="475">
        <f t="shared" si="57"/>
        <v>70160</v>
      </c>
    </row>
    <row r="629" spans="7:14" ht="11.25" customHeight="1" x14ac:dyDescent="0.3">
      <c r="G629" s="470">
        <f t="shared" si="66"/>
        <v>52</v>
      </c>
      <c r="H629" s="470">
        <v>622</v>
      </c>
      <c r="I629" s="455">
        <f t="shared" ca="1" si="55"/>
        <v>-1302191.8349247796</v>
      </c>
      <c r="J629" s="455">
        <f t="array" ref="J629">IFERROR(INDEX('Retirement Calculator'!K:K,MATCH('Lorri 401b'!N629,'Retirement Calculator'!A:A,0),0),0)</f>
        <v>20282.026119384056</v>
      </c>
      <c r="K629" s="455">
        <f t="shared" ca="1" si="53"/>
        <v>-5510.3077543506815</v>
      </c>
      <c r="L629" s="455">
        <f t="shared" ca="1" si="54"/>
        <v>-1327984.1687985142</v>
      </c>
      <c r="M629" s="471">
        <f t="shared" si="56"/>
        <v>0.05</v>
      </c>
      <c r="N629" s="475">
        <f t="shared" si="57"/>
        <v>70189</v>
      </c>
    </row>
    <row r="630" spans="7:14" ht="11.25" customHeight="1" x14ac:dyDescent="0.3">
      <c r="G630" s="470">
        <f t="shared" si="66"/>
        <v>52</v>
      </c>
      <c r="H630" s="470">
        <v>623</v>
      </c>
      <c r="I630" s="455">
        <f t="shared" ca="1" si="55"/>
        <v>-1327984.1687985142</v>
      </c>
      <c r="J630" s="455">
        <f t="array" ref="J630">IFERROR(INDEX('Retirement Calculator'!K:K,MATCH('Lorri 401b'!N630,'Retirement Calculator'!A:A,0),0),0)</f>
        <v>20282.026119384056</v>
      </c>
      <c r="K630" s="455">
        <f t="shared" ca="1" si="53"/>
        <v>-5617.7758121579091</v>
      </c>
      <c r="L630" s="455">
        <f t="shared" ca="1" si="54"/>
        <v>-1353883.9707300561</v>
      </c>
      <c r="M630" s="471">
        <f t="shared" si="56"/>
        <v>0.05</v>
      </c>
      <c r="N630" s="475">
        <f t="shared" si="57"/>
        <v>70220</v>
      </c>
    </row>
    <row r="631" spans="7:14" ht="11.25" customHeight="1" x14ac:dyDescent="0.3">
      <c r="G631" s="470">
        <f t="shared" si="66"/>
        <v>52</v>
      </c>
      <c r="H631" s="470">
        <v>624</v>
      </c>
      <c r="I631" s="455">
        <f t="shared" ca="1" si="55"/>
        <v>-1353883.9707300561</v>
      </c>
      <c r="J631" s="455">
        <f t="array" ref="J631">IFERROR(INDEX('Retirement Calculator'!K:K,MATCH('Lorri 401b'!N631,'Retirement Calculator'!A:A,0),0),0)</f>
        <v>20282.026119384056</v>
      </c>
      <c r="K631" s="455">
        <f t="shared" ca="1" si="53"/>
        <v>-5725.6916535393339</v>
      </c>
      <c r="L631" s="455">
        <f t="shared" ca="1" si="54"/>
        <v>-1379891.6885029795</v>
      </c>
      <c r="M631" s="471">
        <f t="shared" si="56"/>
        <v>0.05</v>
      </c>
      <c r="N631" s="475">
        <f t="shared" si="57"/>
        <v>70250</v>
      </c>
    </row>
    <row r="632" spans="7:14" ht="11.25" customHeight="1" x14ac:dyDescent="0.3">
      <c r="G632" s="470">
        <f>G631+1</f>
        <v>53</v>
      </c>
      <c r="H632" s="470">
        <v>625</v>
      </c>
      <c r="I632" s="455">
        <f t="shared" ca="1" si="55"/>
        <v>-1379891.6885029795</v>
      </c>
      <c r="J632" s="455">
        <f t="array" ref="J632">IFERROR(INDEX('Retirement Calculator'!K:K,MATCH('Lorri 401b'!N632,'Retirement Calculator'!A:A,0),0),0)</f>
        <v>20282.026119384056</v>
      </c>
      <c r="K632" s="455">
        <f t="shared" ca="1" si="53"/>
        <v>-5834.0571442598475</v>
      </c>
      <c r="L632" s="455">
        <f t="shared" ca="1" si="54"/>
        <v>-1406007.7717666232</v>
      </c>
      <c r="M632" s="471">
        <f t="shared" si="56"/>
        <v>0.05</v>
      </c>
      <c r="N632" s="475">
        <f t="shared" si="57"/>
        <v>70281</v>
      </c>
    </row>
    <row r="633" spans="7:14" ht="11.25" customHeight="1" x14ac:dyDescent="0.3">
      <c r="G633" s="470">
        <f t="shared" ref="G633:G643" si="67">G632</f>
        <v>53</v>
      </c>
      <c r="H633" s="470">
        <v>626</v>
      </c>
      <c r="I633" s="455">
        <f t="shared" ca="1" si="55"/>
        <v>-1406007.7717666232</v>
      </c>
      <c r="J633" s="455">
        <f t="array" ref="J633">IFERROR(INDEX('Retirement Calculator'!K:K,MATCH('Lorri 401b'!N633,'Retirement Calculator'!A:A,0),0),0)</f>
        <v>20282.026119384056</v>
      </c>
      <c r="K633" s="455">
        <f t="shared" ca="1" si="53"/>
        <v>-5942.8741578583631</v>
      </c>
      <c r="L633" s="455">
        <f t="shared" ca="1" si="54"/>
        <v>-1432232.6720438655</v>
      </c>
      <c r="M633" s="471">
        <f t="shared" si="56"/>
        <v>0.05</v>
      </c>
      <c r="N633" s="475">
        <f t="shared" si="57"/>
        <v>70311</v>
      </c>
    </row>
    <row r="634" spans="7:14" ht="11.25" customHeight="1" x14ac:dyDescent="0.3">
      <c r="G634" s="470">
        <f t="shared" si="67"/>
        <v>53</v>
      </c>
      <c r="H634" s="470">
        <v>627</v>
      </c>
      <c r="I634" s="455">
        <f t="shared" ca="1" si="55"/>
        <v>-1432232.6720438655</v>
      </c>
      <c r="J634" s="455">
        <f t="array" ref="J634">IFERROR(INDEX('Retirement Calculator'!K:K,MATCH('Lorri 401b'!N634,'Retirement Calculator'!A:A,0),0),0)</f>
        <v>20282.026119384056</v>
      </c>
      <c r="K634" s="455">
        <f t="shared" ca="1" si="53"/>
        <v>-6052.1445756802059</v>
      </c>
      <c r="L634" s="455">
        <f t="shared" ca="1" si="54"/>
        <v>-1458566.8427389297</v>
      </c>
      <c r="M634" s="471">
        <f t="shared" si="56"/>
        <v>0.05</v>
      </c>
      <c r="N634" s="475">
        <f t="shared" si="57"/>
        <v>70342</v>
      </c>
    </row>
    <row r="635" spans="7:14" ht="11.25" customHeight="1" x14ac:dyDescent="0.3">
      <c r="G635" s="470">
        <f t="shared" si="67"/>
        <v>53</v>
      </c>
      <c r="H635" s="470">
        <v>628</v>
      </c>
      <c r="I635" s="455">
        <f t="shared" ca="1" si="55"/>
        <v>-1458566.8427389297</v>
      </c>
      <c r="J635" s="455">
        <f t="array" ref="J635">IFERROR(INDEX('Retirement Calculator'!K:K,MATCH('Lorri 401b'!N635,'Retirement Calculator'!A:A,0),0),0)</f>
        <v>20282.026119384056</v>
      </c>
      <c r="K635" s="455">
        <f t="shared" ca="1" si="53"/>
        <v>-6161.8702869096405</v>
      </c>
      <c r="L635" s="455">
        <f t="shared" ca="1" si="54"/>
        <v>-1485010.7391452233</v>
      </c>
      <c r="M635" s="471">
        <f t="shared" si="56"/>
        <v>0.05</v>
      </c>
      <c r="N635" s="475">
        <f t="shared" si="57"/>
        <v>70373</v>
      </c>
    </row>
    <row r="636" spans="7:14" ht="11.25" customHeight="1" x14ac:dyDescent="0.3">
      <c r="G636" s="470">
        <f t="shared" si="67"/>
        <v>53</v>
      </c>
      <c r="H636" s="470">
        <v>629</v>
      </c>
      <c r="I636" s="455">
        <f t="shared" ca="1" si="55"/>
        <v>-1485010.7391452233</v>
      </c>
      <c r="J636" s="455">
        <f t="array" ref="J636">IFERROR(INDEX('Retirement Calculator'!K:K,MATCH('Lorri 401b'!N636,'Retirement Calculator'!A:A,0),0),0)</f>
        <v>20282.026119384056</v>
      </c>
      <c r="K636" s="455">
        <f t="shared" ca="1" si="53"/>
        <v>-6272.0531886025301</v>
      </c>
      <c r="L636" s="455">
        <f t="shared" ca="1" si="54"/>
        <v>-1511564.8184532097</v>
      </c>
      <c r="M636" s="471">
        <f t="shared" si="56"/>
        <v>0.05</v>
      </c>
      <c r="N636" s="475">
        <f t="shared" si="57"/>
        <v>70403</v>
      </c>
    </row>
    <row r="637" spans="7:14" ht="11.25" customHeight="1" x14ac:dyDescent="0.3">
      <c r="G637" s="470">
        <f t="shared" si="67"/>
        <v>53</v>
      </c>
      <c r="H637" s="470">
        <v>630</v>
      </c>
      <c r="I637" s="455">
        <f t="shared" ca="1" si="55"/>
        <v>-1511564.8184532097</v>
      </c>
      <c r="J637" s="455">
        <f t="array" ref="J637">IFERROR(INDEX('Retirement Calculator'!K:K,MATCH('Lorri 401b'!N637,'Retirement Calculator'!A:A,0),0),0)</f>
        <v>20282.026119384056</v>
      </c>
      <c r="K637" s="455">
        <f t="shared" ca="1" si="53"/>
        <v>-6382.6951857191407</v>
      </c>
      <c r="L637" s="455">
        <f t="shared" ca="1" si="54"/>
        <v>-1538229.5397583127</v>
      </c>
      <c r="M637" s="471">
        <f t="shared" si="56"/>
        <v>0.05</v>
      </c>
      <c r="N637" s="475">
        <f t="shared" si="57"/>
        <v>70434</v>
      </c>
    </row>
    <row r="638" spans="7:14" ht="11.25" customHeight="1" x14ac:dyDescent="0.3">
      <c r="G638" s="470">
        <f t="shared" si="67"/>
        <v>53</v>
      </c>
      <c r="H638" s="470">
        <v>631</v>
      </c>
      <c r="I638" s="455">
        <f t="shared" ca="1" si="55"/>
        <v>-1538229.5397583127</v>
      </c>
      <c r="J638" s="455">
        <f t="array" ref="J638">IFERROR(INDEX('Retirement Calculator'!K:K,MATCH('Lorri 401b'!N638,'Retirement Calculator'!A:A,0),0),0)</f>
        <v>20282.026119384056</v>
      </c>
      <c r="K638" s="455">
        <f t="shared" ca="1" si="53"/>
        <v>-6493.7981911570696</v>
      </c>
      <c r="L638" s="455">
        <f t="shared" ca="1" si="54"/>
        <v>-1565005.3640688539</v>
      </c>
      <c r="M638" s="471">
        <f t="shared" si="56"/>
        <v>0.05</v>
      </c>
      <c r="N638" s="475">
        <f t="shared" si="57"/>
        <v>70464</v>
      </c>
    </row>
    <row r="639" spans="7:14" ht="11.25" customHeight="1" x14ac:dyDescent="0.3">
      <c r="G639" s="470">
        <f t="shared" si="67"/>
        <v>53</v>
      </c>
      <c r="H639" s="470">
        <v>632</v>
      </c>
      <c r="I639" s="455">
        <f t="shared" ca="1" si="55"/>
        <v>-1565005.3640688539</v>
      </c>
      <c r="J639" s="455">
        <f t="array" ref="J639">IFERROR(INDEX('Retirement Calculator'!K:K,MATCH('Lorri 401b'!N639,'Retirement Calculator'!A:A,0),0),0)</f>
        <v>20282.026119384056</v>
      </c>
      <c r="K639" s="455">
        <f t="shared" ca="1" si="53"/>
        <v>-6605.3641257843246</v>
      </c>
      <c r="L639" s="455">
        <f t="shared" ca="1" si="54"/>
        <v>-1591892.7543140221</v>
      </c>
      <c r="M639" s="471">
        <f t="shared" si="56"/>
        <v>0.05</v>
      </c>
      <c r="N639" s="475">
        <f t="shared" si="57"/>
        <v>70495</v>
      </c>
    </row>
    <row r="640" spans="7:14" ht="11.25" customHeight="1" x14ac:dyDescent="0.3">
      <c r="G640" s="470">
        <f t="shared" si="67"/>
        <v>53</v>
      </c>
      <c r="H640" s="470">
        <v>633</v>
      </c>
      <c r="I640" s="455">
        <f t="shared" ca="1" si="55"/>
        <v>-1591892.7543140221</v>
      </c>
      <c r="J640" s="455">
        <f t="array" ref="J640">IFERROR(INDEX('Retirement Calculator'!K:K,MATCH('Lorri 401b'!N640,'Retirement Calculator'!A:A,0),0),0)</f>
        <v>20282.026119384056</v>
      </c>
      <c r="K640" s="455">
        <f t="shared" ca="1" si="53"/>
        <v>-6717.3949184725252</v>
      </c>
      <c r="L640" s="455">
        <f t="shared" ca="1" si="54"/>
        <v>-1618892.1753518786</v>
      </c>
      <c r="M640" s="471">
        <f t="shared" si="56"/>
        <v>0.05</v>
      </c>
      <c r="N640" s="475">
        <f t="shared" si="57"/>
        <v>70526</v>
      </c>
    </row>
    <row r="641" spans="7:14" ht="11.25" customHeight="1" x14ac:dyDescent="0.3">
      <c r="G641" s="470">
        <f t="shared" si="67"/>
        <v>53</v>
      </c>
      <c r="H641" s="470">
        <v>634</v>
      </c>
      <c r="I641" s="455">
        <f t="shared" ca="1" si="55"/>
        <v>-1618892.1753518786</v>
      </c>
      <c r="J641" s="455">
        <f t="array" ref="J641">IFERROR(INDEX('Retirement Calculator'!K:K,MATCH('Lorri 401b'!N641,'Retirement Calculator'!A:A,0),0),0)</f>
        <v>20282.026119384056</v>
      </c>
      <c r="K641" s="455">
        <f t="shared" ca="1" si="53"/>
        <v>-6829.8925061302616</v>
      </c>
      <c r="L641" s="455">
        <f t="shared" ca="1" si="54"/>
        <v>-1646004.0939773929</v>
      </c>
      <c r="M641" s="471">
        <f t="shared" si="56"/>
        <v>0.05</v>
      </c>
      <c r="N641" s="475">
        <f t="shared" si="57"/>
        <v>70554</v>
      </c>
    </row>
    <row r="642" spans="7:14" ht="11.25" customHeight="1" x14ac:dyDescent="0.3">
      <c r="G642" s="470">
        <f t="shared" si="67"/>
        <v>53</v>
      </c>
      <c r="H642" s="470">
        <v>635</v>
      </c>
      <c r="I642" s="455">
        <f t="shared" ca="1" si="55"/>
        <v>-1646004.0939773929</v>
      </c>
      <c r="J642" s="455">
        <f t="array" ref="J642">IFERROR(INDEX('Retirement Calculator'!K:K,MATCH('Lorri 401b'!N642,'Retirement Calculator'!A:A,0),0),0)</f>
        <v>20282.026119384056</v>
      </c>
      <c r="K642" s="455">
        <f t="shared" ca="1" si="53"/>
        <v>-6942.85883373657</v>
      </c>
      <c r="L642" s="455">
        <f t="shared" ca="1" si="54"/>
        <v>-1673228.9789305134</v>
      </c>
      <c r="M642" s="471">
        <f t="shared" si="56"/>
        <v>0.05</v>
      </c>
      <c r="N642" s="475">
        <f t="shared" si="57"/>
        <v>70585</v>
      </c>
    </row>
    <row r="643" spans="7:14" ht="11.25" customHeight="1" x14ac:dyDescent="0.3">
      <c r="G643" s="470">
        <f t="shared" si="67"/>
        <v>53</v>
      </c>
      <c r="H643" s="470">
        <v>636</v>
      </c>
      <c r="I643" s="455">
        <f t="shared" ca="1" si="55"/>
        <v>-1673228.9789305134</v>
      </c>
      <c r="J643" s="455">
        <f t="array" ref="J643">IFERROR(INDEX('Retirement Calculator'!K:K,MATCH('Lorri 401b'!N643,'Retirement Calculator'!A:A,0),0),0)</f>
        <v>20282.026119384056</v>
      </c>
      <c r="K643" s="455">
        <f t="shared" ca="1" si="53"/>
        <v>-7056.2958543745726</v>
      </c>
      <c r="L643" s="455">
        <f t="shared" ca="1" si="54"/>
        <v>-1700567.3009042719</v>
      </c>
      <c r="M643" s="471">
        <f t="shared" si="56"/>
        <v>0.05</v>
      </c>
      <c r="N643" s="475">
        <f t="shared" si="57"/>
        <v>70615</v>
      </c>
    </row>
    <row r="644" spans="7:14" ht="11.25" customHeight="1" x14ac:dyDescent="0.3">
      <c r="G644" s="470">
        <f>G643+1</f>
        <v>54</v>
      </c>
      <c r="H644" s="470">
        <v>637</v>
      </c>
      <c r="I644" s="455">
        <f t="shared" ca="1" si="55"/>
        <v>-1700567.3009042719</v>
      </c>
      <c r="J644" s="455">
        <f t="array" ref="J644">IFERROR(INDEX('Retirement Calculator'!K:K,MATCH('Lorri 401b'!N644,'Retirement Calculator'!A:A,0),0),0)</f>
        <v>20282.026119384056</v>
      </c>
      <c r="K644" s="455">
        <f t="shared" ca="1" si="53"/>
        <v>-7170.2055292652331</v>
      </c>
      <c r="L644" s="455">
        <f t="shared" ca="1" si="54"/>
        <v>-1728019.5325529212</v>
      </c>
      <c r="M644" s="471">
        <f t="shared" si="56"/>
        <v>0.05</v>
      </c>
      <c r="N644" s="475">
        <f t="shared" si="57"/>
        <v>70646</v>
      </c>
    </row>
    <row r="645" spans="7:14" ht="11.25" customHeight="1" x14ac:dyDescent="0.3">
      <c r="G645" s="470">
        <f t="shared" ref="G645:G655" si="68">G644</f>
        <v>54</v>
      </c>
      <c r="H645" s="470">
        <v>638</v>
      </c>
      <c r="I645" s="455">
        <f t="shared" ca="1" si="55"/>
        <v>-1728019.5325529212</v>
      </c>
      <c r="J645" s="455">
        <f t="array" ref="J645">IFERROR(INDEX('Retirement Calculator'!K:K,MATCH('Lorri 401b'!N645,'Retirement Calculator'!A:A,0),0),0)</f>
        <v>20282.026119384056</v>
      </c>
      <c r="K645" s="455">
        <f t="shared" ca="1" si="53"/>
        <v>-7284.5898278012719</v>
      </c>
      <c r="L645" s="455">
        <f t="shared" ca="1" si="54"/>
        <v>-1755586.1485001065</v>
      </c>
      <c r="M645" s="471">
        <f t="shared" si="56"/>
        <v>0.05</v>
      </c>
      <c r="N645" s="475">
        <f t="shared" si="57"/>
        <v>70676</v>
      </c>
    </row>
    <row r="646" spans="7:14" ht="11.25" customHeight="1" x14ac:dyDescent="0.3">
      <c r="G646" s="470">
        <f t="shared" si="68"/>
        <v>54</v>
      </c>
      <c r="H646" s="470">
        <v>639</v>
      </c>
      <c r="I646" s="455">
        <f t="shared" ca="1" si="55"/>
        <v>-1755586.1485001065</v>
      </c>
      <c r="J646" s="455">
        <f t="array" ref="J646">IFERROR(INDEX('Retirement Calculator'!K:K,MATCH('Lorri 401b'!N646,'Retirement Calculator'!A:A,0),0),0)</f>
        <v>20282.026119384056</v>
      </c>
      <c r="K646" s="455">
        <f t="shared" ca="1" si="53"/>
        <v>-7399.4507275812102</v>
      </c>
      <c r="L646" s="455">
        <f t="shared" ca="1" si="54"/>
        <v>-1783267.6253470718</v>
      </c>
      <c r="M646" s="471">
        <f t="shared" si="56"/>
        <v>0.05</v>
      </c>
      <c r="N646" s="475">
        <f t="shared" si="57"/>
        <v>70707</v>
      </c>
    </row>
    <row r="647" spans="7:14" ht="11.25" customHeight="1" x14ac:dyDescent="0.3">
      <c r="G647" s="470">
        <f t="shared" si="68"/>
        <v>54</v>
      </c>
      <c r="H647" s="470">
        <v>640</v>
      </c>
      <c r="I647" s="455">
        <f t="shared" ca="1" si="55"/>
        <v>-1783267.6253470718</v>
      </c>
      <c r="J647" s="455">
        <f t="array" ref="J647">IFERROR(INDEX('Retirement Calculator'!K:K,MATCH('Lorri 401b'!N647,'Retirement Calculator'!A:A,0),0),0)</f>
        <v>20282.026119384056</v>
      </c>
      <c r="K647" s="455">
        <f t="shared" ca="1" si="53"/>
        <v>-7514.7902144435666</v>
      </c>
      <c r="L647" s="455">
        <f t="shared" ca="1" si="54"/>
        <v>-1811064.4416808994</v>
      </c>
      <c r="M647" s="471">
        <f t="shared" si="56"/>
        <v>0.05</v>
      </c>
      <c r="N647" s="475">
        <f t="shared" si="57"/>
        <v>70738</v>
      </c>
    </row>
    <row r="648" spans="7:14" ht="11.25" customHeight="1" x14ac:dyDescent="0.3">
      <c r="G648" s="470">
        <f t="shared" si="68"/>
        <v>54</v>
      </c>
      <c r="H648" s="470">
        <v>641</v>
      </c>
      <c r="I648" s="455">
        <f t="shared" ca="1" si="55"/>
        <v>-1811064.4416808994</v>
      </c>
      <c r="J648" s="455">
        <f t="array" ref="J648">IFERROR(INDEX('Retirement Calculator'!K:K,MATCH('Lorri 401b'!N648,'Retirement Calculator'!A:A,0),0),0)</f>
        <v>20282.026119384056</v>
      </c>
      <c r="K648" s="455">
        <f t="shared" ca="1" si="53"/>
        <v>-7630.6102825011803</v>
      </c>
      <c r="L648" s="455">
        <f t="shared" ca="1" si="54"/>
        <v>-1838977.0780827845</v>
      </c>
      <c r="M648" s="471">
        <f t="shared" si="56"/>
        <v>0.05</v>
      </c>
      <c r="N648" s="475">
        <f t="shared" si="57"/>
        <v>70768</v>
      </c>
    </row>
    <row r="649" spans="7:14" ht="11.25" customHeight="1" x14ac:dyDescent="0.3">
      <c r="G649" s="470">
        <f t="shared" si="68"/>
        <v>54</v>
      </c>
      <c r="H649" s="470">
        <v>642</v>
      </c>
      <c r="I649" s="455">
        <f t="shared" ca="1" si="55"/>
        <v>-1838977.0780827845</v>
      </c>
      <c r="J649" s="455">
        <f t="array" ref="J649">IFERROR(INDEX('Retirement Calculator'!K:K,MATCH('Lorri 401b'!N649,'Retirement Calculator'!A:A,0),0),0)</f>
        <v>20282.026119384056</v>
      </c>
      <c r="K649" s="455">
        <f t="shared" ca="1" si="53"/>
        <v>-7746.9129341757007</v>
      </c>
      <c r="L649" s="455">
        <f t="shared" ca="1" si="54"/>
        <v>-1867006.0171363442</v>
      </c>
      <c r="M649" s="471">
        <f t="shared" si="56"/>
        <v>0.05</v>
      </c>
      <c r="N649" s="475">
        <f t="shared" si="57"/>
        <v>70799</v>
      </c>
    </row>
    <row r="650" spans="7:14" ht="11.25" customHeight="1" x14ac:dyDescent="0.3">
      <c r="G650" s="470">
        <f t="shared" si="68"/>
        <v>54</v>
      </c>
      <c r="H650" s="470">
        <v>643</v>
      </c>
      <c r="I650" s="455">
        <f t="shared" ca="1" si="55"/>
        <v>-1867006.0171363442</v>
      </c>
      <c r="J650" s="455">
        <f t="array" ref="J650">IFERROR(INDEX('Retirement Calculator'!K:K,MATCH('Lorri 401b'!N650,'Retirement Calculator'!A:A,0),0),0)</f>
        <v>20282.026119384056</v>
      </c>
      <c r="K650" s="455">
        <f t="shared" ca="1" si="53"/>
        <v>-7863.7001802322011</v>
      </c>
      <c r="L650" s="455">
        <f t="shared" ca="1" si="54"/>
        <v>-1895151.7434359605</v>
      </c>
      <c r="M650" s="471">
        <f t="shared" si="56"/>
        <v>0.05</v>
      </c>
      <c r="N650" s="475">
        <f t="shared" si="57"/>
        <v>70829</v>
      </c>
    </row>
    <row r="651" spans="7:14" ht="11.25" customHeight="1" x14ac:dyDescent="0.3">
      <c r="G651" s="470">
        <f t="shared" si="68"/>
        <v>54</v>
      </c>
      <c r="H651" s="470">
        <v>644</v>
      </c>
      <c r="I651" s="455">
        <f t="shared" ca="1" si="55"/>
        <v>-1895151.7434359605</v>
      </c>
      <c r="J651" s="455">
        <f t="array" ref="J651">IFERROR(INDEX('Retirement Calculator'!K:K,MATCH('Lorri 401b'!N651,'Retirement Calculator'!A:A,0),0),0)</f>
        <v>20282.026119384056</v>
      </c>
      <c r="K651" s="455">
        <f t="shared" ca="1" si="53"/>
        <v>-7980.9740398139356</v>
      </c>
      <c r="L651" s="455">
        <f t="shared" ca="1" si="54"/>
        <v>-1923414.7435951584</v>
      </c>
      <c r="M651" s="471">
        <f t="shared" si="56"/>
        <v>0.05</v>
      </c>
      <c r="N651" s="475">
        <f t="shared" si="57"/>
        <v>70860</v>
      </c>
    </row>
    <row r="652" spans="7:14" ht="11.25" customHeight="1" x14ac:dyDescent="0.3">
      <c r="G652" s="470">
        <f t="shared" si="68"/>
        <v>54</v>
      </c>
      <c r="H652" s="470">
        <v>645</v>
      </c>
      <c r="I652" s="455">
        <f t="shared" ca="1" si="55"/>
        <v>-1923414.7435951584</v>
      </c>
      <c r="J652" s="455">
        <f t="array" ref="J652">IFERROR(INDEX('Retirement Calculator'!K:K,MATCH('Lorri 401b'!N652,'Retirement Calculator'!A:A,0),0),0)</f>
        <v>20282.026119384056</v>
      </c>
      <c r="K652" s="455">
        <f t="shared" ca="1" si="53"/>
        <v>-8098.73654047726</v>
      </c>
      <c r="L652" s="455">
        <f t="shared" ca="1" si="54"/>
        <v>-1951795.5062550197</v>
      </c>
      <c r="M652" s="471">
        <f t="shared" si="56"/>
        <v>0.05</v>
      </c>
      <c r="N652" s="475">
        <f t="shared" si="57"/>
        <v>70891</v>
      </c>
    </row>
    <row r="653" spans="7:14" ht="11.25" customHeight="1" x14ac:dyDescent="0.3">
      <c r="G653" s="470">
        <f t="shared" si="68"/>
        <v>54</v>
      </c>
      <c r="H653" s="470">
        <v>646</v>
      </c>
      <c r="I653" s="455">
        <f t="shared" ca="1" si="55"/>
        <v>-1951795.5062550197</v>
      </c>
      <c r="J653" s="455">
        <f t="array" ref="J653">IFERROR(INDEX('Retirement Calculator'!K:K,MATCH('Lorri 401b'!N653,'Retirement Calculator'!A:A,0),0),0)</f>
        <v>20282.026119384056</v>
      </c>
      <c r="K653" s="455">
        <f t="shared" ca="1" si="53"/>
        <v>-8216.9897182266814</v>
      </c>
      <c r="L653" s="455">
        <f t="shared" ca="1" si="54"/>
        <v>-1980294.5220926304</v>
      </c>
      <c r="M653" s="471">
        <f t="shared" si="56"/>
        <v>0.05</v>
      </c>
      <c r="N653" s="475">
        <f t="shared" si="57"/>
        <v>70919</v>
      </c>
    </row>
    <row r="654" spans="7:14" ht="11.25" customHeight="1" x14ac:dyDescent="0.3">
      <c r="G654" s="470">
        <f t="shared" si="68"/>
        <v>54</v>
      </c>
      <c r="H654" s="470">
        <v>647</v>
      </c>
      <c r="I654" s="455">
        <f t="shared" ca="1" si="55"/>
        <v>-1980294.5220926304</v>
      </c>
      <c r="J654" s="455">
        <f t="array" ref="J654">IFERROR(INDEX('Retirement Calculator'!K:K,MATCH('Lorri 401b'!N654,'Retirement Calculator'!A:A,0),0),0)</f>
        <v>20282.026119384056</v>
      </c>
      <c r="K654" s="455">
        <f t="shared" ca="1" si="53"/>
        <v>-8335.735617550059</v>
      </c>
      <c r="L654" s="455">
        <f t="shared" ca="1" si="54"/>
        <v>-2008912.2838295645</v>
      </c>
      <c r="M654" s="471">
        <f t="shared" si="56"/>
        <v>0.05</v>
      </c>
      <c r="N654" s="475">
        <f t="shared" si="57"/>
        <v>70950</v>
      </c>
    </row>
    <row r="655" spans="7:14" ht="11.25" customHeight="1" x14ac:dyDescent="0.3">
      <c r="G655" s="470">
        <f t="shared" si="68"/>
        <v>54</v>
      </c>
      <c r="H655" s="470">
        <v>648</v>
      </c>
      <c r="I655" s="455">
        <f t="shared" ca="1" si="55"/>
        <v>-2008912.2838295645</v>
      </c>
      <c r="J655" s="455">
        <f t="array" ref="J655">IFERROR(INDEX('Retirement Calculator'!K:K,MATCH('Lorri 401b'!N655,'Retirement Calculator'!A:A,0),0),0)</f>
        <v>20282.026119384056</v>
      </c>
      <c r="K655" s="455">
        <f t="shared" ca="1" si="53"/>
        <v>-8454.9762914539515</v>
      </c>
      <c r="L655" s="455">
        <f t="shared" ca="1" si="54"/>
        <v>-2037649.2862404024</v>
      </c>
      <c r="M655" s="471">
        <f t="shared" si="56"/>
        <v>0.05</v>
      </c>
      <c r="N655" s="475">
        <f t="shared" si="57"/>
        <v>70980</v>
      </c>
    </row>
    <row r="656" spans="7:14" ht="11.25" customHeight="1" x14ac:dyDescent="0.3">
      <c r="G656" s="470">
        <f>G655+1</f>
        <v>55</v>
      </c>
      <c r="H656" s="470">
        <v>649</v>
      </c>
      <c r="I656" s="455">
        <f t="shared" ca="1" si="55"/>
        <v>-2037649.2862404024</v>
      </c>
      <c r="J656" s="455">
        <f t="array" ref="J656">IFERROR(INDEX('Retirement Calculator'!K:K,MATCH('Lorri 401b'!N656,'Retirement Calculator'!A:A,0),0),0)</f>
        <v>20282.026119384056</v>
      </c>
      <c r="K656" s="455">
        <f t="shared" ca="1" si="53"/>
        <v>-8574.7138014991106</v>
      </c>
      <c r="L656" s="455">
        <f t="shared" ca="1" si="54"/>
        <v>-2066506.0261612856</v>
      </c>
      <c r="M656" s="471">
        <f t="shared" si="56"/>
        <v>0.05</v>
      </c>
      <c r="N656" s="475">
        <f t="shared" si="57"/>
        <v>71011</v>
      </c>
    </row>
    <row r="657" spans="7:14" ht="11.25" customHeight="1" x14ac:dyDescent="0.3">
      <c r="G657" s="470">
        <f t="shared" ref="G657:G667" si="69">G656</f>
        <v>55</v>
      </c>
      <c r="H657" s="470">
        <v>650</v>
      </c>
      <c r="I657" s="455">
        <f t="shared" ca="1" si="55"/>
        <v>-2066506.0261612856</v>
      </c>
      <c r="J657" s="455">
        <f t="array" ref="J657">IFERROR(INDEX('Retirement Calculator'!K:K,MATCH('Lorri 401b'!N657,'Retirement Calculator'!A:A,0),0),0)</f>
        <v>20282.026119384056</v>
      </c>
      <c r="K657" s="455">
        <f t="shared" ca="1" si="53"/>
        <v>-8694.9502178361236</v>
      </c>
      <c r="L657" s="455">
        <f t="shared" ca="1" si="54"/>
        <v>-2095483.0024985056</v>
      </c>
      <c r="M657" s="471">
        <f t="shared" si="56"/>
        <v>0.05</v>
      </c>
      <c r="N657" s="475">
        <f t="shared" si="57"/>
        <v>71041</v>
      </c>
    </row>
    <row r="658" spans="7:14" ht="11.25" customHeight="1" x14ac:dyDescent="0.3">
      <c r="G658" s="470">
        <f t="shared" si="69"/>
        <v>55</v>
      </c>
      <c r="H658" s="470">
        <v>651</v>
      </c>
      <c r="I658" s="455">
        <f t="shared" ca="1" si="55"/>
        <v>-2095483.0024985056</v>
      </c>
      <c r="J658" s="455">
        <f t="array" ref="J658">IFERROR(INDEX('Retirement Calculator'!K:K,MATCH('Lorri 401b'!N658,'Retirement Calculator'!A:A,0),0),0)</f>
        <v>20282.026119384056</v>
      </c>
      <c r="K658" s="455">
        <f t="shared" ca="1" si="53"/>
        <v>-8815.6876192412074</v>
      </c>
      <c r="L658" s="455">
        <f t="shared" ca="1" si="54"/>
        <v>-2124580.716237131</v>
      </c>
      <c r="M658" s="471">
        <f t="shared" si="56"/>
        <v>0.05</v>
      </c>
      <c r="N658" s="475">
        <f t="shared" si="57"/>
        <v>71072</v>
      </c>
    </row>
    <row r="659" spans="7:14" ht="11.25" customHeight="1" x14ac:dyDescent="0.3">
      <c r="G659" s="470">
        <f t="shared" si="69"/>
        <v>55</v>
      </c>
      <c r="H659" s="470">
        <v>652</v>
      </c>
      <c r="I659" s="455">
        <f t="shared" ca="1" si="55"/>
        <v>-2124580.716237131</v>
      </c>
      <c r="J659" s="455">
        <f t="array" ref="J659">IFERROR(INDEX('Retirement Calculator'!K:K,MATCH('Lorri 401b'!N659,'Retirement Calculator'!A:A,0),0),0)</f>
        <v>20282.026119384056</v>
      </c>
      <c r="K659" s="455">
        <f t="shared" ca="1" si="53"/>
        <v>-8936.9280931521462</v>
      </c>
      <c r="L659" s="455">
        <f t="shared" ca="1" si="54"/>
        <v>-2153799.6704496671</v>
      </c>
      <c r="M659" s="471">
        <f t="shared" si="56"/>
        <v>0.05</v>
      </c>
      <c r="N659" s="475">
        <f t="shared" si="57"/>
        <v>71103</v>
      </c>
    </row>
    <row r="660" spans="7:14" ht="11.25" customHeight="1" x14ac:dyDescent="0.3">
      <c r="G660" s="470">
        <f t="shared" si="69"/>
        <v>55</v>
      </c>
      <c r="H660" s="470">
        <v>653</v>
      </c>
      <c r="I660" s="455">
        <f t="shared" ca="1" si="55"/>
        <v>-2153799.6704496671</v>
      </c>
      <c r="J660" s="455">
        <f t="array" ref="J660">IFERROR(INDEX('Retirement Calculator'!K:K,MATCH('Lorri 401b'!N660,'Retirement Calculator'!A:A,0),0),0)</f>
        <v>20282.026119384056</v>
      </c>
      <c r="K660" s="455">
        <f t="shared" ca="1" si="53"/>
        <v>-9058.6737357043803</v>
      </c>
      <c r="L660" s="455">
        <f t="shared" ca="1" si="54"/>
        <v>-2183140.3703047554</v>
      </c>
      <c r="M660" s="471">
        <f t="shared" si="56"/>
        <v>0.05</v>
      </c>
      <c r="N660" s="475">
        <f t="shared" si="57"/>
        <v>71133</v>
      </c>
    </row>
    <row r="661" spans="7:14" ht="11.25" customHeight="1" x14ac:dyDescent="0.3">
      <c r="G661" s="470">
        <f t="shared" si="69"/>
        <v>55</v>
      </c>
      <c r="H661" s="470">
        <v>654</v>
      </c>
      <c r="I661" s="455">
        <f t="shared" ca="1" si="55"/>
        <v>-2183140.3703047554</v>
      </c>
      <c r="J661" s="455">
        <f t="array" ref="J661">IFERROR(INDEX('Retirement Calculator'!K:K,MATCH('Lorri 401b'!N661,'Retirement Calculator'!A:A,0),0),0)</f>
        <v>20282.026119384056</v>
      </c>
      <c r="K661" s="455">
        <f t="shared" ca="1" si="53"/>
        <v>-9180.9266517672477</v>
      </c>
      <c r="L661" s="455">
        <f t="shared" ca="1" si="54"/>
        <v>-2212603.3230759068</v>
      </c>
      <c r="M661" s="471">
        <f t="shared" si="56"/>
        <v>0.05</v>
      </c>
      <c r="N661" s="475">
        <f t="shared" si="57"/>
        <v>71164</v>
      </c>
    </row>
    <row r="662" spans="7:14" ht="11.25" customHeight="1" x14ac:dyDescent="0.3">
      <c r="G662" s="470">
        <f t="shared" si="69"/>
        <v>55</v>
      </c>
      <c r="H662" s="470">
        <v>655</v>
      </c>
      <c r="I662" s="455">
        <f t="shared" ca="1" si="55"/>
        <v>-2212603.3230759068</v>
      </c>
      <c r="J662" s="455">
        <f t="array" ref="J662">IFERROR(INDEX('Retirement Calculator'!K:K,MATCH('Lorri 401b'!N662,'Retirement Calculator'!A:A,0),0),0)</f>
        <v>20282.026119384056</v>
      </c>
      <c r="K662" s="455">
        <f t="shared" ca="1" si="53"/>
        <v>-9303.6889549803782</v>
      </c>
      <c r="L662" s="455">
        <f t="shared" ca="1" si="54"/>
        <v>-2242189.0381502714</v>
      </c>
      <c r="M662" s="471">
        <f t="shared" si="56"/>
        <v>0.05</v>
      </c>
      <c r="N662" s="475">
        <f t="shared" si="57"/>
        <v>71194</v>
      </c>
    </row>
    <row r="663" spans="7:14" ht="11.25" customHeight="1" x14ac:dyDescent="0.3">
      <c r="G663" s="470">
        <f t="shared" si="69"/>
        <v>55</v>
      </c>
      <c r="H663" s="470">
        <v>656</v>
      </c>
      <c r="I663" s="455">
        <f t="shared" ca="1" si="55"/>
        <v>-2242189.0381502714</v>
      </c>
      <c r="J663" s="455">
        <f t="array" ref="J663">IFERROR(INDEX('Retirement Calculator'!K:K,MATCH('Lorri 401b'!N663,'Retirement Calculator'!A:A,0),0),0)</f>
        <v>20282.026119384056</v>
      </c>
      <c r="K663" s="455">
        <f t="shared" ca="1" si="53"/>
        <v>-9426.9627677902299</v>
      </c>
      <c r="L663" s="455">
        <f t="shared" ca="1" si="54"/>
        <v>-2271898.0270374455</v>
      </c>
      <c r="M663" s="471">
        <f t="shared" si="56"/>
        <v>0.05</v>
      </c>
      <c r="N663" s="475">
        <f t="shared" si="57"/>
        <v>71225</v>
      </c>
    </row>
    <row r="664" spans="7:14" ht="11.25" customHeight="1" x14ac:dyDescent="0.3">
      <c r="G664" s="470">
        <f t="shared" si="69"/>
        <v>55</v>
      </c>
      <c r="H664" s="470">
        <v>657</v>
      </c>
      <c r="I664" s="455">
        <f t="shared" ca="1" si="55"/>
        <v>-2271898.0270374455</v>
      </c>
      <c r="J664" s="455">
        <f t="array" ref="J664">IFERROR(INDEX('Retirement Calculator'!K:K,MATCH('Lorri 401b'!N664,'Retirement Calculator'!A:A,0),0),0)</f>
        <v>20282.026119384056</v>
      </c>
      <c r="K664" s="455">
        <f t="shared" ca="1" si="53"/>
        <v>-9550.7502214867891</v>
      </c>
      <c r="L664" s="455">
        <f t="shared" ca="1" si="54"/>
        <v>-2301730.8033783161</v>
      </c>
      <c r="M664" s="471">
        <f t="shared" si="56"/>
        <v>0.05</v>
      </c>
      <c r="N664" s="475">
        <f t="shared" si="57"/>
        <v>71256</v>
      </c>
    </row>
    <row r="665" spans="7:14" ht="11.25" customHeight="1" x14ac:dyDescent="0.3">
      <c r="G665" s="470">
        <f t="shared" si="69"/>
        <v>55</v>
      </c>
      <c r="H665" s="470">
        <v>658</v>
      </c>
      <c r="I665" s="455">
        <f t="shared" ca="1" si="55"/>
        <v>-2301730.8033783161</v>
      </c>
      <c r="J665" s="455">
        <f t="array" ref="J665">IFERROR(INDEX('Retirement Calculator'!K:K,MATCH('Lorri 401b'!N665,'Retirement Calculator'!A:A,0),0),0)</f>
        <v>20282.026119384056</v>
      </c>
      <c r="K665" s="455">
        <f t="shared" ca="1" si="53"/>
        <v>-9675.0534562404173</v>
      </c>
      <c r="L665" s="455">
        <f t="shared" ca="1" si="54"/>
        <v>-2331687.8829539404</v>
      </c>
      <c r="M665" s="471">
        <f t="shared" si="56"/>
        <v>0.05</v>
      </c>
      <c r="N665" s="475">
        <f t="shared" si="57"/>
        <v>71284</v>
      </c>
    </row>
    <row r="666" spans="7:14" ht="11.25" customHeight="1" x14ac:dyDescent="0.3">
      <c r="G666" s="470">
        <f t="shared" si="69"/>
        <v>55</v>
      </c>
      <c r="H666" s="470">
        <v>659</v>
      </c>
      <c r="I666" s="455">
        <f t="shared" ca="1" si="55"/>
        <v>-2331687.8829539404</v>
      </c>
      <c r="J666" s="455">
        <f t="array" ref="J666">IFERROR(INDEX('Retirement Calculator'!K:K,MATCH('Lorri 401b'!N666,'Retirement Calculator'!A:A,0),0),0)</f>
        <v>20282.026119384056</v>
      </c>
      <c r="K666" s="455">
        <f t="shared" ca="1" si="53"/>
        <v>-9799.8746211388516</v>
      </c>
      <c r="L666" s="455">
        <f t="shared" ca="1" si="54"/>
        <v>-2361769.7836944633</v>
      </c>
      <c r="M666" s="471">
        <f t="shared" si="56"/>
        <v>0.05</v>
      </c>
      <c r="N666" s="475">
        <f t="shared" si="57"/>
        <v>71315</v>
      </c>
    </row>
    <row r="667" spans="7:14" ht="11.25" customHeight="1" x14ac:dyDescent="0.3">
      <c r="G667" s="470">
        <f t="shared" si="69"/>
        <v>55</v>
      </c>
      <c r="H667" s="470">
        <v>660</v>
      </c>
      <c r="I667" s="455">
        <f t="shared" ca="1" si="55"/>
        <v>-2361769.7836944633</v>
      </c>
      <c r="J667" s="455">
        <f t="array" ref="J667">IFERROR(INDEX('Retirement Calculator'!K:K,MATCH('Lorri 401b'!N667,'Retirement Calculator'!A:A,0),0),0)</f>
        <v>20282.026119384056</v>
      </c>
      <c r="K667" s="455">
        <f t="shared" ca="1" si="53"/>
        <v>-9925.2158742243628</v>
      </c>
      <c r="L667" s="455">
        <f t="shared" ca="1" si="54"/>
        <v>-2391977.0256880717</v>
      </c>
      <c r="M667" s="471">
        <f t="shared" si="56"/>
        <v>0.05</v>
      </c>
      <c r="N667" s="475">
        <f t="shared" si="57"/>
        <v>71345</v>
      </c>
    </row>
    <row r="668" spans="7:14" ht="11.25" customHeight="1" x14ac:dyDescent="0.3">
      <c r="G668" s="470">
        <f>G667+1</f>
        <v>56</v>
      </c>
      <c r="H668" s="470">
        <v>661</v>
      </c>
      <c r="I668" s="455">
        <f t="shared" ca="1" si="55"/>
        <v>-2391977.0256880717</v>
      </c>
      <c r="J668" s="455">
        <f t="array" ref="J668">IFERROR(INDEX('Retirement Calculator'!K:K,MATCH('Lorri 401b'!N668,'Retirement Calculator'!A:A,0),0),0)</f>
        <v>20282.026119384056</v>
      </c>
      <c r="K668" s="455">
        <f t="shared" ca="1" si="53"/>
        <v>-10051.079382531065</v>
      </c>
      <c r="L668" s="455">
        <f t="shared" ca="1" si="54"/>
        <v>-2422310.1311899866</v>
      </c>
      <c r="M668" s="471">
        <f t="shared" si="56"/>
        <v>0.05</v>
      </c>
      <c r="N668" s="475">
        <f t="shared" si="57"/>
        <v>71376</v>
      </c>
    </row>
    <row r="669" spans="7:14" ht="11.25" customHeight="1" x14ac:dyDescent="0.3">
      <c r="G669" s="470">
        <f t="shared" ref="G669:G679" si="70">G668</f>
        <v>56</v>
      </c>
      <c r="H669" s="470">
        <v>662</v>
      </c>
      <c r="I669" s="455">
        <f t="shared" ca="1" si="55"/>
        <v>-2422310.1311899866</v>
      </c>
      <c r="J669" s="455">
        <f t="array" ref="J669">IFERROR(INDEX('Retirement Calculator'!K:K,MATCH('Lorri 401b'!N669,'Retirement Calculator'!A:A,0),0),0)</f>
        <v>20282.026119384056</v>
      </c>
      <c r="K669" s="455">
        <f t="shared" ca="1" si="53"/>
        <v>-10177.467322122377</v>
      </c>
      <c r="L669" s="455">
        <f t="shared" ca="1" si="54"/>
        <v>-2452769.6246314929</v>
      </c>
      <c r="M669" s="471">
        <f t="shared" si="56"/>
        <v>0.05</v>
      </c>
      <c r="N669" s="475">
        <f t="shared" si="57"/>
        <v>71406</v>
      </c>
    </row>
    <row r="670" spans="7:14" ht="11.25" customHeight="1" x14ac:dyDescent="0.3">
      <c r="G670" s="470">
        <f t="shared" si="70"/>
        <v>56</v>
      </c>
      <c r="H670" s="470">
        <v>663</v>
      </c>
      <c r="I670" s="455">
        <f t="shared" ca="1" si="55"/>
        <v>-2452769.6246314929</v>
      </c>
      <c r="J670" s="455">
        <f t="array" ref="J670">IFERROR(INDEX('Retirement Calculator'!K:K,MATCH('Lorri 401b'!N670,'Retirement Calculator'!A:A,0),0),0)</f>
        <v>20282.026119384056</v>
      </c>
      <c r="K670" s="455">
        <f t="shared" ca="1" si="53"/>
        <v>-10304.381878128654</v>
      </c>
      <c r="L670" s="455">
        <f t="shared" ca="1" si="54"/>
        <v>-2483356.0326290056</v>
      </c>
      <c r="M670" s="471">
        <f t="shared" si="56"/>
        <v>0.05</v>
      </c>
      <c r="N670" s="475">
        <f t="shared" si="57"/>
        <v>71437</v>
      </c>
    </row>
    <row r="671" spans="7:14" ht="11.25" customHeight="1" x14ac:dyDescent="0.3">
      <c r="G671" s="470">
        <f t="shared" si="70"/>
        <v>56</v>
      </c>
      <c r="H671" s="470">
        <v>664</v>
      </c>
      <c r="I671" s="455">
        <f t="shared" ca="1" si="55"/>
        <v>-2483356.0326290056</v>
      </c>
      <c r="J671" s="455">
        <f t="array" ref="J671">IFERROR(INDEX('Retirement Calculator'!K:K,MATCH('Lorri 401b'!N671,'Retirement Calculator'!A:A,0),0),0)</f>
        <v>20282.026119384056</v>
      </c>
      <c r="K671" s="455">
        <f t="shared" ca="1" si="53"/>
        <v>-10431.825244784957</v>
      </c>
      <c r="L671" s="455">
        <f t="shared" ca="1" si="54"/>
        <v>-2514069.8839931744</v>
      </c>
      <c r="M671" s="471">
        <f t="shared" si="56"/>
        <v>0.05</v>
      </c>
      <c r="N671" s="475">
        <f t="shared" si="57"/>
        <v>71468</v>
      </c>
    </row>
    <row r="672" spans="7:14" ht="11.25" customHeight="1" x14ac:dyDescent="0.3">
      <c r="G672" s="470">
        <f t="shared" si="70"/>
        <v>56</v>
      </c>
      <c r="H672" s="470">
        <v>665</v>
      </c>
      <c r="I672" s="455">
        <f t="shared" ca="1" si="55"/>
        <v>-2514069.8839931744</v>
      </c>
      <c r="J672" s="455">
        <f t="array" ref="J672">IFERROR(INDEX('Retirement Calculator'!K:K,MATCH('Lorri 401b'!N672,'Retirement Calculator'!A:A,0),0),0)</f>
        <v>20282.026119384056</v>
      </c>
      <c r="K672" s="455">
        <f t="shared" ca="1" si="53"/>
        <v>-10559.799625468993</v>
      </c>
      <c r="L672" s="455">
        <f t="shared" ca="1" si="54"/>
        <v>-2544911.7097380273</v>
      </c>
      <c r="M672" s="471">
        <f t="shared" si="56"/>
        <v>0.05</v>
      </c>
      <c r="N672" s="475">
        <f t="shared" si="57"/>
        <v>71498</v>
      </c>
    </row>
    <row r="673" spans="7:14" ht="11.25" customHeight="1" x14ac:dyDescent="0.3">
      <c r="G673" s="470">
        <f t="shared" si="70"/>
        <v>56</v>
      </c>
      <c r="H673" s="470">
        <v>666</v>
      </c>
      <c r="I673" s="455">
        <f t="shared" ca="1" si="55"/>
        <v>-2544911.7097380273</v>
      </c>
      <c r="J673" s="455">
        <f t="array" ref="J673">IFERROR(INDEX('Retirement Calculator'!K:K,MATCH('Lorri 401b'!N673,'Retirement Calculator'!A:A,0),0),0)</f>
        <v>20282.026119384056</v>
      </c>
      <c r="K673" s="455">
        <f t="shared" ca="1" si="53"/>
        <v>-10688.307232739213</v>
      </c>
      <c r="L673" s="455">
        <f t="shared" ca="1" si="54"/>
        <v>-2575882.0430901507</v>
      </c>
      <c r="M673" s="471">
        <f t="shared" si="56"/>
        <v>0.05</v>
      </c>
      <c r="N673" s="475">
        <f t="shared" si="57"/>
        <v>71529</v>
      </c>
    </row>
    <row r="674" spans="7:14" ht="11.25" customHeight="1" x14ac:dyDescent="0.3">
      <c r="G674" s="470">
        <f t="shared" si="70"/>
        <v>56</v>
      </c>
      <c r="H674" s="470">
        <v>667</v>
      </c>
      <c r="I674" s="455">
        <f t="shared" ca="1" si="55"/>
        <v>-2575882.0430901507</v>
      </c>
      <c r="J674" s="455">
        <f t="array" ref="J674">IFERROR(INDEX('Retirement Calculator'!K:K,MATCH('Lorri 401b'!N674,'Retirement Calculator'!A:A,0),0),0)</f>
        <v>20282.026119384056</v>
      </c>
      <c r="K674" s="455">
        <f t="shared" ca="1" si="53"/>
        <v>-10817.350288373062</v>
      </c>
      <c r="L674" s="455">
        <f t="shared" ca="1" si="54"/>
        <v>-2606981.4194979076</v>
      </c>
      <c r="M674" s="471">
        <f t="shared" si="56"/>
        <v>0.05</v>
      </c>
      <c r="N674" s="475">
        <f t="shared" si="57"/>
        <v>71559</v>
      </c>
    </row>
    <row r="675" spans="7:14" ht="11.25" customHeight="1" x14ac:dyDescent="0.3">
      <c r="G675" s="470">
        <f t="shared" si="70"/>
        <v>56</v>
      </c>
      <c r="H675" s="470">
        <v>668</v>
      </c>
      <c r="I675" s="455">
        <f t="shared" ca="1" si="55"/>
        <v>-2606981.4194979076</v>
      </c>
      <c r="J675" s="455">
        <f t="array" ref="J675">IFERROR(INDEX('Retirement Calculator'!K:K,MATCH('Lorri 401b'!N675,'Retirement Calculator'!A:A,0),0),0)</f>
        <v>20282.026119384056</v>
      </c>
      <c r="K675" s="455">
        <f t="shared" ca="1" si="53"/>
        <v>-10946.931023405381</v>
      </c>
      <c r="L675" s="455">
        <f t="shared" ca="1" si="54"/>
        <v>-2638210.376640697</v>
      </c>
      <c r="M675" s="471">
        <f t="shared" si="56"/>
        <v>0.05</v>
      </c>
      <c r="N675" s="475">
        <f t="shared" si="57"/>
        <v>71590</v>
      </c>
    </row>
    <row r="676" spans="7:14" ht="11.25" customHeight="1" x14ac:dyDescent="0.3">
      <c r="G676" s="470">
        <f t="shared" si="70"/>
        <v>56</v>
      </c>
      <c r="H676" s="470">
        <v>669</v>
      </c>
      <c r="I676" s="455">
        <f t="shared" ca="1" si="55"/>
        <v>-2638210.376640697</v>
      </c>
      <c r="J676" s="455">
        <f t="array" ref="J676">IFERROR(INDEX('Retirement Calculator'!K:K,MATCH('Lorri 401b'!N676,'Retirement Calculator'!A:A,0),0),0)</f>
        <v>20282.026119384056</v>
      </c>
      <c r="K676" s="455">
        <f t="shared" ca="1" si="53"/>
        <v>-11077.051678167005</v>
      </c>
      <c r="L676" s="455">
        <f t="shared" ca="1" si="54"/>
        <v>-2669569.4544382482</v>
      </c>
      <c r="M676" s="471">
        <f t="shared" si="56"/>
        <v>0.05</v>
      </c>
      <c r="N676" s="475">
        <f t="shared" si="57"/>
        <v>71621</v>
      </c>
    </row>
    <row r="677" spans="7:14" ht="11.25" customHeight="1" x14ac:dyDescent="0.3">
      <c r="G677" s="470">
        <f t="shared" si="70"/>
        <v>56</v>
      </c>
      <c r="H677" s="470">
        <v>670</v>
      </c>
      <c r="I677" s="455">
        <f t="shared" ca="1" si="55"/>
        <v>-2669569.4544382482</v>
      </c>
      <c r="J677" s="455">
        <f t="array" ref="J677">IFERROR(INDEX('Retirement Calculator'!K:K,MATCH('Lorri 401b'!N677,'Retirement Calculator'!A:A,0),0),0)</f>
        <v>20282.026119384056</v>
      </c>
      <c r="K677" s="455">
        <f t="shared" ca="1" si="53"/>
        <v>-11207.714502323468</v>
      </c>
      <c r="L677" s="455">
        <f t="shared" ca="1" si="54"/>
        <v>-2701059.1950599556</v>
      </c>
      <c r="M677" s="471">
        <f t="shared" si="56"/>
        <v>0.05</v>
      </c>
      <c r="N677" s="475">
        <f t="shared" si="57"/>
        <v>71650</v>
      </c>
    </row>
    <row r="678" spans="7:14" ht="11.25" customHeight="1" x14ac:dyDescent="0.3">
      <c r="G678" s="470">
        <f t="shared" si="70"/>
        <v>56</v>
      </c>
      <c r="H678" s="470">
        <v>671</v>
      </c>
      <c r="I678" s="455">
        <f t="shared" ca="1" si="55"/>
        <v>-2701059.1950599556</v>
      </c>
      <c r="J678" s="455">
        <f t="array" ref="J678">IFERROR(INDEX('Retirement Calculator'!K:K,MATCH('Lorri 401b'!N678,'Retirement Calculator'!A:A,0),0),0)</f>
        <v>20282.026119384056</v>
      </c>
      <c r="K678" s="455">
        <f t="shared" ca="1" si="53"/>
        <v>-11338.921754913914</v>
      </c>
      <c r="L678" s="455">
        <f t="shared" ca="1" si="54"/>
        <v>-2732680.1429342534</v>
      </c>
      <c r="M678" s="471">
        <f t="shared" si="56"/>
        <v>0.05</v>
      </c>
      <c r="N678" s="475">
        <f t="shared" si="57"/>
        <v>71681</v>
      </c>
    </row>
    <row r="679" spans="7:14" ht="11.25" customHeight="1" x14ac:dyDescent="0.3">
      <c r="G679" s="470">
        <f t="shared" si="70"/>
        <v>56</v>
      </c>
      <c r="H679" s="470">
        <v>672</v>
      </c>
      <c r="I679" s="455">
        <f t="shared" ca="1" si="55"/>
        <v>-2732680.1429342534</v>
      </c>
      <c r="J679" s="455">
        <f t="array" ref="J679">IFERROR(INDEX('Retirement Calculator'!K:K,MATCH('Lorri 401b'!N679,'Retirement Calculator'!A:A,0),0),0)</f>
        <v>20282.026119384056</v>
      </c>
      <c r="K679" s="455">
        <f t="shared" ca="1" si="53"/>
        <v>-11470.675704390156</v>
      </c>
      <c r="L679" s="455">
        <f t="shared" ca="1" si="54"/>
        <v>-2764432.8447580277</v>
      </c>
      <c r="M679" s="471">
        <f t="shared" si="56"/>
        <v>0.05</v>
      </c>
      <c r="N679" s="475">
        <f t="shared" si="57"/>
        <v>71711</v>
      </c>
    </row>
    <row r="680" spans="7:14" ht="11.25" customHeight="1" x14ac:dyDescent="0.3">
      <c r="G680" s="470">
        <f>G679+1</f>
        <v>57</v>
      </c>
      <c r="H680" s="470">
        <v>673</v>
      </c>
      <c r="I680" s="455">
        <f t="shared" ca="1" si="55"/>
        <v>-2764432.8447580277</v>
      </c>
      <c r="J680" s="455">
        <f t="array" ref="J680">IFERROR(INDEX('Retirement Calculator'!K:K,MATCH('Lorri 401b'!N680,'Retirement Calculator'!A:A,0),0),0)</f>
        <v>20282.026119384056</v>
      </c>
      <c r="K680" s="455">
        <f t="shared" ca="1" si="53"/>
        <v>-11602.978628655881</v>
      </c>
      <c r="L680" s="455">
        <f t="shared" ca="1" si="54"/>
        <v>-2796317.8495060676</v>
      </c>
      <c r="M680" s="471">
        <f t="shared" si="56"/>
        <v>0.05</v>
      </c>
      <c r="N680" s="475">
        <f t="shared" si="57"/>
        <v>71742</v>
      </c>
    </row>
    <row r="681" spans="7:14" ht="11.25" customHeight="1" x14ac:dyDescent="0.3">
      <c r="G681" s="470">
        <f t="shared" ref="G681:G691" si="71">G680</f>
        <v>57</v>
      </c>
      <c r="H681" s="470">
        <v>674</v>
      </c>
      <c r="I681" s="455">
        <f t="shared" ca="1" si="55"/>
        <v>-2796317.8495060676</v>
      </c>
      <c r="J681" s="455">
        <f t="array" ref="J681">IFERROR(INDEX('Retirement Calculator'!K:K,MATCH('Lorri 401b'!N681,'Retirement Calculator'!A:A,0),0),0)</f>
        <v>20282.026119384056</v>
      </c>
      <c r="K681" s="455">
        <f t="shared" ca="1" si="53"/>
        <v>-11735.832815106049</v>
      </c>
      <c r="L681" s="455">
        <f t="shared" ca="1" si="54"/>
        <v>-2828335.7084405576</v>
      </c>
      <c r="M681" s="471">
        <f t="shared" si="56"/>
        <v>0.05</v>
      </c>
      <c r="N681" s="475">
        <f t="shared" si="57"/>
        <v>71772</v>
      </c>
    </row>
    <row r="682" spans="7:14" ht="11.25" customHeight="1" x14ac:dyDescent="0.3">
      <c r="G682" s="470">
        <f t="shared" si="71"/>
        <v>57</v>
      </c>
      <c r="H682" s="470">
        <v>675</v>
      </c>
      <c r="I682" s="455">
        <f t="shared" ca="1" si="55"/>
        <v>-2828335.7084405576</v>
      </c>
      <c r="J682" s="455">
        <f t="array" ref="J682">IFERROR(INDEX('Retirement Calculator'!K:K,MATCH('Lorri 401b'!N682,'Retirement Calculator'!A:A,0),0),0)</f>
        <v>20282.026119384056</v>
      </c>
      <c r="K682" s="455">
        <f t="shared" ca="1" si="53"/>
        <v>-11869.240560666423</v>
      </c>
      <c r="L682" s="455">
        <f t="shared" ca="1" si="54"/>
        <v>-2860486.9751206078</v>
      </c>
      <c r="M682" s="471">
        <f t="shared" si="56"/>
        <v>0.05</v>
      </c>
      <c r="N682" s="475">
        <f t="shared" si="57"/>
        <v>71803</v>
      </c>
    </row>
    <row r="683" spans="7:14" ht="11.25" customHeight="1" x14ac:dyDescent="0.3">
      <c r="G683" s="470">
        <f t="shared" si="71"/>
        <v>57</v>
      </c>
      <c r="H683" s="470">
        <v>676</v>
      </c>
      <c r="I683" s="455">
        <f t="shared" ca="1" si="55"/>
        <v>-2860486.9751206078</v>
      </c>
      <c r="J683" s="455">
        <f t="array" ref="J683">IFERROR(INDEX('Retirement Calculator'!K:K,MATCH('Lorri 401b'!N683,'Retirement Calculator'!A:A,0),0),0)</f>
        <v>20282.026119384056</v>
      </c>
      <c r="K683" s="455">
        <f t="shared" ca="1" si="53"/>
        <v>-12003.204171833298</v>
      </c>
      <c r="L683" s="455">
        <f t="shared" ca="1" si="54"/>
        <v>-2892772.2054118249</v>
      </c>
      <c r="M683" s="471">
        <f t="shared" si="56"/>
        <v>0.05</v>
      </c>
      <c r="N683" s="475">
        <f t="shared" si="57"/>
        <v>71834</v>
      </c>
    </row>
    <row r="684" spans="7:14" ht="11.25" customHeight="1" x14ac:dyDescent="0.3">
      <c r="G684" s="470">
        <f t="shared" si="71"/>
        <v>57</v>
      </c>
      <c r="H684" s="470">
        <v>677</v>
      </c>
      <c r="I684" s="455">
        <f t="shared" ca="1" si="55"/>
        <v>-2892772.2054118249</v>
      </c>
      <c r="J684" s="455">
        <f t="array" ref="J684">IFERROR(INDEX('Retirement Calculator'!K:K,MATCH('Lorri 401b'!N684,'Retirement Calculator'!A:A,0),0),0)</f>
        <v>20282.026119384056</v>
      </c>
      <c r="K684" s="455">
        <f t="shared" ca="1" si="53"/>
        <v>-12137.725964713371</v>
      </c>
      <c r="L684" s="455">
        <f t="shared" ca="1" si="54"/>
        <v>-2925191.9574959222</v>
      </c>
      <c r="M684" s="471">
        <f t="shared" si="56"/>
        <v>0.05</v>
      </c>
      <c r="N684" s="475">
        <f t="shared" si="57"/>
        <v>71864</v>
      </c>
    </row>
    <row r="685" spans="7:14" ht="11.25" customHeight="1" x14ac:dyDescent="0.3">
      <c r="G685" s="470">
        <f t="shared" si="71"/>
        <v>57</v>
      </c>
      <c r="H685" s="470">
        <v>678</v>
      </c>
      <c r="I685" s="455">
        <f t="shared" ca="1" si="55"/>
        <v>-2925191.9574959222</v>
      </c>
      <c r="J685" s="455">
        <f t="array" ref="J685">IFERROR(INDEX('Retirement Calculator'!K:K,MATCH('Lorri 401b'!N685,'Retirement Calculator'!A:A,0),0),0)</f>
        <v>20282.026119384056</v>
      </c>
      <c r="K685" s="455">
        <f t="shared" ca="1" si="53"/>
        <v>-12272.808265063775</v>
      </c>
      <c r="L685" s="455">
        <f t="shared" ca="1" si="54"/>
        <v>-2957746.7918803701</v>
      </c>
      <c r="M685" s="471">
        <f t="shared" si="56"/>
        <v>0.05</v>
      </c>
      <c r="N685" s="475">
        <f t="shared" si="57"/>
        <v>71895</v>
      </c>
    </row>
    <row r="686" spans="7:14" ht="11.25" customHeight="1" x14ac:dyDescent="0.3">
      <c r="G686" s="470">
        <f t="shared" si="71"/>
        <v>57</v>
      </c>
      <c r="H686" s="470">
        <v>679</v>
      </c>
      <c r="I686" s="455">
        <f t="shared" ca="1" si="55"/>
        <v>-2957746.7918803701</v>
      </c>
      <c r="J686" s="455">
        <f t="array" ref="J686">IFERROR(INDEX('Retirement Calculator'!K:K,MATCH('Lorri 401b'!N686,'Retirement Calculator'!A:A,0),0),0)</f>
        <v>20282.026119384056</v>
      </c>
      <c r="K686" s="455">
        <f t="shared" ca="1" si="53"/>
        <v>-12408.453408332309</v>
      </c>
      <c r="L686" s="455">
        <f t="shared" ca="1" si="54"/>
        <v>-2990437.2714080866</v>
      </c>
      <c r="M686" s="471">
        <f t="shared" si="56"/>
        <v>0.05</v>
      </c>
      <c r="N686" s="475">
        <f t="shared" si="57"/>
        <v>71925</v>
      </c>
    </row>
    <row r="687" spans="7:14" ht="11.25" customHeight="1" x14ac:dyDescent="0.3">
      <c r="G687" s="470">
        <f t="shared" si="71"/>
        <v>57</v>
      </c>
      <c r="H687" s="470">
        <v>680</v>
      </c>
      <c r="I687" s="455">
        <f t="shared" ca="1" si="55"/>
        <v>-2990437.2714080866</v>
      </c>
      <c r="J687" s="455">
        <f t="array" ref="J687">IFERROR(INDEX('Retirement Calculator'!K:K,MATCH('Lorri 401b'!N687,'Retirement Calculator'!A:A,0),0),0)</f>
        <v>20282.026119384056</v>
      </c>
      <c r="K687" s="455">
        <f t="shared" ca="1" si="53"/>
        <v>-12544.663739697795</v>
      </c>
      <c r="L687" s="455">
        <f t="shared" ca="1" si="54"/>
        <v>-3023263.9612671686</v>
      </c>
      <c r="M687" s="471">
        <f t="shared" si="56"/>
        <v>0.05</v>
      </c>
      <c r="N687" s="475">
        <f t="shared" si="57"/>
        <v>71956</v>
      </c>
    </row>
    <row r="688" spans="7:14" ht="11.25" customHeight="1" x14ac:dyDescent="0.3">
      <c r="G688" s="470">
        <f t="shared" si="71"/>
        <v>57</v>
      </c>
      <c r="H688" s="470">
        <v>681</v>
      </c>
      <c r="I688" s="455">
        <f t="shared" ca="1" si="55"/>
        <v>-3023263.9612671686</v>
      </c>
      <c r="J688" s="455">
        <f t="array" ref="J688">IFERROR(INDEX('Retirement Calculator'!K:K,MATCH('Lorri 401b'!N688,'Retirement Calculator'!A:A,0),0),0)</f>
        <v>20282.026119384056</v>
      </c>
      <c r="K688" s="455">
        <f t="shared" ca="1" si="53"/>
        <v>-12681.441614110636</v>
      </c>
      <c r="L688" s="455">
        <f t="shared" ca="1" si="54"/>
        <v>-3056227.4290006631</v>
      </c>
      <c r="M688" s="471">
        <f t="shared" si="56"/>
        <v>0.05</v>
      </c>
      <c r="N688" s="475">
        <f t="shared" si="57"/>
        <v>71987</v>
      </c>
    </row>
    <row r="689" spans="7:14" ht="11.25" customHeight="1" x14ac:dyDescent="0.3">
      <c r="G689" s="470">
        <f t="shared" si="71"/>
        <v>57</v>
      </c>
      <c r="H689" s="470">
        <v>682</v>
      </c>
      <c r="I689" s="455">
        <f t="shared" ca="1" si="55"/>
        <v>-3056227.4290006631</v>
      </c>
      <c r="J689" s="455">
        <f t="array" ref="J689">IFERROR(INDEX('Retirement Calculator'!K:K,MATCH('Lorri 401b'!N689,'Retirement Calculator'!A:A,0),0),0)</f>
        <v>20282.026119384056</v>
      </c>
      <c r="K689" s="455">
        <f t="shared" ca="1" si="53"/>
        <v>-12818.78939633353</v>
      </c>
      <c r="L689" s="455">
        <f t="shared" ca="1" si="54"/>
        <v>-3089328.2445163806</v>
      </c>
      <c r="M689" s="471">
        <f t="shared" si="56"/>
        <v>0.05</v>
      </c>
      <c r="N689" s="475">
        <f t="shared" si="57"/>
        <v>72015</v>
      </c>
    </row>
    <row r="690" spans="7:14" ht="11.25" customHeight="1" x14ac:dyDescent="0.3">
      <c r="G690" s="470">
        <f t="shared" si="71"/>
        <v>57</v>
      </c>
      <c r="H690" s="470">
        <v>683</v>
      </c>
      <c r="I690" s="455">
        <f t="shared" ca="1" si="55"/>
        <v>-3089328.2445163806</v>
      </c>
      <c r="J690" s="455">
        <f t="array" ref="J690">IFERROR(INDEX('Retirement Calculator'!K:K,MATCH('Lorri 401b'!N690,'Retirement Calculator'!A:A,0),0),0)</f>
        <v>20282.026119384056</v>
      </c>
      <c r="K690" s="455">
        <f t="shared" ca="1" si="53"/>
        <v>-12956.709460982353</v>
      </c>
      <c r="L690" s="455">
        <f t="shared" ca="1" si="54"/>
        <v>-3122566.9800967467</v>
      </c>
      <c r="M690" s="471">
        <f t="shared" si="56"/>
        <v>0.05</v>
      </c>
      <c r="N690" s="475">
        <f t="shared" si="57"/>
        <v>72046</v>
      </c>
    </row>
    <row r="691" spans="7:14" ht="11.25" customHeight="1" x14ac:dyDescent="0.3">
      <c r="G691" s="470">
        <f t="shared" si="71"/>
        <v>57</v>
      </c>
      <c r="H691" s="470">
        <v>684</v>
      </c>
      <c r="I691" s="455">
        <f t="shared" ca="1" si="55"/>
        <v>-3122566.9800967467</v>
      </c>
      <c r="J691" s="455">
        <f t="array" ref="J691">IFERROR(INDEX('Retirement Calculator'!K:K,MATCH('Lorri 401b'!N691,'Retirement Calculator'!A:A,0),0),0)</f>
        <v>20282.026119384056</v>
      </c>
      <c r="K691" s="455">
        <f t="shared" ca="1" si="53"/>
        <v>-13095.204192567211</v>
      </c>
      <c r="L691" s="455">
        <f t="shared" ca="1" si="54"/>
        <v>-3155944.2104086978</v>
      </c>
      <c r="M691" s="471">
        <f t="shared" si="56"/>
        <v>0.05</v>
      </c>
      <c r="N691" s="475">
        <f t="shared" si="57"/>
        <v>72076</v>
      </c>
    </row>
    <row r="692" spans="7:14" ht="11.25" customHeight="1" x14ac:dyDescent="0.3">
      <c r="G692" s="470">
        <f>G691+1</f>
        <v>58</v>
      </c>
      <c r="H692" s="470">
        <v>685</v>
      </c>
      <c r="I692" s="455">
        <f t="shared" ca="1" si="55"/>
        <v>-3155944.2104086978</v>
      </c>
      <c r="J692" s="455">
        <f t="array" ref="J692">IFERROR(INDEX('Retirement Calculator'!K:K,MATCH('Lorri 401b'!N692,'Retirement Calculator'!A:A,0),0),0)</f>
        <v>20282.026119384056</v>
      </c>
      <c r="K692" s="455">
        <f t="shared" ca="1" si="53"/>
        <v>-13234.275985533674</v>
      </c>
      <c r="L692" s="455">
        <f t="shared" ca="1" si="54"/>
        <v>-3189460.5125136157</v>
      </c>
      <c r="M692" s="471">
        <f t="shared" si="56"/>
        <v>0.05</v>
      </c>
      <c r="N692" s="475">
        <f t="shared" si="57"/>
        <v>72107</v>
      </c>
    </row>
    <row r="693" spans="7:14" ht="11.25" customHeight="1" x14ac:dyDescent="0.3">
      <c r="G693" s="470">
        <f t="shared" ref="G693:G703" si="72">G692</f>
        <v>58</v>
      </c>
      <c r="H693" s="470">
        <v>686</v>
      </c>
      <c r="I693" s="455">
        <f t="shared" ca="1" si="55"/>
        <v>-3189460.5125136157</v>
      </c>
      <c r="J693" s="455">
        <f t="array" ref="J693">IFERROR(INDEX('Retirement Calculator'!K:K,MATCH('Lorri 401b'!N693,'Retirement Calculator'!A:A,0),0),0)</f>
        <v>20282.026119384056</v>
      </c>
      <c r="K693" s="455">
        <f t="shared" ca="1" si="53"/>
        <v>-13373.927244304165</v>
      </c>
      <c r="L693" s="455">
        <f t="shared" ca="1" si="54"/>
        <v>-3223116.4658773039</v>
      </c>
      <c r="M693" s="471">
        <f t="shared" si="56"/>
        <v>0.05</v>
      </c>
      <c r="N693" s="475">
        <f t="shared" si="57"/>
        <v>72137</v>
      </c>
    </row>
    <row r="694" spans="7:14" ht="11.25" customHeight="1" x14ac:dyDescent="0.3">
      <c r="G694" s="470">
        <f t="shared" si="72"/>
        <v>58</v>
      </c>
      <c r="H694" s="470">
        <v>687</v>
      </c>
      <c r="I694" s="455">
        <f t="shared" ca="1" si="55"/>
        <v>-3223116.4658773039</v>
      </c>
      <c r="J694" s="455">
        <f t="array" ref="J694">IFERROR(INDEX('Retirement Calculator'!K:K,MATCH('Lorri 401b'!N694,'Retirement Calculator'!A:A,0),0),0)</f>
        <v>20282.026119384056</v>
      </c>
      <c r="K694" s="455">
        <f t="shared" ca="1" si="53"/>
        <v>-13514.160383319533</v>
      </c>
      <c r="L694" s="455">
        <f t="shared" ca="1" si="54"/>
        <v>-3256912.6523800073</v>
      </c>
      <c r="M694" s="471">
        <f t="shared" si="56"/>
        <v>0.05</v>
      </c>
      <c r="N694" s="475">
        <f t="shared" si="57"/>
        <v>72168</v>
      </c>
    </row>
    <row r="695" spans="7:14" ht="11.25" customHeight="1" x14ac:dyDescent="0.3">
      <c r="G695" s="470">
        <f t="shared" si="72"/>
        <v>58</v>
      </c>
      <c r="H695" s="470">
        <v>688</v>
      </c>
      <c r="I695" s="455">
        <f t="shared" ca="1" si="55"/>
        <v>-3256912.6523800073</v>
      </c>
      <c r="J695" s="455">
        <f t="array" ref="J695">IFERROR(INDEX('Retirement Calculator'!K:K,MATCH('Lorri 401b'!N695,'Retirement Calculator'!A:A,0),0),0)</f>
        <v>20282.026119384056</v>
      </c>
      <c r="K695" s="455">
        <f t="shared" ca="1" si="53"/>
        <v>-13654.977827080796</v>
      </c>
      <c r="L695" s="455">
        <f t="shared" ca="1" si="54"/>
        <v>-3290849.6563264723</v>
      </c>
      <c r="M695" s="471">
        <f t="shared" si="56"/>
        <v>0.05</v>
      </c>
      <c r="N695" s="475">
        <f t="shared" si="57"/>
        <v>72199</v>
      </c>
    </row>
    <row r="696" spans="7:14" ht="11.25" customHeight="1" x14ac:dyDescent="0.3">
      <c r="G696" s="470">
        <f t="shared" si="72"/>
        <v>58</v>
      </c>
      <c r="H696" s="470">
        <v>689</v>
      </c>
      <c r="I696" s="455">
        <f t="shared" ca="1" si="55"/>
        <v>-3290849.6563264723</v>
      </c>
      <c r="J696" s="455">
        <f t="array" ref="J696">IFERROR(INDEX('Retirement Calculator'!K:K,MATCH('Lorri 401b'!N696,'Retirement Calculator'!A:A,0),0),0)</f>
        <v>20282.026119384056</v>
      </c>
      <c r="K696" s="455">
        <f t="shared" ca="1" si="53"/>
        <v>-13796.382010191068</v>
      </c>
      <c r="L696" s="455">
        <f t="shared" ca="1" si="54"/>
        <v>-3324928.0644560475</v>
      </c>
      <c r="M696" s="471">
        <f t="shared" si="56"/>
        <v>0.05</v>
      </c>
      <c r="N696" s="475">
        <f t="shared" si="57"/>
        <v>72229</v>
      </c>
    </row>
    <row r="697" spans="7:14" ht="11.25" customHeight="1" x14ac:dyDescent="0.3">
      <c r="G697" s="470">
        <f t="shared" si="72"/>
        <v>58</v>
      </c>
      <c r="H697" s="470">
        <v>690</v>
      </c>
      <c r="I697" s="455">
        <f t="shared" ca="1" si="55"/>
        <v>-3324928.0644560475</v>
      </c>
      <c r="J697" s="455">
        <f t="array" ref="J697">IFERROR(INDEX('Retirement Calculator'!K:K,MATCH('Lorri 401b'!N697,'Retirement Calculator'!A:A,0),0),0)</f>
        <v>20282.026119384056</v>
      </c>
      <c r="K697" s="455">
        <f t="shared" ca="1" si="53"/>
        <v>-13938.375377397633</v>
      </c>
      <c r="L697" s="455">
        <f t="shared" ca="1" si="54"/>
        <v>-3359148.465952829</v>
      </c>
      <c r="M697" s="471">
        <f t="shared" si="56"/>
        <v>0.05</v>
      </c>
      <c r="N697" s="475">
        <f t="shared" si="57"/>
        <v>72260</v>
      </c>
    </row>
    <row r="698" spans="7:14" ht="11.25" customHeight="1" x14ac:dyDescent="0.3">
      <c r="G698" s="470">
        <f t="shared" si="72"/>
        <v>58</v>
      </c>
      <c r="H698" s="470">
        <v>691</v>
      </c>
      <c r="I698" s="455">
        <f t="shared" ca="1" si="55"/>
        <v>-3359148.465952829</v>
      </c>
      <c r="J698" s="455">
        <f t="array" ref="J698">IFERROR(INDEX('Retirement Calculator'!K:K,MATCH('Lorri 401b'!N698,'Retirement Calculator'!A:A,0),0),0)</f>
        <v>20282.026119384056</v>
      </c>
      <c r="K698" s="455">
        <f t="shared" ca="1" si="53"/>
        <v>-14080.960383634221</v>
      </c>
      <c r="L698" s="455">
        <f t="shared" ca="1" si="54"/>
        <v>-3393511.4524558471</v>
      </c>
      <c r="M698" s="471">
        <f t="shared" si="56"/>
        <v>0.05</v>
      </c>
      <c r="N698" s="475">
        <f t="shared" si="57"/>
        <v>72290</v>
      </c>
    </row>
    <row r="699" spans="7:14" ht="11.25" customHeight="1" x14ac:dyDescent="0.3">
      <c r="G699" s="470">
        <f t="shared" si="72"/>
        <v>58</v>
      </c>
      <c r="H699" s="470">
        <v>692</v>
      </c>
      <c r="I699" s="455">
        <f t="shared" ca="1" si="55"/>
        <v>-3393511.4524558471</v>
      </c>
      <c r="J699" s="455">
        <f t="array" ref="J699">IFERROR(INDEX('Retirement Calculator'!K:K,MATCH('Lorri 401b'!N699,'Retirement Calculator'!A:A,0),0),0)</f>
        <v>20282.026119384056</v>
      </c>
      <c r="K699" s="455">
        <f t="shared" ca="1" si="53"/>
        <v>-14224.139494063462</v>
      </c>
      <c r="L699" s="455">
        <f t="shared" ca="1" si="54"/>
        <v>-3428017.6180692944</v>
      </c>
      <c r="M699" s="471">
        <f t="shared" si="56"/>
        <v>0.05</v>
      </c>
      <c r="N699" s="475">
        <f t="shared" si="57"/>
        <v>72321</v>
      </c>
    </row>
    <row r="700" spans="7:14" ht="11.25" customHeight="1" x14ac:dyDescent="0.3">
      <c r="G700" s="470">
        <f t="shared" si="72"/>
        <v>58</v>
      </c>
      <c r="H700" s="470">
        <v>693</v>
      </c>
      <c r="I700" s="455">
        <f t="shared" ca="1" si="55"/>
        <v>-3428017.6180692944</v>
      </c>
      <c r="J700" s="455">
        <f t="array" ref="J700">IFERROR(INDEX('Retirement Calculator'!K:K,MATCH('Lorri 401b'!N700,'Retirement Calculator'!A:A,0),0),0)</f>
        <v>20282.026119384056</v>
      </c>
      <c r="K700" s="455">
        <f t="shared" ca="1" si="53"/>
        <v>-14367.915184119493</v>
      </c>
      <c r="L700" s="455">
        <f t="shared" ca="1" si="54"/>
        <v>-3462667.5593727981</v>
      </c>
      <c r="M700" s="471">
        <f t="shared" si="56"/>
        <v>0.05</v>
      </c>
      <c r="N700" s="475">
        <f t="shared" si="57"/>
        <v>72352</v>
      </c>
    </row>
    <row r="701" spans="7:14" ht="11.25" customHeight="1" x14ac:dyDescent="0.3">
      <c r="G701" s="470">
        <f t="shared" si="72"/>
        <v>58</v>
      </c>
      <c r="H701" s="470">
        <v>694</v>
      </c>
      <c r="I701" s="455">
        <f t="shared" ca="1" si="55"/>
        <v>-3462667.5593727981</v>
      </c>
      <c r="J701" s="455">
        <f t="array" ref="J701">IFERROR(INDEX('Retirement Calculator'!K:K,MATCH('Lorri 401b'!N701,'Retirement Calculator'!A:A,0),0),0)</f>
        <v>20282.026119384056</v>
      </c>
      <c r="K701" s="455">
        <f t="shared" ca="1" si="53"/>
        <v>-14512.289939550757</v>
      </c>
      <c r="L701" s="455">
        <f t="shared" ca="1" si="54"/>
        <v>-3497461.8754317327</v>
      </c>
      <c r="M701" s="471">
        <f t="shared" si="56"/>
        <v>0.05</v>
      </c>
      <c r="N701" s="475">
        <f t="shared" si="57"/>
        <v>72380</v>
      </c>
    </row>
    <row r="702" spans="7:14" ht="11.25" customHeight="1" x14ac:dyDescent="0.3">
      <c r="G702" s="470">
        <f t="shared" si="72"/>
        <v>58</v>
      </c>
      <c r="H702" s="470">
        <v>695</v>
      </c>
      <c r="I702" s="455">
        <f t="shared" ca="1" si="55"/>
        <v>-3497461.8754317327</v>
      </c>
      <c r="J702" s="455">
        <f t="array" ref="J702">IFERROR(INDEX('Retirement Calculator'!K:K,MATCH('Lorri 401b'!N702,'Retirement Calculator'!A:A,0),0),0)</f>
        <v>20282.026119384056</v>
      </c>
      <c r="K702" s="455">
        <f t="shared" ca="1" si="53"/>
        <v>-14657.266256462986</v>
      </c>
      <c r="L702" s="455">
        <f t="shared" ca="1" si="54"/>
        <v>-3532401.1678075795</v>
      </c>
      <c r="M702" s="471">
        <f t="shared" si="56"/>
        <v>0.05</v>
      </c>
      <c r="N702" s="475">
        <f t="shared" si="57"/>
        <v>72411</v>
      </c>
    </row>
    <row r="703" spans="7:14" ht="11.25" customHeight="1" x14ac:dyDescent="0.3">
      <c r="G703" s="470">
        <f t="shared" si="72"/>
        <v>58</v>
      </c>
      <c r="H703" s="470">
        <v>696</v>
      </c>
      <c r="I703" s="455">
        <f t="shared" ca="1" si="55"/>
        <v>-3532401.1678075795</v>
      </c>
      <c r="J703" s="455">
        <f t="array" ref="J703">IFERROR(INDEX('Retirement Calculator'!K:K,MATCH('Lorri 401b'!N703,'Retirement Calculator'!A:A,0),0),0)</f>
        <v>20282.026119384056</v>
      </c>
      <c r="K703" s="455">
        <f t="shared" ca="1" si="53"/>
        <v>-14802.846641362346</v>
      </c>
      <c r="L703" s="455">
        <f t="shared" ca="1" si="54"/>
        <v>-3567486.0405683257</v>
      </c>
      <c r="M703" s="471">
        <f t="shared" si="56"/>
        <v>0.05</v>
      </c>
      <c r="N703" s="475">
        <f t="shared" si="57"/>
        <v>72441</v>
      </c>
    </row>
    <row r="704" spans="7:14" ht="11.25" customHeight="1" x14ac:dyDescent="0.3">
      <c r="G704" s="470">
        <f>G703+1</f>
        <v>59</v>
      </c>
      <c r="H704" s="470">
        <v>697</v>
      </c>
      <c r="I704" s="455">
        <f t="shared" ca="1" si="55"/>
        <v>-3567486.0405683257</v>
      </c>
      <c r="J704" s="455">
        <f t="array" ref="J704">IFERROR(INDEX('Retirement Calculator'!K:K,MATCH('Lorri 401b'!N704,'Retirement Calculator'!A:A,0),0),0)</f>
        <v>20282.026119384056</v>
      </c>
      <c r="K704" s="455">
        <f t="shared" ca="1" si="53"/>
        <v>-14949.033611198791</v>
      </c>
      <c r="L704" s="455">
        <f t="shared" ca="1" si="54"/>
        <v>-3602717.1002989085</v>
      </c>
      <c r="M704" s="471">
        <f t="shared" si="56"/>
        <v>0.05</v>
      </c>
      <c r="N704" s="475">
        <f t="shared" si="57"/>
        <v>72472</v>
      </c>
    </row>
    <row r="705" spans="7:14" ht="11.25" customHeight="1" x14ac:dyDescent="0.3">
      <c r="G705" s="470">
        <f t="shared" ref="G705:G715" si="73">G704</f>
        <v>59</v>
      </c>
      <c r="H705" s="470">
        <v>698</v>
      </c>
      <c r="I705" s="455">
        <f t="shared" ca="1" si="55"/>
        <v>-3602717.1002989085</v>
      </c>
      <c r="J705" s="455">
        <f t="array" ref="J705">IFERROR(INDEX('Retirement Calculator'!K:K,MATCH('Lorri 401b'!N705,'Retirement Calculator'!A:A,0),0),0)</f>
        <v>20282.026119384056</v>
      </c>
      <c r="K705" s="455">
        <f t="shared" ca="1" si="53"/>
        <v>-15095.829693409552</v>
      </c>
      <c r="L705" s="455">
        <f t="shared" ca="1" si="54"/>
        <v>-3638094.9561117021</v>
      </c>
      <c r="M705" s="471">
        <f t="shared" si="56"/>
        <v>0.05</v>
      </c>
      <c r="N705" s="475">
        <f t="shared" si="57"/>
        <v>72502</v>
      </c>
    </row>
    <row r="706" spans="7:14" ht="11.25" customHeight="1" x14ac:dyDescent="0.3">
      <c r="G706" s="470">
        <f t="shared" si="73"/>
        <v>59</v>
      </c>
      <c r="H706" s="470">
        <v>699</v>
      </c>
      <c r="I706" s="455">
        <f t="shared" ca="1" si="55"/>
        <v>-3638094.9561117021</v>
      </c>
      <c r="J706" s="455">
        <f t="array" ref="J706">IFERROR(INDEX('Retirement Calculator'!K:K,MATCH('Lorri 401b'!N706,'Retirement Calculator'!A:A,0),0),0)</f>
        <v>20282.026119384056</v>
      </c>
      <c r="K706" s="455">
        <f t="shared" ca="1" si="53"/>
        <v>-15243.237425962858</v>
      </c>
      <c r="L706" s="455">
        <f t="shared" ca="1" si="54"/>
        <v>-3673620.219657049</v>
      </c>
      <c r="M706" s="471">
        <f t="shared" si="56"/>
        <v>0.05</v>
      </c>
      <c r="N706" s="475">
        <f t="shared" si="57"/>
        <v>72533</v>
      </c>
    </row>
    <row r="707" spans="7:14" ht="11.25" customHeight="1" x14ac:dyDescent="0.3">
      <c r="G707" s="470">
        <f t="shared" si="73"/>
        <v>59</v>
      </c>
      <c r="H707" s="470">
        <v>700</v>
      </c>
      <c r="I707" s="455">
        <f t="shared" ca="1" si="55"/>
        <v>-3673620.219657049</v>
      </c>
      <c r="J707" s="455">
        <f t="array" ref="J707">IFERROR(INDEX('Retirement Calculator'!K:K,MATCH('Lorri 401b'!N707,'Retirement Calculator'!A:A,0),0),0)</f>
        <v>20282.026119384056</v>
      </c>
      <c r="K707" s="455">
        <f t="shared" ca="1" si="53"/>
        <v>-15391.259357401805</v>
      </c>
      <c r="L707" s="455">
        <f t="shared" ca="1" si="54"/>
        <v>-3709293.5051338347</v>
      </c>
      <c r="M707" s="471">
        <f t="shared" si="56"/>
        <v>0.05</v>
      </c>
      <c r="N707" s="475">
        <f t="shared" si="57"/>
        <v>72564</v>
      </c>
    </row>
    <row r="708" spans="7:14" ht="11.25" customHeight="1" x14ac:dyDescent="0.3">
      <c r="G708" s="470">
        <f t="shared" si="73"/>
        <v>59</v>
      </c>
      <c r="H708" s="470">
        <v>701</v>
      </c>
      <c r="I708" s="455">
        <f t="shared" ca="1" si="55"/>
        <v>-3709293.5051338347</v>
      </c>
      <c r="J708" s="455">
        <f t="array" ref="J708">IFERROR(INDEX('Retirement Calculator'!K:K,MATCH('Lorri 401b'!N708,'Retirement Calculator'!A:A,0),0),0)</f>
        <v>20282.026119384056</v>
      </c>
      <c r="K708" s="455">
        <f t="shared" ca="1" si="53"/>
        <v>-15539.898046888413</v>
      </c>
      <c r="L708" s="455">
        <f t="shared" ca="1" si="54"/>
        <v>-3745115.4293001071</v>
      </c>
      <c r="M708" s="471">
        <f t="shared" si="56"/>
        <v>0.05</v>
      </c>
      <c r="N708" s="475">
        <f t="shared" si="57"/>
        <v>72594</v>
      </c>
    </row>
    <row r="709" spans="7:14" ht="11.25" customHeight="1" x14ac:dyDescent="0.3">
      <c r="G709" s="470">
        <f t="shared" si="73"/>
        <v>59</v>
      </c>
      <c r="H709" s="470">
        <v>702</v>
      </c>
      <c r="I709" s="455">
        <f t="shared" ca="1" si="55"/>
        <v>-3745115.4293001071</v>
      </c>
      <c r="J709" s="455">
        <f t="array" ref="J709">IFERROR(INDEX('Retirement Calculator'!K:K,MATCH('Lorri 401b'!N709,'Retirement Calculator'!A:A,0),0),0)</f>
        <v>20282.026119384056</v>
      </c>
      <c r="K709" s="455">
        <f t="shared" ca="1" si="53"/>
        <v>-15689.15606424788</v>
      </c>
      <c r="L709" s="455">
        <f t="shared" ca="1" si="54"/>
        <v>-3781086.6114837388</v>
      </c>
      <c r="M709" s="471">
        <f t="shared" si="56"/>
        <v>0.05</v>
      </c>
      <c r="N709" s="475">
        <f t="shared" si="57"/>
        <v>72625</v>
      </c>
    </row>
    <row r="710" spans="7:14" ht="11.25" customHeight="1" x14ac:dyDescent="0.3">
      <c r="G710" s="470">
        <f t="shared" si="73"/>
        <v>59</v>
      </c>
      <c r="H710" s="470">
        <v>703</v>
      </c>
      <c r="I710" s="455">
        <f t="shared" ca="1" si="55"/>
        <v>-3781086.6114837388</v>
      </c>
      <c r="J710" s="455">
        <f t="array" ref="J710">IFERROR(INDEX('Retirement Calculator'!K:K,MATCH('Lorri 401b'!N710,'Retirement Calculator'!A:A,0),0),0)</f>
        <v>20282.026119384056</v>
      </c>
      <c r="K710" s="455">
        <f t="shared" ca="1" si="53"/>
        <v>-15839.03599001301</v>
      </c>
      <c r="L710" s="455">
        <f t="shared" ca="1" si="54"/>
        <v>-3817207.6735931356</v>
      </c>
      <c r="M710" s="471">
        <f t="shared" si="56"/>
        <v>0.05</v>
      </c>
      <c r="N710" s="475">
        <f t="shared" si="57"/>
        <v>72655</v>
      </c>
    </row>
    <row r="711" spans="7:14" ht="11.25" customHeight="1" x14ac:dyDescent="0.3">
      <c r="G711" s="470">
        <f t="shared" si="73"/>
        <v>59</v>
      </c>
      <c r="H711" s="470">
        <v>704</v>
      </c>
      <c r="I711" s="455">
        <f t="shared" ca="1" si="55"/>
        <v>-3817207.6735931356</v>
      </c>
      <c r="J711" s="455">
        <f t="array" ref="J711">IFERROR(INDEX('Retirement Calculator'!K:K,MATCH('Lorri 401b'!N711,'Retirement Calculator'!A:A,0),0),0)</f>
        <v>20282.026119384056</v>
      </c>
      <c r="K711" s="455">
        <f t="shared" ca="1" si="53"/>
        <v>-15989.540415468831</v>
      </c>
      <c r="L711" s="455">
        <f t="shared" ca="1" si="54"/>
        <v>-3853479.2401279882</v>
      </c>
      <c r="M711" s="471">
        <f t="shared" si="56"/>
        <v>0.05</v>
      </c>
      <c r="N711" s="475">
        <f t="shared" si="57"/>
        <v>72686</v>
      </c>
    </row>
    <row r="712" spans="7:14" ht="11.25" customHeight="1" x14ac:dyDescent="0.3">
      <c r="G712" s="470">
        <f t="shared" si="73"/>
        <v>59</v>
      </c>
      <c r="H712" s="470">
        <v>705</v>
      </c>
      <c r="I712" s="455">
        <f t="shared" ca="1" si="55"/>
        <v>-3853479.2401279882</v>
      </c>
      <c r="J712" s="455">
        <f t="array" ref="J712">IFERROR(INDEX('Retirement Calculator'!K:K,MATCH('Lorri 401b'!N712,'Retirement Calculator'!A:A,0),0),0)</f>
        <v>20282.026119384056</v>
      </c>
      <c r="K712" s="455">
        <f t="shared" ca="1" si="53"/>
        <v>-16140.671942697383</v>
      </c>
      <c r="L712" s="455">
        <f t="shared" ca="1" si="54"/>
        <v>-3889901.9381900695</v>
      </c>
      <c r="M712" s="471">
        <f t="shared" si="56"/>
        <v>0.05</v>
      </c>
      <c r="N712" s="475">
        <f t="shared" si="57"/>
        <v>72717</v>
      </c>
    </row>
    <row r="713" spans="7:14" ht="11.25" customHeight="1" x14ac:dyDescent="0.3">
      <c r="G713" s="470">
        <f t="shared" si="73"/>
        <v>59</v>
      </c>
      <c r="H713" s="470">
        <v>706</v>
      </c>
      <c r="I713" s="455">
        <f t="shared" ca="1" si="55"/>
        <v>-3889901.9381900695</v>
      </c>
      <c r="J713" s="455">
        <f t="array" ref="J713">IFERROR(INDEX('Retirement Calculator'!K:K,MATCH('Lorri 401b'!N713,'Retirement Calculator'!A:A,0),0),0)</f>
        <v>20282.026119384056</v>
      </c>
      <c r="K713" s="455">
        <f t="shared" ca="1" si="53"/>
        <v>-16292.433184622723</v>
      </c>
      <c r="L713" s="455">
        <f t="shared" ca="1" si="54"/>
        <v>-3926476.3974940763</v>
      </c>
      <c r="M713" s="471">
        <f t="shared" si="56"/>
        <v>0.05</v>
      </c>
      <c r="N713" s="475">
        <f t="shared" si="57"/>
        <v>72745</v>
      </c>
    </row>
    <row r="714" spans="7:14" ht="11.25" customHeight="1" x14ac:dyDescent="0.3">
      <c r="G714" s="470">
        <f t="shared" si="73"/>
        <v>59</v>
      </c>
      <c r="H714" s="470">
        <v>707</v>
      </c>
      <c r="I714" s="455">
        <f t="shared" ca="1" si="55"/>
        <v>-3926476.3974940763</v>
      </c>
      <c r="J714" s="455">
        <f t="array" ref="J714">IFERROR(INDEX('Retirement Calculator'!K:K,MATCH('Lorri 401b'!N714,'Retirement Calculator'!A:A,0),0),0)</f>
        <v>20282.026119384056</v>
      </c>
      <c r="K714" s="455">
        <f t="shared" ca="1" si="53"/>
        <v>-16444.826765056085</v>
      </c>
      <c r="L714" s="455">
        <f t="shared" ca="1" si="54"/>
        <v>-3963203.2503785165</v>
      </c>
      <c r="M714" s="471">
        <f t="shared" si="56"/>
        <v>0.05</v>
      </c>
      <c r="N714" s="475">
        <f t="shared" si="57"/>
        <v>72776</v>
      </c>
    </row>
    <row r="715" spans="7:14" ht="11.25" customHeight="1" x14ac:dyDescent="0.3">
      <c r="G715" s="470">
        <f t="shared" si="73"/>
        <v>59</v>
      </c>
      <c r="H715" s="470">
        <v>708</v>
      </c>
      <c r="I715" s="455">
        <f t="shared" ca="1" si="55"/>
        <v>-3963203.2503785165</v>
      </c>
      <c r="J715" s="455">
        <f t="array" ref="J715">IFERROR(INDEX('Retirement Calculator'!K:K,MATCH('Lorri 401b'!N715,'Retirement Calculator'!A:A,0),0),0)</f>
        <v>20282.026119384056</v>
      </c>
      <c r="K715" s="455">
        <f t="shared" ca="1" si="53"/>
        <v>-16597.855318741251</v>
      </c>
      <c r="L715" s="455">
        <f t="shared" ca="1" si="54"/>
        <v>-4000083.1318166419</v>
      </c>
      <c r="M715" s="471">
        <f t="shared" si="56"/>
        <v>0.05</v>
      </c>
      <c r="N715" s="475">
        <f t="shared" si="57"/>
        <v>72806</v>
      </c>
    </row>
    <row r="716" spans="7:14" ht="11.25" customHeight="1" x14ac:dyDescent="0.3">
      <c r="G716" s="470">
        <f>G715+1</f>
        <v>60</v>
      </c>
      <c r="H716" s="470">
        <v>709</v>
      </c>
      <c r="I716" s="455">
        <f t="shared" ca="1" si="55"/>
        <v>-4000083.1318166419</v>
      </c>
      <c r="J716" s="455">
        <f t="array" ref="J716">IFERROR(INDEX('Retirement Calculator'!K:K,MATCH('Lorri 401b'!N716,'Retirement Calculator'!A:A,0),0),0)</f>
        <v>20282.026119384056</v>
      </c>
      <c r="K716" s="455">
        <f t="shared" ca="1" si="53"/>
        <v>-16751.521491400108</v>
      </c>
      <c r="L716" s="455">
        <f t="shared" ca="1" si="54"/>
        <v>-4037116.6794274258</v>
      </c>
      <c r="M716" s="471">
        <f t="shared" si="56"/>
        <v>0.05</v>
      </c>
      <c r="N716" s="475">
        <f t="shared" si="57"/>
        <v>72837</v>
      </c>
    </row>
    <row r="717" spans="7:14" ht="11.25" customHeight="1" x14ac:dyDescent="0.3">
      <c r="G717" s="470">
        <f t="shared" ref="G717:G727" si="74">G716</f>
        <v>60</v>
      </c>
      <c r="H717" s="470">
        <v>710</v>
      </c>
      <c r="I717" s="455">
        <f t="shared" ca="1" si="55"/>
        <v>-4037116.6794274258</v>
      </c>
      <c r="J717" s="455">
        <f t="array" ref="J717">IFERROR(INDEX('Retirement Calculator'!K:K,MATCH('Lorri 401b'!N717,'Retirement Calculator'!A:A,0),0),0)</f>
        <v>20282.026119384056</v>
      </c>
      <c r="K717" s="455">
        <f t="shared" ca="1" si="53"/>
        <v>-16905.827939778374</v>
      </c>
      <c r="L717" s="455">
        <f t="shared" ca="1" si="54"/>
        <v>-4074304.5334865884</v>
      </c>
      <c r="M717" s="471">
        <f t="shared" si="56"/>
        <v>0.05</v>
      </c>
      <c r="N717" s="475">
        <f t="shared" si="57"/>
        <v>72867</v>
      </c>
    </row>
    <row r="718" spans="7:14" ht="11.25" customHeight="1" x14ac:dyDescent="0.3">
      <c r="G718" s="470">
        <f t="shared" si="74"/>
        <v>60</v>
      </c>
      <c r="H718" s="470">
        <v>711</v>
      </c>
      <c r="I718" s="455">
        <f t="shared" ca="1" si="55"/>
        <v>-4074304.5334865884</v>
      </c>
      <c r="J718" s="455">
        <f t="array" ref="J718">IFERROR(INDEX('Retirement Calculator'!K:K,MATCH('Lorri 401b'!N718,'Retirement Calculator'!A:A,0),0),0)</f>
        <v>20282.026119384056</v>
      </c>
      <c r="K718" s="455">
        <f t="shared" ca="1" si="53"/>
        <v>-17060.777331691552</v>
      </c>
      <c r="L718" s="455">
        <f t="shared" ca="1" si="54"/>
        <v>-4111647.3369376641</v>
      </c>
      <c r="M718" s="471">
        <f t="shared" si="56"/>
        <v>0.05</v>
      </c>
      <c r="N718" s="475">
        <f t="shared" si="57"/>
        <v>72898</v>
      </c>
    </row>
    <row r="719" spans="7:14" ht="11.25" customHeight="1" x14ac:dyDescent="0.3">
      <c r="G719" s="470">
        <f t="shared" si="74"/>
        <v>60</v>
      </c>
      <c r="H719" s="470">
        <v>712</v>
      </c>
      <c r="I719" s="455">
        <f t="shared" ca="1" si="55"/>
        <v>-4111647.3369376641</v>
      </c>
      <c r="J719" s="455">
        <f t="array" ref="J719">IFERROR(INDEX('Retirement Calculator'!K:K,MATCH('Lorri 401b'!N719,'Retirement Calculator'!A:A,0),0),0)</f>
        <v>20282.026119384056</v>
      </c>
      <c r="K719" s="455">
        <f t="shared" ca="1" si="53"/>
        <v>-17216.372346071032</v>
      </c>
      <c r="L719" s="455">
        <f t="shared" ca="1" si="54"/>
        <v>-4149145.7354031191</v>
      </c>
      <c r="M719" s="471">
        <f t="shared" si="56"/>
        <v>0.05</v>
      </c>
      <c r="N719" s="475">
        <f t="shared" si="57"/>
        <v>72929</v>
      </c>
    </row>
    <row r="720" spans="7:14" ht="11.25" customHeight="1" x14ac:dyDescent="0.3">
      <c r="G720" s="470">
        <f t="shared" si="74"/>
        <v>60</v>
      </c>
      <c r="H720" s="470">
        <v>713</v>
      </c>
      <c r="I720" s="455">
        <f t="shared" ca="1" si="55"/>
        <v>-4149145.7354031191</v>
      </c>
      <c r="J720" s="455">
        <f t="array" ref="J720">IFERROR(INDEX('Retirement Calculator'!K:K,MATCH('Lorri 401b'!N720,'Retirement Calculator'!A:A,0),0),0)</f>
        <v>20282.026119384056</v>
      </c>
      <c r="K720" s="455">
        <f t="shared" ca="1" si="53"/>
        <v>-17372.61567301043</v>
      </c>
      <c r="L720" s="455">
        <f t="shared" ca="1" si="54"/>
        <v>-4186800.3771955133</v>
      </c>
      <c r="M720" s="471">
        <f t="shared" si="56"/>
        <v>0.05</v>
      </c>
      <c r="N720" s="475">
        <f t="shared" si="57"/>
        <v>72959</v>
      </c>
    </row>
    <row r="721" spans="7:14" ht="11.25" customHeight="1" x14ac:dyDescent="0.3">
      <c r="G721" s="470">
        <f t="shared" si="74"/>
        <v>60</v>
      </c>
      <c r="H721" s="470">
        <v>714</v>
      </c>
      <c r="I721" s="455">
        <f t="shared" ca="1" si="55"/>
        <v>-4186800.3771955133</v>
      </c>
      <c r="J721" s="455">
        <f t="array" ref="J721">IFERROR(INDEX('Retirement Calculator'!K:K,MATCH('Lorri 401b'!N721,'Retirement Calculator'!A:A,0),0),0)</f>
        <v>20282.026119384056</v>
      </c>
      <c r="K721" s="455">
        <f t="shared" ca="1" si="53"/>
        <v>-17529.510013812072</v>
      </c>
      <c r="L721" s="455">
        <f t="shared" ca="1" si="54"/>
        <v>-4224611.91332871</v>
      </c>
      <c r="M721" s="471">
        <f t="shared" si="56"/>
        <v>0.05</v>
      </c>
      <c r="N721" s="475">
        <f t="shared" si="57"/>
        <v>72990</v>
      </c>
    </row>
    <row r="722" spans="7:14" ht="11.25" customHeight="1" x14ac:dyDescent="0.3">
      <c r="G722" s="470">
        <f t="shared" si="74"/>
        <v>60</v>
      </c>
      <c r="H722" s="470">
        <v>715</v>
      </c>
      <c r="I722" s="455">
        <f t="shared" ca="1" si="55"/>
        <v>-4224611.91332871</v>
      </c>
      <c r="J722" s="455">
        <f t="array" ref="J722">IFERROR(INDEX('Retirement Calculator'!K:K,MATCH('Lorri 401b'!N722,'Retirement Calculator'!A:A,0),0),0)</f>
        <v>20282.026119384056</v>
      </c>
      <c r="K722" s="455">
        <f t="shared" ca="1" si="53"/>
        <v>-17687.058081033723</v>
      </c>
      <c r="L722" s="455">
        <f t="shared" ca="1" si="54"/>
        <v>-4262580.9975291276</v>
      </c>
      <c r="M722" s="471">
        <f t="shared" si="56"/>
        <v>0.05</v>
      </c>
      <c r="N722" s="475">
        <f t="shared" si="57"/>
        <v>73020</v>
      </c>
    </row>
    <row r="723" spans="7:14" ht="11.25" customHeight="1" x14ac:dyDescent="0.3">
      <c r="G723" s="470">
        <f t="shared" si="74"/>
        <v>60</v>
      </c>
      <c r="H723" s="470">
        <v>716</v>
      </c>
      <c r="I723" s="455">
        <f t="shared" ca="1" si="55"/>
        <v>-4262580.9975291276</v>
      </c>
      <c r="J723" s="455">
        <f t="array" ref="J723">IFERROR(INDEX('Retirement Calculator'!K:K,MATCH('Lorri 401b'!N723,'Retirement Calculator'!A:A,0),0),0)</f>
        <v>20282.026119384056</v>
      </c>
      <c r="K723" s="455">
        <f t="shared" ca="1" si="53"/>
        <v>-17845.262598535464</v>
      </c>
      <c r="L723" s="455">
        <f t="shared" ca="1" si="54"/>
        <v>-4300708.2862470467</v>
      </c>
      <c r="M723" s="471">
        <f t="shared" si="56"/>
        <v>0.05</v>
      </c>
      <c r="N723" s="475">
        <f t="shared" si="57"/>
        <v>73051</v>
      </c>
    </row>
    <row r="724" spans="7:14" ht="11.25" customHeight="1" x14ac:dyDescent="0.3">
      <c r="G724" s="470">
        <f t="shared" si="74"/>
        <v>60</v>
      </c>
      <c r="H724" s="470">
        <v>717</v>
      </c>
      <c r="I724" s="455">
        <f t="shared" ca="1" si="55"/>
        <v>-4300708.2862470467</v>
      </c>
      <c r="J724" s="455">
        <f t="array" ref="J724">IFERROR(INDEX('Retirement Calculator'!K:K,MATCH('Lorri 401b'!N724,'Retirement Calculator'!A:A,0),0),0)</f>
        <v>20282.026119384056</v>
      </c>
      <c r="K724" s="455">
        <f t="shared" ca="1" si="53"/>
        <v>-18004.126301526794</v>
      </c>
      <c r="L724" s="455">
        <f t="shared" ca="1" si="54"/>
        <v>-4338994.4386679577</v>
      </c>
      <c r="M724" s="471">
        <f t="shared" si="56"/>
        <v>0.05</v>
      </c>
      <c r="N724" s="475">
        <f t="shared" si="57"/>
        <v>73082</v>
      </c>
    </row>
    <row r="725" spans="7:14" ht="11.25" customHeight="1" x14ac:dyDescent="0.3">
      <c r="G725" s="470">
        <f t="shared" si="74"/>
        <v>60</v>
      </c>
      <c r="H725" s="470">
        <v>718</v>
      </c>
      <c r="I725" s="455">
        <f t="shared" ca="1" si="55"/>
        <v>-4338994.4386679577</v>
      </c>
      <c r="J725" s="455">
        <f t="array" ref="J725">IFERROR(INDEX('Retirement Calculator'!K:K,MATCH('Lorri 401b'!N725,'Retirement Calculator'!A:A,0),0),0)</f>
        <v>20282.026119384056</v>
      </c>
      <c r="K725" s="455">
        <f t="shared" ca="1" si="53"/>
        <v>-18163.651936613922</v>
      </c>
      <c r="L725" s="455">
        <f t="shared" ca="1" si="54"/>
        <v>-4377440.1167239556</v>
      </c>
      <c r="M725" s="471">
        <f t="shared" si="56"/>
        <v>0.05</v>
      </c>
      <c r="N725" s="475">
        <f t="shared" si="57"/>
        <v>73110</v>
      </c>
    </row>
    <row r="726" spans="7:14" ht="11.25" customHeight="1" x14ac:dyDescent="0.3">
      <c r="G726" s="470">
        <f t="shared" si="74"/>
        <v>60</v>
      </c>
      <c r="H726" s="470">
        <v>719</v>
      </c>
      <c r="I726" s="455">
        <f t="shared" ca="1" si="55"/>
        <v>-4377440.1167239556</v>
      </c>
      <c r="J726" s="455">
        <f t="array" ref="J726">IFERROR(INDEX('Retirement Calculator'!K:K,MATCH('Lorri 401b'!N726,'Retirement Calculator'!A:A,0),0),0)</f>
        <v>20282.026119384056</v>
      </c>
      <c r="K726" s="455">
        <f t="shared" ca="1" si="53"/>
        <v>-18323.842261847247</v>
      </c>
      <c r="L726" s="455">
        <f t="shared" ca="1" si="54"/>
        <v>-4416045.9851051867</v>
      </c>
      <c r="M726" s="471">
        <f t="shared" si="56"/>
        <v>0.05</v>
      </c>
      <c r="N726" s="475">
        <f t="shared" si="57"/>
        <v>73141</v>
      </c>
    </row>
    <row r="727" spans="7:14" ht="11.25" customHeight="1" x14ac:dyDescent="0.3">
      <c r="G727" s="470">
        <f t="shared" si="74"/>
        <v>60</v>
      </c>
      <c r="H727" s="470">
        <v>720</v>
      </c>
      <c r="I727" s="455">
        <f t="shared" ca="1" si="55"/>
        <v>-4416045.9851051867</v>
      </c>
      <c r="J727" s="455">
        <f t="array" ref="J727">IFERROR(INDEX('Retirement Calculator'!K:K,MATCH('Lorri 401b'!N727,'Retirement Calculator'!A:A,0),0),0)</f>
        <v>20282.026119384056</v>
      </c>
      <c r="K727" s="455">
        <f t="shared" ca="1" si="53"/>
        <v>-18484.700046769045</v>
      </c>
      <c r="L727" s="455">
        <f t="shared" ca="1" si="54"/>
        <v>-4454812.71127134</v>
      </c>
      <c r="M727" s="471">
        <f t="shared" si="56"/>
        <v>0.05</v>
      </c>
      <c r="N727" s="475">
        <f t="shared" si="57"/>
        <v>73171</v>
      </c>
    </row>
    <row r="728" spans="7:14" ht="11.25" customHeight="1" x14ac:dyDescent="0.3">
      <c r="G728" s="470">
        <f>G727+1</f>
        <v>61</v>
      </c>
      <c r="H728" s="470">
        <v>721</v>
      </c>
      <c r="I728" s="455">
        <f t="shared" ca="1" si="55"/>
        <v>-4454812.71127134</v>
      </c>
      <c r="J728" s="455">
        <f t="array" ref="J728">IFERROR(INDEX('Retirement Calculator'!K:K,MATCH('Lorri 401b'!N728,'Retirement Calculator'!A:A,0),0),0)</f>
        <v>20282.026119384056</v>
      </c>
      <c r="K728" s="455">
        <f t="shared" ca="1" si="53"/>
        <v>-18646.228072461348</v>
      </c>
      <c r="L728" s="455">
        <f t="shared" ca="1" si="54"/>
        <v>-4493740.9654631857</v>
      </c>
      <c r="M728" s="471">
        <f t="shared" si="56"/>
        <v>0.05</v>
      </c>
      <c r="N728" s="475">
        <f t="shared" si="57"/>
        <v>73202</v>
      </c>
    </row>
    <row r="729" spans="7:14" ht="11.25" customHeight="1" x14ac:dyDescent="0.3">
      <c r="G729" s="470">
        <f t="shared" ref="G729:G739" si="75">G728</f>
        <v>61</v>
      </c>
      <c r="H729" s="470">
        <v>722</v>
      </c>
      <c r="I729" s="455">
        <f t="shared" ca="1" si="55"/>
        <v>-4493740.9654631857</v>
      </c>
      <c r="J729" s="455">
        <f t="array" ref="J729">IFERROR(INDEX('Retirement Calculator'!K:K,MATCH('Lorri 401b'!N729,'Retirement Calculator'!A:A,0),0),0)</f>
        <v>20282.026119384056</v>
      </c>
      <c r="K729" s="455">
        <f t="shared" ca="1" si="53"/>
        <v>-18808.429131594039</v>
      </c>
      <c r="L729" s="455">
        <f t="shared" ca="1" si="54"/>
        <v>-4532831.4207141642</v>
      </c>
      <c r="M729" s="471">
        <f t="shared" si="56"/>
        <v>0.05</v>
      </c>
      <c r="N729" s="475">
        <f t="shared" si="57"/>
        <v>73232</v>
      </c>
    </row>
    <row r="730" spans="7:14" ht="11.25" customHeight="1" x14ac:dyDescent="0.3">
      <c r="G730" s="470">
        <f t="shared" si="75"/>
        <v>61</v>
      </c>
      <c r="H730" s="470">
        <v>723</v>
      </c>
      <c r="I730" s="455">
        <f t="shared" ca="1" si="55"/>
        <v>-4532831.4207141642</v>
      </c>
      <c r="J730" s="455">
        <f t="array" ref="J730">IFERROR(INDEX('Retirement Calculator'!K:K,MATCH('Lorri 401b'!N730,'Retirement Calculator'!A:A,0),0),0)</f>
        <v>20282.026119384056</v>
      </c>
      <c r="K730" s="455">
        <f t="shared" ca="1" si="53"/>
        <v>-18971.306028473118</v>
      </c>
      <c r="L730" s="455">
        <f t="shared" ca="1" si="54"/>
        <v>-4572084.7528620213</v>
      </c>
      <c r="M730" s="471">
        <f t="shared" si="56"/>
        <v>0.05</v>
      </c>
      <c r="N730" s="475">
        <f t="shared" si="57"/>
        <v>73263</v>
      </c>
    </row>
    <row r="731" spans="7:14" ht="11.25" customHeight="1" x14ac:dyDescent="0.3">
      <c r="G731" s="470">
        <f t="shared" si="75"/>
        <v>61</v>
      </c>
      <c r="H731" s="470">
        <v>724</v>
      </c>
      <c r="I731" s="455">
        <f t="shared" ca="1" si="55"/>
        <v>-4572084.7528620213</v>
      </c>
      <c r="J731" s="455">
        <f t="array" ref="J731">IFERROR(INDEX('Retirement Calculator'!K:K,MATCH('Lorri 401b'!N731,'Retirement Calculator'!A:A,0),0),0)</f>
        <v>20282.026119384056</v>
      </c>
      <c r="K731" s="455">
        <f t="shared" ca="1" si="53"/>
        <v>-19134.861579089189</v>
      </c>
      <c r="L731" s="455">
        <f t="shared" ca="1" si="54"/>
        <v>-4611501.6405604947</v>
      </c>
      <c r="M731" s="471">
        <f t="shared" si="56"/>
        <v>0.05</v>
      </c>
      <c r="N731" s="475">
        <f t="shared" si="57"/>
        <v>73294</v>
      </c>
    </row>
    <row r="732" spans="7:14" ht="11.25" customHeight="1" x14ac:dyDescent="0.3">
      <c r="G732" s="470">
        <f t="shared" si="75"/>
        <v>61</v>
      </c>
      <c r="H732" s="470">
        <v>725</v>
      </c>
      <c r="I732" s="455">
        <f t="shared" ca="1" si="55"/>
        <v>-4611501.6405604947</v>
      </c>
      <c r="J732" s="455">
        <f t="array" ref="J732">IFERROR(INDEX('Retirement Calculator'!K:K,MATCH('Lorri 401b'!N732,'Retirement Calculator'!A:A,0),0),0)</f>
        <v>20282.026119384056</v>
      </c>
      <c r="K732" s="455">
        <f t="shared" ca="1" si="53"/>
        <v>-19299.098611166162</v>
      </c>
      <c r="L732" s="455">
        <f t="shared" ca="1" si="54"/>
        <v>-4651082.7652910445</v>
      </c>
      <c r="M732" s="471">
        <f t="shared" si="56"/>
        <v>0.05</v>
      </c>
      <c r="N732" s="475">
        <f t="shared" si="57"/>
        <v>73324</v>
      </c>
    </row>
    <row r="733" spans="7:14" ht="11.25" customHeight="1" x14ac:dyDescent="0.3">
      <c r="G733" s="470">
        <f t="shared" si="75"/>
        <v>61</v>
      </c>
      <c r="H733" s="470">
        <v>726</v>
      </c>
      <c r="I733" s="455">
        <f t="shared" ca="1" si="55"/>
        <v>-4651082.7652910445</v>
      </c>
      <c r="J733" s="455">
        <f t="array" ref="J733">IFERROR(INDEX('Retirement Calculator'!K:K,MATCH('Lorri 401b'!N733,'Retirement Calculator'!A:A,0),0),0)</f>
        <v>20282.026119384056</v>
      </c>
      <c r="K733" s="455">
        <f t="shared" ca="1" si="53"/>
        <v>-19464.019964210118</v>
      </c>
      <c r="L733" s="455">
        <f t="shared" ca="1" si="54"/>
        <v>-4690828.8113746382</v>
      </c>
      <c r="M733" s="471">
        <f t="shared" si="56"/>
        <v>0.05</v>
      </c>
      <c r="N733" s="475">
        <f t="shared" si="57"/>
        <v>73355</v>
      </c>
    </row>
    <row r="734" spans="7:14" ht="11.25" customHeight="1" x14ac:dyDescent="0.3">
      <c r="G734" s="470">
        <f t="shared" si="75"/>
        <v>61</v>
      </c>
      <c r="H734" s="470">
        <v>727</v>
      </c>
      <c r="I734" s="455">
        <f t="shared" ca="1" si="55"/>
        <v>-4690828.8113746382</v>
      </c>
      <c r="J734" s="455">
        <f t="array" ref="J734">IFERROR(INDEX('Retirement Calculator'!K:K,MATCH('Lorri 401b'!N734,'Retirement Calculator'!A:A,0),0),0)</f>
        <v>20282.026119384056</v>
      </c>
      <c r="K734" s="455">
        <f t="shared" ca="1" si="53"/>
        <v>-19629.628489558425</v>
      </c>
      <c r="L734" s="455">
        <f t="shared" ca="1" si="54"/>
        <v>-4730740.4659835808</v>
      </c>
      <c r="M734" s="471">
        <f t="shared" si="56"/>
        <v>0.05</v>
      </c>
      <c r="N734" s="475">
        <f t="shared" si="57"/>
        <v>73385</v>
      </c>
    </row>
    <row r="735" spans="7:14" ht="11.25" customHeight="1" x14ac:dyDescent="0.3">
      <c r="G735" s="470">
        <f t="shared" si="75"/>
        <v>61</v>
      </c>
      <c r="H735" s="470">
        <v>728</v>
      </c>
      <c r="I735" s="455">
        <f t="shared" ca="1" si="55"/>
        <v>-4730740.4659835808</v>
      </c>
      <c r="J735" s="455">
        <f t="array" ref="J735">IFERROR(INDEX('Retirement Calculator'!K:K,MATCH('Lorri 401b'!N735,'Retirement Calculator'!A:A,0),0),0)</f>
        <v>20282.026119384056</v>
      </c>
      <c r="K735" s="455">
        <f t="shared" ca="1" si="53"/>
        <v>-19795.927050429018</v>
      </c>
      <c r="L735" s="455">
        <f t="shared" ca="1" si="54"/>
        <v>-4770818.4191533942</v>
      </c>
      <c r="M735" s="471">
        <f t="shared" si="56"/>
        <v>0.05</v>
      </c>
      <c r="N735" s="475">
        <f t="shared" si="57"/>
        <v>73416</v>
      </c>
    </row>
    <row r="736" spans="7:14" ht="11.25" customHeight="1" x14ac:dyDescent="0.3">
      <c r="G736" s="470">
        <f t="shared" si="75"/>
        <v>61</v>
      </c>
      <c r="H736" s="470">
        <v>729</v>
      </c>
      <c r="I736" s="455">
        <f t="shared" ca="1" si="55"/>
        <v>-4770818.4191533942</v>
      </c>
      <c r="J736" s="455">
        <f t="array" ref="J736">IFERROR(INDEX('Retirement Calculator'!K:K,MATCH('Lorri 401b'!N736,'Retirement Calculator'!A:A,0),0),0)</f>
        <v>20282.026119384056</v>
      </c>
      <c r="K736" s="455">
        <f t="shared" ca="1" si="53"/>
        <v>-19962.91852196991</v>
      </c>
      <c r="L736" s="455">
        <f t="shared" ca="1" si="54"/>
        <v>-4811063.3637947477</v>
      </c>
      <c r="M736" s="471">
        <f t="shared" si="56"/>
        <v>0.05</v>
      </c>
      <c r="N736" s="475">
        <f t="shared" si="57"/>
        <v>73447</v>
      </c>
    </row>
    <row r="737" spans="7:14" ht="11.25" customHeight="1" x14ac:dyDescent="0.3">
      <c r="G737" s="470">
        <f t="shared" si="75"/>
        <v>61</v>
      </c>
      <c r="H737" s="470">
        <v>730</v>
      </c>
      <c r="I737" s="455">
        <f t="shared" ca="1" si="55"/>
        <v>-4811063.3637947477</v>
      </c>
      <c r="J737" s="455">
        <f t="array" ref="J737">IFERROR(INDEX('Retirement Calculator'!K:K,MATCH('Lorri 401b'!N737,'Retirement Calculator'!A:A,0),0),0)</f>
        <v>20282.026119384056</v>
      </c>
      <c r="K737" s="455">
        <f t="shared" ca="1" si="53"/>
        <v>-20130.605791308881</v>
      </c>
      <c r="L737" s="455">
        <f t="shared" ca="1" si="54"/>
        <v>-4851475.9957054406</v>
      </c>
      <c r="M737" s="471">
        <f t="shared" si="56"/>
        <v>0.05</v>
      </c>
      <c r="N737" s="475">
        <f t="shared" si="57"/>
        <v>73475</v>
      </c>
    </row>
    <row r="738" spans="7:14" ht="11.25" customHeight="1" x14ac:dyDescent="0.3">
      <c r="G738" s="470">
        <f t="shared" si="75"/>
        <v>61</v>
      </c>
      <c r="H738" s="470">
        <v>731</v>
      </c>
      <c r="I738" s="455">
        <f t="shared" ca="1" si="55"/>
        <v>-4851475.9957054406</v>
      </c>
      <c r="J738" s="455">
        <f t="array" ref="J738">IFERROR(INDEX('Retirement Calculator'!K:K,MATCH('Lorri 401b'!N738,'Retirement Calculator'!A:A,0),0),0)</f>
        <v>20282.026119384056</v>
      </c>
      <c r="K738" s="455">
        <f t="shared" ca="1" si="53"/>
        <v>-20298.991757603435</v>
      </c>
      <c r="L738" s="455">
        <f t="shared" ca="1" si="54"/>
        <v>-4892057.013582428</v>
      </c>
      <c r="M738" s="471">
        <f t="shared" si="56"/>
        <v>0.05</v>
      </c>
      <c r="N738" s="475">
        <f t="shared" si="57"/>
        <v>73506</v>
      </c>
    </row>
    <row r="739" spans="7:14" ht="11.25" customHeight="1" x14ac:dyDescent="0.3">
      <c r="G739" s="470">
        <f t="shared" si="75"/>
        <v>61</v>
      </c>
      <c r="H739" s="470">
        <v>732</v>
      </c>
      <c r="I739" s="455">
        <f t="shared" ca="1" si="55"/>
        <v>-4892057.013582428</v>
      </c>
      <c r="J739" s="455">
        <f t="array" ref="J739">IFERROR(INDEX('Retirement Calculator'!K:K,MATCH('Lorri 401b'!N739,'Retirement Calculator'!A:A,0),0),0)</f>
        <v>20282.026119384056</v>
      </c>
      <c r="K739" s="455">
        <f t="shared" ca="1" si="53"/>
        <v>-20468.079332090882</v>
      </c>
      <c r="L739" s="455">
        <f t="shared" ca="1" si="54"/>
        <v>-4932807.1190339029</v>
      </c>
      <c r="M739" s="471">
        <f t="shared" si="56"/>
        <v>0.05</v>
      </c>
      <c r="N739" s="475">
        <f t="shared" si="57"/>
        <v>73536</v>
      </c>
    </row>
    <row r="740" spans="7:14" ht="11.25" customHeight="1" x14ac:dyDescent="0.3">
      <c r="G740" s="470">
        <f>G739+1</f>
        <v>62</v>
      </c>
      <c r="H740" s="470">
        <v>733</v>
      </c>
      <c r="I740" s="455">
        <f t="shared" ca="1" si="55"/>
        <v>-4932807.1190339029</v>
      </c>
      <c r="J740" s="455">
        <f t="array" ref="J740">IFERROR(INDEX('Retirement Calculator'!K:K,MATCH('Lorri 401b'!N740,'Retirement Calculator'!A:A,0),0),0)</f>
        <v>20282.026119384056</v>
      </c>
      <c r="K740" s="455">
        <f t="shared" ca="1" si="53"/>
        <v>-20637.871438138696</v>
      </c>
      <c r="L740" s="455">
        <f t="shared" ca="1" si="54"/>
        <v>-4973727.016591426</v>
      </c>
      <c r="M740" s="471">
        <f t="shared" si="56"/>
        <v>0.05</v>
      </c>
      <c r="N740" s="475">
        <f t="shared" si="57"/>
        <v>73567</v>
      </c>
    </row>
    <row r="741" spans="7:14" ht="11.25" customHeight="1" x14ac:dyDescent="0.3">
      <c r="G741" s="470">
        <f t="shared" ref="G741:G751" si="76">G740</f>
        <v>62</v>
      </c>
      <c r="H741" s="470">
        <v>734</v>
      </c>
      <c r="I741" s="455">
        <f t="shared" ca="1" si="55"/>
        <v>-4973727.016591426</v>
      </c>
      <c r="J741" s="455">
        <f t="array" ref="J741">IFERROR(INDEX('Retirement Calculator'!K:K,MATCH('Lorri 401b'!N741,'Retirement Calculator'!A:A,0),0),0)</f>
        <v>20282.026119384056</v>
      </c>
      <c r="K741" s="455">
        <f t="shared" ca="1" si="53"/>
        <v>-20808.371011295043</v>
      </c>
      <c r="L741" s="455">
        <f t="shared" ca="1" si="54"/>
        <v>-5014817.4137221053</v>
      </c>
      <c r="M741" s="471">
        <f t="shared" si="56"/>
        <v>0.05</v>
      </c>
      <c r="N741" s="475">
        <f t="shared" si="57"/>
        <v>73597</v>
      </c>
    </row>
    <row r="742" spans="7:14" ht="11.25" customHeight="1" x14ac:dyDescent="0.3">
      <c r="G742" s="470">
        <f t="shared" si="76"/>
        <v>62</v>
      </c>
      <c r="H742" s="470">
        <v>735</v>
      </c>
      <c r="I742" s="455">
        <f t="shared" ca="1" si="55"/>
        <v>-5014817.4137221053</v>
      </c>
      <c r="J742" s="455">
        <f t="array" ref="J742">IFERROR(INDEX('Retirement Calculator'!K:K,MATCH('Lorri 401b'!N742,'Retirement Calculator'!A:A,0),0),0)</f>
        <v>20282.026119384056</v>
      </c>
      <c r="K742" s="455">
        <f t="shared" ca="1" si="53"/>
        <v>-20979.580999339538</v>
      </c>
      <c r="L742" s="455">
        <f t="shared" ca="1" si="54"/>
        <v>-5056079.0208408292</v>
      </c>
      <c r="M742" s="471">
        <f t="shared" si="56"/>
        <v>0.05</v>
      </c>
      <c r="N742" s="475">
        <f t="shared" si="57"/>
        <v>73628</v>
      </c>
    </row>
    <row r="743" spans="7:14" ht="11.25" customHeight="1" x14ac:dyDescent="0.3">
      <c r="G743" s="470">
        <f t="shared" si="76"/>
        <v>62</v>
      </c>
      <c r="H743" s="470">
        <v>736</v>
      </c>
      <c r="I743" s="455">
        <f t="shared" ca="1" si="55"/>
        <v>-5056079.0208408292</v>
      </c>
      <c r="J743" s="455">
        <f t="array" ref="J743">IFERROR(INDEX('Retirement Calculator'!K:K,MATCH('Lorri 401b'!N743,'Retirement Calculator'!A:A,0),0),0)</f>
        <v>20282.026119384056</v>
      </c>
      <c r="K743" s="455">
        <f t="shared" ca="1" si="53"/>
        <v>-21151.504362334221</v>
      </c>
      <c r="L743" s="455">
        <f t="shared" ca="1" si="54"/>
        <v>-5097512.5513225477</v>
      </c>
      <c r="M743" s="471">
        <f t="shared" si="56"/>
        <v>0.05</v>
      </c>
      <c r="N743" s="475">
        <f t="shared" si="57"/>
        <v>73659</v>
      </c>
    </row>
    <row r="744" spans="7:14" ht="11.25" customHeight="1" x14ac:dyDescent="0.3">
      <c r="G744" s="470">
        <f t="shared" si="76"/>
        <v>62</v>
      </c>
      <c r="H744" s="470">
        <v>737</v>
      </c>
      <c r="I744" s="455">
        <f t="shared" ca="1" si="55"/>
        <v>-5097512.5513225477</v>
      </c>
      <c r="J744" s="455">
        <f t="array" ref="J744">IFERROR(INDEX('Retirement Calculator'!K:K,MATCH('Lorri 401b'!N744,'Retirement Calculator'!A:A,0),0),0)</f>
        <v>20282.026119384056</v>
      </c>
      <c r="K744" s="455">
        <f t="shared" ca="1" si="53"/>
        <v>-21324.144072674717</v>
      </c>
      <c r="L744" s="455">
        <f t="shared" ca="1" si="54"/>
        <v>-5139118.7215146068</v>
      </c>
      <c r="M744" s="471">
        <f t="shared" si="56"/>
        <v>0.05</v>
      </c>
      <c r="N744" s="475">
        <f t="shared" si="57"/>
        <v>73689</v>
      </c>
    </row>
    <row r="745" spans="7:14" ht="11.25" customHeight="1" x14ac:dyDescent="0.3">
      <c r="G745" s="470">
        <f t="shared" si="76"/>
        <v>62</v>
      </c>
      <c r="H745" s="470">
        <v>738</v>
      </c>
      <c r="I745" s="455">
        <f t="shared" ca="1" si="55"/>
        <v>-5139118.7215146068</v>
      </c>
      <c r="J745" s="455">
        <f t="array" ref="J745">IFERROR(INDEX('Retirement Calculator'!K:K,MATCH('Lorri 401b'!N745,'Retirement Calculator'!A:A,0),0),0)</f>
        <v>20282.026119384056</v>
      </c>
      <c r="K745" s="455">
        <f t="shared" ca="1" si="53"/>
        <v>-21497.50311514163</v>
      </c>
      <c r="L745" s="455">
        <f t="shared" ca="1" si="54"/>
        <v>-5180898.2507491326</v>
      </c>
      <c r="M745" s="471">
        <f t="shared" si="56"/>
        <v>0.05</v>
      </c>
      <c r="N745" s="475">
        <f t="shared" si="57"/>
        <v>73720</v>
      </c>
    </row>
    <row r="746" spans="7:14" ht="11.25" customHeight="1" x14ac:dyDescent="0.3">
      <c r="G746" s="470">
        <f t="shared" si="76"/>
        <v>62</v>
      </c>
      <c r="H746" s="470">
        <v>739</v>
      </c>
      <c r="I746" s="455">
        <f t="shared" ca="1" si="55"/>
        <v>-5180898.2507491326</v>
      </c>
      <c r="J746" s="455">
        <f t="array" ref="J746">IFERROR(INDEX('Retirement Calculator'!K:K,MATCH('Lorri 401b'!N746,'Retirement Calculator'!A:A,0),0),0)</f>
        <v>20282.026119384056</v>
      </c>
      <c r="K746" s="455">
        <f t="shared" ca="1" si="53"/>
        <v>-21671.584486952153</v>
      </c>
      <c r="L746" s="455">
        <f t="shared" ca="1" si="54"/>
        <v>-5222851.8613554686</v>
      </c>
      <c r="M746" s="471">
        <f t="shared" si="56"/>
        <v>0.05</v>
      </c>
      <c r="N746" s="475">
        <f t="shared" si="57"/>
        <v>73750</v>
      </c>
    </row>
    <row r="747" spans="7:14" ht="11.25" customHeight="1" x14ac:dyDescent="0.3">
      <c r="G747" s="470">
        <f t="shared" si="76"/>
        <v>62</v>
      </c>
      <c r="H747" s="470">
        <v>740</v>
      </c>
      <c r="I747" s="455">
        <f t="shared" ca="1" si="55"/>
        <v>-5222851.8613554686</v>
      </c>
      <c r="J747" s="455">
        <f t="array" ref="J747">IFERROR(INDEX('Retirement Calculator'!K:K,MATCH('Lorri 401b'!N747,'Retirement Calculator'!A:A,0),0),0)</f>
        <v>20282.026119384056</v>
      </c>
      <c r="K747" s="455">
        <f t="shared" ca="1" si="53"/>
        <v>-21846.391197811885</v>
      </c>
      <c r="L747" s="455">
        <f t="shared" ca="1" si="54"/>
        <v>-5264980.2786726644</v>
      </c>
      <c r="M747" s="471">
        <f t="shared" si="56"/>
        <v>0.05</v>
      </c>
      <c r="N747" s="475">
        <f t="shared" si="57"/>
        <v>73781</v>
      </c>
    </row>
    <row r="748" spans="7:14" ht="11.25" customHeight="1" x14ac:dyDescent="0.3">
      <c r="G748" s="470">
        <f t="shared" si="76"/>
        <v>62</v>
      </c>
      <c r="H748" s="470">
        <v>741</v>
      </c>
      <c r="I748" s="455">
        <f t="shared" ca="1" si="55"/>
        <v>-5264980.2786726644</v>
      </c>
      <c r="J748" s="455">
        <f t="array" ref="J748">IFERROR(INDEX('Retirement Calculator'!K:K,MATCH('Lorri 401b'!N748,'Retirement Calculator'!A:A,0),0),0)</f>
        <v>20282.026119384056</v>
      </c>
      <c r="K748" s="455">
        <f t="shared" ca="1" si="53"/>
        <v>-22021.926269966869</v>
      </c>
      <c r="L748" s="455">
        <f t="shared" ca="1" si="54"/>
        <v>-5307284.2310620155</v>
      </c>
      <c r="M748" s="471">
        <f t="shared" si="56"/>
        <v>0.05</v>
      </c>
      <c r="N748" s="475">
        <f t="shared" si="57"/>
        <v>73812</v>
      </c>
    </row>
    <row r="749" spans="7:14" ht="11.25" customHeight="1" x14ac:dyDescent="0.3">
      <c r="G749" s="470">
        <f t="shared" si="76"/>
        <v>62</v>
      </c>
      <c r="H749" s="470">
        <v>742</v>
      </c>
      <c r="I749" s="455">
        <f t="shared" ca="1" si="55"/>
        <v>-5307284.2310620155</v>
      </c>
      <c r="J749" s="455">
        <f t="array" ref="J749">IFERROR(INDEX('Retirement Calculator'!K:K,MATCH('Lorri 401b'!N749,'Retirement Calculator'!A:A,0),0),0)</f>
        <v>20282.026119384056</v>
      </c>
      <c r="K749" s="455">
        <f t="shared" ca="1" si="53"/>
        <v>-22198.192738255832</v>
      </c>
      <c r="L749" s="455">
        <f t="shared" ca="1" si="54"/>
        <v>-5349764.449919655</v>
      </c>
      <c r="M749" s="471">
        <f t="shared" si="56"/>
        <v>0.05</v>
      </c>
      <c r="N749" s="475">
        <f t="shared" si="57"/>
        <v>73840</v>
      </c>
    </row>
    <row r="750" spans="7:14" ht="11.25" customHeight="1" x14ac:dyDescent="0.3">
      <c r="G750" s="470">
        <f t="shared" si="76"/>
        <v>62</v>
      </c>
      <c r="H750" s="470">
        <v>743</v>
      </c>
      <c r="I750" s="455">
        <f t="shared" ca="1" si="55"/>
        <v>-5349764.449919655</v>
      </c>
      <c r="J750" s="455">
        <f t="array" ref="J750">IFERROR(INDEX('Retirement Calculator'!K:K,MATCH('Lorri 401b'!N750,'Retirement Calculator'!A:A,0),0),0)</f>
        <v>20282.026119384056</v>
      </c>
      <c r="K750" s="455">
        <f t="shared" ca="1" si="53"/>
        <v>-22375.193650162662</v>
      </c>
      <c r="L750" s="455">
        <f t="shared" ca="1" si="54"/>
        <v>-5392421.6696892017</v>
      </c>
      <c r="M750" s="471">
        <f t="shared" si="56"/>
        <v>0.05</v>
      </c>
      <c r="N750" s="475">
        <f t="shared" si="57"/>
        <v>73871</v>
      </c>
    </row>
    <row r="751" spans="7:14" ht="11.25" customHeight="1" x14ac:dyDescent="0.3">
      <c r="G751" s="470">
        <f t="shared" si="76"/>
        <v>62</v>
      </c>
      <c r="H751" s="470">
        <v>744</v>
      </c>
      <c r="I751" s="455">
        <f t="shared" ca="1" si="55"/>
        <v>-5392421.6696892017</v>
      </c>
      <c r="J751" s="455">
        <f t="array" ref="J751">IFERROR(INDEX('Retirement Calculator'!K:K,MATCH('Lorri 401b'!N751,'Retirement Calculator'!A:A,0),0),0)</f>
        <v>20282.026119384056</v>
      </c>
      <c r="K751" s="455">
        <f t="shared" ca="1" si="53"/>
        <v>-22552.932065869107</v>
      </c>
      <c r="L751" s="455">
        <f t="shared" ca="1" si="54"/>
        <v>-5435256.6278744545</v>
      </c>
      <c r="M751" s="471">
        <f t="shared" si="56"/>
        <v>0.05</v>
      </c>
      <c r="N751" s="475">
        <f t="shared" si="57"/>
        <v>73901</v>
      </c>
    </row>
    <row r="752" spans="7:14" ht="11.25" customHeight="1" x14ac:dyDescent="0.3">
      <c r="G752" s="470">
        <f>G751+1</f>
        <v>63</v>
      </c>
      <c r="H752" s="470">
        <v>745</v>
      </c>
      <c r="I752" s="455">
        <f t="shared" ca="1" si="55"/>
        <v>-5435256.6278744545</v>
      </c>
      <c r="J752" s="455">
        <f t="array" ref="J752">IFERROR(INDEX('Retirement Calculator'!K:K,MATCH('Lorri 401b'!N752,'Retirement Calculator'!A:A,0),0),0)</f>
        <v>20282.026119384056</v>
      </c>
      <c r="K752" s="455">
        <f t="shared" ca="1" si="53"/>
        <v>-22731.411058307662</v>
      </c>
      <c r="L752" s="455">
        <f t="shared" ca="1" si="54"/>
        <v>-5478270.0650521461</v>
      </c>
      <c r="M752" s="471">
        <f t="shared" si="56"/>
        <v>0.05</v>
      </c>
      <c r="N752" s="475">
        <f t="shared" si="57"/>
        <v>73932</v>
      </c>
    </row>
    <row r="753" spans="7:14" ht="11.25" customHeight="1" x14ac:dyDescent="0.3">
      <c r="G753" s="470">
        <f t="shared" ref="G753:G763" si="77">G752</f>
        <v>63</v>
      </c>
      <c r="H753" s="470">
        <v>746</v>
      </c>
      <c r="I753" s="455">
        <f t="shared" ca="1" si="55"/>
        <v>-5478270.0650521461</v>
      </c>
      <c r="J753" s="455">
        <f t="array" ref="J753">IFERROR(INDEX('Retirement Calculator'!K:K,MATCH('Lorri 401b'!N753,'Retirement Calculator'!A:A,0),0),0)</f>
        <v>20282.026119384056</v>
      </c>
      <c r="K753" s="455">
        <f t="shared" ca="1" si="53"/>
        <v>-22910.633713214709</v>
      </c>
      <c r="L753" s="455">
        <f t="shared" ca="1" si="54"/>
        <v>-5521462.7248847447</v>
      </c>
      <c r="M753" s="471">
        <f t="shared" si="56"/>
        <v>0.05</v>
      </c>
      <c r="N753" s="475">
        <f t="shared" si="57"/>
        <v>73962</v>
      </c>
    </row>
    <row r="754" spans="7:14" ht="11.25" customHeight="1" x14ac:dyDescent="0.3">
      <c r="G754" s="470">
        <f t="shared" si="77"/>
        <v>63</v>
      </c>
      <c r="H754" s="470">
        <v>747</v>
      </c>
      <c r="I754" s="455">
        <f t="shared" ca="1" si="55"/>
        <v>-5521462.7248847447</v>
      </c>
      <c r="J754" s="455">
        <f t="array" ref="J754">IFERROR(INDEX('Retirement Calculator'!K:K,MATCH('Lorri 401b'!N754,'Retirement Calculator'!A:A,0),0),0)</f>
        <v>20282.026119384056</v>
      </c>
      <c r="K754" s="455">
        <f t="shared" ca="1" si="53"/>
        <v>-23090.60312918387</v>
      </c>
      <c r="L754" s="455">
        <f t="shared" ca="1" si="54"/>
        <v>-5564835.3541333126</v>
      </c>
      <c r="M754" s="471">
        <f t="shared" si="56"/>
        <v>0.05</v>
      </c>
      <c r="N754" s="475">
        <f t="shared" si="57"/>
        <v>73993</v>
      </c>
    </row>
    <row r="755" spans="7:14" ht="11.25" customHeight="1" x14ac:dyDescent="0.3">
      <c r="G755" s="470">
        <f t="shared" si="77"/>
        <v>63</v>
      </c>
      <c r="H755" s="470">
        <v>748</v>
      </c>
      <c r="I755" s="455">
        <f t="shared" ca="1" si="55"/>
        <v>-5564835.3541333126</v>
      </c>
      <c r="J755" s="455">
        <f t="array" ref="J755">IFERROR(INDEX('Retirement Calculator'!K:K,MATCH('Lorri 401b'!N755,'Retirement Calculator'!A:A,0),0),0)</f>
        <v>20282.026119384056</v>
      </c>
      <c r="K755" s="455">
        <f t="shared" ca="1" si="53"/>
        <v>-23271.32241771957</v>
      </c>
      <c r="L755" s="455">
        <f t="shared" ca="1" si="54"/>
        <v>-5608388.7026704159</v>
      </c>
      <c r="M755" s="471">
        <f t="shared" si="56"/>
        <v>0.05</v>
      </c>
      <c r="N755" s="475">
        <f t="shared" si="57"/>
        <v>74024</v>
      </c>
    </row>
    <row r="756" spans="7:14" ht="11.25" customHeight="1" x14ac:dyDescent="0.3">
      <c r="G756" s="470">
        <f t="shared" si="77"/>
        <v>63</v>
      </c>
      <c r="H756" s="470">
        <v>749</v>
      </c>
      <c r="I756" s="455">
        <f t="shared" ca="1" si="55"/>
        <v>-5608388.7026704159</v>
      </c>
      <c r="J756" s="455">
        <f t="array" ref="J756">IFERROR(INDEX('Retirement Calculator'!K:K,MATCH('Lorri 401b'!N756,'Retirement Calculator'!A:A,0),0),0)</f>
        <v>20282.026119384056</v>
      </c>
      <c r="K756" s="455">
        <f t="shared" ca="1" si="53"/>
        <v>-23452.794703290834</v>
      </c>
      <c r="L756" s="455">
        <f t="shared" ca="1" si="54"/>
        <v>-5652123.5234930906</v>
      </c>
      <c r="M756" s="471">
        <f t="shared" si="56"/>
        <v>0.05</v>
      </c>
      <c r="N756" s="475">
        <f t="shared" si="57"/>
        <v>74054</v>
      </c>
    </row>
    <row r="757" spans="7:14" ht="11.25" customHeight="1" x14ac:dyDescent="0.3">
      <c r="G757" s="470">
        <f t="shared" si="77"/>
        <v>63</v>
      </c>
      <c r="H757" s="470">
        <v>750</v>
      </c>
      <c r="I757" s="455">
        <f t="shared" ca="1" si="55"/>
        <v>-5652123.5234930906</v>
      </c>
      <c r="J757" s="455">
        <f t="array" ref="J757">IFERROR(INDEX('Retirement Calculator'!K:K,MATCH('Lorri 401b'!N757,'Retirement Calculator'!A:A,0),0),0)</f>
        <v>20282.026119384056</v>
      </c>
      <c r="K757" s="455">
        <f t="shared" ca="1" si="53"/>
        <v>-23635.023123385312</v>
      </c>
      <c r="L757" s="455">
        <f t="shared" ca="1" si="54"/>
        <v>-5696040.57273586</v>
      </c>
      <c r="M757" s="471">
        <f t="shared" si="56"/>
        <v>0.05</v>
      </c>
      <c r="N757" s="475">
        <f t="shared" si="57"/>
        <v>74085</v>
      </c>
    </row>
    <row r="758" spans="7:14" ht="11.25" customHeight="1" x14ac:dyDescent="0.3">
      <c r="G758" s="470">
        <f t="shared" si="77"/>
        <v>63</v>
      </c>
      <c r="H758" s="470">
        <v>751</v>
      </c>
      <c r="I758" s="455">
        <f t="shared" ca="1" si="55"/>
        <v>-5696040.57273586</v>
      </c>
      <c r="J758" s="455">
        <f t="array" ref="J758">IFERROR(INDEX('Retirement Calculator'!K:K,MATCH('Lorri 401b'!N758,'Retirement Calculator'!A:A,0),0),0)</f>
        <v>20282.026119384056</v>
      </c>
      <c r="K758" s="455">
        <f t="shared" ca="1" si="53"/>
        <v>-23818.010828563518</v>
      </c>
      <c r="L758" s="455">
        <f t="shared" ca="1" si="54"/>
        <v>-5740140.6096838079</v>
      </c>
      <c r="M758" s="471">
        <f t="shared" si="56"/>
        <v>0.05</v>
      </c>
      <c r="N758" s="475">
        <f t="shared" si="57"/>
        <v>74115</v>
      </c>
    </row>
    <row r="759" spans="7:14" ht="11.25" customHeight="1" x14ac:dyDescent="0.3">
      <c r="G759" s="470">
        <f t="shared" si="77"/>
        <v>63</v>
      </c>
      <c r="H759" s="470">
        <v>752</v>
      </c>
      <c r="I759" s="455">
        <f t="shared" ca="1" si="55"/>
        <v>-5740140.6096838079</v>
      </c>
      <c r="J759" s="455">
        <f t="array" ref="J759">IFERROR(INDEX('Retirement Calculator'!K:K,MATCH('Lorri 401b'!N759,'Retirement Calculator'!A:A,0),0),0)</f>
        <v>20282.026119384056</v>
      </c>
      <c r="K759" s="455">
        <f t="shared" ca="1" si="53"/>
        <v>-24001.7609825133</v>
      </c>
      <c r="L759" s="455">
        <f t="shared" ca="1" si="54"/>
        <v>-5784424.3967857054</v>
      </c>
      <c r="M759" s="471">
        <f t="shared" si="56"/>
        <v>0.05</v>
      </c>
      <c r="N759" s="475">
        <f t="shared" si="57"/>
        <v>74146</v>
      </c>
    </row>
    <row r="760" spans="7:14" ht="11.25" customHeight="1" x14ac:dyDescent="0.3">
      <c r="G760" s="470">
        <f t="shared" si="77"/>
        <v>63</v>
      </c>
      <c r="H760" s="470">
        <v>753</v>
      </c>
      <c r="I760" s="455">
        <f t="shared" ca="1" si="55"/>
        <v>-5784424.3967857054</v>
      </c>
      <c r="J760" s="455">
        <f t="array" ref="J760">IFERROR(INDEX('Retirement Calculator'!K:K,MATCH('Lorri 401b'!N760,'Retirement Calculator'!A:A,0),0),0)</f>
        <v>20282.026119384056</v>
      </c>
      <c r="K760" s="455">
        <f t="shared" ca="1" si="53"/>
        <v>-24186.276762104539</v>
      </c>
      <c r="L760" s="455">
        <f t="shared" ca="1" si="54"/>
        <v>-5828892.6996671939</v>
      </c>
      <c r="M760" s="471">
        <f t="shared" si="56"/>
        <v>0.05</v>
      </c>
      <c r="N760" s="475">
        <f t="shared" si="57"/>
        <v>74177</v>
      </c>
    </row>
    <row r="761" spans="7:14" ht="11.25" customHeight="1" x14ac:dyDescent="0.3">
      <c r="G761" s="470">
        <f t="shared" si="77"/>
        <v>63</v>
      </c>
      <c r="H761" s="470">
        <v>754</v>
      </c>
      <c r="I761" s="455">
        <f t="shared" ca="1" si="55"/>
        <v>-5828892.6996671939</v>
      </c>
      <c r="J761" s="455">
        <f t="array" ref="J761">IFERROR(INDEX('Retirement Calculator'!K:K,MATCH('Lorri 401b'!N761,'Retirement Calculator'!A:A,0),0),0)</f>
        <v>20282.026119384056</v>
      </c>
      <c r="K761" s="455">
        <f t="shared" ca="1" si="53"/>
        <v>-24371.561357444076</v>
      </c>
      <c r="L761" s="455">
        <f t="shared" ca="1" si="54"/>
        <v>-5873546.2871440221</v>
      </c>
      <c r="M761" s="471">
        <f t="shared" si="56"/>
        <v>0.05</v>
      </c>
      <c r="N761" s="475">
        <f t="shared" si="57"/>
        <v>74205</v>
      </c>
    </row>
    <row r="762" spans="7:14" ht="11.25" customHeight="1" x14ac:dyDescent="0.3">
      <c r="G762" s="470">
        <f t="shared" si="77"/>
        <v>63</v>
      </c>
      <c r="H762" s="470">
        <v>755</v>
      </c>
      <c r="I762" s="455">
        <f t="shared" ca="1" si="55"/>
        <v>-5873546.2871440221</v>
      </c>
      <c r="J762" s="455">
        <f t="array" ref="J762">IFERROR(INDEX('Retirement Calculator'!K:K,MATCH('Lorri 401b'!N762,'Retirement Calculator'!A:A,0),0),0)</f>
        <v>20282.026119384056</v>
      </c>
      <c r="K762" s="455">
        <f t="shared" ca="1" si="53"/>
        <v>-24557.617971930857</v>
      </c>
      <c r="L762" s="455">
        <f t="shared" ca="1" si="54"/>
        <v>-5918385.9312353367</v>
      </c>
      <c r="M762" s="471">
        <f t="shared" si="56"/>
        <v>0.05</v>
      </c>
      <c r="N762" s="475">
        <f t="shared" si="57"/>
        <v>74236</v>
      </c>
    </row>
    <row r="763" spans="7:14" ht="11.25" customHeight="1" x14ac:dyDescent="0.3">
      <c r="G763" s="470">
        <f t="shared" si="77"/>
        <v>63</v>
      </c>
      <c r="H763" s="470">
        <v>756</v>
      </c>
      <c r="I763" s="455">
        <f t="shared" ca="1" si="55"/>
        <v>-5918385.9312353367</v>
      </c>
      <c r="J763" s="455">
        <f t="array" ref="J763">IFERROR(INDEX('Retirement Calculator'!K:K,MATCH('Lorri 401b'!N763,'Retirement Calculator'!A:A,0),0),0)</f>
        <v>20282.026119384056</v>
      </c>
      <c r="K763" s="455">
        <f t="shared" ca="1" si="53"/>
        <v>-24744.449822311337</v>
      </c>
      <c r="L763" s="455">
        <f t="shared" ca="1" si="54"/>
        <v>-5963412.407177032</v>
      </c>
      <c r="M763" s="471">
        <f t="shared" si="56"/>
        <v>0.05</v>
      </c>
      <c r="N763" s="475">
        <f t="shared" si="57"/>
        <v>74266</v>
      </c>
    </row>
    <row r="764" spans="7:14" ht="11.25" customHeight="1" x14ac:dyDescent="0.3">
      <c r="G764" s="470">
        <f>G763+1</f>
        <v>64</v>
      </c>
      <c r="H764" s="470">
        <v>757</v>
      </c>
      <c r="I764" s="455">
        <f t="shared" ca="1" si="55"/>
        <v>-5963412.407177032</v>
      </c>
      <c r="J764" s="455">
        <f t="array" ref="J764">IFERROR(INDEX('Retirement Calculator'!K:K,MATCH('Lorri 401b'!N764,'Retirement Calculator'!A:A,0),0),0)</f>
        <v>20282.026119384056</v>
      </c>
      <c r="K764" s="455">
        <f t="shared" ca="1" si="53"/>
        <v>-24932.060138735065</v>
      </c>
      <c r="L764" s="455">
        <f t="shared" ca="1" si="54"/>
        <v>-6008626.4934351509</v>
      </c>
      <c r="M764" s="471">
        <f t="shared" si="56"/>
        <v>0.05</v>
      </c>
      <c r="N764" s="475">
        <f t="shared" si="57"/>
        <v>74297</v>
      </c>
    </row>
    <row r="765" spans="7:14" ht="11.25" customHeight="1" x14ac:dyDescent="0.3">
      <c r="G765" s="470">
        <f t="shared" ref="G765:G775" si="78">G764</f>
        <v>64</v>
      </c>
      <c r="H765" s="470">
        <v>758</v>
      </c>
      <c r="I765" s="455">
        <f t="shared" ca="1" si="55"/>
        <v>-6008626.4934351509</v>
      </c>
      <c r="J765" s="455">
        <f t="array" ref="J765">IFERROR(INDEX('Retirement Calculator'!K:K,MATCH('Lorri 401b'!N765,'Retirement Calculator'!A:A,0),0),0)</f>
        <v>20282.026119384056</v>
      </c>
      <c r="K765" s="455">
        <f t="shared" ca="1" si="53"/>
        <v>-25120.452164810562</v>
      </c>
      <c r="L765" s="455">
        <f t="shared" ca="1" si="54"/>
        <v>-6054028.9717193451</v>
      </c>
      <c r="M765" s="471">
        <f t="shared" si="56"/>
        <v>0.05</v>
      </c>
      <c r="N765" s="475">
        <f t="shared" si="57"/>
        <v>74327</v>
      </c>
    </row>
    <row r="766" spans="7:14" ht="11.25" customHeight="1" x14ac:dyDescent="0.3">
      <c r="G766" s="470">
        <f t="shared" si="78"/>
        <v>64</v>
      </c>
      <c r="H766" s="470">
        <v>759</v>
      </c>
      <c r="I766" s="455">
        <f t="shared" ca="1" si="55"/>
        <v>-6054028.9717193451</v>
      </c>
      <c r="J766" s="455">
        <f t="array" ref="J766">IFERROR(INDEX('Retirement Calculator'!K:K,MATCH('Lorri 401b'!N766,'Retirement Calculator'!A:A,0),0),0)</f>
        <v>20282.026119384056</v>
      </c>
      <c r="K766" s="455">
        <f t="shared" ca="1" si="53"/>
        <v>-25309.629157661369</v>
      </c>
      <c r="L766" s="455">
        <f t="shared" ca="1" si="54"/>
        <v>-6099620.6269963905</v>
      </c>
      <c r="M766" s="471">
        <f t="shared" si="56"/>
        <v>0.05</v>
      </c>
      <c r="N766" s="475">
        <f t="shared" si="57"/>
        <v>74358</v>
      </c>
    </row>
    <row r="767" spans="7:14" ht="11.25" customHeight="1" x14ac:dyDescent="0.3">
      <c r="G767" s="470">
        <f t="shared" si="78"/>
        <v>64</v>
      </c>
      <c r="H767" s="470">
        <v>760</v>
      </c>
      <c r="I767" s="455">
        <f t="shared" ca="1" si="55"/>
        <v>-6099620.6269963905</v>
      </c>
      <c r="J767" s="455">
        <f t="array" ref="J767">IFERROR(INDEX('Retirement Calculator'!K:K,MATCH('Lorri 401b'!N767,'Retirement Calculator'!A:A,0),0),0)</f>
        <v>20282.026119384056</v>
      </c>
      <c r="K767" s="455">
        <f t="shared" ca="1" si="53"/>
        <v>-25499.594387982394</v>
      </c>
      <c r="L767" s="455">
        <f t="shared" ca="1" si="54"/>
        <v>-6145402.2475037565</v>
      </c>
      <c r="M767" s="471">
        <f t="shared" si="56"/>
        <v>0.05</v>
      </c>
      <c r="N767" s="475">
        <f t="shared" si="57"/>
        <v>74389</v>
      </c>
    </row>
    <row r="768" spans="7:14" ht="11.25" customHeight="1" x14ac:dyDescent="0.3">
      <c r="G768" s="470">
        <f t="shared" si="78"/>
        <v>64</v>
      </c>
      <c r="H768" s="470">
        <v>761</v>
      </c>
      <c r="I768" s="455">
        <f t="shared" ca="1" si="55"/>
        <v>-6145402.2475037565</v>
      </c>
      <c r="J768" s="455">
        <f t="array" ref="J768">IFERROR(INDEX('Retirement Calculator'!K:K,MATCH('Lorri 401b'!N768,'Retirement Calculator'!A:A,0),0),0)</f>
        <v>20282.026119384056</v>
      </c>
      <c r="K768" s="455">
        <f t="shared" ca="1" si="53"/>
        <v>-25690.35114009642</v>
      </c>
      <c r="L768" s="455">
        <f t="shared" ca="1" si="54"/>
        <v>-6191374.6247632373</v>
      </c>
      <c r="M768" s="471">
        <f t="shared" si="56"/>
        <v>0.05</v>
      </c>
      <c r="N768" s="475">
        <f t="shared" si="57"/>
        <v>74419</v>
      </c>
    </row>
    <row r="769" spans="7:14" ht="11.25" customHeight="1" x14ac:dyDescent="0.3">
      <c r="G769" s="470">
        <f t="shared" si="78"/>
        <v>64</v>
      </c>
      <c r="H769" s="470">
        <v>762</v>
      </c>
      <c r="I769" s="455">
        <f t="shared" ca="1" si="55"/>
        <v>-6191374.6247632373</v>
      </c>
      <c r="J769" s="455">
        <f t="array" ref="J769">IFERROR(INDEX('Retirement Calculator'!K:K,MATCH('Lorri 401b'!N769,'Retirement Calculator'!A:A,0),0),0)</f>
        <v>20282.026119384056</v>
      </c>
      <c r="K769" s="455">
        <f t="shared" ca="1" si="53"/>
        <v>-25881.90271201092</v>
      </c>
      <c r="L769" s="455">
        <f t="shared" ca="1" si="54"/>
        <v>-6237538.5535946321</v>
      </c>
      <c r="M769" s="471">
        <f t="shared" si="56"/>
        <v>0.05</v>
      </c>
      <c r="N769" s="475">
        <f t="shared" si="57"/>
        <v>74450</v>
      </c>
    </row>
    <row r="770" spans="7:14" ht="11.25" customHeight="1" x14ac:dyDescent="0.3">
      <c r="G770" s="470">
        <f t="shared" si="78"/>
        <v>64</v>
      </c>
      <c r="H770" s="470">
        <v>763</v>
      </c>
      <c r="I770" s="455">
        <f t="shared" ca="1" si="55"/>
        <v>-6237538.5535946321</v>
      </c>
      <c r="J770" s="455">
        <f t="array" ref="J770">IFERROR(INDEX('Retirement Calculator'!K:K,MATCH('Lorri 401b'!N770,'Retirement Calculator'!A:A,0),0),0)</f>
        <v>20282.026119384056</v>
      </c>
      <c r="K770" s="455">
        <f t="shared" ca="1" si="53"/>
        <v>-26074.252415475068</v>
      </c>
      <c r="L770" s="455">
        <f t="shared" ca="1" si="54"/>
        <v>-6283894.8321294915</v>
      </c>
      <c r="M770" s="471">
        <f t="shared" si="56"/>
        <v>0.05</v>
      </c>
      <c r="N770" s="475">
        <f t="shared" si="57"/>
        <v>74480</v>
      </c>
    </row>
    <row r="771" spans="7:14" ht="11.25" customHeight="1" x14ac:dyDescent="0.3">
      <c r="G771" s="470">
        <f t="shared" si="78"/>
        <v>64</v>
      </c>
      <c r="H771" s="470">
        <v>764</v>
      </c>
      <c r="I771" s="455">
        <f t="shared" ca="1" si="55"/>
        <v>-6283894.8321294915</v>
      </c>
      <c r="J771" s="455">
        <f t="array" ref="J771">IFERROR(INDEX('Retirement Calculator'!K:K,MATCH('Lorri 401b'!N771,'Retirement Calculator'!A:A,0),0),0)</f>
        <v>20282.026119384056</v>
      </c>
      <c r="K771" s="455">
        <f t="shared" ca="1" si="53"/>
        <v>-26267.403576036981</v>
      </c>
      <c r="L771" s="455">
        <f t="shared" ca="1" si="54"/>
        <v>-6330444.2618249124</v>
      </c>
      <c r="M771" s="471">
        <f t="shared" si="56"/>
        <v>0.05</v>
      </c>
      <c r="N771" s="475">
        <f t="shared" si="57"/>
        <v>74511</v>
      </c>
    </row>
    <row r="772" spans="7:14" ht="11.25" customHeight="1" x14ac:dyDescent="0.3">
      <c r="G772" s="470">
        <f t="shared" si="78"/>
        <v>64</v>
      </c>
      <c r="H772" s="470">
        <v>765</v>
      </c>
      <c r="I772" s="455">
        <f t="shared" ca="1" si="55"/>
        <v>-6330444.2618249124</v>
      </c>
      <c r="J772" s="455">
        <f t="array" ref="J772">IFERROR(INDEX('Retirement Calculator'!K:K,MATCH('Lorri 401b'!N772,'Retirement Calculator'!A:A,0),0),0)</f>
        <v>20282.026119384056</v>
      </c>
      <c r="K772" s="455">
        <f t="shared" ca="1" si="53"/>
        <v>-26461.359533101233</v>
      </c>
      <c r="L772" s="455">
        <f t="shared" ca="1" si="54"/>
        <v>-6377187.6474773977</v>
      </c>
      <c r="M772" s="471">
        <f t="shared" si="56"/>
        <v>0.05</v>
      </c>
      <c r="N772" s="475">
        <f t="shared" si="57"/>
        <v>74542</v>
      </c>
    </row>
    <row r="773" spans="7:14" ht="11.25" customHeight="1" x14ac:dyDescent="0.3">
      <c r="G773" s="470">
        <f t="shared" si="78"/>
        <v>64</v>
      </c>
      <c r="H773" s="470">
        <v>766</v>
      </c>
      <c r="I773" s="455">
        <f t="shared" ca="1" si="55"/>
        <v>-6377187.6474773977</v>
      </c>
      <c r="J773" s="455">
        <f t="array" ref="J773">IFERROR(INDEX('Retirement Calculator'!K:K,MATCH('Lorri 401b'!N773,'Retirement Calculator'!A:A,0),0),0)</f>
        <v>20282.026119384056</v>
      </c>
      <c r="K773" s="455">
        <f t="shared" ref="K773:K1027" ca="1" si="79">IPMT(M773/12,1,12,-I773+J773,,0)</f>
        <v>-26656.123639986588</v>
      </c>
      <c r="L773" s="455">
        <f t="shared" ref="L773:L1027" ca="1" si="80">I773-J773+K773</f>
        <v>-6424125.7972367685</v>
      </c>
      <c r="M773" s="471">
        <f t="shared" si="56"/>
        <v>0.05</v>
      </c>
      <c r="N773" s="475">
        <f t="shared" si="57"/>
        <v>74571</v>
      </c>
    </row>
    <row r="774" spans="7:14" ht="11.25" customHeight="1" x14ac:dyDescent="0.3">
      <c r="G774" s="470">
        <f t="shared" si="78"/>
        <v>64</v>
      </c>
      <c r="H774" s="470">
        <v>767</v>
      </c>
      <c r="I774" s="455">
        <f t="shared" ref="I774:I1028" ca="1" si="81">L773</f>
        <v>-6424125.7972367685</v>
      </c>
      <c r="J774" s="455">
        <f t="array" ref="J774">IFERROR(INDEX('Retirement Calculator'!K:K,MATCH('Lorri 401b'!N774,'Retirement Calculator'!A:A,0),0),0)</f>
        <v>20282.026119384056</v>
      </c>
      <c r="K774" s="455">
        <f t="shared" ca="1" si="79"/>
        <v>-26851.69926398397</v>
      </c>
      <c r="L774" s="455">
        <f t="shared" ca="1" si="80"/>
        <v>-6471259.5226201368</v>
      </c>
      <c r="M774" s="471">
        <f t="shared" ref="M774:M1028" si="82">M773</f>
        <v>0.05</v>
      </c>
      <c r="N774" s="475">
        <f t="shared" ref="N774:N1028" si="83">EDATE(N773,1)</f>
        <v>74602</v>
      </c>
    </row>
    <row r="775" spans="7:14" ht="11.25" customHeight="1" x14ac:dyDescent="0.3">
      <c r="G775" s="470">
        <f t="shared" si="78"/>
        <v>64</v>
      </c>
      <c r="H775" s="470">
        <v>768</v>
      </c>
      <c r="I775" s="455">
        <f t="shared" ca="1" si="81"/>
        <v>-6471259.5226201368</v>
      </c>
      <c r="J775" s="455">
        <f t="array" ref="J775">IFERROR(INDEX('Retirement Calculator'!K:K,MATCH('Lorri 401b'!N775,'Retirement Calculator'!A:A,0),0),0)</f>
        <v>20282.026119384056</v>
      </c>
      <c r="K775" s="455">
        <f t="shared" ca="1" si="79"/>
        <v>-27048.089786414668</v>
      </c>
      <c r="L775" s="455">
        <f t="shared" ca="1" si="80"/>
        <v>-6518589.6385259358</v>
      </c>
      <c r="M775" s="471">
        <f t="shared" si="82"/>
        <v>0.05</v>
      </c>
      <c r="N775" s="475">
        <f t="shared" si="83"/>
        <v>74632</v>
      </c>
    </row>
    <row r="776" spans="7:14" ht="11.25" customHeight="1" x14ac:dyDescent="0.3">
      <c r="G776" s="470">
        <f>G775+1</f>
        <v>65</v>
      </c>
      <c r="H776" s="470">
        <v>769</v>
      </c>
      <c r="I776" s="455">
        <f t="shared" ca="1" si="81"/>
        <v>-6518589.6385259358</v>
      </c>
      <c r="J776" s="455">
        <f t="array" ref="J776">IFERROR(INDEX('Retirement Calculator'!K:K,MATCH('Lorri 401b'!N776,'Retirement Calculator'!A:A,0),0),0)</f>
        <v>20282.026119384056</v>
      </c>
      <c r="K776" s="455">
        <f t="shared" ca="1" si="79"/>
        <v>-27245.298602688836</v>
      </c>
      <c r="L776" s="455">
        <f t="shared" ca="1" si="80"/>
        <v>-6566116.9632480089</v>
      </c>
      <c r="M776" s="471">
        <f t="shared" si="82"/>
        <v>0.05</v>
      </c>
      <c r="N776" s="475">
        <f t="shared" si="83"/>
        <v>74663</v>
      </c>
    </row>
    <row r="777" spans="7:14" ht="11.25" customHeight="1" x14ac:dyDescent="0.3">
      <c r="G777" s="470">
        <f t="shared" ref="G777:G787" si="84">G776</f>
        <v>65</v>
      </c>
      <c r="H777" s="470">
        <v>770</v>
      </c>
      <c r="I777" s="455">
        <f t="shared" ca="1" si="81"/>
        <v>-6566116.9632480089</v>
      </c>
      <c r="J777" s="455">
        <f t="array" ref="J777">IFERROR(INDEX('Retirement Calculator'!K:K,MATCH('Lorri 401b'!N777,'Retirement Calculator'!A:A,0),0),0)</f>
        <v>20282.026119384056</v>
      </c>
      <c r="K777" s="455">
        <f t="shared" ca="1" si="79"/>
        <v>-27443.329122364135</v>
      </c>
      <c r="L777" s="455">
        <f t="shared" ca="1" si="80"/>
        <v>-6613842.3184897574</v>
      </c>
      <c r="M777" s="471">
        <f t="shared" si="82"/>
        <v>0.05</v>
      </c>
      <c r="N777" s="475">
        <f t="shared" si="83"/>
        <v>74693</v>
      </c>
    </row>
    <row r="778" spans="7:14" ht="11.25" customHeight="1" x14ac:dyDescent="0.3">
      <c r="G778" s="470">
        <f t="shared" si="84"/>
        <v>65</v>
      </c>
      <c r="H778" s="470">
        <v>771</v>
      </c>
      <c r="I778" s="455">
        <f t="shared" ca="1" si="81"/>
        <v>-6613842.3184897574</v>
      </c>
      <c r="J778" s="455">
        <f t="array" ref="J778">IFERROR(INDEX('Retirement Calculator'!K:K,MATCH('Lorri 401b'!N778,'Retirement Calculator'!A:A,0),0),0)</f>
        <v>20282.026119384056</v>
      </c>
      <c r="K778" s="455">
        <f t="shared" ca="1" si="79"/>
        <v>-27642.184769204756</v>
      </c>
      <c r="L778" s="455">
        <f t="shared" ca="1" si="80"/>
        <v>-6661766.5293783462</v>
      </c>
      <c r="M778" s="471">
        <f t="shared" si="82"/>
        <v>0.05</v>
      </c>
      <c r="N778" s="475">
        <f t="shared" si="83"/>
        <v>74724</v>
      </c>
    </row>
    <row r="779" spans="7:14" ht="11.25" customHeight="1" x14ac:dyDescent="0.3">
      <c r="G779" s="470">
        <f t="shared" si="84"/>
        <v>65</v>
      </c>
      <c r="H779" s="470">
        <v>772</v>
      </c>
      <c r="I779" s="455">
        <f t="shared" ca="1" si="81"/>
        <v>-6661766.5293783462</v>
      </c>
      <c r="J779" s="455">
        <f t="array" ref="J779">IFERROR(INDEX('Retirement Calculator'!K:K,MATCH('Lorri 401b'!N779,'Retirement Calculator'!A:A,0),0),0)</f>
        <v>20282.026119384056</v>
      </c>
      <c r="K779" s="455">
        <f t="shared" ca="1" si="79"/>
        <v>-27841.868981240543</v>
      </c>
      <c r="L779" s="455">
        <f t="shared" ca="1" si="80"/>
        <v>-6709890.4244789705</v>
      </c>
      <c r="M779" s="471">
        <f t="shared" si="82"/>
        <v>0.05</v>
      </c>
      <c r="N779" s="475">
        <f t="shared" si="83"/>
        <v>74755</v>
      </c>
    </row>
    <row r="780" spans="7:14" ht="11.25" customHeight="1" x14ac:dyDescent="0.3">
      <c r="G780" s="470">
        <f t="shared" si="84"/>
        <v>65</v>
      </c>
      <c r="H780" s="470">
        <v>773</v>
      </c>
      <c r="I780" s="455">
        <f t="shared" ca="1" si="81"/>
        <v>-6709890.4244789705</v>
      </c>
      <c r="J780" s="455">
        <f t="array" ref="J780">IFERROR(INDEX('Retirement Calculator'!K:K,MATCH('Lorri 401b'!N780,'Retirement Calculator'!A:A,0),0),0)</f>
        <v>20282.026119384056</v>
      </c>
      <c r="K780" s="455">
        <f t="shared" ca="1" si="79"/>
        <v>-28042.385210826476</v>
      </c>
      <c r="L780" s="455">
        <f t="shared" ca="1" si="80"/>
        <v>-6758214.8358091805</v>
      </c>
      <c r="M780" s="471">
        <f t="shared" si="82"/>
        <v>0.05</v>
      </c>
      <c r="N780" s="475">
        <f t="shared" si="83"/>
        <v>74785</v>
      </c>
    </row>
    <row r="781" spans="7:14" ht="11.25" customHeight="1" x14ac:dyDescent="0.3">
      <c r="G781" s="470">
        <f t="shared" si="84"/>
        <v>65</v>
      </c>
      <c r="H781" s="470">
        <v>774</v>
      </c>
      <c r="I781" s="455">
        <f t="shared" ca="1" si="81"/>
        <v>-6758214.8358091805</v>
      </c>
      <c r="J781" s="455">
        <f t="array" ref="J781">IFERROR(INDEX('Retirement Calculator'!K:K,MATCH('Lorri 401b'!N781,'Retirement Calculator'!A:A,0),0),0)</f>
        <v>20282.026119384056</v>
      </c>
      <c r="K781" s="455">
        <f t="shared" ca="1" si="79"/>
        <v>-28243.736924702349</v>
      </c>
      <c r="L781" s="455">
        <f t="shared" ca="1" si="80"/>
        <v>-6806740.5988532668</v>
      </c>
      <c r="M781" s="471">
        <f t="shared" si="82"/>
        <v>0.05</v>
      </c>
      <c r="N781" s="475">
        <f t="shared" si="83"/>
        <v>74816</v>
      </c>
    </row>
    <row r="782" spans="7:14" ht="11.25" customHeight="1" x14ac:dyDescent="0.3">
      <c r="G782" s="470">
        <f t="shared" si="84"/>
        <v>65</v>
      </c>
      <c r="H782" s="470">
        <v>775</v>
      </c>
      <c r="I782" s="455">
        <f t="shared" ca="1" si="81"/>
        <v>-6806740.5988532668</v>
      </c>
      <c r="J782" s="455">
        <f t="array" ref="J782">IFERROR(INDEX('Retirement Calculator'!K:K,MATCH('Lorri 401b'!N782,'Retirement Calculator'!A:A,0),0),0)</f>
        <v>20282.026119384056</v>
      </c>
      <c r="K782" s="455">
        <f t="shared" ca="1" si="79"/>
        <v>-28445.927604052711</v>
      </c>
      <c r="L782" s="455">
        <f t="shared" ca="1" si="80"/>
        <v>-6855468.552576704</v>
      </c>
      <c r="M782" s="471">
        <f t="shared" si="82"/>
        <v>0.05</v>
      </c>
      <c r="N782" s="475">
        <f t="shared" si="83"/>
        <v>74846</v>
      </c>
    </row>
    <row r="783" spans="7:14" ht="11.25" customHeight="1" x14ac:dyDescent="0.3">
      <c r="G783" s="470">
        <f t="shared" si="84"/>
        <v>65</v>
      </c>
      <c r="H783" s="470">
        <v>776</v>
      </c>
      <c r="I783" s="455">
        <f t="shared" ca="1" si="81"/>
        <v>-6855468.552576704</v>
      </c>
      <c r="J783" s="455">
        <f t="array" ref="J783">IFERROR(INDEX('Retirement Calculator'!K:K,MATCH('Lorri 401b'!N783,'Retirement Calculator'!A:A,0),0),0)</f>
        <v>20282.026119384056</v>
      </c>
      <c r="K783" s="455">
        <f t="shared" ca="1" si="79"/>
        <v>-28648.960744567034</v>
      </c>
      <c r="L783" s="455">
        <f t="shared" ca="1" si="80"/>
        <v>-6904399.5394406551</v>
      </c>
      <c r="M783" s="471">
        <f t="shared" si="82"/>
        <v>0.05</v>
      </c>
      <c r="N783" s="475">
        <f t="shared" si="83"/>
        <v>74877</v>
      </c>
    </row>
    <row r="784" spans="7:14" ht="11.25" customHeight="1" x14ac:dyDescent="0.3">
      <c r="G784" s="470">
        <f t="shared" si="84"/>
        <v>65</v>
      </c>
      <c r="H784" s="470">
        <v>777</v>
      </c>
      <c r="I784" s="455">
        <f t="shared" ca="1" si="81"/>
        <v>-6904399.5394406551</v>
      </c>
      <c r="J784" s="455">
        <f t="array" ref="J784">IFERROR(INDEX('Retirement Calculator'!K:K,MATCH('Lorri 401b'!N784,'Retirement Calculator'!A:A,0),0),0)</f>
        <v>20282.026119384056</v>
      </c>
      <c r="K784" s="455">
        <f t="shared" ca="1" si="79"/>
        <v>-28852.839856500163</v>
      </c>
      <c r="L784" s="455">
        <f t="shared" ca="1" si="80"/>
        <v>-6953534.4054165389</v>
      </c>
      <c r="M784" s="471">
        <f t="shared" si="82"/>
        <v>0.05</v>
      </c>
      <c r="N784" s="475">
        <f t="shared" si="83"/>
        <v>74908</v>
      </c>
    </row>
    <row r="785" spans="7:14" ht="11.25" customHeight="1" x14ac:dyDescent="0.3">
      <c r="G785" s="470">
        <f t="shared" si="84"/>
        <v>65</v>
      </c>
      <c r="H785" s="470">
        <v>778</v>
      </c>
      <c r="I785" s="455">
        <f t="shared" ca="1" si="81"/>
        <v>-6953534.4054165389</v>
      </c>
      <c r="J785" s="455">
        <f t="array" ref="J785">IFERROR(INDEX('Retirement Calculator'!K:K,MATCH('Lorri 401b'!N785,'Retirement Calculator'!A:A,0),0),0)</f>
        <v>20282.026119384056</v>
      </c>
      <c r="K785" s="455">
        <f t="shared" ca="1" si="79"/>
        <v>-29057.568464733009</v>
      </c>
      <c r="L785" s="455">
        <f t="shared" ca="1" si="80"/>
        <v>-7002874.0000006557</v>
      </c>
      <c r="M785" s="471">
        <f t="shared" si="82"/>
        <v>0.05</v>
      </c>
      <c r="N785" s="475">
        <f t="shared" si="83"/>
        <v>74936</v>
      </c>
    </row>
    <row r="786" spans="7:14" ht="11.25" customHeight="1" x14ac:dyDescent="0.3">
      <c r="G786" s="470">
        <f t="shared" si="84"/>
        <v>65</v>
      </c>
      <c r="H786" s="470">
        <v>779</v>
      </c>
      <c r="I786" s="455">
        <f t="shared" ca="1" si="81"/>
        <v>-7002874.0000006557</v>
      </c>
      <c r="J786" s="455">
        <f t="array" ref="J786">IFERROR(INDEX('Retirement Calculator'!K:K,MATCH('Lorri 401b'!N786,'Retirement Calculator'!A:A,0),0),0)</f>
        <v>20282.026119384056</v>
      </c>
      <c r="K786" s="455">
        <f t="shared" ca="1" si="79"/>
        <v>-29263.150108833495</v>
      </c>
      <c r="L786" s="455">
        <f t="shared" ca="1" si="80"/>
        <v>-7052419.1762288734</v>
      </c>
      <c r="M786" s="471">
        <f t="shared" si="82"/>
        <v>0.05</v>
      </c>
      <c r="N786" s="475">
        <f t="shared" si="83"/>
        <v>74967</v>
      </c>
    </row>
    <row r="787" spans="7:14" ht="11.25" customHeight="1" x14ac:dyDescent="0.3">
      <c r="G787" s="470">
        <f t="shared" si="84"/>
        <v>65</v>
      </c>
      <c r="H787" s="470">
        <v>780</v>
      </c>
      <c r="I787" s="455">
        <f t="shared" ca="1" si="81"/>
        <v>-7052419.1762288734</v>
      </c>
      <c r="J787" s="455">
        <f t="array" ref="J787">IFERROR(INDEX('Retirement Calculator'!K:K,MATCH('Lorri 401b'!N787,'Retirement Calculator'!A:A,0),0),0)</f>
        <v>20282.026119384056</v>
      </c>
      <c r="K787" s="455">
        <f t="shared" ca="1" si="79"/>
        <v>-29469.588343117735</v>
      </c>
      <c r="L787" s="455">
        <f t="shared" ca="1" si="80"/>
        <v>-7102170.7906913748</v>
      </c>
      <c r="M787" s="471">
        <f t="shared" si="82"/>
        <v>0.05</v>
      </c>
      <c r="N787" s="475">
        <f t="shared" si="83"/>
        <v>74997</v>
      </c>
    </row>
    <row r="788" spans="7:14" ht="11.25" customHeight="1" x14ac:dyDescent="0.3">
      <c r="G788" s="470">
        <f>G787+1</f>
        <v>66</v>
      </c>
      <c r="H788" s="470">
        <v>781</v>
      </c>
      <c r="I788" s="455">
        <f t="shared" ca="1" si="81"/>
        <v>-7102170.7906913748</v>
      </c>
      <c r="J788" s="455">
        <f t="array" ref="J788">IFERROR(INDEX('Retirement Calculator'!K:K,MATCH('Lorri 401b'!N788,'Retirement Calculator'!A:A,0),0),0)</f>
        <v>20282.026119384056</v>
      </c>
      <c r="K788" s="455">
        <f t="shared" ca="1" si="79"/>
        <v>-29676.886736711494</v>
      </c>
      <c r="L788" s="455">
        <f t="shared" ca="1" si="80"/>
        <v>-7152129.7035474703</v>
      </c>
      <c r="M788" s="471">
        <f t="shared" si="82"/>
        <v>0.05</v>
      </c>
      <c r="N788" s="475">
        <f t="shared" si="83"/>
        <v>75028</v>
      </c>
    </row>
    <row r="789" spans="7:14" ht="11.25" customHeight="1" x14ac:dyDescent="0.3">
      <c r="G789" s="470">
        <f t="shared" ref="G789:G799" si="85">G788</f>
        <v>66</v>
      </c>
      <c r="H789" s="470">
        <v>782</v>
      </c>
      <c r="I789" s="455">
        <f t="shared" ca="1" si="81"/>
        <v>-7152129.7035474703</v>
      </c>
      <c r="J789" s="455">
        <f t="array" ref="J789">IFERROR(INDEX('Retirement Calculator'!K:K,MATCH('Lorri 401b'!N789,'Retirement Calculator'!A:A,0),0),0)</f>
        <v>20282.026119384056</v>
      </c>
      <c r="K789" s="455">
        <f t="shared" ca="1" si="79"/>
        <v>-29885.048873611893</v>
      </c>
      <c r="L789" s="455">
        <f t="shared" ca="1" si="80"/>
        <v>-7202296.778540466</v>
      </c>
      <c r="M789" s="471">
        <f t="shared" si="82"/>
        <v>0.05</v>
      </c>
      <c r="N789" s="475">
        <f t="shared" si="83"/>
        <v>75058</v>
      </c>
    </row>
    <row r="790" spans="7:14" ht="11.25" customHeight="1" x14ac:dyDescent="0.3">
      <c r="G790" s="470">
        <f t="shared" si="85"/>
        <v>66</v>
      </c>
      <c r="H790" s="470">
        <v>783</v>
      </c>
      <c r="I790" s="455">
        <f t="shared" ca="1" si="81"/>
        <v>-7202296.778540466</v>
      </c>
      <c r="J790" s="455">
        <f t="array" ref="J790">IFERROR(INDEX('Retirement Calculator'!K:K,MATCH('Lorri 401b'!N790,'Retirement Calculator'!A:A,0),0),0)</f>
        <v>20282.026119384056</v>
      </c>
      <c r="K790" s="455">
        <f t="shared" ca="1" si="79"/>
        <v>-30094.078352749373</v>
      </c>
      <c r="L790" s="455">
        <f t="shared" ca="1" si="80"/>
        <v>-7252672.8830125993</v>
      </c>
      <c r="M790" s="471">
        <f t="shared" si="82"/>
        <v>0.05</v>
      </c>
      <c r="N790" s="475">
        <f t="shared" si="83"/>
        <v>75089</v>
      </c>
    </row>
    <row r="791" spans="7:14" ht="11.25" customHeight="1" x14ac:dyDescent="0.3">
      <c r="G791" s="470">
        <f t="shared" si="85"/>
        <v>66</v>
      </c>
      <c r="H791" s="470">
        <v>784</v>
      </c>
      <c r="I791" s="455">
        <f t="shared" ca="1" si="81"/>
        <v>-7252672.8830125993</v>
      </c>
      <c r="J791" s="455">
        <f t="array" ref="J791">IFERROR(INDEX('Retirement Calculator'!K:K,MATCH('Lorri 401b'!N791,'Retirement Calculator'!A:A,0),0),0)</f>
        <v>20282.026119384056</v>
      </c>
      <c r="K791" s="455">
        <f t="shared" ca="1" si="79"/>
        <v>-30303.978788049935</v>
      </c>
      <c r="L791" s="455">
        <f t="shared" ca="1" si="80"/>
        <v>-7303258.8879200332</v>
      </c>
      <c r="M791" s="471">
        <f t="shared" si="82"/>
        <v>0.05</v>
      </c>
      <c r="N791" s="475">
        <f t="shared" si="83"/>
        <v>75120</v>
      </c>
    </row>
    <row r="792" spans="7:14" ht="11.25" customHeight="1" x14ac:dyDescent="0.3">
      <c r="G792" s="470">
        <f t="shared" si="85"/>
        <v>66</v>
      </c>
      <c r="H792" s="470">
        <v>785</v>
      </c>
      <c r="I792" s="455">
        <f t="shared" ca="1" si="81"/>
        <v>-7303258.8879200332</v>
      </c>
      <c r="J792" s="455">
        <f t="array" ref="J792">IFERROR(INDEX('Retirement Calculator'!K:K,MATCH('Lorri 401b'!N792,'Retirement Calculator'!A:A,0),0),0)</f>
        <v>20282.026119384056</v>
      </c>
      <c r="K792" s="455">
        <f t="shared" ca="1" si="79"/>
        <v>-30514.753808497575</v>
      </c>
      <c r="L792" s="455">
        <f t="shared" ca="1" si="80"/>
        <v>-7354055.6678479146</v>
      </c>
      <c r="M792" s="471">
        <f t="shared" si="82"/>
        <v>0.05</v>
      </c>
      <c r="N792" s="475">
        <f t="shared" si="83"/>
        <v>75150</v>
      </c>
    </row>
    <row r="793" spans="7:14" ht="11.25" customHeight="1" x14ac:dyDescent="0.3">
      <c r="G793" s="470">
        <f t="shared" si="85"/>
        <v>66</v>
      </c>
      <c r="H793" s="470">
        <v>786</v>
      </c>
      <c r="I793" s="455">
        <f t="shared" ca="1" si="81"/>
        <v>-7354055.6678479146</v>
      </c>
      <c r="J793" s="455">
        <f t="array" ref="J793">IFERROR(INDEX('Retirement Calculator'!K:K,MATCH('Lorri 401b'!N793,'Retirement Calculator'!A:A,0),0),0)</f>
        <v>20282.026119384056</v>
      </c>
      <c r="K793" s="455">
        <f t="shared" ca="1" si="79"/>
        <v>-30726.407058197077</v>
      </c>
      <c r="L793" s="455">
        <f t="shared" ca="1" si="80"/>
        <v>-7405064.1010254957</v>
      </c>
      <c r="M793" s="471">
        <f t="shared" si="82"/>
        <v>0.05</v>
      </c>
      <c r="N793" s="475">
        <f t="shared" si="83"/>
        <v>75181</v>
      </c>
    </row>
    <row r="794" spans="7:14" ht="11.25" customHeight="1" x14ac:dyDescent="0.3">
      <c r="G794" s="470">
        <f t="shared" si="85"/>
        <v>66</v>
      </c>
      <c r="H794" s="470">
        <v>787</v>
      </c>
      <c r="I794" s="455">
        <f t="shared" ca="1" si="81"/>
        <v>-7405064.1010254957</v>
      </c>
      <c r="J794" s="455">
        <f t="array" ref="J794">IFERROR(INDEX('Retirement Calculator'!K:K,MATCH('Lorri 401b'!N794,'Retirement Calculator'!A:A,0),0),0)</f>
        <v>20282.026119384056</v>
      </c>
      <c r="K794" s="455">
        <f t="shared" ca="1" si="79"/>
        <v>-30938.942196436994</v>
      </c>
      <c r="L794" s="455">
        <f t="shared" ca="1" si="80"/>
        <v>-7456285.0693413168</v>
      </c>
      <c r="M794" s="471">
        <f t="shared" si="82"/>
        <v>0.05</v>
      </c>
      <c r="N794" s="475">
        <f t="shared" si="83"/>
        <v>75211</v>
      </c>
    </row>
    <row r="795" spans="7:14" ht="11.25" customHeight="1" x14ac:dyDescent="0.3">
      <c r="G795" s="470">
        <f t="shared" si="85"/>
        <v>66</v>
      </c>
      <c r="H795" s="470">
        <v>788</v>
      </c>
      <c r="I795" s="455">
        <f t="shared" ca="1" si="81"/>
        <v>-7456285.0693413168</v>
      </c>
      <c r="J795" s="455">
        <f t="array" ref="J795">IFERROR(INDEX('Retirement Calculator'!K:K,MATCH('Lorri 401b'!N795,'Retirement Calculator'!A:A,0),0),0)</f>
        <v>20282.026119384056</v>
      </c>
      <c r="K795" s="455">
        <f t="shared" ca="1" si="79"/>
        <v>-31152.362897752919</v>
      </c>
      <c r="L795" s="455">
        <f t="shared" ca="1" si="80"/>
        <v>-7507719.4583584536</v>
      </c>
      <c r="M795" s="471">
        <f t="shared" si="82"/>
        <v>0.05</v>
      </c>
      <c r="N795" s="475">
        <f t="shared" si="83"/>
        <v>75242</v>
      </c>
    </row>
    <row r="796" spans="7:14" ht="11.25" customHeight="1" x14ac:dyDescent="0.3">
      <c r="G796" s="470">
        <f t="shared" si="85"/>
        <v>66</v>
      </c>
      <c r="H796" s="470">
        <v>789</v>
      </c>
      <c r="I796" s="455">
        <f t="shared" ca="1" si="81"/>
        <v>-7507719.4583584536</v>
      </c>
      <c r="J796" s="455">
        <f t="array" ref="J796">IFERROR(INDEX('Retirement Calculator'!K:K,MATCH('Lorri 401b'!N796,'Retirement Calculator'!A:A,0),0),0)</f>
        <v>20282.026119384056</v>
      </c>
      <c r="K796" s="455">
        <f t="shared" ca="1" si="79"/>
        <v>-31366.672851990992</v>
      </c>
      <c r="L796" s="455">
        <f t="shared" ca="1" si="80"/>
        <v>-7559368.1573298285</v>
      </c>
      <c r="M796" s="471">
        <f t="shared" si="82"/>
        <v>0.05</v>
      </c>
      <c r="N796" s="475">
        <f t="shared" si="83"/>
        <v>75273</v>
      </c>
    </row>
    <row r="797" spans="7:14" ht="11.25" customHeight="1" x14ac:dyDescent="0.3">
      <c r="G797" s="470">
        <f t="shared" si="85"/>
        <v>66</v>
      </c>
      <c r="H797" s="470">
        <v>790</v>
      </c>
      <c r="I797" s="455">
        <f t="shared" ca="1" si="81"/>
        <v>-7559368.1573298285</v>
      </c>
      <c r="J797" s="455">
        <f t="array" ref="J797">IFERROR(INDEX('Retirement Calculator'!K:K,MATCH('Lorri 401b'!N797,'Retirement Calculator'!A:A,0),0),0)</f>
        <v>20282.026119384056</v>
      </c>
      <c r="K797" s="455">
        <f t="shared" ca="1" si="79"/>
        <v>-31581.875764371722</v>
      </c>
      <c r="L797" s="455">
        <f t="shared" ca="1" si="80"/>
        <v>-7611232.0592135843</v>
      </c>
      <c r="M797" s="471">
        <f t="shared" si="82"/>
        <v>0.05</v>
      </c>
      <c r="N797" s="475">
        <f t="shared" si="83"/>
        <v>75301</v>
      </c>
    </row>
    <row r="798" spans="7:14" ht="11.25" customHeight="1" x14ac:dyDescent="0.3">
      <c r="G798" s="470">
        <f t="shared" si="85"/>
        <v>66</v>
      </c>
      <c r="H798" s="470">
        <v>791</v>
      </c>
      <c r="I798" s="455">
        <f t="shared" ca="1" si="81"/>
        <v>-7611232.0592135843</v>
      </c>
      <c r="J798" s="455">
        <f t="array" ref="J798">IFERROR(INDEX('Retirement Calculator'!K:K,MATCH('Lorri 401b'!N798,'Retirement Calculator'!A:A,0),0),0)</f>
        <v>20282.026119384056</v>
      </c>
      <c r="K798" s="455">
        <f t="shared" ca="1" si="79"/>
        <v>-31797.975355554034</v>
      </c>
      <c r="L798" s="455">
        <f t="shared" ca="1" si="80"/>
        <v>-7663312.0606885226</v>
      </c>
      <c r="M798" s="471">
        <f t="shared" si="82"/>
        <v>0.05</v>
      </c>
      <c r="N798" s="475">
        <f t="shared" si="83"/>
        <v>75332</v>
      </c>
    </row>
    <row r="799" spans="7:14" ht="11.25" customHeight="1" x14ac:dyDescent="0.3">
      <c r="G799" s="470">
        <f t="shared" si="85"/>
        <v>66</v>
      </c>
      <c r="H799" s="470">
        <v>792</v>
      </c>
      <c r="I799" s="455">
        <f t="shared" ca="1" si="81"/>
        <v>-7663312.0606885226</v>
      </c>
      <c r="J799" s="455">
        <f t="array" ref="J799">IFERROR(INDEX('Retirement Calculator'!K:K,MATCH('Lorri 401b'!N799,'Retirement Calculator'!A:A,0),0),0)</f>
        <v>20282.026119384056</v>
      </c>
      <c r="K799" s="455">
        <f t="shared" ca="1" si="79"/>
        <v>-32014.975361699609</v>
      </c>
      <c r="L799" s="455">
        <f t="shared" ca="1" si="80"/>
        <v>-7715609.0621696059</v>
      </c>
      <c r="M799" s="471">
        <f t="shared" si="82"/>
        <v>0.05</v>
      </c>
      <c r="N799" s="475">
        <f t="shared" si="83"/>
        <v>75362</v>
      </c>
    </row>
    <row r="800" spans="7:14" ht="11.25" customHeight="1" x14ac:dyDescent="0.3">
      <c r="G800" s="470">
        <f>G799+1</f>
        <v>67</v>
      </c>
      <c r="H800" s="470">
        <v>793</v>
      </c>
      <c r="I800" s="455">
        <f t="shared" ca="1" si="81"/>
        <v>-7715609.0621696059</v>
      </c>
      <c r="J800" s="455">
        <f t="array" ref="J800">IFERROR(INDEX('Retirement Calculator'!K:K,MATCH('Lorri 401b'!N800,'Retirement Calculator'!A:A,0),0),0)</f>
        <v>20282.026119384056</v>
      </c>
      <c r="K800" s="455">
        <f t="shared" ca="1" si="79"/>
        <v>-32232.87953453746</v>
      </c>
      <c r="L800" s="455">
        <f t="shared" ca="1" si="80"/>
        <v>-7768123.9678235278</v>
      </c>
      <c r="M800" s="471">
        <f t="shared" si="82"/>
        <v>0.05</v>
      </c>
      <c r="N800" s="475">
        <f t="shared" si="83"/>
        <v>75393</v>
      </c>
    </row>
    <row r="801" spans="7:14" ht="11.25" customHeight="1" x14ac:dyDescent="0.3">
      <c r="G801" s="470">
        <f t="shared" ref="G801:G811" si="86">G800</f>
        <v>67</v>
      </c>
      <c r="H801" s="470">
        <v>794</v>
      </c>
      <c r="I801" s="455">
        <f t="shared" ca="1" si="81"/>
        <v>-7768123.9678235278</v>
      </c>
      <c r="J801" s="455">
        <f t="array" ref="J801">IFERROR(INDEX('Retirement Calculator'!K:K,MATCH('Lorri 401b'!N801,'Retirement Calculator'!A:A,0),0),0)</f>
        <v>20282.026119384056</v>
      </c>
      <c r="K801" s="455">
        <f t="shared" ca="1" si="79"/>
        <v>-32451.691641428799</v>
      </c>
      <c r="L801" s="455">
        <f t="shared" ca="1" si="80"/>
        <v>-7820857.6855843402</v>
      </c>
      <c r="M801" s="471">
        <f t="shared" si="82"/>
        <v>0.05</v>
      </c>
      <c r="N801" s="475">
        <f t="shared" si="83"/>
        <v>75423</v>
      </c>
    </row>
    <row r="802" spans="7:14" ht="11.25" customHeight="1" x14ac:dyDescent="0.3">
      <c r="G802" s="470">
        <f t="shared" si="86"/>
        <v>67</v>
      </c>
      <c r="H802" s="470">
        <v>795</v>
      </c>
      <c r="I802" s="455">
        <f t="shared" ca="1" si="81"/>
        <v>-7820857.6855843402</v>
      </c>
      <c r="J802" s="455">
        <f t="array" ref="J802">IFERROR(INDEX('Retirement Calculator'!K:K,MATCH('Lorri 401b'!N802,'Retirement Calculator'!A:A,0),0),0)</f>
        <v>20282.026119384056</v>
      </c>
      <c r="K802" s="455">
        <f t="shared" ca="1" si="79"/>
        <v>-32671.415465432183</v>
      </c>
      <c r="L802" s="455">
        <f t="shared" ca="1" si="80"/>
        <v>-7873811.1271691564</v>
      </c>
      <c r="M802" s="471">
        <f t="shared" si="82"/>
        <v>0.05</v>
      </c>
      <c r="N802" s="475">
        <f t="shared" si="83"/>
        <v>75454</v>
      </c>
    </row>
    <row r="803" spans="7:14" ht="11.25" customHeight="1" x14ac:dyDescent="0.3">
      <c r="G803" s="470">
        <f t="shared" si="86"/>
        <v>67</v>
      </c>
      <c r="H803" s="470">
        <v>796</v>
      </c>
      <c r="I803" s="455">
        <f t="shared" ca="1" si="81"/>
        <v>-7873811.1271691564</v>
      </c>
      <c r="J803" s="455">
        <f t="array" ref="J803">IFERROR(INDEX('Retirement Calculator'!K:K,MATCH('Lorri 401b'!N803,'Retirement Calculator'!A:A,0),0),0)</f>
        <v>20282.026119384056</v>
      </c>
      <c r="K803" s="455">
        <f t="shared" ca="1" si="79"/>
        <v>-32892.05480536892</v>
      </c>
      <c r="L803" s="455">
        <f t="shared" ca="1" si="80"/>
        <v>-7926985.2080939095</v>
      </c>
      <c r="M803" s="471">
        <f t="shared" si="82"/>
        <v>0.05</v>
      </c>
      <c r="N803" s="475">
        <f t="shared" si="83"/>
        <v>75485</v>
      </c>
    </row>
    <row r="804" spans="7:14" ht="11.25" customHeight="1" x14ac:dyDescent="0.3">
      <c r="G804" s="470">
        <f t="shared" si="86"/>
        <v>67</v>
      </c>
      <c r="H804" s="470">
        <v>797</v>
      </c>
      <c r="I804" s="455">
        <f t="shared" ca="1" si="81"/>
        <v>-7926985.2080939095</v>
      </c>
      <c r="J804" s="455">
        <f t="array" ref="J804">IFERROR(INDEX('Retirement Calculator'!K:K,MATCH('Lorri 401b'!N804,'Retirement Calculator'!A:A,0),0),0)</f>
        <v>20282.026119384056</v>
      </c>
      <c r="K804" s="455">
        <f t="shared" ca="1" si="79"/>
        <v>-33113.61347588872</v>
      </c>
      <c r="L804" s="455">
        <f t="shared" ca="1" si="80"/>
        <v>-7980380.8476891825</v>
      </c>
      <c r="M804" s="471">
        <f t="shared" si="82"/>
        <v>0.05</v>
      </c>
      <c r="N804" s="475">
        <f t="shared" si="83"/>
        <v>75515</v>
      </c>
    </row>
    <row r="805" spans="7:14" ht="11.25" customHeight="1" x14ac:dyDescent="0.3">
      <c r="G805" s="470">
        <f t="shared" si="86"/>
        <v>67</v>
      </c>
      <c r="H805" s="470">
        <v>798</v>
      </c>
      <c r="I805" s="455">
        <f t="shared" ca="1" si="81"/>
        <v>-7980380.8476891825</v>
      </c>
      <c r="J805" s="455">
        <f t="array" ref="J805">IFERROR(INDEX('Retirement Calculator'!K:K,MATCH('Lorri 401b'!N805,'Retirement Calculator'!A:A,0),0),0)</f>
        <v>20282.026119384056</v>
      </c>
      <c r="K805" s="455">
        <f t="shared" ca="1" si="79"/>
        <v>-33336.095307535688</v>
      </c>
      <c r="L805" s="455">
        <f t="shared" ca="1" si="80"/>
        <v>-8033998.969116102</v>
      </c>
      <c r="M805" s="471">
        <f t="shared" si="82"/>
        <v>0.05</v>
      </c>
      <c r="N805" s="475">
        <f t="shared" si="83"/>
        <v>75546</v>
      </c>
    </row>
    <row r="806" spans="7:14" ht="11.25" customHeight="1" x14ac:dyDescent="0.3">
      <c r="G806" s="470">
        <f t="shared" si="86"/>
        <v>67</v>
      </c>
      <c r="H806" s="470">
        <v>799</v>
      </c>
      <c r="I806" s="455">
        <f t="shared" ca="1" si="81"/>
        <v>-8033998.969116102</v>
      </c>
      <c r="J806" s="455">
        <f t="array" ref="J806">IFERROR(INDEX('Retirement Calculator'!K:K,MATCH('Lorri 401b'!N806,'Retirement Calculator'!A:A,0),0),0)</f>
        <v>20282.026119384056</v>
      </c>
      <c r="K806" s="455">
        <f t="shared" ca="1" si="79"/>
        <v>-33559.504146814521</v>
      </c>
      <c r="L806" s="455">
        <f t="shared" ca="1" si="80"/>
        <v>-8087840.4993823003</v>
      </c>
      <c r="M806" s="471">
        <f t="shared" si="82"/>
        <v>0.05</v>
      </c>
      <c r="N806" s="475">
        <f t="shared" si="83"/>
        <v>75576</v>
      </c>
    </row>
    <row r="807" spans="7:14" ht="11.25" customHeight="1" x14ac:dyDescent="0.3">
      <c r="G807" s="470">
        <f t="shared" si="86"/>
        <v>67</v>
      </c>
      <c r="H807" s="470">
        <v>800</v>
      </c>
      <c r="I807" s="455">
        <f t="shared" ca="1" si="81"/>
        <v>-8087840.4993823003</v>
      </c>
      <c r="J807" s="455">
        <f t="array" ref="J807">IFERROR(INDEX('Retirement Calculator'!K:K,MATCH('Lorri 401b'!N807,'Retirement Calculator'!A:A,0),0),0)</f>
        <v>20282.026119384056</v>
      </c>
      <c r="K807" s="455">
        <f t="shared" ca="1" si="79"/>
        <v>-33783.843856257015</v>
      </c>
      <c r="L807" s="455">
        <f t="shared" ca="1" si="80"/>
        <v>-8141906.3693579417</v>
      </c>
      <c r="M807" s="471">
        <f t="shared" si="82"/>
        <v>0.05</v>
      </c>
      <c r="N807" s="475">
        <f t="shared" si="83"/>
        <v>75607</v>
      </c>
    </row>
    <row r="808" spans="7:14" ht="11.25" customHeight="1" x14ac:dyDescent="0.3">
      <c r="G808" s="470">
        <f t="shared" si="86"/>
        <v>67</v>
      </c>
      <c r="H808" s="470">
        <v>801</v>
      </c>
      <c r="I808" s="455">
        <f t="shared" ca="1" si="81"/>
        <v>-8141906.3693579417</v>
      </c>
      <c r="J808" s="455">
        <f t="array" ref="J808">IFERROR(INDEX('Retirement Calculator'!K:K,MATCH('Lorri 401b'!N808,'Retirement Calculator'!A:A,0),0),0)</f>
        <v>20282.026119384056</v>
      </c>
      <c r="K808" s="455">
        <f t="shared" ca="1" si="79"/>
        <v>-34009.118314488864</v>
      </c>
      <c r="L808" s="455">
        <f t="shared" ca="1" si="80"/>
        <v>-8196197.5137918144</v>
      </c>
      <c r="M808" s="471">
        <f t="shared" si="82"/>
        <v>0.05</v>
      </c>
      <c r="N808" s="475">
        <f t="shared" si="83"/>
        <v>75638</v>
      </c>
    </row>
    <row r="809" spans="7:14" ht="11.25" customHeight="1" x14ac:dyDescent="0.3">
      <c r="G809" s="470">
        <f t="shared" si="86"/>
        <v>67</v>
      </c>
      <c r="H809" s="470">
        <v>802</v>
      </c>
      <c r="I809" s="455">
        <f t="shared" ca="1" si="81"/>
        <v>-8196197.5137918144</v>
      </c>
      <c r="J809" s="455">
        <f t="array" ref="J809">IFERROR(INDEX('Retirement Calculator'!K:K,MATCH('Lorri 401b'!N809,'Retirement Calculator'!A:A,0),0),0)</f>
        <v>20282.026119384056</v>
      </c>
      <c r="K809" s="455">
        <f t="shared" ca="1" si="79"/>
        <v>-34235.331416296656</v>
      </c>
      <c r="L809" s="455">
        <f t="shared" ca="1" si="80"/>
        <v>-8250714.8713274952</v>
      </c>
      <c r="M809" s="471">
        <f t="shared" si="82"/>
        <v>0.05</v>
      </c>
      <c r="N809" s="475">
        <f t="shared" si="83"/>
        <v>75666</v>
      </c>
    </row>
    <row r="810" spans="7:14" ht="11.25" customHeight="1" x14ac:dyDescent="0.3">
      <c r="G810" s="470">
        <f t="shared" si="86"/>
        <v>67</v>
      </c>
      <c r="H810" s="470">
        <v>803</v>
      </c>
      <c r="I810" s="455">
        <f t="shared" ca="1" si="81"/>
        <v>-8250714.8713274952</v>
      </c>
      <c r="J810" s="455">
        <f t="array" ref="J810">IFERROR(INDEX('Retirement Calculator'!K:K,MATCH('Lorri 401b'!N810,'Retirement Calculator'!A:A,0),0),0)</f>
        <v>20282.026119384056</v>
      </c>
      <c r="K810" s="455">
        <f t="shared" ca="1" si="79"/>
        <v>-34462.487072695323</v>
      </c>
      <c r="L810" s="455">
        <f t="shared" ca="1" si="80"/>
        <v>-8305459.3845195742</v>
      </c>
      <c r="M810" s="471">
        <f t="shared" si="82"/>
        <v>0.05</v>
      </c>
      <c r="N810" s="475">
        <f t="shared" si="83"/>
        <v>75697</v>
      </c>
    </row>
    <row r="811" spans="7:14" ht="11.25" customHeight="1" x14ac:dyDescent="0.3">
      <c r="G811" s="470">
        <f t="shared" si="86"/>
        <v>67</v>
      </c>
      <c r="H811" s="470">
        <v>804</v>
      </c>
      <c r="I811" s="455">
        <f t="shared" ca="1" si="81"/>
        <v>-8305459.3845195742</v>
      </c>
      <c r="J811" s="455">
        <f t="array" ref="J811">IFERROR(INDEX('Retirement Calculator'!K:K,MATCH('Lorri 401b'!N811,'Retirement Calculator'!A:A,0),0),0)</f>
        <v>20282.026119384056</v>
      </c>
      <c r="K811" s="455">
        <f t="shared" ca="1" si="79"/>
        <v>-34690.589210995662</v>
      </c>
      <c r="L811" s="455">
        <f t="shared" ca="1" si="80"/>
        <v>-8360431.9998499537</v>
      </c>
      <c r="M811" s="471">
        <f t="shared" si="82"/>
        <v>0.05</v>
      </c>
      <c r="N811" s="475">
        <f t="shared" si="83"/>
        <v>75727</v>
      </c>
    </row>
    <row r="812" spans="7:14" ht="11.25" customHeight="1" x14ac:dyDescent="0.3">
      <c r="G812" s="470">
        <f>G811+1</f>
        <v>68</v>
      </c>
      <c r="H812" s="470">
        <v>805</v>
      </c>
      <c r="I812" s="455">
        <f t="shared" ca="1" si="81"/>
        <v>-8360431.9998499537</v>
      </c>
      <c r="J812" s="455">
        <f t="array" ref="J812">IFERROR(INDEX('Retirement Calculator'!K:K,MATCH('Lorri 401b'!N812,'Retirement Calculator'!A:A,0),0),0)</f>
        <v>20282.026119384056</v>
      </c>
      <c r="K812" s="455">
        <f t="shared" ca="1" si="79"/>
        <v>-34919.641774872245</v>
      </c>
      <c r="L812" s="455">
        <f t="shared" ca="1" si="80"/>
        <v>-8415633.66774421</v>
      </c>
      <c r="M812" s="471">
        <f t="shared" si="82"/>
        <v>0.05</v>
      </c>
      <c r="N812" s="475">
        <f t="shared" si="83"/>
        <v>75758</v>
      </c>
    </row>
    <row r="813" spans="7:14" ht="11.25" customHeight="1" x14ac:dyDescent="0.3">
      <c r="G813" s="470">
        <f t="shared" ref="G813:G823" si="87">G812</f>
        <v>68</v>
      </c>
      <c r="H813" s="470">
        <v>806</v>
      </c>
      <c r="I813" s="455">
        <f t="shared" ca="1" si="81"/>
        <v>-8415633.66774421</v>
      </c>
      <c r="J813" s="455">
        <f t="array" ref="J813">IFERROR(INDEX('Retirement Calculator'!K:K,MATCH('Lorri 401b'!N813,'Retirement Calculator'!A:A,0),0),0)</f>
        <v>20282.026119384056</v>
      </c>
      <c r="K813" s="455">
        <f t="shared" ca="1" si="79"/>
        <v>-35149.648724431645</v>
      </c>
      <c r="L813" s="455">
        <f t="shared" ca="1" si="80"/>
        <v>-8471065.3425880261</v>
      </c>
      <c r="M813" s="471">
        <f t="shared" si="82"/>
        <v>0.05</v>
      </c>
      <c r="N813" s="475">
        <f t="shared" si="83"/>
        <v>75788</v>
      </c>
    </row>
    <row r="814" spans="7:14" ht="11.25" customHeight="1" x14ac:dyDescent="0.3">
      <c r="G814" s="470">
        <f t="shared" si="87"/>
        <v>68</v>
      </c>
      <c r="H814" s="470">
        <v>807</v>
      </c>
      <c r="I814" s="455">
        <f t="shared" ca="1" si="81"/>
        <v>-8471065.3425880261</v>
      </c>
      <c r="J814" s="455">
        <f t="array" ref="J814">IFERROR(INDEX('Retirement Calculator'!K:K,MATCH('Lorri 401b'!N814,'Retirement Calculator'!A:A,0),0),0)</f>
        <v>20282.026119384056</v>
      </c>
      <c r="K814" s="455">
        <f t="shared" ca="1" si="79"/>
        <v>-35380.61403628088</v>
      </c>
      <c r="L814" s="455">
        <f t="shared" ca="1" si="80"/>
        <v>-8526727.9827436917</v>
      </c>
      <c r="M814" s="471">
        <f t="shared" si="82"/>
        <v>0.05</v>
      </c>
      <c r="N814" s="475">
        <f t="shared" si="83"/>
        <v>75819</v>
      </c>
    </row>
    <row r="815" spans="7:14" ht="11.25" customHeight="1" x14ac:dyDescent="0.3">
      <c r="G815" s="470">
        <f t="shared" si="87"/>
        <v>68</v>
      </c>
      <c r="H815" s="470">
        <v>808</v>
      </c>
      <c r="I815" s="455">
        <f t="shared" ca="1" si="81"/>
        <v>-8526727.9827436917</v>
      </c>
      <c r="J815" s="455">
        <f t="array" ref="J815">IFERROR(INDEX('Retirement Calculator'!K:K,MATCH('Lorri 401b'!N815,'Retirement Calculator'!A:A,0),0),0)</f>
        <v>20282.026119384056</v>
      </c>
      <c r="K815" s="455">
        <f t="shared" ca="1" si="79"/>
        <v>-35612.541703596151</v>
      </c>
      <c r="L815" s="455">
        <f t="shared" ca="1" si="80"/>
        <v>-8582622.5505666733</v>
      </c>
      <c r="M815" s="471">
        <f t="shared" si="82"/>
        <v>0.05</v>
      </c>
      <c r="N815" s="475">
        <f t="shared" si="83"/>
        <v>75850</v>
      </c>
    </row>
    <row r="816" spans="7:14" ht="11.25" customHeight="1" x14ac:dyDescent="0.3">
      <c r="G816" s="470">
        <f t="shared" si="87"/>
        <v>68</v>
      </c>
      <c r="H816" s="470">
        <v>809</v>
      </c>
      <c r="I816" s="455">
        <f t="shared" ca="1" si="81"/>
        <v>-8582622.5505666733</v>
      </c>
      <c r="J816" s="455">
        <f t="array" ref="J816">IFERROR(INDEX('Retirement Calculator'!K:K,MATCH('Lorri 401b'!N816,'Retirement Calculator'!A:A,0),0),0)</f>
        <v>20282.026119384056</v>
      </c>
      <c r="K816" s="455">
        <f t="shared" ca="1" si="79"/>
        <v>-35845.43573619191</v>
      </c>
      <c r="L816" s="455">
        <f t="shared" ca="1" si="80"/>
        <v>-8638750.0124222506</v>
      </c>
      <c r="M816" s="471">
        <f t="shared" si="82"/>
        <v>0.05</v>
      </c>
      <c r="N816" s="475">
        <f t="shared" si="83"/>
        <v>75880</v>
      </c>
    </row>
    <row r="817" spans="7:14" ht="11.25" customHeight="1" x14ac:dyDescent="0.3">
      <c r="G817" s="470">
        <f t="shared" si="87"/>
        <v>68</v>
      </c>
      <c r="H817" s="470">
        <v>810</v>
      </c>
      <c r="I817" s="455">
        <f t="shared" ca="1" si="81"/>
        <v>-8638750.0124222506</v>
      </c>
      <c r="J817" s="455">
        <f t="array" ref="J817">IFERROR(INDEX('Retirement Calculator'!K:K,MATCH('Lorri 401b'!N817,'Retirement Calculator'!A:A,0),0),0)</f>
        <v>20282.026119384056</v>
      </c>
      <c r="K817" s="455">
        <f t="shared" ca="1" si="79"/>
        <v>-36079.300160590145</v>
      </c>
      <c r="L817" s="455">
        <f t="shared" ca="1" si="80"/>
        <v>-8695111.3387022261</v>
      </c>
      <c r="M817" s="471">
        <f t="shared" si="82"/>
        <v>0.05</v>
      </c>
      <c r="N817" s="475">
        <f t="shared" si="83"/>
        <v>75911</v>
      </c>
    </row>
    <row r="818" spans="7:14" ht="11.25" customHeight="1" x14ac:dyDescent="0.3">
      <c r="G818" s="470">
        <f t="shared" si="87"/>
        <v>68</v>
      </c>
      <c r="H818" s="470">
        <v>811</v>
      </c>
      <c r="I818" s="455">
        <f t="shared" ca="1" si="81"/>
        <v>-8695111.3387022261</v>
      </c>
      <c r="J818" s="455">
        <f t="array" ref="J818">IFERROR(INDEX('Retirement Calculator'!K:K,MATCH('Lorri 401b'!N818,'Retirement Calculator'!A:A,0),0),0)</f>
        <v>20282.026119384056</v>
      </c>
      <c r="K818" s="455">
        <f t="shared" ca="1" si="79"/>
        <v>-36314.139020090042</v>
      </c>
      <c r="L818" s="455">
        <f t="shared" ca="1" si="80"/>
        <v>-8751707.5038417019</v>
      </c>
      <c r="M818" s="471">
        <f t="shared" si="82"/>
        <v>0.05</v>
      </c>
      <c r="N818" s="475">
        <f t="shared" si="83"/>
        <v>75941</v>
      </c>
    </row>
    <row r="819" spans="7:14" ht="11.25" customHeight="1" x14ac:dyDescent="0.3">
      <c r="G819" s="470">
        <f t="shared" si="87"/>
        <v>68</v>
      </c>
      <c r="H819" s="470">
        <v>812</v>
      </c>
      <c r="I819" s="455">
        <f t="shared" ca="1" si="81"/>
        <v>-8751707.5038417019</v>
      </c>
      <c r="J819" s="455">
        <f t="array" ref="J819">IFERROR(INDEX('Retirement Calculator'!K:K,MATCH('Lorri 401b'!N819,'Retirement Calculator'!A:A,0),0),0)</f>
        <v>20282.026119384056</v>
      </c>
      <c r="K819" s="455">
        <f t="shared" ca="1" si="79"/>
        <v>-36549.956374837864</v>
      </c>
      <c r="L819" s="455">
        <f t="shared" ca="1" si="80"/>
        <v>-8808539.4863359239</v>
      </c>
      <c r="M819" s="471">
        <f t="shared" si="82"/>
        <v>0.05</v>
      </c>
      <c r="N819" s="475">
        <f t="shared" si="83"/>
        <v>75972</v>
      </c>
    </row>
    <row r="820" spans="7:14" ht="11.25" customHeight="1" x14ac:dyDescent="0.3">
      <c r="G820" s="470">
        <f t="shared" si="87"/>
        <v>68</v>
      </c>
      <c r="H820" s="470">
        <v>813</v>
      </c>
      <c r="I820" s="455">
        <f t="shared" ca="1" si="81"/>
        <v>-8808539.4863359239</v>
      </c>
      <c r="J820" s="455">
        <f t="array" ref="J820">IFERROR(INDEX('Retirement Calculator'!K:K,MATCH('Lorri 401b'!N820,'Retirement Calculator'!A:A,0),0),0)</f>
        <v>20282.026119384056</v>
      </c>
      <c r="K820" s="455">
        <f t="shared" ca="1" si="79"/>
        <v>-36786.75630189712</v>
      </c>
      <c r="L820" s="455">
        <f t="shared" ca="1" si="80"/>
        <v>-8865608.2687572055</v>
      </c>
      <c r="M820" s="471">
        <f t="shared" si="82"/>
        <v>0.05</v>
      </c>
      <c r="N820" s="475">
        <f t="shared" si="83"/>
        <v>76003</v>
      </c>
    </row>
    <row r="821" spans="7:14" ht="11.25" customHeight="1" x14ac:dyDescent="0.3">
      <c r="G821" s="470">
        <f t="shared" si="87"/>
        <v>68</v>
      </c>
      <c r="H821" s="470">
        <v>814</v>
      </c>
      <c r="I821" s="455">
        <f t="shared" ca="1" si="81"/>
        <v>-8865608.2687572055</v>
      </c>
      <c r="J821" s="455">
        <f t="array" ref="J821">IFERROR(INDEX('Retirement Calculator'!K:K,MATCH('Lorri 401b'!N821,'Retirement Calculator'!A:A,0),0),0)</f>
        <v>20282.026119384056</v>
      </c>
      <c r="K821" s="455">
        <f t="shared" ca="1" si="79"/>
        <v>-37024.542895319129</v>
      </c>
      <c r="L821" s="455">
        <f t="shared" ca="1" si="80"/>
        <v>-8922914.8377719093</v>
      </c>
      <c r="M821" s="471">
        <f t="shared" si="82"/>
        <v>0.05</v>
      </c>
      <c r="N821" s="475">
        <f t="shared" si="83"/>
        <v>76032</v>
      </c>
    </row>
    <row r="822" spans="7:14" ht="11.25" customHeight="1" x14ac:dyDescent="0.3">
      <c r="G822" s="470">
        <f t="shared" si="87"/>
        <v>68</v>
      </c>
      <c r="H822" s="470">
        <v>815</v>
      </c>
      <c r="I822" s="455">
        <f t="shared" ca="1" si="81"/>
        <v>-8922914.8377719093</v>
      </c>
      <c r="J822" s="455">
        <f t="array" ref="J822">IFERROR(INDEX('Retirement Calculator'!K:K,MATCH('Lorri 401b'!N822,'Retirement Calculator'!A:A,0),0),0)</f>
        <v>20282.026119384056</v>
      </c>
      <c r="K822" s="455">
        <f t="shared" ca="1" si="79"/>
        <v>-37263.320266213726</v>
      </c>
      <c r="L822" s="455">
        <f t="shared" ca="1" si="80"/>
        <v>-8980460.1841575075</v>
      </c>
      <c r="M822" s="471">
        <f t="shared" si="82"/>
        <v>0.05</v>
      </c>
      <c r="N822" s="475">
        <f t="shared" si="83"/>
        <v>76063</v>
      </c>
    </row>
    <row r="823" spans="7:14" ht="11.25" customHeight="1" x14ac:dyDescent="0.3">
      <c r="G823" s="470">
        <f t="shared" si="87"/>
        <v>68</v>
      </c>
      <c r="H823" s="470">
        <v>816</v>
      </c>
      <c r="I823" s="455">
        <f t="shared" ca="1" si="81"/>
        <v>-8980460.1841575075</v>
      </c>
      <c r="J823" s="455">
        <f t="array" ref="J823">IFERROR(INDEX('Retirement Calculator'!K:K,MATCH('Lorri 401b'!N823,'Retirement Calculator'!A:A,0),0),0)</f>
        <v>20282.026119384056</v>
      </c>
      <c r="K823" s="455">
        <f t="shared" ca="1" si="79"/>
        <v>-37503.092542820385</v>
      </c>
      <c r="L823" s="455">
        <f t="shared" ca="1" si="80"/>
        <v>-9038245.3028197121</v>
      </c>
      <c r="M823" s="471">
        <f t="shared" si="82"/>
        <v>0.05</v>
      </c>
      <c r="N823" s="475">
        <f t="shared" si="83"/>
        <v>76093</v>
      </c>
    </row>
    <row r="824" spans="7:14" ht="11.25" customHeight="1" x14ac:dyDescent="0.3">
      <c r="G824" s="470">
        <f>G823+1</f>
        <v>69</v>
      </c>
      <c r="H824" s="470">
        <v>817</v>
      </c>
      <c r="I824" s="455">
        <f t="shared" ca="1" si="81"/>
        <v>-9038245.3028197121</v>
      </c>
      <c r="J824" s="455">
        <f t="array" ref="J824">IFERROR(INDEX('Retirement Calculator'!K:K,MATCH('Lorri 401b'!N824,'Retirement Calculator'!A:A,0),0),0)</f>
        <v>20282.026119384056</v>
      </c>
      <c r="K824" s="455">
        <f t="shared" ca="1" si="79"/>
        <v>-37743.863870579567</v>
      </c>
      <c r="L824" s="455">
        <f t="shared" ca="1" si="80"/>
        <v>-9096271.1928096768</v>
      </c>
      <c r="M824" s="471">
        <f t="shared" si="82"/>
        <v>0.05</v>
      </c>
      <c r="N824" s="475">
        <f t="shared" si="83"/>
        <v>76124</v>
      </c>
    </row>
    <row r="825" spans="7:14" ht="11.25" customHeight="1" x14ac:dyDescent="0.3">
      <c r="G825" s="470">
        <f t="shared" ref="G825:G835" si="88">G824</f>
        <v>69</v>
      </c>
      <c r="H825" s="470">
        <v>818</v>
      </c>
      <c r="I825" s="455">
        <f t="shared" ca="1" si="81"/>
        <v>-9096271.1928096768</v>
      </c>
      <c r="J825" s="455">
        <f t="array" ref="J825">IFERROR(INDEX('Retirement Calculator'!K:K,MATCH('Lorri 401b'!N825,'Retirement Calculator'!A:A,0),0),0)</f>
        <v>20282.026119384056</v>
      </c>
      <c r="K825" s="455">
        <f t="shared" ca="1" si="79"/>
        <v>-37985.638412204426</v>
      </c>
      <c r="L825" s="455">
        <f t="shared" ca="1" si="80"/>
        <v>-9154538.8573412653</v>
      </c>
      <c r="M825" s="471">
        <f t="shared" si="82"/>
        <v>0.05</v>
      </c>
      <c r="N825" s="475">
        <f t="shared" si="83"/>
        <v>76154</v>
      </c>
    </row>
    <row r="826" spans="7:14" ht="11.25" customHeight="1" x14ac:dyDescent="0.3">
      <c r="G826" s="470">
        <f t="shared" si="88"/>
        <v>69</v>
      </c>
      <c r="H826" s="470">
        <v>819</v>
      </c>
      <c r="I826" s="455">
        <f t="shared" ca="1" si="81"/>
        <v>-9154538.8573412653</v>
      </c>
      <c r="J826" s="455">
        <f t="array" ref="J826">IFERROR(INDEX('Retirement Calculator'!K:K,MATCH('Lorri 401b'!N826,'Retirement Calculator'!A:A,0),0),0)</f>
        <v>20282.026119384056</v>
      </c>
      <c r="K826" s="455">
        <f t="shared" ca="1" si="79"/>
        <v>-38228.420347752712</v>
      </c>
      <c r="L826" s="455">
        <f t="shared" ca="1" si="80"/>
        <v>-9213049.3038084023</v>
      </c>
      <c r="M826" s="471">
        <f t="shared" si="82"/>
        <v>0.05</v>
      </c>
      <c r="N826" s="475">
        <f t="shared" si="83"/>
        <v>76185</v>
      </c>
    </row>
    <row r="827" spans="7:14" ht="11.25" customHeight="1" x14ac:dyDescent="0.3">
      <c r="G827" s="470">
        <f t="shared" si="88"/>
        <v>69</v>
      </c>
      <c r="H827" s="470">
        <v>820</v>
      </c>
      <c r="I827" s="455">
        <f t="shared" ca="1" si="81"/>
        <v>-9213049.3038084023</v>
      </c>
      <c r="J827" s="455">
        <f t="array" ref="J827">IFERROR(INDEX('Retirement Calculator'!K:K,MATCH('Lorri 401b'!N827,'Retirement Calculator'!A:A,0),0),0)</f>
        <v>20282.026119384056</v>
      </c>
      <c r="K827" s="455">
        <f t="shared" ca="1" si="79"/>
        <v>-38472.213874699111</v>
      </c>
      <c r="L827" s="455">
        <f t="shared" ca="1" si="80"/>
        <v>-9271803.5438024867</v>
      </c>
      <c r="M827" s="471">
        <f t="shared" si="82"/>
        <v>0.05</v>
      </c>
      <c r="N827" s="475">
        <f t="shared" si="83"/>
        <v>76216</v>
      </c>
    </row>
    <row r="828" spans="7:14" ht="11.25" customHeight="1" x14ac:dyDescent="0.3">
      <c r="G828" s="470">
        <f t="shared" si="88"/>
        <v>69</v>
      </c>
      <c r="H828" s="470">
        <v>821</v>
      </c>
      <c r="I828" s="455">
        <f t="shared" ca="1" si="81"/>
        <v>-9271803.5438024867</v>
      </c>
      <c r="J828" s="455">
        <f t="array" ref="J828">IFERROR(INDEX('Retirement Calculator'!K:K,MATCH('Lorri 401b'!N828,'Retirement Calculator'!A:A,0),0),0)</f>
        <v>20282.026119384056</v>
      </c>
      <c r="K828" s="455">
        <f t="shared" ca="1" si="79"/>
        <v>-38717.023208007799</v>
      </c>
      <c r="L828" s="455">
        <f t="shared" ca="1" si="80"/>
        <v>-9330802.5931298789</v>
      </c>
      <c r="M828" s="471">
        <f t="shared" si="82"/>
        <v>0.05</v>
      </c>
      <c r="N828" s="475">
        <f t="shared" si="83"/>
        <v>76246</v>
      </c>
    </row>
    <row r="829" spans="7:14" ht="11.25" customHeight="1" x14ac:dyDescent="0.3">
      <c r="G829" s="470">
        <f t="shared" si="88"/>
        <v>69</v>
      </c>
      <c r="H829" s="470">
        <v>822</v>
      </c>
      <c r="I829" s="455">
        <f t="shared" ca="1" si="81"/>
        <v>-9330802.5931298789</v>
      </c>
      <c r="J829" s="455">
        <f t="array" ref="J829">IFERROR(INDEX('Retirement Calculator'!K:K,MATCH('Lorri 401b'!N829,'Retirement Calculator'!A:A,0),0),0)</f>
        <v>20282.026119384056</v>
      </c>
      <c r="K829" s="455">
        <f t="shared" ca="1" si="79"/>
        <v>-38962.852580205268</v>
      </c>
      <c r="L829" s="455">
        <f t="shared" ca="1" si="80"/>
        <v>-9390047.4718294684</v>
      </c>
      <c r="M829" s="471">
        <f t="shared" si="82"/>
        <v>0.05</v>
      </c>
      <c r="N829" s="475">
        <f t="shared" si="83"/>
        <v>76277</v>
      </c>
    </row>
    <row r="830" spans="7:14" ht="11.25" customHeight="1" x14ac:dyDescent="0.3">
      <c r="G830" s="470">
        <f t="shared" si="88"/>
        <v>69</v>
      </c>
      <c r="H830" s="470">
        <v>823</v>
      </c>
      <c r="I830" s="455">
        <f t="shared" ca="1" si="81"/>
        <v>-9390047.4718294684</v>
      </c>
      <c r="J830" s="455">
        <f t="array" ref="J830">IFERROR(INDEX('Retirement Calculator'!K:K,MATCH('Lorri 401b'!N830,'Retirement Calculator'!A:A,0),0),0)</f>
        <v>20282.026119384056</v>
      </c>
      <c r="K830" s="455">
        <f t="shared" ca="1" si="79"/>
        <v>-39209.706241453554</v>
      </c>
      <c r="L830" s="455">
        <f t="shared" ca="1" si="80"/>
        <v>-9449539.2041903064</v>
      </c>
      <c r="M830" s="471">
        <f t="shared" si="82"/>
        <v>0.05</v>
      </c>
      <c r="N830" s="475">
        <f t="shared" si="83"/>
        <v>76307</v>
      </c>
    </row>
    <row r="831" spans="7:14" ht="11.25" customHeight="1" x14ac:dyDescent="0.3">
      <c r="G831" s="470">
        <f t="shared" si="88"/>
        <v>69</v>
      </c>
      <c r="H831" s="470">
        <v>824</v>
      </c>
      <c r="I831" s="455">
        <f t="shared" ca="1" si="81"/>
        <v>-9449539.2041903064</v>
      </c>
      <c r="J831" s="455">
        <f t="array" ref="J831">IFERROR(INDEX('Retirement Calculator'!K:K,MATCH('Lorri 401b'!N831,'Retirement Calculator'!A:A,0),0),0)</f>
        <v>20282.026119384056</v>
      </c>
      <c r="K831" s="455">
        <f t="shared" ca="1" si="79"/>
        <v>-39457.588459623716</v>
      </c>
      <c r="L831" s="455">
        <f t="shared" ca="1" si="80"/>
        <v>-9509278.8187693153</v>
      </c>
      <c r="M831" s="471">
        <f t="shared" si="82"/>
        <v>0.05</v>
      </c>
      <c r="N831" s="475">
        <f t="shared" si="83"/>
        <v>76338</v>
      </c>
    </row>
    <row r="832" spans="7:14" ht="11.25" customHeight="1" x14ac:dyDescent="0.3">
      <c r="G832" s="470">
        <f t="shared" si="88"/>
        <v>69</v>
      </c>
      <c r="H832" s="470">
        <v>825</v>
      </c>
      <c r="I832" s="455">
        <f t="shared" ca="1" si="81"/>
        <v>-9509278.8187693153</v>
      </c>
      <c r="J832" s="455">
        <f t="array" ref="J832">IFERROR(INDEX('Retirement Calculator'!K:K,MATCH('Lorri 401b'!N832,'Retirement Calculator'!A:A,0),0),0)</f>
        <v>20282.026119384056</v>
      </c>
      <c r="K832" s="455">
        <f t="shared" ca="1" si="79"/>
        <v>-39706.503520369581</v>
      </c>
      <c r="L832" s="455">
        <f t="shared" ca="1" si="80"/>
        <v>-9569267.3484090697</v>
      </c>
      <c r="M832" s="471">
        <f t="shared" si="82"/>
        <v>0.05</v>
      </c>
      <c r="N832" s="475">
        <f t="shared" si="83"/>
        <v>76369</v>
      </c>
    </row>
    <row r="833" spans="7:14" ht="11.25" customHeight="1" x14ac:dyDescent="0.3">
      <c r="G833" s="470">
        <f t="shared" si="88"/>
        <v>69</v>
      </c>
      <c r="H833" s="470">
        <v>826</v>
      </c>
      <c r="I833" s="455">
        <f t="shared" ca="1" si="81"/>
        <v>-9569267.3484090697</v>
      </c>
      <c r="J833" s="455">
        <f t="array" ref="J833">IFERROR(INDEX('Retirement Calculator'!K:K,MATCH('Lorri 401b'!N833,'Retirement Calculator'!A:A,0),0),0)</f>
        <v>20282.026119384056</v>
      </c>
      <c r="K833" s="455">
        <f t="shared" ca="1" si="79"/>
        <v>-39956.455727201894</v>
      </c>
      <c r="L833" s="455">
        <f t="shared" ca="1" si="80"/>
        <v>-9629505.8302556574</v>
      </c>
      <c r="M833" s="471">
        <f t="shared" si="82"/>
        <v>0.05</v>
      </c>
      <c r="N833" s="475">
        <f t="shared" si="83"/>
        <v>76397</v>
      </c>
    </row>
    <row r="834" spans="7:14" ht="11.25" customHeight="1" x14ac:dyDescent="0.3">
      <c r="G834" s="470">
        <f t="shared" si="88"/>
        <v>69</v>
      </c>
      <c r="H834" s="470">
        <v>827</v>
      </c>
      <c r="I834" s="455">
        <f t="shared" ca="1" si="81"/>
        <v>-9629505.8302556574</v>
      </c>
      <c r="J834" s="455">
        <f t="array" ref="J834">IFERROR(INDEX('Retirement Calculator'!K:K,MATCH('Lorri 401b'!N834,'Retirement Calculator'!A:A,0),0),0)</f>
        <v>20282.026119384056</v>
      </c>
      <c r="K834" s="455">
        <f t="shared" ca="1" si="79"/>
        <v>-40207.449401562677</v>
      </c>
      <c r="L834" s="455">
        <f t="shared" ca="1" si="80"/>
        <v>-9689995.3057766054</v>
      </c>
      <c r="M834" s="471">
        <f t="shared" si="82"/>
        <v>0.05</v>
      </c>
      <c r="N834" s="475">
        <f t="shared" si="83"/>
        <v>76428</v>
      </c>
    </row>
    <row r="835" spans="7:14" ht="11.25" customHeight="1" x14ac:dyDescent="0.3">
      <c r="G835" s="470">
        <f t="shared" si="88"/>
        <v>69</v>
      </c>
      <c r="H835" s="470">
        <v>828</v>
      </c>
      <c r="I835" s="455">
        <f t="shared" ca="1" si="81"/>
        <v>-9689995.3057766054</v>
      </c>
      <c r="J835" s="455">
        <f t="array" ref="J835">IFERROR(INDEX('Retirement Calculator'!K:K,MATCH('Lorri 401b'!N835,'Retirement Calculator'!A:A,0),0),0)</f>
        <v>20282.026119384056</v>
      </c>
      <c r="K835" s="455">
        <f t="shared" ca="1" si="79"/>
        <v>-40459.488882899961</v>
      </c>
      <c r="L835" s="455">
        <f t="shared" ca="1" si="80"/>
        <v>-9750736.8207788896</v>
      </c>
      <c r="M835" s="471">
        <f t="shared" si="82"/>
        <v>0.05</v>
      </c>
      <c r="N835" s="475">
        <f t="shared" si="83"/>
        <v>76458</v>
      </c>
    </row>
    <row r="836" spans="7:14" ht="11.25" customHeight="1" x14ac:dyDescent="0.3">
      <c r="G836" s="470">
        <f>G835+1</f>
        <v>70</v>
      </c>
      <c r="H836" s="470">
        <v>829</v>
      </c>
      <c r="I836" s="455">
        <f t="shared" ca="1" si="81"/>
        <v>-9750736.8207788896</v>
      </c>
      <c r="J836" s="455">
        <f t="array" ref="J836">IFERROR(INDEX('Retirement Calculator'!K:K,MATCH('Lorri 401b'!N836,'Retirement Calculator'!A:A,0),0),0)</f>
        <v>20282.026119384056</v>
      </c>
      <c r="K836" s="455">
        <f t="shared" ca="1" si="79"/>
        <v>-40712.578528742808</v>
      </c>
      <c r="L836" s="455">
        <f t="shared" ca="1" si="80"/>
        <v>-9811731.4254270177</v>
      </c>
      <c r="M836" s="471">
        <f t="shared" si="82"/>
        <v>0.05</v>
      </c>
      <c r="N836" s="475">
        <f t="shared" si="83"/>
        <v>76489</v>
      </c>
    </row>
    <row r="837" spans="7:14" ht="11.25" customHeight="1" x14ac:dyDescent="0.3">
      <c r="G837" s="470">
        <f t="shared" ref="G837:G847" si="89">G836</f>
        <v>70</v>
      </c>
      <c r="H837" s="470">
        <v>830</v>
      </c>
      <c r="I837" s="455">
        <f t="shared" ca="1" si="81"/>
        <v>-9811731.4254270177</v>
      </c>
      <c r="J837" s="455">
        <f t="array" ref="J837">IFERROR(INDEX('Retirement Calculator'!K:K,MATCH('Lorri 401b'!N837,'Retirement Calculator'!A:A,0),0),0)</f>
        <v>20282.026119384056</v>
      </c>
      <c r="K837" s="455">
        <f t="shared" ca="1" si="79"/>
        <v>-40966.722714776675</v>
      </c>
      <c r="L837" s="455">
        <f t="shared" ca="1" si="80"/>
        <v>-9872980.1742611788</v>
      </c>
      <c r="M837" s="471">
        <f t="shared" si="82"/>
        <v>0.05</v>
      </c>
      <c r="N837" s="475">
        <f t="shared" si="83"/>
        <v>76519</v>
      </c>
    </row>
    <row r="838" spans="7:14" ht="11.25" customHeight="1" x14ac:dyDescent="0.3">
      <c r="G838" s="470">
        <f t="shared" si="89"/>
        <v>70</v>
      </c>
      <c r="H838" s="470">
        <v>831</v>
      </c>
      <c r="I838" s="455">
        <f t="shared" ca="1" si="81"/>
        <v>-9872980.1742611788</v>
      </c>
      <c r="J838" s="455">
        <f t="array" ref="J838">IFERROR(INDEX('Retirement Calculator'!K:K,MATCH('Lorri 401b'!N838,'Retirement Calculator'!A:A,0),0),0)</f>
        <v>20282.026119384056</v>
      </c>
      <c r="K838" s="455">
        <f t="shared" ca="1" si="79"/>
        <v>-41221.925834919013</v>
      </c>
      <c r="L838" s="455">
        <f t="shared" ca="1" si="80"/>
        <v>-9934484.1262154821</v>
      </c>
      <c r="M838" s="471">
        <f t="shared" si="82"/>
        <v>0.05</v>
      </c>
      <c r="N838" s="475">
        <f t="shared" si="83"/>
        <v>76550</v>
      </c>
    </row>
    <row r="839" spans="7:14" ht="11.25" customHeight="1" x14ac:dyDescent="0.3">
      <c r="G839" s="470">
        <f t="shared" si="89"/>
        <v>70</v>
      </c>
      <c r="H839" s="470">
        <v>832</v>
      </c>
      <c r="I839" s="455">
        <f t="shared" ca="1" si="81"/>
        <v>-9934484.1262154821</v>
      </c>
      <c r="J839" s="455">
        <f t="array" ref="J839">IFERROR(INDEX('Retirement Calculator'!K:K,MATCH('Lorri 401b'!N839,'Retirement Calculator'!A:A,0),0),0)</f>
        <v>20282.026119384056</v>
      </c>
      <c r="K839" s="455">
        <f t="shared" ca="1" si="79"/>
        <v>-41478.192301395276</v>
      </c>
      <c r="L839" s="455">
        <f t="shared" ca="1" si="80"/>
        <v>-9996244.3446362615</v>
      </c>
      <c r="M839" s="471">
        <f t="shared" si="82"/>
        <v>0.05</v>
      </c>
      <c r="N839" s="475">
        <f t="shared" si="83"/>
        <v>76581</v>
      </c>
    </row>
    <row r="840" spans="7:14" ht="11.25" customHeight="1" x14ac:dyDescent="0.3">
      <c r="G840" s="470">
        <f t="shared" si="89"/>
        <v>70</v>
      </c>
      <c r="H840" s="470">
        <v>833</v>
      </c>
      <c r="I840" s="455">
        <f t="shared" ca="1" si="81"/>
        <v>-9996244.3446362615</v>
      </c>
      <c r="J840" s="455">
        <f t="array" ref="J840">IFERROR(INDEX('Retirement Calculator'!K:K,MATCH('Lorri 401b'!N840,'Retirement Calculator'!A:A,0),0),0)</f>
        <v>20282.026119384056</v>
      </c>
      <c r="K840" s="455">
        <f t="shared" ca="1" si="79"/>
        <v>-41735.526544815191</v>
      </c>
      <c r="L840" s="455">
        <f t="shared" ca="1" si="80"/>
        <v>-10058261.897300461</v>
      </c>
      <c r="M840" s="471">
        <f t="shared" si="82"/>
        <v>0.05</v>
      </c>
      <c r="N840" s="475">
        <f t="shared" si="83"/>
        <v>76611</v>
      </c>
    </row>
    <row r="841" spans="7:14" ht="11.25" customHeight="1" x14ac:dyDescent="0.3">
      <c r="G841" s="470">
        <f t="shared" si="89"/>
        <v>70</v>
      </c>
      <c r="H841" s="470">
        <v>834</v>
      </c>
      <c r="I841" s="455">
        <f t="shared" ca="1" si="81"/>
        <v>-10058261.897300461</v>
      </c>
      <c r="J841" s="455">
        <f t="array" ref="J841">IFERROR(INDEX('Retirement Calculator'!K:K,MATCH('Lorri 401b'!N841,'Retirement Calculator'!A:A,0),0),0)</f>
        <v>20282.026119384056</v>
      </c>
      <c r="K841" s="455">
        <f t="shared" ca="1" si="79"/>
        <v>-41993.933014249356</v>
      </c>
      <c r="L841" s="455">
        <f t="shared" ca="1" si="80"/>
        <v>-10120537.856434096</v>
      </c>
      <c r="M841" s="471">
        <f t="shared" si="82"/>
        <v>0.05</v>
      </c>
      <c r="N841" s="475">
        <f t="shared" si="83"/>
        <v>76642</v>
      </c>
    </row>
    <row r="842" spans="7:14" ht="11.25" customHeight="1" x14ac:dyDescent="0.3">
      <c r="G842" s="470">
        <f t="shared" si="89"/>
        <v>70</v>
      </c>
      <c r="H842" s="470">
        <v>835</v>
      </c>
      <c r="I842" s="455">
        <f t="shared" ca="1" si="81"/>
        <v>-10120537.856434096</v>
      </c>
      <c r="J842" s="455">
        <f t="array" ref="J842">IFERROR(INDEX('Retirement Calculator'!K:K,MATCH('Lorri 401b'!N842,'Retirement Calculator'!A:A,0),0),0)</f>
        <v>20282.026119384056</v>
      </c>
      <c r="K842" s="455">
        <f t="shared" ca="1" si="79"/>
        <v>-42253.416177306171</v>
      </c>
      <c r="L842" s="455">
        <f t="shared" ca="1" si="80"/>
        <v>-10183073.298730787</v>
      </c>
      <c r="M842" s="471">
        <f t="shared" si="82"/>
        <v>0.05</v>
      </c>
      <c r="N842" s="475">
        <f t="shared" si="83"/>
        <v>76672</v>
      </c>
    </row>
    <row r="843" spans="7:14" ht="11.25" customHeight="1" x14ac:dyDescent="0.3">
      <c r="G843" s="470">
        <f t="shared" si="89"/>
        <v>70</v>
      </c>
      <c r="H843" s="470">
        <v>836</v>
      </c>
      <c r="I843" s="455">
        <f t="shared" ca="1" si="81"/>
        <v>-10183073.298730787</v>
      </c>
      <c r="J843" s="455">
        <f t="array" ref="J843">IFERROR(INDEX('Retirement Calculator'!K:K,MATCH('Lorri 401b'!N843,'Retirement Calculator'!A:A,0),0),0)</f>
        <v>20282.026119384056</v>
      </c>
      <c r="K843" s="455">
        <f t="shared" ca="1" si="79"/>
        <v>-42513.98052020905</v>
      </c>
      <c r="L843" s="455">
        <f t="shared" ca="1" si="80"/>
        <v>-10245869.305370381</v>
      </c>
      <c r="M843" s="471">
        <f t="shared" si="82"/>
        <v>0.05</v>
      </c>
      <c r="N843" s="475">
        <f t="shared" si="83"/>
        <v>76703</v>
      </c>
    </row>
    <row r="844" spans="7:14" ht="11.25" customHeight="1" x14ac:dyDescent="0.3">
      <c r="G844" s="470">
        <f t="shared" si="89"/>
        <v>70</v>
      </c>
      <c r="H844" s="470">
        <v>837</v>
      </c>
      <c r="I844" s="455">
        <f t="shared" ca="1" si="81"/>
        <v>-10245869.305370381</v>
      </c>
      <c r="J844" s="455">
        <f t="array" ref="J844">IFERROR(INDEX('Retirement Calculator'!K:K,MATCH('Lorri 401b'!N844,'Retirement Calculator'!A:A,0),0),0)</f>
        <v>20282.026119384056</v>
      </c>
      <c r="K844" s="455">
        <f t="shared" ca="1" si="79"/>
        <v>-42775.630547874025</v>
      </c>
      <c r="L844" s="455">
        <f t="shared" ca="1" si="80"/>
        <v>-10308926.96203764</v>
      </c>
      <c r="M844" s="471">
        <f t="shared" si="82"/>
        <v>0.05</v>
      </c>
      <c r="N844" s="475">
        <f t="shared" si="83"/>
        <v>76734</v>
      </c>
    </row>
    <row r="845" spans="7:14" ht="11.25" customHeight="1" x14ac:dyDescent="0.3">
      <c r="G845" s="470">
        <f t="shared" si="89"/>
        <v>70</v>
      </c>
      <c r="H845" s="470">
        <v>838</v>
      </c>
      <c r="I845" s="455">
        <f t="shared" ca="1" si="81"/>
        <v>-10308926.96203764</v>
      </c>
      <c r="J845" s="455">
        <f t="array" ref="J845">IFERROR(INDEX('Retirement Calculator'!K:K,MATCH('Lorri 401b'!N845,'Retirement Calculator'!A:A,0),0),0)</f>
        <v>20282.026119384056</v>
      </c>
      <c r="K845" s="455">
        <f t="shared" ca="1" si="79"/>
        <v>-43038.370783987601</v>
      </c>
      <c r="L845" s="455">
        <f t="shared" ca="1" si="80"/>
        <v>-10372247.358941013</v>
      </c>
      <c r="M845" s="471">
        <f t="shared" si="82"/>
        <v>0.05</v>
      </c>
      <c r="N845" s="475">
        <f t="shared" si="83"/>
        <v>76762</v>
      </c>
    </row>
    <row r="846" spans="7:14" ht="11.25" customHeight="1" x14ac:dyDescent="0.3">
      <c r="G846" s="470">
        <f t="shared" si="89"/>
        <v>70</v>
      </c>
      <c r="H846" s="470">
        <v>839</v>
      </c>
      <c r="I846" s="455">
        <f t="shared" ca="1" si="81"/>
        <v>-10372247.358941013</v>
      </c>
      <c r="J846" s="455">
        <f t="array" ref="J846">IFERROR(INDEX('Retirement Calculator'!K:K,MATCH('Lorri 401b'!N846,'Retirement Calculator'!A:A,0),0),0)</f>
        <v>20282.026119384056</v>
      </c>
      <c r="K846" s="455">
        <f t="shared" ca="1" si="79"/>
        <v>-43302.205771084991</v>
      </c>
      <c r="L846" s="455">
        <f t="shared" ca="1" si="80"/>
        <v>-10435831.590831483</v>
      </c>
      <c r="M846" s="471">
        <f t="shared" si="82"/>
        <v>0.05</v>
      </c>
      <c r="N846" s="475">
        <f t="shared" si="83"/>
        <v>76793</v>
      </c>
    </row>
    <row r="847" spans="7:14" ht="11.25" customHeight="1" x14ac:dyDescent="0.3">
      <c r="G847" s="470">
        <f t="shared" si="89"/>
        <v>70</v>
      </c>
      <c r="H847" s="470">
        <v>840</v>
      </c>
      <c r="I847" s="455">
        <f t="shared" ca="1" si="81"/>
        <v>-10435831.590831483</v>
      </c>
      <c r="J847" s="455">
        <f t="array" ref="J847">IFERROR(INDEX('Retirement Calculator'!K:K,MATCH('Lorri 401b'!N847,'Retirement Calculator'!A:A,0),0),0)</f>
        <v>20282.026119384056</v>
      </c>
      <c r="K847" s="455">
        <f t="shared" ca="1" si="79"/>
        <v>-43567.140070628615</v>
      </c>
      <c r="L847" s="455">
        <f t="shared" ca="1" si="80"/>
        <v>-10499680.757021496</v>
      </c>
      <c r="M847" s="471">
        <f t="shared" si="82"/>
        <v>0.05</v>
      </c>
      <c r="N847" s="475">
        <f t="shared" si="83"/>
        <v>76823</v>
      </c>
    </row>
    <row r="848" spans="7:14" ht="11.25" customHeight="1" x14ac:dyDescent="0.3">
      <c r="G848" s="470">
        <f>G847+1</f>
        <v>71</v>
      </c>
      <c r="H848" s="470">
        <v>841</v>
      </c>
      <c r="I848" s="455">
        <f t="shared" ca="1" si="81"/>
        <v>-10499680.757021496</v>
      </c>
      <c r="J848" s="455">
        <f t="array" ref="J848">IFERROR(INDEX('Retirement Calculator'!K:K,MATCH('Lorri 401b'!N848,'Retirement Calculator'!A:A,0),0),0)</f>
        <v>20282.026119384056</v>
      </c>
      <c r="K848" s="455">
        <f t="shared" ca="1" si="79"/>
        <v>-43833.178263087</v>
      </c>
      <c r="L848" s="455">
        <f t="shared" ca="1" si="80"/>
        <v>-10563795.961403968</v>
      </c>
      <c r="M848" s="471">
        <f t="shared" si="82"/>
        <v>0.05</v>
      </c>
      <c r="N848" s="475">
        <f t="shared" si="83"/>
        <v>76854</v>
      </c>
    </row>
    <row r="849" spans="7:14" ht="11.25" customHeight="1" x14ac:dyDescent="0.3">
      <c r="G849" s="470">
        <f t="shared" ref="G849:G859" si="90">G848</f>
        <v>71</v>
      </c>
      <c r="H849" s="470">
        <v>842</v>
      </c>
      <c r="I849" s="455">
        <f t="shared" ca="1" si="81"/>
        <v>-10563795.961403968</v>
      </c>
      <c r="J849" s="455">
        <f t="array" ref="J849">IFERROR(INDEX('Retirement Calculator'!K:K,MATCH('Lorri 401b'!N849,'Retirement Calculator'!A:A,0),0),0)</f>
        <v>20282.026119384056</v>
      </c>
      <c r="K849" s="455">
        <f t="shared" ca="1" si="79"/>
        <v>-44100.324948013971</v>
      </c>
      <c r="L849" s="455">
        <f t="shared" ca="1" si="80"/>
        <v>-10628178.312471367</v>
      </c>
      <c r="M849" s="471">
        <f t="shared" si="82"/>
        <v>0.05</v>
      </c>
      <c r="N849" s="475">
        <f t="shared" si="83"/>
        <v>76884</v>
      </c>
    </row>
    <row r="850" spans="7:14" ht="11.25" customHeight="1" x14ac:dyDescent="0.3">
      <c r="G850" s="470">
        <f t="shared" si="90"/>
        <v>71</v>
      </c>
      <c r="H850" s="470">
        <v>843</v>
      </c>
      <c r="I850" s="455">
        <f t="shared" ca="1" si="81"/>
        <v>-10628178.312471367</v>
      </c>
      <c r="J850" s="455">
        <f t="array" ref="J850">IFERROR(INDEX('Retirement Calculator'!K:K,MATCH('Lorri 401b'!N850,'Retirement Calculator'!A:A,0),0),0)</f>
        <v>20282.026119384056</v>
      </c>
      <c r="K850" s="455">
        <f t="shared" ca="1" si="79"/>
        <v>-44368.584744128137</v>
      </c>
      <c r="L850" s="455">
        <f t="shared" ca="1" si="80"/>
        <v>-10692828.92333488</v>
      </c>
      <c r="M850" s="471">
        <f t="shared" si="82"/>
        <v>0.05</v>
      </c>
      <c r="N850" s="475">
        <f t="shared" si="83"/>
        <v>76915</v>
      </c>
    </row>
    <row r="851" spans="7:14" ht="11.25" customHeight="1" x14ac:dyDescent="0.3">
      <c r="G851" s="470">
        <f t="shared" si="90"/>
        <v>71</v>
      </c>
      <c r="H851" s="470">
        <v>844</v>
      </c>
      <c r="I851" s="455">
        <f t="shared" ca="1" si="81"/>
        <v>-10692828.92333488</v>
      </c>
      <c r="J851" s="455">
        <f t="array" ref="J851">IFERROR(INDEX('Retirement Calculator'!K:K,MATCH('Lorri 401b'!N851,'Retirement Calculator'!A:A,0),0),0)</f>
        <v>20282.026119384056</v>
      </c>
      <c r="K851" s="455">
        <f t="shared" ca="1" si="79"/>
        <v>-44637.962289392766</v>
      </c>
      <c r="L851" s="455">
        <f t="shared" ca="1" si="80"/>
        <v>-10757748.911743658</v>
      </c>
      <c r="M851" s="471">
        <f t="shared" si="82"/>
        <v>0.05</v>
      </c>
      <c r="N851" s="475">
        <f t="shared" si="83"/>
        <v>76946</v>
      </c>
    </row>
    <row r="852" spans="7:14" ht="11.25" customHeight="1" x14ac:dyDescent="0.3">
      <c r="G852" s="470">
        <f t="shared" si="90"/>
        <v>71</v>
      </c>
      <c r="H852" s="470">
        <v>845</v>
      </c>
      <c r="I852" s="455">
        <f t="shared" ca="1" si="81"/>
        <v>-10757748.911743658</v>
      </c>
      <c r="J852" s="455">
        <f t="array" ref="J852">IFERROR(INDEX('Retirement Calculator'!K:K,MATCH('Lorri 401b'!N852,'Retirement Calculator'!A:A,0),0),0)</f>
        <v>20282.026119384056</v>
      </c>
      <c r="K852" s="455">
        <f t="shared" ca="1" si="79"/>
        <v>-44908.462241096007</v>
      </c>
      <c r="L852" s="455">
        <f t="shared" ca="1" si="80"/>
        <v>-10822939.400104139</v>
      </c>
      <c r="M852" s="471">
        <f t="shared" si="82"/>
        <v>0.05</v>
      </c>
      <c r="N852" s="475">
        <f t="shared" si="83"/>
        <v>76976</v>
      </c>
    </row>
    <row r="853" spans="7:14" ht="11.25" customHeight="1" x14ac:dyDescent="0.3">
      <c r="G853" s="470">
        <f t="shared" si="90"/>
        <v>71</v>
      </c>
      <c r="H853" s="470">
        <v>846</v>
      </c>
      <c r="I853" s="455">
        <f t="shared" ca="1" si="81"/>
        <v>-10822939.400104139</v>
      </c>
      <c r="J853" s="455">
        <f t="array" ref="J853">IFERROR(INDEX('Retirement Calculator'!K:K,MATCH('Lorri 401b'!N853,'Retirement Calculator'!A:A,0),0),0)</f>
        <v>20282.026119384056</v>
      </c>
      <c r="K853" s="455">
        <f t="shared" ca="1" si="79"/>
        <v>-45180.08927593135</v>
      </c>
      <c r="L853" s="455">
        <f t="shared" ca="1" si="80"/>
        <v>-10888401.515499456</v>
      </c>
      <c r="M853" s="471">
        <f t="shared" si="82"/>
        <v>0.05</v>
      </c>
      <c r="N853" s="475">
        <f t="shared" si="83"/>
        <v>77007</v>
      </c>
    </row>
    <row r="854" spans="7:14" ht="11.25" customHeight="1" x14ac:dyDescent="0.3">
      <c r="G854" s="470">
        <f t="shared" si="90"/>
        <v>71</v>
      </c>
      <c r="H854" s="470">
        <v>847</v>
      </c>
      <c r="I854" s="455">
        <f t="shared" ca="1" si="81"/>
        <v>-10888401.515499456</v>
      </c>
      <c r="J854" s="455">
        <f t="array" ref="J854">IFERROR(INDEX('Retirement Calculator'!K:K,MATCH('Lorri 401b'!N854,'Retirement Calculator'!A:A,0),0),0)</f>
        <v>20282.026119384056</v>
      </c>
      <c r="K854" s="455">
        <f t="shared" ca="1" si="79"/>
        <v>-45452.8480900785</v>
      </c>
      <c r="L854" s="455">
        <f t="shared" ca="1" si="80"/>
        <v>-10954136.389708919</v>
      </c>
      <c r="M854" s="471">
        <f t="shared" si="82"/>
        <v>0.05</v>
      </c>
      <c r="N854" s="475">
        <f t="shared" si="83"/>
        <v>77037</v>
      </c>
    </row>
    <row r="855" spans="7:14" ht="11.25" customHeight="1" x14ac:dyDescent="0.3">
      <c r="G855" s="470">
        <f t="shared" si="90"/>
        <v>71</v>
      </c>
      <c r="H855" s="470">
        <v>848</v>
      </c>
      <c r="I855" s="455">
        <f t="shared" ca="1" si="81"/>
        <v>-10954136.389708919</v>
      </c>
      <c r="J855" s="455">
        <f t="array" ref="J855">IFERROR(INDEX('Retirement Calculator'!K:K,MATCH('Lorri 401b'!N855,'Retirement Calculator'!A:A,0),0),0)</f>
        <v>20282.026119384056</v>
      </c>
      <c r="K855" s="455">
        <f t="shared" ca="1" si="79"/>
        <v>-45726.743399284598</v>
      </c>
      <c r="L855" s="455">
        <f t="shared" ca="1" si="80"/>
        <v>-11020145.159227589</v>
      </c>
      <c r="M855" s="471">
        <f t="shared" si="82"/>
        <v>0.05</v>
      </c>
      <c r="N855" s="475">
        <f t="shared" si="83"/>
        <v>77068</v>
      </c>
    </row>
    <row r="856" spans="7:14" ht="11.25" customHeight="1" x14ac:dyDescent="0.3">
      <c r="G856" s="470">
        <f t="shared" si="90"/>
        <v>71</v>
      </c>
      <c r="H856" s="470">
        <v>849</v>
      </c>
      <c r="I856" s="455">
        <f t="shared" ca="1" si="81"/>
        <v>-11020145.159227589</v>
      </c>
      <c r="J856" s="455">
        <f t="array" ref="J856">IFERROR(INDEX('Retirement Calculator'!K:K,MATCH('Lorri 401b'!N856,'Retirement Calculator'!A:A,0),0),0)</f>
        <v>20282.026119384056</v>
      </c>
      <c r="K856" s="455">
        <f t="shared" ca="1" si="79"/>
        <v>-46001.779938945721</v>
      </c>
      <c r="L856" s="455">
        <f t="shared" ca="1" si="80"/>
        <v>-11086428.96528592</v>
      </c>
      <c r="M856" s="471">
        <f t="shared" si="82"/>
        <v>0.05</v>
      </c>
      <c r="N856" s="475">
        <f t="shared" si="83"/>
        <v>77099</v>
      </c>
    </row>
    <row r="857" spans="7:14" ht="11.25" customHeight="1" x14ac:dyDescent="0.3">
      <c r="G857" s="470">
        <f t="shared" si="90"/>
        <v>71</v>
      </c>
      <c r="H857" s="470">
        <v>850</v>
      </c>
      <c r="I857" s="455">
        <f t="shared" ca="1" si="81"/>
        <v>-11086428.96528592</v>
      </c>
      <c r="J857" s="455">
        <f t="array" ref="J857">IFERROR(INDEX('Retirement Calculator'!K:K,MATCH('Lorri 401b'!N857,'Retirement Calculator'!A:A,0),0),0)</f>
        <v>20282.026119384056</v>
      </c>
      <c r="K857" s="455">
        <f t="shared" ca="1" si="79"/>
        <v>-46277.962464188771</v>
      </c>
      <c r="L857" s="455">
        <f t="shared" ca="1" si="80"/>
        <v>-11152988.953869494</v>
      </c>
      <c r="M857" s="471">
        <f t="shared" si="82"/>
        <v>0.05</v>
      </c>
      <c r="N857" s="475">
        <f t="shared" si="83"/>
        <v>77127</v>
      </c>
    </row>
    <row r="858" spans="7:14" ht="11.25" customHeight="1" x14ac:dyDescent="0.3">
      <c r="G858" s="470">
        <f t="shared" si="90"/>
        <v>71</v>
      </c>
      <c r="H858" s="470">
        <v>851</v>
      </c>
      <c r="I858" s="455">
        <f t="shared" ca="1" si="81"/>
        <v>-11152988.953869494</v>
      </c>
      <c r="J858" s="455">
        <f t="array" ref="J858">IFERROR(INDEX('Retirement Calculator'!K:K,MATCH('Lorri 401b'!N858,'Retirement Calculator'!A:A,0),0),0)</f>
        <v>20282.026119384056</v>
      </c>
      <c r="K858" s="455">
        <f t="shared" ca="1" si="79"/>
        <v>-46555.295749953657</v>
      </c>
      <c r="L858" s="455">
        <f t="shared" ca="1" si="80"/>
        <v>-11219826.275738832</v>
      </c>
      <c r="M858" s="471">
        <f t="shared" si="82"/>
        <v>0.05</v>
      </c>
      <c r="N858" s="475">
        <f t="shared" si="83"/>
        <v>77158</v>
      </c>
    </row>
    <row r="859" spans="7:14" ht="11.25" customHeight="1" x14ac:dyDescent="0.3">
      <c r="G859" s="470">
        <f t="shared" si="90"/>
        <v>71</v>
      </c>
      <c r="H859" s="470">
        <v>852</v>
      </c>
      <c r="I859" s="455">
        <f t="shared" ca="1" si="81"/>
        <v>-11219826.275738832</v>
      </c>
      <c r="J859" s="455">
        <f t="array" ref="J859">IFERROR(INDEX('Retirement Calculator'!K:K,MATCH('Lorri 401b'!N859,'Retirement Calculator'!A:A,0),0),0)</f>
        <v>20282.026119384056</v>
      </c>
      <c r="K859" s="455">
        <f t="shared" ca="1" si="79"/>
        <v>-46833.784591075899</v>
      </c>
      <c r="L859" s="455">
        <f t="shared" ca="1" si="80"/>
        <v>-11286942.086449292</v>
      </c>
      <c r="M859" s="471">
        <f t="shared" si="82"/>
        <v>0.05</v>
      </c>
      <c r="N859" s="475">
        <f t="shared" si="83"/>
        <v>77188</v>
      </c>
    </row>
    <row r="860" spans="7:14" ht="11.25" customHeight="1" x14ac:dyDescent="0.3">
      <c r="G860" s="470">
        <f>G859+1</f>
        <v>72</v>
      </c>
      <c r="H860" s="470">
        <v>853</v>
      </c>
      <c r="I860" s="455">
        <f t="shared" ca="1" si="81"/>
        <v>-11286942.086449292</v>
      </c>
      <c r="J860" s="455">
        <f t="array" ref="J860">IFERROR(INDEX('Retirement Calculator'!K:K,MATCH('Lorri 401b'!N860,'Retirement Calculator'!A:A,0),0),0)</f>
        <v>20282.026119384056</v>
      </c>
      <c r="K860" s="455">
        <f t="shared" ca="1" si="79"/>
        <v>-47113.433802369487</v>
      </c>
      <c r="L860" s="455">
        <f t="shared" ca="1" si="80"/>
        <v>-11354337.546371046</v>
      </c>
      <c r="M860" s="471">
        <f t="shared" si="82"/>
        <v>0.05</v>
      </c>
      <c r="N860" s="475">
        <f t="shared" si="83"/>
        <v>77219</v>
      </c>
    </row>
    <row r="861" spans="7:14" ht="11.25" customHeight="1" x14ac:dyDescent="0.3">
      <c r="G861" s="470">
        <f t="shared" ref="G861:G871" si="91">G860</f>
        <v>72</v>
      </c>
      <c r="H861" s="470">
        <v>854</v>
      </c>
      <c r="I861" s="455">
        <f t="shared" ca="1" si="81"/>
        <v>-11354337.546371046</v>
      </c>
      <c r="J861" s="455">
        <f t="array" ref="J861">IFERROR(INDEX('Retirement Calculator'!K:K,MATCH('Lorri 401b'!N861,'Retirement Calculator'!A:A,0),0),0)</f>
        <v>20282.026119384056</v>
      </c>
      <c r="K861" s="455">
        <f t="shared" ca="1" si="79"/>
        <v>-47394.248218710127</v>
      </c>
      <c r="L861" s="455">
        <f t="shared" ca="1" si="80"/>
        <v>-11422013.820709141</v>
      </c>
      <c r="M861" s="471">
        <f t="shared" si="82"/>
        <v>0.05</v>
      </c>
      <c r="N861" s="475">
        <f t="shared" si="83"/>
        <v>77249</v>
      </c>
    </row>
    <row r="862" spans="7:14" ht="11.25" customHeight="1" x14ac:dyDescent="0.3">
      <c r="G862" s="470">
        <f t="shared" si="91"/>
        <v>72</v>
      </c>
      <c r="H862" s="470">
        <v>855</v>
      </c>
      <c r="I862" s="455">
        <f t="shared" ca="1" si="81"/>
        <v>-11422013.820709141</v>
      </c>
      <c r="J862" s="455">
        <f t="array" ref="J862">IFERROR(INDEX('Retirement Calculator'!K:K,MATCH('Lorri 401b'!N862,'Retirement Calculator'!A:A,0),0),0)</f>
        <v>20282.026119384056</v>
      </c>
      <c r="K862" s="455">
        <f t="shared" ca="1" si="79"/>
        <v>-47676.232695118859</v>
      </c>
      <c r="L862" s="455">
        <f t="shared" ca="1" si="80"/>
        <v>-11489972.079523645</v>
      </c>
      <c r="M862" s="471">
        <f t="shared" si="82"/>
        <v>0.05</v>
      </c>
      <c r="N862" s="475">
        <f t="shared" si="83"/>
        <v>77280</v>
      </c>
    </row>
    <row r="863" spans="7:14" ht="11.25" customHeight="1" x14ac:dyDescent="0.3">
      <c r="G863" s="470">
        <f t="shared" si="91"/>
        <v>72</v>
      </c>
      <c r="H863" s="470">
        <v>856</v>
      </c>
      <c r="I863" s="455">
        <f t="shared" ca="1" si="81"/>
        <v>-11489972.079523645</v>
      </c>
      <c r="J863" s="455">
        <f t="array" ref="J863">IFERROR(INDEX('Retirement Calculator'!K:K,MATCH('Lorri 401b'!N863,'Retirement Calculator'!A:A,0),0),0)</f>
        <v>20282.026119384056</v>
      </c>
      <c r="K863" s="455">
        <f t="shared" ca="1" si="79"/>
        <v>-47959.39210684596</v>
      </c>
      <c r="L863" s="455">
        <f t="shared" ca="1" si="80"/>
        <v>-11558213.497749876</v>
      </c>
      <c r="M863" s="471">
        <f t="shared" si="82"/>
        <v>0.05</v>
      </c>
      <c r="N863" s="475">
        <f t="shared" si="83"/>
        <v>77311</v>
      </c>
    </row>
    <row r="864" spans="7:14" ht="11.25" customHeight="1" x14ac:dyDescent="0.3">
      <c r="G864" s="470">
        <f t="shared" si="91"/>
        <v>72</v>
      </c>
      <c r="H864" s="470">
        <v>857</v>
      </c>
      <c r="I864" s="455">
        <f t="shared" ca="1" si="81"/>
        <v>-11558213.497749876</v>
      </c>
      <c r="J864" s="455">
        <f t="array" ref="J864">IFERROR(INDEX('Retirement Calculator'!K:K,MATCH('Lorri 401b'!N864,'Retirement Calculator'!A:A,0),0),0)</f>
        <v>20282.026119384056</v>
      </c>
      <c r="K864" s="455">
        <f t="shared" ca="1" si="79"/>
        <v>-48243.731349455251</v>
      </c>
      <c r="L864" s="455">
        <f t="shared" ca="1" si="80"/>
        <v>-11626739.255218716</v>
      </c>
      <c r="M864" s="471">
        <f t="shared" si="82"/>
        <v>0.05</v>
      </c>
      <c r="N864" s="475">
        <f t="shared" si="83"/>
        <v>77341</v>
      </c>
    </row>
    <row r="865" spans="7:14" ht="11.25" customHeight="1" x14ac:dyDescent="0.3">
      <c r="G865" s="470">
        <f t="shared" si="91"/>
        <v>72</v>
      </c>
      <c r="H865" s="470">
        <v>858</v>
      </c>
      <c r="I865" s="455">
        <f t="shared" ca="1" si="81"/>
        <v>-11626739.255218716</v>
      </c>
      <c r="J865" s="455">
        <f t="array" ref="J865">IFERROR(INDEX('Retirement Calculator'!K:K,MATCH('Lorri 401b'!N865,'Retirement Calculator'!A:A,0),0),0)</f>
        <v>20282.026119384056</v>
      </c>
      <c r="K865" s="455">
        <f t="shared" ca="1" si="79"/>
        <v>-48529.255338908755</v>
      </c>
      <c r="L865" s="455">
        <f t="shared" ca="1" si="80"/>
        <v>-11695550.53667701</v>
      </c>
      <c r="M865" s="471">
        <f t="shared" si="82"/>
        <v>0.05</v>
      </c>
      <c r="N865" s="475">
        <f t="shared" si="83"/>
        <v>77372</v>
      </c>
    </row>
    <row r="866" spans="7:14" ht="11.25" customHeight="1" x14ac:dyDescent="0.3">
      <c r="G866" s="470">
        <f t="shared" si="91"/>
        <v>72</v>
      </c>
      <c r="H866" s="470">
        <v>859</v>
      </c>
      <c r="I866" s="455">
        <f t="shared" ca="1" si="81"/>
        <v>-11695550.53667701</v>
      </c>
      <c r="J866" s="455">
        <f t="array" ref="J866">IFERROR(INDEX('Retirement Calculator'!K:K,MATCH('Lorri 401b'!N866,'Retirement Calculator'!A:A,0),0),0)</f>
        <v>20282.026119384056</v>
      </c>
      <c r="K866" s="455">
        <f t="shared" ca="1" si="79"/>
        <v>-48815.969011651643</v>
      </c>
      <c r="L866" s="455">
        <f t="shared" ca="1" si="80"/>
        <v>-11764648.531808047</v>
      </c>
      <c r="M866" s="471">
        <f t="shared" si="82"/>
        <v>0.05</v>
      </c>
      <c r="N866" s="475">
        <f t="shared" si="83"/>
        <v>77402</v>
      </c>
    </row>
    <row r="867" spans="7:14" ht="11.25" customHeight="1" x14ac:dyDescent="0.3">
      <c r="G867" s="470">
        <f t="shared" si="91"/>
        <v>72</v>
      </c>
      <c r="H867" s="470">
        <v>860</v>
      </c>
      <c r="I867" s="455">
        <f t="shared" ca="1" si="81"/>
        <v>-11764648.531808047</v>
      </c>
      <c r="J867" s="455">
        <f t="array" ref="J867">IFERROR(INDEX('Retirement Calculator'!K:K,MATCH('Lorri 401b'!N867,'Retirement Calculator'!A:A,0),0),0)</f>
        <v>20282.026119384056</v>
      </c>
      <c r="K867" s="455">
        <f t="shared" ca="1" si="79"/>
        <v>-49103.877324697634</v>
      </c>
      <c r="L867" s="455">
        <f t="shared" ca="1" si="80"/>
        <v>-11834034.43525213</v>
      </c>
      <c r="M867" s="471">
        <f t="shared" si="82"/>
        <v>0.05</v>
      </c>
      <c r="N867" s="475">
        <f t="shared" si="83"/>
        <v>77433</v>
      </c>
    </row>
    <row r="868" spans="7:14" ht="11.25" customHeight="1" x14ac:dyDescent="0.3">
      <c r="G868" s="470">
        <f t="shared" si="91"/>
        <v>72</v>
      </c>
      <c r="H868" s="470">
        <v>861</v>
      </c>
      <c r="I868" s="455">
        <f t="shared" ca="1" si="81"/>
        <v>-11834034.43525213</v>
      </c>
      <c r="J868" s="455">
        <f t="array" ref="J868">IFERROR(INDEX('Retirement Calculator'!K:K,MATCH('Lorri 401b'!N868,'Retirement Calculator'!A:A,0),0),0)</f>
        <v>20282.026119384056</v>
      </c>
      <c r="K868" s="455">
        <f t="shared" ca="1" si="79"/>
        <v>-49392.985255714644</v>
      </c>
      <c r="L868" s="455">
        <f t="shared" ca="1" si="80"/>
        <v>-11903709.446627229</v>
      </c>
      <c r="M868" s="471">
        <f t="shared" si="82"/>
        <v>0.05</v>
      </c>
      <c r="N868" s="475">
        <f t="shared" si="83"/>
        <v>77464</v>
      </c>
    </row>
    <row r="869" spans="7:14" ht="11.25" customHeight="1" x14ac:dyDescent="0.3">
      <c r="G869" s="470">
        <f t="shared" si="91"/>
        <v>72</v>
      </c>
      <c r="H869" s="470">
        <v>862</v>
      </c>
      <c r="I869" s="455">
        <f t="shared" ca="1" si="81"/>
        <v>-11903709.446627229</v>
      </c>
      <c r="J869" s="455">
        <f t="array" ref="J869">IFERROR(INDEX('Retirement Calculator'!K:K,MATCH('Lorri 401b'!N869,'Retirement Calculator'!A:A,0),0),0)</f>
        <v>20282.026119384056</v>
      </c>
      <c r="K869" s="455">
        <f t="shared" ca="1" si="79"/>
        <v>-49683.297803110894</v>
      </c>
      <c r="L869" s="455">
        <f t="shared" ca="1" si="80"/>
        <v>-11973674.770549726</v>
      </c>
      <c r="M869" s="471">
        <f t="shared" si="82"/>
        <v>0.05</v>
      </c>
      <c r="N869" s="475">
        <f t="shared" si="83"/>
        <v>77493</v>
      </c>
    </row>
    <row r="870" spans="7:14" ht="11.25" customHeight="1" x14ac:dyDescent="0.3">
      <c r="G870" s="470">
        <f t="shared" si="91"/>
        <v>72</v>
      </c>
      <c r="H870" s="470">
        <v>863</v>
      </c>
      <c r="I870" s="455">
        <f t="shared" ca="1" si="81"/>
        <v>-11973674.770549726</v>
      </c>
      <c r="J870" s="455">
        <f t="array" ref="J870">IFERROR(INDEX('Retirement Calculator'!K:K,MATCH('Lorri 401b'!N870,'Retirement Calculator'!A:A,0),0),0)</f>
        <v>20282.026119384056</v>
      </c>
      <c r="K870" s="455">
        <f t="shared" ca="1" si="79"/>
        <v>-49974.819986121292</v>
      </c>
      <c r="L870" s="455">
        <f t="shared" ca="1" si="80"/>
        <v>-12043931.616655232</v>
      </c>
      <c r="M870" s="471">
        <f t="shared" si="82"/>
        <v>0.05</v>
      </c>
      <c r="N870" s="475">
        <f t="shared" si="83"/>
        <v>77524</v>
      </c>
    </row>
    <row r="871" spans="7:14" ht="11.25" customHeight="1" x14ac:dyDescent="0.3">
      <c r="G871" s="470">
        <f t="shared" si="91"/>
        <v>72</v>
      </c>
      <c r="H871" s="470">
        <v>864</v>
      </c>
      <c r="I871" s="455">
        <f t="shared" ca="1" si="81"/>
        <v>-12043931.616655232</v>
      </c>
      <c r="J871" s="455">
        <f t="array" ref="J871">IFERROR(INDEX('Retirement Calculator'!K:K,MATCH('Lorri 401b'!N871,'Retirement Calculator'!A:A,0),0),0)</f>
        <v>20282.026119384056</v>
      </c>
      <c r="K871" s="455">
        <f t="shared" ca="1" si="79"/>
        <v>-50267.556844894236</v>
      </c>
      <c r="L871" s="455">
        <f t="shared" ca="1" si="80"/>
        <v>-12114481.199619511</v>
      </c>
      <c r="M871" s="471">
        <f t="shared" si="82"/>
        <v>0.05</v>
      </c>
      <c r="N871" s="475">
        <f t="shared" si="83"/>
        <v>77554</v>
      </c>
    </row>
    <row r="872" spans="7:14" ht="11.25" customHeight="1" x14ac:dyDescent="0.3">
      <c r="G872" s="470">
        <f>G871+1</f>
        <v>73</v>
      </c>
      <c r="H872" s="470">
        <v>865</v>
      </c>
      <c r="I872" s="455">
        <f t="shared" ca="1" si="81"/>
        <v>-12114481.199619511</v>
      </c>
      <c r="J872" s="455">
        <f t="array" ref="J872">IFERROR(INDEX('Retirement Calculator'!K:K,MATCH('Lorri 401b'!N872,'Retirement Calculator'!A:A,0),0),0)</f>
        <v>20282.026119384056</v>
      </c>
      <c r="K872" s="455">
        <f t="shared" ca="1" si="79"/>
        <v>-50561.513440578732</v>
      </c>
      <c r="L872" s="455">
        <f t="shared" ca="1" si="80"/>
        <v>-12185324.739179475</v>
      </c>
      <c r="M872" s="471">
        <f t="shared" si="82"/>
        <v>0.05</v>
      </c>
      <c r="N872" s="475">
        <f t="shared" si="83"/>
        <v>77585</v>
      </c>
    </row>
    <row r="873" spans="7:14" ht="11.25" customHeight="1" x14ac:dyDescent="0.3">
      <c r="G873" s="470">
        <f t="shared" ref="G873:G883" si="92">G872</f>
        <v>73</v>
      </c>
      <c r="H873" s="470">
        <v>866</v>
      </c>
      <c r="I873" s="455">
        <f t="shared" ca="1" si="81"/>
        <v>-12185324.739179475</v>
      </c>
      <c r="J873" s="455">
        <f t="array" ref="J873">IFERROR(INDEX('Retirement Calculator'!K:K,MATCH('Lorri 401b'!N873,'Retirement Calculator'!A:A,0),0),0)</f>
        <v>20282.026119384056</v>
      </c>
      <c r="K873" s="455">
        <f t="shared" ca="1" si="79"/>
        <v>-50856.694855411915</v>
      </c>
      <c r="L873" s="455">
        <f t="shared" ca="1" si="80"/>
        <v>-12256463.460154273</v>
      </c>
      <c r="M873" s="471">
        <f t="shared" si="82"/>
        <v>0.05</v>
      </c>
      <c r="N873" s="475">
        <f t="shared" si="83"/>
        <v>77615</v>
      </c>
    </row>
    <row r="874" spans="7:14" ht="11.25" customHeight="1" x14ac:dyDescent="0.3">
      <c r="G874" s="470">
        <f t="shared" si="92"/>
        <v>73</v>
      </c>
      <c r="H874" s="470">
        <v>867</v>
      </c>
      <c r="I874" s="455">
        <f t="shared" ca="1" si="81"/>
        <v>-12256463.460154273</v>
      </c>
      <c r="J874" s="455">
        <f t="array" ref="J874">IFERROR(INDEX('Retirement Calculator'!K:K,MATCH('Lorri 401b'!N874,'Retirement Calculator'!A:A,0),0),0)</f>
        <v>20282.026119384056</v>
      </c>
      <c r="K874" s="455">
        <f t="shared" ca="1" si="79"/>
        <v>-51153.106192806903</v>
      </c>
      <c r="L874" s="455">
        <f t="shared" ca="1" si="80"/>
        <v>-12327898.592466464</v>
      </c>
      <c r="M874" s="471">
        <f t="shared" si="82"/>
        <v>0.05</v>
      </c>
      <c r="N874" s="475">
        <f t="shared" si="83"/>
        <v>77646</v>
      </c>
    </row>
    <row r="875" spans="7:14" ht="11.25" customHeight="1" x14ac:dyDescent="0.3">
      <c r="G875" s="470">
        <f t="shared" si="92"/>
        <v>73</v>
      </c>
      <c r="H875" s="470">
        <v>868</v>
      </c>
      <c r="I875" s="455">
        <f t="shared" ca="1" si="81"/>
        <v>-12327898.592466464</v>
      </c>
      <c r="J875" s="455">
        <f t="array" ref="J875">IFERROR(INDEX('Retirement Calculator'!K:K,MATCH('Lorri 401b'!N875,'Retirement Calculator'!A:A,0),0),0)</f>
        <v>20282.026119384056</v>
      </c>
      <c r="K875" s="455">
        <f t="shared" ca="1" si="79"/>
        <v>-51450.752577441039</v>
      </c>
      <c r="L875" s="455">
        <f t="shared" ca="1" si="80"/>
        <v>-12399631.37116329</v>
      </c>
      <c r="M875" s="471">
        <f t="shared" si="82"/>
        <v>0.05</v>
      </c>
      <c r="N875" s="475">
        <f t="shared" si="83"/>
        <v>77677</v>
      </c>
    </row>
    <row r="876" spans="7:14" ht="11.25" customHeight="1" x14ac:dyDescent="0.3">
      <c r="G876" s="470">
        <f t="shared" si="92"/>
        <v>73</v>
      </c>
      <c r="H876" s="470">
        <v>869</v>
      </c>
      <c r="I876" s="455">
        <f t="shared" ca="1" si="81"/>
        <v>-12399631.37116329</v>
      </c>
      <c r="J876" s="455">
        <f t="array" ref="J876">IFERROR(INDEX('Retirement Calculator'!K:K,MATCH('Lorri 401b'!N876,'Retirement Calculator'!A:A,0),0),0)</f>
        <v>20282.026119384056</v>
      </c>
      <c r="K876" s="455">
        <f t="shared" ca="1" si="79"/>
        <v>-51749.639155344477</v>
      </c>
      <c r="L876" s="455">
        <f t="shared" ca="1" si="80"/>
        <v>-12471663.03643802</v>
      </c>
      <c r="M876" s="471">
        <f t="shared" si="82"/>
        <v>0.05</v>
      </c>
      <c r="N876" s="475">
        <f t="shared" si="83"/>
        <v>77707</v>
      </c>
    </row>
    <row r="877" spans="7:14" ht="11.25" customHeight="1" x14ac:dyDescent="0.3">
      <c r="G877" s="470">
        <f t="shared" si="92"/>
        <v>73</v>
      </c>
      <c r="H877" s="470">
        <v>870</v>
      </c>
      <c r="I877" s="455">
        <f t="shared" ca="1" si="81"/>
        <v>-12471663.03643802</v>
      </c>
      <c r="J877" s="455">
        <f t="array" ref="J877">IFERROR(INDEX('Retirement Calculator'!K:K,MATCH('Lorri 401b'!N877,'Retirement Calculator'!A:A,0),0),0)</f>
        <v>20282.026119384056</v>
      </c>
      <c r="K877" s="455">
        <f t="shared" ca="1" si="79"/>
        <v>-52049.771093989184</v>
      </c>
      <c r="L877" s="455">
        <f t="shared" ca="1" si="80"/>
        <v>-12543994.833651394</v>
      </c>
      <c r="M877" s="471">
        <f t="shared" si="82"/>
        <v>0.05</v>
      </c>
      <c r="N877" s="475">
        <f t="shared" si="83"/>
        <v>77738</v>
      </c>
    </row>
    <row r="878" spans="7:14" ht="11.25" customHeight="1" x14ac:dyDescent="0.3">
      <c r="G878" s="470">
        <f t="shared" si="92"/>
        <v>73</v>
      </c>
      <c r="H878" s="470">
        <v>871</v>
      </c>
      <c r="I878" s="455">
        <f t="shared" ca="1" si="81"/>
        <v>-12543994.833651394</v>
      </c>
      <c r="J878" s="455">
        <f t="array" ref="J878">IFERROR(INDEX('Retirement Calculator'!K:K,MATCH('Lorri 401b'!N878,'Retirement Calculator'!A:A,0),0),0)</f>
        <v>20282.026119384056</v>
      </c>
      <c r="K878" s="455">
        <f t="shared" ca="1" si="79"/>
        <v>-52351.153582378247</v>
      </c>
      <c r="L878" s="455">
        <f t="shared" ca="1" si="80"/>
        <v>-12616628.013353156</v>
      </c>
      <c r="M878" s="471">
        <f t="shared" si="82"/>
        <v>0.05</v>
      </c>
      <c r="N878" s="475">
        <f t="shared" si="83"/>
        <v>77768</v>
      </c>
    </row>
    <row r="879" spans="7:14" ht="11.25" customHeight="1" x14ac:dyDescent="0.3">
      <c r="G879" s="470">
        <f t="shared" si="92"/>
        <v>73</v>
      </c>
      <c r="H879" s="470">
        <v>872</v>
      </c>
      <c r="I879" s="455">
        <f t="shared" ca="1" si="81"/>
        <v>-12616628.013353156</v>
      </c>
      <c r="J879" s="455">
        <f t="array" ref="J879">IFERROR(INDEX('Retirement Calculator'!K:K,MATCH('Lorri 401b'!N879,'Retirement Calculator'!A:A,0),0),0)</f>
        <v>20282.026119384056</v>
      </c>
      <c r="K879" s="455">
        <f t="shared" ca="1" si="79"/>
        <v>-52653.791831135582</v>
      </c>
      <c r="L879" s="455">
        <f t="shared" ca="1" si="80"/>
        <v>-12689563.831303677</v>
      </c>
      <c r="M879" s="471">
        <f t="shared" si="82"/>
        <v>0.05</v>
      </c>
      <c r="N879" s="475">
        <f t="shared" si="83"/>
        <v>77799</v>
      </c>
    </row>
    <row r="880" spans="7:14" ht="11.25" customHeight="1" x14ac:dyDescent="0.3">
      <c r="G880" s="470">
        <f t="shared" si="92"/>
        <v>73</v>
      </c>
      <c r="H880" s="470">
        <v>873</v>
      </c>
      <c r="I880" s="455">
        <f t="shared" ca="1" si="81"/>
        <v>-12689563.831303677</v>
      </c>
      <c r="J880" s="455">
        <f t="array" ref="J880">IFERROR(INDEX('Retirement Calculator'!K:K,MATCH('Lorri 401b'!N880,'Retirement Calculator'!A:A,0),0),0)</f>
        <v>20282.026119384056</v>
      </c>
      <c r="K880" s="455">
        <f t="shared" ca="1" si="79"/>
        <v>-52957.691072596092</v>
      </c>
      <c r="L880" s="455">
        <f t="shared" ca="1" si="80"/>
        <v>-12762803.548495658</v>
      </c>
      <c r="M880" s="471">
        <f t="shared" si="82"/>
        <v>0.05</v>
      </c>
      <c r="N880" s="475">
        <f t="shared" si="83"/>
        <v>77830</v>
      </c>
    </row>
    <row r="881" spans="7:14" ht="11.25" customHeight="1" x14ac:dyDescent="0.3">
      <c r="G881" s="470">
        <f t="shared" si="92"/>
        <v>73</v>
      </c>
      <c r="H881" s="470">
        <v>874</v>
      </c>
      <c r="I881" s="455">
        <f t="shared" ca="1" si="81"/>
        <v>-12762803.548495658</v>
      </c>
      <c r="J881" s="455">
        <f t="array" ref="J881">IFERROR(INDEX('Retirement Calculator'!K:K,MATCH('Lorri 401b'!N881,'Retirement Calculator'!A:A,0),0),0)</f>
        <v>20282.026119384056</v>
      </c>
      <c r="K881" s="455">
        <f t="shared" ca="1" si="79"/>
        <v>-53262.856560896013</v>
      </c>
      <c r="L881" s="455">
        <f t="shared" ca="1" si="80"/>
        <v>-12836348.431175938</v>
      </c>
      <c r="M881" s="471">
        <f t="shared" si="82"/>
        <v>0.05</v>
      </c>
      <c r="N881" s="475">
        <f t="shared" si="83"/>
        <v>77858</v>
      </c>
    </row>
    <row r="882" spans="7:14" ht="11.25" customHeight="1" x14ac:dyDescent="0.3">
      <c r="G882" s="470">
        <f t="shared" si="92"/>
        <v>73</v>
      </c>
      <c r="H882" s="470">
        <v>875</v>
      </c>
      <c r="I882" s="455">
        <f t="shared" ca="1" si="81"/>
        <v>-12836348.431175938</v>
      </c>
      <c r="J882" s="455">
        <f t="array" ref="J882">IFERROR(INDEX('Retirement Calculator'!K:K,MATCH('Lorri 401b'!N882,'Retirement Calculator'!A:A,0),0),0)</f>
        <v>20282.026119384056</v>
      </c>
      <c r="K882" s="455">
        <f t="shared" ca="1" si="79"/>
        <v>-53569.293572063842</v>
      </c>
      <c r="L882" s="455">
        <f t="shared" ca="1" si="80"/>
        <v>-12910199.750867387</v>
      </c>
      <c r="M882" s="471">
        <f t="shared" si="82"/>
        <v>0.05</v>
      </c>
      <c r="N882" s="475">
        <f t="shared" si="83"/>
        <v>77889</v>
      </c>
    </row>
    <row r="883" spans="7:14" ht="11.25" customHeight="1" x14ac:dyDescent="0.3">
      <c r="G883" s="470">
        <f t="shared" si="92"/>
        <v>73</v>
      </c>
      <c r="H883" s="470">
        <v>876</v>
      </c>
      <c r="I883" s="455">
        <f t="shared" ca="1" si="81"/>
        <v>-12910199.750867387</v>
      </c>
      <c r="J883" s="455">
        <f t="array" ref="J883">IFERROR(INDEX('Retirement Calculator'!K:K,MATCH('Lorri 401b'!N883,'Retirement Calculator'!A:A,0),0),0)</f>
        <v>20282.026119384056</v>
      </c>
      <c r="K883" s="455">
        <f t="shared" ca="1" si="79"/>
        <v>-53877.007404111551</v>
      </c>
      <c r="L883" s="455">
        <f t="shared" ca="1" si="80"/>
        <v>-12984358.784390884</v>
      </c>
      <c r="M883" s="471">
        <f t="shared" si="82"/>
        <v>0.05</v>
      </c>
      <c r="N883" s="475">
        <f t="shared" si="83"/>
        <v>77919</v>
      </c>
    </row>
    <row r="884" spans="7:14" ht="11.25" customHeight="1" x14ac:dyDescent="0.3">
      <c r="G884" s="470">
        <f>G883+1</f>
        <v>74</v>
      </c>
      <c r="H884" s="470">
        <v>877</v>
      </c>
      <c r="I884" s="455">
        <f t="shared" ca="1" si="81"/>
        <v>-12984358.784390884</v>
      </c>
      <c r="J884" s="455">
        <f t="array" ref="J884">IFERROR(INDEX('Retirement Calculator'!K:K,MATCH('Lorri 401b'!N884,'Retirement Calculator'!A:A,0),0),0)</f>
        <v>20282.026119384056</v>
      </c>
      <c r="K884" s="455">
        <f t="shared" ca="1" si="79"/>
        <v>-54186.003377126115</v>
      </c>
      <c r="L884" s="455">
        <f t="shared" ca="1" si="80"/>
        <v>-13058826.813887395</v>
      </c>
      <c r="M884" s="471">
        <f t="shared" si="82"/>
        <v>0.05</v>
      </c>
      <c r="N884" s="475">
        <f t="shared" si="83"/>
        <v>77950</v>
      </c>
    </row>
    <row r="885" spans="7:14" ht="11.25" customHeight="1" x14ac:dyDescent="0.3">
      <c r="G885" s="470">
        <f t="shared" ref="G885:G895" si="93">G884</f>
        <v>74</v>
      </c>
      <c r="H885" s="470">
        <v>878</v>
      </c>
      <c r="I885" s="455">
        <f t="shared" ca="1" si="81"/>
        <v>-13058826.813887395</v>
      </c>
      <c r="J885" s="455">
        <f t="array" ref="J885">IFERROR(INDEX('Retirement Calculator'!K:K,MATCH('Lorri 401b'!N885,'Retirement Calculator'!A:A,0),0),0)</f>
        <v>20282.026119384056</v>
      </c>
      <c r="K885" s="455">
        <f t="shared" ca="1" si="79"/>
        <v>-54496.286833361577</v>
      </c>
      <c r="L885" s="455">
        <f t="shared" ca="1" si="80"/>
        <v>-13133605.126840141</v>
      </c>
      <c r="M885" s="471">
        <f t="shared" si="82"/>
        <v>0.05</v>
      </c>
      <c r="N885" s="475">
        <f t="shared" si="83"/>
        <v>77980</v>
      </c>
    </row>
    <row r="886" spans="7:14" ht="11.25" customHeight="1" x14ac:dyDescent="0.3">
      <c r="G886" s="470">
        <f t="shared" si="93"/>
        <v>74</v>
      </c>
      <c r="H886" s="470">
        <v>879</v>
      </c>
      <c r="I886" s="455">
        <f t="shared" ca="1" si="81"/>
        <v>-13133605.126840141</v>
      </c>
      <c r="J886" s="455">
        <f t="array" ref="J886">IFERROR(INDEX('Retirement Calculator'!K:K,MATCH('Lorri 401b'!N886,'Retirement Calculator'!A:A,0),0),0)</f>
        <v>20282.026119384056</v>
      </c>
      <c r="K886" s="455">
        <f t="shared" ca="1" si="79"/>
        <v>-54807.863137331355</v>
      </c>
      <c r="L886" s="455">
        <f t="shared" ca="1" si="80"/>
        <v>-13208695.016096856</v>
      </c>
      <c r="M886" s="471">
        <f t="shared" si="82"/>
        <v>0.05</v>
      </c>
      <c r="N886" s="475">
        <f t="shared" si="83"/>
        <v>78011</v>
      </c>
    </row>
    <row r="887" spans="7:14" ht="11.25" customHeight="1" x14ac:dyDescent="0.3">
      <c r="G887" s="470">
        <f t="shared" si="93"/>
        <v>74</v>
      </c>
      <c r="H887" s="470">
        <v>880</v>
      </c>
      <c r="I887" s="455">
        <f t="shared" ca="1" si="81"/>
        <v>-13208695.016096856</v>
      </c>
      <c r="J887" s="455">
        <f t="array" ref="J887">IFERROR(INDEX('Retirement Calculator'!K:K,MATCH('Lorri 401b'!N887,'Retirement Calculator'!A:A,0),0),0)</f>
        <v>20282.026119384056</v>
      </c>
      <c r="K887" s="455">
        <f t="shared" ca="1" si="79"/>
        <v>-55120.737675901015</v>
      </c>
      <c r="L887" s="455">
        <f t="shared" ca="1" si="80"/>
        <v>-13284097.779892143</v>
      </c>
      <c r="M887" s="471">
        <f t="shared" si="82"/>
        <v>0.05</v>
      </c>
      <c r="N887" s="475">
        <f t="shared" si="83"/>
        <v>78042</v>
      </c>
    </row>
    <row r="888" spans="7:14" ht="11.25" customHeight="1" x14ac:dyDescent="0.3">
      <c r="G888" s="470">
        <f t="shared" si="93"/>
        <v>74</v>
      </c>
      <c r="H888" s="470">
        <v>881</v>
      </c>
      <c r="I888" s="455">
        <f t="shared" ca="1" si="81"/>
        <v>-13284097.779892143</v>
      </c>
      <c r="J888" s="455">
        <f t="array" ref="J888">IFERROR(INDEX('Retirement Calculator'!K:K,MATCH('Lorri 401b'!N888,'Retirement Calculator'!A:A,0),0),0)</f>
        <v>20282.026119384056</v>
      </c>
      <c r="K888" s="455">
        <f t="shared" ca="1" si="79"/>
        <v>-55434.915858381355</v>
      </c>
      <c r="L888" s="455">
        <f t="shared" ca="1" si="80"/>
        <v>-13359814.721869908</v>
      </c>
      <c r="M888" s="471">
        <f t="shared" si="82"/>
        <v>0.05</v>
      </c>
      <c r="N888" s="475">
        <f t="shared" si="83"/>
        <v>78072</v>
      </c>
    </row>
    <row r="889" spans="7:14" ht="11.25" customHeight="1" x14ac:dyDescent="0.3">
      <c r="G889" s="470">
        <f t="shared" si="93"/>
        <v>74</v>
      </c>
      <c r="H889" s="470">
        <v>882</v>
      </c>
      <c r="I889" s="455">
        <f t="shared" ca="1" si="81"/>
        <v>-13359814.721869908</v>
      </c>
      <c r="J889" s="455">
        <f t="array" ref="J889">IFERROR(INDEX('Retirement Calculator'!K:K,MATCH('Lorri 401b'!N889,'Retirement Calculator'!A:A,0),0),0)</f>
        <v>20282.026119384056</v>
      </c>
      <c r="K889" s="455">
        <f t="shared" ca="1" si="79"/>
        <v>-55750.403116622052</v>
      </c>
      <c r="L889" s="455">
        <f t="shared" ca="1" si="80"/>
        <v>-13435847.151105916</v>
      </c>
      <c r="M889" s="471">
        <f t="shared" si="82"/>
        <v>0.05</v>
      </c>
      <c r="N889" s="475">
        <f t="shared" si="83"/>
        <v>78103</v>
      </c>
    </row>
    <row r="890" spans="7:14" ht="11.25" customHeight="1" x14ac:dyDescent="0.3">
      <c r="G890" s="470">
        <f t="shared" si="93"/>
        <v>74</v>
      </c>
      <c r="H890" s="470">
        <v>883</v>
      </c>
      <c r="I890" s="455">
        <f t="shared" ca="1" si="81"/>
        <v>-13435847.151105916</v>
      </c>
      <c r="J890" s="455">
        <f t="array" ref="J890">IFERROR(INDEX('Retirement Calculator'!K:K,MATCH('Lorri 401b'!N890,'Retirement Calculator'!A:A,0),0),0)</f>
        <v>20282.026119384056</v>
      </c>
      <c r="K890" s="455">
        <f t="shared" ca="1" si="79"/>
        <v>-56067.20490510542</v>
      </c>
      <c r="L890" s="455">
        <f t="shared" ca="1" si="80"/>
        <v>-13512196.382130407</v>
      </c>
      <c r="M890" s="471">
        <f t="shared" si="82"/>
        <v>0.05</v>
      </c>
      <c r="N890" s="475">
        <f t="shared" si="83"/>
        <v>78133</v>
      </c>
    </row>
    <row r="891" spans="7:14" ht="11.25" customHeight="1" x14ac:dyDescent="0.3">
      <c r="G891" s="470">
        <f t="shared" si="93"/>
        <v>74</v>
      </c>
      <c r="H891" s="470">
        <v>884</v>
      </c>
      <c r="I891" s="455">
        <f t="shared" ca="1" si="81"/>
        <v>-13512196.382130407</v>
      </c>
      <c r="J891" s="455">
        <f t="array" ref="J891">IFERROR(INDEX('Retirement Calculator'!K:K,MATCH('Lorri 401b'!N891,'Retirement Calculator'!A:A,0),0),0)</f>
        <v>20282.026119384056</v>
      </c>
      <c r="K891" s="455">
        <f t="shared" ca="1" si="79"/>
        <v>-56385.326701040809</v>
      </c>
      <c r="L891" s="455">
        <f t="shared" ca="1" si="80"/>
        <v>-13588863.734950833</v>
      </c>
      <c r="M891" s="471">
        <f t="shared" si="82"/>
        <v>0.05</v>
      </c>
      <c r="N891" s="475">
        <f t="shared" si="83"/>
        <v>78164</v>
      </c>
    </row>
    <row r="892" spans="7:14" ht="11.25" customHeight="1" x14ac:dyDescent="0.3">
      <c r="G892" s="470">
        <f t="shared" si="93"/>
        <v>74</v>
      </c>
      <c r="H892" s="470">
        <v>885</v>
      </c>
      <c r="I892" s="455">
        <f t="shared" ca="1" si="81"/>
        <v>-13588863.734950833</v>
      </c>
      <c r="J892" s="455">
        <f t="array" ref="J892">IFERROR(INDEX('Retirement Calculator'!K:K,MATCH('Lorri 401b'!N892,'Retirement Calculator'!A:A,0),0),0)</f>
        <v>20282.026119384056</v>
      </c>
      <c r="K892" s="455">
        <f t="shared" ca="1" si="79"/>
        <v>-56704.774004459243</v>
      </c>
      <c r="L892" s="455">
        <f t="shared" ca="1" si="80"/>
        <v>-13665850.535074677</v>
      </c>
      <c r="M892" s="471">
        <f t="shared" si="82"/>
        <v>0.05</v>
      </c>
      <c r="N892" s="475">
        <f t="shared" si="83"/>
        <v>78195</v>
      </c>
    </row>
    <row r="893" spans="7:14" ht="11.25" customHeight="1" x14ac:dyDescent="0.3">
      <c r="G893" s="470">
        <f t="shared" si="93"/>
        <v>74</v>
      </c>
      <c r="H893" s="470">
        <v>886</v>
      </c>
      <c r="I893" s="455">
        <f t="shared" ca="1" si="81"/>
        <v>-13665850.535074677</v>
      </c>
      <c r="J893" s="455">
        <f t="array" ref="J893">IFERROR(INDEX('Retirement Calculator'!K:K,MATCH('Lorri 401b'!N893,'Retirement Calculator'!A:A,0),0),0)</f>
        <v>20282.026119384056</v>
      </c>
      <c r="K893" s="455">
        <f t="shared" ca="1" si="79"/>
        <v>-57025.552338308589</v>
      </c>
      <c r="L893" s="455">
        <f t="shared" ca="1" si="80"/>
        <v>-13743158.11353237</v>
      </c>
      <c r="M893" s="471">
        <f t="shared" si="82"/>
        <v>0.05</v>
      </c>
      <c r="N893" s="475">
        <f t="shared" si="83"/>
        <v>78223</v>
      </c>
    </row>
    <row r="894" spans="7:14" ht="11.25" customHeight="1" x14ac:dyDescent="0.3">
      <c r="G894" s="470">
        <f t="shared" si="93"/>
        <v>74</v>
      </c>
      <c r="H894" s="470">
        <v>887</v>
      </c>
      <c r="I894" s="455">
        <f t="shared" ca="1" si="81"/>
        <v>-13743158.11353237</v>
      </c>
      <c r="J894" s="455">
        <f t="array" ref="J894">IFERROR(INDEX('Retirement Calculator'!K:K,MATCH('Lorri 401b'!N894,'Retirement Calculator'!A:A,0),0),0)</f>
        <v>20282.026119384056</v>
      </c>
      <c r="K894" s="455">
        <f t="shared" ca="1" si="79"/>
        <v>-57347.667248548983</v>
      </c>
      <c r="L894" s="455">
        <f t="shared" ca="1" si="80"/>
        <v>-13820787.806900304</v>
      </c>
      <c r="M894" s="471">
        <f t="shared" si="82"/>
        <v>0.05</v>
      </c>
      <c r="N894" s="475">
        <f t="shared" si="83"/>
        <v>78254</v>
      </c>
    </row>
    <row r="895" spans="7:14" ht="11.25" customHeight="1" x14ac:dyDescent="0.3">
      <c r="G895" s="470">
        <f t="shared" si="93"/>
        <v>74</v>
      </c>
      <c r="H895" s="470">
        <v>888</v>
      </c>
      <c r="I895" s="455">
        <f t="shared" ca="1" si="81"/>
        <v>-13820787.806900304</v>
      </c>
      <c r="J895" s="455">
        <f t="array" ref="J895">IFERROR(INDEX('Retirement Calculator'!K:K,MATCH('Lorri 401b'!N895,'Retirement Calculator'!A:A,0),0),0)</f>
        <v>20282.026119384056</v>
      </c>
      <c r="K895" s="455">
        <f t="shared" ca="1" si="79"/>
        <v>-57671.124304248704</v>
      </c>
      <c r="L895" s="455">
        <f t="shared" ca="1" si="80"/>
        <v>-13898740.957323937</v>
      </c>
      <c r="M895" s="471">
        <f t="shared" si="82"/>
        <v>0.05</v>
      </c>
      <c r="N895" s="475">
        <f t="shared" si="83"/>
        <v>78284</v>
      </c>
    </row>
    <row r="896" spans="7:14" ht="11.25" customHeight="1" x14ac:dyDescent="0.3">
      <c r="G896" s="470">
        <f>G895+1</f>
        <v>75</v>
      </c>
      <c r="H896" s="470">
        <v>889</v>
      </c>
      <c r="I896" s="455">
        <f t="shared" ca="1" si="81"/>
        <v>-13898740.957323937</v>
      </c>
      <c r="J896" s="455">
        <f t="array" ref="J896">IFERROR(INDEX('Retirement Calculator'!K:K,MATCH('Lorri 401b'!N896,'Retirement Calculator'!A:A,0),0),0)</f>
        <v>20282.026119384056</v>
      </c>
      <c r="K896" s="455">
        <f t="shared" ca="1" si="79"/>
        <v>-57995.929097680499</v>
      </c>
      <c r="L896" s="455">
        <f t="shared" ca="1" si="80"/>
        <v>-13977018.912541002</v>
      </c>
      <c r="M896" s="471">
        <f t="shared" si="82"/>
        <v>0.05</v>
      </c>
      <c r="N896" s="475">
        <f t="shared" si="83"/>
        <v>78315</v>
      </c>
    </row>
    <row r="897" spans="7:14" ht="11.25" customHeight="1" x14ac:dyDescent="0.3">
      <c r="G897" s="470">
        <f t="shared" ref="G897:G907" si="94">G896</f>
        <v>75</v>
      </c>
      <c r="H897" s="470">
        <v>890</v>
      </c>
      <c r="I897" s="455">
        <f t="shared" ca="1" si="81"/>
        <v>-13977018.912541002</v>
      </c>
      <c r="J897" s="455">
        <f t="array" ref="J897">IFERROR(INDEX('Retirement Calculator'!K:K,MATCH('Lorri 401b'!N897,'Retirement Calculator'!A:A,0),0),0)</f>
        <v>20282.026119384056</v>
      </c>
      <c r="K897" s="455">
        <f t="shared" ca="1" si="79"/>
        <v>-58322.087244418275</v>
      </c>
      <c r="L897" s="455">
        <f t="shared" ca="1" si="80"/>
        <v>-14055623.025904804</v>
      </c>
      <c r="M897" s="471">
        <f t="shared" si="82"/>
        <v>0.05</v>
      </c>
      <c r="N897" s="475">
        <f t="shared" si="83"/>
        <v>78345</v>
      </c>
    </row>
    <row r="898" spans="7:14" ht="11.25" customHeight="1" x14ac:dyDescent="0.3">
      <c r="G898" s="470">
        <f t="shared" si="94"/>
        <v>75</v>
      </c>
      <c r="H898" s="470">
        <v>891</v>
      </c>
      <c r="I898" s="455">
        <f t="shared" ca="1" si="81"/>
        <v>-14055623.025904804</v>
      </c>
      <c r="J898" s="455">
        <f t="array" ref="J898">IFERROR(INDEX('Retirement Calculator'!K:K,MATCH('Lorri 401b'!N898,'Retirement Calculator'!A:A,0),0),0)</f>
        <v>20282.026119384056</v>
      </c>
      <c r="K898" s="455">
        <f t="shared" ca="1" si="79"/>
        <v>-58649.604383434118</v>
      </c>
      <c r="L898" s="455">
        <f t="shared" ca="1" si="80"/>
        <v>-14134554.656407623</v>
      </c>
      <c r="M898" s="471">
        <f t="shared" si="82"/>
        <v>0.05</v>
      </c>
      <c r="N898" s="475">
        <f t="shared" si="83"/>
        <v>78376</v>
      </c>
    </row>
    <row r="899" spans="7:14" ht="11.25" customHeight="1" x14ac:dyDescent="0.3">
      <c r="G899" s="470">
        <f t="shared" si="94"/>
        <v>75</v>
      </c>
      <c r="H899" s="470">
        <v>892</v>
      </c>
      <c r="I899" s="455">
        <f t="shared" ca="1" si="81"/>
        <v>-14134554.656407623</v>
      </c>
      <c r="J899" s="455">
        <f t="array" ref="J899">IFERROR(INDEX('Retirement Calculator'!K:K,MATCH('Lorri 401b'!N899,'Retirement Calculator'!A:A,0),0),0)</f>
        <v>20282.026119384056</v>
      </c>
      <c r="K899" s="455">
        <f t="shared" ca="1" si="79"/>
        <v>-58978.48617719586</v>
      </c>
      <c r="L899" s="455">
        <f t="shared" ca="1" si="80"/>
        <v>-14213815.168704204</v>
      </c>
      <c r="M899" s="471">
        <f t="shared" si="82"/>
        <v>0.05</v>
      </c>
      <c r="N899" s="475">
        <f t="shared" si="83"/>
        <v>78407</v>
      </c>
    </row>
    <row r="900" spans="7:14" ht="11.25" customHeight="1" x14ac:dyDescent="0.3">
      <c r="G900" s="470">
        <f t="shared" si="94"/>
        <v>75</v>
      </c>
      <c r="H900" s="470">
        <v>893</v>
      </c>
      <c r="I900" s="455">
        <f t="shared" ca="1" si="81"/>
        <v>-14213815.168704204</v>
      </c>
      <c r="J900" s="455">
        <f t="array" ref="J900">IFERROR(INDEX('Retirement Calculator'!K:K,MATCH('Lorri 401b'!N900,'Retirement Calculator'!A:A,0),0),0)</f>
        <v>20282.026119384056</v>
      </c>
      <c r="K900" s="455">
        <f t="shared" ca="1" si="79"/>
        <v>-59308.738311764944</v>
      </c>
      <c r="L900" s="455">
        <f t="shared" ca="1" si="80"/>
        <v>-14293405.933135355</v>
      </c>
      <c r="M900" s="471">
        <f t="shared" si="82"/>
        <v>0.05</v>
      </c>
      <c r="N900" s="475">
        <f t="shared" si="83"/>
        <v>78437</v>
      </c>
    </row>
    <row r="901" spans="7:14" ht="11.25" customHeight="1" x14ac:dyDescent="0.3">
      <c r="G901" s="470">
        <f t="shared" si="94"/>
        <v>75</v>
      </c>
      <c r="H901" s="470">
        <v>894</v>
      </c>
      <c r="I901" s="455">
        <f t="shared" ca="1" si="81"/>
        <v>-14293405.933135355</v>
      </c>
      <c r="J901" s="455">
        <f t="array" ref="J901">IFERROR(INDEX('Retirement Calculator'!K:K,MATCH('Lorri 401b'!N901,'Retirement Calculator'!A:A,0),0),0)</f>
        <v>20282.026119384056</v>
      </c>
      <c r="K901" s="455">
        <f t="shared" ca="1" si="79"/>
        <v>-59640.366496894749</v>
      </c>
      <c r="L901" s="455">
        <f t="shared" ca="1" si="80"/>
        <v>-14373328.325751634</v>
      </c>
      <c r="M901" s="471">
        <f t="shared" si="82"/>
        <v>0.05</v>
      </c>
      <c r="N901" s="475">
        <f t="shared" si="83"/>
        <v>78468</v>
      </c>
    </row>
    <row r="902" spans="7:14" ht="11.25" customHeight="1" x14ac:dyDescent="0.3">
      <c r="G902" s="470">
        <f t="shared" si="94"/>
        <v>75</v>
      </c>
      <c r="H902" s="470">
        <v>895</v>
      </c>
      <c r="I902" s="455">
        <f t="shared" ca="1" si="81"/>
        <v>-14373328.325751634</v>
      </c>
      <c r="J902" s="455">
        <f t="array" ref="J902">IFERROR(INDEX('Retirement Calculator'!K:K,MATCH('Lorri 401b'!N902,'Retirement Calculator'!A:A,0),0),0)</f>
        <v>20282.026119384056</v>
      </c>
      <c r="K902" s="455">
        <f t="shared" ca="1" si="79"/>
        <v>-59973.376466129244</v>
      </c>
      <c r="L902" s="455">
        <f t="shared" ca="1" si="80"/>
        <v>-14453583.728337148</v>
      </c>
      <c r="M902" s="471">
        <f t="shared" si="82"/>
        <v>0.05</v>
      </c>
      <c r="N902" s="475">
        <f t="shared" si="83"/>
        <v>78498</v>
      </c>
    </row>
    <row r="903" spans="7:14" ht="11.25" customHeight="1" x14ac:dyDescent="0.3">
      <c r="G903" s="470">
        <f t="shared" si="94"/>
        <v>75</v>
      </c>
      <c r="H903" s="470">
        <v>896</v>
      </c>
      <c r="I903" s="455">
        <f t="shared" ca="1" si="81"/>
        <v>-14453583.728337148</v>
      </c>
      <c r="J903" s="455">
        <f t="array" ref="J903">IFERROR(INDEX('Retirement Calculator'!K:K,MATCH('Lorri 401b'!N903,'Retirement Calculator'!A:A,0),0),0)</f>
        <v>20282.026119384056</v>
      </c>
      <c r="K903" s="455">
        <f t="shared" ca="1" si="79"/>
        <v>-60307.773976902216</v>
      </c>
      <c r="L903" s="455">
        <f t="shared" ca="1" si="80"/>
        <v>-14534173.528433435</v>
      </c>
      <c r="M903" s="471">
        <f t="shared" si="82"/>
        <v>0.05</v>
      </c>
      <c r="N903" s="475">
        <f t="shared" si="83"/>
        <v>78529</v>
      </c>
    </row>
    <row r="904" spans="7:14" ht="11.25" customHeight="1" x14ac:dyDescent="0.3">
      <c r="G904" s="470">
        <f t="shared" si="94"/>
        <v>75</v>
      </c>
      <c r="H904" s="470">
        <v>897</v>
      </c>
      <c r="I904" s="455">
        <f t="shared" ca="1" si="81"/>
        <v>-14534173.528433435</v>
      </c>
      <c r="J904" s="455">
        <f t="array" ref="J904">IFERROR(INDEX('Retirement Calculator'!K:K,MATCH('Lorri 401b'!N904,'Retirement Calculator'!A:A,0),0),0)</f>
        <v>20282.026119384056</v>
      </c>
      <c r="K904" s="455">
        <f t="shared" ca="1" si="79"/>
        <v>-60643.564810636744</v>
      </c>
      <c r="L904" s="455">
        <f t="shared" ca="1" si="80"/>
        <v>-14615099.119363457</v>
      </c>
      <c r="M904" s="471">
        <f t="shared" si="82"/>
        <v>0.05</v>
      </c>
      <c r="N904" s="475">
        <f t="shared" si="83"/>
        <v>78560</v>
      </c>
    </row>
    <row r="905" spans="7:14" ht="11.25" customHeight="1" x14ac:dyDescent="0.3">
      <c r="G905" s="470">
        <f t="shared" si="94"/>
        <v>75</v>
      </c>
      <c r="H905" s="470">
        <v>898</v>
      </c>
      <c r="I905" s="455">
        <f t="shared" ca="1" si="81"/>
        <v>-14615099.119363457</v>
      </c>
      <c r="J905" s="455">
        <f t="array" ref="J905">IFERROR(INDEX('Retirement Calculator'!K:K,MATCH('Lorri 401b'!N905,'Retirement Calculator'!A:A,0),0),0)</f>
        <v>20282.026119384056</v>
      </c>
      <c r="K905" s="455">
        <f t="shared" ca="1" si="79"/>
        <v>-60980.754772845175</v>
      </c>
      <c r="L905" s="455">
        <f t="shared" ca="1" si="80"/>
        <v>-14696361.900255688</v>
      </c>
      <c r="M905" s="471">
        <f t="shared" si="82"/>
        <v>0.05</v>
      </c>
      <c r="N905" s="475">
        <f t="shared" si="83"/>
        <v>78588</v>
      </c>
    </row>
    <row r="906" spans="7:14" ht="11.25" customHeight="1" x14ac:dyDescent="0.3">
      <c r="G906" s="470">
        <f t="shared" si="94"/>
        <v>75</v>
      </c>
      <c r="H906" s="470">
        <v>899</v>
      </c>
      <c r="I906" s="455">
        <f t="shared" ca="1" si="81"/>
        <v>-14696361.900255688</v>
      </c>
      <c r="J906" s="455">
        <f t="array" ref="J906">IFERROR(INDEX('Retirement Calculator'!K:K,MATCH('Lorri 401b'!N906,'Retirement Calculator'!A:A,0),0),0)</f>
        <v>20282.026119384056</v>
      </c>
      <c r="K906" s="455">
        <f t="shared" ca="1" si="79"/>
        <v>-61319.349693229466</v>
      </c>
      <c r="L906" s="455">
        <f t="shared" ca="1" si="80"/>
        <v>-14777963.276068302</v>
      </c>
      <c r="M906" s="471">
        <f t="shared" si="82"/>
        <v>0.05</v>
      </c>
      <c r="N906" s="475">
        <f t="shared" si="83"/>
        <v>78619</v>
      </c>
    </row>
    <row r="907" spans="7:14" ht="11.25" customHeight="1" x14ac:dyDescent="0.3">
      <c r="G907" s="470">
        <f t="shared" si="94"/>
        <v>75</v>
      </c>
      <c r="H907" s="470">
        <v>900</v>
      </c>
      <c r="I907" s="455">
        <f t="shared" ca="1" si="81"/>
        <v>-14777963.276068302</v>
      </c>
      <c r="J907" s="455">
        <f t="array" ref="J907">IFERROR(INDEX('Retirement Calculator'!K:K,MATCH('Lorri 401b'!N907,'Retirement Calculator'!A:A,0),0),0)</f>
        <v>20282.026119384056</v>
      </c>
      <c r="K907" s="455">
        <f t="shared" ca="1" si="79"/>
        <v>-61659.355425782029</v>
      </c>
      <c r="L907" s="455">
        <f t="shared" ca="1" si="80"/>
        <v>-14859904.657613469</v>
      </c>
      <c r="M907" s="471">
        <f t="shared" si="82"/>
        <v>0.05</v>
      </c>
      <c r="N907" s="475">
        <f t="shared" si="83"/>
        <v>78649</v>
      </c>
    </row>
    <row r="908" spans="7:14" ht="11.25" customHeight="1" x14ac:dyDescent="0.3">
      <c r="G908" s="470">
        <f>G907+1</f>
        <v>76</v>
      </c>
      <c r="H908" s="470">
        <v>901</v>
      </c>
      <c r="I908" s="455">
        <f t="shared" ca="1" si="81"/>
        <v>-14859904.657613469</v>
      </c>
      <c r="J908" s="455">
        <f t="array" ref="J908">IFERROR(INDEX('Retirement Calculator'!K:K,MATCH('Lorri 401b'!N908,'Retirement Calculator'!A:A,0),0),0)</f>
        <v>20282.026119384056</v>
      </c>
      <c r="K908" s="455">
        <f t="shared" ca="1" si="79"/>
        <v>-62000.777848886886</v>
      </c>
      <c r="L908" s="455">
        <f t="shared" ca="1" si="80"/>
        <v>-14942187.461581741</v>
      </c>
      <c r="M908" s="471">
        <f t="shared" si="82"/>
        <v>0.05</v>
      </c>
      <c r="N908" s="475">
        <f t="shared" si="83"/>
        <v>78680</v>
      </c>
    </row>
    <row r="909" spans="7:14" ht="11.25" customHeight="1" x14ac:dyDescent="0.3">
      <c r="G909" s="470">
        <f t="shared" ref="G909:G919" si="95">G908</f>
        <v>76</v>
      </c>
      <c r="H909" s="470">
        <v>902</v>
      </c>
      <c r="I909" s="455">
        <f t="shared" ca="1" si="81"/>
        <v>-14942187.461581741</v>
      </c>
      <c r="J909" s="455">
        <f t="array" ref="J909">IFERROR(INDEX('Retirement Calculator'!K:K,MATCH('Lorri 401b'!N909,'Retirement Calculator'!A:A,0),0),0)</f>
        <v>20282.026119384056</v>
      </c>
      <c r="K909" s="455">
        <f t="shared" ca="1" si="79"/>
        <v>-62343.622865421356</v>
      </c>
      <c r="L909" s="455">
        <f t="shared" ca="1" si="80"/>
        <v>-15024813.110566547</v>
      </c>
      <c r="M909" s="471">
        <f t="shared" si="82"/>
        <v>0.05</v>
      </c>
      <c r="N909" s="475">
        <f t="shared" si="83"/>
        <v>78710</v>
      </c>
    </row>
    <row r="910" spans="7:14" ht="11.25" customHeight="1" x14ac:dyDescent="0.3">
      <c r="G910" s="470">
        <f t="shared" si="95"/>
        <v>76</v>
      </c>
      <c r="H910" s="470">
        <v>903</v>
      </c>
      <c r="I910" s="455">
        <f t="shared" ca="1" si="81"/>
        <v>-15024813.110566547</v>
      </c>
      <c r="J910" s="455">
        <f t="array" ref="J910">IFERROR(INDEX('Retirement Calculator'!K:K,MATCH('Lorri 401b'!N910,'Retirement Calculator'!A:A,0),0),0)</f>
        <v>20282.026119384056</v>
      </c>
      <c r="K910" s="455">
        <f t="shared" ca="1" si="79"/>
        <v>-62687.896402858052</v>
      </c>
      <c r="L910" s="455">
        <f t="shared" ca="1" si="80"/>
        <v>-15107783.03308879</v>
      </c>
      <c r="M910" s="471">
        <f t="shared" si="82"/>
        <v>0.05</v>
      </c>
      <c r="N910" s="475">
        <f t="shared" si="83"/>
        <v>78741</v>
      </c>
    </row>
    <row r="911" spans="7:14" ht="11.25" customHeight="1" x14ac:dyDescent="0.3">
      <c r="G911" s="470">
        <f t="shared" si="95"/>
        <v>76</v>
      </c>
      <c r="H911" s="470">
        <v>904</v>
      </c>
      <c r="I911" s="455">
        <f t="shared" ca="1" si="81"/>
        <v>-15107783.03308879</v>
      </c>
      <c r="J911" s="455">
        <f t="array" ref="J911">IFERROR(INDEX('Retirement Calculator'!K:K,MATCH('Lorri 401b'!N911,'Retirement Calculator'!A:A,0),0),0)</f>
        <v>20282.026119384056</v>
      </c>
      <c r="K911" s="455">
        <f t="shared" ca="1" si="79"/>
        <v>-63033.604413367393</v>
      </c>
      <c r="L911" s="455">
        <f t="shared" ca="1" si="80"/>
        <v>-15191098.663621543</v>
      </c>
      <c r="M911" s="471">
        <f t="shared" si="82"/>
        <v>0.05</v>
      </c>
      <c r="N911" s="475">
        <f t="shared" si="83"/>
        <v>78772</v>
      </c>
    </row>
    <row r="912" spans="7:14" ht="11.25" customHeight="1" x14ac:dyDescent="0.3">
      <c r="G912" s="470">
        <f t="shared" si="95"/>
        <v>76</v>
      </c>
      <c r="H912" s="470">
        <v>905</v>
      </c>
      <c r="I912" s="455">
        <f t="shared" ca="1" si="81"/>
        <v>-15191098.663621543</v>
      </c>
      <c r="J912" s="455">
        <f t="array" ref="J912">IFERROR(INDEX('Retirement Calculator'!K:K,MATCH('Lorri 401b'!N912,'Retirement Calculator'!A:A,0),0),0)</f>
        <v>20282.026119384056</v>
      </c>
      <c r="K912" s="455">
        <f t="shared" ca="1" si="79"/>
        <v>-63380.752873920523</v>
      </c>
      <c r="L912" s="455">
        <f t="shared" ca="1" si="80"/>
        <v>-15274761.442614848</v>
      </c>
      <c r="M912" s="471">
        <f t="shared" si="82"/>
        <v>0.05</v>
      </c>
      <c r="N912" s="475">
        <f t="shared" si="83"/>
        <v>78802</v>
      </c>
    </row>
    <row r="913" spans="7:14" ht="11.25" customHeight="1" x14ac:dyDescent="0.3">
      <c r="G913" s="470">
        <f t="shared" si="95"/>
        <v>76</v>
      </c>
      <c r="H913" s="470">
        <v>906</v>
      </c>
      <c r="I913" s="455">
        <f t="shared" ca="1" si="81"/>
        <v>-15274761.442614848</v>
      </c>
      <c r="J913" s="455">
        <f t="array" ref="J913">IFERROR(INDEX('Retirement Calculator'!K:K,MATCH('Lorri 401b'!N913,'Retirement Calculator'!A:A,0),0),0)</f>
        <v>20282.026119384056</v>
      </c>
      <c r="K913" s="455">
        <f t="shared" ca="1" si="79"/>
        <v>-63729.347786392646</v>
      </c>
      <c r="L913" s="455">
        <f t="shared" ca="1" si="80"/>
        <v>-15358772.816520626</v>
      </c>
      <c r="M913" s="471">
        <f t="shared" si="82"/>
        <v>0.05</v>
      </c>
      <c r="N913" s="475">
        <f t="shared" si="83"/>
        <v>78833</v>
      </c>
    </row>
    <row r="914" spans="7:14" ht="11.25" customHeight="1" x14ac:dyDescent="0.3">
      <c r="G914" s="470">
        <f t="shared" si="95"/>
        <v>76</v>
      </c>
      <c r="H914" s="470">
        <v>907</v>
      </c>
      <c r="I914" s="455">
        <f t="shared" ca="1" si="81"/>
        <v>-15358772.816520626</v>
      </c>
      <c r="J914" s="455">
        <f t="array" ref="J914">IFERROR(INDEX('Retirement Calculator'!K:K,MATCH('Lorri 401b'!N914,'Retirement Calculator'!A:A,0),0),0)</f>
        <v>20282.026119384056</v>
      </c>
      <c r="K914" s="455">
        <f t="shared" ca="1" si="79"/>
        <v>-64079.395177666702</v>
      </c>
      <c r="L914" s="455">
        <f t="shared" ca="1" si="80"/>
        <v>-15443134.237817677</v>
      </c>
      <c r="M914" s="471">
        <f t="shared" si="82"/>
        <v>0.05</v>
      </c>
      <c r="N914" s="475">
        <f t="shared" si="83"/>
        <v>78863</v>
      </c>
    </row>
    <row r="915" spans="7:14" ht="11.25" customHeight="1" x14ac:dyDescent="0.3">
      <c r="G915" s="470">
        <f t="shared" si="95"/>
        <v>76</v>
      </c>
      <c r="H915" s="470">
        <v>908</v>
      </c>
      <c r="I915" s="455">
        <f t="shared" ca="1" si="81"/>
        <v>-15443134.237817677</v>
      </c>
      <c r="J915" s="455">
        <f t="array" ref="J915">IFERROR(INDEX('Retirement Calculator'!K:K,MATCH('Lorri 401b'!N915,'Retirement Calculator'!A:A,0),0),0)</f>
        <v>20282.026119384056</v>
      </c>
      <c r="K915" s="455">
        <f t="shared" ca="1" si="79"/>
        <v>-64430.901099737763</v>
      </c>
      <c r="L915" s="455">
        <f t="shared" ca="1" si="80"/>
        <v>-15527847.165036799</v>
      </c>
      <c r="M915" s="471">
        <f t="shared" si="82"/>
        <v>0.05</v>
      </c>
      <c r="N915" s="475">
        <f t="shared" si="83"/>
        <v>78894</v>
      </c>
    </row>
    <row r="916" spans="7:14" ht="11.25" customHeight="1" x14ac:dyDescent="0.3">
      <c r="G916" s="470">
        <f t="shared" si="95"/>
        <v>76</v>
      </c>
      <c r="H916" s="470">
        <v>909</v>
      </c>
      <c r="I916" s="455">
        <f t="shared" ca="1" si="81"/>
        <v>-15527847.165036799</v>
      </c>
      <c r="J916" s="455">
        <f t="array" ref="J916">IFERROR(INDEX('Retirement Calculator'!K:K,MATCH('Lorri 401b'!N916,'Retirement Calculator'!A:A,0),0),0)</f>
        <v>20282.026119384056</v>
      </c>
      <c r="K916" s="455">
        <f t="shared" ca="1" si="79"/>
        <v>-64783.871629817433</v>
      </c>
      <c r="L916" s="455">
        <f t="shared" ca="1" si="80"/>
        <v>-15612913.062786002</v>
      </c>
      <c r="M916" s="471">
        <f t="shared" si="82"/>
        <v>0.05</v>
      </c>
      <c r="N916" s="475">
        <f t="shared" si="83"/>
        <v>78925</v>
      </c>
    </row>
    <row r="917" spans="7:14" ht="11.25" customHeight="1" x14ac:dyDescent="0.3">
      <c r="G917" s="470">
        <f t="shared" si="95"/>
        <v>76</v>
      </c>
      <c r="H917" s="470">
        <v>910</v>
      </c>
      <c r="I917" s="455">
        <f t="shared" ca="1" si="81"/>
        <v>-15612913.062786002</v>
      </c>
      <c r="J917" s="455">
        <f t="array" ref="J917">IFERROR(INDEX('Retirement Calculator'!K:K,MATCH('Lorri 401b'!N917,'Retirement Calculator'!A:A,0),0),0)</f>
        <v>20282.026119384056</v>
      </c>
      <c r="K917" s="455">
        <f t="shared" ca="1" si="79"/>
        <v>-65138.312870439113</v>
      </c>
      <c r="L917" s="455">
        <f t="shared" ca="1" si="80"/>
        <v>-15698333.401775826</v>
      </c>
      <c r="M917" s="471">
        <f t="shared" si="82"/>
        <v>0.05</v>
      </c>
      <c r="N917" s="475">
        <f t="shared" si="83"/>
        <v>78954</v>
      </c>
    </row>
    <row r="918" spans="7:14" ht="11.25" customHeight="1" x14ac:dyDescent="0.3">
      <c r="G918" s="470">
        <f t="shared" si="95"/>
        <v>76</v>
      </c>
      <c r="H918" s="470">
        <v>911</v>
      </c>
      <c r="I918" s="455">
        <f t="shared" ca="1" si="81"/>
        <v>-15698333.401775826</v>
      </c>
      <c r="J918" s="455">
        <f t="array" ref="J918">IFERROR(INDEX('Retirement Calculator'!K:K,MATCH('Lorri 401b'!N918,'Retirement Calculator'!A:A,0),0),0)</f>
        <v>20282.026119384056</v>
      </c>
      <c r="K918" s="455">
        <f t="shared" ca="1" si="79"/>
        <v>-65494.230949563367</v>
      </c>
      <c r="L918" s="455">
        <f t="shared" ca="1" si="80"/>
        <v>-15784109.658844775</v>
      </c>
      <c r="M918" s="471">
        <f t="shared" si="82"/>
        <v>0.05</v>
      </c>
      <c r="N918" s="475">
        <f t="shared" si="83"/>
        <v>78985</v>
      </c>
    </row>
    <row r="919" spans="7:14" ht="11.25" customHeight="1" x14ac:dyDescent="0.3">
      <c r="G919" s="470">
        <f t="shared" si="95"/>
        <v>76</v>
      </c>
      <c r="H919" s="470">
        <v>912</v>
      </c>
      <c r="I919" s="455">
        <f t="shared" ca="1" si="81"/>
        <v>-15784109.658844775</v>
      </c>
      <c r="J919" s="455">
        <f t="array" ref="J919">IFERROR(INDEX('Retirement Calculator'!K:K,MATCH('Lorri 401b'!N919,'Retirement Calculator'!A:A,0),0),0)</f>
        <v>20282.026119384056</v>
      </c>
      <c r="K919" s="455">
        <f t="shared" ca="1" si="79"/>
        <v>-65851.632020684003</v>
      </c>
      <c r="L919" s="455">
        <f t="shared" ca="1" si="80"/>
        <v>-15870243.316984843</v>
      </c>
      <c r="M919" s="471">
        <f t="shared" si="82"/>
        <v>0.05</v>
      </c>
      <c r="N919" s="475">
        <f t="shared" si="83"/>
        <v>79015</v>
      </c>
    </row>
    <row r="920" spans="7:14" ht="11.25" customHeight="1" x14ac:dyDescent="0.3">
      <c r="G920" s="470">
        <f>G919+1</f>
        <v>77</v>
      </c>
      <c r="H920" s="470">
        <v>913</v>
      </c>
      <c r="I920" s="455">
        <f t="shared" ca="1" si="81"/>
        <v>-15870243.316984843</v>
      </c>
      <c r="J920" s="455">
        <f t="array" ref="J920">IFERROR(INDEX('Retirement Calculator'!K:K,MATCH('Lorri 401b'!N920,'Retirement Calculator'!A:A,0),0),0)</f>
        <v>20282.026119384056</v>
      </c>
      <c r="K920" s="455">
        <f t="shared" ca="1" si="79"/>
        <v>-66210.52226293429</v>
      </c>
      <c r="L920" s="455">
        <f t="shared" ca="1" si="80"/>
        <v>-15956735.865367163</v>
      </c>
      <c r="M920" s="471">
        <f t="shared" si="82"/>
        <v>0.05</v>
      </c>
      <c r="N920" s="475">
        <f t="shared" si="83"/>
        <v>79046</v>
      </c>
    </row>
    <row r="921" spans="7:14" ht="11.25" customHeight="1" x14ac:dyDescent="0.3">
      <c r="G921" s="470">
        <f t="shared" ref="G921:G931" si="96">G920</f>
        <v>77</v>
      </c>
      <c r="H921" s="470">
        <v>914</v>
      </c>
      <c r="I921" s="455">
        <f t="shared" ca="1" si="81"/>
        <v>-15956735.865367163</v>
      </c>
      <c r="J921" s="455">
        <f t="array" ref="J921">IFERROR(INDEX('Retirement Calculator'!K:K,MATCH('Lorri 401b'!N921,'Retirement Calculator'!A:A,0),0),0)</f>
        <v>20282.026119384056</v>
      </c>
      <c r="K921" s="455">
        <f t="shared" ca="1" si="79"/>
        <v>-66570.907881193954</v>
      </c>
      <c r="L921" s="455">
        <f t="shared" ca="1" si="80"/>
        <v>-16043588.799367743</v>
      </c>
      <c r="M921" s="471">
        <f t="shared" si="82"/>
        <v>0.05</v>
      </c>
      <c r="N921" s="475">
        <f t="shared" si="83"/>
        <v>79076</v>
      </c>
    </row>
    <row r="922" spans="7:14" ht="11.25" customHeight="1" x14ac:dyDescent="0.3">
      <c r="G922" s="470">
        <f t="shared" si="96"/>
        <v>77</v>
      </c>
      <c r="H922" s="470">
        <v>915</v>
      </c>
      <c r="I922" s="455">
        <f t="shared" ca="1" si="81"/>
        <v>-16043588.799367743</v>
      </c>
      <c r="J922" s="455">
        <f t="array" ref="J922">IFERROR(INDEX('Retirement Calculator'!K:K,MATCH('Lorri 401b'!N922,'Retirement Calculator'!A:A,0),0),0)</f>
        <v>20282.026119384056</v>
      </c>
      <c r="K922" s="455">
        <f t="shared" ca="1" si="79"/>
        <v>-66932.795106196369</v>
      </c>
      <c r="L922" s="455">
        <f t="shared" ca="1" si="80"/>
        <v>-16130803.620593324</v>
      </c>
      <c r="M922" s="471">
        <f t="shared" si="82"/>
        <v>0.05</v>
      </c>
      <c r="N922" s="475">
        <f t="shared" si="83"/>
        <v>79107</v>
      </c>
    </row>
    <row r="923" spans="7:14" ht="11.25" customHeight="1" x14ac:dyDescent="0.3">
      <c r="G923" s="470">
        <f t="shared" si="96"/>
        <v>77</v>
      </c>
      <c r="H923" s="470">
        <v>916</v>
      </c>
      <c r="I923" s="455">
        <f t="shared" ca="1" si="81"/>
        <v>-16130803.620593324</v>
      </c>
      <c r="J923" s="455">
        <f t="array" ref="J923">IFERROR(INDEX('Retirement Calculator'!K:K,MATCH('Lorri 401b'!N923,'Retirement Calculator'!A:A,0),0),0)</f>
        <v>20282.026119384056</v>
      </c>
      <c r="K923" s="455">
        <f t="shared" ca="1" si="79"/>
        <v>-67296.190194636292</v>
      </c>
      <c r="L923" s="455">
        <f t="shared" ca="1" si="80"/>
        <v>-16218381.836907346</v>
      </c>
      <c r="M923" s="471">
        <f t="shared" si="82"/>
        <v>0.05</v>
      </c>
      <c r="N923" s="475">
        <f t="shared" si="83"/>
        <v>79138</v>
      </c>
    </row>
    <row r="924" spans="7:14" ht="11.25" customHeight="1" x14ac:dyDescent="0.3">
      <c r="G924" s="470">
        <f t="shared" si="96"/>
        <v>77</v>
      </c>
      <c r="H924" s="470">
        <v>917</v>
      </c>
      <c r="I924" s="455">
        <f t="shared" ca="1" si="81"/>
        <v>-16218381.836907346</v>
      </c>
      <c r="J924" s="455">
        <f t="array" ref="J924">IFERROR(INDEX('Retirement Calculator'!K:K,MATCH('Lorri 401b'!N924,'Retirement Calculator'!A:A,0),0),0)</f>
        <v>20282.026119384056</v>
      </c>
      <c r="K924" s="455">
        <f t="shared" ca="1" si="79"/>
        <v>-67661.099429278038</v>
      </c>
      <c r="L924" s="455">
        <f t="shared" ca="1" si="80"/>
        <v>-16306324.962456008</v>
      </c>
      <c r="M924" s="471">
        <f t="shared" si="82"/>
        <v>0.05</v>
      </c>
      <c r="N924" s="475">
        <f t="shared" si="83"/>
        <v>79168</v>
      </c>
    </row>
    <row r="925" spans="7:14" ht="11.25" customHeight="1" x14ac:dyDescent="0.3">
      <c r="G925" s="470">
        <f t="shared" si="96"/>
        <v>77</v>
      </c>
      <c r="H925" s="470">
        <v>918</v>
      </c>
      <c r="I925" s="455">
        <f t="shared" ca="1" si="81"/>
        <v>-16306324.962456008</v>
      </c>
      <c r="J925" s="455">
        <f t="array" ref="J925">IFERROR(INDEX('Retirement Calculator'!K:K,MATCH('Lorri 401b'!N925,'Retirement Calculator'!A:A,0),0),0)</f>
        <v>20282.026119384056</v>
      </c>
      <c r="K925" s="455">
        <f t="shared" ca="1" si="79"/>
        <v>-68027.529119064144</v>
      </c>
      <c r="L925" s="455">
        <f t="shared" ca="1" si="80"/>
        <v>-16394634.517694458</v>
      </c>
      <c r="M925" s="471">
        <f t="shared" si="82"/>
        <v>0.05</v>
      </c>
      <c r="N925" s="475">
        <f t="shared" si="83"/>
        <v>79199</v>
      </c>
    </row>
    <row r="926" spans="7:14" ht="11.25" customHeight="1" x14ac:dyDescent="0.3">
      <c r="G926" s="470">
        <f t="shared" si="96"/>
        <v>77</v>
      </c>
      <c r="H926" s="470">
        <v>919</v>
      </c>
      <c r="I926" s="455">
        <f t="shared" ca="1" si="81"/>
        <v>-16394634.517694458</v>
      </c>
      <c r="J926" s="455">
        <f t="array" ref="J926">IFERROR(INDEX('Retirement Calculator'!K:K,MATCH('Lorri 401b'!N926,'Retirement Calculator'!A:A,0),0),0)</f>
        <v>20282.026119384056</v>
      </c>
      <c r="K926" s="455">
        <f t="shared" ca="1" si="79"/>
        <v>-68395.485599224354</v>
      </c>
      <c r="L926" s="455">
        <f t="shared" ca="1" si="80"/>
        <v>-16483312.029413067</v>
      </c>
      <c r="M926" s="471">
        <f t="shared" si="82"/>
        <v>0.05</v>
      </c>
      <c r="N926" s="475">
        <f t="shared" si="83"/>
        <v>79229</v>
      </c>
    </row>
    <row r="927" spans="7:14" ht="11.25" customHeight="1" x14ac:dyDescent="0.3">
      <c r="G927" s="470">
        <f t="shared" si="96"/>
        <v>77</v>
      </c>
      <c r="H927" s="470">
        <v>920</v>
      </c>
      <c r="I927" s="455">
        <f t="shared" ca="1" si="81"/>
        <v>-16483312.029413067</v>
      </c>
      <c r="J927" s="455">
        <f t="array" ref="J927">IFERROR(INDEX('Retirement Calculator'!K:K,MATCH('Lorri 401b'!N927,'Retirement Calculator'!A:A,0),0),0)</f>
        <v>20282.026119384056</v>
      </c>
      <c r="K927" s="455">
        <f t="shared" ca="1" si="79"/>
        <v>-68764.975231385208</v>
      </c>
      <c r="L927" s="455">
        <f t="shared" ca="1" si="80"/>
        <v>-16572359.030763837</v>
      </c>
      <c r="M927" s="471">
        <f t="shared" si="82"/>
        <v>0.05</v>
      </c>
      <c r="N927" s="475">
        <f t="shared" si="83"/>
        <v>79260</v>
      </c>
    </row>
    <row r="928" spans="7:14" ht="11.25" customHeight="1" x14ac:dyDescent="0.3">
      <c r="G928" s="470">
        <f t="shared" si="96"/>
        <v>77</v>
      </c>
      <c r="H928" s="470">
        <v>921</v>
      </c>
      <c r="I928" s="455">
        <f t="shared" ca="1" si="81"/>
        <v>-16572359.030763837</v>
      </c>
      <c r="J928" s="455">
        <f t="array" ref="J928">IFERROR(INDEX('Retirement Calculator'!K:K,MATCH('Lorri 401b'!N928,'Retirement Calculator'!A:A,0),0),0)</f>
        <v>20282.026119384056</v>
      </c>
      <c r="K928" s="455">
        <f t="shared" ca="1" si="79"/>
        <v>-69136.004403680083</v>
      </c>
      <c r="L928" s="455">
        <f t="shared" ca="1" si="80"/>
        <v>-16661777.061286902</v>
      </c>
      <c r="M928" s="471">
        <f t="shared" si="82"/>
        <v>0.05</v>
      </c>
      <c r="N928" s="475">
        <f t="shared" si="83"/>
        <v>79291</v>
      </c>
    </row>
    <row r="929" spans="7:14" ht="11.25" customHeight="1" x14ac:dyDescent="0.3">
      <c r="G929" s="470">
        <f t="shared" si="96"/>
        <v>77</v>
      </c>
      <c r="H929" s="470">
        <v>922</v>
      </c>
      <c r="I929" s="455">
        <f t="shared" ca="1" si="81"/>
        <v>-16661777.061286902</v>
      </c>
      <c r="J929" s="455">
        <f t="array" ref="J929">IFERROR(INDEX('Retirement Calculator'!K:K,MATCH('Lorri 401b'!N929,'Retirement Calculator'!A:A,0),0),0)</f>
        <v>20282.026119384056</v>
      </c>
      <c r="K929" s="455">
        <f t="shared" ca="1" si="79"/>
        <v>-69508.579530859526</v>
      </c>
      <c r="L929" s="455">
        <f t="shared" ca="1" si="80"/>
        <v>-16751567.666937146</v>
      </c>
      <c r="M929" s="471">
        <f t="shared" si="82"/>
        <v>0.05</v>
      </c>
      <c r="N929" s="475">
        <f t="shared" si="83"/>
        <v>79319</v>
      </c>
    </row>
    <row r="930" spans="7:14" ht="11.25" customHeight="1" x14ac:dyDescent="0.3">
      <c r="G930" s="470">
        <f t="shared" si="96"/>
        <v>77</v>
      </c>
      <c r="H930" s="470">
        <v>923</v>
      </c>
      <c r="I930" s="455">
        <f t="shared" ca="1" si="81"/>
        <v>-16751567.666937146</v>
      </c>
      <c r="J930" s="455">
        <f t="array" ref="J930">IFERROR(INDEX('Retirement Calculator'!K:K,MATCH('Lorri 401b'!N930,'Retirement Calculator'!A:A,0),0),0)</f>
        <v>20282.026119384056</v>
      </c>
      <c r="K930" s="455">
        <f t="shared" ca="1" si="79"/>
        <v>-69882.707054402199</v>
      </c>
      <c r="L930" s="455">
        <f t="shared" ca="1" si="80"/>
        <v>-16841732.400110934</v>
      </c>
      <c r="M930" s="471">
        <f t="shared" si="82"/>
        <v>0.05</v>
      </c>
      <c r="N930" s="475">
        <f t="shared" si="83"/>
        <v>79350</v>
      </c>
    </row>
    <row r="931" spans="7:14" ht="11.25" customHeight="1" x14ac:dyDescent="0.3">
      <c r="G931" s="470">
        <f t="shared" si="96"/>
        <v>77</v>
      </c>
      <c r="H931" s="470">
        <v>924</v>
      </c>
      <c r="I931" s="455">
        <f t="shared" ca="1" si="81"/>
        <v>-16841732.400110934</v>
      </c>
      <c r="J931" s="455">
        <f t="array" ref="J931">IFERROR(INDEX('Retirement Calculator'!K:K,MATCH('Lorri 401b'!N931,'Retirement Calculator'!A:A,0),0),0)</f>
        <v>20282.026119384056</v>
      </c>
      <c r="K931" s="455">
        <f t="shared" ca="1" si="79"/>
        <v>-70258.393442626329</v>
      </c>
      <c r="L931" s="455">
        <f t="shared" ca="1" si="80"/>
        <v>-16932272.819672946</v>
      </c>
      <c r="M931" s="471">
        <f t="shared" si="82"/>
        <v>0.05</v>
      </c>
      <c r="N931" s="475">
        <f t="shared" si="83"/>
        <v>79380</v>
      </c>
    </row>
    <row r="932" spans="7:14" ht="11.25" customHeight="1" x14ac:dyDescent="0.3">
      <c r="G932" s="470">
        <f>G931+1</f>
        <v>78</v>
      </c>
      <c r="H932" s="470">
        <v>925</v>
      </c>
      <c r="I932" s="455">
        <f t="shared" ca="1" si="81"/>
        <v>-16932272.819672946</v>
      </c>
      <c r="J932" s="455">
        <f t="array" ref="J932">IFERROR(INDEX('Retirement Calculator'!K:K,MATCH('Lorri 401b'!N932,'Retirement Calculator'!A:A,0),0),0)</f>
        <v>20282.026119384056</v>
      </c>
      <c r="K932" s="455">
        <f t="shared" ca="1" si="79"/>
        <v>-70635.645190801384</v>
      </c>
      <c r="L932" s="455">
        <f t="shared" ca="1" si="80"/>
        <v>-17023190.490983132</v>
      </c>
      <c r="M932" s="471">
        <f t="shared" si="82"/>
        <v>0.05</v>
      </c>
      <c r="N932" s="475">
        <f t="shared" si="83"/>
        <v>79411</v>
      </c>
    </row>
    <row r="933" spans="7:14" ht="11.25" customHeight="1" x14ac:dyDescent="0.3">
      <c r="G933" s="470">
        <f t="shared" ref="G933:G943" si="97">G932</f>
        <v>78</v>
      </c>
      <c r="H933" s="470">
        <v>926</v>
      </c>
      <c r="I933" s="455">
        <f t="shared" ca="1" si="81"/>
        <v>-17023190.490983132</v>
      </c>
      <c r="J933" s="455">
        <f t="array" ref="J933">IFERROR(INDEX('Retirement Calculator'!K:K,MATCH('Lorri 401b'!N933,'Retirement Calculator'!A:A,0),0),0)</f>
        <v>20282.026119384056</v>
      </c>
      <c r="K933" s="455">
        <f t="shared" ca="1" si="79"/>
        <v>-71014.468821260481</v>
      </c>
      <c r="L933" s="455">
        <f t="shared" ca="1" si="80"/>
        <v>-17114486.985923778</v>
      </c>
      <c r="M933" s="471">
        <f t="shared" si="82"/>
        <v>0.05</v>
      </c>
      <c r="N933" s="475">
        <f t="shared" si="83"/>
        <v>79441</v>
      </c>
    </row>
    <row r="934" spans="7:14" ht="11.25" customHeight="1" x14ac:dyDescent="0.3">
      <c r="G934" s="470">
        <f t="shared" si="97"/>
        <v>78</v>
      </c>
      <c r="H934" s="470">
        <v>927</v>
      </c>
      <c r="I934" s="455">
        <f t="shared" ca="1" si="81"/>
        <v>-17114486.985923778</v>
      </c>
      <c r="J934" s="455">
        <f t="array" ref="J934">IFERROR(INDEX('Retirement Calculator'!K:K,MATCH('Lorri 401b'!N934,'Retirement Calculator'!A:A,0),0),0)</f>
        <v>20282.026119384056</v>
      </c>
      <c r="K934" s="455">
        <f t="shared" ca="1" si="79"/>
        <v>-71394.870883513184</v>
      </c>
      <c r="L934" s="455">
        <f t="shared" ca="1" si="80"/>
        <v>-17206163.882926676</v>
      </c>
      <c r="M934" s="471">
        <f t="shared" si="82"/>
        <v>0.05</v>
      </c>
      <c r="N934" s="475">
        <f t="shared" si="83"/>
        <v>79472</v>
      </c>
    </row>
    <row r="935" spans="7:14" ht="11.25" customHeight="1" x14ac:dyDescent="0.3">
      <c r="G935" s="470">
        <f t="shared" si="97"/>
        <v>78</v>
      </c>
      <c r="H935" s="470">
        <v>928</v>
      </c>
      <c r="I935" s="455">
        <f t="shared" ca="1" si="81"/>
        <v>-17206163.882926676</v>
      </c>
      <c r="J935" s="455">
        <f t="array" ref="J935">IFERROR(INDEX('Retirement Calculator'!K:K,MATCH('Lorri 401b'!N935,'Retirement Calculator'!A:A,0),0),0)</f>
        <v>20282.026119384056</v>
      </c>
      <c r="K935" s="455">
        <f t="shared" ca="1" si="79"/>
        <v>-71776.857954358595</v>
      </c>
      <c r="L935" s="455">
        <f t="shared" ca="1" si="80"/>
        <v>-17298222.767000418</v>
      </c>
      <c r="M935" s="471">
        <f t="shared" si="82"/>
        <v>0.05</v>
      </c>
      <c r="N935" s="475">
        <f t="shared" si="83"/>
        <v>79503</v>
      </c>
    </row>
    <row r="936" spans="7:14" ht="11.25" customHeight="1" x14ac:dyDescent="0.3">
      <c r="G936" s="470">
        <f t="shared" si="97"/>
        <v>78</v>
      </c>
      <c r="H936" s="470">
        <v>929</v>
      </c>
      <c r="I936" s="455">
        <f t="shared" ca="1" si="81"/>
        <v>-17298222.767000418</v>
      </c>
      <c r="J936" s="455">
        <f t="array" ref="J936">IFERROR(INDEX('Retirement Calculator'!K:K,MATCH('Lorri 401b'!N936,'Retirement Calculator'!A:A,0),0),0)</f>
        <v>20282.026119384056</v>
      </c>
      <c r="K936" s="455">
        <f t="shared" ca="1" si="79"/>
        <v>-72160.436637999184</v>
      </c>
      <c r="L936" s="455">
        <f t="shared" ca="1" si="80"/>
        <v>-17390665.229757801</v>
      </c>
      <c r="M936" s="471">
        <f t="shared" si="82"/>
        <v>0.05</v>
      </c>
      <c r="N936" s="475">
        <f t="shared" si="83"/>
        <v>79533</v>
      </c>
    </row>
    <row r="937" spans="7:14" ht="11.25" customHeight="1" x14ac:dyDescent="0.3">
      <c r="G937" s="470">
        <f t="shared" si="97"/>
        <v>78</v>
      </c>
      <c r="H937" s="470">
        <v>930</v>
      </c>
      <c r="I937" s="455">
        <f t="shared" ca="1" si="81"/>
        <v>-17390665.229757801</v>
      </c>
      <c r="J937" s="455">
        <f t="array" ref="J937">IFERROR(INDEX('Retirement Calculator'!K:K,MATCH('Lorri 401b'!N937,'Retirement Calculator'!A:A,0),0),0)</f>
        <v>20282.026119384056</v>
      </c>
      <c r="K937" s="455">
        <f t="shared" ca="1" si="79"/>
        <v>-72545.613566154934</v>
      </c>
      <c r="L937" s="455">
        <f t="shared" ca="1" si="80"/>
        <v>-17483492.869443342</v>
      </c>
      <c r="M937" s="471">
        <f t="shared" si="82"/>
        <v>0.05</v>
      </c>
      <c r="N937" s="475">
        <f t="shared" si="83"/>
        <v>79564</v>
      </c>
    </row>
    <row r="938" spans="7:14" ht="11.25" customHeight="1" x14ac:dyDescent="0.3">
      <c r="G938" s="470">
        <f t="shared" si="97"/>
        <v>78</v>
      </c>
      <c r="H938" s="470">
        <v>931</v>
      </c>
      <c r="I938" s="455">
        <f t="shared" ca="1" si="81"/>
        <v>-17483492.869443342</v>
      </c>
      <c r="J938" s="455">
        <f t="array" ref="J938">IFERROR(INDEX('Retirement Calculator'!K:K,MATCH('Lorri 401b'!N938,'Retirement Calculator'!A:A,0),0),0)</f>
        <v>20282.026119384056</v>
      </c>
      <c r="K938" s="455">
        <f t="shared" ca="1" si="79"/>
        <v>-72932.395398178021</v>
      </c>
      <c r="L938" s="455">
        <f t="shared" ca="1" si="80"/>
        <v>-17576707.290960904</v>
      </c>
      <c r="M938" s="471">
        <f t="shared" si="82"/>
        <v>0.05</v>
      </c>
      <c r="N938" s="475">
        <f t="shared" si="83"/>
        <v>79594</v>
      </c>
    </row>
    <row r="939" spans="7:14" ht="11.25" customHeight="1" x14ac:dyDescent="0.3">
      <c r="G939" s="470">
        <f t="shared" si="97"/>
        <v>78</v>
      </c>
      <c r="H939" s="470">
        <v>932</v>
      </c>
      <c r="I939" s="455">
        <f t="shared" ca="1" si="81"/>
        <v>-17576707.290960904</v>
      </c>
      <c r="J939" s="455">
        <f t="array" ref="J939">IFERROR(INDEX('Retirement Calculator'!K:K,MATCH('Lorri 401b'!N939,'Retirement Calculator'!A:A,0),0),0)</f>
        <v>20282.026119384056</v>
      </c>
      <c r="K939" s="455">
        <f t="shared" ca="1" si="79"/>
        <v>-73320.788821167866</v>
      </c>
      <c r="L939" s="455">
        <f t="shared" ca="1" si="80"/>
        <v>-17670310.105901457</v>
      </c>
      <c r="M939" s="471">
        <f t="shared" si="82"/>
        <v>0.05</v>
      </c>
      <c r="N939" s="475">
        <f t="shared" si="83"/>
        <v>79625</v>
      </c>
    </row>
    <row r="940" spans="7:14" ht="11.25" customHeight="1" x14ac:dyDescent="0.3">
      <c r="G940" s="470">
        <f t="shared" si="97"/>
        <v>78</v>
      </c>
      <c r="H940" s="470">
        <v>933</v>
      </c>
      <c r="I940" s="455">
        <f t="shared" ca="1" si="81"/>
        <v>-17670310.105901457</v>
      </c>
      <c r="J940" s="455">
        <f t="array" ref="J940">IFERROR(INDEX('Retirement Calculator'!K:K,MATCH('Lorri 401b'!N940,'Retirement Calculator'!A:A,0),0),0)</f>
        <v>20282.026119384056</v>
      </c>
      <c r="K940" s="455">
        <f t="shared" ca="1" si="79"/>
        <v>-73710.800550086846</v>
      </c>
      <c r="L940" s="455">
        <f t="shared" ca="1" si="80"/>
        <v>-17764302.932570931</v>
      </c>
      <c r="M940" s="471">
        <f t="shared" si="82"/>
        <v>0.05</v>
      </c>
      <c r="N940" s="475">
        <f t="shared" si="83"/>
        <v>79656</v>
      </c>
    </row>
    <row r="941" spans="7:14" ht="11.25" customHeight="1" x14ac:dyDescent="0.3">
      <c r="G941" s="470">
        <f t="shared" si="97"/>
        <v>78</v>
      </c>
      <c r="H941" s="470">
        <v>934</v>
      </c>
      <c r="I941" s="455">
        <f t="shared" ca="1" si="81"/>
        <v>-17764302.932570931</v>
      </c>
      <c r="J941" s="455">
        <f t="array" ref="J941">IFERROR(INDEX('Retirement Calculator'!K:K,MATCH('Lorri 401b'!N941,'Retirement Calculator'!A:A,0),0),0)</f>
        <v>20282.026119384056</v>
      </c>
      <c r="K941" s="455">
        <f t="shared" ca="1" si="79"/>
        <v>-74102.437327876309</v>
      </c>
      <c r="L941" s="455">
        <f t="shared" ca="1" si="80"/>
        <v>-17858687.396018192</v>
      </c>
      <c r="M941" s="471">
        <f t="shared" si="82"/>
        <v>0.05</v>
      </c>
      <c r="N941" s="475">
        <f t="shared" si="83"/>
        <v>79684</v>
      </c>
    </row>
    <row r="942" spans="7:14" ht="11.25" customHeight="1" x14ac:dyDescent="0.3">
      <c r="G942" s="470">
        <f t="shared" si="97"/>
        <v>78</v>
      </c>
      <c r="H942" s="470">
        <v>935</v>
      </c>
      <c r="I942" s="455">
        <f t="shared" ca="1" si="81"/>
        <v>-17858687.396018192</v>
      </c>
      <c r="J942" s="455">
        <f t="array" ref="J942">IFERROR(INDEX('Retirement Calculator'!K:K,MATCH('Lorri 401b'!N942,'Retirement Calculator'!A:A,0),0),0)</f>
        <v>20282.026119384056</v>
      </c>
      <c r="K942" s="455">
        <f t="shared" ca="1" si="79"/>
        <v>-74495.705925573231</v>
      </c>
      <c r="L942" s="455">
        <f t="shared" ca="1" si="80"/>
        <v>-17953465.12806315</v>
      </c>
      <c r="M942" s="471">
        <f t="shared" si="82"/>
        <v>0.05</v>
      </c>
      <c r="N942" s="475">
        <f t="shared" si="83"/>
        <v>79715</v>
      </c>
    </row>
    <row r="943" spans="7:14" ht="11.25" customHeight="1" x14ac:dyDescent="0.3">
      <c r="G943" s="470">
        <f t="shared" si="97"/>
        <v>78</v>
      </c>
      <c r="H943" s="470">
        <v>936</v>
      </c>
      <c r="I943" s="455">
        <f t="shared" ca="1" si="81"/>
        <v>-17953465.12806315</v>
      </c>
      <c r="J943" s="455">
        <f t="array" ref="J943">IFERROR(INDEX('Retirement Calculator'!K:K,MATCH('Lorri 401b'!N943,'Retirement Calculator'!A:A,0),0),0)</f>
        <v>20282.026119384056</v>
      </c>
      <c r="K943" s="455">
        <f t="shared" ca="1" si="79"/>
        <v>-74890.613142427232</v>
      </c>
      <c r="L943" s="455">
        <f t="shared" ca="1" si="80"/>
        <v>-18048637.767324962</v>
      </c>
      <c r="M943" s="471">
        <f t="shared" si="82"/>
        <v>0.05</v>
      </c>
      <c r="N943" s="475">
        <f t="shared" si="83"/>
        <v>79745</v>
      </c>
    </row>
    <row r="944" spans="7:14" ht="11.25" customHeight="1" x14ac:dyDescent="0.3">
      <c r="G944" s="470">
        <f>G943+1</f>
        <v>79</v>
      </c>
      <c r="H944" s="470">
        <v>937</v>
      </c>
      <c r="I944" s="455">
        <f t="shared" ca="1" si="81"/>
        <v>-18048637.767324962</v>
      </c>
      <c r="J944" s="455">
        <f t="array" ref="J944">IFERROR(INDEX('Retirement Calculator'!K:K,MATCH('Lorri 401b'!N944,'Retirement Calculator'!A:A,0),0),0)</f>
        <v>20282.026119384056</v>
      </c>
      <c r="K944" s="455">
        <f t="shared" ca="1" si="79"/>
        <v>-75287.165806018107</v>
      </c>
      <c r="L944" s="455">
        <f t="shared" ca="1" si="80"/>
        <v>-18144206.959250364</v>
      </c>
      <c r="M944" s="471">
        <f t="shared" si="82"/>
        <v>0.05</v>
      </c>
      <c r="N944" s="475">
        <f t="shared" si="83"/>
        <v>79776</v>
      </c>
    </row>
    <row r="945" spans="7:14" ht="11.25" customHeight="1" x14ac:dyDescent="0.3">
      <c r="G945" s="470">
        <f t="shared" ref="G945:G955" si="98">G944</f>
        <v>79</v>
      </c>
      <c r="H945" s="470">
        <v>938</v>
      </c>
      <c r="I945" s="455">
        <f t="shared" ca="1" si="81"/>
        <v>-18144206.959250364</v>
      </c>
      <c r="J945" s="455">
        <f t="array" ref="J945">IFERROR(INDEX('Retirement Calculator'!K:K,MATCH('Lorri 401b'!N945,'Retirement Calculator'!A:A,0),0),0)</f>
        <v>20282.026119384056</v>
      </c>
      <c r="K945" s="455">
        <f t="shared" ca="1" si="79"/>
        <v>-75685.37077237395</v>
      </c>
      <c r="L945" s="455">
        <f t="shared" ca="1" si="80"/>
        <v>-18240174.356142122</v>
      </c>
      <c r="M945" s="471">
        <f t="shared" si="82"/>
        <v>0.05</v>
      </c>
      <c r="N945" s="475">
        <f t="shared" si="83"/>
        <v>79806</v>
      </c>
    </row>
    <row r="946" spans="7:14" ht="11.25" customHeight="1" x14ac:dyDescent="0.3">
      <c r="G946" s="470">
        <f t="shared" si="98"/>
        <v>79</v>
      </c>
      <c r="H946" s="470">
        <v>939</v>
      </c>
      <c r="I946" s="455">
        <f t="shared" ca="1" si="81"/>
        <v>-18240174.356142122</v>
      </c>
      <c r="J946" s="455">
        <f t="array" ref="J946">IFERROR(INDEX('Retirement Calculator'!K:K,MATCH('Lorri 401b'!N946,'Retirement Calculator'!A:A,0),0),0)</f>
        <v>20282.026119384056</v>
      </c>
      <c r="K946" s="455">
        <f t="shared" ca="1" si="79"/>
        <v>-76085.234926089615</v>
      </c>
      <c r="L946" s="455">
        <f t="shared" ca="1" si="80"/>
        <v>-18336541.617187597</v>
      </c>
      <c r="M946" s="471">
        <f t="shared" si="82"/>
        <v>0.05</v>
      </c>
      <c r="N946" s="475">
        <f t="shared" si="83"/>
        <v>79837</v>
      </c>
    </row>
    <row r="947" spans="7:14" ht="11.25" customHeight="1" x14ac:dyDescent="0.3">
      <c r="G947" s="470">
        <f t="shared" si="98"/>
        <v>79</v>
      </c>
      <c r="H947" s="470">
        <v>940</v>
      </c>
      <c r="I947" s="455">
        <f t="shared" ca="1" si="81"/>
        <v>-18336541.617187597</v>
      </c>
      <c r="J947" s="455">
        <f t="array" ref="J947">IFERROR(INDEX('Retirement Calculator'!K:K,MATCH('Lorri 401b'!N947,'Retirement Calculator'!A:A,0),0),0)</f>
        <v>20282.026119384056</v>
      </c>
      <c r="K947" s="455">
        <f t="shared" ca="1" si="79"/>
        <v>-76486.765180445756</v>
      </c>
      <c r="L947" s="455">
        <f t="shared" ca="1" si="80"/>
        <v>-18433310.408487428</v>
      </c>
      <c r="M947" s="471">
        <f t="shared" si="82"/>
        <v>0.05</v>
      </c>
      <c r="N947" s="475">
        <f t="shared" si="83"/>
        <v>79868</v>
      </c>
    </row>
    <row r="948" spans="7:14" ht="11.25" customHeight="1" x14ac:dyDescent="0.3">
      <c r="G948" s="470">
        <f t="shared" si="98"/>
        <v>79</v>
      </c>
      <c r="H948" s="470">
        <v>941</v>
      </c>
      <c r="I948" s="455">
        <f t="shared" ca="1" si="81"/>
        <v>-18433310.408487428</v>
      </c>
      <c r="J948" s="455">
        <f t="array" ref="J948">IFERROR(INDEX('Retirement Calculator'!K:K,MATCH('Lorri 401b'!N948,'Retirement Calculator'!A:A,0),0),0)</f>
        <v>20282.026119384056</v>
      </c>
      <c r="K948" s="455">
        <f t="shared" ca="1" si="79"/>
        <v>-76889.968477528382</v>
      </c>
      <c r="L948" s="455">
        <f t="shared" ca="1" si="80"/>
        <v>-18530482.403084341</v>
      </c>
      <c r="M948" s="471">
        <f t="shared" si="82"/>
        <v>0.05</v>
      </c>
      <c r="N948" s="475">
        <f t="shared" si="83"/>
        <v>79898</v>
      </c>
    </row>
    <row r="949" spans="7:14" ht="11.25" customHeight="1" x14ac:dyDescent="0.3">
      <c r="G949" s="470">
        <f t="shared" si="98"/>
        <v>79</v>
      </c>
      <c r="H949" s="470">
        <v>942</v>
      </c>
      <c r="I949" s="455">
        <f t="shared" ca="1" si="81"/>
        <v>-18530482.403084341</v>
      </c>
      <c r="J949" s="455">
        <f t="array" ref="J949">IFERROR(INDEX('Retirement Calculator'!K:K,MATCH('Lorri 401b'!N949,'Retirement Calculator'!A:A,0),0),0)</f>
        <v>20282.026119384056</v>
      </c>
      <c r="K949" s="455">
        <f t="shared" ca="1" si="79"/>
        <v>-77294.851788348853</v>
      </c>
      <c r="L949" s="455">
        <f t="shared" ca="1" si="80"/>
        <v>-18628059.280992076</v>
      </c>
      <c r="M949" s="471">
        <f t="shared" si="82"/>
        <v>0.05</v>
      </c>
      <c r="N949" s="475">
        <f t="shared" si="83"/>
        <v>79929</v>
      </c>
    </row>
    <row r="950" spans="7:14" ht="11.25" customHeight="1" x14ac:dyDescent="0.3">
      <c r="G950" s="470">
        <f t="shared" si="98"/>
        <v>79</v>
      </c>
      <c r="H950" s="470">
        <v>943</v>
      </c>
      <c r="I950" s="455">
        <f t="shared" ca="1" si="81"/>
        <v>-18628059.280992076</v>
      </c>
      <c r="J950" s="455">
        <f t="array" ref="J950">IFERROR(INDEX('Retirement Calculator'!K:K,MATCH('Lorri 401b'!N950,'Retirement Calculator'!A:A,0),0),0)</f>
        <v>20282.026119384056</v>
      </c>
      <c r="K950" s="455">
        <f t="shared" ca="1" si="79"/>
        <v>-77701.422112964414</v>
      </c>
      <c r="L950" s="455">
        <f t="shared" ca="1" si="80"/>
        <v>-18726042.729224425</v>
      </c>
      <c r="M950" s="471">
        <f t="shared" si="82"/>
        <v>0.05</v>
      </c>
      <c r="N950" s="475">
        <f t="shared" si="83"/>
        <v>79959</v>
      </c>
    </row>
    <row r="951" spans="7:14" ht="11.25" customHeight="1" x14ac:dyDescent="0.3">
      <c r="G951" s="470">
        <f t="shared" si="98"/>
        <v>79</v>
      </c>
      <c r="H951" s="470">
        <v>944</v>
      </c>
      <c r="I951" s="455">
        <f t="shared" ca="1" si="81"/>
        <v>-18726042.729224425</v>
      </c>
      <c r="J951" s="455">
        <f t="array" ref="J951">IFERROR(INDEX('Retirement Calculator'!K:K,MATCH('Lorri 401b'!N951,'Retirement Calculator'!A:A,0),0),0)</f>
        <v>20282.026119384056</v>
      </c>
      <c r="K951" s="455">
        <f t="shared" ca="1" si="79"/>
        <v>-78109.686480599208</v>
      </c>
      <c r="L951" s="455">
        <f t="shared" ca="1" si="80"/>
        <v>-18824434.44182441</v>
      </c>
      <c r="M951" s="471">
        <f t="shared" si="82"/>
        <v>0.05</v>
      </c>
      <c r="N951" s="475">
        <f t="shared" si="83"/>
        <v>79990</v>
      </c>
    </row>
    <row r="952" spans="7:14" ht="11.25" customHeight="1" x14ac:dyDescent="0.3">
      <c r="G952" s="470">
        <f t="shared" si="98"/>
        <v>79</v>
      </c>
      <c r="H952" s="470">
        <v>945</v>
      </c>
      <c r="I952" s="455">
        <f t="shared" ca="1" si="81"/>
        <v>-18824434.44182441</v>
      </c>
      <c r="J952" s="455">
        <f t="array" ref="J952">IFERROR(INDEX('Retirement Calculator'!K:K,MATCH('Lorri 401b'!N952,'Retirement Calculator'!A:A,0),0),0)</f>
        <v>20282.026119384056</v>
      </c>
      <c r="K952" s="455">
        <f t="shared" ca="1" si="79"/>
        <v>-78519.651949765816</v>
      </c>
      <c r="L952" s="455">
        <f t="shared" ca="1" si="80"/>
        <v>-18923236.119893562</v>
      </c>
      <c r="M952" s="471">
        <f t="shared" si="82"/>
        <v>0.05</v>
      </c>
      <c r="N952" s="475">
        <f t="shared" si="83"/>
        <v>80021</v>
      </c>
    </row>
    <row r="953" spans="7:14" ht="11.25" customHeight="1" x14ac:dyDescent="0.3">
      <c r="G953" s="470">
        <f t="shared" si="98"/>
        <v>79</v>
      </c>
      <c r="H953" s="470">
        <v>946</v>
      </c>
      <c r="I953" s="455">
        <f t="shared" ca="1" si="81"/>
        <v>-18923236.119893562</v>
      </c>
      <c r="J953" s="455">
        <f t="array" ref="J953">IFERROR(INDEX('Retirement Calculator'!K:K,MATCH('Lorri 401b'!N953,'Retirement Calculator'!A:A,0),0),0)</f>
        <v>20282.026119384056</v>
      </c>
      <c r="K953" s="455">
        <f t="shared" ca="1" si="79"/>
        <v>-78931.325608387284</v>
      </c>
      <c r="L953" s="455">
        <f t="shared" ca="1" si="80"/>
        <v>-19022449.471621335</v>
      </c>
      <c r="M953" s="471">
        <f t="shared" si="82"/>
        <v>0.05</v>
      </c>
      <c r="N953" s="475">
        <f t="shared" si="83"/>
        <v>80049</v>
      </c>
    </row>
    <row r="954" spans="7:14" ht="11.25" customHeight="1" x14ac:dyDescent="0.3">
      <c r="G954" s="470">
        <f t="shared" si="98"/>
        <v>79</v>
      </c>
      <c r="H954" s="470">
        <v>947</v>
      </c>
      <c r="I954" s="455">
        <f t="shared" ca="1" si="81"/>
        <v>-19022449.471621335</v>
      </c>
      <c r="J954" s="455">
        <f t="array" ref="J954">IFERROR(INDEX('Retirement Calculator'!K:K,MATCH('Lorri 401b'!N954,'Retirement Calculator'!A:A,0),0),0)</f>
        <v>20282.026119384056</v>
      </c>
      <c r="K954" s="455">
        <f t="shared" ca="1" si="79"/>
        <v>-79344.714573919657</v>
      </c>
      <c r="L954" s="455">
        <f t="shared" ca="1" si="80"/>
        <v>-19122076.212314639</v>
      </c>
      <c r="M954" s="471">
        <f t="shared" si="82"/>
        <v>0.05</v>
      </c>
      <c r="N954" s="475">
        <f t="shared" si="83"/>
        <v>80080</v>
      </c>
    </row>
    <row r="955" spans="7:14" ht="11.25" customHeight="1" x14ac:dyDescent="0.3">
      <c r="G955" s="470">
        <f t="shared" si="98"/>
        <v>79</v>
      </c>
      <c r="H955" s="470">
        <v>948</v>
      </c>
      <c r="I955" s="455">
        <f t="shared" ca="1" si="81"/>
        <v>-19122076.212314639</v>
      </c>
      <c r="J955" s="455">
        <f t="array" ref="J955">IFERROR(INDEX('Retirement Calculator'!K:K,MATCH('Lorri 401b'!N955,'Retirement Calculator'!A:A,0),0),0)</f>
        <v>20282.026119384056</v>
      </c>
      <c r="K955" s="455">
        <f t="shared" ca="1" si="79"/>
        <v>-79759.825993475097</v>
      </c>
      <c r="L955" s="455">
        <f t="shared" ca="1" si="80"/>
        <v>-19222118.064427499</v>
      </c>
      <c r="M955" s="471">
        <f t="shared" si="82"/>
        <v>0.05</v>
      </c>
      <c r="N955" s="475">
        <f t="shared" si="83"/>
        <v>80110</v>
      </c>
    </row>
    <row r="956" spans="7:14" ht="11.25" customHeight="1" x14ac:dyDescent="0.3">
      <c r="G956" s="470">
        <f>G955+1</f>
        <v>80</v>
      </c>
      <c r="H956" s="470">
        <v>949</v>
      </c>
      <c r="I956" s="455">
        <f t="shared" ca="1" si="81"/>
        <v>-19222118.064427499</v>
      </c>
      <c r="J956" s="455">
        <f t="array" ref="J956">IFERROR(INDEX('Retirement Calculator'!K:K,MATCH('Lorri 401b'!N956,'Retirement Calculator'!A:A,0),0),0)</f>
        <v>20282.026119384056</v>
      </c>
      <c r="K956" s="455">
        <f t="shared" ca="1" si="79"/>
        <v>-80176.667043945345</v>
      </c>
      <c r="L956" s="455">
        <f t="shared" ca="1" si="80"/>
        <v>-19322576.75759083</v>
      </c>
      <c r="M956" s="471">
        <f t="shared" si="82"/>
        <v>0.05</v>
      </c>
      <c r="N956" s="475">
        <f t="shared" si="83"/>
        <v>80141</v>
      </c>
    </row>
    <row r="957" spans="7:14" ht="11.25" customHeight="1" x14ac:dyDescent="0.3">
      <c r="G957" s="470">
        <f t="shared" ref="G957:G967" si="99">G956</f>
        <v>80</v>
      </c>
      <c r="H957" s="470">
        <v>950</v>
      </c>
      <c r="I957" s="455">
        <f t="shared" ca="1" si="81"/>
        <v>-19322576.75759083</v>
      </c>
      <c r="J957" s="455">
        <f t="array" ref="J957">IFERROR(INDEX('Retirement Calculator'!K:K,MATCH('Lorri 401b'!N957,'Retirement Calculator'!A:A,0),0),0)</f>
        <v>20282.026119384056</v>
      </c>
      <c r="K957" s="455">
        <f t="shared" ca="1" si="79"/>
        <v>-80595.24493212589</v>
      </c>
      <c r="L957" s="455">
        <f t="shared" ca="1" si="80"/>
        <v>-19423454.028642341</v>
      </c>
      <c r="M957" s="471">
        <f t="shared" si="82"/>
        <v>0.05</v>
      </c>
      <c r="N957" s="475">
        <f t="shared" si="83"/>
        <v>80171</v>
      </c>
    </row>
    <row r="958" spans="7:14" ht="11.25" customHeight="1" x14ac:dyDescent="0.3">
      <c r="G958" s="470">
        <f t="shared" si="99"/>
        <v>80</v>
      </c>
      <c r="H958" s="470">
        <v>951</v>
      </c>
      <c r="I958" s="455">
        <f t="shared" ca="1" si="81"/>
        <v>-19423454.028642341</v>
      </c>
      <c r="J958" s="455">
        <f t="array" ref="J958">IFERROR(INDEX('Retirement Calculator'!K:K,MATCH('Lorri 401b'!N958,'Retirement Calculator'!A:A,0),0),0)</f>
        <v>20282.026119384056</v>
      </c>
      <c r="K958" s="455">
        <f t="shared" ca="1" si="79"/>
        <v>-81015.566894840522</v>
      </c>
      <c r="L958" s="455">
        <f t="shared" ca="1" si="80"/>
        <v>-19524751.621656567</v>
      </c>
      <c r="M958" s="471">
        <f t="shared" si="82"/>
        <v>0.05</v>
      </c>
      <c r="N958" s="475">
        <f t="shared" si="83"/>
        <v>80202</v>
      </c>
    </row>
    <row r="959" spans="7:14" ht="11.25" customHeight="1" x14ac:dyDescent="0.3">
      <c r="G959" s="470">
        <f t="shared" si="99"/>
        <v>80</v>
      </c>
      <c r="H959" s="470">
        <v>952</v>
      </c>
      <c r="I959" s="455">
        <f t="shared" ca="1" si="81"/>
        <v>-19524751.621656567</v>
      </c>
      <c r="J959" s="455">
        <f t="array" ref="J959">IFERROR(INDEX('Retirement Calculator'!K:K,MATCH('Lorri 401b'!N959,'Retirement Calculator'!A:A,0),0),0)</f>
        <v>20282.026119384056</v>
      </c>
      <c r="K959" s="455">
        <f t="shared" ca="1" si="79"/>
        <v>-81437.64019906646</v>
      </c>
      <c r="L959" s="455">
        <f t="shared" ca="1" si="80"/>
        <v>-19626471.287975017</v>
      </c>
      <c r="M959" s="471">
        <f t="shared" si="82"/>
        <v>0.05</v>
      </c>
      <c r="N959" s="475">
        <f t="shared" si="83"/>
        <v>80233</v>
      </c>
    </row>
    <row r="960" spans="7:14" ht="11.25" customHeight="1" x14ac:dyDescent="0.3">
      <c r="G960" s="470">
        <f t="shared" si="99"/>
        <v>80</v>
      </c>
      <c r="H960" s="470">
        <v>953</v>
      </c>
      <c r="I960" s="455">
        <f t="shared" ca="1" si="81"/>
        <v>-19626471.287975017</v>
      </c>
      <c r="J960" s="455">
        <f t="array" ref="J960">IFERROR(INDEX('Retirement Calculator'!K:K,MATCH('Lorri 401b'!N960,'Retirement Calculator'!A:A,0),0),0)</f>
        <v>20282.026119384056</v>
      </c>
      <c r="K960" s="455">
        <f t="shared" ca="1" si="79"/>
        <v>-81861.472142060011</v>
      </c>
      <c r="L960" s="455">
        <f t="shared" ca="1" si="80"/>
        <v>-19728614.786236461</v>
      </c>
      <c r="M960" s="471">
        <f t="shared" si="82"/>
        <v>0.05</v>
      </c>
      <c r="N960" s="475">
        <f t="shared" si="83"/>
        <v>80263</v>
      </c>
    </row>
    <row r="961" spans="7:14" ht="11.25" customHeight="1" x14ac:dyDescent="0.3">
      <c r="G961" s="470">
        <f t="shared" si="99"/>
        <v>80</v>
      </c>
      <c r="H961" s="470">
        <v>954</v>
      </c>
      <c r="I961" s="455">
        <f t="shared" ca="1" si="81"/>
        <v>-19728614.786236461</v>
      </c>
      <c r="J961" s="455">
        <f t="array" ref="J961">IFERROR(INDEX('Retirement Calculator'!K:K,MATCH('Lorri 401b'!N961,'Retirement Calculator'!A:A,0),0),0)</f>
        <v>20282.026119384056</v>
      </c>
      <c r="K961" s="455">
        <f t="shared" ca="1" si="79"/>
        <v>-82287.070051482689</v>
      </c>
      <c r="L961" s="455">
        <f t="shared" ca="1" si="80"/>
        <v>-19831183.88240733</v>
      </c>
      <c r="M961" s="471">
        <f t="shared" si="82"/>
        <v>0.05</v>
      </c>
      <c r="N961" s="475">
        <f t="shared" si="83"/>
        <v>80294</v>
      </c>
    </row>
    <row r="962" spans="7:14" ht="11.25" customHeight="1" x14ac:dyDescent="0.3">
      <c r="G962" s="470">
        <f t="shared" si="99"/>
        <v>80</v>
      </c>
      <c r="H962" s="470">
        <v>955</v>
      </c>
      <c r="I962" s="455">
        <f t="shared" ca="1" si="81"/>
        <v>-19831183.88240733</v>
      </c>
      <c r="J962" s="455">
        <f t="array" ref="J962">IFERROR(INDEX('Retirement Calculator'!K:K,MATCH('Lorri 401b'!N962,'Retirement Calculator'!A:A,0),0),0)</f>
        <v>20282.026119384056</v>
      </c>
      <c r="K962" s="455">
        <f t="shared" ca="1" si="79"/>
        <v>-82714.441285527981</v>
      </c>
      <c r="L962" s="455">
        <f t="shared" ca="1" si="80"/>
        <v>-19934180.349812243</v>
      </c>
      <c r="M962" s="471">
        <f t="shared" si="82"/>
        <v>0.05</v>
      </c>
      <c r="N962" s="475">
        <f t="shared" si="83"/>
        <v>80324</v>
      </c>
    </row>
    <row r="963" spans="7:14" ht="11.25" customHeight="1" x14ac:dyDescent="0.3">
      <c r="G963" s="470">
        <f t="shared" si="99"/>
        <v>80</v>
      </c>
      <c r="H963" s="470">
        <v>956</v>
      </c>
      <c r="I963" s="455">
        <f t="shared" ca="1" si="81"/>
        <v>-19934180.349812243</v>
      </c>
      <c r="J963" s="455">
        <f t="array" ref="J963">IFERROR(INDEX('Retirement Calculator'!K:K,MATCH('Lorri 401b'!N963,'Retirement Calculator'!A:A,0),0),0)</f>
        <v>20282.026119384056</v>
      </c>
      <c r="K963" s="455">
        <f t="shared" ca="1" si="79"/>
        <v>-83143.59323304845</v>
      </c>
      <c r="L963" s="455">
        <f t="shared" ca="1" si="80"/>
        <v>-20037605.969164677</v>
      </c>
      <c r="M963" s="471">
        <f t="shared" si="82"/>
        <v>0.05</v>
      </c>
      <c r="N963" s="475">
        <f t="shared" si="83"/>
        <v>80355</v>
      </c>
    </row>
    <row r="964" spans="7:14" ht="11.25" customHeight="1" x14ac:dyDescent="0.3">
      <c r="G964" s="470">
        <f t="shared" si="99"/>
        <v>80</v>
      </c>
      <c r="H964" s="470">
        <v>957</v>
      </c>
      <c r="I964" s="455">
        <f t="shared" ca="1" si="81"/>
        <v>-20037605.969164677</v>
      </c>
      <c r="J964" s="455">
        <f t="array" ref="J964">IFERROR(INDEX('Retirement Calculator'!K:K,MATCH('Lorri 401b'!N964,'Retirement Calculator'!A:A,0),0),0)</f>
        <v>20282.026119384056</v>
      </c>
      <c r="K964" s="455">
        <f t="shared" ca="1" si="79"/>
        <v>-83574.533313683583</v>
      </c>
      <c r="L964" s="455">
        <f t="shared" ca="1" si="80"/>
        <v>-20141462.528597746</v>
      </c>
      <c r="M964" s="471">
        <f t="shared" si="82"/>
        <v>0.05</v>
      </c>
      <c r="N964" s="475">
        <f t="shared" si="83"/>
        <v>80386</v>
      </c>
    </row>
    <row r="965" spans="7:14" ht="11.25" customHeight="1" x14ac:dyDescent="0.3">
      <c r="G965" s="470">
        <f t="shared" si="99"/>
        <v>80</v>
      </c>
      <c r="H965" s="470">
        <v>958</v>
      </c>
      <c r="I965" s="455">
        <f t="shared" ca="1" si="81"/>
        <v>-20141462.528597746</v>
      </c>
      <c r="J965" s="455">
        <f t="array" ref="J965">IFERROR(INDEX('Retirement Calculator'!K:K,MATCH('Lorri 401b'!N965,'Retirement Calculator'!A:A,0),0),0)</f>
        <v>20282.026119384056</v>
      </c>
      <c r="K965" s="455">
        <f t="shared" ca="1" si="79"/>
        <v>-84007.268977988046</v>
      </c>
      <c r="L965" s="455">
        <f t="shared" ca="1" si="80"/>
        <v>-20245751.823695119</v>
      </c>
      <c r="M965" s="471">
        <f t="shared" si="82"/>
        <v>0.05</v>
      </c>
      <c r="N965" s="475">
        <f t="shared" si="83"/>
        <v>80415</v>
      </c>
    </row>
    <row r="966" spans="7:14" ht="11.25" customHeight="1" x14ac:dyDescent="0.3">
      <c r="G966" s="470">
        <f t="shared" si="99"/>
        <v>80</v>
      </c>
      <c r="H966" s="470">
        <v>959</v>
      </c>
      <c r="I966" s="455">
        <f t="shared" ca="1" si="81"/>
        <v>-20245751.823695119</v>
      </c>
      <c r="J966" s="455">
        <f t="array" ref="J966">IFERROR(INDEX('Retirement Calculator'!K:K,MATCH('Lorri 401b'!N966,'Retirement Calculator'!A:A,0),0),0)</f>
        <v>20282.026119384056</v>
      </c>
      <c r="K966" s="455">
        <f t="shared" ca="1" si="79"/>
        <v>-84441.807707560438</v>
      </c>
      <c r="L966" s="455">
        <f t="shared" ca="1" si="80"/>
        <v>-20350475.657522064</v>
      </c>
      <c r="M966" s="471">
        <f t="shared" si="82"/>
        <v>0.05</v>
      </c>
      <c r="N966" s="475">
        <f t="shared" si="83"/>
        <v>80446</v>
      </c>
    </row>
    <row r="967" spans="7:14" ht="11.25" customHeight="1" x14ac:dyDescent="0.3">
      <c r="G967" s="470">
        <f t="shared" si="99"/>
        <v>80</v>
      </c>
      <c r="H967" s="470">
        <v>960</v>
      </c>
      <c r="I967" s="455">
        <f t="shared" ca="1" si="81"/>
        <v>-20350475.657522064</v>
      </c>
      <c r="J967" s="455">
        <f t="array" ref="J967">IFERROR(INDEX('Retirement Calculator'!K:K,MATCH('Lorri 401b'!N967,'Retirement Calculator'!A:A,0),0),0)</f>
        <v>20282.026119384056</v>
      </c>
      <c r="K967" s="455">
        <f t="shared" ca="1" si="79"/>
        <v>-84878.157015172706</v>
      </c>
      <c r="L967" s="455">
        <f t="shared" ca="1" si="80"/>
        <v>-20455635.84065662</v>
      </c>
      <c r="M967" s="471">
        <f t="shared" si="82"/>
        <v>0.05</v>
      </c>
      <c r="N967" s="475">
        <f t="shared" si="83"/>
        <v>80476</v>
      </c>
    </row>
    <row r="968" spans="7:14" ht="11.25" customHeight="1" x14ac:dyDescent="0.3">
      <c r="G968" s="470">
        <f>G967+1</f>
        <v>81</v>
      </c>
      <c r="H968" s="470">
        <v>961</v>
      </c>
      <c r="I968" s="455">
        <f t="shared" ca="1" si="81"/>
        <v>-20455635.84065662</v>
      </c>
      <c r="J968" s="455">
        <f t="array" ref="J968">IFERROR(INDEX('Retirement Calculator'!K:K,MATCH('Lorri 401b'!N968,'Retirement Calculator'!A:A,0),0),0)</f>
        <v>20282.026119384056</v>
      </c>
      <c r="K968" s="455">
        <f t="shared" ca="1" si="79"/>
        <v>-85316.324444900019</v>
      </c>
      <c r="L968" s="455">
        <f t="shared" ca="1" si="80"/>
        <v>-20561234.191220906</v>
      </c>
      <c r="M968" s="471">
        <f t="shared" si="82"/>
        <v>0.05</v>
      </c>
      <c r="N968" s="475">
        <f t="shared" si="83"/>
        <v>80507</v>
      </c>
    </row>
    <row r="969" spans="7:14" ht="11.25" customHeight="1" x14ac:dyDescent="0.3">
      <c r="G969" s="470">
        <f t="shared" ref="G969:G979" si="100">G968</f>
        <v>81</v>
      </c>
      <c r="H969" s="470">
        <v>962</v>
      </c>
      <c r="I969" s="455">
        <f t="shared" ca="1" si="81"/>
        <v>-20561234.191220906</v>
      </c>
      <c r="J969" s="455">
        <f t="array" ref="J969">IFERROR(INDEX('Retirement Calculator'!K:K,MATCH('Lorri 401b'!N969,'Retirement Calculator'!A:A,0),0),0)</f>
        <v>20282.026119384056</v>
      </c>
      <c r="K969" s="455">
        <f t="shared" ca="1" si="79"/>
        <v>-85756.31757225121</v>
      </c>
      <c r="L969" s="455">
        <f t="shared" ca="1" si="80"/>
        <v>-20667272.534912542</v>
      </c>
      <c r="M969" s="471">
        <f t="shared" si="82"/>
        <v>0.05</v>
      </c>
      <c r="N969" s="475">
        <f t="shared" si="83"/>
        <v>80537</v>
      </c>
    </row>
    <row r="970" spans="7:14" ht="11.25" customHeight="1" x14ac:dyDescent="0.3">
      <c r="G970" s="470">
        <f t="shared" si="100"/>
        <v>81</v>
      </c>
      <c r="H970" s="470">
        <v>963</v>
      </c>
      <c r="I970" s="455">
        <f t="shared" ca="1" si="81"/>
        <v>-20667272.534912542</v>
      </c>
      <c r="J970" s="455">
        <f t="array" ref="J970">IFERROR(INDEX('Retirement Calculator'!K:K,MATCH('Lorri 401b'!N970,'Retirement Calculator'!A:A,0),0),0)</f>
        <v>20282.026119384056</v>
      </c>
      <c r="K970" s="455">
        <f t="shared" ca="1" si="79"/>
        <v>-86198.144004299698</v>
      </c>
      <c r="L970" s="455">
        <f t="shared" ca="1" si="80"/>
        <v>-20773752.705036227</v>
      </c>
      <c r="M970" s="471">
        <f t="shared" si="82"/>
        <v>0.05</v>
      </c>
      <c r="N970" s="475">
        <f t="shared" si="83"/>
        <v>80568</v>
      </c>
    </row>
    <row r="971" spans="7:14" ht="11.25" customHeight="1" x14ac:dyDescent="0.3">
      <c r="G971" s="470">
        <f t="shared" si="100"/>
        <v>81</v>
      </c>
      <c r="H971" s="470">
        <v>964</v>
      </c>
      <c r="I971" s="455">
        <f t="shared" ca="1" si="81"/>
        <v>-20773752.705036227</v>
      </c>
      <c r="J971" s="455">
        <f t="array" ref="J971">IFERROR(INDEX('Retirement Calculator'!K:K,MATCH('Lorri 401b'!N971,'Retirement Calculator'!A:A,0),0),0)</f>
        <v>20282.026119384056</v>
      </c>
      <c r="K971" s="455">
        <f t="shared" ca="1" si="79"/>
        <v>-86641.811379815044</v>
      </c>
      <c r="L971" s="455">
        <f t="shared" ca="1" si="80"/>
        <v>-20880676.542535428</v>
      </c>
      <c r="M971" s="471">
        <f t="shared" si="82"/>
        <v>0.05</v>
      </c>
      <c r="N971" s="475">
        <f t="shared" si="83"/>
        <v>80599</v>
      </c>
    </row>
    <row r="972" spans="7:14" ht="11.25" customHeight="1" x14ac:dyDescent="0.3">
      <c r="G972" s="470">
        <f t="shared" si="100"/>
        <v>81</v>
      </c>
      <c r="H972" s="470">
        <v>965</v>
      </c>
      <c r="I972" s="455">
        <f t="shared" ca="1" si="81"/>
        <v>-20880676.542535428</v>
      </c>
      <c r="J972" s="455">
        <f t="array" ref="J972">IFERROR(INDEX('Retirement Calculator'!K:K,MATCH('Lorri 401b'!N972,'Retirement Calculator'!A:A,0),0),0)</f>
        <v>20282.026119384056</v>
      </c>
      <c r="K972" s="455">
        <f t="shared" ca="1" si="79"/>
        <v>-87087.327369395047</v>
      </c>
      <c r="L972" s="455">
        <f t="shared" ca="1" si="80"/>
        <v>-20988045.896024209</v>
      </c>
      <c r="M972" s="471">
        <f t="shared" si="82"/>
        <v>0.05</v>
      </c>
      <c r="N972" s="475">
        <f t="shared" si="83"/>
        <v>80629</v>
      </c>
    </row>
    <row r="973" spans="7:14" ht="11.25" customHeight="1" x14ac:dyDescent="0.3">
      <c r="G973" s="470">
        <f t="shared" si="100"/>
        <v>81</v>
      </c>
      <c r="H973" s="470">
        <v>966</v>
      </c>
      <c r="I973" s="455">
        <f t="shared" ca="1" si="81"/>
        <v>-20988045.896024209</v>
      </c>
      <c r="J973" s="455">
        <f t="array" ref="J973">IFERROR(INDEX('Retirement Calculator'!K:K,MATCH('Lorri 401b'!N973,'Retirement Calculator'!A:A,0),0),0)</f>
        <v>20282.026119384056</v>
      </c>
      <c r="K973" s="455">
        <f t="shared" ca="1" si="79"/>
        <v>-87534.699675598298</v>
      </c>
      <c r="L973" s="455">
        <f t="shared" ca="1" si="80"/>
        <v>-21095862.621819191</v>
      </c>
      <c r="M973" s="471">
        <f t="shared" si="82"/>
        <v>0.05</v>
      </c>
      <c r="N973" s="475">
        <f t="shared" si="83"/>
        <v>80660</v>
      </c>
    </row>
    <row r="974" spans="7:14" ht="11.25" customHeight="1" x14ac:dyDescent="0.3">
      <c r="G974" s="470">
        <f t="shared" si="100"/>
        <v>81</v>
      </c>
      <c r="H974" s="470">
        <v>967</v>
      </c>
      <c r="I974" s="455">
        <f t="shared" ca="1" si="81"/>
        <v>-21095862.621819191</v>
      </c>
      <c r="J974" s="455">
        <f t="array" ref="J974">IFERROR(INDEX('Retirement Calculator'!K:K,MATCH('Lorri 401b'!N974,'Retirement Calculator'!A:A,0),0),0)</f>
        <v>20282.026119384056</v>
      </c>
      <c r="K974" s="455">
        <f t="shared" ca="1" si="79"/>
        <v>-87983.936033077392</v>
      </c>
      <c r="L974" s="455">
        <f t="shared" ca="1" si="80"/>
        <v>-21204128.583971653</v>
      </c>
      <c r="M974" s="471">
        <f t="shared" si="82"/>
        <v>0.05</v>
      </c>
      <c r="N974" s="475">
        <f t="shared" si="83"/>
        <v>80690</v>
      </c>
    </row>
    <row r="975" spans="7:14" ht="11.25" customHeight="1" x14ac:dyDescent="0.3">
      <c r="G975" s="470">
        <f t="shared" si="100"/>
        <v>81</v>
      </c>
      <c r="H975" s="470">
        <v>968</v>
      </c>
      <c r="I975" s="455">
        <f t="shared" ca="1" si="81"/>
        <v>-21204128.583971653</v>
      </c>
      <c r="J975" s="455">
        <f t="array" ref="J975">IFERROR(INDEX('Retirement Calculator'!K:K,MATCH('Lorri 401b'!N975,'Retirement Calculator'!A:A,0),0),0)</f>
        <v>20282.026119384056</v>
      </c>
      <c r="K975" s="455">
        <f t="shared" ca="1" si="79"/>
        <v>-88435.044208712658</v>
      </c>
      <c r="L975" s="455">
        <f t="shared" ca="1" si="80"/>
        <v>-21312845.654299751</v>
      </c>
      <c r="M975" s="471">
        <f t="shared" si="82"/>
        <v>0.05</v>
      </c>
      <c r="N975" s="475">
        <f t="shared" si="83"/>
        <v>80721</v>
      </c>
    </row>
    <row r="976" spans="7:14" ht="11.25" customHeight="1" x14ac:dyDescent="0.3">
      <c r="G976" s="470">
        <f t="shared" si="100"/>
        <v>81</v>
      </c>
      <c r="H976" s="470">
        <v>969</v>
      </c>
      <c r="I976" s="455">
        <f t="shared" ca="1" si="81"/>
        <v>-21312845.654299751</v>
      </c>
      <c r="J976" s="455">
        <f t="array" ref="J976">IFERROR(INDEX('Retirement Calculator'!K:K,MATCH('Lorri 401b'!N976,'Retirement Calculator'!A:A,0),0),0)</f>
        <v>20282.026119384056</v>
      </c>
      <c r="K976" s="455">
        <f t="shared" ca="1" si="79"/>
        <v>-88888.032001746396</v>
      </c>
      <c r="L976" s="455">
        <f t="shared" ca="1" si="80"/>
        <v>-21422015.712420881</v>
      </c>
      <c r="M976" s="471">
        <f t="shared" si="82"/>
        <v>0.05</v>
      </c>
      <c r="N976" s="475">
        <f t="shared" si="83"/>
        <v>80752</v>
      </c>
    </row>
    <row r="977" spans="7:14" ht="11.25" customHeight="1" x14ac:dyDescent="0.3">
      <c r="G977" s="470">
        <f t="shared" si="100"/>
        <v>81</v>
      </c>
      <c r="H977" s="470">
        <v>970</v>
      </c>
      <c r="I977" s="455">
        <f t="shared" ca="1" si="81"/>
        <v>-21422015.712420881</v>
      </c>
      <c r="J977" s="455">
        <f t="array" ref="J977">IFERROR(INDEX('Retirement Calculator'!K:K,MATCH('Lorri 401b'!N977,'Retirement Calculator'!A:A,0),0),0)</f>
        <v>20282.026119384056</v>
      </c>
      <c r="K977" s="455">
        <f t="shared" ca="1" si="79"/>
        <v>-89342.907243917769</v>
      </c>
      <c r="L977" s="455">
        <f t="shared" ca="1" si="80"/>
        <v>-21531640.645784184</v>
      </c>
      <c r="M977" s="471">
        <f t="shared" si="82"/>
        <v>0.05</v>
      </c>
      <c r="N977" s="475">
        <f t="shared" si="83"/>
        <v>80780</v>
      </c>
    </row>
    <row r="978" spans="7:14" ht="11.25" customHeight="1" x14ac:dyDescent="0.3">
      <c r="G978" s="470">
        <f t="shared" si="100"/>
        <v>81</v>
      </c>
      <c r="H978" s="470">
        <v>971</v>
      </c>
      <c r="I978" s="455">
        <f t="shared" ca="1" si="81"/>
        <v>-21531640.645784184</v>
      </c>
      <c r="J978" s="455">
        <f t="array" ref="J978">IFERROR(INDEX('Retirement Calculator'!K:K,MATCH('Lorri 401b'!N978,'Retirement Calculator'!A:A,0),0),0)</f>
        <v>20282.026119384056</v>
      </c>
      <c r="K978" s="455">
        <f t="shared" ca="1" si="79"/>
        <v>-89799.677799598197</v>
      </c>
      <c r="L978" s="455">
        <f t="shared" ca="1" si="80"/>
        <v>-21641722.349703167</v>
      </c>
      <c r="M978" s="471">
        <f t="shared" si="82"/>
        <v>0.05</v>
      </c>
      <c r="N978" s="475">
        <f t="shared" si="83"/>
        <v>80811</v>
      </c>
    </row>
    <row r="979" spans="7:14" ht="11.25" customHeight="1" x14ac:dyDescent="0.3">
      <c r="G979" s="470">
        <f t="shared" si="100"/>
        <v>81</v>
      </c>
      <c r="H979" s="470">
        <v>972</v>
      </c>
      <c r="I979" s="455">
        <f t="shared" ca="1" si="81"/>
        <v>-21641722.349703167</v>
      </c>
      <c r="J979" s="455">
        <f t="array" ref="J979">IFERROR(INDEX('Retirement Calculator'!K:K,MATCH('Lorri 401b'!N979,'Retirement Calculator'!A:A,0),0),0)</f>
        <v>20282.026119384056</v>
      </c>
      <c r="K979" s="455">
        <f t="shared" ca="1" si="79"/>
        <v>-90258.351565927296</v>
      </c>
      <c r="L979" s="455">
        <f t="shared" ca="1" si="80"/>
        <v>-21752262.727388479</v>
      </c>
      <c r="M979" s="471">
        <f t="shared" si="82"/>
        <v>0.05</v>
      </c>
      <c r="N979" s="475">
        <f t="shared" si="83"/>
        <v>80841</v>
      </c>
    </row>
    <row r="980" spans="7:14" ht="11.25" customHeight="1" x14ac:dyDescent="0.3">
      <c r="G980" s="470">
        <f>G979+1</f>
        <v>82</v>
      </c>
      <c r="H980" s="470">
        <v>973</v>
      </c>
      <c r="I980" s="455">
        <f t="shared" ca="1" si="81"/>
        <v>-21752262.727388479</v>
      </c>
      <c r="J980" s="455">
        <f t="array" ref="J980">IFERROR(INDEX('Retirement Calculator'!K:K,MATCH('Lorri 401b'!N980,'Retirement Calculator'!A:A,0),0),0)</f>
        <v>20282.026119384056</v>
      </c>
      <c r="K980" s="455">
        <f t="shared" ca="1" si="79"/>
        <v>-90718.936472949426</v>
      </c>
      <c r="L980" s="455">
        <f t="shared" ca="1" si="80"/>
        <v>-21863263.689980812</v>
      </c>
      <c r="M980" s="471">
        <f t="shared" si="82"/>
        <v>0.05</v>
      </c>
      <c r="N980" s="475">
        <f t="shared" si="83"/>
        <v>80872</v>
      </c>
    </row>
    <row r="981" spans="7:14" ht="11.25" customHeight="1" x14ac:dyDescent="0.3">
      <c r="G981" s="470">
        <f t="shared" ref="G981:G991" si="101">G980</f>
        <v>82</v>
      </c>
      <c r="H981" s="470">
        <v>974</v>
      </c>
      <c r="I981" s="455">
        <f t="shared" ca="1" si="81"/>
        <v>-21863263.689980812</v>
      </c>
      <c r="J981" s="455">
        <f t="array" ref="J981">IFERROR(INDEX('Retirement Calculator'!K:K,MATCH('Lorri 401b'!N981,'Retirement Calculator'!A:A,0),0),0)</f>
        <v>20282.026119384056</v>
      </c>
      <c r="K981" s="455">
        <f t="shared" ca="1" si="79"/>
        <v>-91181.440483750819</v>
      </c>
      <c r="L981" s="455">
        <f t="shared" ca="1" si="80"/>
        <v>-21974727.15658395</v>
      </c>
      <c r="M981" s="471">
        <f t="shared" si="82"/>
        <v>0.05</v>
      </c>
      <c r="N981" s="475">
        <f t="shared" si="83"/>
        <v>80902</v>
      </c>
    </row>
    <row r="982" spans="7:14" ht="11.25" customHeight="1" x14ac:dyDescent="0.3">
      <c r="G982" s="470">
        <f t="shared" si="101"/>
        <v>82</v>
      </c>
      <c r="H982" s="470">
        <v>975</v>
      </c>
      <c r="I982" s="455">
        <f t="shared" ca="1" si="81"/>
        <v>-21974727.15658395</v>
      </c>
      <c r="J982" s="455">
        <f t="array" ref="J982">IFERROR(INDEX('Retirement Calculator'!K:K,MATCH('Lorri 401b'!N982,'Retirement Calculator'!A:A,0),0),0)</f>
        <v>20282.026119384056</v>
      </c>
      <c r="K982" s="455">
        <f t="shared" ca="1" si="79"/>
        <v>-91645.871594597222</v>
      </c>
      <c r="L982" s="455">
        <f t="shared" ca="1" si="80"/>
        <v>-22086655.054297931</v>
      </c>
      <c r="M982" s="471">
        <f t="shared" si="82"/>
        <v>0.05</v>
      </c>
      <c r="N982" s="475">
        <f t="shared" si="83"/>
        <v>80933</v>
      </c>
    </row>
    <row r="983" spans="7:14" ht="11.25" customHeight="1" x14ac:dyDescent="0.3">
      <c r="G983" s="470">
        <f t="shared" si="101"/>
        <v>82</v>
      </c>
      <c r="H983" s="470">
        <v>976</v>
      </c>
      <c r="I983" s="455">
        <f t="shared" ca="1" si="81"/>
        <v>-22086655.054297931</v>
      </c>
      <c r="J983" s="455">
        <f t="array" ref="J983">IFERROR(INDEX('Retirement Calculator'!K:K,MATCH('Lorri 401b'!N983,'Retirement Calculator'!A:A,0),0),0)</f>
        <v>20282.026119384056</v>
      </c>
      <c r="K983" s="455">
        <f t="shared" ca="1" si="79"/>
        <v>-92112.237835072156</v>
      </c>
      <c r="L983" s="455">
        <f t="shared" ca="1" si="80"/>
        <v>-22199049.318252388</v>
      </c>
      <c r="M983" s="471">
        <f t="shared" si="82"/>
        <v>0.05</v>
      </c>
      <c r="N983" s="475">
        <f t="shared" si="83"/>
        <v>80964</v>
      </c>
    </row>
    <row r="984" spans="7:14" ht="11.25" customHeight="1" x14ac:dyDescent="0.3">
      <c r="G984" s="470">
        <f t="shared" si="101"/>
        <v>82</v>
      </c>
      <c r="H984" s="470">
        <v>977</v>
      </c>
      <c r="I984" s="455">
        <f t="shared" ca="1" si="81"/>
        <v>-22199049.318252388</v>
      </c>
      <c r="J984" s="455">
        <f t="array" ref="J984">IFERROR(INDEX('Retirement Calculator'!K:K,MATCH('Lorri 401b'!N984,'Retirement Calculator'!A:A,0),0),0)</f>
        <v>20282.026119384056</v>
      </c>
      <c r="K984" s="455">
        <f t="shared" ca="1" si="79"/>
        <v>-92580.547268215727</v>
      </c>
      <c r="L984" s="455">
        <f t="shared" ca="1" si="80"/>
        <v>-22311911.891639989</v>
      </c>
      <c r="M984" s="471">
        <f t="shared" si="82"/>
        <v>0.05</v>
      </c>
      <c r="N984" s="475">
        <f t="shared" si="83"/>
        <v>80994</v>
      </c>
    </row>
    <row r="985" spans="7:14" ht="11.25" customHeight="1" x14ac:dyDescent="0.3">
      <c r="G985" s="470">
        <f t="shared" si="101"/>
        <v>82</v>
      </c>
      <c r="H985" s="470">
        <v>978</v>
      </c>
      <c r="I985" s="455">
        <f t="shared" ca="1" si="81"/>
        <v>-22311911.891639989</v>
      </c>
      <c r="J985" s="455">
        <f t="array" ref="J985">IFERROR(INDEX('Retirement Calculator'!K:K,MATCH('Lorri 401b'!N985,'Retirement Calculator'!A:A,0),0),0)</f>
        <v>20282.026119384056</v>
      </c>
      <c r="K985" s="455">
        <f t="shared" ca="1" si="79"/>
        <v>-93050.807990664063</v>
      </c>
      <c r="L985" s="455">
        <f t="shared" ca="1" si="80"/>
        <v>-22425244.725750037</v>
      </c>
      <c r="M985" s="471">
        <f t="shared" si="82"/>
        <v>0.05</v>
      </c>
      <c r="N985" s="475">
        <f t="shared" si="83"/>
        <v>81025</v>
      </c>
    </row>
    <row r="986" spans="7:14" ht="11.25" customHeight="1" x14ac:dyDescent="0.3">
      <c r="G986" s="470">
        <f t="shared" si="101"/>
        <v>82</v>
      </c>
      <c r="H986" s="470">
        <v>979</v>
      </c>
      <c r="I986" s="455">
        <f t="shared" ca="1" si="81"/>
        <v>-22425244.725750037</v>
      </c>
      <c r="J986" s="455">
        <f t="array" ref="J986">IFERROR(INDEX('Retirement Calculator'!K:K,MATCH('Lorri 401b'!N986,'Retirement Calculator'!A:A,0),0),0)</f>
        <v>20282.026119384056</v>
      </c>
      <c r="K986" s="455">
        <f t="shared" ca="1" si="79"/>
        <v>-93523.028132789259</v>
      </c>
      <c r="L986" s="455">
        <f t="shared" ca="1" si="80"/>
        <v>-22539049.78000221</v>
      </c>
      <c r="M986" s="471">
        <f t="shared" si="82"/>
        <v>0.05</v>
      </c>
      <c r="N986" s="475">
        <f t="shared" si="83"/>
        <v>81055</v>
      </c>
    </row>
    <row r="987" spans="7:14" ht="11.25" customHeight="1" x14ac:dyDescent="0.3">
      <c r="G987" s="470">
        <f t="shared" si="101"/>
        <v>82</v>
      </c>
      <c r="H987" s="470">
        <v>980</v>
      </c>
      <c r="I987" s="455">
        <f t="shared" ca="1" si="81"/>
        <v>-22539049.78000221</v>
      </c>
      <c r="J987" s="455">
        <f t="array" ref="J987">IFERROR(INDEX('Retirement Calculator'!K:K,MATCH('Lorri 401b'!N987,'Retirement Calculator'!A:A,0),0),0)</f>
        <v>20282.026119384056</v>
      </c>
      <c r="K987" s="455">
        <f t="shared" ca="1" si="79"/>
        <v>-93997.215858839976</v>
      </c>
      <c r="L987" s="455">
        <f t="shared" ca="1" si="80"/>
        <v>-22653329.021980435</v>
      </c>
      <c r="M987" s="471">
        <f t="shared" si="82"/>
        <v>0.05</v>
      </c>
      <c r="N987" s="475">
        <f t="shared" si="83"/>
        <v>81086</v>
      </c>
    </row>
    <row r="988" spans="7:14" ht="11.25" customHeight="1" x14ac:dyDescent="0.3">
      <c r="G988" s="470">
        <f t="shared" si="101"/>
        <v>82</v>
      </c>
      <c r="H988" s="470">
        <v>981</v>
      </c>
      <c r="I988" s="455">
        <f t="shared" ca="1" si="81"/>
        <v>-22653329.021980435</v>
      </c>
      <c r="J988" s="455">
        <f t="array" ref="J988">IFERROR(INDEX('Retirement Calculator'!K:K,MATCH('Lorri 401b'!N988,'Retirement Calculator'!A:A,0),0),0)</f>
        <v>20282.026119384056</v>
      </c>
      <c r="K988" s="455">
        <f t="shared" ca="1" si="79"/>
        <v>-94473.379367082583</v>
      </c>
      <c r="L988" s="455">
        <f t="shared" ca="1" si="80"/>
        <v>-22768084.427466903</v>
      </c>
      <c r="M988" s="471">
        <f t="shared" si="82"/>
        <v>0.05</v>
      </c>
      <c r="N988" s="475">
        <f t="shared" si="83"/>
        <v>81117</v>
      </c>
    </row>
    <row r="989" spans="7:14" ht="11.25" customHeight="1" x14ac:dyDescent="0.3">
      <c r="G989" s="470">
        <f t="shared" si="101"/>
        <v>82</v>
      </c>
      <c r="H989" s="470">
        <v>982</v>
      </c>
      <c r="I989" s="455">
        <f t="shared" ca="1" si="81"/>
        <v>-22768084.427466903</v>
      </c>
      <c r="J989" s="455">
        <f t="array" ref="J989">IFERROR(INDEX('Retirement Calculator'!K:K,MATCH('Lorri 401b'!N989,'Retirement Calculator'!A:A,0),0),0)</f>
        <v>20282.026119384056</v>
      </c>
      <c r="K989" s="455">
        <f t="shared" ca="1" si="79"/>
        <v>-94951.526889942863</v>
      </c>
      <c r="L989" s="455">
        <f t="shared" ca="1" si="80"/>
        <v>-22883317.98047623</v>
      </c>
      <c r="M989" s="471">
        <f t="shared" si="82"/>
        <v>0.05</v>
      </c>
      <c r="N989" s="475">
        <f t="shared" si="83"/>
        <v>81145</v>
      </c>
    </row>
    <row r="990" spans="7:14" ht="11.25" customHeight="1" x14ac:dyDescent="0.3">
      <c r="G990" s="470">
        <f t="shared" si="101"/>
        <v>82</v>
      </c>
      <c r="H990" s="470">
        <v>983</v>
      </c>
      <c r="I990" s="455">
        <f t="shared" ca="1" si="81"/>
        <v>-22883317.98047623</v>
      </c>
      <c r="J990" s="455">
        <f t="array" ref="J990">IFERROR(INDEX('Retirement Calculator'!K:K,MATCH('Lorri 401b'!N990,'Retirement Calculator'!A:A,0),0),0)</f>
        <v>20282.026119384056</v>
      </c>
      <c r="K990" s="455">
        <f t="shared" ca="1" si="79"/>
        <v>-95431.6666941484</v>
      </c>
      <c r="L990" s="455">
        <f t="shared" ca="1" si="80"/>
        <v>-22999031.673289765</v>
      </c>
      <c r="M990" s="471">
        <f t="shared" si="82"/>
        <v>0.05</v>
      </c>
      <c r="N990" s="475">
        <f t="shared" si="83"/>
        <v>81176</v>
      </c>
    </row>
    <row r="991" spans="7:14" ht="11.25" customHeight="1" x14ac:dyDescent="0.3">
      <c r="G991" s="470">
        <f t="shared" si="101"/>
        <v>82</v>
      </c>
      <c r="H991" s="470">
        <v>984</v>
      </c>
      <c r="I991" s="455">
        <f t="shared" ca="1" si="81"/>
        <v>-22999031.673289765</v>
      </c>
      <c r="J991" s="455">
        <f t="array" ref="J991">IFERROR(INDEX('Retirement Calculator'!K:K,MATCH('Lorri 401b'!N991,'Retirement Calculator'!A:A,0),0),0)</f>
        <v>20282.026119384056</v>
      </c>
      <c r="K991" s="455">
        <f t="shared" ca="1" si="79"/>
        <v>-95913.807080871455</v>
      </c>
      <c r="L991" s="455">
        <f t="shared" ca="1" si="80"/>
        <v>-23115227.506490022</v>
      </c>
      <c r="M991" s="471">
        <f t="shared" si="82"/>
        <v>0.05</v>
      </c>
      <c r="N991" s="475">
        <f t="shared" si="83"/>
        <v>81206</v>
      </c>
    </row>
    <row r="992" spans="7:14" ht="11.25" customHeight="1" x14ac:dyDescent="0.3">
      <c r="G992" s="470">
        <f>G991+1</f>
        <v>83</v>
      </c>
      <c r="H992" s="470">
        <v>985</v>
      </c>
      <c r="I992" s="455">
        <f t="shared" ca="1" si="81"/>
        <v>-23115227.506490022</v>
      </c>
      <c r="J992" s="455">
        <f t="array" ref="J992">IFERROR(INDEX('Retirement Calculator'!K:K,MATCH('Lorri 401b'!N992,'Retirement Calculator'!A:A,0),0),0)</f>
        <v>20282.026119384056</v>
      </c>
      <c r="K992" s="455">
        <f t="shared" ca="1" si="79"/>
        <v>-96397.956385872531</v>
      </c>
      <c r="L992" s="455">
        <f t="shared" ca="1" si="80"/>
        <v>-23231907.48899528</v>
      </c>
      <c r="M992" s="471">
        <f t="shared" si="82"/>
        <v>0.05</v>
      </c>
      <c r="N992" s="475">
        <f t="shared" si="83"/>
        <v>81237</v>
      </c>
    </row>
    <row r="993" spans="7:14" ht="11.25" customHeight="1" x14ac:dyDescent="0.3">
      <c r="G993" s="470">
        <f t="shared" ref="G993:G1003" si="102">G992</f>
        <v>83</v>
      </c>
      <c r="H993" s="470">
        <v>986</v>
      </c>
      <c r="I993" s="455">
        <f t="shared" ca="1" si="81"/>
        <v>-23231907.48899528</v>
      </c>
      <c r="J993" s="455">
        <f t="array" ref="J993">IFERROR(INDEX('Retirement Calculator'!K:K,MATCH('Lorri 401b'!N993,'Retirement Calculator'!A:A,0),0),0)</f>
        <v>20282.026119384056</v>
      </c>
      <c r="K993" s="455">
        <f t="shared" ca="1" si="79"/>
        <v>-96884.122979644439</v>
      </c>
      <c r="L993" s="455">
        <f t="shared" ca="1" si="80"/>
        <v>-23349073.63809431</v>
      </c>
      <c r="M993" s="471">
        <f t="shared" si="82"/>
        <v>0.05</v>
      </c>
      <c r="N993" s="475">
        <f t="shared" si="83"/>
        <v>81267</v>
      </c>
    </row>
    <row r="994" spans="7:14" ht="11.25" customHeight="1" x14ac:dyDescent="0.3">
      <c r="G994" s="470">
        <f t="shared" si="102"/>
        <v>83</v>
      </c>
      <c r="H994" s="470">
        <v>987</v>
      </c>
      <c r="I994" s="455">
        <f t="shared" ca="1" si="81"/>
        <v>-23349073.63809431</v>
      </c>
      <c r="J994" s="455">
        <f t="array" ref="J994">IFERROR(INDEX('Retirement Calculator'!K:K,MATCH('Lorri 401b'!N994,'Retirement Calculator'!A:A,0),0),0)</f>
        <v>20282.026119384056</v>
      </c>
      <c r="K994" s="455">
        <f t="shared" ca="1" si="79"/>
        <v>-97372.31526755706</v>
      </c>
      <c r="L994" s="455">
        <f t="shared" ca="1" si="80"/>
        <v>-23466727.97948125</v>
      </c>
      <c r="M994" s="471">
        <f t="shared" si="82"/>
        <v>0.05</v>
      </c>
      <c r="N994" s="475">
        <f t="shared" si="83"/>
        <v>81298</v>
      </c>
    </row>
    <row r="995" spans="7:14" ht="11.25" customHeight="1" x14ac:dyDescent="0.3">
      <c r="G995" s="470">
        <f t="shared" si="102"/>
        <v>83</v>
      </c>
      <c r="H995" s="470">
        <v>988</v>
      </c>
      <c r="I995" s="455">
        <f t="shared" ca="1" si="81"/>
        <v>-23466727.97948125</v>
      </c>
      <c r="J995" s="455">
        <f t="array" ref="J995">IFERROR(INDEX('Retirement Calculator'!K:K,MATCH('Lorri 401b'!N995,'Retirement Calculator'!A:A,0),0),0)</f>
        <v>20282.026119384056</v>
      </c>
      <c r="K995" s="455">
        <f t="shared" ca="1" si="79"/>
        <v>-97862.541690002647</v>
      </c>
      <c r="L995" s="455">
        <f t="shared" ca="1" si="80"/>
        <v>-23584872.547290638</v>
      </c>
      <c r="M995" s="471">
        <f t="shared" si="82"/>
        <v>0.05</v>
      </c>
      <c r="N995" s="475">
        <f t="shared" si="83"/>
        <v>81329</v>
      </c>
    </row>
    <row r="996" spans="7:14" ht="11.25" customHeight="1" x14ac:dyDescent="0.3">
      <c r="G996" s="470">
        <f t="shared" si="102"/>
        <v>83</v>
      </c>
      <c r="H996" s="470">
        <v>989</v>
      </c>
      <c r="I996" s="455">
        <f t="shared" ca="1" si="81"/>
        <v>-23584872.547290638</v>
      </c>
      <c r="J996" s="455">
        <f t="array" ref="J996">IFERROR(INDEX('Retirement Calculator'!K:K,MATCH('Lorri 401b'!N996,'Retirement Calculator'!A:A,0),0),0)</f>
        <v>20282.026119384056</v>
      </c>
      <c r="K996" s="455">
        <f t="shared" ca="1" si="79"/>
        <v>-98354.810722541763</v>
      </c>
      <c r="L996" s="455">
        <f t="shared" ca="1" si="80"/>
        <v>-23703509.384132564</v>
      </c>
      <c r="M996" s="471">
        <f t="shared" si="82"/>
        <v>0.05</v>
      </c>
      <c r="N996" s="475">
        <f t="shared" si="83"/>
        <v>81359</v>
      </c>
    </row>
    <row r="997" spans="7:14" ht="11.25" customHeight="1" x14ac:dyDescent="0.3">
      <c r="G997" s="470">
        <f t="shared" si="102"/>
        <v>83</v>
      </c>
      <c r="H997" s="470">
        <v>990</v>
      </c>
      <c r="I997" s="455">
        <f t="shared" ca="1" si="81"/>
        <v>-23703509.384132564</v>
      </c>
      <c r="J997" s="455">
        <f t="array" ref="J997">IFERROR(INDEX('Retirement Calculator'!K:K,MATCH('Lorri 401b'!N997,'Retirement Calculator'!A:A,0),0),0)</f>
        <v>20282.026119384056</v>
      </c>
      <c r="K997" s="455">
        <f t="shared" ca="1" si="79"/>
        <v>-98849.130876049792</v>
      </c>
      <c r="L997" s="455">
        <f t="shared" ca="1" si="80"/>
        <v>-23822640.541127998</v>
      </c>
      <c r="M997" s="471">
        <f t="shared" si="82"/>
        <v>0.05</v>
      </c>
      <c r="N997" s="475">
        <f t="shared" si="83"/>
        <v>81390</v>
      </c>
    </row>
    <row r="998" spans="7:14" ht="11.25" customHeight="1" x14ac:dyDescent="0.3">
      <c r="G998" s="470">
        <f t="shared" si="102"/>
        <v>83</v>
      </c>
      <c r="H998" s="470">
        <v>991</v>
      </c>
      <c r="I998" s="455">
        <f t="shared" ca="1" si="81"/>
        <v>-23822640.541127998</v>
      </c>
      <c r="J998" s="455">
        <f t="array" ref="J998">IFERROR(INDEX('Retirement Calculator'!K:K,MATCH('Lorri 401b'!N998,'Retirement Calculator'!A:A,0),0),0)</f>
        <v>20282.026119384056</v>
      </c>
      <c r="K998" s="455">
        <f t="shared" ca="1" si="79"/>
        <v>-99345.51069686409</v>
      </c>
      <c r="L998" s="455">
        <f t="shared" ca="1" si="80"/>
        <v>-23942268.077944249</v>
      </c>
      <c r="M998" s="471">
        <f t="shared" si="82"/>
        <v>0.05</v>
      </c>
      <c r="N998" s="475">
        <f t="shared" si="83"/>
        <v>81420</v>
      </c>
    </row>
    <row r="999" spans="7:14" ht="11.25" customHeight="1" x14ac:dyDescent="0.3">
      <c r="G999" s="470">
        <f t="shared" si="102"/>
        <v>83</v>
      </c>
      <c r="H999" s="470">
        <v>992</v>
      </c>
      <c r="I999" s="455">
        <f t="shared" ca="1" si="81"/>
        <v>-23942268.077944249</v>
      </c>
      <c r="J999" s="455">
        <f t="array" ref="J999">IFERROR(INDEX('Retirement Calculator'!K:K,MATCH('Lorri 401b'!N999,'Retirement Calculator'!A:A,0),0),0)</f>
        <v>20282.026119384056</v>
      </c>
      <c r="K999" s="455">
        <f t="shared" ca="1" si="79"/>
        <v>-99843.958766931813</v>
      </c>
      <c r="L999" s="455">
        <f t="shared" ca="1" si="80"/>
        <v>-24062394.062830567</v>
      </c>
      <c r="M999" s="471">
        <f t="shared" si="82"/>
        <v>0.05</v>
      </c>
      <c r="N999" s="475">
        <f t="shared" si="83"/>
        <v>81451</v>
      </c>
    </row>
    <row r="1000" spans="7:14" ht="11.25" customHeight="1" x14ac:dyDescent="0.3">
      <c r="G1000" s="470">
        <f t="shared" si="102"/>
        <v>83</v>
      </c>
      <c r="H1000" s="470">
        <v>993</v>
      </c>
      <c r="I1000" s="455">
        <f t="shared" ca="1" si="81"/>
        <v>-24062394.062830567</v>
      </c>
      <c r="J1000" s="455">
        <f t="array" ref="J1000">IFERROR(INDEX('Retirement Calculator'!K:K,MATCH('Lorri 401b'!N1000,'Retirement Calculator'!A:A,0),0),0)</f>
        <v>20282.026119384056</v>
      </c>
      <c r="K1000" s="455">
        <f t="shared" ca="1" si="79"/>
        <v>-100344.48370395813</v>
      </c>
      <c r="L1000" s="455">
        <f t="shared" ca="1" si="80"/>
        <v>-24183020.572653912</v>
      </c>
      <c r="M1000" s="471">
        <f t="shared" si="82"/>
        <v>0.05</v>
      </c>
      <c r="N1000" s="475">
        <f t="shared" si="83"/>
        <v>81482</v>
      </c>
    </row>
    <row r="1001" spans="7:14" ht="11.25" customHeight="1" x14ac:dyDescent="0.3">
      <c r="G1001" s="470">
        <f t="shared" si="102"/>
        <v>83</v>
      </c>
      <c r="H1001" s="470">
        <v>994</v>
      </c>
      <c r="I1001" s="455">
        <f t="shared" ca="1" si="81"/>
        <v>-24183020.572653912</v>
      </c>
      <c r="J1001" s="455">
        <f t="array" ref="J1001">IFERROR(INDEX('Retirement Calculator'!K:K,MATCH('Lorri 401b'!N1001,'Retirement Calculator'!A:A,0),0),0)</f>
        <v>20282.026119384056</v>
      </c>
      <c r="K1001" s="455">
        <f t="shared" ca="1" si="79"/>
        <v>-100847.0941615554</v>
      </c>
      <c r="L1001" s="455">
        <f t="shared" ca="1" si="80"/>
        <v>-24304149.692934852</v>
      </c>
      <c r="M1001" s="471">
        <f t="shared" si="82"/>
        <v>0.05</v>
      </c>
      <c r="N1001" s="475">
        <f t="shared" si="83"/>
        <v>81510</v>
      </c>
    </row>
    <row r="1002" spans="7:14" ht="11.25" customHeight="1" x14ac:dyDescent="0.3">
      <c r="G1002" s="470">
        <f t="shared" si="102"/>
        <v>83</v>
      </c>
      <c r="H1002" s="470">
        <v>995</v>
      </c>
      <c r="I1002" s="455">
        <f t="shared" ca="1" si="81"/>
        <v>-24304149.692934852</v>
      </c>
      <c r="J1002" s="455">
        <f t="array" ref="J1002">IFERROR(INDEX('Retirement Calculator'!K:K,MATCH('Lorri 401b'!N1002,'Retirement Calculator'!A:A,0),0),0)</f>
        <v>20282.026119384056</v>
      </c>
      <c r="K1002" s="455">
        <f t="shared" ca="1" si="79"/>
        <v>-101351.79882939265</v>
      </c>
      <c r="L1002" s="455">
        <f t="shared" ca="1" si="80"/>
        <v>-24425783.517883629</v>
      </c>
      <c r="M1002" s="471">
        <f t="shared" si="82"/>
        <v>0.05</v>
      </c>
      <c r="N1002" s="475">
        <f t="shared" si="83"/>
        <v>81541</v>
      </c>
    </row>
    <row r="1003" spans="7:14" ht="11.25" customHeight="1" x14ac:dyDescent="0.3">
      <c r="G1003" s="470">
        <f t="shared" si="102"/>
        <v>83</v>
      </c>
      <c r="H1003" s="470">
        <v>996</v>
      </c>
      <c r="I1003" s="455">
        <f t="shared" ca="1" si="81"/>
        <v>-24425783.517883629</v>
      </c>
      <c r="J1003" s="455">
        <f t="array" ref="J1003">IFERROR(INDEX('Retirement Calculator'!K:K,MATCH('Lorri 401b'!N1003,'Retirement Calculator'!A:A,0),0),0)</f>
        <v>20282.026119384056</v>
      </c>
      <c r="K1003" s="455">
        <f t="shared" ca="1" si="79"/>
        <v>-101858.60643334589</v>
      </c>
      <c r="L1003" s="455">
        <f t="shared" ca="1" si="80"/>
        <v>-24547924.15043636</v>
      </c>
      <c r="M1003" s="471">
        <f t="shared" si="82"/>
        <v>0.05</v>
      </c>
      <c r="N1003" s="475">
        <f t="shared" si="83"/>
        <v>81571</v>
      </c>
    </row>
    <row r="1004" spans="7:14" ht="11.25" customHeight="1" x14ac:dyDescent="0.3">
      <c r="G1004" s="470"/>
      <c r="H1004" s="470">
        <v>997</v>
      </c>
      <c r="I1004" s="455">
        <f t="shared" ca="1" si="81"/>
        <v>-24547924.15043636</v>
      </c>
      <c r="J1004" s="455">
        <f t="array" ref="J1004">IFERROR(INDEX('Retirement Calculator'!K:K,MATCH('Lorri 401b'!N1004,'Retirement Calculator'!A:A,0),0),0)</f>
        <v>20282.026119384056</v>
      </c>
      <c r="K1004" s="455">
        <f t="shared" ca="1" si="79"/>
        <v>-102367.52573564893</v>
      </c>
      <c r="L1004" s="455">
        <f t="shared" ca="1" si="80"/>
        <v>-24670573.702291396</v>
      </c>
      <c r="M1004" s="471">
        <f t="shared" si="82"/>
        <v>0.05</v>
      </c>
      <c r="N1004" s="475">
        <f t="shared" si="83"/>
        <v>81602</v>
      </c>
    </row>
    <row r="1005" spans="7:14" ht="11.25" customHeight="1" x14ac:dyDescent="0.3">
      <c r="G1005" s="470"/>
      <c r="H1005" s="470">
        <v>998</v>
      </c>
      <c r="I1005" s="455">
        <f t="shared" ca="1" si="81"/>
        <v>-24670573.702291396</v>
      </c>
      <c r="J1005" s="455">
        <f t="array" ref="J1005">IFERROR(INDEX('Retirement Calculator'!K:K,MATCH('Lorri 401b'!N1005,'Retirement Calculator'!A:A,0),0),0)</f>
        <v>20282.026119384056</v>
      </c>
      <c r="K1005" s="455">
        <f t="shared" ca="1" si="79"/>
        <v>-102878.56553504492</v>
      </c>
      <c r="L1005" s="455">
        <f t="shared" ca="1" si="80"/>
        <v>-24793734.293945827</v>
      </c>
      <c r="M1005" s="471">
        <f t="shared" si="82"/>
        <v>0.05</v>
      </c>
      <c r="N1005" s="475">
        <f t="shared" si="83"/>
        <v>81632</v>
      </c>
    </row>
    <row r="1006" spans="7:14" ht="11.25" customHeight="1" x14ac:dyDescent="0.3">
      <c r="G1006" s="470"/>
      <c r="H1006" s="470">
        <v>999</v>
      </c>
      <c r="I1006" s="455">
        <f t="shared" ca="1" si="81"/>
        <v>-24793734.293945827</v>
      </c>
      <c r="J1006" s="455">
        <f t="array" ref="J1006">IFERROR(INDEX('Retirement Calculator'!K:K,MATCH('Lorri 401b'!N1006,'Retirement Calculator'!A:A,0),0),0)</f>
        <v>20282.026119384056</v>
      </c>
      <c r="K1006" s="455">
        <f t="shared" ca="1" si="79"/>
        <v>-103391.73466693838</v>
      </c>
      <c r="L1006" s="455">
        <f t="shared" ca="1" si="80"/>
        <v>-24917408.054732151</v>
      </c>
      <c r="M1006" s="471">
        <f t="shared" si="82"/>
        <v>0.05</v>
      </c>
      <c r="N1006" s="475">
        <f t="shared" si="83"/>
        <v>81663</v>
      </c>
    </row>
    <row r="1007" spans="7:14" ht="11.25" customHeight="1" x14ac:dyDescent="0.3">
      <c r="G1007" s="470"/>
      <c r="H1007" s="470">
        <v>1000</v>
      </c>
      <c r="I1007" s="455">
        <f t="shared" ca="1" si="81"/>
        <v>-24917408.054732151</v>
      </c>
      <c r="J1007" s="455">
        <f t="array" ref="J1007">IFERROR(INDEX('Retirement Calculator'!K:K,MATCH('Lorri 401b'!N1007,'Retirement Calculator'!A:A,0),0),0)</f>
        <v>20282.026119384056</v>
      </c>
      <c r="K1007" s="455">
        <f t="shared" ca="1" si="79"/>
        <v>-103907.04200354806</v>
      </c>
      <c r="L1007" s="455">
        <f t="shared" ca="1" si="80"/>
        <v>-25041597.122855086</v>
      </c>
      <c r="M1007" s="471">
        <f t="shared" si="82"/>
        <v>0.05</v>
      </c>
      <c r="N1007" s="475">
        <f t="shared" si="83"/>
        <v>81694</v>
      </c>
    </row>
    <row r="1008" spans="7:14" ht="11.25" customHeight="1" x14ac:dyDescent="0.3">
      <c r="G1008" s="470"/>
      <c r="H1008" s="470">
        <v>1001</v>
      </c>
      <c r="I1008" s="455">
        <f t="shared" ca="1" si="81"/>
        <v>-25041597.122855086</v>
      </c>
      <c r="J1008" s="455">
        <f t="array" ref="J1008">IFERROR(INDEX('Retirement Calculator'!K:K,MATCH('Lorri 401b'!N1008,'Retirement Calculator'!A:A,0),0),0)</f>
        <v>20282.026119384056</v>
      </c>
      <c r="K1008" s="455">
        <f t="shared" ca="1" si="79"/>
        <v>-104424.4964540603</v>
      </c>
      <c r="L1008" s="455">
        <f t="shared" ca="1" si="80"/>
        <v>-25166303.645428531</v>
      </c>
      <c r="M1008" s="471">
        <f t="shared" si="82"/>
        <v>0.05</v>
      </c>
      <c r="N1008" s="475">
        <f t="shared" si="83"/>
        <v>81724</v>
      </c>
    </row>
    <row r="1009" spans="7:14" ht="11.25" customHeight="1" x14ac:dyDescent="0.3">
      <c r="G1009" s="470"/>
      <c r="H1009" s="470">
        <v>1002</v>
      </c>
      <c r="I1009" s="455">
        <f t="shared" ca="1" si="81"/>
        <v>-25166303.645428531</v>
      </c>
      <c r="J1009" s="455">
        <f t="array" ref="J1009">IFERROR(INDEX('Retirement Calculator'!K:K,MATCH('Lorri 401b'!N1009,'Retirement Calculator'!A:A,0),0),0)</f>
        <v>20282.026119384056</v>
      </c>
      <c r="K1009" s="455">
        <f t="shared" ca="1" si="79"/>
        <v>-104944.10696478299</v>
      </c>
      <c r="L1009" s="455">
        <f t="shared" ca="1" si="80"/>
        <v>-25291529.778512698</v>
      </c>
      <c r="M1009" s="471">
        <f t="shared" si="82"/>
        <v>0.05</v>
      </c>
      <c r="N1009" s="475">
        <f t="shared" si="83"/>
        <v>81755</v>
      </c>
    </row>
    <row r="1010" spans="7:14" ht="11.25" customHeight="1" x14ac:dyDescent="0.3">
      <c r="G1010" s="470"/>
      <c r="H1010" s="470">
        <v>1003</v>
      </c>
      <c r="I1010" s="455">
        <f t="shared" ca="1" si="81"/>
        <v>-25291529.778512698</v>
      </c>
      <c r="J1010" s="455">
        <f t="array" ref="J1010">IFERROR(INDEX('Retirement Calculator'!K:K,MATCH('Lorri 401b'!N1010,'Retirement Calculator'!A:A,0),0),0)</f>
        <v>20282.026119384056</v>
      </c>
      <c r="K1010" s="455">
        <f t="shared" ca="1" si="79"/>
        <v>-105465.88251930034</v>
      </c>
      <c r="L1010" s="455">
        <f t="shared" ca="1" si="80"/>
        <v>-25417277.687151384</v>
      </c>
      <c r="M1010" s="471">
        <f t="shared" si="82"/>
        <v>0.05</v>
      </c>
      <c r="N1010" s="475">
        <f t="shared" si="83"/>
        <v>81785</v>
      </c>
    </row>
    <row r="1011" spans="7:14" ht="11.25" customHeight="1" x14ac:dyDescent="0.3">
      <c r="G1011" s="470"/>
      <c r="H1011" s="470">
        <v>1004</v>
      </c>
      <c r="I1011" s="455">
        <f t="shared" ca="1" si="81"/>
        <v>-25417277.687151384</v>
      </c>
      <c r="J1011" s="455">
        <f t="array" ref="J1011">IFERROR(INDEX('Retirement Calculator'!K:K,MATCH('Lorri 401b'!N1011,'Retirement Calculator'!A:A,0),0),0)</f>
        <v>20282.026119384056</v>
      </c>
      <c r="K1011" s="455">
        <f t="shared" ca="1" si="79"/>
        <v>-105989.8321386282</v>
      </c>
      <c r="L1011" s="455">
        <f t="shared" ca="1" si="80"/>
        <v>-25543549.545409396</v>
      </c>
      <c r="M1011" s="471">
        <f t="shared" si="82"/>
        <v>0.05</v>
      </c>
      <c r="N1011" s="475">
        <f t="shared" si="83"/>
        <v>81816</v>
      </c>
    </row>
    <row r="1012" spans="7:14" ht="11.25" customHeight="1" x14ac:dyDescent="0.3">
      <c r="G1012" s="470"/>
      <c r="H1012" s="470">
        <v>1005</v>
      </c>
      <c r="I1012" s="455">
        <f t="shared" ca="1" si="81"/>
        <v>-25543549.545409396</v>
      </c>
      <c r="J1012" s="455">
        <f t="array" ref="J1012">IFERROR(INDEX('Retirement Calculator'!K:K,MATCH('Lorri 401b'!N1012,'Retirement Calculator'!A:A,0),0),0)</f>
        <v>20282.026119384056</v>
      </c>
      <c r="K1012" s="455">
        <f t="shared" ca="1" si="79"/>
        <v>-106515.96488136992</v>
      </c>
      <c r="L1012" s="455">
        <f t="shared" ca="1" si="80"/>
        <v>-25670347.536410153</v>
      </c>
      <c r="M1012" s="471">
        <f t="shared" si="82"/>
        <v>0.05</v>
      </c>
      <c r="N1012" s="475">
        <f t="shared" si="83"/>
        <v>81847</v>
      </c>
    </row>
    <row r="1013" spans="7:14" ht="11.25" customHeight="1" x14ac:dyDescent="0.3">
      <c r="G1013" s="470"/>
      <c r="H1013" s="470">
        <v>1006</v>
      </c>
      <c r="I1013" s="455">
        <f t="shared" ca="1" si="81"/>
        <v>-25670347.536410153</v>
      </c>
      <c r="J1013" s="455">
        <f t="array" ref="J1013">IFERROR(INDEX('Retirement Calculator'!K:K,MATCH('Lorri 401b'!N1013,'Retirement Calculator'!A:A,0),0),0)</f>
        <v>20282.026119384056</v>
      </c>
      <c r="K1013" s="455">
        <f t="shared" ca="1" si="79"/>
        <v>-107044.28984387308</v>
      </c>
      <c r="L1013" s="455">
        <f t="shared" ca="1" si="80"/>
        <v>-25797673.85237341</v>
      </c>
      <c r="M1013" s="471">
        <f t="shared" si="82"/>
        <v>0.05</v>
      </c>
      <c r="N1013" s="475">
        <f t="shared" si="83"/>
        <v>81876</v>
      </c>
    </row>
    <row r="1014" spans="7:14" ht="11.25" customHeight="1" x14ac:dyDescent="0.3">
      <c r="G1014" s="470"/>
      <c r="H1014" s="470">
        <v>1007</v>
      </c>
      <c r="I1014" s="455">
        <f t="shared" ca="1" si="81"/>
        <v>-25797673.85237341</v>
      </c>
      <c r="J1014" s="455">
        <f t="array" ref="J1014">IFERROR(INDEX('Retirement Calculator'!K:K,MATCH('Lorri 401b'!N1014,'Retirement Calculator'!A:A,0),0),0)</f>
        <v>20282.026119384056</v>
      </c>
      <c r="K1014" s="455">
        <f t="shared" ca="1" si="79"/>
        <v>-107574.81616038665</v>
      </c>
      <c r="L1014" s="455">
        <f t="shared" ca="1" si="80"/>
        <v>-25925530.694653183</v>
      </c>
      <c r="M1014" s="471">
        <f t="shared" si="82"/>
        <v>0.05</v>
      </c>
      <c r="N1014" s="475">
        <f t="shared" si="83"/>
        <v>81907</v>
      </c>
    </row>
    <row r="1015" spans="7:14" ht="11.25" customHeight="1" x14ac:dyDescent="0.3">
      <c r="G1015" s="470"/>
      <c r="H1015" s="470">
        <v>1008</v>
      </c>
      <c r="I1015" s="455">
        <f t="shared" ca="1" si="81"/>
        <v>-25925530.694653183</v>
      </c>
      <c r="J1015" s="455">
        <f t="array" ref="J1015">IFERROR(INDEX('Retirement Calculator'!K:K,MATCH('Lorri 401b'!N1015,'Retirement Calculator'!A:A,0),0),0)</f>
        <v>20282.026119384056</v>
      </c>
      <c r="K1015" s="455">
        <f t="shared" ca="1" si="79"/>
        <v>-108107.55300321903</v>
      </c>
      <c r="L1015" s="455">
        <f t="shared" ca="1" si="80"/>
        <v>-26053920.273775786</v>
      </c>
      <c r="M1015" s="471">
        <f t="shared" si="82"/>
        <v>0.05</v>
      </c>
      <c r="N1015" s="475">
        <f t="shared" si="83"/>
        <v>81937</v>
      </c>
    </row>
    <row r="1016" spans="7:14" ht="11.25" customHeight="1" x14ac:dyDescent="0.3">
      <c r="G1016" s="470"/>
      <c r="H1016" s="470">
        <v>1009</v>
      </c>
      <c r="I1016" s="455">
        <f t="shared" ca="1" si="81"/>
        <v>-26053920.273775786</v>
      </c>
      <c r="J1016" s="455">
        <f t="array" ref="J1016">IFERROR(INDEX('Retirement Calculator'!K:K,MATCH('Lorri 401b'!N1016,'Retirement Calculator'!A:A,0),0),0)</f>
        <v>20282.026119384056</v>
      </c>
      <c r="K1016" s="455">
        <f t="shared" ca="1" si="79"/>
        <v>-108642.50958289654</v>
      </c>
      <c r="L1016" s="455">
        <f t="shared" ca="1" si="80"/>
        <v>-26182844.809478067</v>
      </c>
      <c r="M1016" s="471">
        <f t="shared" si="82"/>
        <v>0.05</v>
      </c>
      <c r="N1016" s="475">
        <f t="shared" si="83"/>
        <v>81968</v>
      </c>
    </row>
    <row r="1017" spans="7:14" ht="11.25" customHeight="1" x14ac:dyDescent="0.3">
      <c r="G1017" s="470"/>
      <c r="H1017" s="470">
        <v>1010</v>
      </c>
      <c r="I1017" s="455">
        <f t="shared" ca="1" si="81"/>
        <v>-26182844.809478067</v>
      </c>
      <c r="J1017" s="455">
        <f t="array" ref="J1017">IFERROR(INDEX('Retirement Calculator'!K:K,MATCH('Lorri 401b'!N1017,'Retirement Calculator'!A:A,0),0),0)</f>
        <v>20282.026119384056</v>
      </c>
      <c r="K1017" s="455">
        <f t="shared" ca="1" si="79"/>
        <v>-109179.69514832272</v>
      </c>
      <c r="L1017" s="455">
        <f t="shared" ca="1" si="80"/>
        <v>-26312306.530745775</v>
      </c>
      <c r="M1017" s="471">
        <f t="shared" si="82"/>
        <v>0.05</v>
      </c>
      <c r="N1017" s="475">
        <f t="shared" si="83"/>
        <v>81998</v>
      </c>
    </row>
    <row r="1018" spans="7:14" ht="11.25" customHeight="1" x14ac:dyDescent="0.3">
      <c r="G1018" s="470"/>
      <c r="H1018" s="470">
        <v>1011</v>
      </c>
      <c r="I1018" s="455">
        <f t="shared" ca="1" si="81"/>
        <v>-26312306.530745775</v>
      </c>
      <c r="J1018" s="455">
        <f t="array" ref="J1018">IFERROR(INDEX('Retirement Calculator'!K:K,MATCH('Lorri 401b'!N1018,'Retirement Calculator'!A:A,0),0),0)</f>
        <v>20282.026119384056</v>
      </c>
      <c r="K1018" s="455">
        <f t="shared" ca="1" si="79"/>
        <v>-109719.11898693815</v>
      </c>
      <c r="L1018" s="455">
        <f t="shared" ca="1" si="80"/>
        <v>-26442307.675852098</v>
      </c>
      <c r="M1018" s="471">
        <f t="shared" si="82"/>
        <v>0.05</v>
      </c>
      <c r="N1018" s="475">
        <f t="shared" si="83"/>
        <v>82029</v>
      </c>
    </row>
    <row r="1019" spans="7:14" ht="11.25" customHeight="1" x14ac:dyDescent="0.3">
      <c r="G1019" s="470"/>
      <c r="H1019" s="470">
        <v>1012</v>
      </c>
      <c r="I1019" s="455">
        <f t="shared" ca="1" si="81"/>
        <v>-26442307.675852098</v>
      </c>
      <c r="J1019" s="455">
        <f t="array" ref="J1019">IFERROR(INDEX('Retirement Calculator'!K:K,MATCH('Lorri 401b'!N1019,'Retirement Calculator'!A:A,0),0),0)</f>
        <v>20282.026119384056</v>
      </c>
      <c r="K1019" s="455">
        <f t="shared" ca="1" si="79"/>
        <v>-110260.79042488117</v>
      </c>
      <c r="L1019" s="455">
        <f t="shared" ca="1" si="80"/>
        <v>-26572850.492396362</v>
      </c>
      <c r="M1019" s="471">
        <f t="shared" si="82"/>
        <v>0.05</v>
      </c>
      <c r="N1019" s="475">
        <f t="shared" si="83"/>
        <v>82060</v>
      </c>
    </row>
    <row r="1020" spans="7:14" ht="11.25" customHeight="1" x14ac:dyDescent="0.3">
      <c r="G1020" s="470"/>
      <c r="H1020" s="470">
        <v>1013</v>
      </c>
      <c r="I1020" s="455">
        <f t="shared" ca="1" si="81"/>
        <v>-26572850.492396362</v>
      </c>
      <c r="J1020" s="455">
        <f t="array" ref="J1020">IFERROR(INDEX('Retirement Calculator'!K:K,MATCH('Lorri 401b'!N1020,'Retirement Calculator'!A:A,0),0),0)</f>
        <v>20282.026119384056</v>
      </c>
      <c r="K1020" s="455">
        <f t="shared" ca="1" si="79"/>
        <v>-110804.71882714893</v>
      </c>
      <c r="L1020" s="455">
        <f t="shared" ca="1" si="80"/>
        <v>-26703937.237342898</v>
      </c>
      <c r="M1020" s="471">
        <f t="shared" si="82"/>
        <v>0.05</v>
      </c>
      <c r="N1020" s="475">
        <f t="shared" si="83"/>
        <v>82090</v>
      </c>
    </row>
    <row r="1021" spans="7:14" ht="11.25" customHeight="1" x14ac:dyDescent="0.3">
      <c r="G1021" s="470"/>
      <c r="H1021" s="470">
        <v>1014</v>
      </c>
      <c r="I1021" s="455">
        <f t="shared" ca="1" si="81"/>
        <v>-26703937.237342898</v>
      </c>
      <c r="J1021" s="455">
        <f t="array" ref="J1021">IFERROR(INDEX('Retirement Calculator'!K:K,MATCH('Lorri 401b'!N1021,'Retirement Calculator'!A:A,0),0),0)</f>
        <v>20282.026119384056</v>
      </c>
      <c r="K1021" s="455">
        <f t="shared" ca="1" si="79"/>
        <v>-111350.91359775951</v>
      </c>
      <c r="L1021" s="455">
        <f t="shared" ca="1" si="80"/>
        <v>-26835570.177060042</v>
      </c>
      <c r="M1021" s="471">
        <f t="shared" si="82"/>
        <v>0.05</v>
      </c>
      <c r="N1021" s="475">
        <f t="shared" si="83"/>
        <v>82121</v>
      </c>
    </row>
    <row r="1022" spans="7:14" ht="11.25" customHeight="1" x14ac:dyDescent="0.3">
      <c r="G1022" s="470"/>
      <c r="H1022" s="470">
        <v>1015</v>
      </c>
      <c r="I1022" s="455">
        <f t="shared" ca="1" si="81"/>
        <v>-26835570.177060042</v>
      </c>
      <c r="J1022" s="455">
        <f t="array" ref="J1022">IFERROR(INDEX('Retirement Calculator'!K:K,MATCH('Lorri 401b'!N1022,'Retirement Calculator'!A:A,0),0),0)</f>
        <v>20282.026119384056</v>
      </c>
      <c r="K1022" s="455">
        <f t="shared" ca="1" si="79"/>
        <v>-111899.38417991425</v>
      </c>
      <c r="L1022" s="455">
        <f t="shared" ca="1" si="80"/>
        <v>-26967751.587359339</v>
      </c>
      <c r="M1022" s="471">
        <f t="shared" si="82"/>
        <v>0.05</v>
      </c>
      <c r="N1022" s="475">
        <f t="shared" si="83"/>
        <v>82151</v>
      </c>
    </row>
    <row r="1023" spans="7:14" ht="11.25" customHeight="1" x14ac:dyDescent="0.3">
      <c r="G1023" s="470"/>
      <c r="H1023" s="470">
        <v>1016</v>
      </c>
      <c r="I1023" s="455">
        <f t="shared" ca="1" si="81"/>
        <v>-26967751.587359339</v>
      </c>
      <c r="J1023" s="455">
        <f t="array" ref="J1023">IFERROR(INDEX('Retirement Calculator'!K:K,MATCH('Lorri 401b'!N1023,'Retirement Calculator'!A:A,0),0),0)</f>
        <v>20282.026119384056</v>
      </c>
      <c r="K1023" s="455">
        <f t="shared" ca="1" si="79"/>
        <v>-112450.14005616134</v>
      </c>
      <c r="L1023" s="455">
        <f t="shared" ca="1" si="80"/>
        <v>-27100483.753534887</v>
      </c>
      <c r="M1023" s="471">
        <f t="shared" si="82"/>
        <v>0.05</v>
      </c>
      <c r="N1023" s="475">
        <f t="shared" si="83"/>
        <v>82182</v>
      </c>
    </row>
    <row r="1024" spans="7:14" ht="11.25" customHeight="1" x14ac:dyDescent="0.3">
      <c r="G1024" s="470"/>
      <c r="H1024" s="470">
        <v>1017</v>
      </c>
      <c r="I1024" s="455">
        <f t="shared" ca="1" si="81"/>
        <v>-27100483.753534887</v>
      </c>
      <c r="J1024" s="455">
        <f t="array" ref="J1024">IFERROR(INDEX('Retirement Calculator'!K:K,MATCH('Lorri 401b'!N1024,'Retirement Calculator'!A:A,0),0),0)</f>
        <v>20282.026119384056</v>
      </c>
      <c r="K1024" s="455">
        <f t="shared" ca="1" si="79"/>
        <v>-113003.19074855949</v>
      </c>
      <c r="L1024" s="455">
        <f t="shared" ca="1" si="80"/>
        <v>-27233768.970402833</v>
      </c>
      <c r="M1024" s="471">
        <f t="shared" si="82"/>
        <v>0.05</v>
      </c>
      <c r="N1024" s="475">
        <f t="shared" si="83"/>
        <v>82213</v>
      </c>
    </row>
    <row r="1025" spans="7:14" ht="11.25" customHeight="1" x14ac:dyDescent="0.3">
      <c r="G1025" s="470"/>
      <c r="H1025" s="470">
        <v>1018</v>
      </c>
      <c r="I1025" s="455">
        <f t="shared" ca="1" si="81"/>
        <v>-27233768.970402833</v>
      </c>
      <c r="J1025" s="455">
        <f t="array" ref="J1025">IFERROR(INDEX('Retirement Calculator'!K:K,MATCH('Lorri 401b'!N1025,'Retirement Calculator'!A:A,0),0),0)</f>
        <v>20282.026119384056</v>
      </c>
      <c r="K1025" s="455">
        <f t="shared" ca="1" si="79"/>
        <v>-113558.54581884257</v>
      </c>
      <c r="L1025" s="455">
        <f t="shared" ca="1" si="80"/>
        <v>-27367609.542341061</v>
      </c>
      <c r="M1025" s="471">
        <f t="shared" si="82"/>
        <v>0.05</v>
      </c>
      <c r="N1025" s="475">
        <f t="shared" si="83"/>
        <v>82241</v>
      </c>
    </row>
    <row r="1026" spans="7:14" ht="11.25" customHeight="1" x14ac:dyDescent="0.3">
      <c r="G1026" s="470"/>
      <c r="H1026" s="470">
        <v>1019</v>
      </c>
      <c r="I1026" s="455">
        <f t="shared" ca="1" si="81"/>
        <v>-27367609.542341061</v>
      </c>
      <c r="J1026" s="455">
        <f t="array" ref="J1026">IFERROR(INDEX('Retirement Calculator'!K:K,MATCH('Lorri 401b'!N1026,'Retirement Calculator'!A:A,0),0),0)</f>
        <v>20282.026119384056</v>
      </c>
      <c r="K1026" s="455">
        <f t="shared" ca="1" si="79"/>
        <v>-114116.21486858519</v>
      </c>
      <c r="L1026" s="455">
        <f t="shared" ca="1" si="80"/>
        <v>-27502007.783329032</v>
      </c>
      <c r="M1026" s="471">
        <f t="shared" si="82"/>
        <v>0.05</v>
      </c>
      <c r="N1026" s="475">
        <f t="shared" si="83"/>
        <v>82272</v>
      </c>
    </row>
    <row r="1027" spans="7:14" ht="11.25" customHeight="1" x14ac:dyDescent="0.3">
      <c r="G1027" s="470"/>
      <c r="H1027" s="470">
        <v>1020</v>
      </c>
      <c r="I1027" s="455">
        <f t="shared" ca="1" si="81"/>
        <v>-27502007.783329032</v>
      </c>
      <c r="J1027" s="455">
        <f t="array" ref="J1027">IFERROR(INDEX('Retirement Calculator'!K:K,MATCH('Lorri 401b'!N1027,'Retirement Calculator'!A:A,0),0),0)</f>
        <v>20282.026119384056</v>
      </c>
      <c r="K1027" s="455">
        <f t="shared" ca="1" si="79"/>
        <v>-114676.20753936839</v>
      </c>
      <c r="L1027" s="455">
        <f t="shared" ca="1" si="80"/>
        <v>-27636966.016987786</v>
      </c>
      <c r="M1027" s="471">
        <f t="shared" si="82"/>
        <v>0.05</v>
      </c>
      <c r="N1027" s="475">
        <f t="shared" si="83"/>
        <v>82302</v>
      </c>
    </row>
    <row r="1028" spans="7:14" ht="11.25" customHeight="1" x14ac:dyDescent="0.3">
      <c r="G1028" s="470"/>
      <c r="H1028" s="470">
        <v>1021</v>
      </c>
      <c r="I1028" s="455">
        <f t="shared" ca="1" si="81"/>
        <v>-27636966.016987786</v>
      </c>
      <c r="J1028" s="455">
        <f t="array" ref="J1028">IFERROR(INDEX('Retirement Calculator'!K:K,MATCH('Lorri 401b'!N1028,'Retirement Calculator'!A:A,0),0),0)</f>
        <v>20282.026119384056</v>
      </c>
      <c r="K1028" s="455">
        <f t="shared" ref="K1028:K1282" ca="1" si="103">IPMT(M1028/12,1,12,-I1028+J1028,,0)</f>
        <v>-115238.53351294652</v>
      </c>
      <c r="L1028" s="455">
        <f t="shared" ref="L1028:L1282" ca="1" si="104">I1028-J1028+K1028</f>
        <v>-27772486.576620117</v>
      </c>
      <c r="M1028" s="471">
        <f t="shared" si="82"/>
        <v>0.05</v>
      </c>
      <c r="N1028" s="475">
        <f t="shared" si="83"/>
        <v>82333</v>
      </c>
    </row>
    <row r="1029" spans="7:14" ht="11.25" customHeight="1" x14ac:dyDescent="0.3">
      <c r="G1029" s="470"/>
      <c r="H1029" s="470">
        <v>1022</v>
      </c>
      <c r="I1029" s="455">
        <f t="shared" ref="I1029:I1283" ca="1" si="105">L1028</f>
        <v>-27772486.576620117</v>
      </c>
      <c r="J1029" s="455">
        <f t="array" ref="J1029">IFERROR(INDEX('Retirement Calculator'!K:K,MATCH('Lorri 401b'!N1029,'Retirement Calculator'!A:A,0),0),0)</f>
        <v>20282.026119384056</v>
      </c>
      <c r="K1029" s="455">
        <f t="shared" ca="1" si="103"/>
        <v>-115803.20251141459</v>
      </c>
      <c r="L1029" s="455">
        <f t="shared" ca="1" si="104"/>
        <v>-27908571.805250917</v>
      </c>
      <c r="M1029" s="471">
        <f t="shared" ref="M1029:M1283" si="106">M1028</f>
        <v>0.05</v>
      </c>
      <c r="N1029" s="475">
        <f t="shared" ref="N1029:N1283" si="107">EDATE(N1028,1)</f>
        <v>82363</v>
      </c>
    </row>
    <row r="1030" spans="7:14" ht="11.25" customHeight="1" x14ac:dyDescent="0.3">
      <c r="G1030" s="470"/>
      <c r="H1030" s="470">
        <v>1023</v>
      </c>
      <c r="I1030" s="455">
        <f t="shared" ca="1" si="105"/>
        <v>-27908571.805250917</v>
      </c>
      <c r="J1030" s="455">
        <f t="array" ref="J1030">IFERROR(INDEX('Retirement Calculator'!K:K,MATCH('Lorri 401b'!N1030,'Retirement Calculator'!A:A,0),0),0)</f>
        <v>20282.026119384056</v>
      </c>
      <c r="K1030" s="455">
        <f t="shared" ca="1" si="103"/>
        <v>-116370.22429737625</v>
      </c>
      <c r="L1030" s="455">
        <f t="shared" ca="1" si="104"/>
        <v>-28045224.055667676</v>
      </c>
      <c r="M1030" s="471">
        <f t="shared" si="106"/>
        <v>0.05</v>
      </c>
      <c r="N1030" s="475">
        <f t="shared" si="107"/>
        <v>82394</v>
      </c>
    </row>
    <row r="1031" spans="7:14" ht="11.25" customHeight="1" x14ac:dyDescent="0.3">
      <c r="G1031" s="470"/>
      <c r="H1031" s="470">
        <v>1024</v>
      </c>
      <c r="I1031" s="455">
        <f t="shared" ca="1" si="105"/>
        <v>-28045224.055667676</v>
      </c>
      <c r="J1031" s="455">
        <f t="array" ref="J1031">IFERROR(INDEX('Retirement Calculator'!K:K,MATCH('Lorri 401b'!N1031,'Retirement Calculator'!A:A,0),0),0)</f>
        <v>20282.026119384056</v>
      </c>
      <c r="K1031" s="455">
        <f t="shared" ca="1" si="103"/>
        <v>-116939.60867411275</v>
      </c>
      <c r="L1031" s="455">
        <f t="shared" ca="1" si="104"/>
        <v>-28182445.690461174</v>
      </c>
      <c r="M1031" s="471">
        <f t="shared" si="106"/>
        <v>0.05</v>
      </c>
      <c r="N1031" s="475">
        <f t="shared" si="107"/>
        <v>82425</v>
      </c>
    </row>
    <row r="1032" spans="7:14" ht="11.25" customHeight="1" x14ac:dyDescent="0.3">
      <c r="G1032" s="470"/>
      <c r="H1032" s="470">
        <v>1025</v>
      </c>
      <c r="I1032" s="455">
        <f t="shared" ca="1" si="105"/>
        <v>-28182445.690461174</v>
      </c>
      <c r="J1032" s="455">
        <f t="array" ref="J1032">IFERROR(INDEX('Retirement Calculator'!K:K,MATCH('Lorri 401b'!N1032,'Retirement Calculator'!A:A,0),0),0)</f>
        <v>20282.026119384056</v>
      </c>
      <c r="K1032" s="455">
        <f t="shared" ca="1" si="103"/>
        <v>-117511.36548575232</v>
      </c>
      <c r="L1032" s="455">
        <f t="shared" ca="1" si="104"/>
        <v>-28320239.082066312</v>
      </c>
      <c r="M1032" s="471">
        <f t="shared" si="106"/>
        <v>0.05</v>
      </c>
      <c r="N1032" s="475">
        <f t="shared" si="107"/>
        <v>82455</v>
      </c>
    </row>
    <row r="1033" spans="7:14" ht="11.25" customHeight="1" x14ac:dyDescent="0.3">
      <c r="G1033" s="470"/>
      <c r="H1033" s="470">
        <v>1026</v>
      </c>
      <c r="I1033" s="455">
        <f t="shared" ca="1" si="105"/>
        <v>-28320239.082066312</v>
      </c>
      <c r="J1033" s="455">
        <f t="array" ref="J1033">IFERROR(INDEX('Retirement Calculator'!K:K,MATCH('Lorri 401b'!N1033,'Retirement Calculator'!A:A,0),0),0)</f>
        <v>20282.026119384056</v>
      </c>
      <c r="K1033" s="455">
        <f t="shared" ca="1" si="103"/>
        <v>-118085.50461744038</v>
      </c>
      <c r="L1033" s="455">
        <f t="shared" ca="1" si="104"/>
        <v>-28458606.612803139</v>
      </c>
      <c r="M1033" s="471">
        <f t="shared" si="106"/>
        <v>0.05</v>
      </c>
      <c r="N1033" s="475">
        <f t="shared" si="107"/>
        <v>82486</v>
      </c>
    </row>
    <row r="1034" spans="7:14" ht="11.25" customHeight="1" x14ac:dyDescent="0.3">
      <c r="G1034" s="470"/>
      <c r="H1034" s="470">
        <v>1027</v>
      </c>
      <c r="I1034" s="455">
        <f t="shared" ca="1" si="105"/>
        <v>-28458606.612803139</v>
      </c>
      <c r="J1034" s="455">
        <f t="array" ref="J1034">IFERROR(INDEX('Retirement Calculator'!K:K,MATCH('Lorri 401b'!N1034,'Retirement Calculator'!A:A,0),0),0)</f>
        <v>20282.026119384056</v>
      </c>
      <c r="K1034" s="455">
        <f t="shared" ca="1" si="103"/>
        <v>-118662.03599551051</v>
      </c>
      <c r="L1034" s="455">
        <f t="shared" ca="1" si="104"/>
        <v>-28597550.674918033</v>
      </c>
      <c r="M1034" s="471">
        <f t="shared" si="106"/>
        <v>0.05</v>
      </c>
      <c r="N1034" s="475">
        <f t="shared" si="107"/>
        <v>82516</v>
      </c>
    </row>
    <row r="1035" spans="7:14" ht="11.25" customHeight="1" x14ac:dyDescent="0.3">
      <c r="G1035" s="470"/>
      <c r="H1035" s="470">
        <v>1028</v>
      </c>
      <c r="I1035" s="455">
        <f t="shared" ca="1" si="105"/>
        <v>-28597550.674918033</v>
      </c>
      <c r="J1035" s="455">
        <f t="array" ref="J1035">IFERROR(INDEX('Retirement Calculator'!K:K,MATCH('Lorri 401b'!N1035,'Retirement Calculator'!A:A,0),0),0)</f>
        <v>20282.026119384056</v>
      </c>
      <c r="K1035" s="455">
        <f t="shared" ca="1" si="103"/>
        <v>-119240.96958765593</v>
      </c>
      <c r="L1035" s="455">
        <f t="shared" ca="1" si="104"/>
        <v>-28737073.670625076</v>
      </c>
      <c r="M1035" s="471">
        <f t="shared" si="106"/>
        <v>0.05</v>
      </c>
      <c r="N1035" s="475">
        <f t="shared" si="107"/>
        <v>82547</v>
      </c>
    </row>
    <row r="1036" spans="7:14" ht="11.25" customHeight="1" x14ac:dyDescent="0.3">
      <c r="G1036" s="470"/>
      <c r="H1036" s="470">
        <v>1029</v>
      </c>
      <c r="I1036" s="455">
        <f t="shared" ca="1" si="105"/>
        <v>-28737073.670625076</v>
      </c>
      <c r="J1036" s="455">
        <f t="array" ref="J1036">IFERROR(INDEX('Retirement Calculator'!K:K,MATCH('Lorri 401b'!N1036,'Retirement Calculator'!A:A,0),0),0)</f>
        <v>20282.026119384056</v>
      </c>
      <c r="K1036" s="455">
        <f t="shared" ca="1" si="103"/>
        <v>-119822.31540310192</v>
      </c>
      <c r="L1036" s="455">
        <f t="shared" ca="1" si="104"/>
        <v>-28877178.012147561</v>
      </c>
      <c r="M1036" s="471">
        <f t="shared" si="106"/>
        <v>0.05</v>
      </c>
      <c r="N1036" s="475">
        <f t="shared" si="107"/>
        <v>82578</v>
      </c>
    </row>
    <row r="1037" spans="7:14" ht="11.25" customHeight="1" x14ac:dyDescent="0.3">
      <c r="G1037" s="470"/>
      <c r="H1037" s="470">
        <v>1030</v>
      </c>
      <c r="I1037" s="455">
        <f t="shared" ca="1" si="105"/>
        <v>-28877178.012147561</v>
      </c>
      <c r="J1037" s="455">
        <f t="array" ref="J1037">IFERROR(INDEX('Retirement Calculator'!K:K,MATCH('Lorri 401b'!N1037,'Retirement Calculator'!A:A,0),0),0)</f>
        <v>20282.026119384056</v>
      </c>
      <c r="K1037" s="455">
        <f t="shared" ca="1" si="103"/>
        <v>-120406.08349277893</v>
      </c>
      <c r="L1037" s="455">
        <f t="shared" ca="1" si="104"/>
        <v>-29017866.121759724</v>
      </c>
      <c r="M1037" s="471">
        <f t="shared" si="106"/>
        <v>0.05</v>
      </c>
      <c r="N1037" s="475">
        <f t="shared" si="107"/>
        <v>82606</v>
      </c>
    </row>
    <row r="1038" spans="7:14" ht="11.25" customHeight="1" x14ac:dyDescent="0.3">
      <c r="G1038" s="470"/>
      <c r="H1038" s="470">
        <v>1031</v>
      </c>
      <c r="I1038" s="455">
        <f t="shared" ca="1" si="105"/>
        <v>-29017866.121759724</v>
      </c>
      <c r="J1038" s="455">
        <f t="array" ref="J1038">IFERROR(INDEX('Retirement Calculator'!K:K,MATCH('Lorri 401b'!N1038,'Retirement Calculator'!A:A,0),0),0)</f>
        <v>20282.026119384056</v>
      </c>
      <c r="K1038" s="455">
        <f t="shared" ca="1" si="103"/>
        <v>-120992.28394949628</v>
      </c>
      <c r="L1038" s="455">
        <f t="shared" ca="1" si="104"/>
        <v>-29159140.431828607</v>
      </c>
      <c r="M1038" s="471">
        <f t="shared" si="106"/>
        <v>0.05</v>
      </c>
      <c r="N1038" s="475">
        <f t="shared" si="107"/>
        <v>82637</v>
      </c>
    </row>
    <row r="1039" spans="7:14" ht="11.25" customHeight="1" x14ac:dyDescent="0.3">
      <c r="G1039" s="470"/>
      <c r="H1039" s="470">
        <v>1032</v>
      </c>
      <c r="I1039" s="455">
        <f t="shared" ca="1" si="105"/>
        <v>-29159140.431828607</v>
      </c>
      <c r="J1039" s="455">
        <f t="array" ref="J1039">IFERROR(INDEX('Retirement Calculator'!K:K,MATCH('Lorri 401b'!N1039,'Retirement Calculator'!A:A,0),0),0)</f>
        <v>20282.026119384056</v>
      </c>
      <c r="K1039" s="455">
        <f t="shared" ca="1" si="103"/>
        <v>-121580.92690811663</v>
      </c>
      <c r="L1039" s="455">
        <f t="shared" ca="1" si="104"/>
        <v>-29301003.384856109</v>
      </c>
      <c r="M1039" s="471">
        <f t="shared" si="106"/>
        <v>0.05</v>
      </c>
      <c r="N1039" s="475">
        <f t="shared" si="107"/>
        <v>82667</v>
      </c>
    </row>
    <row r="1040" spans="7:14" ht="11.25" customHeight="1" x14ac:dyDescent="0.3">
      <c r="G1040" s="470"/>
      <c r="H1040" s="470">
        <v>1033</v>
      </c>
      <c r="I1040" s="455">
        <f t="shared" ca="1" si="105"/>
        <v>-29301003.384856109</v>
      </c>
      <c r="J1040" s="455">
        <f t="array" ref="J1040">IFERROR(INDEX('Retirement Calculator'!K:K,MATCH('Lorri 401b'!N1040,'Retirement Calculator'!A:A,0),0),0)</f>
        <v>20282.026119384056</v>
      </c>
      <c r="K1040" s="455">
        <f t="shared" ca="1" si="103"/>
        <v>-122172.0225457312</v>
      </c>
      <c r="L1040" s="455">
        <f t="shared" ca="1" si="104"/>
        <v>-29443457.433521226</v>
      </c>
      <c r="M1040" s="471">
        <f t="shared" si="106"/>
        <v>0.05</v>
      </c>
      <c r="N1040" s="475">
        <f t="shared" si="107"/>
        <v>82698</v>
      </c>
    </row>
    <row r="1041" spans="7:14" ht="11.25" customHeight="1" x14ac:dyDescent="0.3">
      <c r="G1041" s="470"/>
      <c r="H1041" s="470">
        <v>1034</v>
      </c>
      <c r="I1041" s="455">
        <f t="shared" ca="1" si="105"/>
        <v>-29443457.433521226</v>
      </c>
      <c r="J1041" s="455">
        <f t="array" ref="J1041">IFERROR(INDEX('Retirement Calculator'!K:K,MATCH('Lorri 401b'!N1041,'Retirement Calculator'!A:A,0),0),0)</f>
        <v>20282.026119384056</v>
      </c>
      <c r="K1041" s="455">
        <f t="shared" ca="1" si="103"/>
        <v>-122765.58108183587</v>
      </c>
      <c r="L1041" s="455">
        <f t="shared" ca="1" si="104"/>
        <v>-29586505.040722448</v>
      </c>
      <c r="M1041" s="471">
        <f t="shared" si="106"/>
        <v>0.05</v>
      </c>
      <c r="N1041" s="475">
        <f t="shared" si="107"/>
        <v>82728</v>
      </c>
    </row>
    <row r="1042" spans="7:14" ht="11.25" customHeight="1" x14ac:dyDescent="0.3">
      <c r="G1042" s="470"/>
      <c r="H1042" s="470">
        <v>1035</v>
      </c>
      <c r="I1042" s="455">
        <f t="shared" ca="1" si="105"/>
        <v>-29586505.040722448</v>
      </c>
      <c r="J1042" s="455">
        <f t="array" ref="J1042">IFERROR(INDEX('Retirement Calculator'!K:K,MATCH('Lorri 401b'!N1042,'Retirement Calculator'!A:A,0),0),0)</f>
        <v>20282.026119384056</v>
      </c>
      <c r="K1042" s="455">
        <f t="shared" ca="1" si="103"/>
        <v>-123361.61277850764</v>
      </c>
      <c r="L1042" s="455">
        <f t="shared" ca="1" si="104"/>
        <v>-29730148.67962034</v>
      </c>
      <c r="M1042" s="471">
        <f t="shared" si="106"/>
        <v>0.05</v>
      </c>
      <c r="N1042" s="475">
        <f t="shared" si="107"/>
        <v>82759</v>
      </c>
    </row>
    <row r="1043" spans="7:14" ht="11.25" customHeight="1" x14ac:dyDescent="0.3">
      <c r="G1043" s="470"/>
      <c r="H1043" s="470">
        <v>1036</v>
      </c>
      <c r="I1043" s="455">
        <f t="shared" ca="1" si="105"/>
        <v>-29730148.67962034</v>
      </c>
      <c r="J1043" s="455">
        <f t="array" ref="J1043">IFERROR(INDEX('Retirement Calculator'!K:K,MATCH('Lorri 401b'!N1043,'Retirement Calculator'!A:A,0),0),0)</f>
        <v>20282.026119384056</v>
      </c>
      <c r="K1043" s="455">
        <f t="shared" ca="1" si="103"/>
        <v>-123960.1279405822</v>
      </c>
      <c r="L1043" s="455">
        <f t="shared" ca="1" si="104"/>
        <v>-29874390.833680309</v>
      </c>
      <c r="M1043" s="471">
        <f t="shared" si="106"/>
        <v>0.05</v>
      </c>
      <c r="N1043" s="475">
        <f t="shared" si="107"/>
        <v>82790</v>
      </c>
    </row>
    <row r="1044" spans="7:14" ht="11.25" customHeight="1" x14ac:dyDescent="0.3">
      <c r="G1044" s="470"/>
      <c r="H1044" s="470">
        <v>1037</v>
      </c>
      <c r="I1044" s="455">
        <f t="shared" ca="1" si="105"/>
        <v>-29874390.833680309</v>
      </c>
      <c r="J1044" s="455">
        <f t="array" ref="J1044">IFERROR(INDEX('Retirement Calculator'!K:K,MATCH('Lorri 401b'!N1044,'Retirement Calculator'!A:A,0),0),0)</f>
        <v>20282.026119384056</v>
      </c>
      <c r="K1044" s="455">
        <f t="shared" ca="1" si="103"/>
        <v>-124561.13691583206</v>
      </c>
      <c r="L1044" s="455">
        <f t="shared" ca="1" si="104"/>
        <v>-30019233.996715527</v>
      </c>
      <c r="M1044" s="471">
        <f t="shared" si="106"/>
        <v>0.05</v>
      </c>
      <c r="N1044" s="475">
        <f t="shared" si="107"/>
        <v>82820</v>
      </c>
    </row>
    <row r="1045" spans="7:14" ht="11.25" customHeight="1" x14ac:dyDescent="0.3">
      <c r="G1045" s="470"/>
      <c r="H1045" s="470">
        <v>1038</v>
      </c>
      <c r="I1045" s="455">
        <f t="shared" ca="1" si="105"/>
        <v>-30019233.996715527</v>
      </c>
      <c r="J1045" s="455">
        <f t="array" ref="J1045">IFERROR(INDEX('Retirement Calculator'!K:K,MATCH('Lorri 401b'!N1045,'Retirement Calculator'!A:A,0),0),0)</f>
        <v>20282.026119384056</v>
      </c>
      <c r="K1045" s="455">
        <f t="shared" ca="1" si="103"/>
        <v>-125164.65009514547</v>
      </c>
      <c r="L1045" s="455">
        <f t="shared" ca="1" si="104"/>
        <v>-30164680.672930058</v>
      </c>
      <c r="M1045" s="471">
        <f t="shared" si="106"/>
        <v>0.05</v>
      </c>
      <c r="N1045" s="475">
        <f t="shared" si="107"/>
        <v>82851</v>
      </c>
    </row>
    <row r="1046" spans="7:14" ht="11.25" customHeight="1" x14ac:dyDescent="0.3">
      <c r="G1046" s="470"/>
      <c r="H1046" s="470">
        <v>1039</v>
      </c>
      <c r="I1046" s="455">
        <f t="shared" ca="1" si="105"/>
        <v>-30164680.672930058</v>
      </c>
      <c r="J1046" s="455">
        <f t="array" ref="J1046">IFERROR(INDEX('Retirement Calculator'!K:K,MATCH('Lorri 401b'!N1046,'Retirement Calculator'!A:A,0),0),0)</f>
        <v>20282.026119384056</v>
      </c>
      <c r="K1046" s="455">
        <f t="shared" ca="1" si="103"/>
        <v>-125770.67791270603</v>
      </c>
      <c r="L1046" s="455">
        <f t="shared" ca="1" si="104"/>
        <v>-30310733.376962148</v>
      </c>
      <c r="M1046" s="471">
        <f t="shared" si="106"/>
        <v>0.05</v>
      </c>
      <c r="N1046" s="475">
        <f t="shared" si="107"/>
        <v>82881</v>
      </c>
    </row>
    <row r="1047" spans="7:14" ht="11.25" customHeight="1" x14ac:dyDescent="0.3">
      <c r="G1047" s="470"/>
      <c r="H1047" s="470">
        <v>1040</v>
      </c>
      <c r="I1047" s="455">
        <f t="shared" ca="1" si="105"/>
        <v>-30310733.376962148</v>
      </c>
      <c r="J1047" s="455">
        <f t="array" ref="J1047">IFERROR(INDEX('Retirement Calculator'!K:K,MATCH('Lorri 401b'!N1047,'Retirement Calculator'!A:A,0),0),0)</f>
        <v>20282.026119384056</v>
      </c>
      <c r="K1047" s="455">
        <f t="shared" ca="1" si="103"/>
        <v>-126379.23084617306</v>
      </c>
      <c r="L1047" s="455">
        <f t="shared" ca="1" si="104"/>
        <v>-30457394.633927707</v>
      </c>
      <c r="M1047" s="471">
        <f t="shared" si="106"/>
        <v>0.05</v>
      </c>
      <c r="N1047" s="475">
        <f t="shared" si="107"/>
        <v>82912</v>
      </c>
    </row>
    <row r="1048" spans="7:14" ht="11.25" customHeight="1" x14ac:dyDescent="0.3">
      <c r="G1048" s="470"/>
      <c r="H1048" s="470">
        <v>1041</v>
      </c>
      <c r="I1048" s="455">
        <f t="shared" ca="1" si="105"/>
        <v>-30457394.633927707</v>
      </c>
      <c r="J1048" s="455">
        <f t="array" ref="J1048">IFERROR(INDEX('Retirement Calculator'!K:K,MATCH('Lorri 401b'!N1048,'Retirement Calculator'!A:A,0),0),0)</f>
        <v>20282.026119384056</v>
      </c>
      <c r="K1048" s="455">
        <f t="shared" ca="1" si="103"/>
        <v>-126990.31941686288</v>
      </c>
      <c r="L1048" s="455">
        <f t="shared" ca="1" si="104"/>
        <v>-30604666.979463954</v>
      </c>
      <c r="M1048" s="471">
        <f t="shared" si="106"/>
        <v>0.05</v>
      </c>
      <c r="N1048" s="475">
        <f t="shared" si="107"/>
        <v>82943</v>
      </c>
    </row>
    <row r="1049" spans="7:14" ht="11.25" customHeight="1" x14ac:dyDescent="0.3">
      <c r="G1049" s="470"/>
      <c r="H1049" s="470">
        <v>1042</v>
      </c>
      <c r="I1049" s="455">
        <f t="shared" ca="1" si="105"/>
        <v>-30604666.979463954</v>
      </c>
      <c r="J1049" s="455">
        <f t="array" ref="J1049">IFERROR(INDEX('Retirement Calculator'!K:K,MATCH('Lorri 401b'!N1049,'Retirement Calculator'!A:A,0),0),0)</f>
        <v>20282.026119384056</v>
      </c>
      <c r="K1049" s="455">
        <f t="shared" ca="1" si="103"/>
        <v>-127603.95418993058</v>
      </c>
      <c r="L1049" s="455">
        <f t="shared" ca="1" si="104"/>
        <v>-30752552.959773269</v>
      </c>
      <c r="M1049" s="471">
        <f t="shared" si="106"/>
        <v>0.05</v>
      </c>
      <c r="N1049" s="475">
        <f t="shared" si="107"/>
        <v>82971</v>
      </c>
    </row>
    <row r="1050" spans="7:14" ht="11.25" customHeight="1" x14ac:dyDescent="0.3">
      <c r="G1050" s="470"/>
      <c r="H1050" s="470">
        <v>1043</v>
      </c>
      <c r="I1050" s="455">
        <f t="shared" ca="1" si="105"/>
        <v>-30752552.959773269</v>
      </c>
      <c r="J1050" s="455">
        <f t="array" ref="J1050">IFERROR(INDEX('Retirement Calculator'!K:K,MATCH('Lorri 401b'!N1050,'Retirement Calculator'!A:A,0),0),0)</f>
        <v>20282.026119384056</v>
      </c>
      <c r="K1050" s="455">
        <f t="shared" ca="1" si="103"/>
        <v>-128220.14577455272</v>
      </c>
      <c r="L1050" s="455">
        <f t="shared" ca="1" si="104"/>
        <v>-30901055.131667208</v>
      </c>
      <c r="M1050" s="471">
        <f t="shared" si="106"/>
        <v>0.05</v>
      </c>
      <c r="N1050" s="475">
        <f t="shared" si="107"/>
        <v>83002</v>
      </c>
    </row>
    <row r="1051" spans="7:14" ht="11.25" customHeight="1" x14ac:dyDescent="0.3">
      <c r="G1051" s="470"/>
      <c r="H1051" s="470">
        <v>1044</v>
      </c>
      <c r="I1051" s="455">
        <f t="shared" ca="1" si="105"/>
        <v>-30901055.131667208</v>
      </c>
      <c r="J1051" s="455">
        <f t="array" ref="J1051">IFERROR(INDEX('Retirement Calculator'!K:K,MATCH('Lorri 401b'!N1051,'Retirement Calculator'!A:A,0),0),0)</f>
        <v>20282.026119384056</v>
      </c>
      <c r="K1051" s="455">
        <f t="shared" ca="1" si="103"/>
        <v>-128838.90482411081</v>
      </c>
      <c r="L1051" s="455">
        <f t="shared" ca="1" si="104"/>
        <v>-31050176.062610704</v>
      </c>
      <c r="M1051" s="471">
        <f t="shared" si="106"/>
        <v>0.05</v>
      </c>
      <c r="N1051" s="475">
        <f t="shared" si="107"/>
        <v>83032</v>
      </c>
    </row>
    <row r="1052" spans="7:14" ht="11.25" customHeight="1" x14ac:dyDescent="0.3">
      <c r="G1052" s="470"/>
      <c r="H1052" s="470">
        <v>1045</v>
      </c>
      <c r="I1052" s="455">
        <f t="shared" ca="1" si="105"/>
        <v>-31050176.062610704</v>
      </c>
      <c r="J1052" s="455">
        <f t="array" ref="J1052">IFERROR(INDEX('Retirement Calculator'!K:K,MATCH('Lorri 401b'!N1052,'Retirement Calculator'!A:A,0),0),0)</f>
        <v>20282.026119384056</v>
      </c>
      <c r="K1052" s="455">
        <f t="shared" ca="1" si="103"/>
        <v>-129460.24203637538</v>
      </c>
      <c r="L1052" s="455">
        <f t="shared" ca="1" si="104"/>
        <v>-31199918.330766466</v>
      </c>
      <c r="M1052" s="471">
        <f t="shared" si="106"/>
        <v>0.05</v>
      </c>
      <c r="N1052" s="475">
        <f t="shared" si="107"/>
        <v>83063</v>
      </c>
    </row>
    <row r="1053" spans="7:14" ht="11.25" customHeight="1" x14ac:dyDescent="0.3">
      <c r="G1053" s="470"/>
      <c r="H1053" s="470">
        <v>1046</v>
      </c>
      <c r="I1053" s="455">
        <f t="shared" ca="1" si="105"/>
        <v>-31199918.330766466</v>
      </c>
      <c r="J1053" s="455">
        <f t="array" ref="J1053">IFERROR(INDEX('Retirement Calculator'!K:K,MATCH('Lorri 401b'!N1053,'Retirement Calculator'!A:A,0),0),0)</f>
        <v>20282.026119384056</v>
      </c>
      <c r="K1053" s="455">
        <f t="shared" ca="1" si="103"/>
        <v>-130084.16815369105</v>
      </c>
      <c r="L1053" s="455">
        <f t="shared" ca="1" si="104"/>
        <v>-31350284.525039542</v>
      </c>
      <c r="M1053" s="471">
        <f t="shared" si="106"/>
        <v>0.05</v>
      </c>
      <c r="N1053" s="475">
        <f t="shared" si="107"/>
        <v>83093</v>
      </c>
    </row>
    <row r="1054" spans="7:14" ht="11.25" customHeight="1" x14ac:dyDescent="0.3">
      <c r="G1054" s="470"/>
      <c r="H1054" s="470">
        <v>1047</v>
      </c>
      <c r="I1054" s="455">
        <f t="shared" ca="1" si="105"/>
        <v>-31350284.525039542</v>
      </c>
      <c r="J1054" s="455">
        <f t="array" ref="J1054">IFERROR(INDEX('Retirement Calculator'!K:K,MATCH('Lorri 401b'!N1054,'Retirement Calculator'!A:A,0),0),0)</f>
        <v>20282.026119384056</v>
      </c>
      <c r="K1054" s="455">
        <f t="shared" ca="1" si="103"/>
        <v>-130710.69396316219</v>
      </c>
      <c r="L1054" s="455">
        <f t="shared" ca="1" si="104"/>
        <v>-31501277.24512209</v>
      </c>
      <c r="M1054" s="471">
        <f t="shared" si="106"/>
        <v>0.05</v>
      </c>
      <c r="N1054" s="475">
        <f t="shared" si="107"/>
        <v>83124</v>
      </c>
    </row>
    <row r="1055" spans="7:14" ht="11.25" customHeight="1" x14ac:dyDescent="0.3">
      <c r="G1055" s="470"/>
      <c r="H1055" s="470">
        <v>1048</v>
      </c>
      <c r="I1055" s="455">
        <f t="shared" ca="1" si="105"/>
        <v>-31501277.24512209</v>
      </c>
      <c r="J1055" s="455">
        <f t="array" ref="J1055">IFERROR(INDEX('Retirement Calculator'!K:K,MATCH('Lorri 401b'!N1055,'Retirement Calculator'!A:A,0),0),0)</f>
        <v>20282.026119384056</v>
      </c>
      <c r="K1055" s="455">
        <f t="shared" ca="1" si="103"/>
        <v>-131339.8302968395</v>
      </c>
      <c r="L1055" s="455">
        <f t="shared" ca="1" si="104"/>
        <v>-31652899.101538315</v>
      </c>
      <c r="M1055" s="471">
        <f t="shared" si="106"/>
        <v>0.05</v>
      </c>
      <c r="N1055" s="475">
        <f t="shared" si="107"/>
        <v>83155</v>
      </c>
    </row>
    <row r="1056" spans="7:14" ht="11.25" customHeight="1" x14ac:dyDescent="0.3">
      <c r="G1056" s="470"/>
      <c r="H1056" s="470">
        <v>1049</v>
      </c>
      <c r="I1056" s="455">
        <f t="shared" ca="1" si="105"/>
        <v>-31652899.101538315</v>
      </c>
      <c r="J1056" s="455">
        <f t="array" ref="J1056">IFERROR(INDEX('Retirement Calculator'!K:K,MATCH('Lorri 401b'!N1056,'Retirement Calculator'!A:A,0),0),0)</f>
        <v>20282.026119384056</v>
      </c>
      <c r="K1056" s="455">
        <f t="shared" ca="1" si="103"/>
        <v>-131971.58803190707</v>
      </c>
      <c r="L1056" s="455">
        <f t="shared" ca="1" si="104"/>
        <v>-31805152.715689607</v>
      </c>
      <c r="M1056" s="471">
        <f t="shared" si="106"/>
        <v>0.05</v>
      </c>
      <c r="N1056" s="475">
        <f t="shared" si="107"/>
        <v>83185</v>
      </c>
    </row>
    <row r="1057" spans="7:14" ht="11.25" customHeight="1" x14ac:dyDescent="0.3">
      <c r="G1057" s="470"/>
      <c r="H1057" s="470">
        <v>1050</v>
      </c>
      <c r="I1057" s="455">
        <f t="shared" ca="1" si="105"/>
        <v>-31805152.715689607</v>
      </c>
      <c r="J1057" s="455">
        <f t="array" ref="J1057">IFERROR(INDEX('Retirement Calculator'!K:K,MATCH('Lorri 401b'!N1057,'Retirement Calculator'!A:A,0),0),0)</f>
        <v>20282.026119384056</v>
      </c>
      <c r="K1057" s="455">
        <f t="shared" ca="1" si="103"/>
        <v>-132605.97809087081</v>
      </c>
      <c r="L1057" s="455">
        <f t="shared" ca="1" si="104"/>
        <v>-31958040.719899863</v>
      </c>
      <c r="M1057" s="471">
        <f t="shared" si="106"/>
        <v>0.05</v>
      </c>
      <c r="N1057" s="475">
        <f t="shared" si="107"/>
        <v>83216</v>
      </c>
    </row>
    <row r="1058" spans="7:14" ht="11.25" customHeight="1" x14ac:dyDescent="0.3">
      <c r="G1058" s="470"/>
      <c r="H1058" s="470">
        <v>1051</v>
      </c>
      <c r="I1058" s="455">
        <f t="shared" ca="1" si="105"/>
        <v>-31958040.719899863</v>
      </c>
      <c r="J1058" s="455">
        <f t="array" ref="J1058">IFERROR(INDEX('Retirement Calculator'!K:K,MATCH('Lorri 401b'!N1058,'Retirement Calculator'!A:A,0),0),0)</f>
        <v>20282.026119384056</v>
      </c>
      <c r="K1058" s="455">
        <f t="shared" ca="1" si="103"/>
        <v>-133243.01144174687</v>
      </c>
      <c r="L1058" s="455">
        <f t="shared" ca="1" si="104"/>
        <v>-32111565.757460997</v>
      </c>
      <c r="M1058" s="471">
        <f t="shared" si="106"/>
        <v>0.05</v>
      </c>
      <c r="N1058" s="475">
        <f t="shared" si="107"/>
        <v>83246</v>
      </c>
    </row>
    <row r="1059" spans="7:14" ht="11.25" customHeight="1" x14ac:dyDescent="0.3">
      <c r="G1059" s="470"/>
      <c r="H1059" s="470">
        <v>1052</v>
      </c>
      <c r="I1059" s="455">
        <f t="shared" ca="1" si="105"/>
        <v>-32111565.757460997</v>
      </c>
      <c r="J1059" s="455">
        <f t="array" ref="J1059">IFERROR(INDEX('Retirement Calculator'!K:K,MATCH('Lorri 401b'!N1059,'Retirement Calculator'!A:A,0),0),0)</f>
        <v>20282.026119384056</v>
      </c>
      <c r="K1059" s="455">
        <f t="shared" ca="1" si="103"/>
        <v>-133882.69909825159</v>
      </c>
      <c r="L1059" s="455">
        <f t="shared" ca="1" si="104"/>
        <v>-32265730.482678633</v>
      </c>
      <c r="M1059" s="471">
        <f t="shared" si="106"/>
        <v>0.05</v>
      </c>
      <c r="N1059" s="475">
        <f t="shared" si="107"/>
        <v>83277</v>
      </c>
    </row>
    <row r="1060" spans="7:14" ht="11.25" customHeight="1" x14ac:dyDescent="0.3">
      <c r="G1060" s="470"/>
      <c r="H1060" s="470">
        <v>1053</v>
      </c>
      <c r="I1060" s="455">
        <f t="shared" ca="1" si="105"/>
        <v>-32265730.482678633</v>
      </c>
      <c r="J1060" s="455">
        <f t="array" ref="J1060">IFERROR(INDEX('Retirement Calculator'!K:K,MATCH('Lorri 401b'!N1060,'Retirement Calculator'!A:A,0),0),0)</f>
        <v>20282.026119384056</v>
      </c>
      <c r="K1060" s="455">
        <f t="shared" ca="1" si="103"/>
        <v>-134525.05211999171</v>
      </c>
      <c r="L1060" s="455">
        <f t="shared" ca="1" si="104"/>
        <v>-32420537.560918011</v>
      </c>
      <c r="M1060" s="471">
        <f t="shared" si="106"/>
        <v>0.05</v>
      </c>
      <c r="N1060" s="475">
        <f t="shared" si="107"/>
        <v>83308</v>
      </c>
    </row>
    <row r="1061" spans="7:14" ht="11.25" customHeight="1" x14ac:dyDescent="0.3">
      <c r="G1061" s="470"/>
      <c r="H1061" s="470">
        <v>1054</v>
      </c>
      <c r="I1061" s="455">
        <f t="shared" ca="1" si="105"/>
        <v>-32420537.560918011</v>
      </c>
      <c r="J1061" s="455">
        <f t="array" ref="J1061">IFERROR(INDEX('Retirement Calculator'!K:K,MATCH('Lorri 401b'!N1061,'Retirement Calculator'!A:A,0),0),0)</f>
        <v>20282.026119384056</v>
      </c>
      <c r="K1061" s="455">
        <f t="shared" ca="1" si="103"/>
        <v>-135170.08161265581</v>
      </c>
      <c r="L1061" s="455">
        <f t="shared" ca="1" si="104"/>
        <v>-32575989.66865005</v>
      </c>
      <c r="M1061" s="471">
        <f t="shared" si="106"/>
        <v>0.05</v>
      </c>
      <c r="N1061" s="475">
        <f t="shared" si="107"/>
        <v>83337</v>
      </c>
    </row>
    <row r="1062" spans="7:14" ht="11.25" customHeight="1" x14ac:dyDescent="0.3">
      <c r="G1062" s="470"/>
      <c r="H1062" s="470">
        <v>1055</v>
      </c>
      <c r="I1062" s="455">
        <f t="shared" ca="1" si="105"/>
        <v>-32575989.66865005</v>
      </c>
      <c r="J1062" s="455">
        <f t="array" ref="J1062">IFERROR(INDEX('Retirement Calculator'!K:K,MATCH('Lorri 401b'!N1062,'Retirement Calculator'!A:A,0),0),0)</f>
        <v>20282.026119384056</v>
      </c>
      <c r="K1062" s="455">
        <f t="shared" ca="1" si="103"/>
        <v>-135817.79872820596</v>
      </c>
      <c r="L1062" s="455">
        <f t="shared" ca="1" si="104"/>
        <v>-32732089.49349764</v>
      </c>
      <c r="M1062" s="471">
        <f t="shared" si="106"/>
        <v>0.05</v>
      </c>
      <c r="N1062" s="475">
        <f t="shared" si="107"/>
        <v>83368</v>
      </c>
    </row>
    <row r="1063" spans="7:14" ht="11.25" customHeight="1" x14ac:dyDescent="0.3">
      <c r="G1063" s="470"/>
      <c r="H1063" s="470">
        <v>1056</v>
      </c>
      <c r="I1063" s="455">
        <f t="shared" ca="1" si="105"/>
        <v>-32732089.49349764</v>
      </c>
      <c r="J1063" s="455">
        <f t="array" ref="J1063">IFERROR(INDEX('Retirement Calculator'!K:K,MATCH('Lorri 401b'!N1063,'Retirement Calculator'!A:A,0),0),0)</f>
        <v>20282.026119384056</v>
      </c>
      <c r="K1063" s="455">
        <f t="shared" ca="1" si="103"/>
        <v>-136468.21466507093</v>
      </c>
      <c r="L1063" s="455">
        <f t="shared" ca="1" si="104"/>
        <v>-32888839.734282095</v>
      </c>
      <c r="M1063" s="471">
        <f t="shared" si="106"/>
        <v>0.05</v>
      </c>
      <c r="N1063" s="475">
        <f t="shared" si="107"/>
        <v>83398</v>
      </c>
    </row>
    <row r="1064" spans="7:14" ht="11.25" customHeight="1" x14ac:dyDescent="0.3">
      <c r="G1064" s="470"/>
      <c r="H1064" s="470">
        <v>1057</v>
      </c>
      <c r="I1064" s="455">
        <f t="shared" ca="1" si="105"/>
        <v>-32888839.734282095</v>
      </c>
      <c r="J1064" s="455">
        <f t="array" ref="J1064">IFERROR(INDEX('Retirement Calculator'!K:K,MATCH('Lorri 401b'!N1064,'Retirement Calculator'!A:A,0),0),0)</f>
        <v>20282.026119384056</v>
      </c>
      <c r="K1064" s="455">
        <f t="shared" ca="1" si="103"/>
        <v>-137121.34066833949</v>
      </c>
      <c r="L1064" s="455">
        <f t="shared" ca="1" si="104"/>
        <v>-33046243.101069819</v>
      </c>
      <c r="M1064" s="471">
        <f t="shared" si="106"/>
        <v>0.05</v>
      </c>
      <c r="N1064" s="475">
        <f t="shared" si="107"/>
        <v>83429</v>
      </c>
    </row>
    <row r="1065" spans="7:14" ht="11.25" customHeight="1" x14ac:dyDescent="0.3">
      <c r="G1065" s="470"/>
      <c r="H1065" s="470">
        <v>1058</v>
      </c>
      <c r="I1065" s="455">
        <f t="shared" ca="1" si="105"/>
        <v>-33046243.101069819</v>
      </c>
      <c r="J1065" s="455">
        <f t="array" ref="J1065">IFERROR(INDEX('Retirement Calculator'!K:K,MATCH('Lorri 401b'!N1065,'Retirement Calculator'!A:A,0),0),0)</f>
        <v>20282.026119384056</v>
      </c>
      <c r="K1065" s="455">
        <f t="shared" ca="1" si="103"/>
        <v>-137777.188029955</v>
      </c>
      <c r="L1065" s="455">
        <f t="shared" ca="1" si="104"/>
        <v>-33204302.31521916</v>
      </c>
      <c r="M1065" s="471">
        <f t="shared" si="106"/>
        <v>0.05</v>
      </c>
      <c r="N1065" s="475">
        <f t="shared" si="107"/>
        <v>83459</v>
      </c>
    </row>
    <row r="1066" spans="7:14" ht="11.25" customHeight="1" x14ac:dyDescent="0.3">
      <c r="G1066" s="470"/>
      <c r="H1066" s="470">
        <v>1059</v>
      </c>
      <c r="I1066" s="455">
        <f t="shared" ca="1" si="105"/>
        <v>-33204302.31521916</v>
      </c>
      <c r="J1066" s="455">
        <f t="array" ref="J1066">IFERROR(INDEX('Retirement Calculator'!K:K,MATCH('Lorri 401b'!N1066,'Retirement Calculator'!A:A,0),0),0)</f>
        <v>20282.026119384056</v>
      </c>
      <c r="K1066" s="455">
        <f t="shared" ca="1" si="103"/>
        <v>-138435.76808891061</v>
      </c>
      <c r="L1066" s="455">
        <f t="shared" ca="1" si="104"/>
        <v>-33363020.109427456</v>
      </c>
      <c r="M1066" s="471">
        <f t="shared" si="106"/>
        <v>0.05</v>
      </c>
      <c r="N1066" s="475">
        <f t="shared" si="107"/>
        <v>83490</v>
      </c>
    </row>
    <row r="1067" spans="7:14" ht="11.25" customHeight="1" x14ac:dyDescent="0.3">
      <c r="G1067" s="470"/>
      <c r="H1067" s="470">
        <v>1060</v>
      </c>
      <c r="I1067" s="455">
        <f t="shared" ca="1" si="105"/>
        <v>-33363020.109427456</v>
      </c>
      <c r="J1067" s="455">
        <f t="array" ref="J1067">IFERROR(INDEX('Retirement Calculator'!K:K,MATCH('Lorri 401b'!N1067,'Retirement Calculator'!A:A,0),0),0)</f>
        <v>20282.026119384056</v>
      </c>
      <c r="K1067" s="455">
        <f t="shared" ca="1" si="103"/>
        <v>-139097.09223144519</v>
      </c>
      <c r="L1067" s="455">
        <f t="shared" ca="1" si="104"/>
        <v>-33522399.227778286</v>
      </c>
      <c r="M1067" s="471">
        <f t="shared" si="106"/>
        <v>0.05</v>
      </c>
      <c r="N1067" s="475">
        <f t="shared" si="107"/>
        <v>83521</v>
      </c>
    </row>
    <row r="1068" spans="7:14" ht="11.25" customHeight="1" x14ac:dyDescent="0.3">
      <c r="G1068" s="470"/>
      <c r="H1068" s="470">
        <v>1061</v>
      </c>
      <c r="I1068" s="455">
        <f t="shared" ca="1" si="105"/>
        <v>-33522399.227778286</v>
      </c>
      <c r="J1068" s="455">
        <f t="array" ref="J1068">IFERROR(INDEX('Retirement Calculator'!K:K,MATCH('Lorri 401b'!N1068,'Retirement Calculator'!A:A,0),0),0)</f>
        <v>20282.026119384056</v>
      </c>
      <c r="K1068" s="455">
        <f t="shared" ca="1" si="103"/>
        <v>-139761.17189124032</v>
      </c>
      <c r="L1068" s="455">
        <f t="shared" ca="1" si="104"/>
        <v>-33682442.425788909</v>
      </c>
      <c r="M1068" s="471">
        <f t="shared" si="106"/>
        <v>0.05</v>
      </c>
      <c r="N1068" s="475">
        <f t="shared" si="107"/>
        <v>83551</v>
      </c>
    </row>
    <row r="1069" spans="7:14" ht="11.25" customHeight="1" x14ac:dyDescent="0.3">
      <c r="G1069" s="470"/>
      <c r="H1069" s="470">
        <v>1062</v>
      </c>
      <c r="I1069" s="455">
        <f t="shared" ca="1" si="105"/>
        <v>-33682442.425788909</v>
      </c>
      <c r="J1069" s="455">
        <f t="array" ref="J1069">IFERROR(INDEX('Retirement Calculator'!K:K,MATCH('Lorri 401b'!N1069,'Retirement Calculator'!A:A,0),0),0)</f>
        <v>20282.026119384056</v>
      </c>
      <c r="K1069" s="455">
        <f t="shared" ca="1" si="103"/>
        <v>-140428.01854961787</v>
      </c>
      <c r="L1069" s="455">
        <f t="shared" ca="1" si="104"/>
        <v>-33843152.470457911</v>
      </c>
      <c r="M1069" s="471">
        <f t="shared" si="106"/>
        <v>0.05</v>
      </c>
      <c r="N1069" s="475">
        <f t="shared" si="107"/>
        <v>83582</v>
      </c>
    </row>
    <row r="1070" spans="7:14" ht="11.25" customHeight="1" x14ac:dyDescent="0.3">
      <c r="G1070" s="470"/>
      <c r="H1070" s="470">
        <v>1063</v>
      </c>
      <c r="I1070" s="455">
        <f t="shared" ca="1" si="105"/>
        <v>-33843152.470457911</v>
      </c>
      <c r="J1070" s="455">
        <f t="array" ref="J1070">IFERROR(INDEX('Retirement Calculator'!K:K,MATCH('Lorri 401b'!N1070,'Retirement Calculator'!A:A,0),0),0)</f>
        <v>20282.026119384056</v>
      </c>
      <c r="K1070" s="455">
        <f t="shared" ca="1" si="103"/>
        <v>-141097.6437357387</v>
      </c>
      <c r="L1070" s="455">
        <f t="shared" ca="1" si="104"/>
        <v>-34004532.140313029</v>
      </c>
      <c r="M1070" s="471">
        <f t="shared" si="106"/>
        <v>0.05</v>
      </c>
      <c r="N1070" s="475">
        <f t="shared" si="107"/>
        <v>83612</v>
      </c>
    </row>
    <row r="1071" spans="7:14" ht="11.25" customHeight="1" x14ac:dyDescent="0.3">
      <c r="G1071" s="470"/>
      <c r="H1071" s="470">
        <v>1064</v>
      </c>
      <c r="I1071" s="455">
        <f t="shared" ca="1" si="105"/>
        <v>-34004532.140313029</v>
      </c>
      <c r="J1071" s="455">
        <f t="array" ref="J1071">IFERROR(INDEX('Retirement Calculator'!K:K,MATCH('Lorri 401b'!N1071,'Retirement Calculator'!A:A,0),0),0)</f>
        <v>20282.026119384056</v>
      </c>
      <c r="K1071" s="455">
        <f t="shared" ca="1" si="103"/>
        <v>-141770.0590268017</v>
      </c>
      <c r="L1071" s="455">
        <f t="shared" ca="1" si="104"/>
        <v>-34166584.225459211</v>
      </c>
      <c r="M1071" s="471">
        <f t="shared" si="106"/>
        <v>0.05</v>
      </c>
      <c r="N1071" s="475">
        <f t="shared" si="107"/>
        <v>83643</v>
      </c>
    </row>
    <row r="1072" spans="7:14" ht="11.25" customHeight="1" x14ac:dyDescent="0.3">
      <c r="G1072" s="470"/>
      <c r="H1072" s="470">
        <v>1065</v>
      </c>
      <c r="I1072" s="455">
        <f t="shared" ca="1" si="105"/>
        <v>-34166584.225459211</v>
      </c>
      <c r="J1072" s="455">
        <f t="array" ref="J1072">IFERROR(INDEX('Retirement Calculator'!K:K,MATCH('Lorri 401b'!N1072,'Retirement Calculator'!A:A,0),0),0)</f>
        <v>20282.026119384056</v>
      </c>
      <c r="K1072" s="455">
        <f t="shared" ca="1" si="103"/>
        <v>-142445.27604824412</v>
      </c>
      <c r="L1072" s="455">
        <f t="shared" ca="1" si="104"/>
        <v>-34329311.527626835</v>
      </c>
      <c r="M1072" s="471">
        <f t="shared" si="106"/>
        <v>0.05</v>
      </c>
      <c r="N1072" s="475">
        <f t="shared" si="107"/>
        <v>83674</v>
      </c>
    </row>
    <row r="1073" spans="7:14" ht="11.25" customHeight="1" x14ac:dyDescent="0.3">
      <c r="G1073" s="470"/>
      <c r="H1073" s="470">
        <v>1066</v>
      </c>
      <c r="I1073" s="455">
        <f t="shared" ca="1" si="105"/>
        <v>-34329311.527626835</v>
      </c>
      <c r="J1073" s="455">
        <f t="array" ref="J1073">IFERROR(INDEX('Retirement Calculator'!K:K,MATCH('Lorri 401b'!N1073,'Retirement Calculator'!A:A,0),0),0)</f>
        <v>20282.026119384056</v>
      </c>
      <c r="K1073" s="455">
        <f t="shared" ca="1" si="103"/>
        <v>-143123.30647394256</v>
      </c>
      <c r="L1073" s="455">
        <f t="shared" ca="1" si="104"/>
        <v>-34492716.860220157</v>
      </c>
      <c r="M1073" s="471">
        <f t="shared" si="106"/>
        <v>0.05</v>
      </c>
      <c r="N1073" s="475">
        <f t="shared" si="107"/>
        <v>83702</v>
      </c>
    </row>
    <row r="1074" spans="7:14" ht="11.25" customHeight="1" x14ac:dyDescent="0.3">
      <c r="G1074" s="470"/>
      <c r="H1074" s="470">
        <v>1067</v>
      </c>
      <c r="I1074" s="455">
        <f t="shared" ca="1" si="105"/>
        <v>-34492716.860220157</v>
      </c>
      <c r="J1074" s="455">
        <f t="array" ref="J1074">IFERROR(INDEX('Retirement Calculator'!K:K,MATCH('Lorri 401b'!N1074,'Retirement Calculator'!A:A,0),0),0)</f>
        <v>20282.026119384056</v>
      </c>
      <c r="K1074" s="455">
        <f t="shared" ca="1" si="103"/>
        <v>-143804.16202641474</v>
      </c>
      <c r="L1074" s="455">
        <f t="shared" ca="1" si="104"/>
        <v>-34656803.048365951</v>
      </c>
      <c r="M1074" s="471">
        <f t="shared" si="106"/>
        <v>0.05</v>
      </c>
      <c r="N1074" s="475">
        <f t="shared" si="107"/>
        <v>83733</v>
      </c>
    </row>
    <row r="1075" spans="7:14" ht="11.25" customHeight="1" x14ac:dyDescent="0.3">
      <c r="G1075" s="470"/>
      <c r="H1075" s="470">
        <v>1068</v>
      </c>
      <c r="I1075" s="455">
        <f t="shared" ca="1" si="105"/>
        <v>-34656803.048365951</v>
      </c>
      <c r="J1075" s="455">
        <f t="array" ref="J1075">IFERROR(INDEX('Retirement Calculator'!K:K,MATCH('Lorri 401b'!N1075,'Retirement Calculator'!A:A,0),0),0)</f>
        <v>20282.026119384056</v>
      </c>
      <c r="K1075" s="455">
        <f t="shared" ca="1" si="103"/>
        <v>-144487.85447702222</v>
      </c>
      <c r="L1075" s="455">
        <f t="shared" ca="1" si="104"/>
        <v>-34821572.928962357</v>
      </c>
      <c r="M1075" s="471">
        <f t="shared" si="106"/>
        <v>0.05</v>
      </c>
      <c r="N1075" s="475">
        <f t="shared" si="107"/>
        <v>83763</v>
      </c>
    </row>
    <row r="1076" spans="7:14" ht="11.25" customHeight="1" x14ac:dyDescent="0.3">
      <c r="G1076" s="470"/>
      <c r="H1076" s="470">
        <v>1069</v>
      </c>
      <c r="I1076" s="455">
        <f t="shared" ca="1" si="105"/>
        <v>-34821572.928962357</v>
      </c>
      <c r="J1076" s="455">
        <f t="array" ref="J1076">IFERROR(INDEX('Retirement Calculator'!K:K,MATCH('Lorri 401b'!N1076,'Retirement Calculator'!A:A,0),0),0)</f>
        <v>20282.026119384056</v>
      </c>
      <c r="K1076" s="455">
        <f t="shared" ca="1" si="103"/>
        <v>-145174.39564617391</v>
      </c>
      <c r="L1076" s="455">
        <f t="shared" ca="1" si="104"/>
        <v>-34987029.350727916</v>
      </c>
      <c r="M1076" s="471">
        <f t="shared" si="106"/>
        <v>0.05</v>
      </c>
      <c r="N1076" s="475">
        <f t="shared" si="107"/>
        <v>83794</v>
      </c>
    </row>
    <row r="1077" spans="7:14" ht="11.25" customHeight="1" x14ac:dyDescent="0.3">
      <c r="G1077" s="470"/>
      <c r="H1077" s="470">
        <v>1070</v>
      </c>
      <c r="I1077" s="455">
        <f t="shared" ca="1" si="105"/>
        <v>-34987029.350727916</v>
      </c>
      <c r="J1077" s="455">
        <f t="array" ref="J1077">IFERROR(INDEX('Retirement Calculator'!K:K,MATCH('Lorri 401b'!N1077,'Retirement Calculator'!A:A,0),0),0)</f>
        <v>20282.026119384056</v>
      </c>
      <c r="K1077" s="455">
        <f t="shared" ca="1" si="103"/>
        <v>-145863.79740353039</v>
      </c>
      <c r="L1077" s="455">
        <f t="shared" ca="1" si="104"/>
        <v>-35153175.174250826</v>
      </c>
      <c r="M1077" s="471">
        <f t="shared" si="106"/>
        <v>0.05</v>
      </c>
      <c r="N1077" s="475">
        <f t="shared" si="107"/>
        <v>83824</v>
      </c>
    </row>
    <row r="1078" spans="7:14" ht="11.25" customHeight="1" x14ac:dyDescent="0.3">
      <c r="G1078" s="470"/>
      <c r="H1078" s="470">
        <v>1071</v>
      </c>
      <c r="I1078" s="455">
        <f t="shared" ca="1" si="105"/>
        <v>-35153175.174250826</v>
      </c>
      <c r="J1078" s="455">
        <f t="array" ref="J1078">IFERROR(INDEX('Retirement Calculator'!K:K,MATCH('Lorri 401b'!N1078,'Retirement Calculator'!A:A,0),0),0)</f>
        <v>20282.026119384056</v>
      </c>
      <c r="K1078" s="455">
        <f t="shared" ca="1" si="103"/>
        <v>-146556.07166820919</v>
      </c>
      <c r="L1078" s="455">
        <f t="shared" ca="1" si="104"/>
        <v>-35320013.272038415</v>
      </c>
      <c r="M1078" s="471">
        <f t="shared" si="106"/>
        <v>0.05</v>
      </c>
      <c r="N1078" s="475">
        <f t="shared" si="107"/>
        <v>83855</v>
      </c>
    </row>
    <row r="1079" spans="7:14" ht="11.25" customHeight="1" x14ac:dyDescent="0.3">
      <c r="G1079" s="470"/>
      <c r="H1079" s="470">
        <v>1072</v>
      </c>
      <c r="I1079" s="455">
        <f t="shared" ca="1" si="105"/>
        <v>-35320013.272038415</v>
      </c>
      <c r="J1079" s="455">
        <f t="array" ref="J1079">IFERROR(INDEX('Retirement Calculator'!K:K,MATCH('Lorri 401b'!N1079,'Retirement Calculator'!A:A,0),0),0)</f>
        <v>20282.026119384056</v>
      </c>
      <c r="K1079" s="455">
        <f t="shared" ca="1" si="103"/>
        <v>-147251.23040899081</v>
      </c>
      <c r="L1079" s="455">
        <f t="shared" ca="1" si="104"/>
        <v>-35487546.528566785</v>
      </c>
      <c r="M1079" s="471">
        <f t="shared" si="106"/>
        <v>0.05</v>
      </c>
      <c r="N1079" s="475">
        <f t="shared" si="107"/>
        <v>83886</v>
      </c>
    </row>
    <row r="1080" spans="7:14" ht="11.25" customHeight="1" x14ac:dyDescent="0.3">
      <c r="G1080" s="470"/>
      <c r="H1080" s="470">
        <v>1073</v>
      </c>
      <c r="I1080" s="455">
        <f t="shared" ca="1" si="105"/>
        <v>-35487546.528566785</v>
      </c>
      <c r="J1080" s="455">
        <f t="array" ref="J1080">IFERROR(INDEX('Retirement Calculator'!K:K,MATCH('Lorri 401b'!N1080,'Retirement Calculator'!A:A,0),0),0)</f>
        <v>20282.026119384056</v>
      </c>
      <c r="K1080" s="455">
        <f t="shared" ca="1" si="103"/>
        <v>-147949.28564452569</v>
      </c>
      <c r="L1080" s="455">
        <f t="shared" ca="1" si="104"/>
        <v>-35655777.84033069</v>
      </c>
      <c r="M1080" s="471">
        <f t="shared" si="106"/>
        <v>0.05</v>
      </c>
      <c r="N1080" s="475">
        <f t="shared" si="107"/>
        <v>83916</v>
      </c>
    </row>
    <row r="1081" spans="7:14" ht="11.25" customHeight="1" x14ac:dyDescent="0.3">
      <c r="G1081" s="470"/>
      <c r="H1081" s="470">
        <v>1074</v>
      </c>
      <c r="I1081" s="455">
        <f t="shared" ca="1" si="105"/>
        <v>-35655777.84033069</v>
      </c>
      <c r="J1081" s="455">
        <f t="array" ref="J1081">IFERROR(INDEX('Retirement Calculator'!K:K,MATCH('Lorri 401b'!N1081,'Retirement Calculator'!A:A,0),0),0)</f>
        <v>20282.026119384056</v>
      </c>
      <c r="K1081" s="455">
        <f t="shared" ca="1" si="103"/>
        <v>-148650.24944354195</v>
      </c>
      <c r="L1081" s="455">
        <f t="shared" ca="1" si="104"/>
        <v>-35824710.11589361</v>
      </c>
      <c r="M1081" s="471">
        <f t="shared" si="106"/>
        <v>0.05</v>
      </c>
      <c r="N1081" s="475">
        <f t="shared" si="107"/>
        <v>83947</v>
      </c>
    </row>
    <row r="1082" spans="7:14" ht="11.25" customHeight="1" x14ac:dyDescent="0.3">
      <c r="G1082" s="470"/>
      <c r="H1082" s="470">
        <v>1075</v>
      </c>
      <c r="I1082" s="455">
        <f t="shared" ca="1" si="105"/>
        <v>-35824710.11589361</v>
      </c>
      <c r="J1082" s="455">
        <f t="array" ref="J1082">IFERROR(INDEX('Retirement Calculator'!K:K,MATCH('Lorri 401b'!N1082,'Retirement Calculator'!A:A,0),0),0)</f>
        <v>20282.026119384056</v>
      </c>
      <c r="K1082" s="455">
        <f t="shared" ca="1" si="103"/>
        <v>-149354.13392505414</v>
      </c>
      <c r="L1082" s="455">
        <f t="shared" ca="1" si="104"/>
        <v>-35994346.275938042</v>
      </c>
      <c r="M1082" s="471">
        <f t="shared" si="106"/>
        <v>0.05</v>
      </c>
      <c r="N1082" s="475">
        <f t="shared" si="107"/>
        <v>83977</v>
      </c>
    </row>
    <row r="1083" spans="7:14" ht="11.25" customHeight="1" x14ac:dyDescent="0.3">
      <c r="G1083" s="470"/>
      <c r="H1083" s="470">
        <v>1076</v>
      </c>
      <c r="I1083" s="455">
        <f t="shared" ca="1" si="105"/>
        <v>-35994346.275938042</v>
      </c>
      <c r="J1083" s="455">
        <f t="array" ref="J1083">IFERROR(INDEX('Retirement Calculator'!K:K,MATCH('Lorri 401b'!N1083,'Retirement Calculator'!A:A,0),0),0)</f>
        <v>20282.026119384056</v>
      </c>
      <c r="K1083" s="455">
        <f t="shared" ca="1" si="103"/>
        <v>-150060.9512585726</v>
      </c>
      <c r="L1083" s="455">
        <f t="shared" ca="1" si="104"/>
        <v>-36164689.253315993</v>
      </c>
      <c r="M1083" s="471">
        <f t="shared" si="106"/>
        <v>0.05</v>
      </c>
      <c r="N1083" s="475">
        <f t="shared" si="107"/>
        <v>84008</v>
      </c>
    </row>
    <row r="1084" spans="7:14" ht="11.25" customHeight="1" x14ac:dyDescent="0.3">
      <c r="G1084" s="470"/>
      <c r="H1084" s="470">
        <v>1077</v>
      </c>
      <c r="I1084" s="455">
        <f t="shared" ca="1" si="105"/>
        <v>-36164689.253315993</v>
      </c>
      <c r="J1084" s="455">
        <f t="array" ref="J1084">IFERROR(INDEX('Retirement Calculator'!K:K,MATCH('Lorri 401b'!N1084,'Retirement Calculator'!A:A,0),0),0)</f>
        <v>20282.026119384056</v>
      </c>
      <c r="K1084" s="455">
        <f t="shared" ca="1" si="103"/>
        <v>-150770.71366431407</v>
      </c>
      <c r="L1084" s="455">
        <f t="shared" ca="1" si="104"/>
        <v>-36335741.993099689</v>
      </c>
      <c r="M1084" s="471">
        <f t="shared" si="106"/>
        <v>0.05</v>
      </c>
      <c r="N1084" s="475">
        <f t="shared" si="107"/>
        <v>84039</v>
      </c>
    </row>
    <row r="1085" spans="7:14" ht="11.25" customHeight="1" x14ac:dyDescent="0.3">
      <c r="G1085" s="470"/>
      <c r="H1085" s="470">
        <v>1078</v>
      </c>
      <c r="I1085" s="455">
        <f t="shared" ca="1" si="105"/>
        <v>-36335741.993099689</v>
      </c>
      <c r="J1085" s="455">
        <f t="array" ref="J1085">IFERROR(INDEX('Retirement Calculator'!K:K,MATCH('Lorri 401b'!N1085,'Retirement Calculator'!A:A,0),0),0)</f>
        <v>20282.026119384056</v>
      </c>
      <c r="K1085" s="455">
        <f t="shared" ca="1" si="103"/>
        <v>-151483.4334134128</v>
      </c>
      <c r="L1085" s="455">
        <f t="shared" ca="1" si="104"/>
        <v>-36507507.452632487</v>
      </c>
      <c r="M1085" s="471">
        <f t="shared" si="106"/>
        <v>0.05</v>
      </c>
      <c r="N1085" s="475">
        <f t="shared" si="107"/>
        <v>84067</v>
      </c>
    </row>
    <row r="1086" spans="7:14" ht="11.25" customHeight="1" x14ac:dyDescent="0.3">
      <c r="G1086" s="470"/>
      <c r="H1086" s="470">
        <v>1079</v>
      </c>
      <c r="I1086" s="455">
        <f t="shared" ca="1" si="105"/>
        <v>-36507507.452632487</v>
      </c>
      <c r="J1086" s="455">
        <f t="array" ref="J1086">IFERROR(INDEX('Retirement Calculator'!K:K,MATCH('Lorri 401b'!N1086,'Retirement Calculator'!A:A,0),0),0)</f>
        <v>20282.026119384056</v>
      </c>
      <c r="K1086" s="455">
        <f t="shared" ca="1" si="103"/>
        <v>-152199.12282813279</v>
      </c>
      <c r="L1086" s="455">
        <f t="shared" ca="1" si="104"/>
        <v>-36679988.601580001</v>
      </c>
      <c r="M1086" s="471">
        <f t="shared" si="106"/>
        <v>0.05</v>
      </c>
      <c r="N1086" s="475">
        <f t="shared" si="107"/>
        <v>84098</v>
      </c>
    </row>
    <row r="1087" spans="7:14" ht="11.25" customHeight="1" x14ac:dyDescent="0.3">
      <c r="G1087" s="470"/>
      <c r="H1087" s="470">
        <v>1080</v>
      </c>
      <c r="I1087" s="455">
        <f t="shared" ca="1" si="105"/>
        <v>-36679988.601580001</v>
      </c>
      <c r="J1087" s="455">
        <f t="array" ref="J1087">IFERROR(INDEX('Retirement Calculator'!K:K,MATCH('Lorri 401b'!N1087,'Retirement Calculator'!A:A,0),0),0)</f>
        <v>20282.026119384056</v>
      </c>
      <c r="K1087" s="455">
        <f t="shared" ca="1" si="103"/>
        <v>-152917.79428208075</v>
      </c>
      <c r="L1087" s="455">
        <f t="shared" ca="1" si="104"/>
        <v>-36853188.421981461</v>
      </c>
      <c r="M1087" s="471">
        <f t="shared" si="106"/>
        <v>0.05</v>
      </c>
      <c r="N1087" s="475">
        <f t="shared" si="107"/>
        <v>84128</v>
      </c>
    </row>
    <row r="1088" spans="7:14" ht="11.25" customHeight="1" x14ac:dyDescent="0.3">
      <c r="G1088" s="470"/>
      <c r="H1088" s="470">
        <v>1081</v>
      </c>
      <c r="I1088" s="455">
        <f t="shared" ca="1" si="105"/>
        <v>-36853188.421981461</v>
      </c>
      <c r="J1088" s="455">
        <f t="array" ref="J1088">IFERROR(INDEX('Retirement Calculator'!K:K,MATCH('Lorri 401b'!N1088,'Retirement Calculator'!A:A,0),0),0)</f>
        <v>20282.026119384056</v>
      </c>
      <c r="K1088" s="455">
        <f t="shared" ca="1" si="103"/>
        <v>-153639.46020042017</v>
      </c>
      <c r="L1088" s="455">
        <f t="shared" ca="1" si="104"/>
        <v>-37027109.908301264</v>
      </c>
      <c r="M1088" s="471">
        <f t="shared" si="106"/>
        <v>0.05</v>
      </c>
      <c r="N1088" s="475">
        <f t="shared" si="107"/>
        <v>84159</v>
      </c>
    </row>
    <row r="1089" spans="7:14" ht="11.25" customHeight="1" x14ac:dyDescent="0.3">
      <c r="G1089" s="470"/>
      <c r="H1089" s="470">
        <v>1082</v>
      </c>
      <c r="I1089" s="455">
        <f t="shared" ca="1" si="105"/>
        <v>-37027109.908301264</v>
      </c>
      <c r="J1089" s="455">
        <f t="array" ref="J1089">IFERROR(INDEX('Retirement Calculator'!K:K,MATCH('Lorri 401b'!N1089,'Retirement Calculator'!A:A,0),0),0)</f>
        <v>20282.026119384056</v>
      </c>
      <c r="K1089" s="455">
        <f t="shared" ca="1" si="103"/>
        <v>-154364.13306008602</v>
      </c>
      <c r="L1089" s="455">
        <f t="shared" ca="1" si="104"/>
        <v>-37201756.067480728</v>
      </c>
      <c r="M1089" s="471">
        <f t="shared" si="106"/>
        <v>0.05</v>
      </c>
      <c r="N1089" s="475">
        <f t="shared" si="107"/>
        <v>84189</v>
      </c>
    </row>
    <row r="1090" spans="7:14" ht="11.25" customHeight="1" x14ac:dyDescent="0.3">
      <c r="G1090" s="470"/>
      <c r="H1090" s="470">
        <v>1083</v>
      </c>
      <c r="I1090" s="455">
        <f t="shared" ca="1" si="105"/>
        <v>-37201756.067480728</v>
      </c>
      <c r="J1090" s="455">
        <f t="array" ref="J1090">IFERROR(INDEX('Retirement Calculator'!K:K,MATCH('Lorri 401b'!N1090,'Retirement Calculator'!A:A,0),0),0)</f>
        <v>20282.026119384056</v>
      </c>
      <c r="K1090" s="455">
        <f t="shared" ca="1" si="103"/>
        <v>-155091.82539000045</v>
      </c>
      <c r="L1090" s="455">
        <f t="shared" ca="1" si="104"/>
        <v>-37377129.918990113</v>
      </c>
      <c r="M1090" s="471">
        <f t="shared" si="106"/>
        <v>0.05</v>
      </c>
      <c r="N1090" s="475">
        <f t="shared" si="107"/>
        <v>84220</v>
      </c>
    </row>
    <row r="1091" spans="7:14" ht="11.25" customHeight="1" x14ac:dyDescent="0.3">
      <c r="G1091" s="470"/>
      <c r="H1091" s="470">
        <v>1084</v>
      </c>
      <c r="I1091" s="455">
        <f t="shared" ca="1" si="105"/>
        <v>-37377129.918990113</v>
      </c>
      <c r="J1091" s="455">
        <f t="array" ref="J1091">IFERROR(INDEX('Retirement Calculator'!K:K,MATCH('Lorri 401b'!N1091,'Retirement Calculator'!A:A,0),0),0)</f>
        <v>20282.026119384056</v>
      </c>
      <c r="K1091" s="455">
        <f t="shared" ca="1" si="103"/>
        <v>-155822.54977128954</v>
      </c>
      <c r="L1091" s="455">
        <f t="shared" ca="1" si="104"/>
        <v>-37553234.494880781</v>
      </c>
      <c r="M1091" s="471">
        <f t="shared" si="106"/>
        <v>0.05</v>
      </c>
      <c r="N1091" s="475">
        <f t="shared" si="107"/>
        <v>84251</v>
      </c>
    </row>
    <row r="1092" spans="7:14" ht="11.25" customHeight="1" x14ac:dyDescent="0.3">
      <c r="G1092" s="470"/>
      <c r="H1092" s="470">
        <v>1085</v>
      </c>
      <c r="I1092" s="455">
        <f t="shared" ca="1" si="105"/>
        <v>-37553234.494880781</v>
      </c>
      <c r="J1092" s="455">
        <f t="array" ref="J1092">IFERROR(INDEX('Retirement Calculator'!K:K,MATCH('Lorri 401b'!N1092,'Retirement Calculator'!A:A,0),0),0)</f>
        <v>20282.026119384056</v>
      </c>
      <c r="K1092" s="455">
        <f t="shared" ca="1" si="103"/>
        <v>-156556.31883750067</v>
      </c>
      <c r="L1092" s="455">
        <f t="shared" ca="1" si="104"/>
        <v>-37730072.839837663</v>
      </c>
      <c r="M1092" s="471">
        <f t="shared" si="106"/>
        <v>0.05</v>
      </c>
      <c r="N1092" s="475">
        <f t="shared" si="107"/>
        <v>84281</v>
      </c>
    </row>
    <row r="1093" spans="7:14" ht="11.25" customHeight="1" x14ac:dyDescent="0.3">
      <c r="G1093" s="470"/>
      <c r="H1093" s="470">
        <v>1086</v>
      </c>
      <c r="I1093" s="455">
        <f t="shared" ca="1" si="105"/>
        <v>-37730072.839837663</v>
      </c>
      <c r="J1093" s="455">
        <f t="array" ref="J1093">IFERROR(INDEX('Retirement Calculator'!K:K,MATCH('Lorri 401b'!N1093,'Retirement Calculator'!A:A,0),0),0)</f>
        <v>20282.026119384056</v>
      </c>
      <c r="K1093" s="455">
        <f t="shared" ca="1" si="103"/>
        <v>-157293.14527482103</v>
      </c>
      <c r="L1093" s="455">
        <f t="shared" ca="1" si="104"/>
        <v>-37907648.011231862</v>
      </c>
      <c r="M1093" s="471">
        <f t="shared" si="106"/>
        <v>0.05</v>
      </c>
      <c r="N1093" s="475">
        <f t="shared" si="107"/>
        <v>84312</v>
      </c>
    </row>
    <row r="1094" spans="7:14" ht="11.25" customHeight="1" x14ac:dyDescent="0.3">
      <c r="G1094" s="470"/>
      <c r="H1094" s="470">
        <v>1087</v>
      </c>
      <c r="I1094" s="455">
        <f t="shared" ca="1" si="105"/>
        <v>-37907648.011231862</v>
      </c>
      <c r="J1094" s="455">
        <f t="array" ref="J1094">IFERROR(INDEX('Retirement Calculator'!K:K,MATCH('Lorri 401b'!N1094,'Retirement Calculator'!A:A,0),0),0)</f>
        <v>20282.026119384056</v>
      </c>
      <c r="K1094" s="455">
        <f t="shared" ca="1" si="103"/>
        <v>-158033.04182229686</v>
      </c>
      <c r="L1094" s="455">
        <f t="shared" ca="1" si="104"/>
        <v>-38085963.079173543</v>
      </c>
      <c r="M1094" s="471">
        <f t="shared" si="106"/>
        <v>0.05</v>
      </c>
      <c r="N1094" s="475">
        <f t="shared" si="107"/>
        <v>84342</v>
      </c>
    </row>
    <row r="1095" spans="7:14" ht="11.25" customHeight="1" x14ac:dyDescent="0.3">
      <c r="G1095" s="470"/>
      <c r="H1095" s="470">
        <v>1088</v>
      </c>
      <c r="I1095" s="455">
        <f t="shared" ca="1" si="105"/>
        <v>-38085963.079173543</v>
      </c>
      <c r="J1095" s="455">
        <f t="array" ref="J1095">IFERROR(INDEX('Retirement Calculator'!K:K,MATCH('Lorri 401b'!N1095,'Retirement Calculator'!A:A,0),0),0)</f>
        <v>20282.026119384056</v>
      </c>
      <c r="K1095" s="455">
        <f t="shared" ca="1" si="103"/>
        <v>-158776.02127205385</v>
      </c>
      <c r="L1095" s="455">
        <f t="shared" ca="1" si="104"/>
        <v>-38265021.12656498</v>
      </c>
      <c r="M1095" s="471">
        <f t="shared" si="106"/>
        <v>0.05</v>
      </c>
      <c r="N1095" s="475">
        <f t="shared" si="107"/>
        <v>84373</v>
      </c>
    </row>
    <row r="1096" spans="7:14" ht="11.25" customHeight="1" x14ac:dyDescent="0.3">
      <c r="G1096" s="470"/>
      <c r="H1096" s="470">
        <v>1089</v>
      </c>
      <c r="I1096" s="455">
        <f t="shared" ca="1" si="105"/>
        <v>-38265021.12656498</v>
      </c>
      <c r="J1096" s="455">
        <f t="array" ref="J1096">IFERROR(INDEX('Retirement Calculator'!K:K,MATCH('Lorri 401b'!N1096,'Retirement Calculator'!A:A,0),0),0)</f>
        <v>20282.026119384056</v>
      </c>
      <c r="K1096" s="455">
        <f t="shared" ca="1" si="103"/>
        <v>-159522.09646951818</v>
      </c>
      <c r="L1096" s="455">
        <f t="shared" ca="1" si="104"/>
        <v>-38444825.249153882</v>
      </c>
      <c r="M1096" s="471">
        <f t="shared" si="106"/>
        <v>0.05</v>
      </c>
      <c r="N1096" s="475">
        <f t="shared" si="107"/>
        <v>84404</v>
      </c>
    </row>
    <row r="1097" spans="7:14" ht="11.25" customHeight="1" x14ac:dyDescent="0.3">
      <c r="G1097" s="470"/>
      <c r="H1097" s="470">
        <v>1090</v>
      </c>
      <c r="I1097" s="455">
        <f t="shared" ca="1" si="105"/>
        <v>-38444825.249153882</v>
      </c>
      <c r="J1097" s="455">
        <f t="array" ref="J1097">IFERROR(INDEX('Retirement Calculator'!K:K,MATCH('Lorri 401b'!N1097,'Retirement Calculator'!A:A,0),0),0)</f>
        <v>20282.026119384056</v>
      </c>
      <c r="K1097" s="455">
        <f t="shared" ca="1" si="103"/>
        <v>-160271.28031363859</v>
      </c>
      <c r="L1097" s="455">
        <f t="shared" ca="1" si="104"/>
        <v>-38625378.555586904</v>
      </c>
      <c r="M1097" s="471">
        <f t="shared" si="106"/>
        <v>0.05</v>
      </c>
      <c r="N1097" s="475">
        <f t="shared" si="107"/>
        <v>84432</v>
      </c>
    </row>
    <row r="1098" spans="7:14" ht="11.25" customHeight="1" x14ac:dyDescent="0.3">
      <c r="G1098" s="470"/>
      <c r="H1098" s="470">
        <v>1091</v>
      </c>
      <c r="I1098" s="455">
        <f t="shared" ca="1" si="105"/>
        <v>-38625378.555586904</v>
      </c>
      <c r="J1098" s="455">
        <f t="array" ref="J1098">IFERROR(INDEX('Retirement Calculator'!K:K,MATCH('Lorri 401b'!N1098,'Retirement Calculator'!A:A,0),0),0)</f>
        <v>20282.026119384056</v>
      </c>
      <c r="K1098" s="455">
        <f t="shared" ca="1" si="103"/>
        <v>-161023.58575710951</v>
      </c>
      <c r="L1098" s="455">
        <f t="shared" ca="1" si="104"/>
        <v>-38806684.167463392</v>
      </c>
      <c r="M1098" s="471">
        <f t="shared" si="106"/>
        <v>0.05</v>
      </c>
      <c r="N1098" s="475">
        <f t="shared" si="107"/>
        <v>84463</v>
      </c>
    </row>
    <row r="1099" spans="7:14" ht="11.25" customHeight="1" x14ac:dyDescent="0.3">
      <c r="G1099" s="470"/>
      <c r="H1099" s="470">
        <v>1092</v>
      </c>
      <c r="I1099" s="455">
        <f t="shared" ca="1" si="105"/>
        <v>-38806684.167463392</v>
      </c>
      <c r="J1099" s="455">
        <f t="array" ref="J1099">IFERROR(INDEX('Retirement Calculator'!K:K,MATCH('Lorri 401b'!N1099,'Retirement Calculator'!A:A,0),0),0)</f>
        <v>20282.026119384056</v>
      </c>
      <c r="K1099" s="455">
        <f t="shared" ca="1" si="103"/>
        <v>-161779.02580659487</v>
      </c>
      <c r="L1099" s="455">
        <f t="shared" ca="1" si="104"/>
        <v>-38988745.219389372</v>
      </c>
      <c r="M1099" s="471">
        <f t="shared" si="106"/>
        <v>0.05</v>
      </c>
      <c r="N1099" s="475">
        <f t="shared" si="107"/>
        <v>84493</v>
      </c>
    </row>
    <row r="1100" spans="7:14" ht="11.25" customHeight="1" x14ac:dyDescent="0.3">
      <c r="G1100" s="470"/>
      <c r="H1100" s="470">
        <v>1093</v>
      </c>
      <c r="I1100" s="455">
        <f t="shared" ca="1" si="105"/>
        <v>-38988745.219389372</v>
      </c>
      <c r="J1100" s="455">
        <f t="array" ref="J1100">IFERROR(INDEX('Retirement Calculator'!K:K,MATCH('Lorri 401b'!N1100,'Retirement Calculator'!A:A,0),0),0)</f>
        <v>20282.026119384056</v>
      </c>
      <c r="K1100" s="455">
        <f t="shared" ca="1" si="103"/>
        <v>-162537.61352295312</v>
      </c>
      <c r="L1100" s="455">
        <f t="shared" ca="1" si="104"/>
        <v>-39171564.859031707</v>
      </c>
      <c r="M1100" s="471">
        <f t="shared" si="106"/>
        <v>0.05</v>
      </c>
      <c r="N1100" s="475">
        <f t="shared" si="107"/>
        <v>84524</v>
      </c>
    </row>
    <row r="1101" spans="7:14" ht="11.25" customHeight="1" x14ac:dyDescent="0.3">
      <c r="G1101" s="470"/>
      <c r="H1101" s="470">
        <v>1094</v>
      </c>
      <c r="I1101" s="455">
        <f t="shared" ca="1" si="105"/>
        <v>-39171564.859031707</v>
      </c>
      <c r="J1101" s="455">
        <f t="array" ref="J1101">IFERROR(INDEX('Retirement Calculator'!K:K,MATCH('Lorri 401b'!N1101,'Retirement Calculator'!A:A,0),0),0)</f>
        <v>20282.026119384056</v>
      </c>
      <c r="K1101" s="455">
        <f t="shared" ca="1" si="103"/>
        <v>-163299.36202146288</v>
      </c>
      <c r="L1101" s="455">
        <f t="shared" ca="1" si="104"/>
        <v>-39355146.247172549</v>
      </c>
      <c r="M1101" s="471">
        <f t="shared" si="106"/>
        <v>0.05</v>
      </c>
      <c r="N1101" s="475">
        <f t="shared" si="107"/>
        <v>84554</v>
      </c>
    </row>
    <row r="1102" spans="7:14" ht="11.25" customHeight="1" x14ac:dyDescent="0.3">
      <c r="G1102" s="470"/>
      <c r="H1102" s="470">
        <v>1095</v>
      </c>
      <c r="I1102" s="455">
        <f t="shared" ca="1" si="105"/>
        <v>-39355146.247172549</v>
      </c>
      <c r="J1102" s="455">
        <f t="array" ref="J1102">IFERROR(INDEX('Retirement Calculator'!K:K,MATCH('Lorri 401b'!N1102,'Retirement Calculator'!A:A,0),0),0)</f>
        <v>20282.026119384056</v>
      </c>
      <c r="K1102" s="455">
        <f t="shared" ca="1" si="103"/>
        <v>-164064.28447204971</v>
      </c>
      <c r="L1102" s="455">
        <f t="shared" ca="1" si="104"/>
        <v>-39539492.557763979</v>
      </c>
      <c r="M1102" s="471">
        <f t="shared" si="106"/>
        <v>0.05</v>
      </c>
      <c r="N1102" s="475">
        <f t="shared" si="107"/>
        <v>84585</v>
      </c>
    </row>
    <row r="1103" spans="7:14" ht="11.25" customHeight="1" x14ac:dyDescent="0.3">
      <c r="G1103" s="470"/>
      <c r="H1103" s="470">
        <v>1096</v>
      </c>
      <c r="I1103" s="455">
        <f t="shared" ca="1" si="105"/>
        <v>-39539492.557763979</v>
      </c>
      <c r="J1103" s="455">
        <f t="array" ref="J1103">IFERROR(INDEX('Retirement Calculator'!K:K,MATCH('Lorri 401b'!N1103,'Retirement Calculator'!A:A,0),0),0)</f>
        <v>20282.026119384056</v>
      </c>
      <c r="K1103" s="455">
        <f t="shared" ca="1" si="103"/>
        <v>-164832.394099514</v>
      </c>
      <c r="L1103" s="455">
        <f t="shared" ca="1" si="104"/>
        <v>-39724606.977982871</v>
      </c>
      <c r="M1103" s="471">
        <f t="shared" si="106"/>
        <v>0.05</v>
      </c>
      <c r="N1103" s="475">
        <f t="shared" si="107"/>
        <v>84616</v>
      </c>
    </row>
    <row r="1104" spans="7:14" ht="11.25" customHeight="1" x14ac:dyDescent="0.3">
      <c r="G1104" s="470"/>
      <c r="H1104" s="470">
        <v>1097</v>
      </c>
      <c r="I1104" s="455">
        <f t="shared" ca="1" si="105"/>
        <v>-39724606.977982871</v>
      </c>
      <c r="J1104" s="455">
        <f t="array" ref="J1104">IFERROR(INDEX('Retirement Calculator'!K:K,MATCH('Lorri 401b'!N1104,'Retirement Calculator'!A:A,0),0),0)</f>
        <v>20282.026119384056</v>
      </c>
      <c r="K1104" s="455">
        <f t="shared" ca="1" si="103"/>
        <v>-165603.70418375937</v>
      </c>
      <c r="L1104" s="455">
        <f t="shared" ca="1" si="104"/>
        <v>-39910492.70828601</v>
      </c>
      <c r="M1104" s="471">
        <f t="shared" si="106"/>
        <v>0.05</v>
      </c>
      <c r="N1104" s="475">
        <f t="shared" si="107"/>
        <v>84646</v>
      </c>
    </row>
    <row r="1105" spans="7:14" ht="11.25" customHeight="1" x14ac:dyDescent="0.3">
      <c r="G1105" s="470"/>
      <c r="H1105" s="470">
        <v>1098</v>
      </c>
      <c r="I1105" s="455">
        <f t="shared" ca="1" si="105"/>
        <v>-39910492.70828601</v>
      </c>
      <c r="J1105" s="455">
        <f t="array" ref="J1105">IFERROR(INDEX('Retirement Calculator'!K:K,MATCH('Lorri 401b'!N1105,'Retirement Calculator'!A:A,0),0),0)</f>
        <v>20282.026119384056</v>
      </c>
      <c r="K1105" s="455">
        <f t="shared" ca="1" si="103"/>
        <v>-166378.22806002246</v>
      </c>
      <c r="L1105" s="455">
        <f t="shared" ca="1" si="104"/>
        <v>-40097152.962465413</v>
      </c>
      <c r="M1105" s="471">
        <f t="shared" si="106"/>
        <v>0.05</v>
      </c>
      <c r="N1105" s="475">
        <f t="shared" si="107"/>
        <v>84677</v>
      </c>
    </row>
    <row r="1106" spans="7:14" ht="11.25" customHeight="1" x14ac:dyDescent="0.3">
      <c r="G1106" s="470"/>
      <c r="H1106" s="470">
        <v>1099</v>
      </c>
      <c r="I1106" s="455">
        <f t="shared" ca="1" si="105"/>
        <v>-40097152.962465413</v>
      </c>
      <c r="J1106" s="455">
        <f t="array" ref="J1106">IFERROR(INDEX('Retirement Calculator'!K:K,MATCH('Lorri 401b'!N1106,'Retirement Calculator'!A:A,0),0),0)</f>
        <v>20282.026119384056</v>
      </c>
      <c r="K1106" s="455">
        <f t="shared" ca="1" si="103"/>
        <v>-167155.97911910331</v>
      </c>
      <c r="L1106" s="455">
        <f t="shared" ca="1" si="104"/>
        <v>-40284590.967703894</v>
      </c>
      <c r="M1106" s="471">
        <f t="shared" si="106"/>
        <v>0.05</v>
      </c>
      <c r="N1106" s="475">
        <f t="shared" si="107"/>
        <v>84707</v>
      </c>
    </row>
    <row r="1107" spans="7:14" ht="11.25" customHeight="1" x14ac:dyDescent="0.3">
      <c r="G1107" s="470"/>
      <c r="H1107" s="470">
        <v>1100</v>
      </c>
      <c r="I1107" s="455">
        <f t="shared" ca="1" si="105"/>
        <v>-40284590.967703894</v>
      </c>
      <c r="J1107" s="455">
        <f t="array" ref="J1107">IFERROR(INDEX('Retirement Calculator'!K:K,MATCH('Lorri 401b'!N1107,'Retirement Calculator'!A:A,0),0),0)</f>
        <v>20282.026119384056</v>
      </c>
      <c r="K1107" s="455">
        <f t="shared" ca="1" si="103"/>
        <v>-167936.97080759698</v>
      </c>
      <c r="L1107" s="455">
        <f t="shared" ca="1" si="104"/>
        <v>-40472809.964630872</v>
      </c>
      <c r="M1107" s="471">
        <f t="shared" si="106"/>
        <v>0.05</v>
      </c>
      <c r="N1107" s="475">
        <f t="shared" si="107"/>
        <v>84738</v>
      </c>
    </row>
    <row r="1108" spans="7:14" ht="11.25" customHeight="1" x14ac:dyDescent="0.3">
      <c r="G1108" s="470"/>
      <c r="H1108" s="470">
        <v>1101</v>
      </c>
      <c r="I1108" s="455">
        <f t="shared" ca="1" si="105"/>
        <v>-40472809.964630872</v>
      </c>
      <c r="J1108" s="455">
        <f t="array" ref="J1108">IFERROR(INDEX('Retirement Calculator'!K:K,MATCH('Lorri 401b'!N1108,'Retirement Calculator'!A:A,0),0),0)</f>
        <v>20282.026119384056</v>
      </c>
      <c r="K1108" s="455">
        <f t="shared" ca="1" si="103"/>
        <v>-168721.21662812604</v>
      </c>
      <c r="L1108" s="455">
        <f t="shared" ca="1" si="104"/>
        <v>-40661813.20737838</v>
      </c>
      <c r="M1108" s="471">
        <f t="shared" si="106"/>
        <v>0.05</v>
      </c>
      <c r="N1108" s="475">
        <f t="shared" si="107"/>
        <v>84769</v>
      </c>
    </row>
    <row r="1109" spans="7:14" ht="11.25" customHeight="1" x14ac:dyDescent="0.3">
      <c r="G1109" s="470"/>
      <c r="H1109" s="470">
        <v>1102</v>
      </c>
      <c r="I1109" s="455">
        <f t="shared" ca="1" si="105"/>
        <v>-40661813.20737838</v>
      </c>
      <c r="J1109" s="455">
        <f t="array" ref="J1109">IFERROR(INDEX('Retirement Calculator'!K:K,MATCH('Lorri 401b'!N1109,'Retirement Calculator'!A:A,0),0),0)</f>
        <v>20282.026119384056</v>
      </c>
      <c r="K1109" s="455">
        <f t="shared" ca="1" si="103"/>
        <v>-169508.73013957401</v>
      </c>
      <c r="L1109" s="455">
        <f t="shared" ca="1" si="104"/>
        <v>-40851603.963637337</v>
      </c>
      <c r="M1109" s="471">
        <f t="shared" si="106"/>
        <v>0.05</v>
      </c>
      <c r="N1109" s="475">
        <f t="shared" si="107"/>
        <v>84798</v>
      </c>
    </row>
    <row r="1110" spans="7:14" ht="11.25" customHeight="1" x14ac:dyDescent="0.3">
      <c r="G1110" s="470"/>
      <c r="H1110" s="470">
        <v>1103</v>
      </c>
      <c r="I1110" s="455">
        <f t="shared" ca="1" si="105"/>
        <v>-40851603.963637337</v>
      </c>
      <c r="J1110" s="455">
        <f t="array" ref="J1110">IFERROR(INDEX('Retirement Calculator'!K:K,MATCH('Lorri 401b'!N1110,'Retirement Calculator'!A:A,0),0),0)</f>
        <v>20282.026119384056</v>
      </c>
      <c r="K1110" s="455">
        <f t="shared" ca="1" si="103"/>
        <v>-170299.52495731966</v>
      </c>
      <c r="L1110" s="455">
        <f t="shared" ca="1" si="104"/>
        <v>-41042185.51471404</v>
      </c>
      <c r="M1110" s="471">
        <f t="shared" si="106"/>
        <v>0.05</v>
      </c>
      <c r="N1110" s="475">
        <f t="shared" si="107"/>
        <v>84829</v>
      </c>
    </row>
    <row r="1111" spans="7:14" ht="11.25" customHeight="1" x14ac:dyDescent="0.3">
      <c r="G1111" s="470"/>
      <c r="H1111" s="470">
        <v>1104</v>
      </c>
      <c r="I1111" s="455">
        <f t="shared" ca="1" si="105"/>
        <v>-41042185.51471404</v>
      </c>
      <c r="J1111" s="455">
        <f t="array" ref="J1111">IFERROR(INDEX('Retirement Calculator'!K:K,MATCH('Lorri 401b'!N1111,'Retirement Calculator'!A:A,0),0),0)</f>
        <v>20282.026119384056</v>
      </c>
      <c r="K1111" s="455">
        <f t="shared" ca="1" si="103"/>
        <v>-171093.61475347259</v>
      </c>
      <c r="L1111" s="455">
        <f t="shared" ca="1" si="104"/>
        <v>-41233561.155586891</v>
      </c>
      <c r="M1111" s="471">
        <f t="shared" si="106"/>
        <v>0.05</v>
      </c>
      <c r="N1111" s="475">
        <f t="shared" si="107"/>
        <v>84859</v>
      </c>
    </row>
    <row r="1112" spans="7:14" ht="11.25" customHeight="1" x14ac:dyDescent="0.3">
      <c r="G1112" s="470"/>
      <c r="H1112" s="470">
        <v>1105</v>
      </c>
      <c r="I1112" s="455">
        <f t="shared" ca="1" si="105"/>
        <v>-41233561.155586891</v>
      </c>
      <c r="J1112" s="455">
        <f t="array" ref="J1112">IFERROR(INDEX('Retirement Calculator'!K:K,MATCH('Lorri 401b'!N1112,'Retirement Calculator'!A:A,0),0),0)</f>
        <v>20282.026119384056</v>
      </c>
      <c r="K1112" s="455">
        <f t="shared" ca="1" si="103"/>
        <v>-171891.01325710947</v>
      </c>
      <c r="L1112" s="455">
        <f t="shared" ca="1" si="104"/>
        <v>-41425734.194963381</v>
      </c>
      <c r="M1112" s="471">
        <f t="shared" si="106"/>
        <v>0.05</v>
      </c>
      <c r="N1112" s="475">
        <f t="shared" si="107"/>
        <v>84890</v>
      </c>
    </row>
    <row r="1113" spans="7:14" ht="11.25" customHeight="1" x14ac:dyDescent="0.3">
      <c r="G1113" s="470"/>
      <c r="H1113" s="470">
        <v>1106</v>
      </c>
      <c r="I1113" s="455">
        <f t="shared" ca="1" si="105"/>
        <v>-41425734.194963381</v>
      </c>
      <c r="J1113" s="455">
        <f t="array" ref="J1113">IFERROR(INDEX('Retirement Calculator'!K:K,MATCH('Lorri 401b'!N1113,'Retirement Calculator'!A:A,0),0),0)</f>
        <v>20282.026119384056</v>
      </c>
      <c r="K1113" s="455">
        <f t="shared" ca="1" si="103"/>
        <v>-172691.73425451151</v>
      </c>
      <c r="L1113" s="455">
        <f t="shared" ca="1" si="104"/>
        <v>-41618707.955337271</v>
      </c>
      <c r="M1113" s="471">
        <f t="shared" si="106"/>
        <v>0.05</v>
      </c>
      <c r="N1113" s="475">
        <f t="shared" si="107"/>
        <v>84920</v>
      </c>
    </row>
    <row r="1114" spans="7:14" ht="11.25" customHeight="1" x14ac:dyDescent="0.3">
      <c r="G1114" s="470"/>
      <c r="H1114" s="470">
        <v>1107</v>
      </c>
      <c r="I1114" s="455">
        <f t="shared" ca="1" si="105"/>
        <v>-41618707.955337271</v>
      </c>
      <c r="J1114" s="455">
        <f t="array" ref="J1114">IFERROR(INDEX('Retirement Calculator'!K:K,MATCH('Lorri 401b'!N1114,'Retirement Calculator'!A:A,0),0),0)</f>
        <v>20282.026119384056</v>
      </c>
      <c r="K1114" s="455">
        <f t="shared" ca="1" si="103"/>
        <v>-173495.79158940271</v>
      </c>
      <c r="L1114" s="455">
        <f t="shared" ca="1" si="104"/>
        <v>-41812485.773046054</v>
      </c>
      <c r="M1114" s="471">
        <f t="shared" si="106"/>
        <v>0.05</v>
      </c>
      <c r="N1114" s="475">
        <f t="shared" si="107"/>
        <v>84951</v>
      </c>
    </row>
    <row r="1115" spans="7:14" ht="11.25" customHeight="1" x14ac:dyDescent="0.3">
      <c r="G1115" s="470"/>
      <c r="H1115" s="470">
        <v>1108</v>
      </c>
      <c r="I1115" s="455">
        <f t="shared" ca="1" si="105"/>
        <v>-41812485.773046054</v>
      </c>
      <c r="J1115" s="455">
        <f t="array" ref="J1115">IFERROR(INDEX('Retirement Calculator'!K:K,MATCH('Lorri 401b'!N1115,'Retirement Calculator'!A:A,0),0),0)</f>
        <v>20282.026119384056</v>
      </c>
      <c r="K1115" s="455">
        <f t="shared" ca="1" si="103"/>
        <v>-174303.1991631893</v>
      </c>
      <c r="L1115" s="455">
        <f t="shared" ca="1" si="104"/>
        <v>-42007070.998328626</v>
      </c>
      <c r="M1115" s="471">
        <f t="shared" si="106"/>
        <v>0.05</v>
      </c>
      <c r="N1115" s="475">
        <f t="shared" si="107"/>
        <v>84982</v>
      </c>
    </row>
    <row r="1116" spans="7:14" ht="11.25" customHeight="1" x14ac:dyDescent="0.3">
      <c r="G1116" s="470"/>
      <c r="H1116" s="470">
        <v>1109</v>
      </c>
      <c r="I1116" s="455">
        <f t="shared" ca="1" si="105"/>
        <v>-42007070.998328626</v>
      </c>
      <c r="J1116" s="455">
        <f t="array" ref="J1116">IFERROR(INDEX('Retirement Calculator'!K:K,MATCH('Lorri 401b'!N1116,'Retirement Calculator'!A:A,0),0),0)</f>
        <v>20282.026119384056</v>
      </c>
      <c r="K1116" s="455">
        <f t="shared" ca="1" si="103"/>
        <v>-175113.97093520002</v>
      </c>
      <c r="L1116" s="455">
        <f t="shared" ca="1" si="104"/>
        <v>-42202466.99538321</v>
      </c>
      <c r="M1116" s="471">
        <f t="shared" si="106"/>
        <v>0.05</v>
      </c>
      <c r="N1116" s="475">
        <f t="shared" si="107"/>
        <v>85012</v>
      </c>
    </row>
    <row r="1117" spans="7:14" ht="11.25" customHeight="1" x14ac:dyDescent="0.3">
      <c r="G1117" s="470"/>
      <c r="H1117" s="470">
        <v>1110</v>
      </c>
      <c r="I1117" s="455">
        <f t="shared" ca="1" si="105"/>
        <v>-42202466.99538321</v>
      </c>
      <c r="J1117" s="455">
        <f t="array" ref="J1117">IFERROR(INDEX('Retirement Calculator'!K:K,MATCH('Lorri 401b'!N1117,'Retirement Calculator'!A:A,0),0),0)</f>
        <v>20282.026119384056</v>
      </c>
      <c r="K1117" s="455">
        <f t="shared" ca="1" si="103"/>
        <v>-175928.12092292745</v>
      </c>
      <c r="L1117" s="455">
        <f t="shared" ca="1" si="104"/>
        <v>-42398677.142425522</v>
      </c>
      <c r="M1117" s="471">
        <f t="shared" si="106"/>
        <v>0.05</v>
      </c>
      <c r="N1117" s="475">
        <f t="shared" si="107"/>
        <v>85043</v>
      </c>
    </row>
    <row r="1118" spans="7:14" ht="11.25" customHeight="1" x14ac:dyDescent="0.3">
      <c r="G1118" s="470"/>
      <c r="H1118" s="470">
        <v>1111</v>
      </c>
      <c r="I1118" s="455">
        <f t="shared" ca="1" si="105"/>
        <v>-42398677.142425522</v>
      </c>
      <c r="J1118" s="455">
        <f t="array" ref="J1118">IFERROR(INDEX('Retirement Calculator'!K:K,MATCH('Lorri 401b'!N1118,'Retirement Calculator'!A:A,0),0),0)</f>
        <v>20282.026119384056</v>
      </c>
      <c r="K1118" s="455">
        <f t="shared" ca="1" si="103"/>
        <v>-176745.66320227043</v>
      </c>
      <c r="L1118" s="455">
        <f t="shared" ca="1" si="104"/>
        <v>-42595704.831747174</v>
      </c>
      <c r="M1118" s="471">
        <f t="shared" si="106"/>
        <v>0.05</v>
      </c>
      <c r="N1118" s="475">
        <f t="shared" si="107"/>
        <v>85073</v>
      </c>
    </row>
    <row r="1119" spans="7:14" ht="11.25" customHeight="1" x14ac:dyDescent="0.3">
      <c r="G1119" s="470"/>
      <c r="H1119" s="470">
        <v>1112</v>
      </c>
      <c r="I1119" s="455">
        <f t="shared" ca="1" si="105"/>
        <v>-42595704.831747174</v>
      </c>
      <c r="J1119" s="455">
        <f t="array" ref="J1119">IFERROR(INDEX('Retirement Calculator'!K:K,MATCH('Lorri 401b'!N1119,'Retirement Calculator'!A:A,0),0),0)</f>
        <v>20282.026119384056</v>
      </c>
      <c r="K1119" s="455">
        <f t="shared" ca="1" si="103"/>
        <v>-177566.61190777732</v>
      </c>
      <c r="L1119" s="455">
        <f t="shared" ca="1" si="104"/>
        <v>-42793553.469774336</v>
      </c>
      <c r="M1119" s="471">
        <f t="shared" si="106"/>
        <v>0.05</v>
      </c>
      <c r="N1119" s="475">
        <f t="shared" si="107"/>
        <v>85104</v>
      </c>
    </row>
    <row r="1120" spans="7:14" ht="11.25" customHeight="1" x14ac:dyDescent="0.3">
      <c r="G1120" s="470"/>
      <c r="H1120" s="470">
        <v>1113</v>
      </c>
      <c r="I1120" s="455">
        <f t="shared" ca="1" si="105"/>
        <v>-42793553.469774336</v>
      </c>
      <c r="J1120" s="455">
        <f t="array" ref="J1120">IFERROR(INDEX('Retirement Calculator'!K:K,MATCH('Lorri 401b'!N1120,'Retirement Calculator'!A:A,0),0),0)</f>
        <v>20282.026119384056</v>
      </c>
      <c r="K1120" s="455">
        <f t="shared" ca="1" si="103"/>
        <v>-178390.98123289048</v>
      </c>
      <c r="L1120" s="455">
        <f t="shared" ca="1" si="104"/>
        <v>-42992226.477126606</v>
      </c>
      <c r="M1120" s="471">
        <f t="shared" si="106"/>
        <v>0.05</v>
      </c>
      <c r="N1120" s="475">
        <f t="shared" si="107"/>
        <v>85135</v>
      </c>
    </row>
    <row r="1121" spans="7:14" ht="11.25" customHeight="1" x14ac:dyDescent="0.3">
      <c r="G1121" s="470"/>
      <c r="H1121" s="470">
        <v>1114</v>
      </c>
      <c r="I1121" s="455">
        <f t="shared" ca="1" si="105"/>
        <v>-42992226.477126606</v>
      </c>
      <c r="J1121" s="455">
        <f t="array" ref="J1121">IFERROR(INDEX('Retirement Calculator'!K:K,MATCH('Lorri 401b'!N1121,'Retirement Calculator'!A:A,0),0),0)</f>
        <v>20282.026119384056</v>
      </c>
      <c r="K1121" s="455">
        <f t="shared" ca="1" si="103"/>
        <v>-179218.78543019161</v>
      </c>
      <c r="L1121" s="455">
        <f t="shared" ca="1" si="104"/>
        <v>-43191727.28867618</v>
      </c>
      <c r="M1121" s="471">
        <f t="shared" si="106"/>
        <v>0.05</v>
      </c>
      <c r="N1121" s="475">
        <f t="shared" si="107"/>
        <v>85163</v>
      </c>
    </row>
    <row r="1122" spans="7:14" ht="11.25" customHeight="1" x14ac:dyDescent="0.3">
      <c r="G1122" s="470"/>
      <c r="H1122" s="470">
        <v>1115</v>
      </c>
      <c r="I1122" s="455">
        <f t="shared" ca="1" si="105"/>
        <v>-43191727.28867618</v>
      </c>
      <c r="J1122" s="455">
        <f t="array" ref="J1122">IFERROR(INDEX('Retirement Calculator'!K:K,MATCH('Lorri 401b'!N1122,'Retirement Calculator'!A:A,0),0),0)</f>
        <v>20282.026119384056</v>
      </c>
      <c r="K1122" s="455">
        <f t="shared" ca="1" si="103"/>
        <v>-180050.03881164818</v>
      </c>
      <c r="L1122" s="455">
        <f t="shared" ca="1" si="104"/>
        <v>-43392059.353607208</v>
      </c>
      <c r="M1122" s="471">
        <f t="shared" si="106"/>
        <v>0.05</v>
      </c>
      <c r="N1122" s="475">
        <f t="shared" si="107"/>
        <v>85194</v>
      </c>
    </row>
    <row r="1123" spans="7:14" ht="11.25" customHeight="1" x14ac:dyDescent="0.3">
      <c r="G1123" s="470"/>
      <c r="H1123" s="470">
        <v>1116</v>
      </c>
      <c r="I1123" s="455">
        <f t="shared" ca="1" si="105"/>
        <v>-43392059.353607208</v>
      </c>
      <c r="J1123" s="455">
        <f t="array" ref="J1123">IFERROR(INDEX('Retirement Calculator'!K:K,MATCH('Lorri 401b'!N1123,'Retirement Calculator'!A:A,0),0),0)</f>
        <v>20282.026119384056</v>
      </c>
      <c r="K1123" s="455">
        <f t="shared" ca="1" si="103"/>
        <v>-180884.75574886077</v>
      </c>
      <c r="L1123" s="455">
        <f t="shared" ca="1" si="104"/>
        <v>-43593226.135475449</v>
      </c>
      <c r="M1123" s="471">
        <f t="shared" si="106"/>
        <v>0.05</v>
      </c>
      <c r="N1123" s="475">
        <f t="shared" si="107"/>
        <v>85224</v>
      </c>
    </row>
    <row r="1124" spans="7:14" ht="11.25" customHeight="1" x14ac:dyDescent="0.3">
      <c r="G1124" s="470"/>
      <c r="H1124" s="470">
        <v>1117</v>
      </c>
      <c r="I1124" s="455">
        <f t="shared" ca="1" si="105"/>
        <v>-43593226.135475449</v>
      </c>
      <c r="J1124" s="455">
        <f t="array" ref="J1124">IFERROR(INDEX('Retirement Calculator'!K:K,MATCH('Lorri 401b'!N1124,'Retirement Calculator'!A:A,0),0),0)</f>
        <v>20282.026119384056</v>
      </c>
      <c r="K1124" s="455">
        <f t="shared" ca="1" si="103"/>
        <v>-181722.9506733118</v>
      </c>
      <c r="L1124" s="455">
        <f t="shared" ca="1" si="104"/>
        <v>-43795231.112268142</v>
      </c>
      <c r="M1124" s="471">
        <f t="shared" si="106"/>
        <v>0.05</v>
      </c>
      <c r="N1124" s="475">
        <f t="shared" si="107"/>
        <v>85255</v>
      </c>
    </row>
    <row r="1125" spans="7:14" ht="11.25" customHeight="1" x14ac:dyDescent="0.3">
      <c r="G1125" s="470"/>
      <c r="H1125" s="470">
        <v>1118</v>
      </c>
      <c r="I1125" s="455">
        <f t="shared" ca="1" si="105"/>
        <v>-43795231.112268142</v>
      </c>
      <c r="J1125" s="455">
        <f t="array" ref="J1125">IFERROR(INDEX('Retirement Calculator'!K:K,MATCH('Lorri 401b'!N1125,'Retirement Calculator'!A:A,0),0),0)</f>
        <v>20282.026119384056</v>
      </c>
      <c r="K1125" s="455">
        <f t="shared" ca="1" si="103"/>
        <v>-182564.63807661468</v>
      </c>
      <c r="L1125" s="455">
        <f t="shared" ca="1" si="104"/>
        <v>-43998077.776464142</v>
      </c>
      <c r="M1125" s="471">
        <f t="shared" si="106"/>
        <v>0.05</v>
      </c>
      <c r="N1125" s="475">
        <f t="shared" si="107"/>
        <v>85285</v>
      </c>
    </row>
    <row r="1126" spans="7:14" ht="11.25" customHeight="1" x14ac:dyDescent="0.3">
      <c r="G1126" s="470"/>
      <c r="H1126" s="470">
        <v>1119</v>
      </c>
      <c r="I1126" s="455">
        <f t="shared" ca="1" si="105"/>
        <v>-43998077.776464142</v>
      </c>
      <c r="J1126" s="455">
        <f t="array" ref="J1126">IFERROR(INDEX('Retirement Calculator'!K:K,MATCH('Lorri 401b'!N1126,'Retirement Calculator'!A:A,0),0),0)</f>
        <v>20282.026119384056</v>
      </c>
      <c r="K1126" s="455">
        <f t="shared" ca="1" si="103"/>
        <v>-183409.83251076468</v>
      </c>
      <c r="L1126" s="455">
        <f t="shared" ca="1" si="104"/>
        <v>-44201769.635094285</v>
      </c>
      <c r="M1126" s="471">
        <f t="shared" si="106"/>
        <v>0.05</v>
      </c>
      <c r="N1126" s="475">
        <f t="shared" si="107"/>
        <v>85316</v>
      </c>
    </row>
    <row r="1127" spans="7:14" ht="11.25" customHeight="1" x14ac:dyDescent="0.3">
      <c r="G1127" s="470"/>
      <c r="H1127" s="470">
        <v>1120</v>
      </c>
      <c r="I1127" s="455">
        <f t="shared" ca="1" si="105"/>
        <v>-44201769.635094285</v>
      </c>
      <c r="J1127" s="455">
        <f t="array" ref="J1127">IFERROR(INDEX('Retirement Calculator'!K:K,MATCH('Lorri 401b'!N1127,'Retirement Calculator'!A:A,0),0),0)</f>
        <v>20282.026119384056</v>
      </c>
      <c r="K1127" s="455">
        <f t="shared" ca="1" si="103"/>
        <v>-184258.54858839029</v>
      </c>
      <c r="L1127" s="455">
        <f t="shared" ca="1" si="104"/>
        <v>-44406310.209802054</v>
      </c>
      <c r="M1127" s="471">
        <f t="shared" si="106"/>
        <v>0.05</v>
      </c>
      <c r="N1127" s="475">
        <f t="shared" si="107"/>
        <v>85347</v>
      </c>
    </row>
    <row r="1128" spans="7:14" ht="11.25" customHeight="1" x14ac:dyDescent="0.3">
      <c r="G1128" s="470"/>
      <c r="H1128" s="470">
        <v>1121</v>
      </c>
      <c r="I1128" s="455">
        <f t="shared" ca="1" si="105"/>
        <v>-44406310.209802054</v>
      </c>
      <c r="J1128" s="455">
        <f t="array" ref="J1128">IFERROR(INDEX('Retirement Calculator'!K:K,MATCH('Lorri 401b'!N1128,'Retirement Calculator'!A:A,0),0),0)</f>
        <v>20282.026119384056</v>
      </c>
      <c r="K1128" s="455">
        <f t="shared" ca="1" si="103"/>
        <v>-185110.80098300599</v>
      </c>
      <c r="L1128" s="455">
        <f t="shared" ca="1" si="104"/>
        <v>-44611703.036904439</v>
      </c>
      <c r="M1128" s="471">
        <f t="shared" si="106"/>
        <v>0.05</v>
      </c>
      <c r="N1128" s="475">
        <f t="shared" si="107"/>
        <v>85377</v>
      </c>
    </row>
    <row r="1129" spans="7:14" ht="11.25" customHeight="1" x14ac:dyDescent="0.3">
      <c r="G1129" s="470"/>
      <c r="H1129" s="470">
        <v>1122</v>
      </c>
      <c r="I1129" s="455">
        <f t="shared" ca="1" si="105"/>
        <v>-44611703.036904439</v>
      </c>
      <c r="J1129" s="455">
        <f t="array" ref="J1129">IFERROR(INDEX('Retirement Calculator'!K:K,MATCH('Lorri 401b'!N1129,'Retirement Calculator'!A:A,0),0),0)</f>
        <v>20282.026119384056</v>
      </c>
      <c r="K1129" s="455">
        <f t="shared" ca="1" si="103"/>
        <v>-185966.60442926592</v>
      </c>
      <c r="L1129" s="455">
        <f t="shared" ca="1" si="104"/>
        <v>-44817951.667453088</v>
      </c>
      <c r="M1129" s="471">
        <f t="shared" si="106"/>
        <v>0.05</v>
      </c>
      <c r="N1129" s="475">
        <f t="shared" si="107"/>
        <v>85408</v>
      </c>
    </row>
    <row r="1130" spans="7:14" ht="11.25" customHeight="1" x14ac:dyDescent="0.3">
      <c r="G1130" s="470"/>
      <c r="H1130" s="470">
        <v>1123</v>
      </c>
      <c r="I1130" s="455">
        <f t="shared" ca="1" si="105"/>
        <v>-44817951.667453088</v>
      </c>
      <c r="J1130" s="455">
        <f t="array" ref="J1130">IFERROR(INDEX('Retirement Calculator'!K:K,MATCH('Lorri 401b'!N1130,'Retirement Calculator'!A:A,0),0),0)</f>
        <v>20282.026119384056</v>
      </c>
      <c r="K1130" s="455">
        <f t="shared" ca="1" si="103"/>
        <v>-186825.97372321863</v>
      </c>
      <c r="L1130" s="455">
        <f t="shared" ca="1" si="104"/>
        <v>-45025059.667295687</v>
      </c>
      <c r="M1130" s="471">
        <f t="shared" si="106"/>
        <v>0.05</v>
      </c>
      <c r="N1130" s="475">
        <f t="shared" si="107"/>
        <v>85438</v>
      </c>
    </row>
    <row r="1131" spans="7:14" ht="11.25" customHeight="1" x14ac:dyDescent="0.3">
      <c r="G1131" s="470"/>
      <c r="H1131" s="470">
        <v>1124</v>
      </c>
      <c r="I1131" s="455">
        <f t="shared" ca="1" si="105"/>
        <v>-45025059.667295687</v>
      </c>
      <c r="J1131" s="455">
        <f t="array" ref="J1131">IFERROR(INDEX('Retirement Calculator'!K:K,MATCH('Lorri 401b'!N1131,'Retirement Calculator'!A:A,0),0),0)</f>
        <v>20282.026119384056</v>
      </c>
      <c r="K1131" s="455">
        <f t="shared" ca="1" si="103"/>
        <v>-187688.92372256279</v>
      </c>
      <c r="L1131" s="455">
        <f t="shared" ca="1" si="104"/>
        <v>-45233030.617137633</v>
      </c>
      <c r="M1131" s="471">
        <f t="shared" si="106"/>
        <v>0.05</v>
      </c>
      <c r="N1131" s="475">
        <f t="shared" si="107"/>
        <v>85469</v>
      </c>
    </row>
    <row r="1132" spans="7:14" ht="11.25" customHeight="1" x14ac:dyDescent="0.3">
      <c r="G1132" s="470"/>
      <c r="H1132" s="470">
        <v>1125</v>
      </c>
      <c r="I1132" s="455">
        <f t="shared" ca="1" si="105"/>
        <v>-45233030.617137633</v>
      </c>
      <c r="J1132" s="455">
        <f t="array" ref="J1132">IFERROR(INDEX('Retirement Calculator'!K:K,MATCH('Lorri 401b'!N1132,'Retirement Calculator'!A:A,0),0),0)</f>
        <v>20282.026119384056</v>
      </c>
      <c r="K1132" s="455">
        <f t="shared" ca="1" si="103"/>
        <v>-188555.46934690422</v>
      </c>
      <c r="L1132" s="455">
        <f t="shared" ca="1" si="104"/>
        <v>-45441868.112603918</v>
      </c>
      <c r="M1132" s="471">
        <f t="shared" si="106"/>
        <v>0.05</v>
      </c>
      <c r="N1132" s="475">
        <f t="shared" si="107"/>
        <v>85500</v>
      </c>
    </row>
    <row r="1133" spans="7:14" ht="11.25" customHeight="1" x14ac:dyDescent="0.3">
      <c r="G1133" s="470"/>
      <c r="H1133" s="470">
        <v>1126</v>
      </c>
      <c r="I1133" s="455">
        <f t="shared" ca="1" si="105"/>
        <v>-45441868.112603918</v>
      </c>
      <c r="J1133" s="455">
        <f t="array" ref="J1133">IFERROR(INDEX('Retirement Calculator'!K:K,MATCH('Lorri 401b'!N1133,'Retirement Calculator'!A:A,0),0),0)</f>
        <v>20282.026119384056</v>
      </c>
      <c r="K1133" s="455">
        <f t="shared" ca="1" si="103"/>
        <v>-189425.62557801374</v>
      </c>
      <c r="L1133" s="455">
        <f t="shared" ca="1" si="104"/>
        <v>-45651575.764301315</v>
      </c>
      <c r="M1133" s="471">
        <f t="shared" si="106"/>
        <v>0.05</v>
      </c>
      <c r="N1133" s="475">
        <f t="shared" si="107"/>
        <v>85528</v>
      </c>
    </row>
    <row r="1134" spans="7:14" ht="11.25" customHeight="1" x14ac:dyDescent="0.3">
      <c r="G1134" s="470"/>
      <c r="H1134" s="470">
        <v>1127</v>
      </c>
      <c r="I1134" s="455">
        <f t="shared" ca="1" si="105"/>
        <v>-45651575.764301315</v>
      </c>
      <c r="J1134" s="455">
        <f t="array" ref="J1134">IFERROR(INDEX('Retirement Calculator'!K:K,MATCH('Lorri 401b'!N1134,'Retirement Calculator'!A:A,0),0),0)</f>
        <v>20282.026119384056</v>
      </c>
      <c r="K1134" s="455">
        <f t="shared" ca="1" si="103"/>
        <v>-190299.40746008622</v>
      </c>
      <c r="L1134" s="455">
        <f t="shared" ca="1" si="104"/>
        <v>-45862157.197880782</v>
      </c>
      <c r="M1134" s="471">
        <f t="shared" si="106"/>
        <v>0.05</v>
      </c>
      <c r="N1134" s="475">
        <f t="shared" si="107"/>
        <v>85559</v>
      </c>
    </row>
    <row r="1135" spans="7:14" ht="11.25" customHeight="1" x14ac:dyDescent="0.3">
      <c r="G1135" s="470"/>
      <c r="H1135" s="470">
        <v>1128</v>
      </c>
      <c r="I1135" s="455">
        <f t="shared" ca="1" si="105"/>
        <v>-45862157.197880782</v>
      </c>
      <c r="J1135" s="455">
        <f t="array" ref="J1135">IFERROR(INDEX('Retirement Calculator'!K:K,MATCH('Lorri 401b'!N1135,'Retirement Calculator'!A:A,0),0),0)</f>
        <v>20282.026119384056</v>
      </c>
      <c r="K1135" s="455">
        <f t="shared" ca="1" si="103"/>
        <v>-191176.83010000069</v>
      </c>
      <c r="L1135" s="455">
        <f t="shared" ca="1" si="104"/>
        <v>-46073616.054100163</v>
      </c>
      <c r="M1135" s="471">
        <f t="shared" si="106"/>
        <v>0.05</v>
      </c>
      <c r="N1135" s="475">
        <f t="shared" si="107"/>
        <v>85589</v>
      </c>
    </row>
    <row r="1136" spans="7:14" ht="11.25" customHeight="1" x14ac:dyDescent="0.3">
      <c r="G1136" s="470"/>
      <c r="H1136" s="470">
        <v>1129</v>
      </c>
      <c r="I1136" s="455">
        <f t="shared" ca="1" si="105"/>
        <v>-46073616.054100163</v>
      </c>
      <c r="J1136" s="455">
        <f t="array" ref="J1136">IFERROR(INDEX('Retirement Calculator'!K:K,MATCH('Lorri 401b'!N1136,'Retirement Calculator'!A:A,0),0),0)</f>
        <v>20282.026119384056</v>
      </c>
      <c r="K1136" s="455">
        <f t="shared" ca="1" si="103"/>
        <v>-192057.90866758145</v>
      </c>
      <c r="L1136" s="455">
        <f t="shared" ca="1" si="104"/>
        <v>-46285955.988887124</v>
      </c>
      <c r="M1136" s="471">
        <f t="shared" si="106"/>
        <v>0.05</v>
      </c>
      <c r="N1136" s="475">
        <f t="shared" si="107"/>
        <v>85620</v>
      </c>
    </row>
    <row r="1137" spans="7:14" ht="11.25" customHeight="1" x14ac:dyDescent="0.3">
      <c r="G1137" s="470"/>
      <c r="H1137" s="470">
        <v>1130</v>
      </c>
      <c r="I1137" s="455">
        <f t="shared" ca="1" si="105"/>
        <v>-46285955.988887124</v>
      </c>
      <c r="J1137" s="455">
        <f t="array" ref="J1137">IFERROR(INDEX('Retirement Calculator'!K:K,MATCH('Lorri 401b'!N1137,'Retirement Calculator'!A:A,0),0),0)</f>
        <v>20282.026119384056</v>
      </c>
      <c r="K1137" s="455">
        <f t="shared" ca="1" si="103"/>
        <v>-192942.65839586043</v>
      </c>
      <c r="L1137" s="455">
        <f t="shared" ca="1" si="104"/>
        <v>-46499180.673402369</v>
      </c>
      <c r="M1137" s="471">
        <f t="shared" si="106"/>
        <v>0.05</v>
      </c>
      <c r="N1137" s="475">
        <f t="shared" si="107"/>
        <v>85650</v>
      </c>
    </row>
    <row r="1138" spans="7:14" ht="11.25" customHeight="1" x14ac:dyDescent="0.3">
      <c r="G1138" s="470"/>
      <c r="H1138" s="470">
        <v>1131</v>
      </c>
      <c r="I1138" s="455">
        <f t="shared" ca="1" si="105"/>
        <v>-46499180.673402369</v>
      </c>
      <c r="J1138" s="455">
        <f t="array" ref="J1138">IFERROR(INDEX('Retirement Calculator'!K:K,MATCH('Lorri 401b'!N1138,'Retirement Calculator'!A:A,0),0),0)</f>
        <v>20282.026119384056</v>
      </c>
      <c r="K1138" s="455">
        <f t="shared" ca="1" si="103"/>
        <v>-193831.09458134061</v>
      </c>
      <c r="L1138" s="455">
        <f t="shared" ca="1" si="104"/>
        <v>-46713293.794103093</v>
      </c>
      <c r="M1138" s="471">
        <f t="shared" si="106"/>
        <v>0.05</v>
      </c>
      <c r="N1138" s="475">
        <f t="shared" si="107"/>
        <v>85681</v>
      </c>
    </row>
    <row r="1139" spans="7:14" ht="11.25" customHeight="1" x14ac:dyDescent="0.3">
      <c r="G1139" s="470"/>
      <c r="H1139" s="470">
        <v>1132</v>
      </c>
      <c r="I1139" s="455">
        <f t="shared" ca="1" si="105"/>
        <v>-46713293.794103093</v>
      </c>
      <c r="J1139" s="455">
        <f t="array" ref="J1139">IFERROR(INDEX('Retirement Calculator'!K:K,MATCH('Lorri 401b'!N1139,'Retirement Calculator'!A:A,0),0),0)</f>
        <v>20282.026119384056</v>
      </c>
      <c r="K1139" s="455">
        <f t="shared" ca="1" si="103"/>
        <v>-194723.23258426032</v>
      </c>
      <c r="L1139" s="455">
        <f t="shared" ca="1" si="104"/>
        <v>-46928299.052806735</v>
      </c>
      <c r="M1139" s="471">
        <f t="shared" si="106"/>
        <v>0.05</v>
      </c>
      <c r="N1139" s="475">
        <f t="shared" si="107"/>
        <v>85712</v>
      </c>
    </row>
    <row r="1140" spans="7:14" ht="11.25" customHeight="1" x14ac:dyDescent="0.3">
      <c r="G1140" s="470"/>
      <c r="H1140" s="470">
        <v>1133</v>
      </c>
      <c r="I1140" s="455">
        <f t="shared" ca="1" si="105"/>
        <v>-46928299.052806735</v>
      </c>
      <c r="J1140" s="455">
        <f t="array" ref="J1140">IFERROR(INDEX('Retirement Calculator'!K:K,MATCH('Lorri 401b'!N1140,'Retirement Calculator'!A:A,0),0),0)</f>
        <v>20282.026119384056</v>
      </c>
      <c r="K1140" s="455">
        <f t="shared" ca="1" si="103"/>
        <v>-195619.08782885881</v>
      </c>
      <c r="L1140" s="455">
        <f t="shared" ca="1" si="104"/>
        <v>-47144200.166754976</v>
      </c>
      <c r="M1140" s="471">
        <f t="shared" si="106"/>
        <v>0.05</v>
      </c>
      <c r="N1140" s="475">
        <f t="shared" si="107"/>
        <v>85742</v>
      </c>
    </row>
    <row r="1141" spans="7:14" ht="11.25" customHeight="1" x14ac:dyDescent="0.3">
      <c r="G1141" s="470"/>
      <c r="H1141" s="470">
        <v>1134</v>
      </c>
      <c r="I1141" s="455">
        <f t="shared" ca="1" si="105"/>
        <v>-47144200.166754976</v>
      </c>
      <c r="J1141" s="455">
        <f t="array" ref="J1141">IFERROR(INDEX('Retirement Calculator'!K:K,MATCH('Lorri 401b'!N1141,'Retirement Calculator'!A:A,0),0),0)</f>
        <v>20282.026119384056</v>
      </c>
      <c r="K1141" s="455">
        <f t="shared" ca="1" si="103"/>
        <v>-196518.67580364316</v>
      </c>
      <c r="L1141" s="455">
        <f t="shared" ca="1" si="104"/>
        <v>-47361000.868678004</v>
      </c>
      <c r="M1141" s="471">
        <f t="shared" si="106"/>
        <v>0.05</v>
      </c>
      <c r="N1141" s="475">
        <f t="shared" si="107"/>
        <v>85773</v>
      </c>
    </row>
    <row r="1142" spans="7:14" ht="11.25" customHeight="1" x14ac:dyDescent="0.3">
      <c r="G1142" s="470"/>
      <c r="H1142" s="470">
        <v>1135</v>
      </c>
      <c r="I1142" s="455">
        <f t="shared" ca="1" si="105"/>
        <v>-47361000.868678004</v>
      </c>
      <c r="J1142" s="455">
        <f t="array" ref="J1142">IFERROR(INDEX('Retirement Calculator'!K:K,MATCH('Lorri 401b'!N1142,'Retirement Calculator'!A:A,0),0),0)</f>
        <v>20282.026119384056</v>
      </c>
      <c r="K1142" s="455">
        <f t="shared" ca="1" si="103"/>
        <v>-197422.01206165575</v>
      </c>
      <c r="L1142" s="455">
        <f t="shared" ca="1" si="104"/>
        <v>-47578704.90685904</v>
      </c>
      <c r="M1142" s="471">
        <f t="shared" si="106"/>
        <v>0.05</v>
      </c>
      <c r="N1142" s="475">
        <f t="shared" si="107"/>
        <v>85803</v>
      </c>
    </row>
    <row r="1143" spans="7:14" ht="11.25" customHeight="1" x14ac:dyDescent="0.3">
      <c r="G1143" s="470"/>
      <c r="H1143" s="470">
        <v>1136</v>
      </c>
      <c r="I1143" s="455">
        <f t="shared" ca="1" si="105"/>
        <v>-47578704.90685904</v>
      </c>
      <c r="J1143" s="455">
        <f t="array" ref="J1143">IFERROR(INDEX('Retirement Calculator'!K:K,MATCH('Lorri 401b'!N1143,'Retirement Calculator'!A:A,0),0),0)</f>
        <v>20282.026119384056</v>
      </c>
      <c r="K1143" s="455">
        <f t="shared" ca="1" si="103"/>
        <v>-198329.11222074341</v>
      </c>
      <c r="L1143" s="455">
        <f t="shared" ca="1" si="104"/>
        <v>-47797316.045199163</v>
      </c>
      <c r="M1143" s="471">
        <f t="shared" si="106"/>
        <v>0.05</v>
      </c>
      <c r="N1143" s="475">
        <f t="shared" si="107"/>
        <v>85834</v>
      </c>
    </row>
    <row r="1144" spans="7:14" ht="11.25" customHeight="1" x14ac:dyDescent="0.3">
      <c r="G1144" s="470"/>
      <c r="H1144" s="470">
        <v>1137</v>
      </c>
      <c r="I1144" s="455">
        <f t="shared" ca="1" si="105"/>
        <v>-47797316.045199163</v>
      </c>
      <c r="J1144" s="455">
        <f t="array" ref="J1144">IFERROR(INDEX('Retirement Calculator'!K:K,MATCH('Lorri 401b'!N1144,'Retirement Calculator'!A:A,0),0),0)</f>
        <v>20282.026119384056</v>
      </c>
      <c r="K1144" s="455">
        <f t="shared" ca="1" si="103"/>
        <v>-199239.99196382725</v>
      </c>
      <c r="L1144" s="455">
        <f t="shared" ca="1" si="104"/>
        <v>-48016838.063282371</v>
      </c>
      <c r="M1144" s="471">
        <f t="shared" si="106"/>
        <v>0.05</v>
      </c>
      <c r="N1144" s="475">
        <f t="shared" si="107"/>
        <v>85865</v>
      </c>
    </row>
    <row r="1145" spans="7:14" ht="11.25" customHeight="1" x14ac:dyDescent="0.3">
      <c r="G1145" s="470"/>
      <c r="H1145" s="470">
        <v>1138</v>
      </c>
      <c r="I1145" s="455">
        <f t="shared" ca="1" si="105"/>
        <v>-48016838.063282371</v>
      </c>
      <c r="J1145" s="455">
        <f t="array" ref="J1145">IFERROR(INDEX('Retirement Calculator'!K:K,MATCH('Lorri 401b'!N1145,'Retirement Calculator'!A:A,0),0),0)</f>
        <v>20282.026119384056</v>
      </c>
      <c r="K1145" s="455">
        <f t="shared" ca="1" si="103"/>
        <v>-200154.66703917398</v>
      </c>
      <c r="L1145" s="455">
        <f t="shared" ca="1" si="104"/>
        <v>-48237274.756440923</v>
      </c>
      <c r="M1145" s="471">
        <f t="shared" si="106"/>
        <v>0.05</v>
      </c>
      <c r="N1145" s="475">
        <f t="shared" si="107"/>
        <v>85893</v>
      </c>
    </row>
    <row r="1146" spans="7:14" ht="11.25" customHeight="1" x14ac:dyDescent="0.3">
      <c r="G1146" s="470"/>
      <c r="H1146" s="470">
        <v>1139</v>
      </c>
      <c r="I1146" s="455">
        <f t="shared" ca="1" si="105"/>
        <v>-48237274.756440923</v>
      </c>
      <c r="J1146" s="455">
        <f t="array" ref="J1146">IFERROR(INDEX('Retirement Calculator'!K:K,MATCH('Lorri 401b'!N1146,'Retirement Calculator'!A:A,0),0),0)</f>
        <v>20282.026119384056</v>
      </c>
      <c r="K1146" s="455">
        <f t="shared" ca="1" si="103"/>
        <v>-201073.15326066792</v>
      </c>
      <c r="L1146" s="455">
        <f t="shared" ca="1" si="104"/>
        <v>-48458629.935820974</v>
      </c>
      <c r="M1146" s="471">
        <f t="shared" si="106"/>
        <v>0.05</v>
      </c>
      <c r="N1146" s="475">
        <f t="shared" si="107"/>
        <v>85924</v>
      </c>
    </row>
    <row r="1147" spans="7:14" ht="11.25" customHeight="1" x14ac:dyDescent="0.3">
      <c r="G1147" s="470"/>
      <c r="H1147" s="470">
        <v>1140</v>
      </c>
      <c r="I1147" s="455">
        <f t="shared" ca="1" si="105"/>
        <v>-48458629.935820974</v>
      </c>
      <c r="J1147" s="455">
        <f t="array" ref="J1147">IFERROR(INDEX('Retirement Calculator'!K:K,MATCH('Lorri 401b'!N1147,'Retirement Calculator'!A:A,0),0),0)</f>
        <v>20282.026119384056</v>
      </c>
      <c r="K1147" s="455">
        <f t="shared" ca="1" si="103"/>
        <v>-201995.46650808482</v>
      </c>
      <c r="L1147" s="455">
        <f t="shared" ca="1" si="104"/>
        <v>-48680907.428448439</v>
      </c>
      <c r="M1147" s="471">
        <f t="shared" si="106"/>
        <v>0.05</v>
      </c>
      <c r="N1147" s="475">
        <f t="shared" si="107"/>
        <v>85954</v>
      </c>
    </row>
    <row r="1148" spans="7:14" ht="11.25" customHeight="1" x14ac:dyDescent="0.3">
      <c r="G1148" s="470"/>
      <c r="H1148" s="470">
        <v>1141</v>
      </c>
      <c r="I1148" s="455">
        <f t="shared" ca="1" si="105"/>
        <v>-48680907.428448439</v>
      </c>
      <c r="J1148" s="455">
        <f t="array" ref="J1148">IFERROR(INDEX('Retirement Calculator'!K:K,MATCH('Lorri 401b'!N1148,'Retirement Calculator'!A:A,0),0),0)</f>
        <v>20282.026119384056</v>
      </c>
      <c r="K1148" s="455">
        <f t="shared" ca="1" si="103"/>
        <v>-202921.6227273659</v>
      </c>
      <c r="L1148" s="455">
        <f t="shared" ca="1" si="104"/>
        <v>-48904111.077295184</v>
      </c>
      <c r="M1148" s="471">
        <f t="shared" si="106"/>
        <v>0.05</v>
      </c>
      <c r="N1148" s="475">
        <f t="shared" si="107"/>
        <v>85985</v>
      </c>
    </row>
    <row r="1149" spans="7:14" ht="11.25" customHeight="1" x14ac:dyDescent="0.3">
      <c r="G1149" s="470"/>
      <c r="H1149" s="470">
        <v>1142</v>
      </c>
      <c r="I1149" s="455">
        <f t="shared" ca="1" si="105"/>
        <v>-48904111.077295184</v>
      </c>
      <c r="J1149" s="455">
        <f t="array" ref="J1149">IFERROR(INDEX('Retirement Calculator'!K:K,MATCH('Lorri 401b'!N1149,'Retirement Calculator'!A:A,0),0),0)</f>
        <v>20282.026119384056</v>
      </c>
      <c r="K1149" s="455">
        <f t="shared" ca="1" si="103"/>
        <v>-203851.63793089401</v>
      </c>
      <c r="L1149" s="455">
        <f t="shared" ca="1" si="104"/>
        <v>-49128244.741345458</v>
      </c>
      <c r="M1149" s="471">
        <f t="shared" si="106"/>
        <v>0.05</v>
      </c>
      <c r="N1149" s="475">
        <f t="shared" si="107"/>
        <v>86015</v>
      </c>
    </row>
    <row r="1150" spans="7:14" ht="11.25" customHeight="1" x14ac:dyDescent="0.3">
      <c r="G1150" s="470"/>
      <c r="H1150" s="470">
        <v>1143</v>
      </c>
      <c r="I1150" s="455">
        <f t="shared" ca="1" si="105"/>
        <v>-49128244.741345458</v>
      </c>
      <c r="J1150" s="455">
        <f t="array" ref="J1150">IFERROR(INDEX('Retirement Calculator'!K:K,MATCH('Lorri 401b'!N1150,'Retirement Calculator'!A:A,0),0),0)</f>
        <v>20282.026119384056</v>
      </c>
      <c r="K1150" s="455">
        <f t="shared" ca="1" si="103"/>
        <v>-204785.52819777015</v>
      </c>
      <c r="L1150" s="455">
        <f t="shared" ca="1" si="104"/>
        <v>-49353312.295662612</v>
      </c>
      <c r="M1150" s="471">
        <f t="shared" si="106"/>
        <v>0.05</v>
      </c>
      <c r="N1150" s="475">
        <f t="shared" si="107"/>
        <v>86046</v>
      </c>
    </row>
    <row r="1151" spans="7:14" ht="11.25" customHeight="1" x14ac:dyDescent="0.3">
      <c r="G1151" s="470"/>
      <c r="H1151" s="470">
        <v>1144</v>
      </c>
      <c r="I1151" s="455">
        <f t="shared" ca="1" si="105"/>
        <v>-49353312.295662612</v>
      </c>
      <c r="J1151" s="455">
        <f t="array" ref="J1151">IFERROR(INDEX('Retirement Calculator'!K:K,MATCH('Lorri 401b'!N1151,'Retirement Calculator'!A:A,0),0),0)</f>
        <v>20282.026119384056</v>
      </c>
      <c r="K1151" s="455">
        <f t="shared" ca="1" si="103"/>
        <v>-205723.30967409164</v>
      </c>
      <c r="L1151" s="455">
        <f t="shared" ca="1" si="104"/>
        <v>-49579317.631456085</v>
      </c>
      <c r="M1151" s="471">
        <f t="shared" si="106"/>
        <v>0.05</v>
      </c>
      <c r="N1151" s="475">
        <f t="shared" si="107"/>
        <v>86077</v>
      </c>
    </row>
    <row r="1152" spans="7:14" ht="11.25" customHeight="1" x14ac:dyDescent="0.3">
      <c r="G1152" s="470"/>
      <c r="H1152" s="470">
        <v>1145</v>
      </c>
      <c r="I1152" s="455">
        <f t="shared" ca="1" si="105"/>
        <v>-49579317.631456085</v>
      </c>
      <c r="J1152" s="455">
        <f t="array" ref="J1152">IFERROR(INDEX('Retirement Calculator'!K:K,MATCH('Lorri 401b'!N1152,'Retirement Calculator'!A:A,0),0),0)</f>
        <v>20282.026119384056</v>
      </c>
      <c r="K1152" s="455">
        <f t="shared" ca="1" si="103"/>
        <v>-206664.9985732311</v>
      </c>
      <c r="L1152" s="455">
        <f t="shared" ca="1" si="104"/>
        <v>-49806264.656148694</v>
      </c>
      <c r="M1152" s="471">
        <f t="shared" si="106"/>
        <v>0.05</v>
      </c>
      <c r="N1152" s="475">
        <f t="shared" si="107"/>
        <v>86107</v>
      </c>
    </row>
    <row r="1153" spans="7:14" ht="11.25" customHeight="1" x14ac:dyDescent="0.3">
      <c r="G1153" s="470"/>
      <c r="H1153" s="470">
        <v>1146</v>
      </c>
      <c r="I1153" s="455">
        <f t="shared" ca="1" si="105"/>
        <v>-49806264.656148694</v>
      </c>
      <c r="J1153" s="455">
        <f t="array" ref="J1153">IFERROR(INDEX('Retirement Calculator'!K:K,MATCH('Lorri 401b'!N1153,'Retirement Calculator'!A:A,0),0),0)</f>
        <v>20282.026119384056</v>
      </c>
      <c r="K1153" s="455">
        <f t="shared" ca="1" si="103"/>
        <v>-207610.61117611697</v>
      </c>
      <c r="L1153" s="455">
        <f t="shared" ca="1" si="104"/>
        <v>-50034157.293444194</v>
      </c>
      <c r="M1153" s="471">
        <f t="shared" si="106"/>
        <v>0.05</v>
      </c>
      <c r="N1153" s="475">
        <f t="shared" si="107"/>
        <v>86138</v>
      </c>
    </row>
    <row r="1154" spans="7:14" ht="11.25" customHeight="1" x14ac:dyDescent="0.3">
      <c r="G1154" s="470"/>
      <c r="H1154" s="470">
        <v>1147</v>
      </c>
      <c r="I1154" s="455">
        <f t="shared" ca="1" si="105"/>
        <v>-50034157.293444194</v>
      </c>
      <c r="J1154" s="455">
        <f t="array" ref="J1154">IFERROR(INDEX('Retirement Calculator'!K:K,MATCH('Lorri 401b'!N1154,'Retirement Calculator'!A:A,0),0),0)</f>
        <v>20282.026119384056</v>
      </c>
      <c r="K1154" s="455">
        <f t="shared" ca="1" si="103"/>
        <v>-208560.16383151489</v>
      </c>
      <c r="L1154" s="455">
        <f t="shared" ca="1" si="104"/>
        <v>-50262999.483395092</v>
      </c>
      <c r="M1154" s="471">
        <f t="shared" si="106"/>
        <v>0.05</v>
      </c>
      <c r="N1154" s="475">
        <f t="shared" si="107"/>
        <v>86168</v>
      </c>
    </row>
    <row r="1155" spans="7:14" ht="11.25" customHeight="1" x14ac:dyDescent="0.3">
      <c r="G1155" s="470"/>
      <c r="H1155" s="470">
        <v>1148</v>
      </c>
      <c r="I1155" s="455">
        <f t="shared" ca="1" si="105"/>
        <v>-50262999.483395092</v>
      </c>
      <c r="J1155" s="455">
        <f t="array" ref="J1155">IFERROR(INDEX('Retirement Calculator'!K:K,MATCH('Lorri 401b'!N1155,'Retirement Calculator'!A:A,0),0),0)</f>
        <v>20282.026119384056</v>
      </c>
      <c r="K1155" s="455">
        <f t="shared" ca="1" si="103"/>
        <v>-209513.6729563103</v>
      </c>
      <c r="L1155" s="455">
        <f t="shared" ca="1" si="104"/>
        <v>-50492795.182470784</v>
      </c>
      <c r="M1155" s="471">
        <f t="shared" si="106"/>
        <v>0.05</v>
      </c>
      <c r="N1155" s="475">
        <f t="shared" si="107"/>
        <v>86199</v>
      </c>
    </row>
    <row r="1156" spans="7:14" ht="11.25" customHeight="1" x14ac:dyDescent="0.3">
      <c r="G1156" s="470"/>
      <c r="H1156" s="470">
        <v>1149</v>
      </c>
      <c r="I1156" s="455">
        <f t="shared" ca="1" si="105"/>
        <v>-50492795.182470784</v>
      </c>
      <c r="J1156" s="455">
        <f t="array" ref="J1156">IFERROR(INDEX('Retirement Calculator'!K:K,MATCH('Lorri 401b'!N1156,'Retirement Calculator'!A:A,0),0),0)</f>
        <v>20282.026119384056</v>
      </c>
      <c r="K1156" s="455">
        <f t="shared" ca="1" si="103"/>
        <v>-210471.15503579236</v>
      </c>
      <c r="L1156" s="455">
        <f t="shared" ca="1" si="104"/>
        <v>-50723548.363625959</v>
      </c>
      <c r="M1156" s="471">
        <f t="shared" si="106"/>
        <v>0.05</v>
      </c>
      <c r="N1156" s="475">
        <f t="shared" si="107"/>
        <v>86230</v>
      </c>
    </row>
    <row r="1157" spans="7:14" ht="11.25" customHeight="1" x14ac:dyDescent="0.3">
      <c r="G1157" s="470"/>
      <c r="H1157" s="470">
        <v>1150</v>
      </c>
      <c r="I1157" s="455">
        <f t="shared" ca="1" si="105"/>
        <v>-50723548.363625959</v>
      </c>
      <c r="J1157" s="455">
        <f t="array" ref="J1157">IFERROR(INDEX('Retirement Calculator'!K:K,MATCH('Lorri 401b'!N1157,'Retirement Calculator'!A:A,0),0),0)</f>
        <v>20282.026119384056</v>
      </c>
      <c r="K1157" s="455">
        <f t="shared" ca="1" si="103"/>
        <v>-211432.62662393891</v>
      </c>
      <c r="L1157" s="455">
        <f t="shared" ca="1" si="104"/>
        <v>-50955263.016369276</v>
      </c>
      <c r="M1157" s="471">
        <f t="shared" si="106"/>
        <v>0.05</v>
      </c>
      <c r="N1157" s="475">
        <f t="shared" si="107"/>
        <v>86259</v>
      </c>
    </row>
    <row r="1158" spans="7:14" ht="11.25" customHeight="1" x14ac:dyDescent="0.3">
      <c r="G1158" s="470"/>
      <c r="H1158" s="470">
        <v>1151</v>
      </c>
      <c r="I1158" s="455">
        <f t="shared" ca="1" si="105"/>
        <v>-50955263.016369276</v>
      </c>
      <c r="J1158" s="455">
        <f t="array" ref="J1158">IFERROR(INDEX('Retirement Calculator'!K:K,MATCH('Lorri 401b'!N1158,'Retirement Calculator'!A:A,0),0),0)</f>
        <v>20282.026119384056</v>
      </c>
      <c r="K1158" s="455">
        <f t="shared" ca="1" si="103"/>
        <v>-212398.10434370273</v>
      </c>
      <c r="L1158" s="455">
        <f t="shared" ca="1" si="104"/>
        <v>-51187943.146832362</v>
      </c>
      <c r="M1158" s="471">
        <f t="shared" si="106"/>
        <v>0.05</v>
      </c>
      <c r="N1158" s="475">
        <f t="shared" si="107"/>
        <v>86290</v>
      </c>
    </row>
    <row r="1159" spans="7:14" ht="11.25" customHeight="1" x14ac:dyDescent="0.3">
      <c r="G1159" s="470"/>
      <c r="H1159" s="470">
        <v>1152</v>
      </c>
      <c r="I1159" s="455">
        <f t="shared" ca="1" si="105"/>
        <v>-51187943.146832362</v>
      </c>
      <c r="J1159" s="455">
        <f t="array" ref="J1159">IFERROR(INDEX('Retirement Calculator'!K:K,MATCH('Lorri 401b'!N1159,'Retirement Calculator'!A:A,0),0),0)</f>
        <v>20282.026119384056</v>
      </c>
      <c r="K1159" s="455">
        <f t="shared" ca="1" si="103"/>
        <v>-213367.60488729892</v>
      </c>
      <c r="L1159" s="455">
        <f t="shared" ca="1" si="104"/>
        <v>-51421592.777839042</v>
      </c>
      <c r="M1159" s="471">
        <f t="shared" si="106"/>
        <v>0.05</v>
      </c>
      <c r="N1159" s="475">
        <f t="shared" si="107"/>
        <v>86320</v>
      </c>
    </row>
    <row r="1160" spans="7:14" ht="11.25" customHeight="1" x14ac:dyDescent="0.3">
      <c r="G1160" s="470"/>
      <c r="H1160" s="470">
        <v>1153</v>
      </c>
      <c r="I1160" s="455">
        <f t="shared" ca="1" si="105"/>
        <v>-51421592.777839042</v>
      </c>
      <c r="J1160" s="455">
        <f t="array" ref="J1160">IFERROR(INDEX('Retirement Calculator'!K:K,MATCH('Lorri 401b'!N1160,'Retirement Calculator'!A:A,0),0),0)</f>
        <v>20282.026119384056</v>
      </c>
      <c r="K1160" s="455">
        <f t="shared" ca="1" si="103"/>
        <v>-214341.14501649342</v>
      </c>
      <c r="L1160" s="455">
        <f t="shared" ca="1" si="104"/>
        <v>-51656215.948974915</v>
      </c>
      <c r="M1160" s="471">
        <f t="shared" si="106"/>
        <v>0.05</v>
      </c>
      <c r="N1160" s="475">
        <f t="shared" si="107"/>
        <v>86351</v>
      </c>
    </row>
    <row r="1161" spans="7:14" ht="11.25" customHeight="1" x14ac:dyDescent="0.3">
      <c r="G1161" s="470"/>
      <c r="H1161" s="470">
        <v>1154</v>
      </c>
      <c r="I1161" s="455">
        <f t="shared" ca="1" si="105"/>
        <v>-51656215.948974915</v>
      </c>
      <c r="J1161" s="455">
        <f t="array" ref="J1161">IFERROR(INDEX('Retirement Calculator'!K:K,MATCH('Lorri 401b'!N1161,'Retirement Calculator'!A:A,0),0),0)</f>
        <v>20282.026119384056</v>
      </c>
      <c r="K1161" s="455">
        <f t="shared" ca="1" si="103"/>
        <v>-215318.74156289289</v>
      </c>
      <c r="L1161" s="455">
        <f t="shared" ca="1" si="104"/>
        <v>-51891816.716657192</v>
      </c>
      <c r="M1161" s="471">
        <f t="shared" si="106"/>
        <v>0.05</v>
      </c>
      <c r="N1161" s="475">
        <f t="shared" si="107"/>
        <v>86381</v>
      </c>
    </row>
    <row r="1162" spans="7:14" ht="11.25" customHeight="1" x14ac:dyDescent="0.3">
      <c r="G1162" s="470"/>
      <c r="H1162" s="470">
        <v>1155</v>
      </c>
      <c r="I1162" s="455">
        <f t="shared" ca="1" si="105"/>
        <v>-51891816.716657192</v>
      </c>
      <c r="J1162" s="455">
        <f t="array" ref="J1162">IFERROR(INDEX('Retirement Calculator'!K:K,MATCH('Lorri 401b'!N1162,'Retirement Calculator'!A:A,0),0),0)</f>
        <v>20282.026119384056</v>
      </c>
      <c r="K1162" s="455">
        <f t="shared" ca="1" si="103"/>
        <v>-216300.4114282357</v>
      </c>
      <c r="L1162" s="455">
        <f t="shared" ca="1" si="104"/>
        <v>-52128399.154204808</v>
      </c>
      <c r="M1162" s="471">
        <f t="shared" si="106"/>
        <v>0.05</v>
      </c>
      <c r="N1162" s="475">
        <f t="shared" si="107"/>
        <v>86412</v>
      </c>
    </row>
    <row r="1163" spans="7:14" ht="11.25" customHeight="1" x14ac:dyDescent="0.3">
      <c r="G1163" s="470"/>
      <c r="H1163" s="470">
        <v>1156</v>
      </c>
      <c r="I1163" s="455">
        <f t="shared" ca="1" si="105"/>
        <v>-52128399.154204808</v>
      </c>
      <c r="J1163" s="455">
        <f t="array" ref="J1163">IFERROR(INDEX('Retirement Calculator'!K:K,MATCH('Lorri 401b'!N1163,'Retirement Calculator'!A:A,0),0),0)</f>
        <v>20282.026119384056</v>
      </c>
      <c r="K1163" s="455">
        <f t="shared" ca="1" si="103"/>
        <v>-217286.17158468411</v>
      </c>
      <c r="L1163" s="455">
        <f t="shared" ca="1" si="104"/>
        <v>-52365967.35190887</v>
      </c>
      <c r="M1163" s="471">
        <f t="shared" si="106"/>
        <v>0.05</v>
      </c>
      <c r="N1163" s="475">
        <f t="shared" si="107"/>
        <v>86443</v>
      </c>
    </row>
    <row r="1164" spans="7:14" ht="11.25" customHeight="1" x14ac:dyDescent="0.3">
      <c r="G1164" s="470"/>
      <c r="H1164" s="470">
        <v>1157</v>
      </c>
      <c r="I1164" s="455">
        <f t="shared" ca="1" si="105"/>
        <v>-52365967.35190887</v>
      </c>
      <c r="J1164" s="455">
        <f t="array" ref="J1164">IFERROR(INDEX('Retirement Calculator'!K:K,MATCH('Lorri 401b'!N1164,'Retirement Calculator'!A:A,0),0),0)</f>
        <v>20282.026119384056</v>
      </c>
      <c r="K1164" s="455">
        <f t="shared" ca="1" si="103"/>
        <v>-218276.03907511767</v>
      </c>
      <c r="L1164" s="455">
        <f t="shared" ca="1" si="104"/>
        <v>-52604525.417103373</v>
      </c>
      <c r="M1164" s="471">
        <f t="shared" si="106"/>
        <v>0.05</v>
      </c>
      <c r="N1164" s="475">
        <f t="shared" si="107"/>
        <v>86473</v>
      </c>
    </row>
    <row r="1165" spans="7:14" ht="11.25" customHeight="1" x14ac:dyDescent="0.3">
      <c r="G1165" s="470"/>
      <c r="H1165" s="470">
        <v>1158</v>
      </c>
      <c r="I1165" s="455">
        <f t="shared" ca="1" si="105"/>
        <v>-52604525.417103373</v>
      </c>
      <c r="J1165" s="455">
        <f t="array" ref="J1165">IFERROR(INDEX('Retirement Calculator'!K:K,MATCH('Lorri 401b'!N1165,'Retirement Calculator'!A:A,0),0),0)</f>
        <v>20282.026119384056</v>
      </c>
      <c r="K1165" s="455">
        <f t="shared" ca="1" si="103"/>
        <v>-219270.03101342818</v>
      </c>
      <c r="L1165" s="455">
        <f t="shared" ca="1" si="104"/>
        <v>-52844077.474236183</v>
      </c>
      <c r="M1165" s="471">
        <f t="shared" si="106"/>
        <v>0.05</v>
      </c>
      <c r="N1165" s="475">
        <f t="shared" si="107"/>
        <v>86504</v>
      </c>
    </row>
    <row r="1166" spans="7:14" ht="11.25" customHeight="1" x14ac:dyDescent="0.3">
      <c r="G1166" s="470"/>
      <c r="H1166" s="470">
        <v>1159</v>
      </c>
      <c r="I1166" s="455">
        <f t="shared" ca="1" si="105"/>
        <v>-52844077.474236183</v>
      </c>
      <c r="J1166" s="455">
        <f t="array" ref="J1166">IFERROR(INDEX('Retirement Calculator'!K:K,MATCH('Lorri 401b'!N1166,'Retirement Calculator'!A:A,0),0),0)</f>
        <v>20282.026119384056</v>
      </c>
      <c r="K1166" s="455">
        <f t="shared" ca="1" si="103"/>
        <v>-220268.16458481483</v>
      </c>
      <c r="L1166" s="455">
        <f t="shared" ca="1" si="104"/>
        <v>-53084627.66494038</v>
      </c>
      <c r="M1166" s="471">
        <f t="shared" si="106"/>
        <v>0.05</v>
      </c>
      <c r="N1166" s="475">
        <f t="shared" si="107"/>
        <v>86534</v>
      </c>
    </row>
    <row r="1167" spans="7:14" ht="11.25" customHeight="1" x14ac:dyDescent="0.3">
      <c r="G1167" s="470"/>
      <c r="H1167" s="470">
        <v>1160</v>
      </c>
      <c r="I1167" s="455">
        <f t="shared" ca="1" si="105"/>
        <v>-53084627.66494038</v>
      </c>
      <c r="J1167" s="455">
        <f t="array" ref="J1167">IFERROR(INDEX('Retirement Calculator'!K:K,MATCH('Lorri 401b'!N1167,'Retirement Calculator'!A:A,0),0),0)</f>
        <v>20282.026119384056</v>
      </c>
      <c r="K1167" s="455">
        <f t="shared" ca="1" si="103"/>
        <v>-221270.45704608233</v>
      </c>
      <c r="L1167" s="455">
        <f t="shared" ca="1" si="104"/>
        <v>-53326180.148105845</v>
      </c>
      <c r="M1167" s="471">
        <f t="shared" si="106"/>
        <v>0.05</v>
      </c>
      <c r="N1167" s="475">
        <f t="shared" si="107"/>
        <v>86565</v>
      </c>
    </row>
    <row r="1168" spans="7:14" ht="11.25" customHeight="1" x14ac:dyDescent="0.3">
      <c r="G1168" s="470"/>
      <c r="H1168" s="470">
        <v>1161</v>
      </c>
      <c r="I1168" s="455">
        <f t="shared" ca="1" si="105"/>
        <v>-53326180.148105845</v>
      </c>
      <c r="J1168" s="455">
        <f t="array" ref="J1168">IFERROR(INDEX('Retirement Calculator'!K:K,MATCH('Lorri 401b'!N1168,'Retirement Calculator'!A:A,0),0),0)</f>
        <v>20282.026119384056</v>
      </c>
      <c r="K1168" s="455">
        <f t="shared" ca="1" si="103"/>
        <v>-222276.92572593843</v>
      </c>
      <c r="L1168" s="455">
        <f t="shared" ca="1" si="104"/>
        <v>-53568739.099951163</v>
      </c>
      <c r="M1168" s="471">
        <f t="shared" si="106"/>
        <v>0.05</v>
      </c>
      <c r="N1168" s="475">
        <f t="shared" si="107"/>
        <v>86596</v>
      </c>
    </row>
    <row r="1169" spans="7:14" ht="11.25" customHeight="1" x14ac:dyDescent="0.3">
      <c r="G1169" s="470"/>
      <c r="H1169" s="470">
        <v>1162</v>
      </c>
      <c r="I1169" s="455">
        <f t="shared" ca="1" si="105"/>
        <v>-53568739.099951163</v>
      </c>
      <c r="J1169" s="455">
        <f t="array" ref="J1169">IFERROR(INDEX('Retirement Calculator'!K:K,MATCH('Lorri 401b'!N1169,'Retirement Calculator'!A:A,0),0),0)</f>
        <v>0</v>
      </c>
      <c r="K1169" s="455">
        <f t="shared" ca="1" si="103"/>
        <v>-223203.07958312985</v>
      </c>
      <c r="L1169" s="455">
        <f t="shared" ca="1" si="104"/>
        <v>-53791942.179534294</v>
      </c>
      <c r="M1169" s="471">
        <f t="shared" si="106"/>
        <v>0.05</v>
      </c>
      <c r="N1169" s="475">
        <f t="shared" si="107"/>
        <v>86624</v>
      </c>
    </row>
    <row r="1170" spans="7:14" ht="11.25" customHeight="1" x14ac:dyDescent="0.3">
      <c r="G1170" s="470"/>
      <c r="H1170" s="470">
        <v>1163</v>
      </c>
      <c r="I1170" s="455">
        <f t="shared" ca="1" si="105"/>
        <v>-53791942.179534294</v>
      </c>
      <c r="J1170" s="455">
        <f t="array" ref="J1170">IFERROR(INDEX('Retirement Calculator'!K:K,MATCH('Lorri 401b'!N1170,'Retirement Calculator'!A:A,0),0),0)</f>
        <v>0</v>
      </c>
      <c r="K1170" s="455">
        <f t="shared" ca="1" si="103"/>
        <v>-224133.09241472621</v>
      </c>
      <c r="L1170" s="455">
        <f t="shared" ca="1" si="104"/>
        <v>-54016075.271949023</v>
      </c>
      <c r="M1170" s="471">
        <f t="shared" si="106"/>
        <v>0.05</v>
      </c>
      <c r="N1170" s="475">
        <f t="shared" si="107"/>
        <v>86655</v>
      </c>
    </row>
    <row r="1171" spans="7:14" ht="11.25" customHeight="1" x14ac:dyDescent="0.3">
      <c r="G1171" s="470"/>
      <c r="H1171" s="470">
        <v>1164</v>
      </c>
      <c r="I1171" s="455">
        <f t="shared" ca="1" si="105"/>
        <v>-54016075.271949023</v>
      </c>
      <c r="J1171" s="455">
        <f t="array" ref="J1171">IFERROR(INDEX('Retirement Calculator'!K:K,MATCH('Lorri 401b'!N1171,'Retirement Calculator'!A:A,0),0),0)</f>
        <v>0</v>
      </c>
      <c r="K1171" s="455">
        <f t="shared" ca="1" si="103"/>
        <v>-225066.98029978757</v>
      </c>
      <c r="L1171" s="455">
        <f t="shared" ca="1" si="104"/>
        <v>-54241142.252248809</v>
      </c>
      <c r="M1171" s="471">
        <f t="shared" si="106"/>
        <v>0.05</v>
      </c>
      <c r="N1171" s="475">
        <f t="shared" si="107"/>
        <v>86685</v>
      </c>
    </row>
    <row r="1172" spans="7:14" ht="11.25" customHeight="1" x14ac:dyDescent="0.3">
      <c r="G1172" s="470"/>
      <c r="H1172" s="470">
        <v>1165</v>
      </c>
      <c r="I1172" s="455">
        <f t="shared" ca="1" si="105"/>
        <v>-54241142.252248809</v>
      </c>
      <c r="J1172" s="455">
        <f t="array" ref="J1172">IFERROR(INDEX('Retirement Calculator'!K:K,MATCH('Lorri 401b'!N1172,'Retirement Calculator'!A:A,0),0),0)</f>
        <v>0</v>
      </c>
      <c r="K1172" s="455">
        <f t="shared" ca="1" si="103"/>
        <v>-226004.75938437003</v>
      </c>
      <c r="L1172" s="455">
        <f t="shared" ca="1" si="104"/>
        <v>-54467147.01163318</v>
      </c>
      <c r="M1172" s="471">
        <f t="shared" si="106"/>
        <v>0.05</v>
      </c>
      <c r="N1172" s="475">
        <f t="shared" si="107"/>
        <v>86716</v>
      </c>
    </row>
    <row r="1173" spans="7:14" ht="11.25" customHeight="1" x14ac:dyDescent="0.3">
      <c r="G1173" s="470"/>
      <c r="H1173" s="470">
        <v>1166</v>
      </c>
      <c r="I1173" s="455">
        <f t="shared" ca="1" si="105"/>
        <v>-54467147.01163318</v>
      </c>
      <c r="J1173" s="455">
        <f t="array" ref="J1173">IFERROR(INDEX('Retirement Calculator'!K:K,MATCH('Lorri 401b'!N1173,'Retirement Calculator'!A:A,0),0),0)</f>
        <v>0</v>
      </c>
      <c r="K1173" s="455">
        <f t="shared" ca="1" si="103"/>
        <v>-226946.44588180492</v>
      </c>
      <c r="L1173" s="455">
        <f t="shared" ca="1" si="104"/>
        <v>-54694093.457514986</v>
      </c>
      <c r="M1173" s="471">
        <f t="shared" si="106"/>
        <v>0.05</v>
      </c>
      <c r="N1173" s="475">
        <f t="shared" si="107"/>
        <v>86746</v>
      </c>
    </row>
    <row r="1174" spans="7:14" ht="11.25" customHeight="1" x14ac:dyDescent="0.3">
      <c r="G1174" s="470"/>
      <c r="H1174" s="470">
        <v>1167</v>
      </c>
      <c r="I1174" s="455">
        <f t="shared" ca="1" si="105"/>
        <v>-54694093.457514986</v>
      </c>
      <c r="J1174" s="455">
        <f t="array" ref="J1174">IFERROR(INDEX('Retirement Calculator'!K:K,MATCH('Lorri 401b'!N1174,'Retirement Calculator'!A:A,0),0),0)</f>
        <v>0</v>
      </c>
      <c r="K1174" s="455">
        <f t="shared" ca="1" si="103"/>
        <v>-227892.05607297912</v>
      </c>
      <c r="L1174" s="455">
        <f t="shared" ca="1" si="104"/>
        <v>-54921985.513587967</v>
      </c>
      <c r="M1174" s="471">
        <f t="shared" si="106"/>
        <v>0.05</v>
      </c>
      <c r="N1174" s="475">
        <f t="shared" si="107"/>
        <v>86777</v>
      </c>
    </row>
    <row r="1175" spans="7:14" ht="11.25" customHeight="1" x14ac:dyDescent="0.3">
      <c r="G1175" s="470"/>
      <c r="H1175" s="470">
        <v>1168</v>
      </c>
      <c r="I1175" s="455">
        <f t="shared" ca="1" si="105"/>
        <v>-54921985.513587967</v>
      </c>
      <c r="J1175" s="455">
        <f t="array" ref="J1175">IFERROR(INDEX('Retirement Calculator'!K:K,MATCH('Lorri 401b'!N1175,'Retirement Calculator'!A:A,0),0),0)</f>
        <v>0</v>
      </c>
      <c r="K1175" s="455">
        <f t="shared" ca="1" si="103"/>
        <v>-228841.60630661654</v>
      </c>
      <c r="L1175" s="455">
        <f t="shared" ca="1" si="104"/>
        <v>-55150827.119894587</v>
      </c>
      <c r="M1175" s="471">
        <f t="shared" si="106"/>
        <v>0.05</v>
      </c>
      <c r="N1175" s="475">
        <f t="shared" si="107"/>
        <v>86808</v>
      </c>
    </row>
    <row r="1176" spans="7:14" ht="11.25" customHeight="1" x14ac:dyDescent="0.3">
      <c r="G1176" s="470"/>
      <c r="H1176" s="470">
        <v>1169</v>
      </c>
      <c r="I1176" s="455">
        <f t="shared" ca="1" si="105"/>
        <v>-55150827.119894587</v>
      </c>
      <c r="J1176" s="455">
        <f t="array" ref="J1176">IFERROR(INDEX('Retirement Calculator'!K:K,MATCH('Lorri 401b'!N1176,'Retirement Calculator'!A:A,0),0),0)</f>
        <v>0</v>
      </c>
      <c r="K1176" s="455">
        <f t="shared" ca="1" si="103"/>
        <v>-229795.11299956078</v>
      </c>
      <c r="L1176" s="455">
        <f t="shared" ca="1" si="104"/>
        <v>-55380622.232894145</v>
      </c>
      <c r="M1176" s="471">
        <f t="shared" si="106"/>
        <v>0.05</v>
      </c>
      <c r="N1176" s="475">
        <f t="shared" si="107"/>
        <v>86838</v>
      </c>
    </row>
    <row r="1177" spans="7:14" ht="11.25" customHeight="1" x14ac:dyDescent="0.3">
      <c r="G1177" s="470"/>
      <c r="H1177" s="470">
        <v>1170</v>
      </c>
      <c r="I1177" s="455">
        <f t="shared" ca="1" si="105"/>
        <v>-55380622.232894145</v>
      </c>
      <c r="J1177" s="455">
        <f t="array" ref="J1177">IFERROR(INDEX('Retirement Calculator'!K:K,MATCH('Lorri 401b'!N1177,'Retirement Calculator'!A:A,0),0),0)</f>
        <v>0</v>
      </c>
      <c r="K1177" s="455">
        <f t="shared" ca="1" si="103"/>
        <v>-230752.5926370589</v>
      </c>
      <c r="L1177" s="455">
        <f t="shared" ca="1" si="104"/>
        <v>-55611374.825531207</v>
      </c>
      <c r="M1177" s="471">
        <f t="shared" si="106"/>
        <v>0.05</v>
      </c>
      <c r="N1177" s="475">
        <f t="shared" si="107"/>
        <v>86869</v>
      </c>
    </row>
    <row r="1178" spans="7:14" ht="11.25" customHeight="1" x14ac:dyDescent="0.3">
      <c r="G1178" s="470"/>
      <c r="H1178" s="470">
        <v>1171</v>
      </c>
      <c r="I1178" s="455">
        <f t="shared" ca="1" si="105"/>
        <v>-55611374.825531207</v>
      </c>
      <c r="J1178" s="455">
        <f t="array" ref="J1178">IFERROR(INDEX('Retirement Calculator'!K:K,MATCH('Lorri 401b'!N1178,'Retirement Calculator'!A:A,0),0),0)</f>
        <v>0</v>
      </c>
      <c r="K1178" s="455">
        <f t="shared" ca="1" si="103"/>
        <v>-231714.06177304673</v>
      </c>
      <c r="L1178" s="455">
        <f t="shared" ca="1" si="104"/>
        <v>-55843088.887304254</v>
      </c>
      <c r="M1178" s="471">
        <f t="shared" si="106"/>
        <v>0.05</v>
      </c>
      <c r="N1178" s="475">
        <f t="shared" si="107"/>
        <v>86899</v>
      </c>
    </row>
    <row r="1179" spans="7:14" ht="11.25" customHeight="1" x14ac:dyDescent="0.3">
      <c r="G1179" s="470"/>
      <c r="H1179" s="470">
        <v>1172</v>
      </c>
      <c r="I1179" s="455">
        <f t="shared" ca="1" si="105"/>
        <v>-55843088.887304254</v>
      </c>
      <c r="J1179" s="455">
        <f t="array" ref="J1179">IFERROR(INDEX('Retirement Calculator'!K:K,MATCH('Lorri 401b'!N1179,'Retirement Calculator'!A:A,0),0),0)</f>
        <v>0</v>
      </c>
      <c r="K1179" s="455">
        <f t="shared" ca="1" si="103"/>
        <v>-232679.53703043438</v>
      </c>
      <c r="L1179" s="455">
        <f t="shared" ca="1" si="104"/>
        <v>-56075768.42433469</v>
      </c>
      <c r="M1179" s="471">
        <f t="shared" si="106"/>
        <v>0.05</v>
      </c>
      <c r="N1179" s="475">
        <f t="shared" si="107"/>
        <v>86930</v>
      </c>
    </row>
    <row r="1180" spans="7:14" ht="11.25" customHeight="1" x14ac:dyDescent="0.3">
      <c r="G1180" s="470"/>
      <c r="H1180" s="470">
        <v>1173</v>
      </c>
      <c r="I1180" s="455">
        <f t="shared" ca="1" si="105"/>
        <v>-56075768.42433469</v>
      </c>
      <c r="J1180" s="455">
        <f t="array" ref="J1180">IFERROR(INDEX('Retirement Calculator'!K:K,MATCH('Lorri 401b'!N1180,'Retirement Calculator'!A:A,0),0),0)</f>
        <v>0</v>
      </c>
      <c r="K1180" s="455">
        <f t="shared" ca="1" si="103"/>
        <v>-233649.03510139455</v>
      </c>
      <c r="L1180" s="455">
        <f t="shared" ca="1" si="104"/>
        <v>-56309417.459436081</v>
      </c>
      <c r="M1180" s="471">
        <f t="shared" si="106"/>
        <v>0.05</v>
      </c>
      <c r="N1180" s="475">
        <f t="shared" si="107"/>
        <v>86961</v>
      </c>
    </row>
    <row r="1181" spans="7:14" ht="11.25" customHeight="1" x14ac:dyDescent="0.3">
      <c r="G1181" s="470"/>
      <c r="H1181" s="470">
        <v>1174</v>
      </c>
      <c r="I1181" s="455">
        <f t="shared" ca="1" si="105"/>
        <v>-56309417.459436081</v>
      </c>
      <c r="J1181" s="455">
        <f t="array" ref="J1181">IFERROR(INDEX('Retirement Calculator'!K:K,MATCH('Lorri 401b'!N1181,'Retirement Calculator'!A:A,0),0),0)</f>
        <v>0</v>
      </c>
      <c r="K1181" s="455">
        <f t="shared" ca="1" si="103"/>
        <v>-234622.57274765029</v>
      </c>
      <c r="L1181" s="455">
        <f t="shared" ca="1" si="104"/>
        <v>-56544040.032183729</v>
      </c>
      <c r="M1181" s="471">
        <f t="shared" si="106"/>
        <v>0.05</v>
      </c>
      <c r="N1181" s="475">
        <f t="shared" si="107"/>
        <v>86989</v>
      </c>
    </row>
    <row r="1182" spans="7:14" ht="11.25" customHeight="1" x14ac:dyDescent="0.3">
      <c r="G1182" s="470"/>
      <c r="H1182" s="470">
        <v>1175</v>
      </c>
      <c r="I1182" s="455">
        <f t="shared" ca="1" si="105"/>
        <v>-56544040.032183729</v>
      </c>
      <c r="J1182" s="455">
        <f t="array" ref="J1182">IFERROR(INDEX('Retirement Calculator'!K:K,MATCH('Lorri 401b'!N1182,'Retirement Calculator'!A:A,0),0),0)</f>
        <v>0</v>
      </c>
      <c r="K1182" s="455">
        <f t="shared" ca="1" si="103"/>
        <v>-235600.16680076552</v>
      </c>
      <c r="L1182" s="455">
        <f t="shared" ca="1" si="104"/>
        <v>-56779640.198984496</v>
      </c>
      <c r="M1182" s="471">
        <f t="shared" si="106"/>
        <v>0.05</v>
      </c>
      <c r="N1182" s="475">
        <f t="shared" si="107"/>
        <v>87020</v>
      </c>
    </row>
    <row r="1183" spans="7:14" ht="11.25" customHeight="1" x14ac:dyDescent="0.3">
      <c r="G1183" s="470"/>
      <c r="H1183" s="470">
        <v>1176</v>
      </c>
      <c r="I1183" s="455">
        <f t="shared" ca="1" si="105"/>
        <v>-56779640.198984496</v>
      </c>
      <c r="J1183" s="455">
        <f t="array" ref="J1183">IFERROR(INDEX('Retirement Calculator'!K:K,MATCH('Lorri 401b'!N1183,'Retirement Calculator'!A:A,0),0),0)</f>
        <v>0</v>
      </c>
      <c r="K1183" s="455">
        <f t="shared" ca="1" si="103"/>
        <v>-236581.83416243541</v>
      </c>
      <c r="L1183" s="455">
        <f t="shared" ca="1" si="104"/>
        <v>-57016222.033146933</v>
      </c>
      <c r="M1183" s="471">
        <f t="shared" si="106"/>
        <v>0.05</v>
      </c>
      <c r="N1183" s="475">
        <f t="shared" si="107"/>
        <v>87050</v>
      </c>
    </row>
    <row r="1184" spans="7:14" ht="11.25" customHeight="1" x14ac:dyDescent="0.3">
      <c r="G1184" s="470"/>
      <c r="H1184" s="470">
        <v>1177</v>
      </c>
      <c r="I1184" s="455">
        <f t="shared" ca="1" si="105"/>
        <v>-57016222.033146933</v>
      </c>
      <c r="J1184" s="455">
        <f t="array" ref="J1184">IFERROR(INDEX('Retirement Calculator'!K:K,MATCH('Lorri 401b'!N1184,'Retirement Calculator'!A:A,0),0),0)</f>
        <v>0</v>
      </c>
      <c r="K1184" s="455">
        <f t="shared" ca="1" si="103"/>
        <v>-237567.59180477887</v>
      </c>
      <c r="L1184" s="455">
        <f t="shared" ca="1" si="104"/>
        <v>-57253789.624951713</v>
      </c>
      <c r="M1184" s="471">
        <f t="shared" si="106"/>
        <v>0.05</v>
      </c>
      <c r="N1184" s="475">
        <f t="shared" si="107"/>
        <v>87081</v>
      </c>
    </row>
    <row r="1185" spans="7:14" ht="11.25" customHeight="1" x14ac:dyDescent="0.3">
      <c r="G1185" s="470"/>
      <c r="H1185" s="470">
        <v>1178</v>
      </c>
      <c r="I1185" s="455">
        <f t="shared" ca="1" si="105"/>
        <v>-57253789.624951713</v>
      </c>
      <c r="J1185" s="455">
        <f t="array" ref="J1185">IFERROR(INDEX('Retirement Calculator'!K:K,MATCH('Lorri 401b'!N1185,'Retirement Calculator'!A:A,0),0),0)</f>
        <v>0</v>
      </c>
      <c r="K1185" s="455">
        <f t="shared" ca="1" si="103"/>
        <v>-238557.45677063212</v>
      </c>
      <c r="L1185" s="455">
        <f t="shared" ca="1" si="104"/>
        <v>-57492347.081722341</v>
      </c>
      <c r="M1185" s="471">
        <f t="shared" si="106"/>
        <v>0.05</v>
      </c>
      <c r="N1185" s="475">
        <f t="shared" si="107"/>
        <v>87111</v>
      </c>
    </row>
    <row r="1186" spans="7:14" ht="11.25" customHeight="1" x14ac:dyDescent="0.3">
      <c r="G1186" s="470"/>
      <c r="H1186" s="470">
        <v>1179</v>
      </c>
      <c r="I1186" s="455">
        <f t="shared" ca="1" si="105"/>
        <v>-57492347.081722341</v>
      </c>
      <c r="J1186" s="455">
        <f t="array" ref="J1186">IFERROR(INDEX('Retirement Calculator'!K:K,MATCH('Lorri 401b'!N1186,'Retirement Calculator'!A:A,0),0),0)</f>
        <v>0</v>
      </c>
      <c r="K1186" s="455">
        <f t="shared" ca="1" si="103"/>
        <v>-239551.44617384311</v>
      </c>
      <c r="L1186" s="455">
        <f t="shared" ca="1" si="104"/>
        <v>-57731898.527896188</v>
      </c>
      <c r="M1186" s="471">
        <f t="shared" si="106"/>
        <v>0.05</v>
      </c>
      <c r="N1186" s="475">
        <f t="shared" si="107"/>
        <v>87142</v>
      </c>
    </row>
    <row r="1187" spans="7:14" ht="11.25" customHeight="1" x14ac:dyDescent="0.3">
      <c r="G1187" s="470"/>
      <c r="H1187" s="470">
        <v>1180</v>
      </c>
      <c r="I1187" s="455">
        <f t="shared" ca="1" si="105"/>
        <v>-57731898.527896188</v>
      </c>
      <c r="J1187" s="455">
        <f t="array" ref="J1187">IFERROR(INDEX('Retirement Calculator'!K:K,MATCH('Lorri 401b'!N1187,'Retirement Calculator'!A:A,0),0),0)</f>
        <v>0</v>
      </c>
      <c r="K1187" s="455">
        <f t="shared" ca="1" si="103"/>
        <v>-240549.57719956746</v>
      </c>
      <c r="L1187" s="455">
        <f t="shared" ca="1" si="104"/>
        <v>-57972448.105095759</v>
      </c>
      <c r="M1187" s="471">
        <f t="shared" si="106"/>
        <v>0.05</v>
      </c>
      <c r="N1187" s="475">
        <f t="shared" si="107"/>
        <v>87173</v>
      </c>
    </row>
    <row r="1188" spans="7:14" ht="11.25" customHeight="1" x14ac:dyDescent="0.3">
      <c r="G1188" s="470"/>
      <c r="H1188" s="470">
        <v>1181</v>
      </c>
      <c r="I1188" s="455">
        <f t="shared" ca="1" si="105"/>
        <v>-57972448.105095759</v>
      </c>
      <c r="J1188" s="455">
        <f t="array" ref="J1188">IFERROR(INDEX('Retirement Calculator'!K:K,MATCH('Lorri 401b'!N1188,'Retirement Calculator'!A:A,0),0),0)</f>
        <v>0</v>
      </c>
      <c r="K1188" s="455">
        <f t="shared" ca="1" si="103"/>
        <v>-241551.86710456567</v>
      </c>
      <c r="L1188" s="455">
        <f t="shared" ca="1" si="104"/>
        <v>-58213999.972200327</v>
      </c>
      <c r="M1188" s="471">
        <f t="shared" si="106"/>
        <v>0.05</v>
      </c>
      <c r="N1188" s="475">
        <f t="shared" si="107"/>
        <v>87203</v>
      </c>
    </row>
    <row r="1189" spans="7:14" ht="11.25" customHeight="1" x14ac:dyDescent="0.3">
      <c r="G1189" s="470"/>
      <c r="H1189" s="470">
        <v>1182</v>
      </c>
      <c r="I1189" s="455">
        <f t="shared" ca="1" si="105"/>
        <v>-58213999.972200327</v>
      </c>
      <c r="J1189" s="455">
        <f t="array" ref="J1189">IFERROR(INDEX('Retirement Calculator'!K:K,MATCH('Lorri 401b'!N1189,'Retirement Calculator'!A:A,0),0),0)</f>
        <v>0</v>
      </c>
      <c r="K1189" s="455">
        <f t="shared" ca="1" si="103"/>
        <v>-242558.33321750135</v>
      </c>
      <c r="L1189" s="455">
        <f t="shared" ca="1" si="104"/>
        <v>-58456558.305417828</v>
      </c>
      <c r="M1189" s="471">
        <f t="shared" si="106"/>
        <v>0.05</v>
      </c>
      <c r="N1189" s="475">
        <f t="shared" si="107"/>
        <v>87234</v>
      </c>
    </row>
    <row r="1190" spans="7:14" ht="11.25" customHeight="1" x14ac:dyDescent="0.3">
      <c r="G1190" s="470"/>
      <c r="H1190" s="470">
        <v>1183</v>
      </c>
      <c r="I1190" s="455">
        <f t="shared" ca="1" si="105"/>
        <v>-58456558.305417828</v>
      </c>
      <c r="J1190" s="455">
        <f t="array" ref="J1190">IFERROR(INDEX('Retirement Calculator'!K:K,MATCH('Lorri 401b'!N1190,'Retirement Calculator'!A:A,0),0),0)</f>
        <v>0</v>
      </c>
      <c r="K1190" s="455">
        <f t="shared" ca="1" si="103"/>
        <v>-243568.99293924091</v>
      </c>
      <c r="L1190" s="455">
        <f t="shared" ca="1" si="104"/>
        <v>-58700127.298357069</v>
      </c>
      <c r="M1190" s="471">
        <f t="shared" si="106"/>
        <v>0.05</v>
      </c>
      <c r="N1190" s="475">
        <f t="shared" si="107"/>
        <v>87264</v>
      </c>
    </row>
    <row r="1191" spans="7:14" ht="11.25" customHeight="1" x14ac:dyDescent="0.3">
      <c r="G1191" s="470"/>
      <c r="H1191" s="470">
        <v>1184</v>
      </c>
      <c r="I1191" s="455">
        <f t="shared" ca="1" si="105"/>
        <v>-58700127.298357069</v>
      </c>
      <c r="J1191" s="455">
        <f t="array" ref="J1191">IFERROR(INDEX('Retirement Calculator'!K:K,MATCH('Lorri 401b'!N1191,'Retirement Calculator'!A:A,0),0),0)</f>
        <v>0</v>
      </c>
      <c r="K1191" s="455">
        <f t="shared" ca="1" si="103"/>
        <v>-244583.86374315445</v>
      </c>
      <c r="L1191" s="455">
        <f t="shared" ca="1" si="104"/>
        <v>-58944711.162100226</v>
      </c>
      <c r="M1191" s="471">
        <f t="shared" si="106"/>
        <v>0.05</v>
      </c>
      <c r="N1191" s="475">
        <f t="shared" si="107"/>
        <v>87295</v>
      </c>
    </row>
    <row r="1192" spans="7:14" ht="11.25" customHeight="1" x14ac:dyDescent="0.3">
      <c r="G1192" s="470"/>
      <c r="H1192" s="470">
        <v>1185</v>
      </c>
      <c r="I1192" s="455">
        <f t="shared" ca="1" si="105"/>
        <v>-58944711.162100226</v>
      </c>
      <c r="J1192" s="455">
        <f t="array" ref="J1192">IFERROR(INDEX('Retirement Calculator'!K:K,MATCH('Lorri 401b'!N1192,'Retirement Calculator'!A:A,0),0),0)</f>
        <v>0</v>
      </c>
      <c r="K1192" s="455">
        <f t="shared" ca="1" si="103"/>
        <v>-245602.96317541759</v>
      </c>
      <c r="L1192" s="455">
        <f t="shared" ca="1" si="104"/>
        <v>-59190314.125275642</v>
      </c>
      <c r="M1192" s="471">
        <f t="shared" si="106"/>
        <v>0.05</v>
      </c>
      <c r="N1192" s="475">
        <f t="shared" si="107"/>
        <v>87326</v>
      </c>
    </row>
    <row r="1193" spans="7:14" ht="11.25" customHeight="1" x14ac:dyDescent="0.3">
      <c r="G1193" s="470"/>
      <c r="H1193" s="470">
        <v>1186</v>
      </c>
      <c r="I1193" s="455">
        <f t="shared" ca="1" si="105"/>
        <v>-59190314.125275642</v>
      </c>
      <c r="J1193" s="455">
        <f t="array" ref="J1193">IFERROR(INDEX('Retirement Calculator'!K:K,MATCH('Lorri 401b'!N1193,'Retirement Calculator'!A:A,0),0),0)</f>
        <v>0</v>
      </c>
      <c r="K1193" s="455">
        <f t="shared" ca="1" si="103"/>
        <v>-246626.30885531518</v>
      </c>
      <c r="L1193" s="455">
        <f t="shared" ca="1" si="104"/>
        <v>-59436940.434130959</v>
      </c>
      <c r="M1193" s="471">
        <f t="shared" si="106"/>
        <v>0.05</v>
      </c>
      <c r="N1193" s="475">
        <f t="shared" si="107"/>
        <v>87354</v>
      </c>
    </row>
    <row r="1194" spans="7:14" ht="11.25" customHeight="1" x14ac:dyDescent="0.3">
      <c r="G1194" s="470"/>
      <c r="H1194" s="470">
        <v>1187</v>
      </c>
      <c r="I1194" s="455">
        <f t="shared" ca="1" si="105"/>
        <v>-59436940.434130959</v>
      </c>
      <c r="J1194" s="455">
        <f t="array" ref="J1194">IFERROR(INDEX('Retirement Calculator'!K:K,MATCH('Lorri 401b'!N1194,'Retirement Calculator'!A:A,0),0),0)</f>
        <v>0</v>
      </c>
      <c r="K1194" s="455">
        <f t="shared" ca="1" si="103"/>
        <v>-247653.91847554565</v>
      </c>
      <c r="L1194" s="455">
        <f t="shared" ca="1" si="104"/>
        <v>-59684594.352606505</v>
      </c>
      <c r="M1194" s="471">
        <f t="shared" si="106"/>
        <v>0.05</v>
      </c>
      <c r="N1194" s="475">
        <f t="shared" si="107"/>
        <v>87385</v>
      </c>
    </row>
    <row r="1195" spans="7:14" ht="11.25" customHeight="1" x14ac:dyDescent="0.3">
      <c r="G1195" s="470"/>
      <c r="H1195" s="470">
        <v>1188</v>
      </c>
      <c r="I1195" s="455">
        <f t="shared" ca="1" si="105"/>
        <v>-59684594.352606505</v>
      </c>
      <c r="J1195" s="455">
        <f t="array" ref="J1195">IFERROR(INDEX('Retirement Calculator'!K:K,MATCH('Lorri 401b'!N1195,'Retirement Calculator'!A:A,0),0),0)</f>
        <v>0</v>
      </c>
      <c r="K1195" s="455">
        <f t="shared" ca="1" si="103"/>
        <v>-248685.8098025271</v>
      </c>
      <c r="L1195" s="455">
        <f t="shared" ca="1" si="104"/>
        <v>-59933280.16240903</v>
      </c>
      <c r="M1195" s="471">
        <f t="shared" si="106"/>
        <v>0.05</v>
      </c>
      <c r="N1195" s="475">
        <f t="shared" si="107"/>
        <v>87415</v>
      </c>
    </row>
    <row r="1196" spans="7:14" ht="11.25" customHeight="1" x14ac:dyDescent="0.3">
      <c r="G1196" s="470"/>
      <c r="H1196" s="470">
        <v>1189</v>
      </c>
      <c r="I1196" s="455">
        <f t="shared" ca="1" si="105"/>
        <v>-59933280.16240903</v>
      </c>
      <c r="J1196" s="455">
        <f t="array" ref="J1196">IFERROR(INDEX('Retirement Calculator'!K:K,MATCH('Lorri 401b'!N1196,'Retirement Calculator'!A:A,0),0),0)</f>
        <v>0</v>
      </c>
      <c r="K1196" s="455">
        <f t="shared" ca="1" si="103"/>
        <v>-249722.00067670431</v>
      </c>
      <c r="L1196" s="455">
        <f t="shared" ca="1" si="104"/>
        <v>-60183002.163085736</v>
      </c>
      <c r="M1196" s="471">
        <f t="shared" si="106"/>
        <v>0.05</v>
      </c>
      <c r="N1196" s="475">
        <f t="shared" si="107"/>
        <v>87446</v>
      </c>
    </row>
    <row r="1197" spans="7:14" ht="11.25" customHeight="1" x14ac:dyDescent="0.3">
      <c r="G1197" s="470"/>
      <c r="H1197" s="470">
        <v>1190</v>
      </c>
      <c r="I1197" s="455">
        <f t="shared" ca="1" si="105"/>
        <v>-60183002.163085736</v>
      </c>
      <c r="J1197" s="455">
        <f t="array" ref="J1197">IFERROR(INDEX('Retirement Calculator'!K:K,MATCH('Lorri 401b'!N1197,'Retirement Calculator'!A:A,0),0),0)</f>
        <v>0</v>
      </c>
      <c r="K1197" s="455">
        <f t="shared" ca="1" si="103"/>
        <v>-250762.50901285722</v>
      </c>
      <c r="L1197" s="455">
        <f t="shared" ca="1" si="104"/>
        <v>-60433764.672098592</v>
      </c>
      <c r="M1197" s="471">
        <f t="shared" si="106"/>
        <v>0.05</v>
      </c>
      <c r="N1197" s="475">
        <f t="shared" si="107"/>
        <v>87476</v>
      </c>
    </row>
    <row r="1198" spans="7:14" ht="11.25" customHeight="1" x14ac:dyDescent="0.3">
      <c r="G1198" s="470"/>
      <c r="H1198" s="470">
        <v>1191</v>
      </c>
      <c r="I1198" s="455">
        <f t="shared" ca="1" si="105"/>
        <v>-60433764.672098592</v>
      </c>
      <c r="J1198" s="455">
        <f t="array" ref="J1198">IFERROR(INDEX('Retirement Calculator'!K:K,MATCH('Lorri 401b'!N1198,'Retirement Calculator'!A:A,0),0),0)</f>
        <v>0</v>
      </c>
      <c r="K1198" s="455">
        <f t="shared" ca="1" si="103"/>
        <v>-251807.35280041079</v>
      </c>
      <c r="L1198" s="455">
        <f t="shared" ca="1" si="104"/>
        <v>-60685572.024899006</v>
      </c>
      <c r="M1198" s="471">
        <f t="shared" si="106"/>
        <v>0.05</v>
      </c>
      <c r="N1198" s="475">
        <f t="shared" si="107"/>
        <v>87507</v>
      </c>
    </row>
    <row r="1199" spans="7:14" ht="11.25" customHeight="1" x14ac:dyDescent="0.3">
      <c r="G1199" s="470"/>
      <c r="H1199" s="470">
        <v>1192</v>
      </c>
      <c r="I1199" s="455">
        <f t="shared" ca="1" si="105"/>
        <v>-60685572.024899006</v>
      </c>
      <c r="J1199" s="455">
        <f t="array" ref="J1199">IFERROR(INDEX('Retirement Calculator'!K:K,MATCH('Lorri 401b'!N1199,'Retirement Calculator'!A:A,0),0),0)</f>
        <v>0</v>
      </c>
      <c r="K1199" s="455">
        <f t="shared" ca="1" si="103"/>
        <v>-252856.55010374586</v>
      </c>
      <c r="L1199" s="455">
        <f t="shared" ca="1" si="104"/>
        <v>-60938428.575002752</v>
      </c>
      <c r="M1199" s="471">
        <f t="shared" si="106"/>
        <v>0.05</v>
      </c>
      <c r="N1199" s="475">
        <f t="shared" si="107"/>
        <v>87538</v>
      </c>
    </row>
    <row r="1200" spans="7:14" ht="11.25" customHeight="1" x14ac:dyDescent="0.3">
      <c r="G1200" s="470"/>
      <c r="H1200" s="470">
        <v>1193</v>
      </c>
      <c r="I1200" s="455">
        <f t="shared" ca="1" si="105"/>
        <v>-60938428.575002752</v>
      </c>
      <c r="J1200" s="455">
        <f t="array" ref="J1200">IFERROR(INDEX('Retirement Calculator'!K:K,MATCH('Lorri 401b'!N1200,'Retirement Calculator'!A:A,0),0),0)</f>
        <v>0</v>
      </c>
      <c r="K1200" s="455">
        <f t="shared" ca="1" si="103"/>
        <v>-253910.11906251145</v>
      </c>
      <c r="L1200" s="455">
        <f t="shared" ca="1" si="104"/>
        <v>-61192338.694065265</v>
      </c>
      <c r="M1200" s="471">
        <f t="shared" si="106"/>
        <v>0.05</v>
      </c>
      <c r="N1200" s="475">
        <f t="shared" si="107"/>
        <v>87568</v>
      </c>
    </row>
    <row r="1201" spans="7:14" ht="11.25" customHeight="1" x14ac:dyDescent="0.3">
      <c r="G1201" s="470"/>
      <c r="H1201" s="470">
        <v>1194</v>
      </c>
      <c r="I1201" s="455">
        <f t="shared" ca="1" si="105"/>
        <v>-61192338.694065265</v>
      </c>
      <c r="J1201" s="455">
        <f t="array" ref="J1201">IFERROR(INDEX('Retirement Calculator'!K:K,MATCH('Lorri 401b'!N1201,'Retirement Calculator'!A:A,0),0),0)</f>
        <v>0</v>
      </c>
      <c r="K1201" s="455">
        <f t="shared" ca="1" si="103"/>
        <v>-254968.07789193859</v>
      </c>
      <c r="L1201" s="455">
        <f t="shared" ca="1" si="104"/>
        <v>-61447306.771957204</v>
      </c>
      <c r="M1201" s="471">
        <f t="shared" si="106"/>
        <v>0.05</v>
      </c>
      <c r="N1201" s="475">
        <f t="shared" si="107"/>
        <v>87599</v>
      </c>
    </row>
    <row r="1202" spans="7:14" ht="11.25" customHeight="1" x14ac:dyDescent="0.3">
      <c r="G1202" s="470"/>
      <c r="H1202" s="470">
        <v>1195</v>
      </c>
      <c r="I1202" s="455">
        <f t="shared" ca="1" si="105"/>
        <v>-61447306.771957204</v>
      </c>
      <c r="J1202" s="455">
        <f t="array" ref="J1202">IFERROR(INDEX('Retirement Calculator'!K:K,MATCH('Lorri 401b'!N1202,'Retirement Calculator'!A:A,0),0),0)</f>
        <v>0</v>
      </c>
      <c r="K1202" s="455">
        <f t="shared" ca="1" si="103"/>
        <v>-256030.44488315503</v>
      </c>
      <c r="L1202" s="455">
        <f t="shared" ca="1" si="104"/>
        <v>-61703337.216840357</v>
      </c>
      <c r="M1202" s="471">
        <f t="shared" si="106"/>
        <v>0.05</v>
      </c>
      <c r="N1202" s="475">
        <f t="shared" si="107"/>
        <v>87629</v>
      </c>
    </row>
    <row r="1203" spans="7:14" ht="11.25" customHeight="1" x14ac:dyDescent="0.3">
      <c r="G1203" s="470"/>
      <c r="H1203" s="470">
        <v>1196</v>
      </c>
      <c r="I1203" s="455">
        <f t="shared" ca="1" si="105"/>
        <v>-61703337.216840357</v>
      </c>
      <c r="J1203" s="455">
        <f t="array" ref="J1203">IFERROR(INDEX('Retirement Calculator'!K:K,MATCH('Lorri 401b'!N1203,'Retirement Calculator'!A:A,0),0),0)</f>
        <v>0</v>
      </c>
      <c r="K1203" s="455">
        <f t="shared" ca="1" si="103"/>
        <v>-257097.23840350151</v>
      </c>
      <c r="L1203" s="455">
        <f t="shared" ca="1" si="104"/>
        <v>-61960434.455243856</v>
      </c>
      <c r="M1203" s="471">
        <f t="shared" si="106"/>
        <v>0.05</v>
      </c>
      <c r="N1203" s="475">
        <f t="shared" si="107"/>
        <v>87660</v>
      </c>
    </row>
    <row r="1204" spans="7:14" ht="11.25" customHeight="1" x14ac:dyDescent="0.3">
      <c r="G1204" s="470"/>
      <c r="H1204" s="470">
        <v>1197</v>
      </c>
      <c r="I1204" s="455">
        <f t="shared" ca="1" si="105"/>
        <v>-61960434.455243856</v>
      </c>
      <c r="J1204" s="455">
        <f t="array" ref="J1204">IFERROR(INDEX('Retirement Calculator'!K:K,MATCH('Lorri 401b'!N1204,'Retirement Calculator'!A:A,0),0),0)</f>
        <v>0</v>
      </c>
      <c r="K1204" s="455">
        <f t="shared" ca="1" si="103"/>
        <v>-258168.4768968494</v>
      </c>
      <c r="L1204" s="455">
        <f t="shared" ca="1" si="104"/>
        <v>-62218602.932140708</v>
      </c>
      <c r="M1204" s="471">
        <f t="shared" si="106"/>
        <v>0.05</v>
      </c>
      <c r="N1204" s="475">
        <f t="shared" si="107"/>
        <v>87691</v>
      </c>
    </row>
    <row r="1205" spans="7:14" ht="11.25" customHeight="1" x14ac:dyDescent="0.3">
      <c r="G1205" s="470"/>
      <c r="H1205" s="470">
        <v>1198</v>
      </c>
      <c r="I1205" s="455">
        <f t="shared" ca="1" si="105"/>
        <v>-62218602.932140708</v>
      </c>
      <c r="J1205" s="455">
        <f t="array" ref="J1205">IFERROR(INDEX('Retirement Calculator'!K:K,MATCH('Lorri 401b'!N1205,'Retirement Calculator'!A:A,0),0),0)</f>
        <v>0</v>
      </c>
      <c r="K1205" s="455">
        <f t="shared" ca="1" si="103"/>
        <v>-259244.17888391961</v>
      </c>
      <c r="L1205" s="455">
        <f t="shared" ca="1" si="104"/>
        <v>-62477847.111024626</v>
      </c>
      <c r="M1205" s="471">
        <f t="shared" si="106"/>
        <v>0.05</v>
      </c>
      <c r="N1205" s="475">
        <f t="shared" si="107"/>
        <v>87720</v>
      </c>
    </row>
    <row r="1206" spans="7:14" ht="11.25" customHeight="1" x14ac:dyDescent="0.3">
      <c r="G1206" s="470"/>
      <c r="H1206" s="470">
        <v>1199</v>
      </c>
      <c r="I1206" s="455">
        <f t="shared" ca="1" si="105"/>
        <v>-62477847.111024626</v>
      </c>
      <c r="J1206" s="455">
        <f t="array" ref="J1206">IFERROR(INDEX('Retirement Calculator'!K:K,MATCH('Lorri 401b'!N1206,'Retirement Calculator'!A:A,0),0),0)</f>
        <v>0</v>
      </c>
      <c r="K1206" s="455">
        <f t="shared" ca="1" si="103"/>
        <v>-260324.36296260261</v>
      </c>
      <c r="L1206" s="455">
        <f t="shared" ca="1" si="104"/>
        <v>-62738171.473987229</v>
      </c>
      <c r="M1206" s="471">
        <f t="shared" si="106"/>
        <v>0.05</v>
      </c>
      <c r="N1206" s="475">
        <f t="shared" si="107"/>
        <v>87751</v>
      </c>
    </row>
    <row r="1207" spans="7:14" ht="11.25" customHeight="1" x14ac:dyDescent="0.3">
      <c r="G1207" s="470"/>
      <c r="H1207" s="470">
        <v>1200</v>
      </c>
      <c r="I1207" s="455">
        <f t="shared" ca="1" si="105"/>
        <v>-62738171.473987229</v>
      </c>
      <c r="J1207" s="455">
        <f t="array" ref="J1207">IFERROR(INDEX('Retirement Calculator'!K:K,MATCH('Lorri 401b'!N1207,'Retirement Calculator'!A:A,0),0),0)</f>
        <v>0</v>
      </c>
      <c r="K1207" s="455">
        <f t="shared" ca="1" si="103"/>
        <v>-261409.04780828013</v>
      </c>
      <c r="L1207" s="455">
        <f t="shared" ca="1" si="104"/>
        <v>-62999580.521795511</v>
      </c>
      <c r="M1207" s="471">
        <f t="shared" si="106"/>
        <v>0.05</v>
      </c>
      <c r="N1207" s="475">
        <f t="shared" si="107"/>
        <v>87781</v>
      </c>
    </row>
    <row r="1208" spans="7:14" ht="11.25" customHeight="1" x14ac:dyDescent="0.3">
      <c r="G1208" s="470"/>
      <c r="H1208" s="470">
        <v>1201</v>
      </c>
      <c r="I1208" s="455">
        <f t="shared" ca="1" si="105"/>
        <v>-62999580.521795511</v>
      </c>
      <c r="J1208" s="455">
        <f t="array" ref="J1208">IFERROR(INDEX('Retirement Calculator'!K:K,MATCH('Lorri 401b'!N1208,'Retirement Calculator'!A:A,0),0),0)</f>
        <v>0</v>
      </c>
      <c r="K1208" s="455">
        <f t="shared" ca="1" si="103"/>
        <v>-262498.25217414799</v>
      </c>
      <c r="L1208" s="455">
        <f t="shared" ca="1" si="104"/>
        <v>-63262078.773969658</v>
      </c>
      <c r="M1208" s="471">
        <f t="shared" si="106"/>
        <v>0.05</v>
      </c>
      <c r="N1208" s="475">
        <f t="shared" si="107"/>
        <v>87812</v>
      </c>
    </row>
    <row r="1209" spans="7:14" ht="11.25" customHeight="1" x14ac:dyDescent="0.3">
      <c r="G1209" s="470"/>
      <c r="H1209" s="470">
        <v>1202</v>
      </c>
      <c r="I1209" s="455">
        <f t="shared" ca="1" si="105"/>
        <v>-63262078.773969658</v>
      </c>
      <c r="J1209" s="455">
        <f t="array" ref="J1209">IFERROR(INDEX('Retirement Calculator'!K:K,MATCH('Lorri 401b'!N1209,'Retirement Calculator'!A:A,0),0),0)</f>
        <v>0</v>
      </c>
      <c r="K1209" s="455">
        <f t="shared" ca="1" si="103"/>
        <v>-263591.99489154026</v>
      </c>
      <c r="L1209" s="455">
        <f t="shared" ca="1" si="104"/>
        <v>-63525670.768861197</v>
      </c>
      <c r="M1209" s="471">
        <f t="shared" si="106"/>
        <v>0.05</v>
      </c>
      <c r="N1209" s="475">
        <f t="shared" si="107"/>
        <v>87842</v>
      </c>
    </row>
    <row r="1210" spans="7:14" ht="11.25" customHeight="1" x14ac:dyDescent="0.3">
      <c r="G1210" s="470"/>
      <c r="H1210" s="470">
        <v>1203</v>
      </c>
      <c r="I1210" s="455">
        <f t="shared" ca="1" si="105"/>
        <v>-63525670.768861197</v>
      </c>
      <c r="J1210" s="455">
        <f t="array" ref="J1210">IFERROR(INDEX('Retirement Calculator'!K:K,MATCH('Lorri 401b'!N1210,'Retirement Calculator'!A:A,0),0),0)</f>
        <v>0</v>
      </c>
      <c r="K1210" s="455">
        <f t="shared" ca="1" si="103"/>
        <v>-264690.29487025499</v>
      </c>
      <c r="L1210" s="455">
        <f t="shared" ca="1" si="104"/>
        <v>-63790361.063731454</v>
      </c>
      <c r="M1210" s="471">
        <f t="shared" si="106"/>
        <v>0.05</v>
      </c>
      <c r="N1210" s="475">
        <f t="shared" si="107"/>
        <v>87873</v>
      </c>
    </row>
    <row r="1211" spans="7:14" ht="11.25" customHeight="1" x14ac:dyDescent="0.3">
      <c r="G1211" s="470"/>
      <c r="H1211" s="470">
        <v>1204</v>
      </c>
      <c r="I1211" s="455">
        <f t="shared" ca="1" si="105"/>
        <v>-63790361.063731454</v>
      </c>
      <c r="J1211" s="455">
        <f t="array" ref="J1211">IFERROR(INDEX('Retirement Calculator'!K:K,MATCH('Lorri 401b'!N1211,'Retirement Calculator'!A:A,0),0),0)</f>
        <v>0</v>
      </c>
      <c r="K1211" s="455">
        <f t="shared" ca="1" si="103"/>
        <v>-265793.17109888105</v>
      </c>
      <c r="L1211" s="455">
        <f t="shared" ca="1" si="104"/>
        <v>-64056154.234830335</v>
      </c>
      <c r="M1211" s="471">
        <f t="shared" si="106"/>
        <v>0.05</v>
      </c>
      <c r="N1211" s="475">
        <f t="shared" si="107"/>
        <v>87904</v>
      </c>
    </row>
    <row r="1212" spans="7:14" ht="11.25" customHeight="1" x14ac:dyDescent="0.3">
      <c r="G1212" s="470"/>
      <c r="H1212" s="470">
        <v>1205</v>
      </c>
      <c r="I1212" s="455">
        <f t="shared" ca="1" si="105"/>
        <v>-64056154.234830335</v>
      </c>
      <c r="J1212" s="455">
        <f t="array" ref="J1212">IFERROR(INDEX('Retirement Calculator'!K:K,MATCH('Lorri 401b'!N1212,'Retirement Calculator'!A:A,0),0),0)</f>
        <v>0</v>
      </c>
      <c r="K1212" s="455">
        <f t="shared" ca="1" si="103"/>
        <v>-266900.64264512638</v>
      </c>
      <c r="L1212" s="455">
        <f t="shared" ca="1" si="104"/>
        <v>-64323054.877475463</v>
      </c>
      <c r="M1212" s="471">
        <f t="shared" si="106"/>
        <v>0.05</v>
      </c>
      <c r="N1212" s="475">
        <f t="shared" si="107"/>
        <v>87934</v>
      </c>
    </row>
    <row r="1213" spans="7:14" ht="11.25" customHeight="1" x14ac:dyDescent="0.3">
      <c r="G1213" s="470"/>
      <c r="H1213" s="470">
        <v>1206</v>
      </c>
      <c r="I1213" s="455">
        <f t="shared" ca="1" si="105"/>
        <v>-64323054.877475463</v>
      </c>
      <c r="J1213" s="455">
        <f t="array" ref="J1213">IFERROR(INDEX('Retirement Calculator'!K:K,MATCH('Lorri 401b'!N1213,'Retirement Calculator'!A:A,0),0),0)</f>
        <v>0</v>
      </c>
      <c r="K1213" s="455">
        <f t="shared" ca="1" si="103"/>
        <v>-268012.72865614778</v>
      </c>
      <c r="L1213" s="455">
        <f t="shared" ca="1" si="104"/>
        <v>-64591067.606131613</v>
      </c>
      <c r="M1213" s="471">
        <f t="shared" si="106"/>
        <v>0.05</v>
      </c>
      <c r="N1213" s="475">
        <f t="shared" si="107"/>
        <v>87965</v>
      </c>
    </row>
    <row r="1214" spans="7:14" ht="11.25" customHeight="1" x14ac:dyDescent="0.3">
      <c r="G1214" s="470"/>
      <c r="H1214" s="470">
        <v>1207</v>
      </c>
      <c r="I1214" s="455">
        <f t="shared" ca="1" si="105"/>
        <v>-64591067.606131613</v>
      </c>
      <c r="J1214" s="455">
        <f t="array" ref="J1214">IFERROR(INDEX('Retirement Calculator'!K:K,MATCH('Lorri 401b'!N1214,'Retirement Calculator'!A:A,0),0),0)</f>
        <v>0</v>
      </c>
      <c r="K1214" s="455">
        <f t="shared" ca="1" si="103"/>
        <v>-269129.44835888175</v>
      </c>
      <c r="L1214" s="455">
        <f t="shared" ca="1" si="104"/>
        <v>-64860197.054490492</v>
      </c>
      <c r="M1214" s="471">
        <f t="shared" si="106"/>
        <v>0.05</v>
      </c>
      <c r="N1214" s="475">
        <f t="shared" si="107"/>
        <v>87995</v>
      </c>
    </row>
    <row r="1215" spans="7:14" ht="11.25" customHeight="1" x14ac:dyDescent="0.3">
      <c r="G1215" s="470"/>
      <c r="H1215" s="470">
        <v>1208</v>
      </c>
      <c r="I1215" s="455">
        <f t="shared" ca="1" si="105"/>
        <v>-64860197.054490492</v>
      </c>
      <c r="J1215" s="455">
        <f t="array" ref="J1215">IFERROR(INDEX('Retirement Calculator'!K:K,MATCH('Lorri 401b'!N1215,'Retirement Calculator'!A:A,0),0),0)</f>
        <v>0</v>
      </c>
      <c r="K1215" s="455">
        <f t="shared" ca="1" si="103"/>
        <v>-270250.821060377</v>
      </c>
      <c r="L1215" s="455">
        <f t="shared" ca="1" si="104"/>
        <v>-65130447.875550866</v>
      </c>
      <c r="M1215" s="471">
        <f t="shared" si="106"/>
        <v>0.05</v>
      </c>
      <c r="N1215" s="475">
        <f t="shared" si="107"/>
        <v>88026</v>
      </c>
    </row>
    <row r="1216" spans="7:14" ht="11.25" customHeight="1" x14ac:dyDescent="0.3">
      <c r="G1216" s="470"/>
      <c r="H1216" s="470">
        <v>1209</v>
      </c>
      <c r="I1216" s="455">
        <f t="shared" ca="1" si="105"/>
        <v>-65130447.875550866</v>
      </c>
      <c r="J1216" s="455">
        <f t="array" ref="J1216">IFERROR(INDEX('Retirement Calculator'!K:K,MATCH('Lorri 401b'!N1216,'Retirement Calculator'!A:A,0),0),0)</f>
        <v>0</v>
      </c>
      <c r="K1216" s="455">
        <f t="shared" ca="1" si="103"/>
        <v>-271376.86614812858</v>
      </c>
      <c r="L1216" s="455">
        <f t="shared" ca="1" si="104"/>
        <v>-65401824.741698995</v>
      </c>
      <c r="M1216" s="471">
        <f t="shared" si="106"/>
        <v>0.05</v>
      </c>
      <c r="N1216" s="475">
        <f t="shared" si="107"/>
        <v>88057</v>
      </c>
    </row>
    <row r="1217" spans="7:14" ht="11.25" customHeight="1" x14ac:dyDescent="0.3">
      <c r="G1217" s="470"/>
      <c r="H1217" s="470">
        <v>1210</v>
      </c>
      <c r="I1217" s="455">
        <f t="shared" ca="1" si="105"/>
        <v>-65401824.741698995</v>
      </c>
      <c r="J1217" s="455">
        <f t="array" ref="J1217">IFERROR(INDEX('Retirement Calculator'!K:K,MATCH('Lorri 401b'!N1217,'Retirement Calculator'!A:A,0),0),0)</f>
        <v>0</v>
      </c>
      <c r="K1217" s="455">
        <f t="shared" ca="1" si="103"/>
        <v>-272507.60309041245</v>
      </c>
      <c r="L1217" s="455">
        <f t="shared" ca="1" si="104"/>
        <v>-65674332.344789408</v>
      </c>
      <c r="M1217" s="471">
        <f t="shared" si="106"/>
        <v>0.05</v>
      </c>
      <c r="N1217" s="475">
        <f t="shared" si="107"/>
        <v>88085</v>
      </c>
    </row>
    <row r="1218" spans="7:14" ht="11.25" customHeight="1" x14ac:dyDescent="0.3">
      <c r="G1218" s="470"/>
      <c r="H1218" s="470">
        <v>1211</v>
      </c>
      <c r="I1218" s="455">
        <f t="shared" ca="1" si="105"/>
        <v>-65674332.344789408</v>
      </c>
      <c r="J1218" s="455">
        <f t="array" ref="J1218">IFERROR(INDEX('Retirement Calculator'!K:K,MATCH('Lorri 401b'!N1218,'Retirement Calculator'!A:A,0),0),0)</f>
        <v>0</v>
      </c>
      <c r="K1218" s="455">
        <f t="shared" ca="1" si="103"/>
        <v>-273643.05143662251</v>
      </c>
      <c r="L1218" s="455">
        <f t="shared" ca="1" si="104"/>
        <v>-65947975.396226034</v>
      </c>
      <c r="M1218" s="471">
        <f t="shared" si="106"/>
        <v>0.05</v>
      </c>
      <c r="N1218" s="475">
        <f t="shared" si="107"/>
        <v>88116</v>
      </c>
    </row>
    <row r="1219" spans="7:14" ht="11.25" customHeight="1" x14ac:dyDescent="0.3">
      <c r="G1219" s="470"/>
      <c r="H1219" s="470">
        <v>1212</v>
      </c>
      <c r="I1219" s="455">
        <f t="shared" ca="1" si="105"/>
        <v>-65947975.396226034</v>
      </c>
      <c r="J1219" s="455">
        <f t="array" ref="J1219">IFERROR(INDEX('Retirement Calculator'!K:K,MATCH('Lorri 401b'!N1219,'Retirement Calculator'!A:A,0),0),0)</f>
        <v>0</v>
      </c>
      <c r="K1219" s="455">
        <f t="shared" ca="1" si="103"/>
        <v>-274783.23081760848</v>
      </c>
      <c r="L1219" s="455">
        <f t="shared" ca="1" si="104"/>
        <v>-66222758.627043642</v>
      </c>
      <c r="M1219" s="471">
        <f t="shared" si="106"/>
        <v>0.05</v>
      </c>
      <c r="N1219" s="475">
        <f t="shared" si="107"/>
        <v>88146</v>
      </c>
    </row>
    <row r="1220" spans="7:14" ht="11.25" customHeight="1" x14ac:dyDescent="0.3">
      <c r="G1220" s="470"/>
      <c r="H1220" s="470">
        <v>1213</v>
      </c>
      <c r="I1220" s="455">
        <f t="shared" ca="1" si="105"/>
        <v>-66222758.627043642</v>
      </c>
      <c r="J1220" s="455">
        <f t="array" ref="J1220">IFERROR(INDEX('Retirement Calculator'!K:K,MATCH('Lorri 401b'!N1220,'Retirement Calculator'!A:A,0),0),0)</f>
        <v>0</v>
      </c>
      <c r="K1220" s="455">
        <f t="shared" ca="1" si="103"/>
        <v>-275928.16094601515</v>
      </c>
      <c r="L1220" s="455">
        <f t="shared" ca="1" si="104"/>
        <v>-66498686.787989654</v>
      </c>
      <c r="M1220" s="471">
        <f t="shared" si="106"/>
        <v>0.05</v>
      </c>
      <c r="N1220" s="475">
        <f t="shared" si="107"/>
        <v>88177</v>
      </c>
    </row>
    <row r="1221" spans="7:14" ht="11.25" customHeight="1" x14ac:dyDescent="0.3">
      <c r="G1221" s="470"/>
      <c r="H1221" s="470">
        <v>1214</v>
      </c>
      <c r="I1221" s="455">
        <f t="shared" ca="1" si="105"/>
        <v>-66498686.787989654</v>
      </c>
      <c r="J1221" s="455">
        <f t="array" ref="J1221">IFERROR(INDEX('Retirement Calculator'!K:K,MATCH('Lorri 401b'!N1221,'Retirement Calculator'!A:A,0),0),0)</f>
        <v>0</v>
      </c>
      <c r="K1221" s="455">
        <f t="shared" ca="1" si="103"/>
        <v>-277077.86161662353</v>
      </c>
      <c r="L1221" s="455">
        <f t="shared" ca="1" si="104"/>
        <v>-66775764.64960628</v>
      </c>
      <c r="M1221" s="471">
        <f t="shared" si="106"/>
        <v>0.05</v>
      </c>
      <c r="N1221" s="475">
        <f t="shared" si="107"/>
        <v>88207</v>
      </c>
    </row>
    <row r="1222" spans="7:14" ht="11.25" customHeight="1" x14ac:dyDescent="0.3">
      <c r="G1222" s="470"/>
      <c r="H1222" s="470">
        <v>1215</v>
      </c>
      <c r="I1222" s="455">
        <f t="shared" ca="1" si="105"/>
        <v>-66775764.64960628</v>
      </c>
      <c r="J1222" s="455">
        <f t="array" ref="J1222">IFERROR(INDEX('Retirement Calculator'!K:K,MATCH('Lorri 401b'!N1222,'Retirement Calculator'!A:A,0),0),0)</f>
        <v>0</v>
      </c>
      <c r="K1222" s="455">
        <f t="shared" ca="1" si="103"/>
        <v>-278232.35270669288</v>
      </c>
      <c r="L1222" s="455">
        <f t="shared" ca="1" si="104"/>
        <v>-67053997.002312973</v>
      </c>
      <c r="M1222" s="471">
        <f t="shared" si="106"/>
        <v>0.05</v>
      </c>
      <c r="N1222" s="475">
        <f t="shared" si="107"/>
        <v>88238</v>
      </c>
    </row>
    <row r="1223" spans="7:14" ht="11.25" customHeight="1" x14ac:dyDescent="0.3">
      <c r="G1223" s="470"/>
      <c r="H1223" s="470">
        <v>1216</v>
      </c>
      <c r="I1223" s="455">
        <f t="shared" ca="1" si="105"/>
        <v>-67053997.002312973</v>
      </c>
      <c r="J1223" s="455">
        <f t="array" ref="J1223">IFERROR(INDEX('Retirement Calculator'!K:K,MATCH('Lorri 401b'!N1223,'Retirement Calculator'!A:A,0),0),0)</f>
        <v>0</v>
      </c>
      <c r="K1223" s="455">
        <f t="shared" ca="1" si="103"/>
        <v>-279391.65417630406</v>
      </c>
      <c r="L1223" s="455">
        <f t="shared" ca="1" si="104"/>
        <v>-67333388.656489283</v>
      </c>
      <c r="M1223" s="471">
        <f t="shared" si="106"/>
        <v>0.05</v>
      </c>
      <c r="N1223" s="475">
        <f t="shared" si="107"/>
        <v>88269</v>
      </c>
    </row>
    <row r="1224" spans="7:14" ht="11.25" customHeight="1" x14ac:dyDescent="0.3">
      <c r="G1224" s="470"/>
      <c r="H1224" s="470">
        <v>1217</v>
      </c>
      <c r="I1224" s="455">
        <f t="shared" ca="1" si="105"/>
        <v>-67333388.656489283</v>
      </c>
      <c r="J1224" s="455">
        <f t="array" ref="J1224">IFERROR(INDEX('Retirement Calculator'!K:K,MATCH('Lorri 401b'!N1224,'Retirement Calculator'!A:A,0),0),0)</f>
        <v>0</v>
      </c>
      <c r="K1224" s="455">
        <f t="shared" ca="1" si="103"/>
        <v>-280555.78606870532</v>
      </c>
      <c r="L1224" s="455">
        <f t="shared" ca="1" si="104"/>
        <v>-67613944.442557991</v>
      </c>
      <c r="M1224" s="471">
        <f t="shared" si="106"/>
        <v>0.05</v>
      </c>
      <c r="N1224" s="475">
        <f t="shared" si="107"/>
        <v>88299</v>
      </c>
    </row>
    <row r="1225" spans="7:14" ht="11.25" customHeight="1" x14ac:dyDescent="0.3">
      <c r="G1225" s="470"/>
      <c r="H1225" s="470">
        <v>1218</v>
      </c>
      <c r="I1225" s="455">
        <f t="shared" ca="1" si="105"/>
        <v>-67613944.442557991</v>
      </c>
      <c r="J1225" s="455">
        <f t="array" ref="J1225">IFERROR(INDEX('Retirement Calculator'!K:K,MATCH('Lorri 401b'!N1225,'Retirement Calculator'!A:A,0),0),0)</f>
        <v>0</v>
      </c>
      <c r="K1225" s="455">
        <f t="shared" ca="1" si="103"/>
        <v>-281724.76851065829</v>
      </c>
      <c r="L1225" s="455">
        <f t="shared" ca="1" si="104"/>
        <v>-67895669.211068645</v>
      </c>
      <c r="M1225" s="471">
        <f t="shared" si="106"/>
        <v>0.05</v>
      </c>
      <c r="N1225" s="475">
        <f t="shared" si="107"/>
        <v>88330</v>
      </c>
    </row>
    <row r="1226" spans="7:14" ht="11.25" customHeight="1" x14ac:dyDescent="0.3">
      <c r="G1226" s="470"/>
      <c r="H1226" s="470">
        <v>1219</v>
      </c>
      <c r="I1226" s="455">
        <f t="shared" ca="1" si="105"/>
        <v>-67895669.211068645</v>
      </c>
      <c r="J1226" s="455">
        <f t="array" ref="J1226">IFERROR(INDEX('Retirement Calculator'!K:K,MATCH('Lorri 401b'!N1226,'Retirement Calculator'!A:A,0),0),0)</f>
        <v>0</v>
      </c>
      <c r="K1226" s="455">
        <f t="shared" ca="1" si="103"/>
        <v>-282898.62171278603</v>
      </c>
      <c r="L1226" s="455">
        <f t="shared" ca="1" si="104"/>
        <v>-68178567.832781434</v>
      </c>
      <c r="M1226" s="471">
        <f t="shared" si="106"/>
        <v>0.05</v>
      </c>
      <c r="N1226" s="475">
        <f t="shared" si="107"/>
        <v>88360</v>
      </c>
    </row>
    <row r="1227" spans="7:14" ht="11.25" customHeight="1" x14ac:dyDescent="0.3">
      <c r="G1227" s="470"/>
      <c r="H1227" s="470">
        <v>1220</v>
      </c>
      <c r="I1227" s="455">
        <f t="shared" ca="1" si="105"/>
        <v>-68178567.832781434</v>
      </c>
      <c r="J1227" s="455">
        <f t="array" ref="J1227">IFERROR(INDEX('Retirement Calculator'!K:K,MATCH('Lorri 401b'!N1227,'Retirement Calculator'!A:A,0),0),0)</f>
        <v>0</v>
      </c>
      <c r="K1227" s="455">
        <f t="shared" ca="1" si="103"/>
        <v>-284077.36596992263</v>
      </c>
      <c r="L1227" s="455">
        <f t="shared" ca="1" si="104"/>
        <v>-68462645.19875136</v>
      </c>
      <c r="M1227" s="471">
        <f t="shared" si="106"/>
        <v>0.05</v>
      </c>
      <c r="N1227" s="475">
        <f t="shared" si="107"/>
        <v>88391</v>
      </c>
    </row>
    <row r="1228" spans="7:14" ht="11.25" customHeight="1" x14ac:dyDescent="0.3">
      <c r="G1228" s="470"/>
      <c r="H1228" s="470">
        <v>1221</v>
      </c>
      <c r="I1228" s="455">
        <f t="shared" ca="1" si="105"/>
        <v>-68462645.19875136</v>
      </c>
      <c r="J1228" s="455">
        <f t="array" ref="J1228">IFERROR(INDEX('Retirement Calculator'!K:K,MATCH('Lorri 401b'!N1228,'Retirement Calculator'!A:A,0),0),0)</f>
        <v>0</v>
      </c>
      <c r="K1228" s="455">
        <f t="shared" ca="1" si="103"/>
        <v>-285261.02166146401</v>
      </c>
      <c r="L1228" s="455">
        <f t="shared" ca="1" si="104"/>
        <v>-68747906.220412821</v>
      </c>
      <c r="M1228" s="471">
        <f t="shared" si="106"/>
        <v>0.05</v>
      </c>
      <c r="N1228" s="475">
        <f t="shared" si="107"/>
        <v>88422</v>
      </c>
    </row>
    <row r="1229" spans="7:14" ht="11.25" customHeight="1" x14ac:dyDescent="0.3">
      <c r="G1229" s="470"/>
      <c r="H1229" s="470">
        <v>1222</v>
      </c>
      <c r="I1229" s="455">
        <f t="shared" ca="1" si="105"/>
        <v>-68747906.220412821</v>
      </c>
      <c r="J1229" s="455">
        <f t="array" ref="J1229">IFERROR(INDEX('Retirement Calculator'!K:K,MATCH('Lorri 401b'!N1229,'Retirement Calculator'!A:A,0),0),0)</f>
        <v>0</v>
      </c>
      <c r="K1229" s="455">
        <f t="shared" ca="1" si="103"/>
        <v>-286449.60925172007</v>
      </c>
      <c r="L1229" s="455">
        <f t="shared" ca="1" si="104"/>
        <v>-69034355.829664543</v>
      </c>
      <c r="M1229" s="471">
        <f t="shared" si="106"/>
        <v>0.05</v>
      </c>
      <c r="N1229" s="475">
        <f t="shared" si="107"/>
        <v>88450</v>
      </c>
    </row>
    <row r="1230" spans="7:14" ht="11.25" customHeight="1" x14ac:dyDescent="0.3">
      <c r="G1230" s="470"/>
      <c r="H1230" s="470">
        <v>1223</v>
      </c>
      <c r="I1230" s="455">
        <f t="shared" ca="1" si="105"/>
        <v>-69034355.829664543</v>
      </c>
      <c r="J1230" s="455">
        <f t="array" ref="J1230">IFERROR(INDEX('Retirement Calculator'!K:K,MATCH('Lorri 401b'!N1230,'Retirement Calculator'!A:A,0),0),0)</f>
        <v>0</v>
      </c>
      <c r="K1230" s="455">
        <f t="shared" ca="1" si="103"/>
        <v>-287643.14929026895</v>
      </c>
      <c r="L1230" s="455">
        <f t="shared" ca="1" si="104"/>
        <v>-69321998.978954807</v>
      </c>
      <c r="M1230" s="471">
        <f t="shared" si="106"/>
        <v>0.05</v>
      </c>
      <c r="N1230" s="475">
        <f t="shared" si="107"/>
        <v>88481</v>
      </c>
    </row>
    <row r="1231" spans="7:14" ht="11.25" customHeight="1" x14ac:dyDescent="0.3">
      <c r="G1231" s="470"/>
      <c r="H1231" s="470">
        <v>1224</v>
      </c>
      <c r="I1231" s="455">
        <f t="shared" ca="1" si="105"/>
        <v>-69321998.978954807</v>
      </c>
      <c r="J1231" s="455">
        <f t="array" ref="J1231">IFERROR(INDEX('Retirement Calculator'!K:K,MATCH('Lorri 401b'!N1231,'Retirement Calculator'!A:A,0),0),0)</f>
        <v>0</v>
      </c>
      <c r="K1231" s="455">
        <f t="shared" ca="1" si="103"/>
        <v>-288841.66241231171</v>
      </c>
      <c r="L1231" s="455">
        <f t="shared" ca="1" si="104"/>
        <v>-69610840.641367123</v>
      </c>
      <c r="M1231" s="471">
        <f t="shared" si="106"/>
        <v>0.05</v>
      </c>
      <c r="N1231" s="475">
        <f t="shared" si="107"/>
        <v>88511</v>
      </c>
    </row>
    <row r="1232" spans="7:14" ht="11.25" customHeight="1" x14ac:dyDescent="0.3">
      <c r="G1232" s="470"/>
      <c r="H1232" s="470">
        <v>1225</v>
      </c>
      <c r="I1232" s="455">
        <f t="shared" ca="1" si="105"/>
        <v>-69610840.641367123</v>
      </c>
      <c r="J1232" s="455">
        <f t="array" ref="J1232">IFERROR(INDEX('Retirement Calculator'!K:K,MATCH('Lorri 401b'!N1232,'Retirement Calculator'!A:A,0),0),0)</f>
        <v>0</v>
      </c>
      <c r="K1232" s="455">
        <f t="shared" ca="1" si="103"/>
        <v>-290045.1693390297</v>
      </c>
      <c r="L1232" s="455">
        <f t="shared" ca="1" si="104"/>
        <v>-69900885.810706154</v>
      </c>
      <c r="M1232" s="471">
        <f t="shared" si="106"/>
        <v>0.05</v>
      </c>
      <c r="N1232" s="475">
        <f t="shared" si="107"/>
        <v>88542</v>
      </c>
    </row>
    <row r="1233" spans="7:14" ht="11.25" customHeight="1" x14ac:dyDescent="0.3">
      <c r="G1233" s="470"/>
      <c r="H1233" s="470">
        <v>1226</v>
      </c>
      <c r="I1233" s="455">
        <f t="shared" ca="1" si="105"/>
        <v>-69900885.810706154</v>
      </c>
      <c r="J1233" s="455">
        <f t="array" ref="J1233">IFERROR(INDEX('Retirement Calculator'!K:K,MATCH('Lorri 401b'!N1233,'Retirement Calculator'!A:A,0),0),0)</f>
        <v>0</v>
      </c>
      <c r="K1233" s="455">
        <f t="shared" ca="1" si="103"/>
        <v>-291253.69087794231</v>
      </c>
      <c r="L1233" s="455">
        <f t="shared" ca="1" si="104"/>
        <v>-70192139.501584098</v>
      </c>
      <c r="M1233" s="471">
        <f t="shared" si="106"/>
        <v>0.05</v>
      </c>
      <c r="N1233" s="475">
        <f t="shared" si="107"/>
        <v>88572</v>
      </c>
    </row>
    <row r="1234" spans="7:14" ht="11.25" customHeight="1" x14ac:dyDescent="0.3">
      <c r="G1234" s="470"/>
      <c r="H1234" s="470">
        <v>1227</v>
      </c>
      <c r="I1234" s="455">
        <f t="shared" ca="1" si="105"/>
        <v>-70192139.501584098</v>
      </c>
      <c r="J1234" s="455">
        <f t="array" ref="J1234">IFERROR(INDEX('Retirement Calculator'!K:K,MATCH('Lorri 401b'!N1234,'Retirement Calculator'!A:A,0),0),0)</f>
        <v>0</v>
      </c>
      <c r="K1234" s="455">
        <f t="shared" ca="1" si="103"/>
        <v>-292467.24792326707</v>
      </c>
      <c r="L1234" s="455">
        <f t="shared" ca="1" si="104"/>
        <v>-70484606.749507368</v>
      </c>
      <c r="M1234" s="471">
        <f t="shared" si="106"/>
        <v>0.05</v>
      </c>
      <c r="N1234" s="475">
        <f t="shared" si="107"/>
        <v>88603</v>
      </c>
    </row>
    <row r="1235" spans="7:14" ht="11.25" customHeight="1" x14ac:dyDescent="0.3">
      <c r="G1235" s="470"/>
      <c r="H1235" s="470">
        <v>1228</v>
      </c>
      <c r="I1235" s="455">
        <f t="shared" ca="1" si="105"/>
        <v>-70484606.749507368</v>
      </c>
      <c r="J1235" s="455">
        <f t="array" ref="J1235">IFERROR(INDEX('Retirement Calculator'!K:K,MATCH('Lorri 401b'!N1235,'Retirement Calculator'!A:A,0),0),0)</f>
        <v>0</v>
      </c>
      <c r="K1235" s="455">
        <f t="shared" ca="1" si="103"/>
        <v>-293685.86145628069</v>
      </c>
      <c r="L1235" s="455">
        <f t="shared" ca="1" si="104"/>
        <v>-70778292.610963643</v>
      </c>
      <c r="M1235" s="471">
        <f t="shared" si="106"/>
        <v>0.05</v>
      </c>
      <c r="N1235" s="475">
        <f t="shared" si="107"/>
        <v>88634</v>
      </c>
    </row>
    <row r="1236" spans="7:14" ht="11.25" customHeight="1" x14ac:dyDescent="0.3">
      <c r="G1236" s="470"/>
      <c r="H1236" s="470">
        <v>1229</v>
      </c>
      <c r="I1236" s="455">
        <f t="shared" ca="1" si="105"/>
        <v>-70778292.610963643</v>
      </c>
      <c r="J1236" s="455">
        <f t="array" ref="J1236">IFERROR(INDEX('Retirement Calculator'!K:K,MATCH('Lorri 401b'!N1236,'Retirement Calculator'!A:A,0),0),0)</f>
        <v>0</v>
      </c>
      <c r="K1236" s="455">
        <f t="shared" ca="1" si="103"/>
        <v>-294909.55254568183</v>
      </c>
      <c r="L1236" s="455">
        <f t="shared" ca="1" si="104"/>
        <v>-71073202.163509324</v>
      </c>
      <c r="M1236" s="471">
        <f t="shared" si="106"/>
        <v>0.05</v>
      </c>
      <c r="N1236" s="475">
        <f t="shared" si="107"/>
        <v>88664</v>
      </c>
    </row>
    <row r="1237" spans="7:14" ht="11.25" customHeight="1" x14ac:dyDescent="0.3">
      <c r="G1237" s="470"/>
      <c r="H1237" s="470">
        <v>1230</v>
      </c>
      <c r="I1237" s="455">
        <f t="shared" ca="1" si="105"/>
        <v>-71073202.163509324</v>
      </c>
      <c r="J1237" s="455">
        <f t="array" ref="J1237">IFERROR(INDEX('Retirement Calculator'!K:K,MATCH('Lorri 401b'!N1237,'Retirement Calculator'!A:A,0),0),0)</f>
        <v>0</v>
      </c>
      <c r="K1237" s="455">
        <f t="shared" ca="1" si="103"/>
        <v>-296138.34234795551</v>
      </c>
      <c r="L1237" s="455">
        <f t="shared" ca="1" si="104"/>
        <v>-71369340.505857274</v>
      </c>
      <c r="M1237" s="471">
        <f t="shared" si="106"/>
        <v>0.05</v>
      </c>
      <c r="N1237" s="475">
        <f t="shared" si="107"/>
        <v>88695</v>
      </c>
    </row>
    <row r="1238" spans="7:14" ht="11.25" customHeight="1" x14ac:dyDescent="0.3">
      <c r="G1238" s="470"/>
      <c r="H1238" s="470">
        <v>1231</v>
      </c>
      <c r="I1238" s="455">
        <f t="shared" ca="1" si="105"/>
        <v>-71369340.505857274</v>
      </c>
      <c r="J1238" s="455">
        <f t="array" ref="J1238">IFERROR(INDEX('Retirement Calculator'!K:K,MATCH('Lorri 401b'!N1238,'Retirement Calculator'!A:A,0),0),0)</f>
        <v>0</v>
      </c>
      <c r="K1238" s="455">
        <f t="shared" ca="1" si="103"/>
        <v>-297372.25210773863</v>
      </c>
      <c r="L1238" s="455">
        <f t="shared" ca="1" si="104"/>
        <v>-71666712.757965013</v>
      </c>
      <c r="M1238" s="471">
        <f t="shared" si="106"/>
        <v>0.05</v>
      </c>
      <c r="N1238" s="475">
        <f t="shared" si="107"/>
        <v>88725</v>
      </c>
    </row>
    <row r="1239" spans="7:14" ht="11.25" customHeight="1" x14ac:dyDescent="0.3">
      <c r="G1239" s="470"/>
      <c r="H1239" s="470">
        <v>1232</v>
      </c>
      <c r="I1239" s="455">
        <f t="shared" ca="1" si="105"/>
        <v>-71666712.757965013</v>
      </c>
      <c r="J1239" s="455">
        <f t="array" ref="J1239">IFERROR(INDEX('Retirement Calculator'!K:K,MATCH('Lorri 401b'!N1239,'Retirement Calculator'!A:A,0),0),0)</f>
        <v>0</v>
      </c>
      <c r="K1239" s="455">
        <f t="shared" ca="1" si="103"/>
        <v>-298611.30315818754</v>
      </c>
      <c r="L1239" s="455">
        <f t="shared" ca="1" si="104"/>
        <v>-71965324.061123207</v>
      </c>
      <c r="M1239" s="471">
        <f t="shared" si="106"/>
        <v>0.05</v>
      </c>
      <c r="N1239" s="475">
        <f t="shared" si="107"/>
        <v>88756</v>
      </c>
    </row>
    <row r="1240" spans="7:14" ht="11.25" customHeight="1" x14ac:dyDescent="0.3">
      <c r="G1240" s="470"/>
      <c r="H1240" s="470">
        <v>1233</v>
      </c>
      <c r="I1240" s="455">
        <f t="shared" ca="1" si="105"/>
        <v>-71965324.061123207</v>
      </c>
      <c r="J1240" s="455">
        <f t="array" ref="J1240">IFERROR(INDEX('Retirement Calculator'!K:K,MATCH('Lorri 401b'!N1240,'Retirement Calculator'!A:A,0),0),0)</f>
        <v>0</v>
      </c>
      <c r="K1240" s="455">
        <f t="shared" ca="1" si="103"/>
        <v>-299855.51692134672</v>
      </c>
      <c r="L1240" s="455">
        <f t="shared" ca="1" si="104"/>
        <v>-72265179.578044549</v>
      </c>
      <c r="M1240" s="471">
        <f t="shared" si="106"/>
        <v>0.05</v>
      </c>
      <c r="N1240" s="475">
        <f t="shared" si="107"/>
        <v>88787</v>
      </c>
    </row>
    <row r="1241" spans="7:14" ht="11.25" customHeight="1" x14ac:dyDescent="0.3">
      <c r="G1241" s="470"/>
      <c r="H1241" s="470">
        <v>1234</v>
      </c>
      <c r="I1241" s="455">
        <f t="shared" ca="1" si="105"/>
        <v>-72265179.578044549</v>
      </c>
      <c r="J1241" s="455">
        <f t="array" ref="J1241">IFERROR(INDEX('Retirement Calculator'!K:K,MATCH('Lorri 401b'!N1241,'Retirement Calculator'!A:A,0),0),0)</f>
        <v>0</v>
      </c>
      <c r="K1241" s="455">
        <f t="shared" ca="1" si="103"/>
        <v>-301104.91490851896</v>
      </c>
      <c r="L1241" s="455">
        <f t="shared" ca="1" si="104"/>
        <v>-72566284.492953062</v>
      </c>
      <c r="M1241" s="471">
        <f t="shared" si="106"/>
        <v>0.05</v>
      </c>
      <c r="N1241" s="475">
        <f t="shared" si="107"/>
        <v>88815</v>
      </c>
    </row>
    <row r="1242" spans="7:14" ht="11.25" customHeight="1" x14ac:dyDescent="0.3">
      <c r="G1242" s="470"/>
      <c r="H1242" s="470">
        <v>1235</v>
      </c>
      <c r="I1242" s="455">
        <f t="shared" ca="1" si="105"/>
        <v>-72566284.492953062</v>
      </c>
      <c r="J1242" s="455">
        <f t="array" ref="J1242">IFERROR(INDEX('Retirement Calculator'!K:K,MATCH('Lorri 401b'!N1242,'Retirement Calculator'!A:A,0),0),0)</f>
        <v>0</v>
      </c>
      <c r="K1242" s="455">
        <f t="shared" ca="1" si="103"/>
        <v>-302359.51872063777</v>
      </c>
      <c r="L1242" s="455">
        <f t="shared" ca="1" si="104"/>
        <v>-72868644.011673704</v>
      </c>
      <c r="M1242" s="471">
        <f t="shared" si="106"/>
        <v>0.05</v>
      </c>
      <c r="N1242" s="475">
        <f t="shared" si="107"/>
        <v>88846</v>
      </c>
    </row>
    <row r="1243" spans="7:14" ht="11.25" customHeight="1" x14ac:dyDescent="0.3">
      <c r="G1243" s="470"/>
      <c r="H1243" s="470">
        <v>1236</v>
      </c>
      <c r="I1243" s="455">
        <f t="shared" ca="1" si="105"/>
        <v>-72868644.011673704</v>
      </c>
      <c r="J1243" s="455">
        <f t="array" ref="J1243">IFERROR(INDEX('Retirement Calculator'!K:K,MATCH('Lorri 401b'!N1243,'Retirement Calculator'!A:A,0),0),0)</f>
        <v>0</v>
      </c>
      <c r="K1243" s="455">
        <f t="shared" ca="1" si="103"/>
        <v>-303619.35004864045</v>
      </c>
      <c r="L1243" s="455">
        <f t="shared" ca="1" si="104"/>
        <v>-73172263.36172235</v>
      </c>
      <c r="M1243" s="471">
        <f t="shared" si="106"/>
        <v>0.05</v>
      </c>
      <c r="N1243" s="475">
        <f t="shared" si="107"/>
        <v>88876</v>
      </c>
    </row>
    <row r="1244" spans="7:14" ht="11.25" customHeight="1" x14ac:dyDescent="0.3">
      <c r="G1244" s="470"/>
      <c r="H1244" s="470">
        <v>1237</v>
      </c>
      <c r="I1244" s="455">
        <f t="shared" ca="1" si="105"/>
        <v>-73172263.36172235</v>
      </c>
      <c r="J1244" s="455">
        <f t="array" ref="J1244">IFERROR(INDEX('Retirement Calculator'!K:K,MATCH('Lorri 401b'!N1244,'Retirement Calculator'!A:A,0),0),0)</f>
        <v>0</v>
      </c>
      <c r="K1244" s="455">
        <f t="shared" ca="1" si="103"/>
        <v>-304884.43067384313</v>
      </c>
      <c r="L1244" s="455">
        <f t="shared" ca="1" si="104"/>
        <v>-73477147.792396188</v>
      </c>
      <c r="M1244" s="471">
        <f t="shared" si="106"/>
        <v>0.05</v>
      </c>
      <c r="N1244" s="475">
        <f t="shared" si="107"/>
        <v>88907</v>
      </c>
    </row>
    <row r="1245" spans="7:14" ht="11.25" customHeight="1" x14ac:dyDescent="0.3">
      <c r="G1245" s="470"/>
      <c r="H1245" s="470">
        <v>1238</v>
      </c>
      <c r="I1245" s="455">
        <f t="shared" ca="1" si="105"/>
        <v>-73477147.792396188</v>
      </c>
      <c r="J1245" s="455">
        <f t="array" ref="J1245">IFERROR(INDEX('Retirement Calculator'!K:K,MATCH('Lorri 401b'!N1245,'Retirement Calculator'!A:A,0),0),0)</f>
        <v>0</v>
      </c>
      <c r="K1245" s="455">
        <f t="shared" ca="1" si="103"/>
        <v>-306154.78246831743</v>
      </c>
      <c r="L1245" s="455">
        <f t="shared" ca="1" si="104"/>
        <v>-73783302.574864507</v>
      </c>
      <c r="M1245" s="471">
        <f t="shared" si="106"/>
        <v>0.05</v>
      </c>
      <c r="N1245" s="475">
        <f t="shared" si="107"/>
        <v>88937</v>
      </c>
    </row>
    <row r="1246" spans="7:14" ht="11.25" customHeight="1" x14ac:dyDescent="0.3">
      <c r="G1246" s="470"/>
      <c r="H1246" s="470">
        <v>1239</v>
      </c>
      <c r="I1246" s="455">
        <f t="shared" ca="1" si="105"/>
        <v>-73783302.574864507</v>
      </c>
      <c r="J1246" s="455">
        <f t="array" ref="J1246">IFERROR(INDEX('Retirement Calculator'!K:K,MATCH('Lorri 401b'!N1246,'Retirement Calculator'!A:A,0),0),0)</f>
        <v>0</v>
      </c>
      <c r="K1246" s="455">
        <f t="shared" ca="1" si="103"/>
        <v>-307430.42739526875</v>
      </c>
      <c r="L1246" s="455">
        <f t="shared" ca="1" si="104"/>
        <v>-74090733.002259776</v>
      </c>
      <c r="M1246" s="471">
        <f t="shared" si="106"/>
        <v>0.05</v>
      </c>
      <c r="N1246" s="475">
        <f t="shared" si="107"/>
        <v>88968</v>
      </c>
    </row>
    <row r="1247" spans="7:14" ht="11.25" customHeight="1" x14ac:dyDescent="0.3">
      <c r="G1247" s="470"/>
      <c r="H1247" s="470">
        <v>1240</v>
      </c>
      <c r="I1247" s="455">
        <f t="shared" ca="1" si="105"/>
        <v>-74090733.002259776</v>
      </c>
      <c r="J1247" s="455">
        <f t="array" ref="J1247">IFERROR(INDEX('Retirement Calculator'!K:K,MATCH('Lorri 401b'!N1247,'Retirement Calculator'!A:A,0),0),0)</f>
        <v>0</v>
      </c>
      <c r="K1247" s="455">
        <f t="shared" ca="1" si="103"/>
        <v>-308711.38750941574</v>
      </c>
      <c r="L1247" s="455">
        <f t="shared" ca="1" si="104"/>
        <v>-74399444.389769197</v>
      </c>
      <c r="M1247" s="471">
        <f t="shared" si="106"/>
        <v>0.05</v>
      </c>
      <c r="N1247" s="475">
        <f t="shared" si="107"/>
        <v>88999</v>
      </c>
    </row>
    <row r="1248" spans="7:14" ht="11.25" customHeight="1" x14ac:dyDescent="0.3">
      <c r="G1248" s="470"/>
      <c r="H1248" s="470">
        <v>1241</v>
      </c>
      <c r="I1248" s="455">
        <f t="shared" ca="1" si="105"/>
        <v>-74399444.389769197</v>
      </c>
      <c r="J1248" s="455">
        <f t="array" ref="J1248">IFERROR(INDEX('Retirement Calculator'!K:K,MATCH('Lorri 401b'!N1248,'Retirement Calculator'!A:A,0),0),0)</f>
        <v>0</v>
      </c>
      <c r="K1248" s="455">
        <f t="shared" ca="1" si="103"/>
        <v>-309997.68495737168</v>
      </c>
      <c r="L1248" s="455">
        <f t="shared" ca="1" si="104"/>
        <v>-74709442.074726567</v>
      </c>
      <c r="M1248" s="471">
        <f t="shared" si="106"/>
        <v>0.05</v>
      </c>
      <c r="N1248" s="475">
        <f t="shared" si="107"/>
        <v>89029</v>
      </c>
    </row>
    <row r="1249" spans="7:14" ht="11.25" customHeight="1" x14ac:dyDescent="0.3">
      <c r="G1249" s="470"/>
      <c r="H1249" s="470">
        <v>1242</v>
      </c>
      <c r="I1249" s="455">
        <f t="shared" ca="1" si="105"/>
        <v>-74709442.074726567</v>
      </c>
      <c r="J1249" s="455">
        <f t="array" ref="J1249">IFERROR(INDEX('Retirement Calculator'!K:K,MATCH('Lorri 401b'!N1249,'Retirement Calculator'!A:A,0),0),0)</f>
        <v>0</v>
      </c>
      <c r="K1249" s="455">
        <f t="shared" ca="1" si="103"/>
        <v>-311289.34197802737</v>
      </c>
      <c r="L1249" s="455">
        <f t="shared" ca="1" si="104"/>
        <v>-75020731.416704595</v>
      </c>
      <c r="M1249" s="471">
        <f t="shared" si="106"/>
        <v>0.05</v>
      </c>
      <c r="N1249" s="475">
        <f t="shared" si="107"/>
        <v>89060</v>
      </c>
    </row>
    <row r="1250" spans="7:14" ht="11.25" customHeight="1" x14ac:dyDescent="0.3">
      <c r="G1250" s="470"/>
      <c r="H1250" s="470">
        <v>1243</v>
      </c>
      <c r="I1250" s="455">
        <f t="shared" ca="1" si="105"/>
        <v>-75020731.416704595</v>
      </c>
      <c r="J1250" s="455">
        <f t="array" ref="J1250">IFERROR(INDEX('Retirement Calculator'!K:K,MATCH('Lorri 401b'!N1250,'Retirement Calculator'!A:A,0),0),0)</f>
        <v>0</v>
      </c>
      <c r="K1250" s="455">
        <f t="shared" ca="1" si="103"/>
        <v>-312586.38090293581</v>
      </c>
      <c r="L1250" s="455">
        <f t="shared" ca="1" si="104"/>
        <v>-75333317.797607526</v>
      </c>
      <c r="M1250" s="471">
        <f t="shared" si="106"/>
        <v>0.05</v>
      </c>
      <c r="N1250" s="475">
        <f t="shared" si="107"/>
        <v>89090</v>
      </c>
    </row>
    <row r="1251" spans="7:14" ht="11.25" customHeight="1" x14ac:dyDescent="0.3">
      <c r="G1251" s="470"/>
      <c r="H1251" s="470">
        <v>1244</v>
      </c>
      <c r="I1251" s="455">
        <f t="shared" ca="1" si="105"/>
        <v>-75333317.797607526</v>
      </c>
      <c r="J1251" s="455">
        <f t="array" ref="J1251">IFERROR(INDEX('Retirement Calculator'!K:K,MATCH('Lorri 401b'!N1251,'Retirement Calculator'!A:A,0),0),0)</f>
        <v>0</v>
      </c>
      <c r="K1251" s="455">
        <f t="shared" ca="1" si="103"/>
        <v>-313888.82415669801</v>
      </c>
      <c r="L1251" s="455">
        <f t="shared" ca="1" si="104"/>
        <v>-75647206.621764228</v>
      </c>
      <c r="M1251" s="471">
        <f t="shared" si="106"/>
        <v>0.05</v>
      </c>
      <c r="N1251" s="475">
        <f t="shared" si="107"/>
        <v>89121</v>
      </c>
    </row>
    <row r="1252" spans="7:14" ht="11.25" customHeight="1" x14ac:dyDescent="0.3">
      <c r="G1252" s="470"/>
      <c r="H1252" s="470">
        <v>1245</v>
      </c>
      <c r="I1252" s="455">
        <f t="shared" ca="1" si="105"/>
        <v>-75647206.621764228</v>
      </c>
      <c r="J1252" s="455">
        <f t="array" ref="J1252">IFERROR(INDEX('Retirement Calculator'!K:K,MATCH('Lorri 401b'!N1252,'Retirement Calculator'!A:A,0),0),0)</f>
        <v>0</v>
      </c>
      <c r="K1252" s="455">
        <f t="shared" ca="1" si="103"/>
        <v>-315196.69425735093</v>
      </c>
      <c r="L1252" s="455">
        <f t="shared" ca="1" si="104"/>
        <v>-75962403.316021577</v>
      </c>
      <c r="M1252" s="471">
        <f t="shared" si="106"/>
        <v>0.05</v>
      </c>
      <c r="N1252" s="475">
        <f t="shared" si="107"/>
        <v>89152</v>
      </c>
    </row>
    <row r="1253" spans="7:14" ht="11.25" customHeight="1" x14ac:dyDescent="0.3">
      <c r="G1253" s="470"/>
      <c r="H1253" s="470">
        <v>1246</v>
      </c>
      <c r="I1253" s="455">
        <f t="shared" ca="1" si="105"/>
        <v>-75962403.316021577</v>
      </c>
      <c r="J1253" s="455">
        <f t="array" ref="J1253">IFERROR(INDEX('Retirement Calculator'!K:K,MATCH('Lorri 401b'!N1253,'Retirement Calculator'!A:A,0),0),0)</f>
        <v>0</v>
      </c>
      <c r="K1253" s="455">
        <f t="shared" ca="1" si="103"/>
        <v>-316510.01381675655</v>
      </c>
      <c r="L1253" s="455">
        <f t="shared" ca="1" si="104"/>
        <v>-76278913.329838336</v>
      </c>
      <c r="M1253" s="471">
        <f t="shared" si="106"/>
        <v>0.05</v>
      </c>
      <c r="N1253" s="475">
        <f t="shared" si="107"/>
        <v>89181</v>
      </c>
    </row>
    <row r="1254" spans="7:14" ht="11.25" customHeight="1" x14ac:dyDescent="0.3">
      <c r="G1254" s="470"/>
      <c r="H1254" s="470">
        <v>1247</v>
      </c>
      <c r="I1254" s="455">
        <f t="shared" ca="1" si="105"/>
        <v>-76278913.329838336</v>
      </c>
      <c r="J1254" s="455">
        <f t="array" ref="J1254">IFERROR(INDEX('Retirement Calculator'!K:K,MATCH('Lorri 401b'!N1254,'Retirement Calculator'!A:A,0),0),0)</f>
        <v>0</v>
      </c>
      <c r="K1254" s="455">
        <f t="shared" ca="1" si="103"/>
        <v>-317828.80554099305</v>
      </c>
      <c r="L1254" s="455">
        <f t="shared" ca="1" si="104"/>
        <v>-76596742.135379329</v>
      </c>
      <c r="M1254" s="471">
        <f t="shared" si="106"/>
        <v>0.05</v>
      </c>
      <c r="N1254" s="475">
        <f t="shared" si="107"/>
        <v>89212</v>
      </c>
    </row>
    <row r="1255" spans="7:14" ht="11.25" customHeight="1" x14ac:dyDescent="0.3">
      <c r="G1255" s="470"/>
      <c r="H1255" s="470">
        <v>1248</v>
      </c>
      <c r="I1255" s="455">
        <f t="shared" ca="1" si="105"/>
        <v>-76596742.135379329</v>
      </c>
      <c r="J1255" s="455">
        <f t="array" ref="J1255">IFERROR(INDEX('Retirement Calculator'!K:K,MATCH('Lorri 401b'!N1255,'Retirement Calculator'!A:A,0),0),0)</f>
        <v>0</v>
      </c>
      <c r="K1255" s="455">
        <f t="shared" ca="1" si="103"/>
        <v>-319153.09223074722</v>
      </c>
      <c r="L1255" s="455">
        <f t="shared" ca="1" si="104"/>
        <v>-76915895.227610081</v>
      </c>
      <c r="M1255" s="471">
        <f t="shared" si="106"/>
        <v>0.05</v>
      </c>
      <c r="N1255" s="475">
        <f t="shared" si="107"/>
        <v>89242</v>
      </c>
    </row>
    <row r="1256" spans="7:14" ht="11.25" customHeight="1" x14ac:dyDescent="0.3">
      <c r="G1256" s="470"/>
      <c r="H1256" s="470">
        <v>1249</v>
      </c>
      <c r="I1256" s="455">
        <f t="shared" ca="1" si="105"/>
        <v>-76915895.227610081</v>
      </c>
      <c r="J1256" s="455">
        <f t="array" ref="J1256">IFERROR(INDEX('Retirement Calculator'!K:K,MATCH('Lorri 401b'!N1256,'Retirement Calculator'!A:A,0),0),0)</f>
        <v>0</v>
      </c>
      <c r="K1256" s="455">
        <f t="shared" ca="1" si="103"/>
        <v>-320482.8967817087</v>
      </c>
      <c r="L1256" s="455">
        <f t="shared" ca="1" si="104"/>
        <v>-77236378.124391794</v>
      </c>
      <c r="M1256" s="471">
        <f t="shared" si="106"/>
        <v>0.05</v>
      </c>
      <c r="N1256" s="475">
        <f t="shared" si="107"/>
        <v>89273</v>
      </c>
    </row>
    <row r="1257" spans="7:14" ht="11.25" customHeight="1" x14ac:dyDescent="0.3">
      <c r="G1257" s="470"/>
      <c r="H1257" s="470">
        <v>1250</v>
      </c>
      <c r="I1257" s="455">
        <f t="shared" ca="1" si="105"/>
        <v>-77236378.124391794</v>
      </c>
      <c r="J1257" s="455">
        <f t="array" ref="J1257">IFERROR(INDEX('Retirement Calculator'!K:K,MATCH('Lorri 401b'!N1257,'Retirement Calculator'!A:A,0),0),0)</f>
        <v>0</v>
      </c>
      <c r="K1257" s="455">
        <f t="shared" ca="1" si="103"/>
        <v>-321818.24218496581</v>
      </c>
      <c r="L1257" s="455">
        <f t="shared" ca="1" si="104"/>
        <v>-77558196.366576761</v>
      </c>
      <c r="M1257" s="471">
        <f t="shared" si="106"/>
        <v>0.05</v>
      </c>
      <c r="N1257" s="475">
        <f t="shared" si="107"/>
        <v>89303</v>
      </c>
    </row>
    <row r="1258" spans="7:14" ht="11.25" customHeight="1" x14ac:dyDescent="0.3">
      <c r="G1258" s="470"/>
      <c r="H1258" s="470">
        <v>1251</v>
      </c>
      <c r="I1258" s="455">
        <f t="shared" ca="1" si="105"/>
        <v>-77558196.366576761</v>
      </c>
      <c r="J1258" s="455">
        <f t="array" ref="J1258">IFERROR(INDEX('Retirement Calculator'!K:K,MATCH('Lorri 401b'!N1258,'Retirement Calculator'!A:A,0),0),0)</f>
        <v>0</v>
      </c>
      <c r="K1258" s="455">
        <f t="shared" ca="1" si="103"/>
        <v>-323159.15152740316</v>
      </c>
      <c r="L1258" s="455">
        <f t="shared" ca="1" si="104"/>
        <v>-77881355.518104166</v>
      </c>
      <c r="M1258" s="471">
        <f t="shared" si="106"/>
        <v>0.05</v>
      </c>
      <c r="N1258" s="475">
        <f t="shared" si="107"/>
        <v>89334</v>
      </c>
    </row>
    <row r="1259" spans="7:14" ht="11.25" customHeight="1" x14ac:dyDescent="0.3">
      <c r="G1259" s="470"/>
      <c r="H1259" s="470">
        <v>1252</v>
      </c>
      <c r="I1259" s="455">
        <f t="shared" ca="1" si="105"/>
        <v>-77881355.518104166</v>
      </c>
      <c r="J1259" s="455">
        <f t="array" ref="J1259">IFERROR(INDEX('Retirement Calculator'!K:K,MATCH('Lorri 401b'!N1259,'Retirement Calculator'!A:A,0),0),0)</f>
        <v>0</v>
      </c>
      <c r="K1259" s="455">
        <f t="shared" ca="1" si="103"/>
        <v>-324505.64799210068</v>
      </c>
      <c r="L1259" s="455">
        <f t="shared" ca="1" si="104"/>
        <v>-78205861.16609627</v>
      </c>
      <c r="M1259" s="471">
        <f t="shared" si="106"/>
        <v>0.05</v>
      </c>
      <c r="N1259" s="475">
        <f t="shared" si="107"/>
        <v>89365</v>
      </c>
    </row>
    <row r="1260" spans="7:14" ht="11.25" customHeight="1" x14ac:dyDescent="0.3">
      <c r="G1260" s="470"/>
      <c r="H1260" s="470">
        <v>1253</v>
      </c>
      <c r="I1260" s="455">
        <f t="shared" ca="1" si="105"/>
        <v>-78205861.16609627</v>
      </c>
      <c r="J1260" s="455">
        <f t="array" ref="J1260">IFERROR(INDEX('Retirement Calculator'!K:K,MATCH('Lorri 401b'!N1260,'Retirement Calculator'!A:A,0),0),0)</f>
        <v>0</v>
      </c>
      <c r="K1260" s="455">
        <f t="shared" ca="1" si="103"/>
        <v>-325857.75485873444</v>
      </c>
      <c r="L1260" s="455">
        <f t="shared" ca="1" si="104"/>
        <v>-78531718.920955002</v>
      </c>
      <c r="M1260" s="471">
        <f t="shared" si="106"/>
        <v>0.05</v>
      </c>
      <c r="N1260" s="475">
        <f t="shared" si="107"/>
        <v>89395</v>
      </c>
    </row>
    <row r="1261" spans="7:14" ht="11.25" customHeight="1" x14ac:dyDescent="0.3">
      <c r="G1261" s="470"/>
      <c r="H1261" s="470">
        <v>1254</v>
      </c>
      <c r="I1261" s="455">
        <f t="shared" ca="1" si="105"/>
        <v>-78531718.920955002</v>
      </c>
      <c r="J1261" s="455">
        <f t="array" ref="J1261">IFERROR(INDEX('Retirement Calculator'!K:K,MATCH('Lorri 401b'!N1261,'Retirement Calculator'!A:A,0),0),0)</f>
        <v>0</v>
      </c>
      <c r="K1261" s="455">
        <f t="shared" ca="1" si="103"/>
        <v>-327215.49550397915</v>
      </c>
      <c r="L1261" s="455">
        <f t="shared" ca="1" si="104"/>
        <v>-78858934.416458979</v>
      </c>
      <c r="M1261" s="471">
        <f t="shared" si="106"/>
        <v>0.05</v>
      </c>
      <c r="N1261" s="475">
        <f t="shared" si="107"/>
        <v>89426</v>
      </c>
    </row>
    <row r="1262" spans="7:14" ht="11.25" customHeight="1" x14ac:dyDescent="0.3">
      <c r="G1262" s="470"/>
      <c r="H1262" s="470">
        <v>1255</v>
      </c>
      <c r="I1262" s="455">
        <f t="shared" ca="1" si="105"/>
        <v>-78858934.416458979</v>
      </c>
      <c r="J1262" s="455">
        <f t="array" ref="J1262">IFERROR(INDEX('Retirement Calculator'!K:K,MATCH('Lorri 401b'!N1262,'Retirement Calculator'!A:A,0),0),0)</f>
        <v>0</v>
      </c>
      <c r="K1262" s="455">
        <f t="shared" ca="1" si="103"/>
        <v>-328578.89340191241</v>
      </c>
      <c r="L1262" s="455">
        <f t="shared" ca="1" si="104"/>
        <v>-79187513.309860885</v>
      </c>
      <c r="M1262" s="471">
        <f t="shared" si="106"/>
        <v>0.05</v>
      </c>
      <c r="N1262" s="475">
        <f t="shared" si="107"/>
        <v>89456</v>
      </c>
    </row>
    <row r="1263" spans="7:14" ht="11.25" customHeight="1" x14ac:dyDescent="0.3">
      <c r="G1263" s="470"/>
      <c r="H1263" s="470">
        <v>1256</v>
      </c>
      <c r="I1263" s="455">
        <f t="shared" ca="1" si="105"/>
        <v>-79187513.309860885</v>
      </c>
      <c r="J1263" s="455">
        <f t="array" ref="J1263">IFERROR(INDEX('Retirement Calculator'!K:K,MATCH('Lorri 401b'!N1263,'Retirement Calculator'!A:A,0),0),0)</f>
        <v>0</v>
      </c>
      <c r="K1263" s="455">
        <f t="shared" ca="1" si="103"/>
        <v>-329947.97212442034</v>
      </c>
      <c r="L1263" s="455">
        <f t="shared" ca="1" si="104"/>
        <v>-79517461.281985313</v>
      </c>
      <c r="M1263" s="471">
        <f t="shared" si="106"/>
        <v>0.05</v>
      </c>
      <c r="N1263" s="475">
        <f t="shared" si="107"/>
        <v>89487</v>
      </c>
    </row>
    <row r="1264" spans="7:14" ht="11.25" customHeight="1" x14ac:dyDescent="0.3">
      <c r="G1264" s="470"/>
      <c r="H1264" s="470">
        <v>1257</v>
      </c>
      <c r="I1264" s="455">
        <f t="shared" ca="1" si="105"/>
        <v>-79517461.281985313</v>
      </c>
      <c r="J1264" s="455">
        <f t="array" ref="J1264">IFERROR(INDEX('Retirement Calculator'!K:K,MATCH('Lorri 401b'!N1264,'Retirement Calculator'!A:A,0),0),0)</f>
        <v>0</v>
      </c>
      <c r="K1264" s="455">
        <f t="shared" ca="1" si="103"/>
        <v>-331322.75534160546</v>
      </c>
      <c r="L1264" s="455">
        <f t="shared" ca="1" si="104"/>
        <v>-79848784.037326917</v>
      </c>
      <c r="M1264" s="471">
        <f t="shared" si="106"/>
        <v>0.05</v>
      </c>
      <c r="N1264" s="475">
        <f t="shared" si="107"/>
        <v>89518</v>
      </c>
    </row>
    <row r="1265" spans="7:14" ht="11.25" customHeight="1" x14ac:dyDescent="0.3">
      <c r="G1265" s="470"/>
      <c r="H1265" s="470">
        <v>1258</v>
      </c>
      <c r="I1265" s="455">
        <f t="shared" ca="1" si="105"/>
        <v>-79848784.037326917</v>
      </c>
      <c r="J1265" s="455">
        <f t="array" ref="J1265">IFERROR(INDEX('Retirement Calculator'!K:K,MATCH('Lorri 401b'!N1265,'Retirement Calculator'!A:A,0),0),0)</f>
        <v>0</v>
      </c>
      <c r="K1265" s="455">
        <f t="shared" ca="1" si="103"/>
        <v>-332703.2668221955</v>
      </c>
      <c r="L1265" s="455">
        <f t="shared" ca="1" si="104"/>
        <v>-80181487.304149106</v>
      </c>
      <c r="M1265" s="471">
        <f t="shared" si="106"/>
        <v>0.05</v>
      </c>
      <c r="N1265" s="475">
        <f t="shared" si="107"/>
        <v>89546</v>
      </c>
    </row>
    <row r="1266" spans="7:14" ht="11.25" customHeight="1" x14ac:dyDescent="0.3">
      <c r="G1266" s="470"/>
      <c r="H1266" s="470">
        <v>1259</v>
      </c>
      <c r="I1266" s="455">
        <f t="shared" ca="1" si="105"/>
        <v>-80181487.304149106</v>
      </c>
      <c r="J1266" s="455">
        <f t="array" ref="J1266">IFERROR(INDEX('Retirement Calculator'!K:K,MATCH('Lorri 401b'!N1266,'Retirement Calculator'!A:A,0),0),0)</f>
        <v>0</v>
      </c>
      <c r="K1266" s="455">
        <f t="shared" ca="1" si="103"/>
        <v>-334089.53043395461</v>
      </c>
      <c r="L1266" s="455">
        <f t="shared" ca="1" si="104"/>
        <v>-80515576.834583059</v>
      </c>
      <c r="M1266" s="471">
        <f t="shared" si="106"/>
        <v>0.05</v>
      </c>
      <c r="N1266" s="475">
        <f t="shared" si="107"/>
        <v>89577</v>
      </c>
    </row>
    <row r="1267" spans="7:14" ht="11.25" customHeight="1" x14ac:dyDescent="0.3">
      <c r="G1267" s="470"/>
      <c r="H1267" s="470">
        <v>1260</v>
      </c>
      <c r="I1267" s="455">
        <f t="shared" ca="1" si="105"/>
        <v>-80515576.834583059</v>
      </c>
      <c r="J1267" s="455">
        <f t="array" ref="J1267">IFERROR(INDEX('Retirement Calculator'!K:K,MATCH('Lorri 401b'!N1267,'Retirement Calculator'!A:A,0),0),0)</f>
        <v>0</v>
      </c>
      <c r="K1267" s="455">
        <f t="shared" ca="1" si="103"/>
        <v>-335481.5701440961</v>
      </c>
      <c r="L1267" s="455">
        <f t="shared" ca="1" si="104"/>
        <v>-80851058.404727161</v>
      </c>
      <c r="M1267" s="471">
        <f t="shared" si="106"/>
        <v>0.05</v>
      </c>
      <c r="N1267" s="475">
        <f t="shared" si="107"/>
        <v>89607</v>
      </c>
    </row>
    <row r="1268" spans="7:14" ht="11.25" customHeight="1" x14ac:dyDescent="0.3">
      <c r="G1268" s="470"/>
      <c r="H1268" s="470">
        <v>1261</v>
      </c>
      <c r="I1268" s="455">
        <f t="shared" ca="1" si="105"/>
        <v>-80851058.404727161</v>
      </c>
      <c r="J1268" s="455">
        <f t="array" ref="J1268">IFERROR(INDEX('Retirement Calculator'!K:K,MATCH('Lorri 401b'!N1268,'Retirement Calculator'!A:A,0),0),0)</f>
        <v>0</v>
      </c>
      <c r="K1268" s="455">
        <f t="shared" ca="1" si="103"/>
        <v>-336879.41001969652</v>
      </c>
      <c r="L1268" s="455">
        <f t="shared" ca="1" si="104"/>
        <v>-81187937.814746857</v>
      </c>
      <c r="M1268" s="471">
        <f t="shared" si="106"/>
        <v>0.05</v>
      </c>
      <c r="N1268" s="475">
        <f t="shared" si="107"/>
        <v>89638</v>
      </c>
    </row>
    <row r="1269" spans="7:14" ht="11.25" customHeight="1" x14ac:dyDescent="0.3">
      <c r="G1269" s="470"/>
      <c r="H1269" s="470">
        <v>1262</v>
      </c>
      <c r="I1269" s="455">
        <f t="shared" ca="1" si="105"/>
        <v>-81187937.814746857</v>
      </c>
      <c r="J1269" s="455">
        <f t="array" ref="J1269">IFERROR(INDEX('Retirement Calculator'!K:K,MATCH('Lorri 401b'!N1269,'Retirement Calculator'!A:A,0),0),0)</f>
        <v>0</v>
      </c>
      <c r="K1269" s="455">
        <f t="shared" ca="1" si="103"/>
        <v>-338283.07422811189</v>
      </c>
      <c r="L1269" s="455">
        <f t="shared" ca="1" si="104"/>
        <v>-81526220.888974965</v>
      </c>
      <c r="M1269" s="471">
        <f t="shared" si="106"/>
        <v>0.05</v>
      </c>
      <c r="N1269" s="475">
        <f t="shared" si="107"/>
        <v>89668</v>
      </c>
    </row>
    <row r="1270" spans="7:14" ht="11.25" customHeight="1" x14ac:dyDescent="0.3">
      <c r="G1270" s="470"/>
      <c r="H1270" s="470">
        <v>1263</v>
      </c>
      <c r="I1270" s="455">
        <f t="shared" ca="1" si="105"/>
        <v>-81526220.888974965</v>
      </c>
      <c r="J1270" s="455">
        <f t="array" ref="J1270">IFERROR(INDEX('Retirement Calculator'!K:K,MATCH('Lorri 401b'!N1270,'Retirement Calculator'!A:A,0),0),0)</f>
        <v>0</v>
      </c>
      <c r="K1270" s="455">
        <f t="shared" ca="1" si="103"/>
        <v>-339692.58703739569</v>
      </c>
      <c r="L1270" s="455">
        <f t="shared" ca="1" si="104"/>
        <v>-81865913.476012364</v>
      </c>
      <c r="M1270" s="471">
        <f t="shared" si="106"/>
        <v>0.05</v>
      </c>
      <c r="N1270" s="475">
        <f t="shared" si="107"/>
        <v>89699</v>
      </c>
    </row>
    <row r="1271" spans="7:14" ht="11.25" customHeight="1" x14ac:dyDescent="0.3">
      <c r="G1271" s="470"/>
      <c r="H1271" s="470">
        <v>1264</v>
      </c>
      <c r="I1271" s="455">
        <f t="shared" ca="1" si="105"/>
        <v>-81865913.476012364</v>
      </c>
      <c r="J1271" s="455">
        <f t="array" ref="J1271">IFERROR(INDEX('Retirement Calculator'!K:K,MATCH('Lorri 401b'!N1271,'Retirement Calculator'!A:A,0),0),0)</f>
        <v>0</v>
      </c>
      <c r="K1271" s="455">
        <f t="shared" ca="1" si="103"/>
        <v>-341107.97281671816</v>
      </c>
      <c r="L1271" s="455">
        <f t="shared" ca="1" si="104"/>
        <v>-82207021.448829085</v>
      </c>
      <c r="M1271" s="471">
        <f t="shared" si="106"/>
        <v>0.05</v>
      </c>
      <c r="N1271" s="475">
        <f t="shared" si="107"/>
        <v>89730</v>
      </c>
    </row>
    <row r="1272" spans="7:14" ht="11.25" customHeight="1" x14ac:dyDescent="0.3">
      <c r="G1272" s="470"/>
      <c r="H1272" s="470">
        <v>1265</v>
      </c>
      <c r="I1272" s="455">
        <f t="shared" ca="1" si="105"/>
        <v>-82207021.448829085</v>
      </c>
      <c r="J1272" s="455">
        <f t="array" ref="J1272">IFERROR(INDEX('Retirement Calculator'!K:K,MATCH('Lorri 401b'!N1272,'Retirement Calculator'!A:A,0),0),0)</f>
        <v>0</v>
      </c>
      <c r="K1272" s="455">
        <f t="shared" ca="1" si="103"/>
        <v>-342529.25603678788</v>
      </c>
      <c r="L1272" s="455">
        <f t="shared" ca="1" si="104"/>
        <v>-82549550.704865873</v>
      </c>
      <c r="M1272" s="471">
        <f t="shared" si="106"/>
        <v>0.05</v>
      </c>
      <c r="N1272" s="475">
        <f t="shared" si="107"/>
        <v>89760</v>
      </c>
    </row>
    <row r="1273" spans="7:14" ht="11.25" customHeight="1" x14ac:dyDescent="0.3">
      <c r="G1273" s="470"/>
      <c r="H1273" s="470">
        <v>1266</v>
      </c>
      <c r="I1273" s="455">
        <f t="shared" ca="1" si="105"/>
        <v>-82549550.704865873</v>
      </c>
      <c r="J1273" s="455">
        <f t="array" ref="J1273">IFERROR(INDEX('Retirement Calculator'!K:K,MATCH('Lorri 401b'!N1273,'Retirement Calculator'!A:A,0),0),0)</f>
        <v>0</v>
      </c>
      <c r="K1273" s="455">
        <f t="shared" ca="1" si="103"/>
        <v>-343956.46127027448</v>
      </c>
      <c r="L1273" s="455">
        <f t="shared" ca="1" si="104"/>
        <v>-82893507.166136146</v>
      </c>
      <c r="M1273" s="471">
        <f t="shared" si="106"/>
        <v>0.05</v>
      </c>
      <c r="N1273" s="475">
        <f t="shared" si="107"/>
        <v>89791</v>
      </c>
    </row>
    <row r="1274" spans="7:14" ht="11.25" customHeight="1" x14ac:dyDescent="0.3">
      <c r="G1274" s="470"/>
      <c r="H1274" s="470">
        <v>1267</v>
      </c>
      <c r="I1274" s="455">
        <f t="shared" ca="1" si="105"/>
        <v>-82893507.166136146</v>
      </c>
      <c r="J1274" s="455">
        <f t="array" ref="J1274">IFERROR(INDEX('Retirement Calculator'!K:K,MATCH('Lorri 401b'!N1274,'Retirement Calculator'!A:A,0),0),0)</f>
        <v>0</v>
      </c>
      <c r="K1274" s="455">
        <f t="shared" ca="1" si="103"/>
        <v>-345389.61319223396</v>
      </c>
      <c r="L1274" s="455">
        <f t="shared" ca="1" si="104"/>
        <v>-83238896.779328376</v>
      </c>
      <c r="M1274" s="471">
        <f t="shared" si="106"/>
        <v>0.05</v>
      </c>
      <c r="N1274" s="475">
        <f t="shared" si="107"/>
        <v>89821</v>
      </c>
    </row>
    <row r="1275" spans="7:14" ht="11.25" customHeight="1" x14ac:dyDescent="0.3">
      <c r="G1275" s="470"/>
      <c r="H1275" s="470">
        <v>1268</v>
      </c>
      <c r="I1275" s="455">
        <f t="shared" ca="1" si="105"/>
        <v>-83238896.779328376</v>
      </c>
      <c r="J1275" s="455">
        <f t="array" ref="J1275">IFERROR(INDEX('Retirement Calculator'!K:K,MATCH('Lorri 401b'!N1275,'Retirement Calculator'!A:A,0),0),0)</f>
        <v>0</v>
      </c>
      <c r="K1275" s="455">
        <f t="shared" ca="1" si="103"/>
        <v>-346828.7365805349</v>
      </c>
      <c r="L1275" s="455">
        <f t="shared" ca="1" si="104"/>
        <v>-83585725.515908912</v>
      </c>
      <c r="M1275" s="471">
        <f t="shared" si="106"/>
        <v>0.05</v>
      </c>
      <c r="N1275" s="475">
        <f t="shared" si="107"/>
        <v>89852</v>
      </c>
    </row>
    <row r="1276" spans="7:14" ht="11.25" customHeight="1" x14ac:dyDescent="0.3">
      <c r="G1276" s="470"/>
      <c r="H1276" s="470">
        <v>1269</v>
      </c>
      <c r="I1276" s="455">
        <f t="shared" ca="1" si="105"/>
        <v>-83585725.515908912</v>
      </c>
      <c r="J1276" s="455">
        <f t="array" ref="J1276">IFERROR(INDEX('Retirement Calculator'!K:K,MATCH('Lorri 401b'!N1276,'Retirement Calculator'!A:A,0),0),0)</f>
        <v>0</v>
      </c>
      <c r="K1276" s="455">
        <f t="shared" ca="1" si="103"/>
        <v>-348273.85631628713</v>
      </c>
      <c r="L1276" s="455">
        <f t="shared" ca="1" si="104"/>
        <v>-83933999.372225195</v>
      </c>
      <c r="M1276" s="471">
        <f t="shared" si="106"/>
        <v>0.05</v>
      </c>
      <c r="N1276" s="475">
        <f t="shared" si="107"/>
        <v>89883</v>
      </c>
    </row>
    <row r="1277" spans="7:14" ht="11.25" customHeight="1" x14ac:dyDescent="0.3">
      <c r="G1277" s="470"/>
      <c r="H1277" s="470">
        <v>1270</v>
      </c>
      <c r="I1277" s="455">
        <f t="shared" ca="1" si="105"/>
        <v>-83933999.372225195</v>
      </c>
      <c r="J1277" s="455">
        <f t="array" ref="J1277">IFERROR(INDEX('Retirement Calculator'!K:K,MATCH('Lorri 401b'!N1277,'Retirement Calculator'!A:A,0),0),0)</f>
        <v>0</v>
      </c>
      <c r="K1277" s="455">
        <f t="shared" ca="1" si="103"/>
        <v>-349724.99738427164</v>
      </c>
      <c r="L1277" s="455">
        <f t="shared" ca="1" si="104"/>
        <v>-84283724.36960946</v>
      </c>
      <c r="M1277" s="471">
        <f t="shared" si="106"/>
        <v>0.05</v>
      </c>
      <c r="N1277" s="475">
        <f t="shared" si="107"/>
        <v>89911</v>
      </c>
    </row>
    <row r="1278" spans="7:14" ht="11.25" customHeight="1" x14ac:dyDescent="0.3">
      <c r="G1278" s="470"/>
      <c r="H1278" s="470">
        <v>1271</v>
      </c>
      <c r="I1278" s="455">
        <f t="shared" ca="1" si="105"/>
        <v>-84283724.36960946</v>
      </c>
      <c r="J1278" s="455">
        <f t="array" ref="J1278">IFERROR(INDEX('Retirement Calculator'!K:K,MATCH('Lorri 401b'!N1278,'Retirement Calculator'!A:A,0),0),0)</f>
        <v>0</v>
      </c>
      <c r="K1278" s="455">
        <f t="shared" ca="1" si="103"/>
        <v>-351182.18487337272</v>
      </c>
      <c r="L1278" s="455">
        <f t="shared" ca="1" si="104"/>
        <v>-84634906.554482833</v>
      </c>
      <c r="M1278" s="471">
        <f t="shared" si="106"/>
        <v>0.05</v>
      </c>
      <c r="N1278" s="475">
        <f t="shared" si="107"/>
        <v>89942</v>
      </c>
    </row>
    <row r="1279" spans="7:14" ht="11.25" customHeight="1" x14ac:dyDescent="0.3">
      <c r="G1279" s="470"/>
      <c r="H1279" s="470">
        <v>1272</v>
      </c>
      <c r="I1279" s="455">
        <f t="shared" ca="1" si="105"/>
        <v>-84634906.554482833</v>
      </c>
      <c r="J1279" s="455">
        <f t="array" ref="J1279">IFERROR(INDEX('Retirement Calculator'!K:K,MATCH('Lorri 401b'!N1279,'Retirement Calculator'!A:A,0),0),0)</f>
        <v>0</v>
      </c>
      <c r="K1279" s="455">
        <f t="shared" ca="1" si="103"/>
        <v>-352645.44397701178</v>
      </c>
      <c r="L1279" s="455">
        <f t="shared" ca="1" si="104"/>
        <v>-84987551.998459846</v>
      </c>
      <c r="M1279" s="471">
        <f t="shared" si="106"/>
        <v>0.05</v>
      </c>
      <c r="N1279" s="475">
        <f t="shared" si="107"/>
        <v>89972</v>
      </c>
    </row>
    <row r="1280" spans="7:14" ht="11.25" customHeight="1" x14ac:dyDescent="0.3">
      <c r="G1280" s="470"/>
      <c r="H1280" s="470">
        <v>1273</v>
      </c>
      <c r="I1280" s="455">
        <f t="shared" ca="1" si="105"/>
        <v>-84987551.998459846</v>
      </c>
      <c r="J1280" s="455">
        <f t="array" ref="J1280">IFERROR(INDEX('Retirement Calculator'!K:K,MATCH('Lorri 401b'!N1280,'Retirement Calculator'!A:A,0),0),0)</f>
        <v>0</v>
      </c>
      <c r="K1280" s="455">
        <f t="shared" ca="1" si="103"/>
        <v>-354114.79999358271</v>
      </c>
      <c r="L1280" s="455">
        <f t="shared" ca="1" si="104"/>
        <v>-85341666.798453435</v>
      </c>
      <c r="M1280" s="471">
        <f t="shared" si="106"/>
        <v>0.05</v>
      </c>
      <c r="N1280" s="475">
        <f t="shared" si="107"/>
        <v>90003</v>
      </c>
    </row>
    <row r="1281" spans="7:14" ht="11.25" customHeight="1" x14ac:dyDescent="0.3">
      <c r="G1281" s="470"/>
      <c r="H1281" s="470">
        <v>1274</v>
      </c>
      <c r="I1281" s="455">
        <f t="shared" ca="1" si="105"/>
        <v>-85341666.798453435</v>
      </c>
      <c r="J1281" s="455">
        <f t="array" ref="J1281">IFERROR(INDEX('Retirement Calculator'!K:K,MATCH('Lorri 401b'!N1281,'Retirement Calculator'!A:A,0),0),0)</f>
        <v>0</v>
      </c>
      <c r="K1281" s="455">
        <f t="shared" ca="1" si="103"/>
        <v>-355590.27832688933</v>
      </c>
      <c r="L1281" s="455">
        <f t="shared" ca="1" si="104"/>
        <v>-85697257.076780319</v>
      </c>
      <c r="M1281" s="471">
        <f t="shared" si="106"/>
        <v>0.05</v>
      </c>
      <c r="N1281" s="475">
        <f t="shared" si="107"/>
        <v>90033</v>
      </c>
    </row>
    <row r="1282" spans="7:14" ht="11.25" customHeight="1" x14ac:dyDescent="0.3">
      <c r="G1282" s="470"/>
      <c r="H1282" s="470">
        <v>1275</v>
      </c>
      <c r="I1282" s="455">
        <f t="shared" ca="1" si="105"/>
        <v>-85697257.076780319</v>
      </c>
      <c r="J1282" s="455">
        <f t="array" ref="J1282">IFERROR(INDEX('Retirement Calculator'!K:K,MATCH('Lorri 401b'!N1282,'Retirement Calculator'!A:A,0),0),0)</f>
        <v>0</v>
      </c>
      <c r="K1282" s="455">
        <f t="shared" ca="1" si="103"/>
        <v>-357071.90448658465</v>
      </c>
      <c r="L1282" s="455">
        <f t="shared" ca="1" si="104"/>
        <v>-86054328.981266901</v>
      </c>
      <c r="M1282" s="471">
        <f t="shared" si="106"/>
        <v>0.05</v>
      </c>
      <c r="N1282" s="475">
        <f t="shared" si="107"/>
        <v>90064</v>
      </c>
    </row>
    <row r="1283" spans="7:14" ht="11.25" customHeight="1" x14ac:dyDescent="0.3">
      <c r="G1283" s="470"/>
      <c r="H1283" s="470">
        <v>1276</v>
      </c>
      <c r="I1283" s="455">
        <f t="shared" ca="1" si="105"/>
        <v>-86054328.981266901</v>
      </c>
      <c r="J1283" s="455">
        <f t="array" ref="J1283">IFERROR(INDEX('Retirement Calculator'!K:K,MATCH('Lorri 401b'!N1283,'Retirement Calculator'!A:A,0),0),0)</f>
        <v>0</v>
      </c>
      <c r="K1283" s="455">
        <f t="shared" ref="K1283:K1537" ca="1" si="108">IPMT(M1283/12,1,12,-I1283+J1283,,0)</f>
        <v>-358559.70408861211</v>
      </c>
      <c r="L1283" s="455">
        <f t="shared" ref="L1283:L1537" ca="1" si="109">I1283-J1283+K1283</f>
        <v>-86412888.685355514</v>
      </c>
      <c r="M1283" s="471">
        <f t="shared" si="106"/>
        <v>0.05</v>
      </c>
      <c r="N1283" s="475">
        <f t="shared" si="107"/>
        <v>90095</v>
      </c>
    </row>
    <row r="1284" spans="7:14" ht="11.25" customHeight="1" x14ac:dyDescent="0.3">
      <c r="G1284" s="470"/>
      <c r="H1284" s="470">
        <v>1277</v>
      </c>
      <c r="I1284" s="455">
        <f t="shared" ref="I1284:I1538" ca="1" si="110">L1283</f>
        <v>-86412888.685355514</v>
      </c>
      <c r="J1284" s="455">
        <f t="array" ref="J1284">IFERROR(INDEX('Retirement Calculator'!K:K,MATCH('Lorri 401b'!N1284,'Retirement Calculator'!A:A,0),0),0)</f>
        <v>0</v>
      </c>
      <c r="K1284" s="455">
        <f t="shared" ca="1" si="108"/>
        <v>-360053.70285564795</v>
      </c>
      <c r="L1284" s="455">
        <f t="shared" ca="1" si="109"/>
        <v>-86772942.388211161</v>
      </c>
      <c r="M1284" s="471">
        <f t="shared" ref="M1284:M1538" si="111">M1283</f>
        <v>0.05</v>
      </c>
      <c r="N1284" s="475">
        <f t="shared" ref="N1284:N1538" si="112">EDATE(N1283,1)</f>
        <v>90125</v>
      </c>
    </row>
    <row r="1285" spans="7:14" ht="11.25" customHeight="1" x14ac:dyDescent="0.3">
      <c r="G1285" s="470"/>
      <c r="H1285" s="470">
        <v>1278</v>
      </c>
      <c r="I1285" s="455">
        <f t="shared" ca="1" si="110"/>
        <v>-86772942.388211161</v>
      </c>
      <c r="J1285" s="455">
        <f t="array" ref="J1285">IFERROR(INDEX('Retirement Calculator'!K:K,MATCH('Lorri 401b'!N1285,'Retirement Calculator'!A:A,0),0),0)</f>
        <v>0</v>
      </c>
      <c r="K1285" s="455">
        <f t="shared" ca="1" si="108"/>
        <v>-361553.92661754647</v>
      </c>
      <c r="L1285" s="455">
        <f t="shared" ca="1" si="109"/>
        <v>-87134496.314828709</v>
      </c>
      <c r="M1285" s="471">
        <f t="shared" si="111"/>
        <v>0.05</v>
      </c>
      <c r="N1285" s="475">
        <f t="shared" si="112"/>
        <v>90156</v>
      </c>
    </row>
    <row r="1286" spans="7:14" ht="11.25" customHeight="1" x14ac:dyDescent="0.3">
      <c r="G1286" s="470"/>
      <c r="H1286" s="470">
        <v>1279</v>
      </c>
      <c r="I1286" s="455">
        <f t="shared" ca="1" si="110"/>
        <v>-87134496.314828709</v>
      </c>
      <c r="J1286" s="455">
        <f t="array" ref="J1286">IFERROR(INDEX('Retirement Calculator'!K:K,MATCH('Lorri 401b'!N1286,'Retirement Calculator'!A:A,0),0),0)</f>
        <v>0</v>
      </c>
      <c r="K1286" s="455">
        <f t="shared" ca="1" si="108"/>
        <v>-363060.40131178626</v>
      </c>
      <c r="L1286" s="455">
        <f t="shared" ca="1" si="109"/>
        <v>-87497556.716140494</v>
      </c>
      <c r="M1286" s="471">
        <f t="shared" si="111"/>
        <v>0.05</v>
      </c>
      <c r="N1286" s="475">
        <f t="shared" si="112"/>
        <v>90186</v>
      </c>
    </row>
    <row r="1287" spans="7:14" ht="11.25" customHeight="1" x14ac:dyDescent="0.3">
      <c r="G1287" s="470"/>
      <c r="H1287" s="470">
        <v>1280</v>
      </c>
      <c r="I1287" s="455">
        <f t="shared" ca="1" si="110"/>
        <v>-87497556.716140494</v>
      </c>
      <c r="J1287" s="455">
        <f t="array" ref="J1287">IFERROR(INDEX('Retirement Calculator'!K:K,MATCH('Lorri 401b'!N1287,'Retirement Calculator'!A:A,0),0),0)</f>
        <v>0</v>
      </c>
      <c r="K1287" s="455">
        <f t="shared" ca="1" si="108"/>
        <v>-364573.15298391873</v>
      </c>
      <c r="L1287" s="455">
        <f t="shared" ca="1" si="109"/>
        <v>-87862129.869124413</v>
      </c>
      <c r="M1287" s="471">
        <f t="shared" si="111"/>
        <v>0.05</v>
      </c>
      <c r="N1287" s="475">
        <f t="shared" si="112"/>
        <v>90217</v>
      </c>
    </row>
    <row r="1288" spans="7:14" ht="11.25" customHeight="1" x14ac:dyDescent="0.3">
      <c r="G1288" s="470"/>
      <c r="H1288" s="470">
        <v>1281</v>
      </c>
      <c r="I1288" s="455">
        <f t="shared" ca="1" si="110"/>
        <v>-87862129.869124413</v>
      </c>
      <c r="J1288" s="455">
        <f t="array" ref="J1288">IFERROR(INDEX('Retirement Calculator'!K:K,MATCH('Lorri 401b'!N1288,'Retirement Calculator'!A:A,0),0),0)</f>
        <v>0</v>
      </c>
      <c r="K1288" s="455">
        <f t="shared" ca="1" si="108"/>
        <v>-366092.20778801839</v>
      </c>
      <c r="L1288" s="455">
        <f t="shared" ca="1" si="109"/>
        <v>-88228222.076912433</v>
      </c>
      <c r="M1288" s="471">
        <f t="shared" si="111"/>
        <v>0.05</v>
      </c>
      <c r="N1288" s="475">
        <f t="shared" si="112"/>
        <v>90248</v>
      </c>
    </row>
    <row r="1289" spans="7:14" ht="11.25" customHeight="1" x14ac:dyDescent="0.3">
      <c r="G1289" s="470"/>
      <c r="H1289" s="470">
        <v>1282</v>
      </c>
      <c r="I1289" s="455">
        <f t="shared" ca="1" si="110"/>
        <v>-88228222.076912433</v>
      </c>
      <c r="J1289" s="455">
        <f t="array" ref="J1289">IFERROR(INDEX('Retirement Calculator'!K:K,MATCH('Lorri 401b'!N1289,'Retirement Calculator'!A:A,0),0),0)</f>
        <v>0</v>
      </c>
      <c r="K1289" s="455">
        <f t="shared" ca="1" si="108"/>
        <v>-367617.59198713512</v>
      </c>
      <c r="L1289" s="455">
        <f t="shared" ca="1" si="109"/>
        <v>-88595839.668899566</v>
      </c>
      <c r="M1289" s="471">
        <f t="shared" si="111"/>
        <v>0.05</v>
      </c>
      <c r="N1289" s="475">
        <f t="shared" si="112"/>
        <v>90276</v>
      </c>
    </row>
    <row r="1290" spans="7:14" ht="11.25" customHeight="1" x14ac:dyDescent="0.3">
      <c r="G1290" s="470"/>
      <c r="H1290" s="470">
        <v>1283</v>
      </c>
      <c r="I1290" s="455">
        <f t="shared" ca="1" si="110"/>
        <v>-88595839.668899566</v>
      </c>
      <c r="J1290" s="455">
        <f t="array" ref="J1290">IFERROR(INDEX('Retirement Calculator'!K:K,MATCH('Lorri 401b'!N1290,'Retirement Calculator'!A:A,0),0),0)</f>
        <v>0</v>
      </c>
      <c r="K1290" s="455">
        <f t="shared" ca="1" si="108"/>
        <v>-369149.33195374819</v>
      </c>
      <c r="L1290" s="455">
        <f t="shared" ca="1" si="109"/>
        <v>-88964989.000853315</v>
      </c>
      <c r="M1290" s="471">
        <f t="shared" si="111"/>
        <v>0.05</v>
      </c>
      <c r="N1290" s="475">
        <f t="shared" si="112"/>
        <v>90307</v>
      </c>
    </row>
    <row r="1291" spans="7:14" ht="11.25" customHeight="1" x14ac:dyDescent="0.3">
      <c r="G1291" s="470"/>
      <c r="H1291" s="470">
        <v>1284</v>
      </c>
      <c r="I1291" s="455">
        <f t="shared" ca="1" si="110"/>
        <v>-88964989.000853315</v>
      </c>
      <c r="J1291" s="455">
        <f t="array" ref="J1291">IFERROR(INDEX('Retirement Calculator'!K:K,MATCH('Lorri 401b'!N1291,'Retirement Calculator'!A:A,0),0),0)</f>
        <v>0</v>
      </c>
      <c r="K1291" s="455">
        <f t="shared" ca="1" si="108"/>
        <v>-370687.45417022216</v>
      </c>
      <c r="L1291" s="455">
        <f t="shared" ca="1" si="109"/>
        <v>-89335676.455023542</v>
      </c>
      <c r="M1291" s="471">
        <f t="shared" si="111"/>
        <v>0.05</v>
      </c>
      <c r="N1291" s="475">
        <f t="shared" si="112"/>
        <v>90337</v>
      </c>
    </row>
    <row r="1292" spans="7:14" ht="11.25" customHeight="1" x14ac:dyDescent="0.3">
      <c r="G1292" s="470"/>
      <c r="H1292" s="470">
        <v>1285</v>
      </c>
      <c r="I1292" s="455">
        <f t="shared" ca="1" si="110"/>
        <v>-89335676.455023542</v>
      </c>
      <c r="J1292" s="455">
        <f t="array" ref="J1292">IFERROR(INDEX('Retirement Calculator'!K:K,MATCH('Lorri 401b'!N1292,'Retirement Calculator'!A:A,0),0),0)</f>
        <v>0</v>
      </c>
      <c r="K1292" s="455">
        <f t="shared" ca="1" si="108"/>
        <v>-372231.98522926477</v>
      </c>
      <c r="L1292" s="455">
        <f t="shared" ca="1" si="109"/>
        <v>-89707908.440252811</v>
      </c>
      <c r="M1292" s="471">
        <f t="shared" si="111"/>
        <v>0.05</v>
      </c>
      <c r="N1292" s="475">
        <f t="shared" si="112"/>
        <v>90368</v>
      </c>
    </row>
    <row r="1293" spans="7:14" ht="11.25" customHeight="1" x14ac:dyDescent="0.3">
      <c r="G1293" s="470"/>
      <c r="H1293" s="470">
        <v>1286</v>
      </c>
      <c r="I1293" s="455">
        <f t="shared" ca="1" si="110"/>
        <v>-89707908.440252811</v>
      </c>
      <c r="J1293" s="455">
        <f t="array" ref="J1293">IFERROR(INDEX('Retirement Calculator'!K:K,MATCH('Lorri 401b'!N1293,'Retirement Calculator'!A:A,0),0),0)</f>
        <v>0</v>
      </c>
      <c r="K1293" s="455">
        <f t="shared" ca="1" si="108"/>
        <v>-373782.95183438668</v>
      </c>
      <c r="L1293" s="455">
        <f t="shared" ca="1" si="109"/>
        <v>-90081691.392087191</v>
      </c>
      <c r="M1293" s="471">
        <f t="shared" si="111"/>
        <v>0.05</v>
      </c>
      <c r="N1293" s="475">
        <f t="shared" si="112"/>
        <v>90398</v>
      </c>
    </row>
    <row r="1294" spans="7:14" ht="11.25" customHeight="1" x14ac:dyDescent="0.3">
      <c r="G1294" s="470"/>
      <c r="H1294" s="470">
        <v>1287</v>
      </c>
      <c r="I1294" s="455">
        <f t="shared" ca="1" si="110"/>
        <v>-90081691.392087191</v>
      </c>
      <c r="J1294" s="455">
        <f t="array" ref="J1294">IFERROR(INDEX('Retirement Calculator'!K:K,MATCH('Lorri 401b'!N1294,'Retirement Calculator'!A:A,0),0),0)</f>
        <v>0</v>
      </c>
      <c r="K1294" s="455">
        <f t="shared" ca="1" si="108"/>
        <v>-375340.38080036332</v>
      </c>
      <c r="L1294" s="455">
        <f t="shared" ca="1" si="109"/>
        <v>-90457031.772887558</v>
      </c>
      <c r="M1294" s="471">
        <f t="shared" si="111"/>
        <v>0.05</v>
      </c>
      <c r="N1294" s="475">
        <f t="shared" si="112"/>
        <v>90429</v>
      </c>
    </row>
    <row r="1295" spans="7:14" ht="11.25" customHeight="1" x14ac:dyDescent="0.3">
      <c r="G1295" s="470"/>
      <c r="H1295" s="470">
        <v>1288</v>
      </c>
      <c r="I1295" s="455">
        <f t="shared" ca="1" si="110"/>
        <v>-90457031.772887558</v>
      </c>
      <c r="J1295" s="455">
        <f t="array" ref="J1295">IFERROR(INDEX('Retirement Calculator'!K:K,MATCH('Lorri 401b'!N1295,'Retirement Calculator'!A:A,0),0),0)</f>
        <v>0</v>
      </c>
      <c r="K1295" s="455">
        <f t="shared" ca="1" si="108"/>
        <v>-376904.29905369814</v>
      </c>
      <c r="L1295" s="455">
        <f t="shared" ca="1" si="109"/>
        <v>-90833936.071941257</v>
      </c>
      <c r="M1295" s="471">
        <f t="shared" si="111"/>
        <v>0.05</v>
      </c>
      <c r="N1295" s="475">
        <f t="shared" si="112"/>
        <v>90460</v>
      </c>
    </row>
    <row r="1296" spans="7:14" ht="11.25" customHeight="1" x14ac:dyDescent="0.3">
      <c r="G1296" s="470"/>
      <c r="H1296" s="470">
        <v>1289</v>
      </c>
      <c r="I1296" s="455">
        <f t="shared" ca="1" si="110"/>
        <v>-90833936.071941257</v>
      </c>
      <c r="J1296" s="455">
        <f t="array" ref="J1296">IFERROR(INDEX('Retirement Calculator'!K:K,MATCH('Lorri 401b'!N1296,'Retirement Calculator'!A:A,0),0),0)</f>
        <v>0</v>
      </c>
      <c r="K1296" s="455">
        <f t="shared" ca="1" si="108"/>
        <v>-378474.73363308859</v>
      </c>
      <c r="L1296" s="455">
        <f t="shared" ca="1" si="109"/>
        <v>-91212410.805574343</v>
      </c>
      <c r="M1296" s="471">
        <f t="shared" si="111"/>
        <v>0.05</v>
      </c>
      <c r="N1296" s="475">
        <f t="shared" si="112"/>
        <v>90490</v>
      </c>
    </row>
    <row r="1297" spans="7:14" ht="11.25" customHeight="1" x14ac:dyDescent="0.3">
      <c r="G1297" s="470"/>
      <c r="H1297" s="470">
        <v>1290</v>
      </c>
      <c r="I1297" s="455">
        <f t="shared" ca="1" si="110"/>
        <v>-91212410.805574343</v>
      </c>
      <c r="J1297" s="455">
        <f t="array" ref="J1297">IFERROR(INDEX('Retirement Calculator'!K:K,MATCH('Lorri 401b'!N1297,'Retirement Calculator'!A:A,0),0),0)</f>
        <v>0</v>
      </c>
      <c r="K1297" s="455">
        <f t="shared" ca="1" si="108"/>
        <v>-380051.7116898931</v>
      </c>
      <c r="L1297" s="455">
        <f t="shared" ca="1" si="109"/>
        <v>-91592462.517264232</v>
      </c>
      <c r="M1297" s="471">
        <f t="shared" si="111"/>
        <v>0.05</v>
      </c>
      <c r="N1297" s="475">
        <f t="shared" si="112"/>
        <v>90521</v>
      </c>
    </row>
    <row r="1298" spans="7:14" ht="11.25" customHeight="1" x14ac:dyDescent="0.3">
      <c r="G1298" s="470"/>
      <c r="H1298" s="470">
        <v>1291</v>
      </c>
      <c r="I1298" s="455">
        <f t="shared" ca="1" si="110"/>
        <v>-91592462.517264232</v>
      </c>
      <c r="J1298" s="455">
        <f t="array" ref="J1298">IFERROR(INDEX('Retirement Calculator'!K:K,MATCH('Lorri 401b'!N1298,'Retirement Calculator'!A:A,0),0),0)</f>
        <v>0</v>
      </c>
      <c r="K1298" s="455">
        <f t="shared" ca="1" si="108"/>
        <v>-381635.26048860094</v>
      </c>
      <c r="L1298" s="455">
        <f t="shared" ca="1" si="109"/>
        <v>-91974097.777752832</v>
      </c>
      <c r="M1298" s="471">
        <f t="shared" si="111"/>
        <v>0.05</v>
      </c>
      <c r="N1298" s="475">
        <f t="shared" si="112"/>
        <v>90551</v>
      </c>
    </row>
    <row r="1299" spans="7:14" ht="11.25" customHeight="1" x14ac:dyDescent="0.3">
      <c r="G1299" s="470"/>
      <c r="H1299" s="470">
        <v>1292</v>
      </c>
      <c r="I1299" s="455">
        <f t="shared" ca="1" si="110"/>
        <v>-91974097.777752832</v>
      </c>
      <c r="J1299" s="455">
        <f t="array" ref="J1299">IFERROR(INDEX('Retirement Calculator'!K:K,MATCH('Lorri 401b'!N1299,'Retirement Calculator'!A:A,0),0),0)</f>
        <v>0</v>
      </c>
      <c r="K1299" s="455">
        <f t="shared" ca="1" si="108"/>
        <v>-383225.40740730346</v>
      </c>
      <c r="L1299" s="455">
        <f t="shared" ca="1" si="109"/>
        <v>-92357323.18516013</v>
      </c>
      <c r="M1299" s="471">
        <f t="shared" si="111"/>
        <v>0.05</v>
      </c>
      <c r="N1299" s="475">
        <f t="shared" si="112"/>
        <v>90582</v>
      </c>
    </row>
    <row r="1300" spans="7:14" ht="11.25" customHeight="1" x14ac:dyDescent="0.3">
      <c r="G1300" s="470"/>
      <c r="H1300" s="470">
        <v>1293</v>
      </c>
      <c r="I1300" s="455">
        <f t="shared" ca="1" si="110"/>
        <v>-92357323.18516013</v>
      </c>
      <c r="J1300" s="455">
        <f t="array" ref="J1300">IFERROR(INDEX('Retirement Calculator'!K:K,MATCH('Lorri 401b'!N1300,'Retirement Calculator'!A:A,0),0),0)</f>
        <v>0</v>
      </c>
      <c r="K1300" s="455">
        <f t="shared" ca="1" si="108"/>
        <v>-384822.17993816722</v>
      </c>
      <c r="L1300" s="455">
        <f t="shared" ca="1" si="109"/>
        <v>-92742145.365098298</v>
      </c>
      <c r="M1300" s="471">
        <f t="shared" si="111"/>
        <v>0.05</v>
      </c>
      <c r="N1300" s="475">
        <f t="shared" si="112"/>
        <v>90613</v>
      </c>
    </row>
    <row r="1301" spans="7:14" ht="11.25" customHeight="1" x14ac:dyDescent="0.3">
      <c r="G1301" s="470"/>
      <c r="H1301" s="470">
        <v>1294</v>
      </c>
      <c r="I1301" s="455">
        <f t="shared" ca="1" si="110"/>
        <v>-92742145.365098298</v>
      </c>
      <c r="J1301" s="455">
        <f t="array" ref="J1301">IFERROR(INDEX('Retirement Calculator'!K:K,MATCH('Lorri 401b'!N1301,'Retirement Calculator'!A:A,0),0),0)</f>
        <v>0</v>
      </c>
      <c r="K1301" s="455">
        <f t="shared" ca="1" si="108"/>
        <v>-386425.60568790958</v>
      </c>
      <c r="L1301" s="455">
        <f t="shared" ca="1" si="109"/>
        <v>-93128570.970786214</v>
      </c>
      <c r="M1301" s="471">
        <f t="shared" si="111"/>
        <v>0.05</v>
      </c>
      <c r="N1301" s="475">
        <f t="shared" si="112"/>
        <v>90642</v>
      </c>
    </row>
    <row r="1302" spans="7:14" ht="11.25" customHeight="1" x14ac:dyDescent="0.3">
      <c r="G1302" s="470"/>
      <c r="H1302" s="470">
        <v>1295</v>
      </c>
      <c r="I1302" s="455">
        <f t="shared" ca="1" si="110"/>
        <v>-93128570.970786214</v>
      </c>
      <c r="J1302" s="455">
        <f t="array" ref="J1302">IFERROR(INDEX('Retirement Calculator'!K:K,MATCH('Lorri 401b'!N1302,'Retirement Calculator'!A:A,0),0),0)</f>
        <v>0</v>
      </c>
      <c r="K1302" s="455">
        <f t="shared" ca="1" si="108"/>
        <v>-388035.71237827587</v>
      </c>
      <c r="L1302" s="455">
        <f t="shared" ca="1" si="109"/>
        <v>-93516606.683164492</v>
      </c>
      <c r="M1302" s="471">
        <f t="shared" si="111"/>
        <v>0.05</v>
      </c>
      <c r="N1302" s="475">
        <f t="shared" si="112"/>
        <v>90673</v>
      </c>
    </row>
    <row r="1303" spans="7:14" ht="11.25" customHeight="1" x14ac:dyDescent="0.3">
      <c r="G1303" s="470"/>
      <c r="H1303" s="470">
        <v>1296</v>
      </c>
      <c r="I1303" s="455">
        <f t="shared" ca="1" si="110"/>
        <v>-93516606.683164492</v>
      </c>
      <c r="J1303" s="455">
        <f t="array" ref="J1303">IFERROR(INDEX('Retirement Calculator'!K:K,MATCH('Lorri 401b'!N1303,'Retirement Calculator'!A:A,0),0),0)</f>
        <v>0</v>
      </c>
      <c r="K1303" s="455">
        <f t="shared" ca="1" si="108"/>
        <v>-389652.52784651873</v>
      </c>
      <c r="L1303" s="455">
        <f t="shared" ca="1" si="109"/>
        <v>-93906259.211011007</v>
      </c>
      <c r="M1303" s="471">
        <f t="shared" si="111"/>
        <v>0.05</v>
      </c>
      <c r="N1303" s="475">
        <f t="shared" si="112"/>
        <v>90703</v>
      </c>
    </row>
    <row r="1304" spans="7:14" ht="11.25" customHeight="1" x14ac:dyDescent="0.3">
      <c r="G1304" s="470"/>
      <c r="H1304" s="470">
        <v>1297</v>
      </c>
      <c r="I1304" s="455">
        <f t="shared" ca="1" si="110"/>
        <v>-93906259.211011007</v>
      </c>
      <c r="J1304" s="455">
        <f t="array" ref="J1304">IFERROR(INDEX('Retirement Calculator'!K:K,MATCH('Lorri 401b'!N1304,'Retirement Calculator'!A:A,0),0),0)</f>
        <v>0</v>
      </c>
      <c r="K1304" s="455">
        <f t="shared" ca="1" si="108"/>
        <v>-391276.08004587918</v>
      </c>
      <c r="L1304" s="455">
        <f t="shared" ca="1" si="109"/>
        <v>-94297535.291056886</v>
      </c>
      <c r="M1304" s="471">
        <f t="shared" si="111"/>
        <v>0.05</v>
      </c>
      <c r="N1304" s="475">
        <f t="shared" si="112"/>
        <v>90734</v>
      </c>
    </row>
    <row r="1305" spans="7:14" ht="11.25" customHeight="1" x14ac:dyDescent="0.3">
      <c r="G1305" s="470"/>
      <c r="H1305" s="470">
        <v>1298</v>
      </c>
      <c r="I1305" s="455">
        <f t="shared" ca="1" si="110"/>
        <v>-94297535.291056886</v>
      </c>
      <c r="J1305" s="455">
        <f t="array" ref="J1305">IFERROR(INDEX('Retirement Calculator'!K:K,MATCH('Lorri 401b'!N1305,'Retirement Calculator'!A:A,0),0),0)</f>
        <v>0</v>
      </c>
      <c r="K1305" s="455">
        <f t="shared" ca="1" si="108"/>
        <v>-392906.39704607037</v>
      </c>
      <c r="L1305" s="455">
        <f t="shared" ca="1" si="109"/>
        <v>-94690441.688102961</v>
      </c>
      <c r="M1305" s="471">
        <f t="shared" si="111"/>
        <v>0.05</v>
      </c>
      <c r="N1305" s="475">
        <f t="shared" si="112"/>
        <v>90764</v>
      </c>
    </row>
    <row r="1306" spans="7:14" ht="11.25" customHeight="1" x14ac:dyDescent="0.3">
      <c r="G1306" s="470"/>
      <c r="H1306" s="470">
        <v>1299</v>
      </c>
      <c r="I1306" s="455">
        <f t="shared" ca="1" si="110"/>
        <v>-94690441.688102961</v>
      </c>
      <c r="J1306" s="455">
        <f t="array" ref="J1306">IFERROR(INDEX('Retirement Calculator'!K:K,MATCH('Lorri 401b'!N1306,'Retirement Calculator'!A:A,0),0),0)</f>
        <v>0</v>
      </c>
      <c r="K1306" s="455">
        <f t="shared" ca="1" si="108"/>
        <v>-394543.50703376235</v>
      </c>
      <c r="L1306" s="455">
        <f t="shared" ca="1" si="109"/>
        <v>-95084985.195136726</v>
      </c>
      <c r="M1306" s="471">
        <f t="shared" si="111"/>
        <v>0.05</v>
      </c>
      <c r="N1306" s="475">
        <f t="shared" si="112"/>
        <v>90795</v>
      </c>
    </row>
    <row r="1307" spans="7:14" ht="11.25" customHeight="1" x14ac:dyDescent="0.3">
      <c r="G1307" s="470"/>
      <c r="H1307" s="470">
        <v>1300</v>
      </c>
      <c r="I1307" s="455">
        <f t="shared" ca="1" si="110"/>
        <v>-95084985.195136726</v>
      </c>
      <c r="J1307" s="455">
        <f t="array" ref="J1307">IFERROR(INDEX('Retirement Calculator'!K:K,MATCH('Lorri 401b'!N1307,'Retirement Calculator'!A:A,0),0),0)</f>
        <v>0</v>
      </c>
      <c r="K1307" s="455">
        <f t="shared" ca="1" si="108"/>
        <v>-396187.4383130697</v>
      </c>
      <c r="L1307" s="455">
        <f t="shared" ca="1" si="109"/>
        <v>-95481172.633449793</v>
      </c>
      <c r="M1307" s="471">
        <f t="shared" si="111"/>
        <v>0.05</v>
      </c>
      <c r="N1307" s="475">
        <f t="shared" si="112"/>
        <v>90826</v>
      </c>
    </row>
    <row r="1308" spans="7:14" ht="11.25" customHeight="1" x14ac:dyDescent="0.3">
      <c r="G1308" s="470"/>
      <c r="H1308" s="470">
        <v>1301</v>
      </c>
      <c r="I1308" s="455">
        <f t="shared" ca="1" si="110"/>
        <v>-95481172.633449793</v>
      </c>
      <c r="J1308" s="455">
        <f t="array" ref="J1308">IFERROR(INDEX('Retirement Calculator'!K:K,MATCH('Lorri 401b'!N1308,'Retirement Calculator'!A:A,0),0),0)</f>
        <v>0</v>
      </c>
      <c r="K1308" s="455">
        <f t="shared" ca="1" si="108"/>
        <v>-397838.21930604079</v>
      </c>
      <c r="L1308" s="455">
        <f t="shared" ca="1" si="109"/>
        <v>-95879010.85275583</v>
      </c>
      <c r="M1308" s="471">
        <f t="shared" si="111"/>
        <v>0.05</v>
      </c>
      <c r="N1308" s="475">
        <f t="shared" si="112"/>
        <v>90856</v>
      </c>
    </row>
    <row r="1309" spans="7:14" ht="11.25" customHeight="1" x14ac:dyDescent="0.3">
      <c r="G1309" s="470"/>
      <c r="H1309" s="470">
        <v>1302</v>
      </c>
      <c r="I1309" s="455">
        <f t="shared" ca="1" si="110"/>
        <v>-95879010.85275583</v>
      </c>
      <c r="J1309" s="455">
        <f t="array" ref="J1309">IFERROR(INDEX('Retirement Calculator'!K:K,MATCH('Lorri 401b'!N1309,'Retirement Calculator'!A:A,0),0),0)</f>
        <v>0</v>
      </c>
      <c r="K1309" s="455">
        <f t="shared" ca="1" si="108"/>
        <v>-399495.87855314929</v>
      </c>
      <c r="L1309" s="455">
        <f t="shared" ca="1" si="109"/>
        <v>-96278506.731308982</v>
      </c>
      <c r="M1309" s="471">
        <f t="shared" si="111"/>
        <v>0.05</v>
      </c>
      <c r="N1309" s="475">
        <f t="shared" si="112"/>
        <v>90887</v>
      </c>
    </row>
    <row r="1310" spans="7:14" ht="11.25" customHeight="1" x14ac:dyDescent="0.3">
      <c r="G1310" s="470"/>
      <c r="H1310" s="470">
        <v>1303</v>
      </c>
      <c r="I1310" s="455">
        <f t="shared" ca="1" si="110"/>
        <v>-96278506.731308982</v>
      </c>
      <c r="J1310" s="455">
        <f t="array" ref="J1310">IFERROR(INDEX('Retirement Calculator'!K:K,MATCH('Lorri 401b'!N1310,'Retirement Calculator'!A:A,0),0),0)</f>
        <v>0</v>
      </c>
      <c r="K1310" s="455">
        <f t="shared" ca="1" si="108"/>
        <v>-401160.44471378741</v>
      </c>
      <c r="L1310" s="455">
        <f t="shared" ca="1" si="109"/>
        <v>-96679667.176022768</v>
      </c>
      <c r="M1310" s="471">
        <f t="shared" si="111"/>
        <v>0.05</v>
      </c>
      <c r="N1310" s="475">
        <f t="shared" si="112"/>
        <v>90917</v>
      </c>
    </row>
    <row r="1311" spans="7:14" ht="11.25" customHeight="1" x14ac:dyDescent="0.3">
      <c r="G1311" s="470"/>
      <c r="H1311" s="470">
        <v>1304</v>
      </c>
      <c r="I1311" s="455">
        <f t="shared" ca="1" si="110"/>
        <v>-96679667.176022768</v>
      </c>
      <c r="J1311" s="455">
        <f t="array" ref="J1311">IFERROR(INDEX('Retirement Calculator'!K:K,MATCH('Lorri 401b'!N1311,'Retirement Calculator'!A:A,0),0),0)</f>
        <v>0</v>
      </c>
      <c r="K1311" s="455">
        <f t="shared" ca="1" si="108"/>
        <v>-402831.94656676153</v>
      </c>
      <c r="L1311" s="455">
        <f t="shared" ca="1" si="109"/>
        <v>-97082499.122589529</v>
      </c>
      <c r="M1311" s="471">
        <f t="shared" si="111"/>
        <v>0.05</v>
      </c>
      <c r="N1311" s="475">
        <f t="shared" si="112"/>
        <v>90948</v>
      </c>
    </row>
    <row r="1312" spans="7:14" ht="11.25" customHeight="1" x14ac:dyDescent="0.3">
      <c r="G1312" s="470"/>
      <c r="H1312" s="470">
        <v>1305</v>
      </c>
      <c r="I1312" s="455">
        <f t="shared" ca="1" si="110"/>
        <v>-97082499.122589529</v>
      </c>
      <c r="J1312" s="455">
        <f t="array" ref="J1312">IFERROR(INDEX('Retirement Calculator'!K:K,MATCH('Lorri 401b'!N1312,'Retirement Calculator'!A:A,0),0),0)</f>
        <v>0</v>
      </c>
      <c r="K1312" s="455">
        <f t="shared" ca="1" si="108"/>
        <v>-404510.41301078972</v>
      </c>
      <c r="L1312" s="455">
        <f t="shared" ca="1" si="109"/>
        <v>-97487009.53560032</v>
      </c>
      <c r="M1312" s="471">
        <f t="shared" si="111"/>
        <v>0.05</v>
      </c>
      <c r="N1312" s="475">
        <f t="shared" si="112"/>
        <v>90979</v>
      </c>
    </row>
    <row r="1313" spans="7:14" ht="11.25" customHeight="1" x14ac:dyDescent="0.3">
      <c r="G1313" s="470"/>
      <c r="H1313" s="470">
        <v>1306</v>
      </c>
      <c r="I1313" s="455">
        <f t="shared" ca="1" si="110"/>
        <v>-97487009.53560032</v>
      </c>
      <c r="J1313" s="455">
        <f t="array" ref="J1313">IFERROR(INDEX('Retirement Calculator'!K:K,MATCH('Lorri 401b'!N1313,'Retirement Calculator'!A:A,0),0),0)</f>
        <v>0</v>
      </c>
      <c r="K1313" s="455">
        <f t="shared" ca="1" si="108"/>
        <v>-406195.87306500133</v>
      </c>
      <c r="L1313" s="455">
        <f t="shared" ca="1" si="109"/>
        <v>-97893205.408665314</v>
      </c>
      <c r="M1313" s="471">
        <f t="shared" si="111"/>
        <v>0.05</v>
      </c>
      <c r="N1313" s="475">
        <f t="shared" si="112"/>
        <v>91007</v>
      </c>
    </row>
    <row r="1314" spans="7:14" ht="11.25" customHeight="1" x14ac:dyDescent="0.3">
      <c r="G1314" s="470"/>
      <c r="H1314" s="470">
        <v>1307</v>
      </c>
      <c r="I1314" s="455">
        <f t="shared" ca="1" si="110"/>
        <v>-97893205.408665314</v>
      </c>
      <c r="J1314" s="455">
        <f t="array" ref="J1314">IFERROR(INDEX('Retirement Calculator'!K:K,MATCH('Lorri 401b'!N1314,'Retirement Calculator'!A:A,0),0),0)</f>
        <v>0</v>
      </c>
      <c r="K1314" s="455">
        <f t="shared" ca="1" si="108"/>
        <v>-407888.35586943879</v>
      </c>
      <c r="L1314" s="455">
        <f t="shared" ca="1" si="109"/>
        <v>-98301093.764534757</v>
      </c>
      <c r="M1314" s="471">
        <f t="shared" si="111"/>
        <v>0.05</v>
      </c>
      <c r="N1314" s="475">
        <f t="shared" si="112"/>
        <v>91038</v>
      </c>
    </row>
    <row r="1315" spans="7:14" ht="11.25" customHeight="1" x14ac:dyDescent="0.3">
      <c r="G1315" s="470"/>
      <c r="H1315" s="470">
        <v>1308</v>
      </c>
      <c r="I1315" s="455">
        <f t="shared" ca="1" si="110"/>
        <v>-98301093.764534757</v>
      </c>
      <c r="J1315" s="455">
        <f t="array" ref="J1315">IFERROR(INDEX('Retirement Calculator'!K:K,MATCH('Lorri 401b'!N1315,'Retirement Calculator'!A:A,0),0),0)</f>
        <v>0</v>
      </c>
      <c r="K1315" s="455">
        <f t="shared" ca="1" si="108"/>
        <v>-409587.89068556146</v>
      </c>
      <c r="L1315" s="455">
        <f t="shared" ca="1" si="109"/>
        <v>-98710681.655220315</v>
      </c>
      <c r="M1315" s="471">
        <f t="shared" si="111"/>
        <v>0.05</v>
      </c>
      <c r="N1315" s="475">
        <f t="shared" si="112"/>
        <v>91068</v>
      </c>
    </row>
    <row r="1316" spans="7:14" ht="11.25" customHeight="1" x14ac:dyDescent="0.3">
      <c r="G1316" s="470"/>
      <c r="H1316" s="470">
        <v>1309</v>
      </c>
      <c r="I1316" s="455">
        <f t="shared" ca="1" si="110"/>
        <v>-98710681.655220315</v>
      </c>
      <c r="J1316" s="455">
        <f t="array" ref="J1316">IFERROR(INDEX('Retirement Calculator'!K:K,MATCH('Lorri 401b'!N1316,'Retirement Calculator'!A:A,0),0),0)</f>
        <v>0</v>
      </c>
      <c r="K1316" s="455">
        <f t="shared" ca="1" si="108"/>
        <v>-411294.50689675129</v>
      </c>
      <c r="L1316" s="455">
        <f t="shared" ca="1" si="109"/>
        <v>-99121976.162117064</v>
      </c>
      <c r="M1316" s="471">
        <f t="shared" si="111"/>
        <v>0.05</v>
      </c>
      <c r="N1316" s="475">
        <f t="shared" si="112"/>
        <v>91099</v>
      </c>
    </row>
    <row r="1317" spans="7:14" ht="11.25" customHeight="1" x14ac:dyDescent="0.3">
      <c r="G1317" s="470"/>
      <c r="H1317" s="470">
        <v>1310</v>
      </c>
      <c r="I1317" s="455">
        <f t="shared" ca="1" si="110"/>
        <v>-99121976.162117064</v>
      </c>
      <c r="J1317" s="455">
        <f t="array" ref="J1317">IFERROR(INDEX('Retirement Calculator'!K:K,MATCH('Lorri 401b'!N1317,'Retirement Calculator'!A:A,0),0),0)</f>
        <v>0</v>
      </c>
      <c r="K1317" s="455">
        <f t="shared" ca="1" si="108"/>
        <v>-413008.23400882108</v>
      </c>
      <c r="L1317" s="455">
        <f t="shared" ca="1" si="109"/>
        <v>-99534984.396125883</v>
      </c>
      <c r="M1317" s="471">
        <f t="shared" si="111"/>
        <v>0.05</v>
      </c>
      <c r="N1317" s="475">
        <f t="shared" si="112"/>
        <v>91129</v>
      </c>
    </row>
    <row r="1318" spans="7:14" ht="11.25" customHeight="1" x14ac:dyDescent="0.3">
      <c r="G1318" s="470"/>
      <c r="H1318" s="470">
        <v>1311</v>
      </c>
      <c r="I1318" s="455">
        <f t="shared" ca="1" si="110"/>
        <v>-99534984.396125883</v>
      </c>
      <c r="J1318" s="455">
        <f t="array" ref="J1318">IFERROR(INDEX('Retirement Calculator'!K:K,MATCH('Lorri 401b'!N1318,'Retirement Calculator'!A:A,0),0),0)</f>
        <v>0</v>
      </c>
      <c r="K1318" s="455">
        <f t="shared" ca="1" si="108"/>
        <v>-414729.10165052454</v>
      </c>
      <c r="L1318" s="455">
        <f t="shared" ca="1" si="109"/>
        <v>-99949713.497776404</v>
      </c>
      <c r="M1318" s="471">
        <f t="shared" si="111"/>
        <v>0.05</v>
      </c>
      <c r="N1318" s="475">
        <f t="shared" si="112"/>
        <v>91160</v>
      </c>
    </row>
    <row r="1319" spans="7:14" ht="11.25" customHeight="1" x14ac:dyDescent="0.3">
      <c r="G1319" s="470"/>
      <c r="H1319" s="470">
        <v>1312</v>
      </c>
      <c r="I1319" s="455">
        <f t="shared" ca="1" si="110"/>
        <v>-99949713.497776404</v>
      </c>
      <c r="J1319" s="455">
        <f t="array" ref="J1319">IFERROR(INDEX('Retirement Calculator'!K:K,MATCH('Lorri 401b'!N1319,'Retirement Calculator'!A:A,0),0),0)</f>
        <v>0</v>
      </c>
      <c r="K1319" s="455">
        <f t="shared" ca="1" si="108"/>
        <v>-416457.13957406837</v>
      </c>
      <c r="L1319" s="455">
        <f t="shared" ca="1" si="109"/>
        <v>-100366170.63735047</v>
      </c>
      <c r="M1319" s="471">
        <f t="shared" si="111"/>
        <v>0.05</v>
      </c>
      <c r="N1319" s="475">
        <f t="shared" si="112"/>
        <v>91191</v>
      </c>
    </row>
    <row r="1320" spans="7:14" ht="11.25" customHeight="1" x14ac:dyDescent="0.3">
      <c r="G1320" s="470"/>
      <c r="H1320" s="470">
        <v>1313</v>
      </c>
      <c r="I1320" s="455">
        <f t="shared" ca="1" si="110"/>
        <v>-100366170.63735047</v>
      </c>
      <c r="J1320" s="455">
        <f t="array" ref="J1320">IFERROR(INDEX('Retirement Calculator'!K:K,MATCH('Lorri 401b'!N1320,'Retirement Calculator'!A:A,0),0),0)</f>
        <v>0</v>
      </c>
      <c r="K1320" s="455">
        <f t="shared" ca="1" si="108"/>
        <v>-418192.37765562697</v>
      </c>
      <c r="L1320" s="455">
        <f t="shared" ca="1" si="109"/>
        <v>-100784363.0150061</v>
      </c>
      <c r="M1320" s="471">
        <f t="shared" si="111"/>
        <v>0.05</v>
      </c>
      <c r="N1320" s="475">
        <f t="shared" si="112"/>
        <v>91221</v>
      </c>
    </row>
    <row r="1321" spans="7:14" ht="11.25" customHeight="1" x14ac:dyDescent="0.3">
      <c r="G1321" s="470"/>
      <c r="H1321" s="470">
        <v>1314</v>
      </c>
      <c r="I1321" s="455">
        <f t="shared" ca="1" si="110"/>
        <v>-100784363.0150061</v>
      </c>
      <c r="J1321" s="455">
        <f t="array" ref="J1321">IFERROR(INDEX('Retirement Calculator'!K:K,MATCH('Lorri 401b'!N1321,'Retirement Calculator'!A:A,0),0),0)</f>
        <v>0</v>
      </c>
      <c r="K1321" s="455">
        <f t="shared" ca="1" si="108"/>
        <v>-419934.84589585871</v>
      </c>
      <c r="L1321" s="455">
        <f t="shared" ca="1" si="109"/>
        <v>-101204297.86090195</v>
      </c>
      <c r="M1321" s="471">
        <f t="shared" si="111"/>
        <v>0.05</v>
      </c>
      <c r="N1321" s="475">
        <f t="shared" si="112"/>
        <v>91252</v>
      </c>
    </row>
    <row r="1322" spans="7:14" ht="11.25" customHeight="1" x14ac:dyDescent="0.3">
      <c r="G1322" s="470"/>
      <c r="H1322" s="470">
        <v>1315</v>
      </c>
      <c r="I1322" s="455">
        <f t="shared" ca="1" si="110"/>
        <v>-101204297.86090195</v>
      </c>
      <c r="J1322" s="455">
        <f t="array" ref="J1322">IFERROR(INDEX('Retirement Calculator'!K:K,MATCH('Lorri 401b'!N1322,'Retirement Calculator'!A:A,0),0),0)</f>
        <v>0</v>
      </c>
      <c r="K1322" s="455">
        <f t="shared" ca="1" si="108"/>
        <v>-421684.57442042482</v>
      </c>
      <c r="L1322" s="455">
        <f t="shared" ca="1" si="109"/>
        <v>-101625982.43532237</v>
      </c>
      <c r="M1322" s="471">
        <f t="shared" si="111"/>
        <v>0.05</v>
      </c>
      <c r="N1322" s="475">
        <f t="shared" si="112"/>
        <v>91282</v>
      </c>
    </row>
    <row r="1323" spans="7:14" ht="11.25" customHeight="1" x14ac:dyDescent="0.3">
      <c r="G1323" s="470"/>
      <c r="H1323" s="470">
        <v>1316</v>
      </c>
      <c r="I1323" s="455">
        <f t="shared" ca="1" si="110"/>
        <v>-101625982.43532237</v>
      </c>
      <c r="J1323" s="455">
        <f t="array" ref="J1323">IFERROR(INDEX('Retirement Calculator'!K:K,MATCH('Lorri 401b'!N1323,'Retirement Calculator'!A:A,0),0),0)</f>
        <v>0</v>
      </c>
      <c r="K1323" s="455">
        <f t="shared" ca="1" si="108"/>
        <v>-423441.59348050988</v>
      </c>
      <c r="L1323" s="455">
        <f t="shared" ca="1" si="109"/>
        <v>-102049424.02880289</v>
      </c>
      <c r="M1323" s="471">
        <f t="shared" si="111"/>
        <v>0.05</v>
      </c>
      <c r="N1323" s="475">
        <f t="shared" si="112"/>
        <v>91313</v>
      </c>
    </row>
    <row r="1324" spans="7:14" ht="11.25" customHeight="1" x14ac:dyDescent="0.3">
      <c r="G1324" s="470"/>
      <c r="H1324" s="470">
        <v>1317</v>
      </c>
      <c r="I1324" s="455">
        <f t="shared" ca="1" si="110"/>
        <v>-102049424.02880289</v>
      </c>
      <c r="J1324" s="455">
        <f t="array" ref="J1324">IFERROR(INDEX('Retirement Calculator'!K:K,MATCH('Lorri 401b'!N1324,'Retirement Calculator'!A:A,0),0),0)</f>
        <v>0</v>
      </c>
      <c r="K1324" s="455">
        <f t="shared" ca="1" si="108"/>
        <v>-425205.93345334538</v>
      </c>
      <c r="L1324" s="455">
        <f t="shared" ca="1" si="109"/>
        <v>-102474629.96225624</v>
      </c>
      <c r="M1324" s="471">
        <f t="shared" si="111"/>
        <v>0.05</v>
      </c>
      <c r="N1324" s="475">
        <f t="shared" si="112"/>
        <v>91344</v>
      </c>
    </row>
    <row r="1325" spans="7:14" ht="11.25" customHeight="1" x14ac:dyDescent="0.3">
      <c r="G1325" s="470"/>
      <c r="H1325" s="470">
        <v>1318</v>
      </c>
      <c r="I1325" s="455">
        <f t="shared" ca="1" si="110"/>
        <v>-102474629.96225624</v>
      </c>
      <c r="J1325" s="455">
        <f t="array" ref="J1325">IFERROR(INDEX('Retirement Calculator'!K:K,MATCH('Lorri 401b'!N1325,'Retirement Calculator'!A:A,0),0),0)</f>
        <v>0</v>
      </c>
      <c r="K1325" s="455">
        <f t="shared" ca="1" si="108"/>
        <v>-426977.62484273431</v>
      </c>
      <c r="L1325" s="455">
        <f t="shared" ca="1" si="109"/>
        <v>-102901607.58709897</v>
      </c>
      <c r="M1325" s="471">
        <f t="shared" si="111"/>
        <v>0.05</v>
      </c>
      <c r="N1325" s="475">
        <f t="shared" si="112"/>
        <v>91372</v>
      </c>
    </row>
    <row r="1326" spans="7:14" ht="11.25" customHeight="1" x14ac:dyDescent="0.3">
      <c r="G1326" s="470"/>
      <c r="H1326" s="470">
        <v>1319</v>
      </c>
      <c r="I1326" s="455">
        <f t="shared" ca="1" si="110"/>
        <v>-102901607.58709897</v>
      </c>
      <c r="J1326" s="455">
        <f t="array" ref="J1326">IFERROR(INDEX('Retirement Calculator'!K:K,MATCH('Lorri 401b'!N1326,'Retirement Calculator'!A:A,0),0),0)</f>
        <v>0</v>
      </c>
      <c r="K1326" s="455">
        <f t="shared" ca="1" si="108"/>
        <v>-428756.69827957905</v>
      </c>
      <c r="L1326" s="455">
        <f t="shared" ca="1" si="109"/>
        <v>-103330364.28537855</v>
      </c>
      <c r="M1326" s="471">
        <f t="shared" si="111"/>
        <v>0.05</v>
      </c>
      <c r="N1326" s="475">
        <f t="shared" si="112"/>
        <v>91403</v>
      </c>
    </row>
    <row r="1327" spans="7:14" ht="11.25" customHeight="1" x14ac:dyDescent="0.3">
      <c r="G1327" s="470"/>
      <c r="H1327" s="470">
        <v>1320</v>
      </c>
      <c r="I1327" s="455">
        <f t="shared" ca="1" si="110"/>
        <v>-103330364.28537855</v>
      </c>
      <c r="J1327" s="455">
        <f t="array" ref="J1327">IFERROR(INDEX('Retirement Calculator'!K:K,MATCH('Lorri 401b'!N1327,'Retirement Calculator'!A:A,0),0),0)</f>
        <v>0</v>
      </c>
      <c r="K1327" s="455">
        <f t="shared" ca="1" si="108"/>
        <v>-430543.18452241062</v>
      </c>
      <c r="L1327" s="455">
        <f t="shared" ca="1" si="109"/>
        <v>-103760907.46990095</v>
      </c>
      <c r="M1327" s="471">
        <f t="shared" si="111"/>
        <v>0.05</v>
      </c>
      <c r="N1327" s="475">
        <f t="shared" si="112"/>
        <v>91433</v>
      </c>
    </row>
    <row r="1328" spans="7:14" ht="11.25" customHeight="1" x14ac:dyDescent="0.3">
      <c r="G1328" s="470"/>
      <c r="H1328" s="470">
        <v>1321</v>
      </c>
      <c r="I1328" s="455">
        <f t="shared" ca="1" si="110"/>
        <v>-103760907.46990095</v>
      </c>
      <c r="J1328" s="455">
        <f t="array" ref="J1328">IFERROR(INDEX('Retirement Calculator'!K:K,MATCH('Lorri 401b'!N1328,'Retirement Calculator'!A:A,0),0),0)</f>
        <v>0</v>
      </c>
      <c r="K1328" s="455">
        <f t="shared" ca="1" si="108"/>
        <v>-432337.1144579206</v>
      </c>
      <c r="L1328" s="455">
        <f t="shared" ca="1" si="109"/>
        <v>-104193244.58435887</v>
      </c>
      <c r="M1328" s="471">
        <f t="shared" si="111"/>
        <v>0.05</v>
      </c>
      <c r="N1328" s="475">
        <f t="shared" si="112"/>
        <v>91464</v>
      </c>
    </row>
    <row r="1329" spans="7:14" ht="11.25" customHeight="1" x14ac:dyDescent="0.3">
      <c r="G1329" s="470"/>
      <c r="H1329" s="470">
        <v>1322</v>
      </c>
      <c r="I1329" s="455">
        <f t="shared" ca="1" si="110"/>
        <v>-104193244.58435887</v>
      </c>
      <c r="J1329" s="455">
        <f t="array" ref="J1329">IFERROR(INDEX('Retirement Calculator'!K:K,MATCH('Lorri 401b'!N1329,'Retirement Calculator'!A:A,0),0),0)</f>
        <v>0</v>
      </c>
      <c r="K1329" s="455">
        <f t="shared" ca="1" si="108"/>
        <v>-434138.51910149527</v>
      </c>
      <c r="L1329" s="455">
        <f t="shared" ca="1" si="109"/>
        <v>-104627383.10346037</v>
      </c>
      <c r="M1329" s="471">
        <f t="shared" si="111"/>
        <v>0.05</v>
      </c>
      <c r="N1329" s="475">
        <f t="shared" si="112"/>
        <v>91494</v>
      </c>
    </row>
    <row r="1330" spans="7:14" ht="11.25" customHeight="1" x14ac:dyDescent="0.3">
      <c r="G1330" s="470"/>
      <c r="H1330" s="470">
        <v>1323</v>
      </c>
      <c r="I1330" s="455">
        <f t="shared" ca="1" si="110"/>
        <v>-104627383.10346037</v>
      </c>
      <c r="J1330" s="455">
        <f t="array" ref="J1330">IFERROR(INDEX('Retirement Calculator'!K:K,MATCH('Lorri 401b'!N1330,'Retirement Calculator'!A:A,0),0),0)</f>
        <v>0</v>
      </c>
      <c r="K1330" s="455">
        <f t="shared" ca="1" si="108"/>
        <v>-435947.42959775153</v>
      </c>
      <c r="L1330" s="455">
        <f t="shared" ca="1" si="109"/>
        <v>-105063330.53305812</v>
      </c>
      <c r="M1330" s="471">
        <f t="shared" si="111"/>
        <v>0.05</v>
      </c>
      <c r="N1330" s="475">
        <f t="shared" si="112"/>
        <v>91525</v>
      </c>
    </row>
    <row r="1331" spans="7:14" ht="11.25" customHeight="1" x14ac:dyDescent="0.3">
      <c r="G1331" s="470"/>
      <c r="H1331" s="470">
        <v>1324</v>
      </c>
      <c r="I1331" s="455">
        <f t="shared" ca="1" si="110"/>
        <v>-105063330.53305812</v>
      </c>
      <c r="J1331" s="455">
        <f t="array" ref="J1331">IFERROR(INDEX('Retirement Calculator'!K:K,MATCH('Lorri 401b'!N1331,'Retirement Calculator'!A:A,0),0),0)</f>
        <v>0</v>
      </c>
      <c r="K1331" s="455">
        <f t="shared" ca="1" si="108"/>
        <v>-437763.87722107553</v>
      </c>
      <c r="L1331" s="455">
        <f t="shared" ca="1" si="109"/>
        <v>-105501094.4102792</v>
      </c>
      <c r="M1331" s="471">
        <f t="shared" si="111"/>
        <v>0.05</v>
      </c>
      <c r="N1331" s="475">
        <f t="shared" si="112"/>
        <v>91556</v>
      </c>
    </row>
    <row r="1332" spans="7:14" ht="11.25" customHeight="1" x14ac:dyDescent="0.3">
      <c r="G1332" s="470"/>
      <c r="H1332" s="470">
        <v>1325</v>
      </c>
      <c r="I1332" s="455">
        <f t="shared" ca="1" si="110"/>
        <v>-105501094.4102792</v>
      </c>
      <c r="J1332" s="455">
        <f t="array" ref="J1332">IFERROR(INDEX('Retirement Calculator'!K:K,MATCH('Lorri 401b'!N1332,'Retirement Calculator'!A:A,0),0),0)</f>
        <v>0</v>
      </c>
      <c r="K1332" s="455">
        <f t="shared" ca="1" si="108"/>
        <v>-439587.89337616327</v>
      </c>
      <c r="L1332" s="455">
        <f t="shared" ca="1" si="109"/>
        <v>-105940682.30365536</v>
      </c>
      <c r="M1332" s="471">
        <f t="shared" si="111"/>
        <v>0.05</v>
      </c>
      <c r="N1332" s="475">
        <f t="shared" si="112"/>
        <v>91586</v>
      </c>
    </row>
    <row r="1333" spans="7:14" ht="11.25" customHeight="1" x14ac:dyDescent="0.3">
      <c r="G1333" s="470"/>
      <c r="H1333" s="470">
        <v>1326</v>
      </c>
      <c r="I1333" s="455">
        <f t="shared" ca="1" si="110"/>
        <v>-105940682.30365536</v>
      </c>
      <c r="J1333" s="455">
        <f t="array" ref="J1333">IFERROR(INDEX('Retirement Calculator'!K:K,MATCH('Lorri 401b'!N1333,'Retirement Calculator'!A:A,0),0),0)</f>
        <v>0</v>
      </c>
      <c r="K1333" s="455">
        <f t="shared" ca="1" si="108"/>
        <v>-441419.50959856407</v>
      </c>
      <c r="L1333" s="455">
        <f t="shared" ca="1" si="109"/>
        <v>-106382101.81325392</v>
      </c>
      <c r="M1333" s="471">
        <f t="shared" si="111"/>
        <v>0.05</v>
      </c>
      <c r="N1333" s="475">
        <f t="shared" si="112"/>
        <v>91617</v>
      </c>
    </row>
    <row r="1334" spans="7:14" ht="11.25" customHeight="1" x14ac:dyDescent="0.3">
      <c r="G1334" s="470"/>
      <c r="H1334" s="470">
        <v>1327</v>
      </c>
      <c r="I1334" s="455">
        <f t="shared" ca="1" si="110"/>
        <v>-106382101.81325392</v>
      </c>
      <c r="J1334" s="455">
        <f t="array" ref="J1334">IFERROR(INDEX('Retirement Calculator'!K:K,MATCH('Lorri 401b'!N1334,'Retirement Calculator'!A:A,0),0),0)</f>
        <v>0</v>
      </c>
      <c r="K1334" s="455">
        <f t="shared" ca="1" si="108"/>
        <v>-443258.7575552247</v>
      </c>
      <c r="L1334" s="455">
        <f t="shared" ca="1" si="109"/>
        <v>-106825360.57080916</v>
      </c>
      <c r="M1334" s="471">
        <f t="shared" si="111"/>
        <v>0.05</v>
      </c>
      <c r="N1334" s="475">
        <f t="shared" si="112"/>
        <v>91647</v>
      </c>
    </row>
    <row r="1335" spans="7:14" ht="11.25" customHeight="1" x14ac:dyDescent="0.3">
      <c r="G1335" s="470"/>
      <c r="H1335" s="470">
        <v>1328</v>
      </c>
      <c r="I1335" s="455">
        <f t="shared" ca="1" si="110"/>
        <v>-106825360.57080916</v>
      </c>
      <c r="J1335" s="455">
        <f t="array" ref="J1335">IFERROR(INDEX('Retirement Calculator'!K:K,MATCH('Lorri 401b'!N1335,'Retirement Calculator'!A:A,0),0),0)</f>
        <v>0</v>
      </c>
      <c r="K1335" s="455">
        <f t="shared" ca="1" si="108"/>
        <v>-445105.66904503823</v>
      </c>
      <c r="L1335" s="455">
        <f t="shared" ca="1" si="109"/>
        <v>-107270466.23985419</v>
      </c>
      <c r="M1335" s="471">
        <f t="shared" si="111"/>
        <v>0.05</v>
      </c>
      <c r="N1335" s="475">
        <f t="shared" si="112"/>
        <v>91678</v>
      </c>
    </row>
    <row r="1336" spans="7:14" ht="11.25" customHeight="1" x14ac:dyDescent="0.3">
      <c r="G1336" s="470"/>
      <c r="H1336" s="470">
        <v>1329</v>
      </c>
      <c r="I1336" s="455">
        <f t="shared" ca="1" si="110"/>
        <v>-107270466.23985419</v>
      </c>
      <c r="J1336" s="455">
        <f t="array" ref="J1336">IFERROR(INDEX('Retirement Calculator'!K:K,MATCH('Lorri 401b'!N1336,'Retirement Calculator'!A:A,0),0),0)</f>
        <v>0</v>
      </c>
      <c r="K1336" s="455">
        <f t="shared" ca="1" si="108"/>
        <v>-446960.27599939244</v>
      </c>
      <c r="L1336" s="455">
        <f t="shared" ca="1" si="109"/>
        <v>-107717426.51585358</v>
      </c>
      <c r="M1336" s="471">
        <f t="shared" si="111"/>
        <v>0.05</v>
      </c>
      <c r="N1336" s="475">
        <f t="shared" si="112"/>
        <v>91709</v>
      </c>
    </row>
    <row r="1337" spans="7:14" ht="11.25" customHeight="1" x14ac:dyDescent="0.3">
      <c r="G1337" s="470"/>
      <c r="H1337" s="470">
        <v>1330</v>
      </c>
      <c r="I1337" s="455">
        <f t="shared" ca="1" si="110"/>
        <v>-107717426.51585358</v>
      </c>
      <c r="J1337" s="455">
        <f t="array" ref="J1337">IFERROR(INDEX('Retirement Calculator'!K:K,MATCH('Lorri 401b'!N1337,'Retirement Calculator'!A:A,0),0),0)</f>
        <v>0</v>
      </c>
      <c r="K1337" s="455">
        <f t="shared" ca="1" si="108"/>
        <v>-448822.61048272328</v>
      </c>
      <c r="L1337" s="455">
        <f t="shared" ca="1" si="109"/>
        <v>-108166249.12633631</v>
      </c>
      <c r="M1337" s="471">
        <f t="shared" si="111"/>
        <v>0.05</v>
      </c>
      <c r="N1337" s="475">
        <f t="shared" si="112"/>
        <v>91737</v>
      </c>
    </row>
    <row r="1338" spans="7:14" ht="11.25" customHeight="1" x14ac:dyDescent="0.3">
      <c r="G1338" s="470"/>
      <c r="H1338" s="470">
        <v>1331</v>
      </c>
      <c r="I1338" s="455">
        <f t="shared" ca="1" si="110"/>
        <v>-108166249.12633631</v>
      </c>
      <c r="J1338" s="455">
        <f t="array" ref="J1338">IFERROR(INDEX('Retirement Calculator'!K:K,MATCH('Lorri 401b'!N1338,'Retirement Calculator'!A:A,0),0),0)</f>
        <v>0</v>
      </c>
      <c r="K1338" s="455">
        <f t="shared" ca="1" si="108"/>
        <v>-450692.70469306794</v>
      </c>
      <c r="L1338" s="455">
        <f t="shared" ca="1" si="109"/>
        <v>-108616941.83102937</v>
      </c>
      <c r="M1338" s="471">
        <f t="shared" si="111"/>
        <v>0.05</v>
      </c>
      <c r="N1338" s="475">
        <f t="shared" si="112"/>
        <v>91768</v>
      </c>
    </row>
    <row r="1339" spans="7:14" ht="11.25" customHeight="1" x14ac:dyDescent="0.3">
      <c r="G1339" s="470"/>
      <c r="H1339" s="470">
        <v>1332</v>
      </c>
      <c r="I1339" s="455">
        <f t="shared" ca="1" si="110"/>
        <v>-108616941.83102937</v>
      </c>
      <c r="J1339" s="455">
        <f t="array" ref="J1339">IFERROR(INDEX('Retirement Calculator'!K:K,MATCH('Lorri 401b'!N1339,'Retirement Calculator'!A:A,0),0),0)</f>
        <v>0</v>
      </c>
      <c r="K1339" s="455">
        <f t="shared" ca="1" si="108"/>
        <v>-452570.59096262231</v>
      </c>
      <c r="L1339" s="455">
        <f t="shared" ca="1" si="109"/>
        <v>-109069512.42199199</v>
      </c>
      <c r="M1339" s="471">
        <f t="shared" si="111"/>
        <v>0.05</v>
      </c>
      <c r="N1339" s="475">
        <f t="shared" si="112"/>
        <v>91798</v>
      </c>
    </row>
    <row r="1340" spans="7:14" ht="11.25" customHeight="1" x14ac:dyDescent="0.3">
      <c r="G1340" s="470"/>
      <c r="H1340" s="470">
        <v>1333</v>
      </c>
      <c r="I1340" s="455">
        <f t="shared" ca="1" si="110"/>
        <v>-109069512.42199199</v>
      </c>
      <c r="J1340" s="455">
        <f t="array" ref="J1340">IFERROR(INDEX('Retirement Calculator'!K:K,MATCH('Lorri 401b'!N1340,'Retirement Calculator'!A:A,0),0),0)</f>
        <v>0</v>
      </c>
      <c r="K1340" s="455">
        <f t="shared" ca="1" si="108"/>
        <v>-454456.30175829993</v>
      </c>
      <c r="L1340" s="455">
        <f t="shared" ca="1" si="109"/>
        <v>-109523968.72375029</v>
      </c>
      <c r="M1340" s="471">
        <f t="shared" si="111"/>
        <v>0.05</v>
      </c>
      <c r="N1340" s="475">
        <f t="shared" si="112"/>
        <v>91829</v>
      </c>
    </row>
    <row r="1341" spans="7:14" ht="11.25" customHeight="1" x14ac:dyDescent="0.3">
      <c r="G1341" s="470"/>
      <c r="H1341" s="470">
        <v>1334</v>
      </c>
      <c r="I1341" s="455">
        <f t="shared" ca="1" si="110"/>
        <v>-109523968.72375029</v>
      </c>
      <c r="J1341" s="455">
        <f t="array" ref="J1341">IFERROR(INDEX('Retirement Calculator'!K:K,MATCH('Lorri 401b'!N1341,'Retirement Calculator'!A:A,0),0),0)</f>
        <v>0</v>
      </c>
      <c r="K1341" s="455">
        <f t="shared" ca="1" si="108"/>
        <v>-456349.86968229286</v>
      </c>
      <c r="L1341" s="455">
        <f t="shared" ca="1" si="109"/>
        <v>-109980318.59343259</v>
      </c>
      <c r="M1341" s="471">
        <f t="shared" si="111"/>
        <v>0.05</v>
      </c>
      <c r="N1341" s="475">
        <f t="shared" si="112"/>
        <v>91859</v>
      </c>
    </row>
    <row r="1342" spans="7:14" ht="11.25" customHeight="1" x14ac:dyDescent="0.3">
      <c r="G1342" s="470"/>
      <c r="H1342" s="470">
        <v>1335</v>
      </c>
      <c r="I1342" s="455">
        <f t="shared" ca="1" si="110"/>
        <v>-109980318.59343259</v>
      </c>
      <c r="J1342" s="455">
        <f t="array" ref="J1342">IFERROR(INDEX('Retirement Calculator'!K:K,MATCH('Lorri 401b'!N1342,'Retirement Calculator'!A:A,0),0),0)</f>
        <v>0</v>
      </c>
      <c r="K1342" s="455">
        <f t="shared" ca="1" si="108"/>
        <v>-458251.32747263572</v>
      </c>
      <c r="L1342" s="455">
        <f t="shared" ca="1" si="109"/>
        <v>-110438569.92090523</v>
      </c>
      <c r="M1342" s="471">
        <f t="shared" si="111"/>
        <v>0.05</v>
      </c>
      <c r="N1342" s="475">
        <f t="shared" si="112"/>
        <v>91890</v>
      </c>
    </row>
    <row r="1343" spans="7:14" ht="11.25" customHeight="1" x14ac:dyDescent="0.3">
      <c r="G1343" s="470"/>
      <c r="H1343" s="470">
        <v>1336</v>
      </c>
      <c r="I1343" s="455">
        <f t="shared" ca="1" si="110"/>
        <v>-110438569.92090523</v>
      </c>
      <c r="J1343" s="455">
        <f t="array" ref="J1343">IFERROR(INDEX('Retirement Calculator'!K:K,MATCH('Lorri 401b'!N1343,'Retirement Calculator'!A:A,0),0),0)</f>
        <v>0</v>
      </c>
      <c r="K1343" s="455">
        <f t="shared" ca="1" si="108"/>
        <v>-460160.70800377178</v>
      </c>
      <c r="L1343" s="455">
        <f t="shared" ca="1" si="109"/>
        <v>-110898730.62890901</v>
      </c>
      <c r="M1343" s="471">
        <f t="shared" si="111"/>
        <v>0.05</v>
      </c>
      <c r="N1343" s="475">
        <f t="shared" si="112"/>
        <v>91921</v>
      </c>
    </row>
    <row r="1344" spans="7:14" ht="11.25" customHeight="1" x14ac:dyDescent="0.3">
      <c r="G1344" s="470"/>
      <c r="H1344" s="470">
        <v>1337</v>
      </c>
      <c r="I1344" s="455">
        <f t="shared" ca="1" si="110"/>
        <v>-110898730.62890901</v>
      </c>
      <c r="J1344" s="455">
        <f t="array" ref="J1344">IFERROR(INDEX('Retirement Calculator'!K:K,MATCH('Lorri 401b'!N1344,'Retirement Calculator'!A:A,0),0),0)</f>
        <v>0</v>
      </c>
      <c r="K1344" s="455">
        <f t="shared" ca="1" si="108"/>
        <v>-462078.04428712092</v>
      </c>
      <c r="L1344" s="455">
        <f t="shared" ca="1" si="109"/>
        <v>-111360808.67319612</v>
      </c>
      <c r="M1344" s="471">
        <f t="shared" si="111"/>
        <v>0.05</v>
      </c>
      <c r="N1344" s="475">
        <f t="shared" si="112"/>
        <v>91951</v>
      </c>
    </row>
    <row r="1345" spans="7:14" ht="11.25" customHeight="1" x14ac:dyDescent="0.3">
      <c r="G1345" s="470"/>
      <c r="H1345" s="470">
        <v>1338</v>
      </c>
      <c r="I1345" s="455">
        <f t="shared" ca="1" si="110"/>
        <v>-111360808.67319612</v>
      </c>
      <c r="J1345" s="455">
        <f t="array" ref="J1345">IFERROR(INDEX('Retirement Calculator'!K:K,MATCH('Lorri 401b'!N1345,'Retirement Calculator'!A:A,0),0),0)</f>
        <v>0</v>
      </c>
      <c r="K1345" s="455">
        <f t="shared" ca="1" si="108"/>
        <v>-464003.36947165057</v>
      </c>
      <c r="L1345" s="455">
        <f t="shared" ca="1" si="109"/>
        <v>-111824812.04266778</v>
      </c>
      <c r="M1345" s="471">
        <f t="shared" si="111"/>
        <v>0.05</v>
      </c>
      <c r="N1345" s="475">
        <f t="shared" si="112"/>
        <v>91982</v>
      </c>
    </row>
    <row r="1346" spans="7:14" ht="11.25" customHeight="1" x14ac:dyDescent="0.3">
      <c r="G1346" s="470"/>
      <c r="H1346" s="470">
        <v>1339</v>
      </c>
      <c r="I1346" s="455">
        <f t="shared" ca="1" si="110"/>
        <v>-111824812.04266778</v>
      </c>
      <c r="J1346" s="455">
        <f t="array" ref="J1346">IFERROR(INDEX('Retirement Calculator'!K:K,MATCH('Lorri 401b'!N1346,'Retirement Calculator'!A:A,0),0),0)</f>
        <v>0</v>
      </c>
      <c r="K1346" s="455">
        <f t="shared" ca="1" si="108"/>
        <v>-465936.71684444911</v>
      </c>
      <c r="L1346" s="455">
        <f t="shared" ca="1" si="109"/>
        <v>-112290748.75951223</v>
      </c>
      <c r="M1346" s="471">
        <f t="shared" si="111"/>
        <v>0.05</v>
      </c>
      <c r="N1346" s="475">
        <f t="shared" si="112"/>
        <v>92012</v>
      </c>
    </row>
    <row r="1347" spans="7:14" ht="11.25" customHeight="1" x14ac:dyDescent="0.3">
      <c r="G1347" s="470"/>
      <c r="H1347" s="470">
        <v>1340</v>
      </c>
      <c r="I1347" s="455">
        <f t="shared" ca="1" si="110"/>
        <v>-112290748.75951223</v>
      </c>
      <c r="J1347" s="455">
        <f t="array" ref="J1347">IFERROR(INDEX('Retirement Calculator'!K:K,MATCH('Lorri 401b'!N1347,'Retirement Calculator'!A:A,0),0),0)</f>
        <v>0</v>
      </c>
      <c r="K1347" s="455">
        <f t="shared" ca="1" si="108"/>
        <v>-467878.11983130104</v>
      </c>
      <c r="L1347" s="455">
        <f t="shared" ca="1" si="109"/>
        <v>-112758626.87934352</v>
      </c>
      <c r="M1347" s="471">
        <f t="shared" si="111"/>
        <v>0.05</v>
      </c>
      <c r="N1347" s="475">
        <f t="shared" si="112"/>
        <v>92043</v>
      </c>
    </row>
    <row r="1348" spans="7:14" ht="11.25" customHeight="1" x14ac:dyDescent="0.3">
      <c r="G1348" s="470"/>
      <c r="H1348" s="470">
        <v>1341</v>
      </c>
      <c r="I1348" s="455">
        <f t="shared" ca="1" si="110"/>
        <v>-112758626.87934352</v>
      </c>
      <c r="J1348" s="455">
        <f t="array" ref="J1348">IFERROR(INDEX('Retirement Calculator'!K:K,MATCH('Lorri 401b'!N1348,'Retirement Calculator'!A:A,0),0),0)</f>
        <v>0</v>
      </c>
      <c r="K1348" s="455">
        <f t="shared" ca="1" si="108"/>
        <v>-469827.61199726467</v>
      </c>
      <c r="L1348" s="455">
        <f t="shared" ca="1" si="109"/>
        <v>-113228454.49134079</v>
      </c>
      <c r="M1348" s="471">
        <f t="shared" si="111"/>
        <v>0.05</v>
      </c>
      <c r="N1348" s="475">
        <f t="shared" si="112"/>
        <v>92074</v>
      </c>
    </row>
    <row r="1349" spans="7:14" ht="11.25" customHeight="1" x14ac:dyDescent="0.3">
      <c r="G1349" s="470"/>
      <c r="H1349" s="470">
        <v>1342</v>
      </c>
      <c r="I1349" s="455">
        <f t="shared" ca="1" si="110"/>
        <v>-113228454.49134079</v>
      </c>
      <c r="J1349" s="455">
        <f t="array" ref="J1349">IFERROR(INDEX('Retirement Calculator'!K:K,MATCH('Lorri 401b'!N1349,'Retirement Calculator'!A:A,0),0),0)</f>
        <v>0</v>
      </c>
      <c r="K1349" s="455">
        <f t="shared" ca="1" si="108"/>
        <v>-471785.22704725328</v>
      </c>
      <c r="L1349" s="455">
        <f t="shared" ca="1" si="109"/>
        <v>-113700239.71838804</v>
      </c>
      <c r="M1349" s="471">
        <f t="shared" si="111"/>
        <v>0.05</v>
      </c>
      <c r="N1349" s="475">
        <f t="shared" si="112"/>
        <v>92103</v>
      </c>
    </row>
    <row r="1350" spans="7:14" ht="11.25" customHeight="1" x14ac:dyDescent="0.3">
      <c r="G1350" s="470"/>
      <c r="H1350" s="470">
        <v>1343</v>
      </c>
      <c r="I1350" s="455">
        <f t="shared" ca="1" si="110"/>
        <v>-113700239.71838804</v>
      </c>
      <c r="J1350" s="455">
        <f t="array" ref="J1350">IFERROR(INDEX('Retirement Calculator'!K:K,MATCH('Lorri 401b'!N1350,'Retirement Calculator'!A:A,0),0),0)</f>
        <v>0</v>
      </c>
      <c r="K1350" s="455">
        <f t="shared" ca="1" si="108"/>
        <v>-473750.99882661679</v>
      </c>
      <c r="L1350" s="455">
        <f t="shared" ca="1" si="109"/>
        <v>-114173990.71721466</v>
      </c>
      <c r="M1350" s="471">
        <f t="shared" si="111"/>
        <v>0.05</v>
      </c>
      <c r="N1350" s="475">
        <f t="shared" si="112"/>
        <v>92134</v>
      </c>
    </row>
    <row r="1351" spans="7:14" ht="11.25" customHeight="1" x14ac:dyDescent="0.3">
      <c r="G1351" s="470"/>
      <c r="H1351" s="470">
        <v>1344</v>
      </c>
      <c r="I1351" s="455">
        <f t="shared" ca="1" si="110"/>
        <v>-114173990.71721466</v>
      </c>
      <c r="J1351" s="455">
        <f t="array" ref="J1351">IFERROR(INDEX('Retirement Calculator'!K:K,MATCH('Lorri 401b'!N1351,'Retirement Calculator'!A:A,0),0),0)</f>
        <v>0</v>
      </c>
      <c r="K1351" s="455">
        <f t="shared" ca="1" si="108"/>
        <v>-475724.96132172772</v>
      </c>
      <c r="L1351" s="455">
        <f t="shared" ca="1" si="109"/>
        <v>-114649715.67853639</v>
      </c>
      <c r="M1351" s="471">
        <f t="shared" si="111"/>
        <v>0.05</v>
      </c>
      <c r="N1351" s="475">
        <f t="shared" si="112"/>
        <v>92164</v>
      </c>
    </row>
    <row r="1352" spans="7:14" ht="11.25" customHeight="1" x14ac:dyDescent="0.3">
      <c r="G1352" s="470"/>
      <c r="H1352" s="470">
        <v>1345</v>
      </c>
      <c r="I1352" s="455">
        <f t="shared" ca="1" si="110"/>
        <v>-114649715.67853639</v>
      </c>
      <c r="J1352" s="455">
        <f t="array" ref="J1352">IFERROR(INDEX('Retirement Calculator'!K:K,MATCH('Lorri 401b'!N1352,'Retirement Calculator'!A:A,0),0),0)</f>
        <v>0</v>
      </c>
      <c r="K1352" s="455">
        <f t="shared" ca="1" si="108"/>
        <v>-477707.14866056829</v>
      </c>
      <c r="L1352" s="455">
        <f t="shared" ca="1" si="109"/>
        <v>-115127422.82719696</v>
      </c>
      <c r="M1352" s="471">
        <f t="shared" si="111"/>
        <v>0.05</v>
      </c>
      <c r="N1352" s="475">
        <f t="shared" si="112"/>
        <v>92195</v>
      </c>
    </row>
    <row r="1353" spans="7:14" ht="11.25" customHeight="1" x14ac:dyDescent="0.3">
      <c r="G1353" s="470"/>
      <c r="H1353" s="470">
        <v>1346</v>
      </c>
      <c r="I1353" s="455">
        <f t="shared" ca="1" si="110"/>
        <v>-115127422.82719696</v>
      </c>
      <c r="J1353" s="455">
        <f t="array" ref="J1353">IFERROR(INDEX('Retirement Calculator'!K:K,MATCH('Lorri 401b'!N1353,'Retirement Calculator'!A:A,0),0),0)</f>
        <v>0</v>
      </c>
      <c r="K1353" s="455">
        <f t="shared" ca="1" si="108"/>
        <v>-479697.59511332063</v>
      </c>
      <c r="L1353" s="455">
        <f t="shared" ca="1" si="109"/>
        <v>-115607120.42231028</v>
      </c>
      <c r="M1353" s="471">
        <f t="shared" si="111"/>
        <v>0.05</v>
      </c>
      <c r="N1353" s="475">
        <f t="shared" si="112"/>
        <v>92225</v>
      </c>
    </row>
    <row r="1354" spans="7:14" ht="11.25" customHeight="1" x14ac:dyDescent="0.3">
      <c r="G1354" s="470"/>
      <c r="H1354" s="470">
        <v>1347</v>
      </c>
      <c r="I1354" s="455">
        <f t="shared" ca="1" si="110"/>
        <v>-115607120.42231028</v>
      </c>
      <c r="J1354" s="455">
        <f t="array" ref="J1354">IFERROR(INDEX('Retirement Calculator'!K:K,MATCH('Lorri 401b'!N1354,'Retirement Calculator'!A:A,0),0),0)</f>
        <v>0</v>
      </c>
      <c r="K1354" s="455">
        <f t="shared" ca="1" si="108"/>
        <v>-481696.33509295952</v>
      </c>
      <c r="L1354" s="455">
        <f t="shared" ca="1" si="109"/>
        <v>-116088816.75740324</v>
      </c>
      <c r="M1354" s="471">
        <f t="shared" si="111"/>
        <v>0.05</v>
      </c>
      <c r="N1354" s="475">
        <f t="shared" si="112"/>
        <v>92256</v>
      </c>
    </row>
    <row r="1355" spans="7:14" ht="11.25" customHeight="1" x14ac:dyDescent="0.3">
      <c r="G1355" s="470"/>
      <c r="H1355" s="470">
        <v>1348</v>
      </c>
      <c r="I1355" s="455">
        <f t="shared" ca="1" si="110"/>
        <v>-116088816.75740324</v>
      </c>
      <c r="J1355" s="455">
        <f t="array" ref="J1355">IFERROR(INDEX('Retirement Calculator'!K:K,MATCH('Lorri 401b'!N1355,'Retirement Calculator'!A:A,0),0),0)</f>
        <v>0</v>
      </c>
      <c r="K1355" s="455">
        <f t="shared" ca="1" si="108"/>
        <v>-483703.40315584687</v>
      </c>
      <c r="L1355" s="455">
        <f t="shared" ca="1" si="109"/>
        <v>-116572520.16055909</v>
      </c>
      <c r="M1355" s="471">
        <f t="shared" si="111"/>
        <v>0.05</v>
      </c>
      <c r="N1355" s="475">
        <f t="shared" si="112"/>
        <v>92287</v>
      </c>
    </row>
    <row r="1356" spans="7:14" ht="11.25" customHeight="1" x14ac:dyDescent="0.3">
      <c r="G1356" s="470"/>
      <c r="H1356" s="470">
        <v>1349</v>
      </c>
      <c r="I1356" s="455">
        <f t="shared" ca="1" si="110"/>
        <v>-116572520.16055909</v>
      </c>
      <c r="J1356" s="455">
        <f t="array" ref="J1356">IFERROR(INDEX('Retirement Calculator'!K:K,MATCH('Lorri 401b'!N1356,'Retirement Calculator'!A:A,0),0),0)</f>
        <v>0</v>
      </c>
      <c r="K1356" s="455">
        <f t="shared" ca="1" si="108"/>
        <v>-485718.83400232956</v>
      </c>
      <c r="L1356" s="455">
        <f t="shared" ca="1" si="109"/>
        <v>-117058238.99456142</v>
      </c>
      <c r="M1356" s="471">
        <f t="shared" si="111"/>
        <v>0.05</v>
      </c>
      <c r="N1356" s="475">
        <f t="shared" si="112"/>
        <v>92317</v>
      </c>
    </row>
    <row r="1357" spans="7:14" ht="11.25" customHeight="1" x14ac:dyDescent="0.3">
      <c r="G1357" s="470"/>
      <c r="H1357" s="470">
        <v>1350</v>
      </c>
      <c r="I1357" s="455">
        <f t="shared" ca="1" si="110"/>
        <v>-117058238.99456142</v>
      </c>
      <c r="J1357" s="455">
        <f t="array" ref="J1357">IFERROR(INDEX('Retirement Calculator'!K:K,MATCH('Lorri 401b'!N1357,'Retirement Calculator'!A:A,0),0),0)</f>
        <v>0</v>
      </c>
      <c r="K1357" s="455">
        <f t="shared" ca="1" si="108"/>
        <v>-487742.66247733933</v>
      </c>
      <c r="L1357" s="455">
        <f t="shared" ca="1" si="109"/>
        <v>-117545981.65703876</v>
      </c>
      <c r="M1357" s="471">
        <f t="shared" si="111"/>
        <v>0.05</v>
      </c>
      <c r="N1357" s="475">
        <f t="shared" si="112"/>
        <v>92348</v>
      </c>
    </row>
    <row r="1358" spans="7:14" ht="11.25" customHeight="1" x14ac:dyDescent="0.3">
      <c r="G1358" s="470"/>
      <c r="H1358" s="470">
        <v>1351</v>
      </c>
      <c r="I1358" s="455">
        <f t="shared" ca="1" si="110"/>
        <v>-117545981.65703876</v>
      </c>
      <c r="J1358" s="455">
        <f t="array" ref="J1358">IFERROR(INDEX('Retirement Calculator'!K:K,MATCH('Lorri 401b'!N1358,'Retirement Calculator'!A:A,0),0),0)</f>
        <v>0</v>
      </c>
      <c r="K1358" s="455">
        <f t="shared" ca="1" si="108"/>
        <v>-489774.92357099481</v>
      </c>
      <c r="L1358" s="455">
        <f t="shared" ca="1" si="109"/>
        <v>-118035756.58060975</v>
      </c>
      <c r="M1358" s="471">
        <f t="shared" si="111"/>
        <v>0.05</v>
      </c>
      <c r="N1358" s="475">
        <f t="shared" si="112"/>
        <v>92378</v>
      </c>
    </row>
    <row r="1359" spans="7:14" ht="11.25" customHeight="1" x14ac:dyDescent="0.3">
      <c r="G1359" s="470"/>
      <c r="H1359" s="470">
        <v>1352</v>
      </c>
      <c r="I1359" s="455">
        <f t="shared" ca="1" si="110"/>
        <v>-118035756.58060975</v>
      </c>
      <c r="J1359" s="455">
        <f t="array" ref="J1359">IFERROR(INDEX('Retirement Calculator'!K:K,MATCH('Lorri 401b'!N1359,'Retirement Calculator'!A:A,0),0),0)</f>
        <v>0</v>
      </c>
      <c r="K1359" s="455">
        <f t="shared" ca="1" si="108"/>
        <v>-491815.65241920738</v>
      </c>
      <c r="L1359" s="455">
        <f t="shared" ca="1" si="109"/>
        <v>-118527572.23302896</v>
      </c>
      <c r="M1359" s="471">
        <f t="shared" si="111"/>
        <v>0.05</v>
      </c>
      <c r="N1359" s="475">
        <f t="shared" si="112"/>
        <v>92409</v>
      </c>
    </row>
    <row r="1360" spans="7:14" ht="11.25" customHeight="1" x14ac:dyDescent="0.3">
      <c r="G1360" s="470"/>
      <c r="H1360" s="470">
        <v>1353</v>
      </c>
      <c r="I1360" s="455">
        <f t="shared" ca="1" si="110"/>
        <v>-118527572.23302896</v>
      </c>
      <c r="J1360" s="455">
        <f t="array" ref="J1360">IFERROR(INDEX('Retirement Calculator'!K:K,MATCH('Lorri 401b'!N1360,'Retirement Calculator'!A:A,0),0),0)</f>
        <v>0</v>
      </c>
      <c r="K1360" s="455">
        <f t="shared" ca="1" si="108"/>
        <v>-493864.88430428726</v>
      </c>
      <c r="L1360" s="455">
        <f t="shared" ca="1" si="109"/>
        <v>-119021437.11733325</v>
      </c>
      <c r="M1360" s="471">
        <f t="shared" si="111"/>
        <v>0.05</v>
      </c>
      <c r="N1360" s="475">
        <f t="shared" si="112"/>
        <v>92440</v>
      </c>
    </row>
    <row r="1361" spans="7:14" ht="11.25" customHeight="1" x14ac:dyDescent="0.3">
      <c r="G1361" s="470"/>
      <c r="H1361" s="470">
        <v>1354</v>
      </c>
      <c r="I1361" s="455">
        <f t="shared" ca="1" si="110"/>
        <v>-119021437.11733325</v>
      </c>
      <c r="J1361" s="455">
        <f t="array" ref="J1361">IFERROR(INDEX('Retirement Calculator'!K:K,MATCH('Lorri 401b'!N1361,'Retirement Calculator'!A:A,0),0),0)</f>
        <v>0</v>
      </c>
      <c r="K1361" s="455">
        <f t="shared" ca="1" si="108"/>
        <v>-495922.6546555552</v>
      </c>
      <c r="L1361" s="455">
        <f t="shared" ca="1" si="109"/>
        <v>-119517359.77198881</v>
      </c>
      <c r="M1361" s="471">
        <f t="shared" si="111"/>
        <v>0.05</v>
      </c>
      <c r="N1361" s="475">
        <f t="shared" si="112"/>
        <v>92468</v>
      </c>
    </row>
    <row r="1362" spans="7:14" ht="11.25" customHeight="1" x14ac:dyDescent="0.3">
      <c r="G1362" s="470"/>
      <c r="H1362" s="470">
        <v>1355</v>
      </c>
      <c r="I1362" s="455">
        <f t="shared" ca="1" si="110"/>
        <v>-119517359.77198881</v>
      </c>
      <c r="J1362" s="455">
        <f t="array" ref="J1362">IFERROR(INDEX('Retirement Calculator'!K:K,MATCH('Lorri 401b'!N1362,'Retirement Calculator'!A:A,0),0),0)</f>
        <v>0</v>
      </c>
      <c r="K1362" s="455">
        <f t="shared" ca="1" si="108"/>
        <v>-497988.99904995336</v>
      </c>
      <c r="L1362" s="455">
        <f t="shared" ca="1" si="109"/>
        <v>-120015348.77103876</v>
      </c>
      <c r="M1362" s="471">
        <f t="shared" si="111"/>
        <v>0.05</v>
      </c>
      <c r="N1362" s="475">
        <f t="shared" si="112"/>
        <v>92499</v>
      </c>
    </row>
    <row r="1363" spans="7:14" ht="11.25" customHeight="1" x14ac:dyDescent="0.3">
      <c r="G1363" s="470"/>
      <c r="H1363" s="470">
        <v>1356</v>
      </c>
      <c r="I1363" s="455">
        <f t="shared" ca="1" si="110"/>
        <v>-120015348.77103876</v>
      </c>
      <c r="J1363" s="455">
        <f t="array" ref="J1363">IFERROR(INDEX('Retirement Calculator'!K:K,MATCH('Lorri 401b'!N1363,'Retirement Calculator'!A:A,0),0),0)</f>
        <v>0</v>
      </c>
      <c r="K1363" s="455">
        <f t="shared" ca="1" si="108"/>
        <v>-500063.95321266149</v>
      </c>
      <c r="L1363" s="455">
        <f t="shared" ca="1" si="109"/>
        <v>-120515412.72425142</v>
      </c>
      <c r="M1363" s="471">
        <f t="shared" si="111"/>
        <v>0.05</v>
      </c>
      <c r="N1363" s="475">
        <f t="shared" si="112"/>
        <v>92529</v>
      </c>
    </row>
    <row r="1364" spans="7:14" ht="11.25" customHeight="1" x14ac:dyDescent="0.3">
      <c r="G1364" s="470"/>
      <c r="H1364" s="470">
        <v>1357</v>
      </c>
      <c r="I1364" s="455">
        <f t="shared" ca="1" si="110"/>
        <v>-120515412.72425142</v>
      </c>
      <c r="J1364" s="455">
        <f t="array" ref="J1364">IFERROR(INDEX('Retirement Calculator'!K:K,MATCH('Lorri 401b'!N1364,'Retirement Calculator'!A:A,0),0),0)</f>
        <v>0</v>
      </c>
      <c r="K1364" s="455">
        <f t="shared" ca="1" si="108"/>
        <v>-502147.55301771424</v>
      </c>
      <c r="L1364" s="455">
        <f t="shared" ca="1" si="109"/>
        <v>-121017560.27726914</v>
      </c>
      <c r="M1364" s="471">
        <f t="shared" si="111"/>
        <v>0.05</v>
      </c>
      <c r="N1364" s="475">
        <f t="shared" si="112"/>
        <v>92560</v>
      </c>
    </row>
    <row r="1365" spans="7:14" ht="11.25" customHeight="1" x14ac:dyDescent="0.3">
      <c r="G1365" s="470"/>
      <c r="H1365" s="470">
        <v>1358</v>
      </c>
      <c r="I1365" s="455">
        <f t="shared" ca="1" si="110"/>
        <v>-121017560.27726914</v>
      </c>
      <c r="J1365" s="455">
        <f t="array" ref="J1365">IFERROR(INDEX('Retirement Calculator'!K:K,MATCH('Lorri 401b'!N1365,'Retirement Calculator'!A:A,0),0),0)</f>
        <v>0</v>
      </c>
      <c r="K1365" s="455">
        <f t="shared" ca="1" si="108"/>
        <v>-504239.83448862139</v>
      </c>
      <c r="L1365" s="455">
        <f t="shared" ca="1" si="109"/>
        <v>-121521800.11175776</v>
      </c>
      <c r="M1365" s="471">
        <f t="shared" si="111"/>
        <v>0.05</v>
      </c>
      <c r="N1365" s="475">
        <f t="shared" si="112"/>
        <v>92590</v>
      </c>
    </row>
    <row r="1366" spans="7:14" ht="11.25" customHeight="1" x14ac:dyDescent="0.3">
      <c r="G1366" s="470"/>
      <c r="H1366" s="470">
        <v>1359</v>
      </c>
      <c r="I1366" s="455">
        <f t="shared" ca="1" si="110"/>
        <v>-121521800.11175776</v>
      </c>
      <c r="J1366" s="455">
        <f t="array" ref="J1366">IFERROR(INDEX('Retirement Calculator'!K:K,MATCH('Lorri 401b'!N1366,'Retirement Calculator'!A:A,0),0),0)</f>
        <v>0</v>
      </c>
      <c r="K1366" s="455">
        <f t="shared" ca="1" si="108"/>
        <v>-506340.83379899064</v>
      </c>
      <c r="L1366" s="455">
        <f t="shared" ca="1" si="109"/>
        <v>-122028140.94555674</v>
      </c>
      <c r="M1366" s="471">
        <f t="shared" si="111"/>
        <v>0.05</v>
      </c>
      <c r="N1366" s="475">
        <f t="shared" si="112"/>
        <v>92621</v>
      </c>
    </row>
    <row r="1367" spans="7:14" ht="11.25" customHeight="1" x14ac:dyDescent="0.3">
      <c r="G1367" s="470"/>
      <c r="H1367" s="470">
        <v>1360</v>
      </c>
      <c r="I1367" s="455">
        <f t="shared" ca="1" si="110"/>
        <v>-122028140.94555674</v>
      </c>
      <c r="J1367" s="455">
        <f t="array" ref="J1367">IFERROR(INDEX('Retirement Calculator'!K:K,MATCH('Lorri 401b'!N1367,'Retirement Calculator'!A:A,0),0),0)</f>
        <v>0</v>
      </c>
      <c r="K1367" s="455">
        <f t="shared" ca="1" si="108"/>
        <v>-508450.58727315307</v>
      </c>
      <c r="L1367" s="455">
        <f t="shared" ca="1" si="109"/>
        <v>-122536591.5328299</v>
      </c>
      <c r="M1367" s="471">
        <f t="shared" si="111"/>
        <v>0.05</v>
      </c>
      <c r="N1367" s="475">
        <f t="shared" si="112"/>
        <v>92652</v>
      </c>
    </row>
    <row r="1368" spans="7:14" ht="11.25" customHeight="1" x14ac:dyDescent="0.3">
      <c r="G1368" s="470"/>
      <c r="H1368" s="470">
        <v>1361</v>
      </c>
      <c r="I1368" s="455">
        <f t="shared" ca="1" si="110"/>
        <v>-122536591.5328299</v>
      </c>
      <c r="J1368" s="455">
        <f t="array" ref="J1368">IFERROR(INDEX('Retirement Calculator'!K:K,MATCH('Lorri 401b'!N1368,'Retirement Calculator'!A:A,0),0),0)</f>
        <v>0</v>
      </c>
      <c r="K1368" s="455">
        <f t="shared" ca="1" si="108"/>
        <v>-510569.13138679124</v>
      </c>
      <c r="L1368" s="455">
        <f t="shared" ca="1" si="109"/>
        <v>-123047160.66421668</v>
      </c>
      <c r="M1368" s="471">
        <f t="shared" si="111"/>
        <v>0.05</v>
      </c>
      <c r="N1368" s="475">
        <f t="shared" si="112"/>
        <v>92682</v>
      </c>
    </row>
    <row r="1369" spans="7:14" ht="11.25" customHeight="1" x14ac:dyDescent="0.3">
      <c r="G1369" s="470"/>
      <c r="H1369" s="470">
        <v>1362</v>
      </c>
      <c r="I1369" s="455">
        <f t="shared" ca="1" si="110"/>
        <v>-123047160.66421668</v>
      </c>
      <c r="J1369" s="455">
        <f t="array" ref="J1369">IFERROR(INDEX('Retirement Calculator'!K:K,MATCH('Lorri 401b'!N1369,'Retirement Calculator'!A:A,0),0),0)</f>
        <v>0</v>
      </c>
      <c r="K1369" s="455">
        <f t="shared" ca="1" si="108"/>
        <v>-512696.50276756956</v>
      </c>
      <c r="L1369" s="455">
        <f t="shared" ca="1" si="109"/>
        <v>-123559857.16698425</v>
      </c>
      <c r="M1369" s="471">
        <f t="shared" si="111"/>
        <v>0.05</v>
      </c>
      <c r="N1369" s="475">
        <f t="shared" si="112"/>
        <v>92713</v>
      </c>
    </row>
    <row r="1370" spans="7:14" ht="11.25" customHeight="1" x14ac:dyDescent="0.3">
      <c r="G1370" s="470"/>
      <c r="H1370" s="470">
        <v>1363</v>
      </c>
      <c r="I1370" s="455">
        <f t="shared" ca="1" si="110"/>
        <v>-123559857.16698425</v>
      </c>
      <c r="J1370" s="455">
        <f t="array" ref="J1370">IFERROR(INDEX('Retirement Calculator'!K:K,MATCH('Lorri 401b'!N1370,'Retirement Calculator'!A:A,0),0),0)</f>
        <v>0</v>
      </c>
      <c r="K1370" s="455">
        <f t="shared" ca="1" si="108"/>
        <v>-514832.73819576768</v>
      </c>
      <c r="L1370" s="455">
        <f t="shared" ca="1" si="109"/>
        <v>-124074689.90518001</v>
      </c>
      <c r="M1370" s="471">
        <f t="shared" si="111"/>
        <v>0.05</v>
      </c>
      <c r="N1370" s="475">
        <f t="shared" si="112"/>
        <v>92743</v>
      </c>
    </row>
    <row r="1371" spans="7:14" ht="11.25" customHeight="1" x14ac:dyDescent="0.3">
      <c r="G1371" s="470"/>
      <c r="H1371" s="470">
        <v>1364</v>
      </c>
      <c r="I1371" s="455">
        <f t="shared" ca="1" si="110"/>
        <v>-124074689.90518001</v>
      </c>
      <c r="J1371" s="455">
        <f t="array" ref="J1371">IFERROR(INDEX('Retirement Calculator'!K:K,MATCH('Lorri 401b'!N1371,'Retirement Calculator'!A:A,0),0),0)</f>
        <v>0</v>
      </c>
      <c r="K1371" s="455">
        <f t="shared" ca="1" si="108"/>
        <v>-516977.87460491667</v>
      </c>
      <c r="L1371" s="455">
        <f t="shared" ca="1" si="109"/>
        <v>-124591667.77978492</v>
      </c>
      <c r="M1371" s="471">
        <f t="shared" si="111"/>
        <v>0.05</v>
      </c>
      <c r="N1371" s="475">
        <f t="shared" si="112"/>
        <v>92774</v>
      </c>
    </row>
    <row r="1372" spans="7:14" ht="11.25" customHeight="1" x14ac:dyDescent="0.3">
      <c r="G1372" s="470"/>
      <c r="H1372" s="470">
        <v>1365</v>
      </c>
      <c r="I1372" s="455">
        <f t="shared" ca="1" si="110"/>
        <v>-124591667.77978492</v>
      </c>
      <c r="J1372" s="455">
        <f t="array" ref="J1372">IFERROR(INDEX('Retirement Calculator'!K:K,MATCH('Lorri 401b'!N1372,'Retirement Calculator'!A:A,0),0),0)</f>
        <v>0</v>
      </c>
      <c r="K1372" s="455">
        <f t="shared" ca="1" si="108"/>
        <v>-519131.94908243715</v>
      </c>
      <c r="L1372" s="455">
        <f t="shared" ca="1" si="109"/>
        <v>-125110799.72886735</v>
      </c>
      <c r="M1372" s="471">
        <f t="shared" si="111"/>
        <v>0.05</v>
      </c>
      <c r="N1372" s="475">
        <f t="shared" si="112"/>
        <v>92805</v>
      </c>
    </row>
    <row r="1373" spans="7:14" ht="11.25" customHeight="1" x14ac:dyDescent="0.3">
      <c r="G1373" s="470"/>
      <c r="H1373" s="470">
        <v>1366</v>
      </c>
      <c r="I1373" s="455">
        <f t="shared" ca="1" si="110"/>
        <v>-125110799.72886735</v>
      </c>
      <c r="J1373" s="455">
        <f t="array" ref="J1373">IFERROR(INDEX('Retirement Calculator'!K:K,MATCH('Lorri 401b'!N1373,'Retirement Calculator'!A:A,0),0),0)</f>
        <v>0</v>
      </c>
      <c r="K1373" s="455">
        <f t="shared" ca="1" si="108"/>
        <v>-521294.99887028057</v>
      </c>
      <c r="L1373" s="455">
        <f t="shared" ca="1" si="109"/>
        <v>-125632094.72773764</v>
      </c>
      <c r="M1373" s="471">
        <f t="shared" si="111"/>
        <v>0.05</v>
      </c>
      <c r="N1373" s="475">
        <f t="shared" si="112"/>
        <v>92833</v>
      </c>
    </row>
    <row r="1374" spans="7:14" ht="11.25" customHeight="1" x14ac:dyDescent="0.3">
      <c r="G1374" s="470"/>
      <c r="H1374" s="470">
        <v>1367</v>
      </c>
      <c r="I1374" s="455">
        <f t="shared" ca="1" si="110"/>
        <v>-125632094.72773764</v>
      </c>
      <c r="J1374" s="455">
        <f t="array" ref="J1374">IFERROR(INDEX('Retirement Calculator'!K:K,MATCH('Lorri 401b'!N1374,'Retirement Calculator'!A:A,0),0),0)</f>
        <v>0</v>
      </c>
      <c r="K1374" s="455">
        <f t="shared" ca="1" si="108"/>
        <v>-523467.06136557349</v>
      </c>
      <c r="L1374" s="455">
        <f t="shared" ca="1" si="109"/>
        <v>-126155561.78910321</v>
      </c>
      <c r="M1374" s="471">
        <f t="shared" si="111"/>
        <v>0.05</v>
      </c>
      <c r="N1374" s="475">
        <f t="shared" si="112"/>
        <v>92864</v>
      </c>
    </row>
    <row r="1375" spans="7:14" ht="11.25" customHeight="1" x14ac:dyDescent="0.3">
      <c r="G1375" s="470"/>
      <c r="H1375" s="470">
        <v>1368</v>
      </c>
      <c r="I1375" s="455">
        <f t="shared" ca="1" si="110"/>
        <v>-126155561.78910321</v>
      </c>
      <c r="J1375" s="455">
        <f t="array" ref="J1375">IFERROR(INDEX('Retirement Calculator'!K:K,MATCH('Lorri 401b'!N1375,'Retirement Calculator'!A:A,0),0),0)</f>
        <v>0</v>
      </c>
      <c r="K1375" s="455">
        <f t="shared" ca="1" si="108"/>
        <v>-525648.17412126332</v>
      </c>
      <c r="L1375" s="455">
        <f t="shared" ca="1" si="109"/>
        <v>-126681209.96322447</v>
      </c>
      <c r="M1375" s="471">
        <f t="shared" si="111"/>
        <v>0.05</v>
      </c>
      <c r="N1375" s="475">
        <f t="shared" si="112"/>
        <v>92894</v>
      </c>
    </row>
    <row r="1376" spans="7:14" ht="11.25" customHeight="1" x14ac:dyDescent="0.3">
      <c r="G1376" s="470"/>
      <c r="H1376" s="470">
        <v>1369</v>
      </c>
      <c r="I1376" s="455">
        <f t="shared" ca="1" si="110"/>
        <v>-126681209.96322447</v>
      </c>
      <c r="J1376" s="455">
        <f t="array" ref="J1376">IFERROR(INDEX('Retirement Calculator'!K:K,MATCH('Lorri 401b'!N1376,'Retirement Calculator'!A:A,0),0),0)</f>
        <v>0</v>
      </c>
      <c r="K1376" s="455">
        <f t="shared" ca="1" si="108"/>
        <v>-527838.37484676857</v>
      </c>
      <c r="L1376" s="455">
        <f t="shared" ca="1" si="109"/>
        <v>-127209048.33807124</v>
      </c>
      <c r="M1376" s="471">
        <f t="shared" si="111"/>
        <v>0.05</v>
      </c>
      <c r="N1376" s="475">
        <f t="shared" si="112"/>
        <v>92925</v>
      </c>
    </row>
    <row r="1377" spans="7:14" ht="11.25" customHeight="1" x14ac:dyDescent="0.3">
      <c r="G1377" s="470"/>
      <c r="H1377" s="470">
        <v>1370</v>
      </c>
      <c r="I1377" s="455">
        <f t="shared" ca="1" si="110"/>
        <v>-127209048.33807124</v>
      </c>
      <c r="J1377" s="455">
        <f t="array" ref="J1377">IFERROR(INDEX('Retirement Calculator'!K:K,MATCH('Lorri 401b'!N1377,'Retirement Calculator'!A:A,0),0),0)</f>
        <v>0</v>
      </c>
      <c r="K1377" s="455">
        <f t="shared" ca="1" si="108"/>
        <v>-530037.70140863012</v>
      </c>
      <c r="L1377" s="455">
        <f t="shared" ca="1" si="109"/>
        <v>-127739086.03947987</v>
      </c>
      <c r="M1377" s="471">
        <f t="shared" si="111"/>
        <v>0.05</v>
      </c>
      <c r="N1377" s="475">
        <f t="shared" si="112"/>
        <v>92955</v>
      </c>
    </row>
    <row r="1378" spans="7:14" ht="11.25" customHeight="1" x14ac:dyDescent="0.3">
      <c r="G1378" s="470"/>
      <c r="H1378" s="470">
        <v>1371</v>
      </c>
      <c r="I1378" s="455">
        <f t="shared" ca="1" si="110"/>
        <v>-127739086.03947987</v>
      </c>
      <c r="J1378" s="455">
        <f t="array" ref="J1378">IFERROR(INDEX('Retirement Calculator'!K:K,MATCH('Lorri 401b'!N1378,'Retirement Calculator'!A:A,0),0),0)</f>
        <v>0</v>
      </c>
      <c r="K1378" s="455">
        <f t="shared" ca="1" si="108"/>
        <v>-532246.19183116616</v>
      </c>
      <c r="L1378" s="455">
        <f t="shared" ca="1" si="109"/>
        <v>-128271332.23131104</v>
      </c>
      <c r="M1378" s="471">
        <f t="shared" si="111"/>
        <v>0.05</v>
      </c>
      <c r="N1378" s="475">
        <f t="shared" si="112"/>
        <v>92986</v>
      </c>
    </row>
    <row r="1379" spans="7:14" ht="11.25" customHeight="1" x14ac:dyDescent="0.3">
      <c r="G1379" s="470"/>
      <c r="H1379" s="470">
        <v>1372</v>
      </c>
      <c r="I1379" s="455">
        <f t="shared" ca="1" si="110"/>
        <v>-128271332.23131104</v>
      </c>
      <c r="J1379" s="455">
        <f t="array" ref="J1379">IFERROR(INDEX('Retirement Calculator'!K:K,MATCH('Lorri 401b'!N1379,'Retirement Calculator'!A:A,0),0),0)</f>
        <v>0</v>
      </c>
      <c r="K1379" s="455">
        <f t="shared" ca="1" si="108"/>
        <v>-534463.88429712923</v>
      </c>
      <c r="L1379" s="455">
        <f t="shared" ca="1" si="109"/>
        <v>-128805796.11560817</v>
      </c>
      <c r="M1379" s="471">
        <f t="shared" si="111"/>
        <v>0.05</v>
      </c>
      <c r="N1379" s="475">
        <f t="shared" si="112"/>
        <v>93017</v>
      </c>
    </row>
    <row r="1380" spans="7:14" ht="11.25" customHeight="1" x14ac:dyDescent="0.3">
      <c r="G1380" s="470"/>
      <c r="H1380" s="470">
        <v>1373</v>
      </c>
      <c r="I1380" s="455">
        <f t="shared" ca="1" si="110"/>
        <v>-128805796.11560817</v>
      </c>
      <c r="J1380" s="455">
        <f t="array" ref="J1380">IFERROR(INDEX('Retirement Calculator'!K:K,MATCH('Lorri 401b'!N1380,'Retirement Calculator'!A:A,0),0),0)</f>
        <v>0</v>
      </c>
      <c r="K1380" s="455">
        <f t="shared" ca="1" si="108"/>
        <v>-536690.81714836741</v>
      </c>
      <c r="L1380" s="455">
        <f t="shared" ca="1" si="109"/>
        <v>-129342486.93275654</v>
      </c>
      <c r="M1380" s="471">
        <f t="shared" si="111"/>
        <v>0.05</v>
      </c>
      <c r="N1380" s="475">
        <f t="shared" si="112"/>
        <v>93047</v>
      </c>
    </row>
    <row r="1381" spans="7:14" ht="11.25" customHeight="1" x14ac:dyDescent="0.3">
      <c r="G1381" s="470"/>
      <c r="H1381" s="470">
        <v>1374</v>
      </c>
      <c r="I1381" s="455">
        <f t="shared" ca="1" si="110"/>
        <v>-129342486.93275654</v>
      </c>
      <c r="J1381" s="455">
        <f t="array" ref="J1381">IFERROR(INDEX('Retirement Calculator'!K:K,MATCH('Lorri 401b'!N1381,'Retirement Calculator'!A:A,0),0),0)</f>
        <v>0</v>
      </c>
      <c r="K1381" s="455">
        <f t="shared" ca="1" si="108"/>
        <v>-538927.02888648561</v>
      </c>
      <c r="L1381" s="455">
        <f t="shared" ca="1" si="109"/>
        <v>-129881413.96164303</v>
      </c>
      <c r="M1381" s="471">
        <f t="shared" si="111"/>
        <v>0.05</v>
      </c>
      <c r="N1381" s="475">
        <f t="shared" si="112"/>
        <v>93078</v>
      </c>
    </row>
    <row r="1382" spans="7:14" ht="11.25" customHeight="1" x14ac:dyDescent="0.3">
      <c r="G1382" s="470"/>
      <c r="H1382" s="470">
        <v>1375</v>
      </c>
      <c r="I1382" s="455">
        <f t="shared" ca="1" si="110"/>
        <v>-129881413.96164303</v>
      </c>
      <c r="J1382" s="455">
        <f t="array" ref="J1382">IFERROR(INDEX('Retirement Calculator'!K:K,MATCH('Lorri 401b'!N1382,'Retirement Calculator'!A:A,0),0),0)</f>
        <v>0</v>
      </c>
      <c r="K1382" s="455">
        <f t="shared" ca="1" si="108"/>
        <v>-541172.55817351257</v>
      </c>
      <c r="L1382" s="455">
        <f t="shared" ca="1" si="109"/>
        <v>-130422586.51981653</v>
      </c>
      <c r="M1382" s="471">
        <f t="shared" si="111"/>
        <v>0.05</v>
      </c>
      <c r="N1382" s="475">
        <f t="shared" si="112"/>
        <v>93108</v>
      </c>
    </row>
    <row r="1383" spans="7:14" ht="11.25" customHeight="1" x14ac:dyDescent="0.3">
      <c r="G1383" s="470"/>
      <c r="H1383" s="470">
        <v>1376</v>
      </c>
      <c r="I1383" s="455">
        <f t="shared" ca="1" si="110"/>
        <v>-130422586.51981653</v>
      </c>
      <c r="J1383" s="455">
        <f t="array" ref="J1383">IFERROR(INDEX('Retirement Calculator'!K:K,MATCH('Lorri 401b'!N1383,'Retirement Calculator'!A:A,0),0),0)</f>
        <v>0</v>
      </c>
      <c r="K1383" s="455">
        <f t="shared" ca="1" si="108"/>
        <v>-543427.44383256882</v>
      </c>
      <c r="L1383" s="455">
        <f t="shared" ca="1" si="109"/>
        <v>-130966013.96364909</v>
      </c>
      <c r="M1383" s="471">
        <f t="shared" si="111"/>
        <v>0.05</v>
      </c>
      <c r="N1383" s="475">
        <f t="shared" si="112"/>
        <v>93139</v>
      </c>
    </row>
    <row r="1384" spans="7:14" ht="11.25" customHeight="1" x14ac:dyDescent="0.3">
      <c r="G1384" s="470"/>
      <c r="H1384" s="470">
        <v>1377</v>
      </c>
      <c r="I1384" s="455">
        <f t="shared" ca="1" si="110"/>
        <v>-130966013.96364909</v>
      </c>
      <c r="J1384" s="455">
        <f t="array" ref="J1384">IFERROR(INDEX('Retirement Calculator'!K:K,MATCH('Lorri 401b'!N1384,'Retirement Calculator'!A:A,0),0),0)</f>
        <v>0</v>
      </c>
      <c r="K1384" s="455">
        <f t="shared" ca="1" si="108"/>
        <v>-545691.72484853794</v>
      </c>
      <c r="L1384" s="455">
        <f t="shared" ca="1" si="109"/>
        <v>-131511705.68849763</v>
      </c>
      <c r="M1384" s="471">
        <f t="shared" si="111"/>
        <v>0.05</v>
      </c>
      <c r="N1384" s="475">
        <f t="shared" si="112"/>
        <v>93170</v>
      </c>
    </row>
    <row r="1385" spans="7:14" ht="11.25" customHeight="1" x14ac:dyDescent="0.3">
      <c r="G1385" s="470"/>
      <c r="H1385" s="470">
        <v>1378</v>
      </c>
      <c r="I1385" s="455">
        <f t="shared" ca="1" si="110"/>
        <v>-131511705.68849763</v>
      </c>
      <c r="J1385" s="455">
        <f t="array" ref="J1385">IFERROR(INDEX('Retirement Calculator'!K:K,MATCH('Lorri 401b'!N1385,'Retirement Calculator'!A:A,0),0),0)</f>
        <v>0</v>
      </c>
      <c r="K1385" s="455">
        <f t="shared" ca="1" si="108"/>
        <v>-547965.44036874012</v>
      </c>
      <c r="L1385" s="455">
        <f t="shared" ca="1" si="109"/>
        <v>-132059671.12886637</v>
      </c>
      <c r="M1385" s="471">
        <f t="shared" si="111"/>
        <v>0.05</v>
      </c>
      <c r="N1385" s="475">
        <f t="shared" si="112"/>
        <v>93198</v>
      </c>
    </row>
    <row r="1386" spans="7:14" ht="11.25" customHeight="1" x14ac:dyDescent="0.3">
      <c r="G1386" s="470"/>
      <c r="H1386" s="470">
        <v>1379</v>
      </c>
      <c r="I1386" s="455">
        <f t="shared" ca="1" si="110"/>
        <v>-132059671.12886637</v>
      </c>
      <c r="J1386" s="455">
        <f t="array" ref="J1386">IFERROR(INDEX('Retirement Calculator'!K:K,MATCH('Lorri 401b'!N1386,'Retirement Calculator'!A:A,0),0),0)</f>
        <v>0</v>
      </c>
      <c r="K1386" s="455">
        <f t="shared" ca="1" si="108"/>
        <v>-550248.62970360985</v>
      </c>
      <c r="L1386" s="455">
        <f t="shared" ca="1" si="109"/>
        <v>-132609919.75856999</v>
      </c>
      <c r="M1386" s="471">
        <f t="shared" si="111"/>
        <v>0.05</v>
      </c>
      <c r="N1386" s="475">
        <f t="shared" si="112"/>
        <v>93229</v>
      </c>
    </row>
    <row r="1387" spans="7:14" ht="11.25" customHeight="1" x14ac:dyDescent="0.3">
      <c r="G1387" s="470"/>
      <c r="H1387" s="470">
        <v>1380</v>
      </c>
      <c r="I1387" s="455">
        <f t="shared" ca="1" si="110"/>
        <v>-132609919.75856999</v>
      </c>
      <c r="J1387" s="455">
        <f t="array" ref="J1387">IFERROR(INDEX('Retirement Calculator'!K:K,MATCH('Lorri 401b'!N1387,'Retirement Calculator'!A:A,0),0),0)</f>
        <v>0</v>
      </c>
      <c r="K1387" s="455">
        <f t="shared" ca="1" si="108"/>
        <v>-552541.33232737496</v>
      </c>
      <c r="L1387" s="455">
        <f t="shared" ca="1" si="109"/>
        <v>-133162461.09089737</v>
      </c>
      <c r="M1387" s="471">
        <f t="shared" si="111"/>
        <v>0.05</v>
      </c>
      <c r="N1387" s="475">
        <f t="shared" si="112"/>
        <v>93259</v>
      </c>
    </row>
    <row r="1388" spans="7:14" ht="11.25" customHeight="1" x14ac:dyDescent="0.3">
      <c r="G1388" s="470"/>
      <c r="H1388" s="470">
        <v>1381</v>
      </c>
      <c r="I1388" s="455">
        <f t="shared" ca="1" si="110"/>
        <v>-133162461.09089737</v>
      </c>
      <c r="J1388" s="455">
        <f t="array" ref="J1388">IFERROR(INDEX('Retirement Calculator'!K:K,MATCH('Lorri 401b'!N1388,'Retirement Calculator'!A:A,0),0),0)</f>
        <v>0</v>
      </c>
      <c r="K1388" s="455">
        <f t="shared" ca="1" si="108"/>
        <v>-554843.587878739</v>
      </c>
      <c r="L1388" s="455">
        <f t="shared" ca="1" si="109"/>
        <v>-133717304.6787761</v>
      </c>
      <c r="M1388" s="471">
        <f t="shared" si="111"/>
        <v>0.05</v>
      </c>
      <c r="N1388" s="475">
        <f t="shared" si="112"/>
        <v>93290</v>
      </c>
    </row>
    <row r="1389" spans="7:14" ht="11.25" customHeight="1" x14ac:dyDescent="0.3">
      <c r="G1389" s="470"/>
      <c r="H1389" s="470">
        <v>1382</v>
      </c>
      <c r="I1389" s="455">
        <f t="shared" ca="1" si="110"/>
        <v>-133717304.6787761</v>
      </c>
      <c r="J1389" s="455">
        <f t="array" ref="J1389">IFERROR(INDEX('Retirement Calculator'!K:K,MATCH('Lorri 401b'!N1389,'Retirement Calculator'!A:A,0),0),0)</f>
        <v>0</v>
      </c>
      <c r="K1389" s="455">
        <f t="shared" ca="1" si="108"/>
        <v>-557155.43616156699</v>
      </c>
      <c r="L1389" s="455">
        <f t="shared" ca="1" si="109"/>
        <v>-134274460.11493766</v>
      </c>
      <c r="M1389" s="471">
        <f t="shared" si="111"/>
        <v>0.05</v>
      </c>
      <c r="N1389" s="475">
        <f t="shared" si="112"/>
        <v>93320</v>
      </c>
    </row>
    <row r="1390" spans="7:14" ht="11.25" customHeight="1" x14ac:dyDescent="0.3">
      <c r="G1390" s="470"/>
      <c r="H1390" s="470">
        <v>1383</v>
      </c>
      <c r="I1390" s="455">
        <f t="shared" ca="1" si="110"/>
        <v>-134274460.11493766</v>
      </c>
      <c r="J1390" s="455">
        <f t="array" ref="J1390">IFERROR(INDEX('Retirement Calculator'!K:K,MATCH('Lorri 401b'!N1390,'Retirement Calculator'!A:A,0),0),0)</f>
        <v>0</v>
      </c>
      <c r="K1390" s="455">
        <f t="shared" ca="1" si="108"/>
        <v>-559476.91714557353</v>
      </c>
      <c r="L1390" s="455">
        <f t="shared" ca="1" si="109"/>
        <v>-134833937.03208324</v>
      </c>
      <c r="M1390" s="471">
        <f t="shared" si="111"/>
        <v>0.05</v>
      </c>
      <c r="N1390" s="475">
        <f t="shared" si="112"/>
        <v>93351</v>
      </c>
    </row>
    <row r="1391" spans="7:14" ht="11.25" customHeight="1" x14ac:dyDescent="0.3">
      <c r="G1391" s="470"/>
      <c r="H1391" s="470">
        <v>1384</v>
      </c>
      <c r="I1391" s="455">
        <f t="shared" ca="1" si="110"/>
        <v>-134833937.03208324</v>
      </c>
      <c r="J1391" s="455">
        <f t="array" ref="J1391">IFERROR(INDEX('Retirement Calculator'!K:K,MATCH('Lorri 401b'!N1391,'Retirement Calculator'!A:A,0),0),0)</f>
        <v>0</v>
      </c>
      <c r="K1391" s="455">
        <f t="shared" ca="1" si="108"/>
        <v>-561808.07096701348</v>
      </c>
      <c r="L1391" s="455">
        <f t="shared" ca="1" si="109"/>
        <v>-135395745.10305026</v>
      </c>
      <c r="M1391" s="471">
        <f t="shared" si="111"/>
        <v>0.05</v>
      </c>
      <c r="N1391" s="475">
        <f t="shared" si="112"/>
        <v>93382</v>
      </c>
    </row>
    <row r="1392" spans="7:14" ht="11.25" customHeight="1" x14ac:dyDescent="0.3">
      <c r="G1392" s="470"/>
      <c r="H1392" s="470">
        <v>1385</v>
      </c>
      <c r="I1392" s="455">
        <f t="shared" ca="1" si="110"/>
        <v>-135395745.10305026</v>
      </c>
      <c r="J1392" s="455">
        <f t="array" ref="J1392">IFERROR(INDEX('Retirement Calculator'!K:K,MATCH('Lorri 401b'!N1392,'Retirement Calculator'!A:A,0),0),0)</f>
        <v>0</v>
      </c>
      <c r="K1392" s="455">
        <f t="shared" ca="1" si="108"/>
        <v>-564148.93792937603</v>
      </c>
      <c r="L1392" s="455">
        <f t="shared" ca="1" si="109"/>
        <v>-135959894.04097962</v>
      </c>
      <c r="M1392" s="471">
        <f t="shared" si="111"/>
        <v>0.05</v>
      </c>
      <c r="N1392" s="475">
        <f t="shared" si="112"/>
        <v>93412</v>
      </c>
    </row>
    <row r="1393" spans="7:14" ht="11.25" customHeight="1" x14ac:dyDescent="0.3">
      <c r="G1393" s="470"/>
      <c r="H1393" s="470">
        <v>1386</v>
      </c>
      <c r="I1393" s="455">
        <f t="shared" ca="1" si="110"/>
        <v>-135959894.04097962</v>
      </c>
      <c r="J1393" s="455">
        <f t="array" ref="J1393">IFERROR(INDEX('Retirement Calculator'!K:K,MATCH('Lorri 401b'!N1393,'Retirement Calculator'!A:A,0),0),0)</f>
        <v>0</v>
      </c>
      <c r="K1393" s="455">
        <f t="shared" ca="1" si="108"/>
        <v>-566499.5585040818</v>
      </c>
      <c r="L1393" s="455">
        <f t="shared" ca="1" si="109"/>
        <v>-136526393.5994837</v>
      </c>
      <c r="M1393" s="471">
        <f t="shared" si="111"/>
        <v>0.05</v>
      </c>
      <c r="N1393" s="475">
        <f t="shared" si="112"/>
        <v>93443</v>
      </c>
    </row>
    <row r="1394" spans="7:14" ht="11.25" customHeight="1" x14ac:dyDescent="0.3">
      <c r="G1394" s="470"/>
      <c r="H1394" s="470">
        <v>1387</v>
      </c>
      <c r="I1394" s="455">
        <f t="shared" ca="1" si="110"/>
        <v>-136526393.5994837</v>
      </c>
      <c r="J1394" s="455">
        <f t="array" ref="J1394">IFERROR(INDEX('Retirement Calculator'!K:K,MATCH('Lorri 401b'!N1394,'Retirement Calculator'!A:A,0),0),0)</f>
        <v>0</v>
      </c>
      <c r="K1394" s="455">
        <f t="shared" ca="1" si="108"/>
        <v>-568859.97333118203</v>
      </c>
      <c r="L1394" s="455">
        <f t="shared" ca="1" si="109"/>
        <v>-137095253.57281488</v>
      </c>
      <c r="M1394" s="471">
        <f t="shared" si="111"/>
        <v>0.05</v>
      </c>
      <c r="N1394" s="475">
        <f t="shared" si="112"/>
        <v>93473</v>
      </c>
    </row>
    <row r="1395" spans="7:14" ht="11.25" customHeight="1" x14ac:dyDescent="0.3">
      <c r="G1395" s="470"/>
      <c r="H1395" s="470">
        <v>1388</v>
      </c>
      <c r="I1395" s="455">
        <f t="shared" ca="1" si="110"/>
        <v>-137095253.57281488</v>
      </c>
      <c r="J1395" s="455">
        <f t="array" ref="J1395">IFERROR(INDEX('Retirement Calculator'!K:K,MATCH('Lorri 401b'!N1395,'Retirement Calculator'!A:A,0),0),0)</f>
        <v>0</v>
      </c>
      <c r="K1395" s="455">
        <f t="shared" ca="1" si="108"/>
        <v>-571230.22322006198</v>
      </c>
      <c r="L1395" s="455">
        <f t="shared" ca="1" si="109"/>
        <v>-137666483.79603493</v>
      </c>
      <c r="M1395" s="471">
        <f t="shared" si="111"/>
        <v>0.05</v>
      </c>
      <c r="N1395" s="475">
        <f t="shared" si="112"/>
        <v>93504</v>
      </c>
    </row>
    <row r="1396" spans="7:14" ht="11.25" customHeight="1" x14ac:dyDescent="0.3">
      <c r="G1396" s="470"/>
      <c r="H1396" s="470">
        <v>1389</v>
      </c>
      <c r="I1396" s="455">
        <f t="shared" ca="1" si="110"/>
        <v>-137666483.79603493</v>
      </c>
      <c r="J1396" s="455">
        <f t="array" ref="J1396">IFERROR(INDEX('Retirement Calculator'!K:K,MATCH('Lorri 401b'!N1396,'Retirement Calculator'!A:A,0),0),0)</f>
        <v>0</v>
      </c>
      <c r="K1396" s="455">
        <f t="shared" ca="1" si="108"/>
        <v>-573610.34915014554</v>
      </c>
      <c r="L1396" s="455">
        <f t="shared" ca="1" si="109"/>
        <v>-138240094.14518508</v>
      </c>
      <c r="M1396" s="471">
        <f t="shared" si="111"/>
        <v>0.05</v>
      </c>
      <c r="N1396" s="475">
        <f t="shared" si="112"/>
        <v>93535</v>
      </c>
    </row>
    <row r="1397" spans="7:14" ht="11.25" customHeight="1" x14ac:dyDescent="0.3">
      <c r="G1397" s="470"/>
      <c r="H1397" s="470">
        <v>1390</v>
      </c>
      <c r="I1397" s="455">
        <f t="shared" ca="1" si="110"/>
        <v>-138240094.14518508</v>
      </c>
      <c r="J1397" s="455">
        <f t="array" ref="J1397">IFERROR(INDEX('Retirement Calculator'!K:K,MATCH('Lorri 401b'!N1397,'Retirement Calculator'!A:A,0),0),0)</f>
        <v>0</v>
      </c>
      <c r="K1397" s="455">
        <f t="shared" ca="1" si="108"/>
        <v>-576000.39227160451</v>
      </c>
      <c r="L1397" s="455">
        <f t="shared" ca="1" si="109"/>
        <v>-138816094.53745669</v>
      </c>
      <c r="M1397" s="471">
        <f t="shared" si="111"/>
        <v>0.05</v>
      </c>
      <c r="N1397" s="475">
        <f t="shared" si="112"/>
        <v>93564</v>
      </c>
    </row>
    <row r="1398" spans="7:14" ht="11.25" customHeight="1" x14ac:dyDescent="0.3">
      <c r="G1398" s="470"/>
      <c r="H1398" s="470">
        <v>1391</v>
      </c>
      <c r="I1398" s="455">
        <f t="shared" ca="1" si="110"/>
        <v>-138816094.53745669</v>
      </c>
      <c r="J1398" s="455">
        <f t="array" ref="J1398">IFERROR(INDEX('Retirement Calculator'!K:K,MATCH('Lorri 401b'!N1398,'Retirement Calculator'!A:A,0),0),0)</f>
        <v>0</v>
      </c>
      <c r="K1398" s="455">
        <f t="shared" ca="1" si="108"/>
        <v>-578400.39390606957</v>
      </c>
      <c r="L1398" s="455">
        <f t="shared" ca="1" si="109"/>
        <v>-139394494.93136275</v>
      </c>
      <c r="M1398" s="471">
        <f t="shared" si="111"/>
        <v>0.05</v>
      </c>
      <c r="N1398" s="475">
        <f t="shared" si="112"/>
        <v>93595</v>
      </c>
    </row>
    <row r="1399" spans="7:14" ht="11.25" customHeight="1" x14ac:dyDescent="0.3">
      <c r="G1399" s="470"/>
      <c r="H1399" s="470">
        <v>1392</v>
      </c>
      <c r="I1399" s="455">
        <f t="shared" ca="1" si="110"/>
        <v>-139394494.93136275</v>
      </c>
      <c r="J1399" s="455">
        <f t="array" ref="J1399">IFERROR(INDEX('Retirement Calculator'!K:K,MATCH('Lorri 401b'!N1399,'Retirement Calculator'!A:A,0),0),0)</f>
        <v>0</v>
      </c>
      <c r="K1399" s="455">
        <f t="shared" ca="1" si="108"/>
        <v>-580810.39554734481</v>
      </c>
      <c r="L1399" s="455">
        <f t="shared" ca="1" si="109"/>
        <v>-139975305.32691008</v>
      </c>
      <c r="M1399" s="471">
        <f t="shared" si="111"/>
        <v>0.05</v>
      </c>
      <c r="N1399" s="475">
        <f t="shared" si="112"/>
        <v>93625</v>
      </c>
    </row>
    <row r="1400" spans="7:14" ht="11.25" customHeight="1" x14ac:dyDescent="0.3">
      <c r="G1400" s="470"/>
      <c r="H1400" s="470">
        <v>1393</v>
      </c>
      <c r="I1400" s="455">
        <f t="shared" ca="1" si="110"/>
        <v>-139975305.32691008</v>
      </c>
      <c r="J1400" s="455">
        <f t="array" ref="J1400">IFERROR(INDEX('Retirement Calculator'!K:K,MATCH('Lorri 401b'!N1400,'Retirement Calculator'!A:A,0),0),0)</f>
        <v>0</v>
      </c>
      <c r="K1400" s="455">
        <f t="shared" ca="1" si="108"/>
        <v>-583230.43886212527</v>
      </c>
      <c r="L1400" s="455">
        <f t="shared" ca="1" si="109"/>
        <v>-140558535.76577219</v>
      </c>
      <c r="M1400" s="471">
        <f t="shared" si="111"/>
        <v>0.05</v>
      </c>
      <c r="N1400" s="475">
        <f t="shared" si="112"/>
        <v>93656</v>
      </c>
    </row>
    <row r="1401" spans="7:14" ht="11.25" customHeight="1" x14ac:dyDescent="0.3">
      <c r="G1401" s="470"/>
      <c r="H1401" s="470">
        <v>1394</v>
      </c>
      <c r="I1401" s="455">
        <f t="shared" ca="1" si="110"/>
        <v>-140558535.76577219</v>
      </c>
      <c r="J1401" s="455">
        <f t="array" ref="J1401">IFERROR(INDEX('Retirement Calculator'!K:K,MATCH('Lorri 401b'!N1401,'Retirement Calculator'!A:A,0),0),0)</f>
        <v>0</v>
      </c>
      <c r="K1401" s="455">
        <f t="shared" ca="1" si="108"/>
        <v>-585660.56569071743</v>
      </c>
      <c r="L1401" s="455">
        <f t="shared" ca="1" si="109"/>
        <v>-141144196.33146292</v>
      </c>
      <c r="M1401" s="471">
        <f t="shared" si="111"/>
        <v>0.05</v>
      </c>
      <c r="N1401" s="475">
        <f t="shared" si="112"/>
        <v>93686</v>
      </c>
    </row>
    <row r="1402" spans="7:14" ht="11.25" customHeight="1" x14ac:dyDescent="0.3">
      <c r="G1402" s="470"/>
      <c r="H1402" s="470">
        <v>1395</v>
      </c>
      <c r="I1402" s="455">
        <f t="shared" ca="1" si="110"/>
        <v>-141144196.33146292</v>
      </c>
      <c r="J1402" s="455">
        <f t="array" ref="J1402">IFERROR(INDEX('Retirement Calculator'!K:K,MATCH('Lorri 401b'!N1402,'Retirement Calculator'!A:A,0),0),0)</f>
        <v>0</v>
      </c>
      <c r="K1402" s="455">
        <f t="shared" ca="1" si="108"/>
        <v>-588100.81804776215</v>
      </c>
      <c r="L1402" s="455">
        <f t="shared" ca="1" si="109"/>
        <v>-141732297.14951068</v>
      </c>
      <c r="M1402" s="471">
        <f t="shared" si="111"/>
        <v>0.05</v>
      </c>
      <c r="N1402" s="475">
        <f t="shared" si="112"/>
        <v>93717</v>
      </c>
    </row>
    <row r="1403" spans="7:14" ht="11.25" customHeight="1" x14ac:dyDescent="0.3">
      <c r="G1403" s="470"/>
      <c r="H1403" s="470">
        <v>1396</v>
      </c>
      <c r="I1403" s="455">
        <f t="shared" ca="1" si="110"/>
        <v>-141732297.14951068</v>
      </c>
      <c r="J1403" s="455">
        <f t="array" ref="J1403">IFERROR(INDEX('Retirement Calculator'!K:K,MATCH('Lorri 401b'!N1403,'Retirement Calculator'!A:A,0),0),0)</f>
        <v>0</v>
      </c>
      <c r="K1403" s="455">
        <f t="shared" ca="1" si="108"/>
        <v>-590551.23812296113</v>
      </c>
      <c r="L1403" s="455">
        <f t="shared" ca="1" si="109"/>
        <v>-142322848.38763365</v>
      </c>
      <c r="M1403" s="471">
        <f t="shared" si="111"/>
        <v>0.05</v>
      </c>
      <c r="N1403" s="475">
        <f t="shared" si="112"/>
        <v>93748</v>
      </c>
    </row>
    <row r="1404" spans="7:14" ht="11.25" customHeight="1" x14ac:dyDescent="0.3">
      <c r="G1404" s="470"/>
      <c r="H1404" s="470">
        <v>1397</v>
      </c>
      <c r="I1404" s="455">
        <f t="shared" ca="1" si="110"/>
        <v>-142322848.38763365</v>
      </c>
      <c r="J1404" s="455">
        <f t="array" ref="J1404">IFERROR(INDEX('Retirement Calculator'!K:K,MATCH('Lorri 401b'!N1404,'Retirement Calculator'!A:A,0),0),0)</f>
        <v>0</v>
      </c>
      <c r="K1404" s="455">
        <f t="shared" ca="1" si="108"/>
        <v>-593011.86828180682</v>
      </c>
      <c r="L1404" s="455">
        <f t="shared" ca="1" si="109"/>
        <v>-142915860.25591546</v>
      </c>
      <c r="M1404" s="471">
        <f t="shared" si="111"/>
        <v>0.05</v>
      </c>
      <c r="N1404" s="475">
        <f t="shared" si="112"/>
        <v>93778</v>
      </c>
    </row>
    <row r="1405" spans="7:14" ht="11.25" customHeight="1" x14ac:dyDescent="0.3">
      <c r="G1405" s="470"/>
      <c r="H1405" s="470">
        <v>1398</v>
      </c>
      <c r="I1405" s="455">
        <f t="shared" ca="1" si="110"/>
        <v>-142915860.25591546</v>
      </c>
      <c r="J1405" s="455">
        <f t="array" ref="J1405">IFERROR(INDEX('Retirement Calculator'!K:K,MATCH('Lorri 401b'!N1405,'Retirement Calculator'!A:A,0),0),0)</f>
        <v>0</v>
      </c>
      <c r="K1405" s="455">
        <f t="shared" ca="1" si="108"/>
        <v>-595482.75106631441</v>
      </c>
      <c r="L1405" s="455">
        <f t="shared" ca="1" si="109"/>
        <v>-143511343.00698179</v>
      </c>
      <c r="M1405" s="471">
        <f t="shared" si="111"/>
        <v>0.05</v>
      </c>
      <c r="N1405" s="475">
        <f t="shared" si="112"/>
        <v>93809</v>
      </c>
    </row>
    <row r="1406" spans="7:14" ht="11.25" customHeight="1" x14ac:dyDescent="0.3">
      <c r="G1406" s="470"/>
      <c r="H1406" s="470">
        <v>1399</v>
      </c>
      <c r="I1406" s="455">
        <f t="shared" ca="1" si="110"/>
        <v>-143511343.00698179</v>
      </c>
      <c r="J1406" s="455">
        <f t="array" ref="J1406">IFERROR(INDEX('Retirement Calculator'!K:K,MATCH('Lorri 401b'!N1406,'Retirement Calculator'!A:A,0),0),0)</f>
        <v>0</v>
      </c>
      <c r="K1406" s="455">
        <f t="shared" ca="1" si="108"/>
        <v>-597963.92919575749</v>
      </c>
      <c r="L1406" s="455">
        <f t="shared" ca="1" si="109"/>
        <v>-144109306.93617755</v>
      </c>
      <c r="M1406" s="471">
        <f t="shared" si="111"/>
        <v>0.05</v>
      </c>
      <c r="N1406" s="475">
        <f t="shared" si="112"/>
        <v>93839</v>
      </c>
    </row>
    <row r="1407" spans="7:14" ht="11.25" customHeight="1" x14ac:dyDescent="0.3">
      <c r="G1407" s="470"/>
      <c r="H1407" s="470">
        <v>1400</v>
      </c>
      <c r="I1407" s="455">
        <f t="shared" ca="1" si="110"/>
        <v>-144109306.93617755</v>
      </c>
      <c r="J1407" s="455">
        <f t="array" ref="J1407">IFERROR(INDEX('Retirement Calculator'!K:K,MATCH('Lorri 401b'!N1407,'Retirement Calculator'!A:A,0),0),0)</f>
        <v>0</v>
      </c>
      <c r="K1407" s="455">
        <f t="shared" ca="1" si="108"/>
        <v>-600455.44556740648</v>
      </c>
      <c r="L1407" s="455">
        <f t="shared" ca="1" si="109"/>
        <v>-144709762.38174495</v>
      </c>
      <c r="M1407" s="471">
        <f t="shared" si="111"/>
        <v>0.05</v>
      </c>
      <c r="N1407" s="475">
        <f t="shared" si="112"/>
        <v>93870</v>
      </c>
    </row>
    <row r="1408" spans="7:14" ht="11.25" customHeight="1" x14ac:dyDescent="0.3">
      <c r="G1408" s="470"/>
      <c r="H1408" s="470">
        <v>1401</v>
      </c>
      <c r="I1408" s="455">
        <f t="shared" ca="1" si="110"/>
        <v>-144709762.38174495</v>
      </c>
      <c r="J1408" s="455">
        <f t="array" ref="J1408">IFERROR(INDEX('Retirement Calculator'!K:K,MATCH('Lorri 401b'!N1408,'Retirement Calculator'!A:A,0),0),0)</f>
        <v>0</v>
      </c>
      <c r="K1408" s="455">
        <f t="shared" ca="1" si="108"/>
        <v>-602957.34325727064</v>
      </c>
      <c r="L1408" s="455">
        <f t="shared" ca="1" si="109"/>
        <v>-145312719.72500223</v>
      </c>
      <c r="M1408" s="471">
        <f t="shared" si="111"/>
        <v>0.05</v>
      </c>
      <c r="N1408" s="475">
        <f t="shared" si="112"/>
        <v>93901</v>
      </c>
    </row>
    <row r="1409" spans="7:14" ht="11.25" customHeight="1" x14ac:dyDescent="0.3">
      <c r="G1409" s="470"/>
      <c r="H1409" s="470">
        <v>1402</v>
      </c>
      <c r="I1409" s="455">
        <f t="shared" ca="1" si="110"/>
        <v>-145312719.72500223</v>
      </c>
      <c r="J1409" s="455">
        <f t="array" ref="J1409">IFERROR(INDEX('Retirement Calculator'!K:K,MATCH('Lorri 401b'!N1409,'Retirement Calculator'!A:A,0),0),0)</f>
        <v>0</v>
      </c>
      <c r="K1409" s="455">
        <f t="shared" ca="1" si="108"/>
        <v>-605469.66552084265</v>
      </c>
      <c r="L1409" s="455">
        <f t="shared" ca="1" si="109"/>
        <v>-145918189.39052308</v>
      </c>
      <c r="M1409" s="471">
        <f t="shared" si="111"/>
        <v>0.05</v>
      </c>
      <c r="N1409" s="475">
        <f t="shared" si="112"/>
        <v>93929</v>
      </c>
    </row>
    <row r="1410" spans="7:14" ht="11.25" customHeight="1" x14ac:dyDescent="0.3">
      <c r="G1410" s="470"/>
      <c r="H1410" s="470">
        <v>1403</v>
      </c>
      <c r="I1410" s="455">
        <f t="shared" ca="1" si="110"/>
        <v>-145918189.39052308</v>
      </c>
      <c r="J1410" s="455">
        <f t="array" ref="J1410">IFERROR(INDEX('Retirement Calculator'!K:K,MATCH('Lorri 401b'!N1410,'Retirement Calculator'!A:A,0),0),0)</f>
        <v>0</v>
      </c>
      <c r="K1410" s="455">
        <f t="shared" ca="1" si="108"/>
        <v>-607992.45579384617</v>
      </c>
      <c r="L1410" s="455">
        <f t="shared" ca="1" si="109"/>
        <v>-146526181.84631693</v>
      </c>
      <c r="M1410" s="471">
        <f t="shared" si="111"/>
        <v>0.05</v>
      </c>
      <c r="N1410" s="475">
        <f t="shared" si="112"/>
        <v>93960</v>
      </c>
    </row>
    <row r="1411" spans="7:14" ht="11.25" customHeight="1" x14ac:dyDescent="0.3">
      <c r="G1411" s="470"/>
      <c r="H1411" s="470">
        <v>1404</v>
      </c>
      <c r="I1411" s="455">
        <f t="shared" ca="1" si="110"/>
        <v>-146526181.84631693</v>
      </c>
      <c r="J1411" s="455">
        <f t="array" ref="J1411">IFERROR(INDEX('Retirement Calculator'!K:K,MATCH('Lorri 401b'!N1411,'Retirement Calculator'!A:A,0),0),0)</f>
        <v>0</v>
      </c>
      <c r="K1411" s="455">
        <f t="shared" ca="1" si="108"/>
        <v>-610525.75769298722</v>
      </c>
      <c r="L1411" s="455">
        <f t="shared" ca="1" si="109"/>
        <v>-147136707.60400993</v>
      </c>
      <c r="M1411" s="471">
        <f t="shared" si="111"/>
        <v>0.05</v>
      </c>
      <c r="N1411" s="475">
        <f t="shared" si="112"/>
        <v>93990</v>
      </c>
    </row>
    <row r="1412" spans="7:14" ht="11.25" customHeight="1" x14ac:dyDescent="0.3">
      <c r="G1412" s="470"/>
      <c r="H1412" s="470">
        <v>1405</v>
      </c>
      <c r="I1412" s="455">
        <f t="shared" ca="1" si="110"/>
        <v>-147136707.60400993</v>
      </c>
      <c r="J1412" s="455">
        <f t="array" ref="J1412">IFERROR(INDEX('Retirement Calculator'!K:K,MATCH('Lorri 401b'!N1412,'Retirement Calculator'!A:A,0),0),0)</f>
        <v>0</v>
      </c>
      <c r="K1412" s="455">
        <f t="shared" ca="1" si="108"/>
        <v>-613069.61501670803</v>
      </c>
      <c r="L1412" s="455">
        <f t="shared" ca="1" si="109"/>
        <v>-147749777.21902663</v>
      </c>
      <c r="M1412" s="471">
        <f t="shared" si="111"/>
        <v>0.05</v>
      </c>
      <c r="N1412" s="475">
        <f t="shared" si="112"/>
        <v>94021</v>
      </c>
    </row>
    <row r="1413" spans="7:14" ht="11.25" customHeight="1" x14ac:dyDescent="0.3">
      <c r="G1413" s="470"/>
      <c r="H1413" s="470">
        <v>1406</v>
      </c>
      <c r="I1413" s="455">
        <f t="shared" ca="1" si="110"/>
        <v>-147749777.21902663</v>
      </c>
      <c r="J1413" s="455">
        <f t="array" ref="J1413">IFERROR(INDEX('Retirement Calculator'!K:K,MATCH('Lorri 401b'!N1413,'Retirement Calculator'!A:A,0),0),0)</f>
        <v>0</v>
      </c>
      <c r="K1413" s="455">
        <f t="shared" ca="1" si="108"/>
        <v>-615624.07174594421</v>
      </c>
      <c r="L1413" s="455">
        <f t="shared" ca="1" si="109"/>
        <v>-148365401.29077256</v>
      </c>
      <c r="M1413" s="471">
        <f t="shared" si="111"/>
        <v>0.05</v>
      </c>
      <c r="N1413" s="475">
        <f t="shared" si="112"/>
        <v>94051</v>
      </c>
    </row>
    <row r="1414" spans="7:14" ht="11.25" customHeight="1" x14ac:dyDescent="0.3">
      <c r="G1414" s="470"/>
      <c r="H1414" s="470">
        <v>1407</v>
      </c>
      <c r="I1414" s="455">
        <f t="shared" ca="1" si="110"/>
        <v>-148365401.29077256</v>
      </c>
      <c r="J1414" s="455">
        <f t="array" ref="J1414">IFERROR(INDEX('Retirement Calculator'!K:K,MATCH('Lorri 401b'!N1414,'Retirement Calculator'!A:A,0),0),0)</f>
        <v>0</v>
      </c>
      <c r="K1414" s="455">
        <f t="shared" ca="1" si="108"/>
        <v>-618189.17204488569</v>
      </c>
      <c r="L1414" s="455">
        <f t="shared" ca="1" si="109"/>
        <v>-148983590.46281743</v>
      </c>
      <c r="M1414" s="471">
        <f t="shared" si="111"/>
        <v>0.05</v>
      </c>
      <c r="N1414" s="475">
        <f t="shared" si="112"/>
        <v>94082</v>
      </c>
    </row>
    <row r="1415" spans="7:14" ht="11.25" customHeight="1" x14ac:dyDescent="0.3">
      <c r="G1415" s="470"/>
      <c r="H1415" s="470">
        <v>1408</v>
      </c>
      <c r="I1415" s="455">
        <f t="shared" ca="1" si="110"/>
        <v>-148983590.46281743</v>
      </c>
      <c r="J1415" s="455">
        <f t="array" ref="J1415">IFERROR(INDEX('Retirement Calculator'!K:K,MATCH('Lorri 401b'!N1415,'Retirement Calculator'!A:A,0),0),0)</f>
        <v>0</v>
      </c>
      <c r="K1415" s="455">
        <f t="shared" ca="1" si="108"/>
        <v>-620764.96026173932</v>
      </c>
      <c r="L1415" s="455">
        <f t="shared" ca="1" si="109"/>
        <v>-149604355.42307916</v>
      </c>
      <c r="M1415" s="471">
        <f t="shared" si="111"/>
        <v>0.05</v>
      </c>
      <c r="N1415" s="475">
        <f t="shared" si="112"/>
        <v>94113</v>
      </c>
    </row>
    <row r="1416" spans="7:14" ht="11.25" customHeight="1" x14ac:dyDescent="0.3">
      <c r="G1416" s="470"/>
      <c r="H1416" s="470">
        <v>1409</v>
      </c>
      <c r="I1416" s="455">
        <f t="shared" ca="1" si="110"/>
        <v>-149604355.42307916</v>
      </c>
      <c r="J1416" s="455">
        <f t="array" ref="J1416">IFERROR(INDEX('Retirement Calculator'!K:K,MATCH('Lorri 401b'!N1416,'Retirement Calculator'!A:A,0),0),0)</f>
        <v>0</v>
      </c>
      <c r="K1416" s="455">
        <f t="shared" ca="1" si="108"/>
        <v>-623351.48092949647</v>
      </c>
      <c r="L1416" s="455">
        <f t="shared" ca="1" si="109"/>
        <v>-150227706.90400866</v>
      </c>
      <c r="M1416" s="471">
        <f t="shared" si="111"/>
        <v>0.05</v>
      </c>
      <c r="N1416" s="475">
        <f t="shared" si="112"/>
        <v>94143</v>
      </c>
    </row>
    <row r="1417" spans="7:14" ht="11.25" customHeight="1" x14ac:dyDescent="0.3">
      <c r="G1417" s="470"/>
      <c r="H1417" s="470">
        <v>1410</v>
      </c>
      <c r="I1417" s="455">
        <f t="shared" ca="1" si="110"/>
        <v>-150227706.90400866</v>
      </c>
      <c r="J1417" s="455">
        <f t="array" ref="J1417">IFERROR(INDEX('Retirement Calculator'!K:K,MATCH('Lorri 401b'!N1417,'Retirement Calculator'!A:A,0),0),0)</f>
        <v>0</v>
      </c>
      <c r="K1417" s="455">
        <f t="shared" ca="1" si="108"/>
        <v>-625948.77876670274</v>
      </c>
      <c r="L1417" s="455">
        <f t="shared" ca="1" si="109"/>
        <v>-150853655.68277535</v>
      </c>
      <c r="M1417" s="471">
        <f t="shared" si="111"/>
        <v>0.05</v>
      </c>
      <c r="N1417" s="475">
        <f t="shared" si="112"/>
        <v>94174</v>
      </c>
    </row>
    <row r="1418" spans="7:14" ht="11.25" customHeight="1" x14ac:dyDescent="0.3">
      <c r="G1418" s="470"/>
      <c r="H1418" s="470">
        <v>1411</v>
      </c>
      <c r="I1418" s="455">
        <f t="shared" ca="1" si="110"/>
        <v>-150853655.68277535</v>
      </c>
      <c r="J1418" s="455">
        <f t="array" ref="J1418">IFERROR(INDEX('Retirement Calculator'!K:K,MATCH('Lorri 401b'!N1418,'Retirement Calculator'!A:A,0),0),0)</f>
        <v>0</v>
      </c>
      <c r="K1418" s="455">
        <f t="shared" ca="1" si="108"/>
        <v>-628556.89867823059</v>
      </c>
      <c r="L1418" s="455">
        <f t="shared" ca="1" si="109"/>
        <v>-151482212.58145359</v>
      </c>
      <c r="M1418" s="471">
        <f t="shared" si="111"/>
        <v>0.05</v>
      </c>
      <c r="N1418" s="475">
        <f t="shared" si="112"/>
        <v>94204</v>
      </c>
    </row>
    <row r="1419" spans="7:14" ht="11.25" customHeight="1" x14ac:dyDescent="0.3">
      <c r="G1419" s="470"/>
      <c r="H1419" s="470">
        <v>1412</v>
      </c>
      <c r="I1419" s="455">
        <f t="shared" ca="1" si="110"/>
        <v>-151482212.58145359</v>
      </c>
      <c r="J1419" s="455">
        <f t="array" ref="J1419">IFERROR(INDEX('Retirement Calculator'!K:K,MATCH('Lorri 401b'!N1419,'Retirement Calculator'!A:A,0),0),0)</f>
        <v>0</v>
      </c>
      <c r="K1419" s="455">
        <f t="shared" ca="1" si="108"/>
        <v>-631175.88575605664</v>
      </c>
      <c r="L1419" s="455">
        <f t="shared" ca="1" si="109"/>
        <v>-152113388.46720964</v>
      </c>
      <c r="M1419" s="471">
        <f t="shared" si="111"/>
        <v>0.05</v>
      </c>
      <c r="N1419" s="475">
        <f t="shared" si="112"/>
        <v>94235</v>
      </c>
    </row>
    <row r="1420" spans="7:14" ht="11.25" customHeight="1" x14ac:dyDescent="0.3">
      <c r="G1420" s="470"/>
      <c r="H1420" s="470">
        <v>1413</v>
      </c>
      <c r="I1420" s="455">
        <f t="shared" ca="1" si="110"/>
        <v>-152113388.46720964</v>
      </c>
      <c r="J1420" s="455">
        <f t="array" ref="J1420">IFERROR(INDEX('Retirement Calculator'!K:K,MATCH('Lorri 401b'!N1420,'Retirement Calculator'!A:A,0),0),0)</f>
        <v>0</v>
      </c>
      <c r="K1420" s="455">
        <f t="shared" ca="1" si="108"/>
        <v>-633805.78528004012</v>
      </c>
      <c r="L1420" s="455">
        <f t="shared" ca="1" si="109"/>
        <v>-152747194.25248969</v>
      </c>
      <c r="M1420" s="471">
        <f t="shared" si="111"/>
        <v>0.05</v>
      </c>
      <c r="N1420" s="475">
        <f t="shared" si="112"/>
        <v>94266</v>
      </c>
    </row>
    <row r="1421" spans="7:14" ht="11.25" customHeight="1" x14ac:dyDescent="0.3">
      <c r="G1421" s="470"/>
      <c r="H1421" s="470">
        <v>1414</v>
      </c>
      <c r="I1421" s="455">
        <f t="shared" ca="1" si="110"/>
        <v>-152747194.25248969</v>
      </c>
      <c r="J1421" s="455">
        <f t="array" ref="J1421">IFERROR(INDEX('Retirement Calculator'!K:K,MATCH('Lorri 401b'!N1421,'Retirement Calculator'!A:A,0),0),0)</f>
        <v>0</v>
      </c>
      <c r="K1421" s="455">
        <f t="shared" ca="1" si="108"/>
        <v>-636446.64271870698</v>
      </c>
      <c r="L1421" s="455">
        <f t="shared" ca="1" si="109"/>
        <v>-153383640.89520839</v>
      </c>
      <c r="M1421" s="471">
        <f t="shared" si="111"/>
        <v>0.05</v>
      </c>
      <c r="N1421" s="475">
        <f t="shared" si="112"/>
        <v>94294</v>
      </c>
    </row>
    <row r="1422" spans="7:14" ht="11.25" customHeight="1" x14ac:dyDescent="0.3">
      <c r="G1422" s="470"/>
      <c r="H1422" s="470">
        <v>1415</v>
      </c>
      <c r="I1422" s="455">
        <f t="shared" ca="1" si="110"/>
        <v>-153383640.89520839</v>
      </c>
      <c r="J1422" s="455">
        <f t="array" ref="J1422">IFERROR(INDEX('Retirement Calculator'!K:K,MATCH('Lorri 401b'!N1422,'Retirement Calculator'!A:A,0),0),0)</f>
        <v>0</v>
      </c>
      <c r="K1422" s="455">
        <f t="shared" ca="1" si="108"/>
        <v>-639098.50373003492</v>
      </c>
      <c r="L1422" s="455">
        <f t="shared" ca="1" si="109"/>
        <v>-154022739.39893842</v>
      </c>
      <c r="M1422" s="471">
        <f t="shared" si="111"/>
        <v>0.05</v>
      </c>
      <c r="N1422" s="475">
        <f t="shared" si="112"/>
        <v>94325</v>
      </c>
    </row>
    <row r="1423" spans="7:14" ht="11.25" customHeight="1" x14ac:dyDescent="0.3">
      <c r="G1423" s="470"/>
      <c r="H1423" s="470">
        <v>1416</v>
      </c>
      <c r="I1423" s="455">
        <f t="shared" ca="1" si="110"/>
        <v>-154022739.39893842</v>
      </c>
      <c r="J1423" s="455">
        <f t="array" ref="J1423">IFERROR(INDEX('Retirement Calculator'!K:K,MATCH('Lorri 401b'!N1423,'Retirement Calculator'!A:A,0),0),0)</f>
        <v>0</v>
      </c>
      <c r="K1423" s="455">
        <f t="shared" ca="1" si="108"/>
        <v>-641761.41416224337</v>
      </c>
      <c r="L1423" s="455">
        <f t="shared" ca="1" si="109"/>
        <v>-154664500.81310067</v>
      </c>
      <c r="M1423" s="471">
        <f t="shared" si="111"/>
        <v>0.05</v>
      </c>
      <c r="N1423" s="475">
        <f t="shared" si="112"/>
        <v>94355</v>
      </c>
    </row>
    <row r="1424" spans="7:14" ht="11.25" customHeight="1" x14ac:dyDescent="0.3">
      <c r="G1424" s="470"/>
      <c r="H1424" s="470">
        <v>1417</v>
      </c>
      <c r="I1424" s="455">
        <f t="shared" ca="1" si="110"/>
        <v>-154664500.81310067</v>
      </c>
      <c r="J1424" s="455">
        <f t="array" ref="J1424">IFERROR(INDEX('Retirement Calculator'!K:K,MATCH('Lorri 401b'!N1424,'Retirement Calculator'!A:A,0),0),0)</f>
        <v>0</v>
      </c>
      <c r="K1424" s="455">
        <f t="shared" ca="1" si="108"/>
        <v>-644435.42005458614</v>
      </c>
      <c r="L1424" s="455">
        <f t="shared" ca="1" si="109"/>
        <v>-155308936.23315525</v>
      </c>
      <c r="M1424" s="471">
        <f t="shared" si="111"/>
        <v>0.05</v>
      </c>
      <c r="N1424" s="475">
        <f t="shared" si="112"/>
        <v>94386</v>
      </c>
    </row>
    <row r="1425" spans="7:14" ht="11.25" customHeight="1" x14ac:dyDescent="0.3">
      <c r="G1425" s="470"/>
      <c r="H1425" s="470">
        <v>1418</v>
      </c>
      <c r="I1425" s="455">
        <f t="shared" ca="1" si="110"/>
        <v>-155308936.23315525</v>
      </c>
      <c r="J1425" s="455">
        <f t="array" ref="J1425">IFERROR(INDEX('Retirement Calculator'!K:K,MATCH('Lorri 401b'!N1425,'Retirement Calculator'!A:A,0),0),0)</f>
        <v>0</v>
      </c>
      <c r="K1425" s="455">
        <f t="shared" ca="1" si="108"/>
        <v>-647120.56763814692</v>
      </c>
      <c r="L1425" s="455">
        <f t="shared" ca="1" si="109"/>
        <v>-155956056.80079341</v>
      </c>
      <c r="M1425" s="471">
        <f t="shared" si="111"/>
        <v>0.05</v>
      </c>
      <c r="N1425" s="475">
        <f t="shared" si="112"/>
        <v>94416</v>
      </c>
    </row>
    <row r="1426" spans="7:14" ht="11.25" customHeight="1" x14ac:dyDescent="0.3">
      <c r="G1426" s="470"/>
      <c r="H1426" s="470">
        <v>1419</v>
      </c>
      <c r="I1426" s="455">
        <f t="shared" ca="1" si="110"/>
        <v>-155956056.80079341</v>
      </c>
      <c r="J1426" s="455">
        <f t="array" ref="J1426">IFERROR(INDEX('Retirement Calculator'!K:K,MATCH('Lorri 401b'!N1426,'Retirement Calculator'!A:A,0),0),0)</f>
        <v>0</v>
      </c>
      <c r="K1426" s="455">
        <f t="shared" ca="1" si="108"/>
        <v>-649816.90333663917</v>
      </c>
      <c r="L1426" s="455">
        <f t="shared" ca="1" si="109"/>
        <v>-156605873.70413005</v>
      </c>
      <c r="M1426" s="471">
        <f t="shared" si="111"/>
        <v>0.05</v>
      </c>
      <c r="N1426" s="475">
        <f t="shared" si="112"/>
        <v>94447</v>
      </c>
    </row>
    <row r="1427" spans="7:14" ht="11.25" customHeight="1" x14ac:dyDescent="0.3">
      <c r="G1427" s="470"/>
      <c r="H1427" s="470">
        <v>1420</v>
      </c>
      <c r="I1427" s="455">
        <f t="shared" ca="1" si="110"/>
        <v>-156605873.70413005</v>
      </c>
      <c r="J1427" s="455">
        <f t="array" ref="J1427">IFERROR(INDEX('Retirement Calculator'!K:K,MATCH('Lorri 401b'!N1427,'Retirement Calculator'!A:A,0),0),0)</f>
        <v>0</v>
      </c>
      <c r="K1427" s="455">
        <f t="shared" ca="1" si="108"/>
        <v>-652524.47376720852</v>
      </c>
      <c r="L1427" s="455">
        <f t="shared" ca="1" si="109"/>
        <v>-157258398.17789727</v>
      </c>
      <c r="M1427" s="471">
        <f t="shared" si="111"/>
        <v>0.05</v>
      </c>
      <c r="N1427" s="475">
        <f t="shared" si="112"/>
        <v>94478</v>
      </c>
    </row>
    <row r="1428" spans="7:14" ht="11.25" customHeight="1" x14ac:dyDescent="0.3">
      <c r="G1428" s="470"/>
      <c r="H1428" s="470">
        <v>1421</v>
      </c>
      <c r="I1428" s="455">
        <f t="shared" ca="1" si="110"/>
        <v>-157258398.17789727</v>
      </c>
      <c r="J1428" s="455">
        <f t="array" ref="J1428">IFERROR(INDEX('Retirement Calculator'!K:K,MATCH('Lorri 401b'!N1428,'Retirement Calculator'!A:A,0),0),0)</f>
        <v>0</v>
      </c>
      <c r="K1428" s="455">
        <f t="shared" ca="1" si="108"/>
        <v>-655243.32574123866</v>
      </c>
      <c r="L1428" s="455">
        <f t="shared" ca="1" si="109"/>
        <v>-157913641.50363851</v>
      </c>
      <c r="M1428" s="471">
        <f t="shared" si="111"/>
        <v>0.05</v>
      </c>
      <c r="N1428" s="475">
        <f t="shared" si="112"/>
        <v>94508</v>
      </c>
    </row>
    <row r="1429" spans="7:14" ht="11.25" customHeight="1" x14ac:dyDescent="0.3">
      <c r="G1429" s="470"/>
      <c r="H1429" s="470">
        <v>1422</v>
      </c>
      <c r="I1429" s="455">
        <f t="shared" ca="1" si="110"/>
        <v>-157913641.50363851</v>
      </c>
      <c r="J1429" s="455">
        <f t="array" ref="J1429">IFERROR(INDEX('Retirement Calculator'!K:K,MATCH('Lorri 401b'!N1429,'Retirement Calculator'!A:A,0),0),0)</f>
        <v>0</v>
      </c>
      <c r="K1429" s="455">
        <f t="shared" ca="1" si="108"/>
        <v>-657973.50626516039</v>
      </c>
      <c r="L1429" s="455">
        <f t="shared" ca="1" si="109"/>
        <v>-158571615.00990367</v>
      </c>
      <c r="M1429" s="471">
        <f t="shared" si="111"/>
        <v>0.05</v>
      </c>
      <c r="N1429" s="475">
        <f t="shared" si="112"/>
        <v>94539</v>
      </c>
    </row>
    <row r="1430" spans="7:14" ht="11.25" customHeight="1" x14ac:dyDescent="0.3">
      <c r="G1430" s="470"/>
      <c r="H1430" s="470">
        <v>1423</v>
      </c>
      <c r="I1430" s="455">
        <f t="shared" ca="1" si="110"/>
        <v>-158571615.00990367</v>
      </c>
      <c r="J1430" s="455">
        <f t="array" ref="J1430">IFERROR(INDEX('Retirement Calculator'!K:K,MATCH('Lorri 401b'!N1430,'Retirement Calculator'!A:A,0),0),0)</f>
        <v>0</v>
      </c>
      <c r="K1430" s="455">
        <f t="shared" ca="1" si="108"/>
        <v>-660715.06254126527</v>
      </c>
      <c r="L1430" s="455">
        <f t="shared" ca="1" si="109"/>
        <v>-159232330.07244495</v>
      </c>
      <c r="M1430" s="471">
        <f t="shared" si="111"/>
        <v>0.05</v>
      </c>
      <c r="N1430" s="475">
        <f t="shared" si="112"/>
        <v>94569</v>
      </c>
    </row>
    <row r="1431" spans="7:14" ht="11.25" customHeight="1" x14ac:dyDescent="0.3">
      <c r="G1431" s="470"/>
      <c r="H1431" s="470">
        <v>1424</v>
      </c>
      <c r="I1431" s="455">
        <f t="shared" ca="1" si="110"/>
        <v>-159232330.07244495</v>
      </c>
      <c r="J1431" s="455">
        <f t="array" ref="J1431">IFERROR(INDEX('Retirement Calculator'!K:K,MATCH('Lorri 401b'!N1431,'Retirement Calculator'!A:A,0),0),0)</f>
        <v>0</v>
      </c>
      <c r="K1431" s="455">
        <f t="shared" ca="1" si="108"/>
        <v>-663468.04196852061</v>
      </c>
      <c r="L1431" s="455">
        <f t="shared" ca="1" si="109"/>
        <v>-159895798.11441347</v>
      </c>
      <c r="M1431" s="471">
        <f t="shared" si="111"/>
        <v>0.05</v>
      </c>
      <c r="N1431" s="475">
        <f t="shared" si="112"/>
        <v>94600</v>
      </c>
    </row>
    <row r="1432" spans="7:14" ht="11.25" customHeight="1" x14ac:dyDescent="0.3">
      <c r="G1432" s="470"/>
      <c r="H1432" s="470">
        <v>1425</v>
      </c>
      <c r="I1432" s="455">
        <f t="shared" ca="1" si="110"/>
        <v>-159895798.11441347</v>
      </c>
      <c r="J1432" s="455">
        <f t="array" ref="J1432">IFERROR(INDEX('Retirement Calculator'!K:K,MATCH('Lorri 401b'!N1432,'Retirement Calculator'!A:A,0),0),0)</f>
        <v>0</v>
      </c>
      <c r="K1432" s="455">
        <f t="shared" ca="1" si="108"/>
        <v>-666232.49214338942</v>
      </c>
      <c r="L1432" s="455">
        <f t="shared" ca="1" si="109"/>
        <v>-160562030.60655686</v>
      </c>
      <c r="M1432" s="471">
        <f t="shared" si="111"/>
        <v>0.05</v>
      </c>
      <c r="N1432" s="475">
        <f t="shared" si="112"/>
        <v>94631</v>
      </c>
    </row>
    <row r="1433" spans="7:14" ht="11.25" customHeight="1" x14ac:dyDescent="0.3">
      <c r="G1433" s="470"/>
      <c r="H1433" s="470">
        <v>1426</v>
      </c>
      <c r="I1433" s="455">
        <f t="shared" ca="1" si="110"/>
        <v>-160562030.60655686</v>
      </c>
      <c r="J1433" s="455">
        <f t="array" ref="J1433">IFERROR(INDEX('Retirement Calculator'!K:K,MATCH('Lorri 401b'!N1433,'Retirement Calculator'!A:A,0),0),0)</f>
        <v>0</v>
      </c>
      <c r="K1433" s="455">
        <f t="shared" ca="1" si="108"/>
        <v>-669008.46086065355</v>
      </c>
      <c r="L1433" s="455">
        <f t="shared" ca="1" si="109"/>
        <v>-161231039.0674175</v>
      </c>
      <c r="M1433" s="471">
        <f t="shared" si="111"/>
        <v>0.05</v>
      </c>
      <c r="N1433" s="475">
        <f t="shared" si="112"/>
        <v>94659</v>
      </c>
    </row>
    <row r="1434" spans="7:14" ht="11.25" customHeight="1" x14ac:dyDescent="0.3">
      <c r="G1434" s="470"/>
      <c r="H1434" s="470">
        <v>1427</v>
      </c>
      <c r="I1434" s="455">
        <f t="shared" ca="1" si="110"/>
        <v>-161231039.0674175</v>
      </c>
      <c r="J1434" s="455">
        <f t="array" ref="J1434">IFERROR(INDEX('Retirement Calculator'!K:K,MATCH('Lorri 401b'!N1434,'Retirement Calculator'!A:A,0),0),0)</f>
        <v>0</v>
      </c>
      <c r="K1434" s="455">
        <f t="shared" ca="1" si="108"/>
        <v>-671795.99611423956</v>
      </c>
      <c r="L1434" s="455">
        <f t="shared" ca="1" si="109"/>
        <v>-161902835.06353176</v>
      </c>
      <c r="M1434" s="471">
        <f t="shared" si="111"/>
        <v>0.05</v>
      </c>
      <c r="N1434" s="475">
        <f t="shared" si="112"/>
        <v>94690</v>
      </c>
    </row>
    <row r="1435" spans="7:14" ht="11.25" customHeight="1" x14ac:dyDescent="0.3">
      <c r="G1435" s="470"/>
      <c r="H1435" s="470">
        <v>1428</v>
      </c>
      <c r="I1435" s="455">
        <f t="shared" ca="1" si="110"/>
        <v>-161902835.06353176</v>
      </c>
      <c r="J1435" s="455">
        <f t="array" ref="J1435">IFERROR(INDEX('Retirement Calculator'!K:K,MATCH('Lorri 401b'!N1435,'Retirement Calculator'!A:A,0),0),0)</f>
        <v>0</v>
      </c>
      <c r="K1435" s="455">
        <f t="shared" ca="1" si="108"/>
        <v>-674595.14609804901</v>
      </c>
      <c r="L1435" s="455">
        <f t="shared" ca="1" si="109"/>
        <v>-162577430.2096298</v>
      </c>
      <c r="M1435" s="471">
        <f t="shared" si="111"/>
        <v>0.05</v>
      </c>
      <c r="N1435" s="475">
        <f t="shared" si="112"/>
        <v>94720</v>
      </c>
    </row>
    <row r="1436" spans="7:14" ht="11.25" customHeight="1" x14ac:dyDescent="0.3">
      <c r="G1436" s="470"/>
      <c r="H1436" s="470">
        <v>1429</v>
      </c>
      <c r="I1436" s="455">
        <f t="shared" ca="1" si="110"/>
        <v>-162577430.2096298</v>
      </c>
      <c r="J1436" s="455">
        <f t="array" ref="J1436">IFERROR(INDEX('Retirement Calculator'!K:K,MATCH('Lorri 401b'!N1436,'Retirement Calculator'!A:A,0),0),0)</f>
        <v>0</v>
      </c>
      <c r="K1436" s="455">
        <f t="shared" ca="1" si="108"/>
        <v>-677405.9592067909</v>
      </c>
      <c r="L1436" s="455">
        <f t="shared" ca="1" si="109"/>
        <v>-163254836.16883659</v>
      </c>
      <c r="M1436" s="471">
        <f t="shared" si="111"/>
        <v>0.05</v>
      </c>
      <c r="N1436" s="475">
        <f t="shared" si="112"/>
        <v>94751</v>
      </c>
    </row>
    <row r="1437" spans="7:14" ht="11.25" customHeight="1" x14ac:dyDescent="0.3">
      <c r="G1437" s="470"/>
      <c r="H1437" s="470">
        <v>1430</v>
      </c>
      <c r="I1437" s="455">
        <f t="shared" ca="1" si="110"/>
        <v>-163254836.16883659</v>
      </c>
      <c r="J1437" s="455">
        <f t="array" ref="J1437">IFERROR(INDEX('Retirement Calculator'!K:K,MATCH('Lorri 401b'!N1437,'Retirement Calculator'!A:A,0),0),0)</f>
        <v>0</v>
      </c>
      <c r="K1437" s="455">
        <f t="shared" ca="1" si="108"/>
        <v>-680228.48403681908</v>
      </c>
      <c r="L1437" s="455">
        <f t="shared" ca="1" si="109"/>
        <v>-163935064.65287343</v>
      </c>
      <c r="M1437" s="471">
        <f t="shared" si="111"/>
        <v>0.05</v>
      </c>
      <c r="N1437" s="475">
        <f t="shared" si="112"/>
        <v>94781</v>
      </c>
    </row>
    <row r="1438" spans="7:14" ht="11.25" customHeight="1" x14ac:dyDescent="0.3">
      <c r="G1438" s="470"/>
      <c r="H1438" s="470">
        <v>1431</v>
      </c>
      <c r="I1438" s="455">
        <f t="shared" ca="1" si="110"/>
        <v>-163935064.65287343</v>
      </c>
      <c r="J1438" s="455">
        <f t="array" ref="J1438">IFERROR(INDEX('Retirement Calculator'!K:K,MATCH('Lorri 401b'!N1438,'Retirement Calculator'!A:A,0),0),0)</f>
        <v>0</v>
      </c>
      <c r="K1438" s="455">
        <f t="shared" ca="1" si="108"/>
        <v>-683062.76938697265</v>
      </c>
      <c r="L1438" s="455">
        <f t="shared" ca="1" si="109"/>
        <v>-164618127.4222604</v>
      </c>
      <c r="M1438" s="471">
        <f t="shared" si="111"/>
        <v>0.05</v>
      </c>
      <c r="N1438" s="475">
        <f t="shared" si="112"/>
        <v>94812</v>
      </c>
    </row>
    <row r="1439" spans="7:14" ht="11.25" customHeight="1" x14ac:dyDescent="0.3">
      <c r="G1439" s="470"/>
      <c r="H1439" s="470">
        <v>1432</v>
      </c>
      <c r="I1439" s="455">
        <f t="shared" ca="1" si="110"/>
        <v>-164618127.4222604</v>
      </c>
      <c r="J1439" s="455">
        <f t="array" ref="J1439">IFERROR(INDEX('Retirement Calculator'!K:K,MATCH('Lorri 401b'!N1439,'Retirement Calculator'!A:A,0),0),0)</f>
        <v>0</v>
      </c>
      <c r="K1439" s="455">
        <f t="shared" ca="1" si="108"/>
        <v>-685908.86425941833</v>
      </c>
      <c r="L1439" s="455">
        <f t="shared" ca="1" si="109"/>
        <v>-165304036.28651983</v>
      </c>
      <c r="M1439" s="471">
        <f t="shared" si="111"/>
        <v>0.05</v>
      </c>
      <c r="N1439" s="475">
        <f t="shared" si="112"/>
        <v>94843</v>
      </c>
    </row>
    <row r="1440" spans="7:14" ht="11.25" customHeight="1" x14ac:dyDescent="0.3">
      <c r="G1440" s="470"/>
      <c r="H1440" s="470">
        <v>1433</v>
      </c>
      <c r="I1440" s="455">
        <f t="shared" ca="1" si="110"/>
        <v>-165304036.28651983</v>
      </c>
      <c r="J1440" s="455">
        <f t="array" ref="J1440">IFERROR(INDEX('Retirement Calculator'!K:K,MATCH('Lorri 401b'!N1440,'Retirement Calculator'!A:A,0),0),0)</f>
        <v>0</v>
      </c>
      <c r="K1440" s="455">
        <f t="shared" ca="1" si="108"/>
        <v>-688766.81786049926</v>
      </c>
      <c r="L1440" s="455">
        <f t="shared" ca="1" si="109"/>
        <v>-165992803.10438034</v>
      </c>
      <c r="M1440" s="471">
        <f t="shared" si="111"/>
        <v>0.05</v>
      </c>
      <c r="N1440" s="475">
        <f t="shared" si="112"/>
        <v>94873</v>
      </c>
    </row>
    <row r="1441" spans="7:14" ht="11.25" customHeight="1" x14ac:dyDescent="0.3">
      <c r="G1441" s="470"/>
      <c r="H1441" s="470">
        <v>1434</v>
      </c>
      <c r="I1441" s="455">
        <f t="shared" ca="1" si="110"/>
        <v>-165992803.10438034</v>
      </c>
      <c r="J1441" s="455">
        <f t="array" ref="J1441">IFERROR(INDEX('Retirement Calculator'!K:K,MATCH('Lorri 401b'!N1441,'Retirement Calculator'!A:A,0),0),0)</f>
        <v>0</v>
      </c>
      <c r="K1441" s="455">
        <f t="shared" ca="1" si="108"/>
        <v>-691636.67960158479</v>
      </c>
      <c r="L1441" s="455">
        <f t="shared" ca="1" si="109"/>
        <v>-166684439.78398192</v>
      </c>
      <c r="M1441" s="471">
        <f t="shared" si="111"/>
        <v>0.05</v>
      </c>
      <c r="N1441" s="475">
        <f t="shared" si="112"/>
        <v>94904</v>
      </c>
    </row>
    <row r="1442" spans="7:14" ht="11.25" customHeight="1" x14ac:dyDescent="0.3">
      <c r="G1442" s="470"/>
      <c r="H1442" s="470">
        <v>1435</v>
      </c>
      <c r="I1442" s="455">
        <f t="shared" ca="1" si="110"/>
        <v>-166684439.78398192</v>
      </c>
      <c r="J1442" s="455">
        <f t="array" ref="J1442">IFERROR(INDEX('Retirement Calculator'!K:K,MATCH('Lorri 401b'!N1442,'Retirement Calculator'!A:A,0),0),0)</f>
        <v>0</v>
      </c>
      <c r="K1442" s="455">
        <f t="shared" ca="1" si="108"/>
        <v>-694518.49909992469</v>
      </c>
      <c r="L1442" s="455">
        <f t="shared" ca="1" si="109"/>
        <v>-167378958.28308183</v>
      </c>
      <c r="M1442" s="471">
        <f t="shared" si="111"/>
        <v>0.05</v>
      </c>
      <c r="N1442" s="475">
        <f t="shared" si="112"/>
        <v>94934</v>
      </c>
    </row>
    <row r="1443" spans="7:14" ht="11.25" customHeight="1" x14ac:dyDescent="0.3">
      <c r="G1443" s="470"/>
      <c r="H1443" s="470">
        <v>1436</v>
      </c>
      <c r="I1443" s="455">
        <f t="shared" ca="1" si="110"/>
        <v>-167378958.28308183</v>
      </c>
      <c r="J1443" s="455">
        <f t="array" ref="J1443">IFERROR(INDEX('Retirement Calculator'!K:K,MATCH('Lorri 401b'!N1443,'Retirement Calculator'!A:A,0),0),0)</f>
        <v>0</v>
      </c>
      <c r="K1443" s="455">
        <f t="shared" ca="1" si="108"/>
        <v>-697412.32617950765</v>
      </c>
      <c r="L1443" s="455">
        <f t="shared" ca="1" si="109"/>
        <v>-168076370.60926133</v>
      </c>
      <c r="M1443" s="471">
        <f t="shared" si="111"/>
        <v>0.05</v>
      </c>
      <c r="N1443" s="475">
        <f t="shared" si="112"/>
        <v>94965</v>
      </c>
    </row>
    <row r="1444" spans="7:14" ht="11.25" customHeight="1" x14ac:dyDescent="0.3">
      <c r="G1444" s="470"/>
      <c r="H1444" s="470">
        <v>1437</v>
      </c>
      <c r="I1444" s="455">
        <f t="shared" ca="1" si="110"/>
        <v>-168076370.60926133</v>
      </c>
      <c r="J1444" s="455">
        <f t="array" ref="J1444">IFERROR(INDEX('Retirement Calculator'!K:K,MATCH('Lorri 401b'!N1444,'Retirement Calculator'!A:A,0),0),0)</f>
        <v>0</v>
      </c>
      <c r="K1444" s="455">
        <f t="shared" ca="1" si="108"/>
        <v>-700318.2108719222</v>
      </c>
      <c r="L1444" s="455">
        <f t="shared" ca="1" si="109"/>
        <v>-168776688.82013327</v>
      </c>
      <c r="M1444" s="471">
        <f t="shared" si="111"/>
        <v>0.05</v>
      </c>
      <c r="N1444" s="475">
        <f t="shared" si="112"/>
        <v>94996</v>
      </c>
    </row>
    <row r="1445" spans="7:14" ht="11.25" customHeight="1" x14ac:dyDescent="0.3">
      <c r="G1445" s="470"/>
      <c r="H1445" s="470">
        <v>1438</v>
      </c>
      <c r="I1445" s="455">
        <f t="shared" ca="1" si="110"/>
        <v>-168776688.82013327</v>
      </c>
      <c r="J1445" s="455">
        <f t="array" ref="J1445">IFERROR(INDEX('Retirement Calculator'!K:K,MATCH('Lorri 401b'!N1445,'Retirement Calculator'!A:A,0),0),0)</f>
        <v>0</v>
      </c>
      <c r="K1445" s="455">
        <f t="shared" ca="1" si="108"/>
        <v>-703236.2034172219</v>
      </c>
      <c r="L1445" s="455">
        <f t="shared" ca="1" si="109"/>
        <v>-169479925.02355048</v>
      </c>
      <c r="M1445" s="471">
        <f t="shared" si="111"/>
        <v>0.05</v>
      </c>
      <c r="N1445" s="475">
        <f t="shared" si="112"/>
        <v>95025</v>
      </c>
    </row>
    <row r="1446" spans="7:14" ht="11.25" customHeight="1" x14ac:dyDescent="0.3">
      <c r="G1446" s="470"/>
      <c r="H1446" s="470">
        <v>1439</v>
      </c>
      <c r="I1446" s="455">
        <f t="shared" ca="1" si="110"/>
        <v>-169479925.02355048</v>
      </c>
      <c r="J1446" s="455">
        <f t="array" ref="J1446">IFERROR(INDEX('Retirement Calculator'!K:K,MATCH('Lorri 401b'!N1446,'Retirement Calculator'!A:A,0),0),0)</f>
        <v>0</v>
      </c>
      <c r="K1446" s="455">
        <f t="shared" ca="1" si="108"/>
        <v>-706166.35426479368</v>
      </c>
      <c r="L1446" s="455">
        <f t="shared" ca="1" si="109"/>
        <v>-170186091.37781528</v>
      </c>
      <c r="M1446" s="471">
        <f t="shared" si="111"/>
        <v>0.05</v>
      </c>
      <c r="N1446" s="475">
        <f t="shared" si="112"/>
        <v>95056</v>
      </c>
    </row>
    <row r="1447" spans="7:14" ht="11.25" customHeight="1" x14ac:dyDescent="0.3">
      <c r="G1447" s="470"/>
      <c r="H1447" s="470">
        <v>1440</v>
      </c>
      <c r="I1447" s="455">
        <f t="shared" ca="1" si="110"/>
        <v>-170186091.37781528</v>
      </c>
      <c r="J1447" s="455">
        <f t="array" ref="J1447">IFERROR(INDEX('Retirement Calculator'!K:K,MATCH('Lorri 401b'!N1447,'Retirement Calculator'!A:A,0),0),0)</f>
        <v>0</v>
      </c>
      <c r="K1447" s="455">
        <f t="shared" ca="1" si="108"/>
        <v>-709108.71407423029</v>
      </c>
      <c r="L1447" s="455">
        <f t="shared" ca="1" si="109"/>
        <v>-170895200.0918895</v>
      </c>
      <c r="M1447" s="471">
        <f t="shared" si="111"/>
        <v>0.05</v>
      </c>
      <c r="N1447" s="475">
        <f t="shared" si="112"/>
        <v>95086</v>
      </c>
    </row>
    <row r="1448" spans="7:14" ht="11.25" customHeight="1" x14ac:dyDescent="0.3">
      <c r="G1448" s="470"/>
      <c r="H1448" s="470">
        <v>1441</v>
      </c>
      <c r="I1448" s="455">
        <f t="shared" ca="1" si="110"/>
        <v>-170895200.0918895</v>
      </c>
      <c r="J1448" s="455">
        <f t="array" ref="J1448">IFERROR(INDEX('Retirement Calculator'!K:K,MATCH('Lorri 401b'!N1448,'Retirement Calculator'!A:A,0),0),0)</f>
        <v>0</v>
      </c>
      <c r="K1448" s="455">
        <f t="shared" ca="1" si="108"/>
        <v>-712063.33371620625</v>
      </c>
      <c r="L1448" s="455">
        <f t="shared" ca="1" si="109"/>
        <v>-171607263.42560571</v>
      </c>
      <c r="M1448" s="471">
        <f t="shared" si="111"/>
        <v>0.05</v>
      </c>
      <c r="N1448" s="475">
        <f t="shared" si="112"/>
        <v>95117</v>
      </c>
    </row>
    <row r="1449" spans="7:14" ht="11.25" customHeight="1" x14ac:dyDescent="0.3">
      <c r="G1449" s="470"/>
      <c r="H1449" s="470">
        <v>1442</v>
      </c>
      <c r="I1449" s="455">
        <f t="shared" ca="1" si="110"/>
        <v>-171607263.42560571</v>
      </c>
      <c r="J1449" s="455">
        <f t="array" ref="J1449">IFERROR(INDEX('Retirement Calculator'!K:K,MATCH('Lorri 401b'!N1449,'Retirement Calculator'!A:A,0),0),0)</f>
        <v>0</v>
      </c>
      <c r="K1449" s="455">
        <f t="shared" ca="1" si="108"/>
        <v>-715030.26427335711</v>
      </c>
      <c r="L1449" s="455">
        <f t="shared" ca="1" si="109"/>
        <v>-172322293.68987906</v>
      </c>
      <c r="M1449" s="471">
        <f t="shared" si="111"/>
        <v>0.05</v>
      </c>
      <c r="N1449" s="475">
        <f t="shared" si="112"/>
        <v>95147</v>
      </c>
    </row>
    <row r="1450" spans="7:14" ht="11.25" customHeight="1" x14ac:dyDescent="0.3">
      <c r="G1450" s="470"/>
      <c r="H1450" s="470">
        <v>1443</v>
      </c>
      <c r="I1450" s="455">
        <f t="shared" ca="1" si="110"/>
        <v>-172322293.68987906</v>
      </c>
      <c r="J1450" s="455">
        <f t="array" ref="J1450">IFERROR(INDEX('Retirement Calculator'!K:K,MATCH('Lorri 401b'!N1450,'Retirement Calculator'!A:A,0),0),0)</f>
        <v>0</v>
      </c>
      <c r="K1450" s="455">
        <f t="shared" ca="1" si="108"/>
        <v>-718009.55704116274</v>
      </c>
      <c r="L1450" s="455">
        <f t="shared" ca="1" si="109"/>
        <v>-173040303.24692023</v>
      </c>
      <c r="M1450" s="471">
        <f t="shared" si="111"/>
        <v>0.05</v>
      </c>
      <c r="N1450" s="475">
        <f t="shared" si="112"/>
        <v>95178</v>
      </c>
    </row>
    <row r="1451" spans="7:14" ht="11.25" customHeight="1" x14ac:dyDescent="0.3">
      <c r="G1451" s="470"/>
      <c r="H1451" s="470">
        <v>1444</v>
      </c>
      <c r="I1451" s="455">
        <f t="shared" ca="1" si="110"/>
        <v>-173040303.24692023</v>
      </c>
      <c r="J1451" s="455">
        <f t="array" ref="J1451">IFERROR(INDEX('Retirement Calculator'!K:K,MATCH('Lorri 401b'!N1451,'Retirement Calculator'!A:A,0),0),0)</f>
        <v>0</v>
      </c>
      <c r="K1451" s="455">
        <f t="shared" ca="1" si="108"/>
        <v>-721001.26352883433</v>
      </c>
      <c r="L1451" s="455">
        <f t="shared" ca="1" si="109"/>
        <v>-173761304.51044905</v>
      </c>
      <c r="M1451" s="471">
        <f t="shared" si="111"/>
        <v>0.05</v>
      </c>
      <c r="N1451" s="475">
        <f t="shared" si="112"/>
        <v>95209</v>
      </c>
    </row>
    <row r="1452" spans="7:14" ht="11.25" customHeight="1" x14ac:dyDescent="0.3">
      <c r="G1452" s="470"/>
      <c r="H1452" s="470">
        <v>1445</v>
      </c>
      <c r="I1452" s="455">
        <f t="shared" ca="1" si="110"/>
        <v>-173761304.51044905</v>
      </c>
      <c r="J1452" s="455">
        <f t="array" ref="J1452">IFERROR(INDEX('Retirement Calculator'!K:K,MATCH('Lorri 401b'!N1452,'Retirement Calculator'!A:A,0),0),0)</f>
        <v>0</v>
      </c>
      <c r="K1452" s="455">
        <f t="shared" ca="1" si="108"/>
        <v>-724005.43546020437</v>
      </c>
      <c r="L1452" s="455">
        <f t="shared" ca="1" si="109"/>
        <v>-174485309.94590926</v>
      </c>
      <c r="M1452" s="471">
        <f t="shared" si="111"/>
        <v>0.05</v>
      </c>
      <c r="N1452" s="475">
        <f t="shared" si="112"/>
        <v>95239</v>
      </c>
    </row>
    <row r="1453" spans="7:14" ht="11.25" customHeight="1" x14ac:dyDescent="0.3">
      <c r="G1453" s="470"/>
      <c r="H1453" s="470">
        <v>1446</v>
      </c>
      <c r="I1453" s="455">
        <f t="shared" ca="1" si="110"/>
        <v>-174485309.94590926</v>
      </c>
      <c r="J1453" s="455">
        <f t="array" ref="J1453">IFERROR(INDEX('Retirement Calculator'!K:K,MATCH('Lorri 401b'!N1453,'Retirement Calculator'!A:A,0),0),0)</f>
        <v>0</v>
      </c>
      <c r="K1453" s="455">
        <f t="shared" ca="1" si="108"/>
        <v>-727022.12477462192</v>
      </c>
      <c r="L1453" s="455">
        <f t="shared" ca="1" si="109"/>
        <v>-175212332.0706839</v>
      </c>
      <c r="M1453" s="471">
        <f t="shared" si="111"/>
        <v>0.05</v>
      </c>
      <c r="N1453" s="475">
        <f t="shared" si="112"/>
        <v>95270</v>
      </c>
    </row>
    <row r="1454" spans="7:14" ht="11.25" customHeight="1" x14ac:dyDescent="0.3">
      <c r="G1454" s="470"/>
      <c r="H1454" s="470">
        <v>1447</v>
      </c>
      <c r="I1454" s="455">
        <f t="shared" ca="1" si="110"/>
        <v>-175212332.0706839</v>
      </c>
      <c r="J1454" s="455">
        <f t="array" ref="J1454">IFERROR(INDEX('Retirement Calculator'!K:K,MATCH('Lorri 401b'!N1454,'Retirement Calculator'!A:A,0),0),0)</f>
        <v>0</v>
      </c>
      <c r="K1454" s="455">
        <f t="shared" ca="1" si="108"/>
        <v>-730051.38362784951</v>
      </c>
      <c r="L1454" s="455">
        <f t="shared" ca="1" si="109"/>
        <v>-175942383.45431176</v>
      </c>
      <c r="M1454" s="471">
        <f t="shared" si="111"/>
        <v>0.05</v>
      </c>
      <c r="N1454" s="475">
        <f t="shared" si="112"/>
        <v>95300</v>
      </c>
    </row>
    <row r="1455" spans="7:14" ht="11.25" customHeight="1" x14ac:dyDescent="0.3">
      <c r="G1455" s="470"/>
      <c r="H1455" s="470">
        <v>1448</v>
      </c>
      <c r="I1455" s="455">
        <f t="shared" ca="1" si="110"/>
        <v>-175942383.45431176</v>
      </c>
      <c r="J1455" s="455">
        <f t="array" ref="J1455">IFERROR(INDEX('Retirement Calculator'!K:K,MATCH('Lorri 401b'!N1455,'Retirement Calculator'!A:A,0),0),0)</f>
        <v>0</v>
      </c>
      <c r="K1455" s="455">
        <f t="shared" ca="1" si="108"/>
        <v>-733093.26439296571</v>
      </c>
      <c r="L1455" s="455">
        <f t="shared" ca="1" si="109"/>
        <v>-176675476.71870473</v>
      </c>
      <c r="M1455" s="471">
        <f t="shared" si="111"/>
        <v>0.05</v>
      </c>
      <c r="N1455" s="475">
        <f t="shared" si="112"/>
        <v>95331</v>
      </c>
    </row>
    <row r="1456" spans="7:14" ht="11.25" customHeight="1" x14ac:dyDescent="0.3">
      <c r="G1456" s="470"/>
      <c r="H1456" s="470">
        <v>1449</v>
      </c>
      <c r="I1456" s="455">
        <f t="shared" ca="1" si="110"/>
        <v>-176675476.71870473</v>
      </c>
      <c r="J1456" s="455">
        <f t="array" ref="J1456">IFERROR(INDEX('Retirement Calculator'!K:K,MATCH('Lorri 401b'!N1456,'Retirement Calculator'!A:A,0),0),0)</f>
        <v>0</v>
      </c>
      <c r="K1456" s="455">
        <f t="shared" ca="1" si="108"/>
        <v>-736147.81966126966</v>
      </c>
      <c r="L1456" s="455">
        <f t="shared" ca="1" si="109"/>
        <v>-177411624.53836599</v>
      </c>
      <c r="M1456" s="471">
        <f t="shared" si="111"/>
        <v>0.05</v>
      </c>
      <c r="N1456" s="475">
        <f t="shared" si="112"/>
        <v>95362</v>
      </c>
    </row>
    <row r="1457" spans="7:14" ht="11.25" customHeight="1" x14ac:dyDescent="0.3">
      <c r="G1457" s="470"/>
      <c r="H1457" s="470">
        <v>1450</v>
      </c>
      <c r="I1457" s="455">
        <f t="shared" ca="1" si="110"/>
        <v>-177411624.53836599</v>
      </c>
      <c r="J1457" s="455">
        <f t="array" ref="J1457">IFERROR(INDEX('Retirement Calculator'!K:K,MATCH('Lorri 401b'!N1457,'Retirement Calculator'!A:A,0),0),0)</f>
        <v>0</v>
      </c>
      <c r="K1457" s="455">
        <f t="shared" ca="1" si="108"/>
        <v>-739215.10224319156</v>
      </c>
      <c r="L1457" s="455">
        <f t="shared" ca="1" si="109"/>
        <v>-178150839.64060917</v>
      </c>
      <c r="M1457" s="471">
        <f t="shared" si="111"/>
        <v>0.05</v>
      </c>
      <c r="N1457" s="475">
        <f t="shared" si="112"/>
        <v>95390</v>
      </c>
    </row>
    <row r="1458" spans="7:14" ht="11.25" customHeight="1" x14ac:dyDescent="0.3">
      <c r="G1458" s="470"/>
      <c r="H1458" s="470">
        <v>1451</v>
      </c>
      <c r="I1458" s="455">
        <f t="shared" ca="1" si="110"/>
        <v>-178150839.64060917</v>
      </c>
      <c r="J1458" s="455">
        <f t="array" ref="J1458">IFERROR(INDEX('Retirement Calculator'!K:K,MATCH('Lorri 401b'!N1458,'Retirement Calculator'!A:A,0),0),0)</f>
        <v>0</v>
      </c>
      <c r="K1458" s="455">
        <f t="shared" ca="1" si="108"/>
        <v>-742295.16516920493</v>
      </c>
      <c r="L1458" s="455">
        <f t="shared" ca="1" si="109"/>
        <v>-178893134.80577838</v>
      </c>
      <c r="M1458" s="471">
        <f t="shared" si="111"/>
        <v>0.05</v>
      </c>
      <c r="N1458" s="475">
        <f t="shared" si="112"/>
        <v>95421</v>
      </c>
    </row>
    <row r="1459" spans="7:14" ht="11.25" customHeight="1" x14ac:dyDescent="0.3">
      <c r="G1459" s="470"/>
      <c r="H1459" s="470">
        <v>1452</v>
      </c>
      <c r="I1459" s="455">
        <f t="shared" ca="1" si="110"/>
        <v>-178893134.80577838</v>
      </c>
      <c r="J1459" s="455">
        <f t="array" ref="J1459">IFERROR(INDEX('Retirement Calculator'!K:K,MATCH('Lorri 401b'!N1459,'Retirement Calculator'!A:A,0),0),0)</f>
        <v>0</v>
      </c>
      <c r="K1459" s="455">
        <f t="shared" ca="1" si="108"/>
        <v>-745388.06169074331</v>
      </c>
      <c r="L1459" s="455">
        <f t="shared" ca="1" si="109"/>
        <v>-179638522.86746913</v>
      </c>
      <c r="M1459" s="471">
        <f t="shared" si="111"/>
        <v>0.05</v>
      </c>
      <c r="N1459" s="475">
        <f t="shared" si="112"/>
        <v>95451</v>
      </c>
    </row>
    <row r="1460" spans="7:14" ht="11.25" customHeight="1" x14ac:dyDescent="0.3">
      <c r="G1460" s="470"/>
      <c r="H1460" s="470">
        <v>1453</v>
      </c>
      <c r="I1460" s="455">
        <f t="shared" ca="1" si="110"/>
        <v>-179638522.86746913</v>
      </c>
      <c r="J1460" s="455">
        <f t="array" ref="J1460">IFERROR(INDEX('Retirement Calculator'!K:K,MATCH('Lorri 401b'!N1460,'Retirement Calculator'!A:A,0),0),0)</f>
        <v>0</v>
      </c>
      <c r="K1460" s="455">
        <f t="shared" ca="1" si="108"/>
        <v>-748493.84528112132</v>
      </c>
      <c r="L1460" s="455">
        <f t="shared" ca="1" si="109"/>
        <v>-180387016.71275026</v>
      </c>
      <c r="M1460" s="471">
        <f t="shared" si="111"/>
        <v>0.05</v>
      </c>
      <c r="N1460" s="475">
        <f t="shared" si="112"/>
        <v>95482</v>
      </c>
    </row>
    <row r="1461" spans="7:14" ht="11.25" customHeight="1" x14ac:dyDescent="0.3">
      <c r="G1461" s="470"/>
      <c r="H1461" s="470">
        <v>1454</v>
      </c>
      <c r="I1461" s="455">
        <f t="shared" ca="1" si="110"/>
        <v>-180387016.71275026</v>
      </c>
      <c r="J1461" s="455">
        <f t="array" ref="J1461">IFERROR(INDEX('Retirement Calculator'!K:K,MATCH('Lorri 401b'!N1461,'Retirement Calculator'!A:A,0),0),0)</f>
        <v>0</v>
      </c>
      <c r="K1461" s="455">
        <f t="shared" ca="1" si="108"/>
        <v>-751612.56963645935</v>
      </c>
      <c r="L1461" s="455">
        <f t="shared" ca="1" si="109"/>
        <v>-181138629.28238672</v>
      </c>
      <c r="M1461" s="471">
        <f t="shared" si="111"/>
        <v>0.05</v>
      </c>
      <c r="N1461" s="475">
        <f t="shared" si="112"/>
        <v>95512</v>
      </c>
    </row>
    <row r="1462" spans="7:14" ht="11.25" customHeight="1" x14ac:dyDescent="0.3">
      <c r="G1462" s="470"/>
      <c r="H1462" s="470">
        <v>1455</v>
      </c>
      <c r="I1462" s="455">
        <f t="shared" ca="1" si="110"/>
        <v>-181138629.28238672</v>
      </c>
      <c r="J1462" s="455">
        <f t="array" ref="J1462">IFERROR(INDEX('Retirement Calculator'!K:K,MATCH('Lorri 401b'!N1462,'Retirement Calculator'!A:A,0),0),0)</f>
        <v>0</v>
      </c>
      <c r="K1462" s="455">
        <f t="shared" ca="1" si="108"/>
        <v>-754744.28867661138</v>
      </c>
      <c r="L1462" s="455">
        <f t="shared" ca="1" si="109"/>
        <v>-181893373.57106334</v>
      </c>
      <c r="M1462" s="471">
        <f t="shared" si="111"/>
        <v>0.05</v>
      </c>
      <c r="N1462" s="475">
        <f t="shared" si="112"/>
        <v>95543</v>
      </c>
    </row>
    <row r="1463" spans="7:14" ht="11.25" customHeight="1" x14ac:dyDescent="0.3">
      <c r="G1463" s="470"/>
      <c r="H1463" s="470">
        <v>1456</v>
      </c>
      <c r="I1463" s="455">
        <f t="shared" ca="1" si="110"/>
        <v>-181893373.57106334</v>
      </c>
      <c r="J1463" s="455">
        <f t="array" ref="J1463">IFERROR(INDEX('Retirement Calculator'!K:K,MATCH('Lorri 401b'!N1463,'Retirement Calculator'!A:A,0),0),0)</f>
        <v>0</v>
      </c>
      <c r="K1463" s="455">
        <f t="shared" ca="1" si="108"/>
        <v>-757889.05654609727</v>
      </c>
      <c r="L1463" s="455">
        <f t="shared" ca="1" si="109"/>
        <v>-182651262.62760943</v>
      </c>
      <c r="M1463" s="471">
        <f t="shared" si="111"/>
        <v>0.05</v>
      </c>
      <c r="N1463" s="475">
        <f t="shared" si="112"/>
        <v>95574</v>
      </c>
    </row>
    <row r="1464" spans="7:14" ht="11.25" customHeight="1" x14ac:dyDescent="0.3">
      <c r="G1464" s="470"/>
      <c r="H1464" s="470">
        <v>1457</v>
      </c>
      <c r="I1464" s="455">
        <f t="shared" ca="1" si="110"/>
        <v>-182651262.62760943</v>
      </c>
      <c r="J1464" s="455">
        <f t="array" ref="J1464">IFERROR(INDEX('Retirement Calculator'!K:K,MATCH('Lorri 401b'!N1464,'Retirement Calculator'!A:A,0),0),0)</f>
        <v>0</v>
      </c>
      <c r="K1464" s="455">
        <f t="shared" ca="1" si="108"/>
        <v>-761046.92761503928</v>
      </c>
      <c r="L1464" s="455">
        <f t="shared" ca="1" si="109"/>
        <v>-183412309.55522448</v>
      </c>
      <c r="M1464" s="471">
        <f t="shared" si="111"/>
        <v>0.05</v>
      </c>
      <c r="N1464" s="475">
        <f t="shared" si="112"/>
        <v>95604</v>
      </c>
    </row>
    <row r="1465" spans="7:14" ht="11.25" customHeight="1" x14ac:dyDescent="0.3">
      <c r="G1465" s="470"/>
      <c r="H1465" s="470">
        <v>1458</v>
      </c>
      <c r="I1465" s="455">
        <f t="shared" ca="1" si="110"/>
        <v>-183412309.55522448</v>
      </c>
      <c r="J1465" s="455">
        <f t="array" ref="J1465">IFERROR(INDEX('Retirement Calculator'!K:K,MATCH('Lorri 401b'!N1465,'Retirement Calculator'!A:A,0),0),0)</f>
        <v>0</v>
      </c>
      <c r="K1465" s="455">
        <f t="shared" ca="1" si="108"/>
        <v>-764217.95648010203</v>
      </c>
      <c r="L1465" s="455">
        <f t="shared" ca="1" si="109"/>
        <v>-184176527.51170459</v>
      </c>
      <c r="M1465" s="471">
        <f t="shared" si="111"/>
        <v>0.05</v>
      </c>
      <c r="N1465" s="475">
        <f t="shared" si="112"/>
        <v>95635</v>
      </c>
    </row>
    <row r="1466" spans="7:14" ht="11.25" customHeight="1" x14ac:dyDescent="0.3">
      <c r="G1466" s="470"/>
      <c r="H1466" s="470">
        <v>1459</v>
      </c>
      <c r="I1466" s="455">
        <f t="shared" ca="1" si="110"/>
        <v>-184176527.51170459</v>
      </c>
      <c r="J1466" s="455">
        <f t="array" ref="J1466">IFERROR(INDEX('Retirement Calculator'!K:K,MATCH('Lorri 401b'!N1466,'Retirement Calculator'!A:A,0),0),0)</f>
        <v>0</v>
      </c>
      <c r="K1466" s="455">
        <f t="shared" ca="1" si="108"/>
        <v>-767402.1979654358</v>
      </c>
      <c r="L1466" s="455">
        <f t="shared" ca="1" si="109"/>
        <v>-184943929.70967004</v>
      </c>
      <c r="M1466" s="471">
        <f t="shared" si="111"/>
        <v>0.05</v>
      </c>
      <c r="N1466" s="475">
        <f t="shared" si="112"/>
        <v>95665</v>
      </c>
    </row>
    <row r="1467" spans="7:14" ht="11.25" customHeight="1" x14ac:dyDescent="0.3">
      <c r="G1467" s="470"/>
      <c r="H1467" s="470">
        <v>1460</v>
      </c>
      <c r="I1467" s="455">
        <f t="shared" ca="1" si="110"/>
        <v>-184943929.70967004</v>
      </c>
      <c r="J1467" s="455">
        <f t="array" ref="J1467">IFERROR(INDEX('Retirement Calculator'!K:K,MATCH('Lorri 401b'!N1467,'Retirement Calculator'!A:A,0),0),0)</f>
        <v>0</v>
      </c>
      <c r="K1467" s="455">
        <f t="shared" ca="1" si="108"/>
        <v>-770599.70712362509</v>
      </c>
      <c r="L1467" s="455">
        <f t="shared" ca="1" si="109"/>
        <v>-185714529.41679367</v>
      </c>
      <c r="M1467" s="471">
        <f t="shared" si="111"/>
        <v>0.05</v>
      </c>
      <c r="N1467" s="475">
        <f t="shared" si="112"/>
        <v>95696</v>
      </c>
    </row>
    <row r="1468" spans="7:14" ht="11.25" customHeight="1" x14ac:dyDescent="0.3">
      <c r="G1468" s="470"/>
      <c r="H1468" s="470">
        <v>1461</v>
      </c>
      <c r="I1468" s="455">
        <f t="shared" ca="1" si="110"/>
        <v>-185714529.41679367</v>
      </c>
      <c r="J1468" s="455">
        <f t="array" ref="J1468">IFERROR(INDEX('Retirement Calculator'!K:K,MATCH('Lorri 401b'!N1468,'Retirement Calculator'!A:A,0),0),0)</f>
        <v>0</v>
      </c>
      <c r="K1468" s="455">
        <f t="shared" ca="1" si="108"/>
        <v>-773810.53923664032</v>
      </c>
      <c r="L1468" s="455">
        <f t="shared" ca="1" si="109"/>
        <v>-186488339.95603031</v>
      </c>
      <c r="M1468" s="471">
        <f t="shared" si="111"/>
        <v>0.05</v>
      </c>
      <c r="N1468" s="475">
        <f t="shared" si="112"/>
        <v>95727</v>
      </c>
    </row>
    <row r="1469" spans="7:14" ht="11.25" customHeight="1" x14ac:dyDescent="0.3">
      <c r="G1469" s="470"/>
      <c r="H1469" s="470">
        <v>1462</v>
      </c>
      <c r="I1469" s="455">
        <f t="shared" ca="1" si="110"/>
        <v>-186488339.95603031</v>
      </c>
      <c r="J1469" s="455">
        <f t="array" ref="J1469">IFERROR(INDEX('Retirement Calculator'!K:K,MATCH('Lorri 401b'!N1469,'Retirement Calculator'!A:A,0),0),0)</f>
        <v>0</v>
      </c>
      <c r="K1469" s="455">
        <f t="shared" ca="1" si="108"/>
        <v>-777034.7498167929</v>
      </c>
      <c r="L1469" s="455">
        <f t="shared" ca="1" si="109"/>
        <v>-187265374.70584711</v>
      </c>
      <c r="M1469" s="471">
        <f t="shared" si="111"/>
        <v>0.05</v>
      </c>
      <c r="N1469" s="475">
        <f t="shared" si="112"/>
        <v>95755</v>
      </c>
    </row>
    <row r="1470" spans="7:14" ht="11.25" customHeight="1" x14ac:dyDescent="0.3">
      <c r="G1470" s="470"/>
      <c r="H1470" s="470">
        <v>1463</v>
      </c>
      <c r="I1470" s="455">
        <f t="shared" ca="1" si="110"/>
        <v>-187265374.70584711</v>
      </c>
      <c r="J1470" s="455">
        <f t="array" ref="J1470">IFERROR(INDEX('Retirement Calculator'!K:K,MATCH('Lorri 401b'!N1470,'Retirement Calculator'!A:A,0),0),0)</f>
        <v>0</v>
      </c>
      <c r="K1470" s="455">
        <f t="shared" ca="1" si="108"/>
        <v>-780272.39460769633</v>
      </c>
      <c r="L1470" s="455">
        <f t="shared" ca="1" si="109"/>
        <v>-188045647.10045481</v>
      </c>
      <c r="M1470" s="471">
        <f t="shared" si="111"/>
        <v>0.05</v>
      </c>
      <c r="N1470" s="475">
        <f t="shared" si="112"/>
        <v>95786</v>
      </c>
    </row>
    <row r="1471" spans="7:14" ht="11.25" customHeight="1" x14ac:dyDescent="0.3">
      <c r="G1471" s="470"/>
      <c r="H1471" s="470">
        <v>1464</v>
      </c>
      <c r="I1471" s="455">
        <f t="shared" ca="1" si="110"/>
        <v>-188045647.10045481</v>
      </c>
      <c r="J1471" s="455">
        <f t="array" ref="J1471">IFERROR(INDEX('Retirement Calculator'!K:K,MATCH('Lorri 401b'!N1471,'Retirement Calculator'!A:A,0),0),0)</f>
        <v>0</v>
      </c>
      <c r="K1471" s="455">
        <f t="shared" ca="1" si="108"/>
        <v>-783523.5295852283</v>
      </c>
      <c r="L1471" s="455">
        <f t="shared" ca="1" si="109"/>
        <v>-188829170.63004005</v>
      </c>
      <c r="M1471" s="471">
        <f t="shared" si="111"/>
        <v>0.05</v>
      </c>
      <c r="N1471" s="475">
        <f t="shared" si="112"/>
        <v>95816</v>
      </c>
    </row>
    <row r="1472" spans="7:14" ht="11.25" customHeight="1" x14ac:dyDescent="0.3">
      <c r="G1472" s="470"/>
      <c r="H1472" s="470">
        <v>1465</v>
      </c>
      <c r="I1472" s="455">
        <f t="shared" ca="1" si="110"/>
        <v>-188829170.63004005</v>
      </c>
      <c r="J1472" s="455">
        <f t="array" ref="J1472">IFERROR(INDEX('Retirement Calculator'!K:K,MATCH('Lorri 401b'!N1472,'Retirement Calculator'!A:A,0),0),0)</f>
        <v>0</v>
      </c>
      <c r="K1472" s="455">
        <f t="shared" ca="1" si="108"/>
        <v>-786788.21095850016</v>
      </c>
      <c r="L1472" s="455">
        <f t="shared" ca="1" si="109"/>
        <v>-189615958.84099856</v>
      </c>
      <c r="M1472" s="471">
        <f t="shared" si="111"/>
        <v>0.05</v>
      </c>
      <c r="N1472" s="475">
        <f t="shared" si="112"/>
        <v>95847</v>
      </c>
    </row>
    <row r="1473" spans="7:14" ht="11.25" customHeight="1" x14ac:dyDescent="0.3">
      <c r="G1473" s="470"/>
      <c r="H1473" s="470">
        <v>1466</v>
      </c>
      <c r="I1473" s="455">
        <f t="shared" ca="1" si="110"/>
        <v>-189615958.84099856</v>
      </c>
      <c r="J1473" s="455">
        <f t="array" ref="J1473">IFERROR(INDEX('Retirement Calculator'!K:K,MATCH('Lorri 401b'!N1473,'Retirement Calculator'!A:A,0),0),0)</f>
        <v>0</v>
      </c>
      <c r="K1473" s="455">
        <f t="shared" ca="1" si="108"/>
        <v>-790066.49517082737</v>
      </c>
      <c r="L1473" s="455">
        <f t="shared" ca="1" si="109"/>
        <v>-190406025.33616939</v>
      </c>
      <c r="M1473" s="471">
        <f t="shared" si="111"/>
        <v>0.05</v>
      </c>
      <c r="N1473" s="475">
        <f t="shared" si="112"/>
        <v>95877</v>
      </c>
    </row>
    <row r="1474" spans="7:14" ht="11.25" customHeight="1" x14ac:dyDescent="0.3">
      <c r="G1474" s="470"/>
      <c r="H1474" s="470">
        <v>1467</v>
      </c>
      <c r="I1474" s="455">
        <f t="shared" ca="1" si="110"/>
        <v>-190406025.33616939</v>
      </c>
      <c r="J1474" s="455">
        <f t="array" ref="J1474">IFERROR(INDEX('Retirement Calculator'!K:K,MATCH('Lorri 401b'!N1474,'Retirement Calculator'!A:A,0),0),0)</f>
        <v>0</v>
      </c>
      <c r="K1474" s="455">
        <f t="shared" ca="1" si="108"/>
        <v>-793358.43890070578</v>
      </c>
      <c r="L1474" s="455">
        <f t="shared" ca="1" si="109"/>
        <v>-191199383.7750701</v>
      </c>
      <c r="M1474" s="471">
        <f t="shared" si="111"/>
        <v>0.05</v>
      </c>
      <c r="N1474" s="475">
        <f t="shared" si="112"/>
        <v>95908</v>
      </c>
    </row>
    <row r="1475" spans="7:14" ht="11.25" customHeight="1" x14ac:dyDescent="0.3">
      <c r="G1475" s="470"/>
      <c r="H1475" s="470">
        <v>1468</v>
      </c>
      <c r="I1475" s="455">
        <f t="shared" ca="1" si="110"/>
        <v>-191199383.7750701</v>
      </c>
      <c r="J1475" s="455">
        <f t="array" ref="J1475">IFERROR(INDEX('Retirement Calculator'!K:K,MATCH('Lorri 401b'!N1475,'Retirement Calculator'!A:A,0),0),0)</f>
        <v>0</v>
      </c>
      <c r="K1475" s="455">
        <f t="shared" ca="1" si="108"/>
        <v>-796664.09906279203</v>
      </c>
      <c r="L1475" s="455">
        <f t="shared" ca="1" si="109"/>
        <v>-191996047.8741329</v>
      </c>
      <c r="M1475" s="471">
        <f t="shared" si="111"/>
        <v>0.05</v>
      </c>
      <c r="N1475" s="475">
        <f t="shared" si="112"/>
        <v>95939</v>
      </c>
    </row>
    <row r="1476" spans="7:14" ht="11.25" customHeight="1" x14ac:dyDescent="0.3">
      <c r="G1476" s="470"/>
      <c r="H1476" s="470">
        <v>1469</v>
      </c>
      <c r="I1476" s="455">
        <f t="shared" ca="1" si="110"/>
        <v>-191996047.8741329</v>
      </c>
      <c r="J1476" s="455">
        <f t="array" ref="J1476">IFERROR(INDEX('Retirement Calculator'!K:K,MATCH('Lorri 401b'!N1476,'Retirement Calculator'!A:A,0),0),0)</f>
        <v>0</v>
      </c>
      <c r="K1476" s="455">
        <f t="shared" ca="1" si="108"/>
        <v>-799983.53280888707</v>
      </c>
      <c r="L1476" s="455">
        <f t="shared" ca="1" si="109"/>
        <v>-192796031.4069418</v>
      </c>
      <c r="M1476" s="471">
        <f t="shared" si="111"/>
        <v>0.05</v>
      </c>
      <c r="N1476" s="475">
        <f t="shared" si="112"/>
        <v>95969</v>
      </c>
    </row>
    <row r="1477" spans="7:14" ht="11.25" customHeight="1" x14ac:dyDescent="0.3">
      <c r="G1477" s="470"/>
      <c r="H1477" s="470">
        <v>1470</v>
      </c>
      <c r="I1477" s="455">
        <f t="shared" ca="1" si="110"/>
        <v>-192796031.4069418</v>
      </c>
      <c r="J1477" s="455">
        <f t="array" ref="J1477">IFERROR(INDEX('Retirement Calculator'!K:K,MATCH('Lorri 401b'!N1477,'Retirement Calculator'!A:A,0),0),0)</f>
        <v>0</v>
      </c>
      <c r="K1477" s="455">
        <f t="shared" ca="1" si="108"/>
        <v>-803316.79752892419</v>
      </c>
      <c r="L1477" s="455">
        <f t="shared" ca="1" si="109"/>
        <v>-193599348.20447072</v>
      </c>
      <c r="M1477" s="471">
        <f t="shared" si="111"/>
        <v>0.05</v>
      </c>
      <c r="N1477" s="475">
        <f t="shared" si="112"/>
        <v>96000</v>
      </c>
    </row>
    <row r="1478" spans="7:14" ht="11.25" customHeight="1" x14ac:dyDescent="0.3">
      <c r="G1478" s="470"/>
      <c r="H1478" s="470">
        <v>1471</v>
      </c>
      <c r="I1478" s="455">
        <f t="shared" ca="1" si="110"/>
        <v>-193599348.20447072</v>
      </c>
      <c r="J1478" s="455">
        <f t="array" ref="J1478">IFERROR(INDEX('Retirement Calculator'!K:K,MATCH('Lorri 401b'!N1478,'Retirement Calculator'!A:A,0),0),0)</f>
        <v>0</v>
      </c>
      <c r="K1478" s="455">
        <f t="shared" ca="1" si="108"/>
        <v>-806663.95085196139</v>
      </c>
      <c r="L1478" s="455">
        <f t="shared" ca="1" si="109"/>
        <v>-194406012.15532267</v>
      </c>
      <c r="M1478" s="471">
        <f t="shared" si="111"/>
        <v>0.05</v>
      </c>
      <c r="N1478" s="475">
        <f t="shared" si="112"/>
        <v>96030</v>
      </c>
    </row>
    <row r="1479" spans="7:14" ht="11.25" customHeight="1" x14ac:dyDescent="0.3">
      <c r="G1479" s="470"/>
      <c r="H1479" s="470">
        <v>1472</v>
      </c>
      <c r="I1479" s="455">
        <f t="shared" ca="1" si="110"/>
        <v>-194406012.15532267</v>
      </c>
      <c r="J1479" s="455">
        <f t="array" ref="J1479">IFERROR(INDEX('Retirement Calculator'!K:K,MATCH('Lorri 401b'!N1479,'Retirement Calculator'!A:A,0),0),0)</f>
        <v>0</v>
      </c>
      <c r="K1479" s="455">
        <f t="shared" ca="1" si="108"/>
        <v>-810025.05064717773</v>
      </c>
      <c r="L1479" s="455">
        <f t="shared" ca="1" si="109"/>
        <v>-195216037.20596984</v>
      </c>
      <c r="M1479" s="471">
        <f t="shared" si="111"/>
        <v>0.05</v>
      </c>
      <c r="N1479" s="475">
        <f t="shared" si="112"/>
        <v>96061</v>
      </c>
    </row>
    <row r="1480" spans="7:14" ht="11.25" customHeight="1" x14ac:dyDescent="0.3">
      <c r="G1480" s="470"/>
      <c r="H1480" s="470">
        <v>1473</v>
      </c>
      <c r="I1480" s="455">
        <f t="shared" ca="1" si="110"/>
        <v>-195216037.20596984</v>
      </c>
      <c r="J1480" s="455">
        <f t="array" ref="J1480">IFERROR(INDEX('Retirement Calculator'!K:K,MATCH('Lorri 401b'!N1480,'Retirement Calculator'!A:A,0),0),0)</f>
        <v>0</v>
      </c>
      <c r="K1480" s="455">
        <f t="shared" ca="1" si="108"/>
        <v>-813400.15502487437</v>
      </c>
      <c r="L1480" s="455">
        <f t="shared" ca="1" si="109"/>
        <v>-196029437.36099473</v>
      </c>
      <c r="M1480" s="471">
        <f t="shared" si="111"/>
        <v>0.05</v>
      </c>
      <c r="N1480" s="475">
        <f t="shared" si="112"/>
        <v>96092</v>
      </c>
    </row>
    <row r="1481" spans="7:14" ht="11.25" customHeight="1" x14ac:dyDescent="0.3">
      <c r="G1481" s="470"/>
      <c r="H1481" s="470">
        <v>1474</v>
      </c>
      <c r="I1481" s="455">
        <f t="shared" ca="1" si="110"/>
        <v>-196029437.36099473</v>
      </c>
      <c r="J1481" s="455">
        <f t="array" ref="J1481">IFERROR(INDEX('Retirement Calculator'!K:K,MATCH('Lorri 401b'!N1481,'Retirement Calculator'!A:A,0),0),0)</f>
        <v>0</v>
      </c>
      <c r="K1481" s="455">
        <f t="shared" ca="1" si="108"/>
        <v>-816789.32233747805</v>
      </c>
      <c r="L1481" s="455">
        <f t="shared" ca="1" si="109"/>
        <v>-196846226.6833322</v>
      </c>
      <c r="M1481" s="471">
        <f t="shared" si="111"/>
        <v>0.05</v>
      </c>
      <c r="N1481" s="475">
        <f t="shared" si="112"/>
        <v>96120</v>
      </c>
    </row>
    <row r="1482" spans="7:14" ht="11.25" customHeight="1" x14ac:dyDescent="0.3">
      <c r="G1482" s="470"/>
      <c r="H1482" s="470">
        <v>1475</v>
      </c>
      <c r="I1482" s="455">
        <f t="shared" ca="1" si="110"/>
        <v>-196846226.6833322</v>
      </c>
      <c r="J1482" s="455">
        <f t="array" ref="J1482">IFERROR(INDEX('Retirement Calculator'!K:K,MATCH('Lorri 401b'!N1482,'Retirement Calculator'!A:A,0),0),0)</f>
        <v>0</v>
      </c>
      <c r="K1482" s="455">
        <f t="shared" ca="1" si="108"/>
        <v>-820192.61118055088</v>
      </c>
      <c r="L1482" s="455">
        <f t="shared" ca="1" si="109"/>
        <v>-197666419.29451275</v>
      </c>
      <c r="M1482" s="471">
        <f t="shared" si="111"/>
        <v>0.05</v>
      </c>
      <c r="N1482" s="475">
        <f t="shared" si="112"/>
        <v>96151</v>
      </c>
    </row>
    <row r="1483" spans="7:14" ht="11.25" customHeight="1" x14ac:dyDescent="0.3">
      <c r="G1483" s="470"/>
      <c r="H1483" s="470">
        <v>1476</v>
      </c>
      <c r="I1483" s="455">
        <f t="shared" ca="1" si="110"/>
        <v>-197666419.29451275</v>
      </c>
      <c r="J1483" s="455">
        <f t="array" ref="J1483">IFERROR(INDEX('Retirement Calculator'!K:K,MATCH('Lorri 401b'!N1483,'Retirement Calculator'!A:A,0),0),0)</f>
        <v>0</v>
      </c>
      <c r="K1483" s="455">
        <f t="shared" ca="1" si="108"/>
        <v>-823610.08039380307</v>
      </c>
      <c r="L1483" s="455">
        <f t="shared" ca="1" si="109"/>
        <v>-198490029.37490654</v>
      </c>
      <c r="M1483" s="471">
        <f t="shared" si="111"/>
        <v>0.05</v>
      </c>
      <c r="N1483" s="475">
        <f t="shared" si="112"/>
        <v>96181</v>
      </c>
    </row>
    <row r="1484" spans="7:14" ht="11.25" customHeight="1" x14ac:dyDescent="0.3">
      <c r="G1484" s="470"/>
      <c r="H1484" s="470">
        <v>1477</v>
      </c>
      <c r="I1484" s="455">
        <f t="shared" ca="1" si="110"/>
        <v>-198490029.37490654</v>
      </c>
      <c r="J1484" s="455">
        <f t="array" ref="J1484">IFERROR(INDEX('Retirement Calculator'!K:K,MATCH('Lorri 401b'!N1484,'Retirement Calculator'!A:A,0),0),0)</f>
        <v>0</v>
      </c>
      <c r="K1484" s="455">
        <f t="shared" ca="1" si="108"/>
        <v>-827041.78906211059</v>
      </c>
      <c r="L1484" s="455">
        <f t="shared" ca="1" si="109"/>
        <v>-199317071.16396865</v>
      </c>
      <c r="M1484" s="471">
        <f t="shared" si="111"/>
        <v>0.05</v>
      </c>
      <c r="N1484" s="475">
        <f t="shared" si="112"/>
        <v>96212</v>
      </c>
    </row>
    <row r="1485" spans="7:14" ht="11.25" customHeight="1" x14ac:dyDescent="0.3">
      <c r="G1485" s="470"/>
      <c r="H1485" s="470">
        <v>1478</v>
      </c>
      <c r="I1485" s="455">
        <f t="shared" ca="1" si="110"/>
        <v>-199317071.16396865</v>
      </c>
      <c r="J1485" s="455">
        <f t="array" ref="J1485">IFERROR(INDEX('Retirement Calculator'!K:K,MATCH('Lorri 401b'!N1485,'Retirement Calculator'!A:A,0),0),0)</f>
        <v>0</v>
      </c>
      <c r="K1485" s="455">
        <f t="shared" ca="1" si="108"/>
        <v>-830487.79651653604</v>
      </c>
      <c r="L1485" s="455">
        <f t="shared" ca="1" si="109"/>
        <v>-200147558.96048519</v>
      </c>
      <c r="M1485" s="471">
        <f t="shared" si="111"/>
        <v>0.05</v>
      </c>
      <c r="N1485" s="475">
        <f t="shared" si="112"/>
        <v>96242</v>
      </c>
    </row>
    <row r="1486" spans="7:14" ht="11.25" customHeight="1" x14ac:dyDescent="0.3">
      <c r="G1486" s="470"/>
      <c r="H1486" s="470">
        <v>1479</v>
      </c>
      <c r="I1486" s="455">
        <f t="shared" ca="1" si="110"/>
        <v>-200147558.96048519</v>
      </c>
      <c r="J1486" s="455">
        <f t="array" ref="J1486">IFERROR(INDEX('Retirement Calculator'!K:K,MATCH('Lorri 401b'!N1486,'Retirement Calculator'!A:A,0),0),0)</f>
        <v>0</v>
      </c>
      <c r="K1486" s="455">
        <f t="shared" ca="1" si="108"/>
        <v>-833948.16233535495</v>
      </c>
      <c r="L1486" s="455">
        <f t="shared" ca="1" si="109"/>
        <v>-200981507.12282056</v>
      </c>
      <c r="M1486" s="471">
        <f t="shared" si="111"/>
        <v>0.05</v>
      </c>
      <c r="N1486" s="475">
        <f t="shared" si="112"/>
        <v>96273</v>
      </c>
    </row>
    <row r="1487" spans="7:14" ht="11.25" customHeight="1" x14ac:dyDescent="0.3">
      <c r="G1487" s="470"/>
      <c r="H1487" s="470">
        <v>1480</v>
      </c>
      <c r="I1487" s="455">
        <f t="shared" ca="1" si="110"/>
        <v>-200981507.12282056</v>
      </c>
      <c r="J1487" s="455">
        <f t="array" ref="J1487">IFERROR(INDEX('Retirement Calculator'!K:K,MATCH('Lorri 401b'!N1487,'Retirement Calculator'!A:A,0),0),0)</f>
        <v>0</v>
      </c>
      <c r="K1487" s="455">
        <f t="shared" ca="1" si="108"/>
        <v>-837422.94634508563</v>
      </c>
      <c r="L1487" s="455">
        <f t="shared" ca="1" si="109"/>
        <v>-201818930.06916565</v>
      </c>
      <c r="M1487" s="471">
        <f t="shared" si="111"/>
        <v>0.05</v>
      </c>
      <c r="N1487" s="475">
        <f t="shared" si="112"/>
        <v>96304</v>
      </c>
    </row>
    <row r="1488" spans="7:14" ht="11.25" customHeight="1" x14ac:dyDescent="0.3">
      <c r="G1488" s="470"/>
      <c r="H1488" s="470">
        <v>1481</v>
      </c>
      <c r="I1488" s="455">
        <f t="shared" ca="1" si="110"/>
        <v>-201818930.06916565</v>
      </c>
      <c r="J1488" s="455">
        <f t="array" ref="J1488">IFERROR(INDEX('Retirement Calculator'!K:K,MATCH('Lorri 401b'!N1488,'Retirement Calculator'!A:A,0),0),0)</f>
        <v>0</v>
      </c>
      <c r="K1488" s="455">
        <f t="shared" ca="1" si="108"/>
        <v>-840912.20862152346</v>
      </c>
      <c r="L1488" s="455">
        <f t="shared" ca="1" si="109"/>
        <v>-202659842.27778718</v>
      </c>
      <c r="M1488" s="471">
        <f t="shared" si="111"/>
        <v>0.05</v>
      </c>
      <c r="N1488" s="475">
        <f t="shared" si="112"/>
        <v>96334</v>
      </c>
    </row>
    <row r="1489" spans="7:14" ht="11.25" customHeight="1" x14ac:dyDescent="0.3">
      <c r="G1489" s="470"/>
      <c r="H1489" s="470">
        <v>1482</v>
      </c>
      <c r="I1489" s="455">
        <f t="shared" ca="1" si="110"/>
        <v>-202659842.27778718</v>
      </c>
      <c r="J1489" s="455">
        <f t="array" ref="J1489">IFERROR(INDEX('Retirement Calculator'!K:K,MATCH('Lorri 401b'!N1489,'Retirement Calculator'!A:A,0),0),0)</f>
        <v>0</v>
      </c>
      <c r="K1489" s="455">
        <f t="shared" ca="1" si="108"/>
        <v>-844416.00949077995</v>
      </c>
      <c r="L1489" s="455">
        <f t="shared" ca="1" si="109"/>
        <v>-203504258.28727797</v>
      </c>
      <c r="M1489" s="471">
        <f t="shared" si="111"/>
        <v>0.05</v>
      </c>
      <c r="N1489" s="475">
        <f t="shared" si="112"/>
        <v>96365</v>
      </c>
    </row>
    <row r="1490" spans="7:14" ht="11.25" customHeight="1" x14ac:dyDescent="0.3">
      <c r="G1490" s="470"/>
      <c r="H1490" s="470">
        <v>1483</v>
      </c>
      <c r="I1490" s="455">
        <f t="shared" ca="1" si="110"/>
        <v>-203504258.28727797</v>
      </c>
      <c r="J1490" s="455">
        <f t="array" ref="J1490">IFERROR(INDEX('Retirement Calculator'!K:K,MATCH('Lorri 401b'!N1490,'Retirement Calculator'!A:A,0),0),0)</f>
        <v>0</v>
      </c>
      <c r="K1490" s="455">
        <f t="shared" ca="1" si="108"/>
        <v>-847934.40953032486</v>
      </c>
      <c r="L1490" s="455">
        <f t="shared" ca="1" si="109"/>
        <v>-204352192.69680828</v>
      </c>
      <c r="M1490" s="471">
        <f t="shared" si="111"/>
        <v>0.05</v>
      </c>
      <c r="N1490" s="475">
        <f t="shared" si="112"/>
        <v>96395</v>
      </c>
    </row>
    <row r="1491" spans="7:14" ht="11.25" customHeight="1" x14ac:dyDescent="0.3">
      <c r="G1491" s="470"/>
      <c r="H1491" s="470">
        <v>1484</v>
      </c>
      <c r="I1491" s="455">
        <f t="shared" ca="1" si="110"/>
        <v>-204352192.69680828</v>
      </c>
      <c r="J1491" s="455">
        <f t="array" ref="J1491">IFERROR(INDEX('Retirement Calculator'!K:K,MATCH('Lorri 401b'!N1491,'Retirement Calculator'!A:A,0),0),0)</f>
        <v>0</v>
      </c>
      <c r="K1491" s="455">
        <f t="shared" ca="1" si="108"/>
        <v>-851467.46957003453</v>
      </c>
      <c r="L1491" s="455">
        <f t="shared" ca="1" si="109"/>
        <v>-205203660.16637832</v>
      </c>
      <c r="M1491" s="471">
        <f t="shared" si="111"/>
        <v>0.05</v>
      </c>
      <c r="N1491" s="475">
        <f t="shared" si="112"/>
        <v>96426</v>
      </c>
    </row>
    <row r="1492" spans="7:14" ht="11.25" customHeight="1" x14ac:dyDescent="0.3">
      <c r="G1492" s="470"/>
      <c r="H1492" s="470">
        <v>1485</v>
      </c>
      <c r="I1492" s="455">
        <f t="shared" ca="1" si="110"/>
        <v>-205203660.16637832</v>
      </c>
      <c r="J1492" s="455">
        <f t="array" ref="J1492">IFERROR(INDEX('Retirement Calculator'!K:K,MATCH('Lorri 401b'!N1492,'Retirement Calculator'!A:A,0),0),0)</f>
        <v>0</v>
      </c>
      <c r="K1492" s="455">
        <f t="shared" ca="1" si="108"/>
        <v>-855015.250693243</v>
      </c>
      <c r="L1492" s="455">
        <f t="shared" ca="1" si="109"/>
        <v>-206058675.41707155</v>
      </c>
      <c r="M1492" s="471">
        <f t="shared" si="111"/>
        <v>0.05</v>
      </c>
      <c r="N1492" s="475">
        <f t="shared" si="112"/>
        <v>96457</v>
      </c>
    </row>
    <row r="1493" spans="7:14" ht="11.25" customHeight="1" x14ac:dyDescent="0.3">
      <c r="G1493" s="470"/>
      <c r="H1493" s="470">
        <v>1486</v>
      </c>
      <c r="I1493" s="455">
        <f t="shared" ca="1" si="110"/>
        <v>-206058675.41707155</v>
      </c>
      <c r="J1493" s="455">
        <f t="array" ref="J1493">IFERROR(INDEX('Retirement Calculator'!K:K,MATCH('Lorri 401b'!N1493,'Retirement Calculator'!A:A,0),0),0)</f>
        <v>0</v>
      </c>
      <c r="K1493" s="455">
        <f t="shared" ca="1" si="108"/>
        <v>-858577.8142377981</v>
      </c>
      <c r="L1493" s="455">
        <f t="shared" ca="1" si="109"/>
        <v>-206917253.23130935</v>
      </c>
      <c r="M1493" s="471">
        <f t="shared" si="111"/>
        <v>0.05</v>
      </c>
      <c r="N1493" s="475">
        <f t="shared" si="112"/>
        <v>96486</v>
      </c>
    </row>
    <row r="1494" spans="7:14" ht="11.25" customHeight="1" x14ac:dyDescent="0.3">
      <c r="G1494" s="470"/>
      <c r="H1494" s="470">
        <v>1487</v>
      </c>
      <c r="I1494" s="455">
        <f t="shared" ca="1" si="110"/>
        <v>-206917253.23130935</v>
      </c>
      <c r="J1494" s="455">
        <f t="array" ref="J1494">IFERROR(INDEX('Retirement Calculator'!K:K,MATCH('Lorri 401b'!N1494,'Retirement Calculator'!A:A,0),0),0)</f>
        <v>0</v>
      </c>
      <c r="K1494" s="455">
        <f t="shared" ca="1" si="108"/>
        <v>-862155.22179712227</v>
      </c>
      <c r="L1494" s="455">
        <f t="shared" ca="1" si="109"/>
        <v>-207779408.45310646</v>
      </c>
      <c r="M1494" s="471">
        <f t="shared" si="111"/>
        <v>0.05</v>
      </c>
      <c r="N1494" s="475">
        <f t="shared" si="112"/>
        <v>96517</v>
      </c>
    </row>
    <row r="1495" spans="7:14" ht="11.25" customHeight="1" x14ac:dyDescent="0.3">
      <c r="G1495" s="470"/>
      <c r="H1495" s="470">
        <v>1488</v>
      </c>
      <c r="I1495" s="455">
        <f t="shared" ca="1" si="110"/>
        <v>-207779408.45310646</v>
      </c>
      <c r="J1495" s="455">
        <f t="array" ref="J1495">IFERROR(INDEX('Retirement Calculator'!K:K,MATCH('Lorri 401b'!N1495,'Retirement Calculator'!A:A,0),0),0)</f>
        <v>0</v>
      </c>
      <c r="K1495" s="455">
        <f t="shared" ca="1" si="108"/>
        <v>-865747.53522127692</v>
      </c>
      <c r="L1495" s="455">
        <f t="shared" ca="1" si="109"/>
        <v>-208645155.98832774</v>
      </c>
      <c r="M1495" s="471">
        <f t="shared" si="111"/>
        <v>0.05</v>
      </c>
      <c r="N1495" s="475">
        <f t="shared" si="112"/>
        <v>96547</v>
      </c>
    </row>
    <row r="1496" spans="7:14" ht="11.25" customHeight="1" x14ac:dyDescent="0.3">
      <c r="G1496" s="470"/>
      <c r="H1496" s="470">
        <v>1489</v>
      </c>
      <c r="I1496" s="455">
        <f t="shared" ca="1" si="110"/>
        <v>-208645155.98832774</v>
      </c>
      <c r="J1496" s="455">
        <f t="array" ref="J1496">IFERROR(INDEX('Retirement Calculator'!K:K,MATCH('Lorri 401b'!N1496,'Retirement Calculator'!A:A,0),0),0)</f>
        <v>0</v>
      </c>
      <c r="K1496" s="455">
        <f t="shared" ca="1" si="108"/>
        <v>-869354.81661803229</v>
      </c>
      <c r="L1496" s="455">
        <f t="shared" ca="1" si="109"/>
        <v>-209514510.80494577</v>
      </c>
      <c r="M1496" s="471">
        <f t="shared" si="111"/>
        <v>0.05</v>
      </c>
      <c r="N1496" s="475">
        <f t="shared" si="112"/>
        <v>96578</v>
      </c>
    </row>
    <row r="1497" spans="7:14" ht="11.25" customHeight="1" x14ac:dyDescent="0.3">
      <c r="G1497" s="470"/>
      <c r="H1497" s="470">
        <v>1490</v>
      </c>
      <c r="I1497" s="455">
        <f t="shared" ca="1" si="110"/>
        <v>-209514510.80494577</v>
      </c>
      <c r="J1497" s="455">
        <f t="array" ref="J1497">IFERROR(INDEX('Retirement Calculator'!K:K,MATCH('Lorri 401b'!N1497,'Retirement Calculator'!A:A,0),0),0)</f>
        <v>0</v>
      </c>
      <c r="K1497" s="455">
        <f t="shared" ca="1" si="108"/>
        <v>-872977.12835394067</v>
      </c>
      <c r="L1497" s="455">
        <f t="shared" ca="1" si="109"/>
        <v>-210387487.93329972</v>
      </c>
      <c r="M1497" s="471">
        <f t="shared" si="111"/>
        <v>0.05</v>
      </c>
      <c r="N1497" s="475">
        <f t="shared" si="112"/>
        <v>96608</v>
      </c>
    </row>
    <row r="1498" spans="7:14" ht="11.25" customHeight="1" x14ac:dyDescent="0.3">
      <c r="G1498" s="470"/>
      <c r="H1498" s="470">
        <v>1491</v>
      </c>
      <c r="I1498" s="455">
        <f t="shared" ca="1" si="110"/>
        <v>-210387487.93329972</v>
      </c>
      <c r="J1498" s="455">
        <f t="array" ref="J1498">IFERROR(INDEX('Retirement Calculator'!K:K,MATCH('Lorri 401b'!N1498,'Retirement Calculator'!A:A,0),0),0)</f>
        <v>0</v>
      </c>
      <c r="K1498" s="455">
        <f t="shared" ca="1" si="108"/>
        <v>-876614.53305541549</v>
      </c>
      <c r="L1498" s="455">
        <f t="shared" ca="1" si="109"/>
        <v>-211264102.46635514</v>
      </c>
      <c r="M1498" s="471">
        <f t="shared" si="111"/>
        <v>0.05</v>
      </c>
      <c r="N1498" s="475">
        <f t="shared" si="112"/>
        <v>96639</v>
      </c>
    </row>
    <row r="1499" spans="7:14" ht="11.25" customHeight="1" x14ac:dyDescent="0.3">
      <c r="G1499" s="470"/>
      <c r="H1499" s="470">
        <v>1492</v>
      </c>
      <c r="I1499" s="455">
        <f t="shared" ca="1" si="110"/>
        <v>-211264102.46635514</v>
      </c>
      <c r="J1499" s="455">
        <f t="array" ref="J1499">IFERROR(INDEX('Retirement Calculator'!K:K,MATCH('Lorri 401b'!N1499,'Retirement Calculator'!A:A,0),0),0)</f>
        <v>0</v>
      </c>
      <c r="K1499" s="455">
        <f t="shared" ca="1" si="108"/>
        <v>-880267.09360981302</v>
      </c>
      <c r="L1499" s="455">
        <f t="shared" ca="1" si="109"/>
        <v>-212144369.55996495</v>
      </c>
      <c r="M1499" s="471">
        <f t="shared" si="111"/>
        <v>0.05</v>
      </c>
      <c r="N1499" s="475">
        <f t="shared" si="112"/>
        <v>96670</v>
      </c>
    </row>
    <row r="1500" spans="7:14" ht="11.25" customHeight="1" x14ac:dyDescent="0.3">
      <c r="G1500" s="470"/>
      <c r="H1500" s="470">
        <v>1493</v>
      </c>
      <c r="I1500" s="455">
        <f t="shared" ca="1" si="110"/>
        <v>-212144369.55996495</v>
      </c>
      <c r="J1500" s="455">
        <f t="array" ref="J1500">IFERROR(INDEX('Retirement Calculator'!K:K,MATCH('Lorri 401b'!N1500,'Retirement Calculator'!A:A,0),0),0)</f>
        <v>0</v>
      </c>
      <c r="K1500" s="455">
        <f t="shared" ca="1" si="108"/>
        <v>-883934.8731665205</v>
      </c>
      <c r="L1500" s="455">
        <f t="shared" ca="1" si="109"/>
        <v>-213028304.43313149</v>
      </c>
      <c r="M1500" s="471">
        <f t="shared" si="111"/>
        <v>0.05</v>
      </c>
      <c r="N1500" s="475">
        <f t="shared" si="112"/>
        <v>96700</v>
      </c>
    </row>
    <row r="1501" spans="7:14" ht="11.25" customHeight="1" x14ac:dyDescent="0.3">
      <c r="G1501" s="470"/>
      <c r="H1501" s="470">
        <v>1494</v>
      </c>
      <c r="I1501" s="455">
        <f t="shared" ca="1" si="110"/>
        <v>-213028304.43313149</v>
      </c>
      <c r="J1501" s="455">
        <f t="array" ref="J1501">IFERROR(INDEX('Retirement Calculator'!K:K,MATCH('Lorri 401b'!N1501,'Retirement Calculator'!A:A,0),0),0)</f>
        <v>0</v>
      </c>
      <c r="K1501" s="455">
        <f t="shared" ca="1" si="108"/>
        <v>-887617.93513804802</v>
      </c>
      <c r="L1501" s="455">
        <f t="shared" ca="1" si="109"/>
        <v>-213915922.36826953</v>
      </c>
      <c r="M1501" s="471">
        <f t="shared" si="111"/>
        <v>0.05</v>
      </c>
      <c r="N1501" s="475">
        <f t="shared" si="112"/>
        <v>96731</v>
      </c>
    </row>
    <row r="1502" spans="7:14" ht="11.25" customHeight="1" x14ac:dyDescent="0.3">
      <c r="G1502" s="470"/>
      <c r="H1502" s="470">
        <v>1495</v>
      </c>
      <c r="I1502" s="455">
        <f t="shared" ca="1" si="110"/>
        <v>-213915922.36826953</v>
      </c>
      <c r="J1502" s="455">
        <f t="array" ref="J1502">IFERROR(INDEX('Retirement Calculator'!K:K,MATCH('Lorri 401b'!N1502,'Retirement Calculator'!A:A,0),0),0)</f>
        <v>0</v>
      </c>
      <c r="K1502" s="455">
        <f t="shared" ca="1" si="108"/>
        <v>-891316.34320112318</v>
      </c>
      <c r="L1502" s="455">
        <f t="shared" ca="1" si="109"/>
        <v>-214807238.71147066</v>
      </c>
      <c r="M1502" s="471">
        <f t="shared" si="111"/>
        <v>0.05</v>
      </c>
      <c r="N1502" s="475">
        <f t="shared" si="112"/>
        <v>96761</v>
      </c>
    </row>
    <row r="1503" spans="7:14" ht="11.25" customHeight="1" x14ac:dyDescent="0.3">
      <c r="G1503" s="470"/>
      <c r="H1503" s="470">
        <v>1496</v>
      </c>
      <c r="I1503" s="455">
        <f t="shared" ca="1" si="110"/>
        <v>-214807238.71147066</v>
      </c>
      <c r="J1503" s="455">
        <f t="array" ref="J1503">IFERROR(INDEX('Retirement Calculator'!K:K,MATCH('Lorri 401b'!N1503,'Retirement Calculator'!A:A,0),0),0)</f>
        <v>0</v>
      </c>
      <c r="K1503" s="455">
        <f t="shared" ca="1" si="108"/>
        <v>-895030.16129779455</v>
      </c>
      <c r="L1503" s="455">
        <f t="shared" ca="1" si="109"/>
        <v>-215702268.87276846</v>
      </c>
      <c r="M1503" s="471">
        <f t="shared" si="111"/>
        <v>0.05</v>
      </c>
      <c r="N1503" s="475">
        <f t="shared" si="112"/>
        <v>96792</v>
      </c>
    </row>
    <row r="1504" spans="7:14" ht="11.25" customHeight="1" x14ac:dyDescent="0.3">
      <c r="G1504" s="470"/>
      <c r="H1504" s="470">
        <v>1497</v>
      </c>
      <c r="I1504" s="455">
        <f t="shared" ca="1" si="110"/>
        <v>-215702268.87276846</v>
      </c>
      <c r="J1504" s="455">
        <f t="array" ref="J1504">IFERROR(INDEX('Retirement Calculator'!K:K,MATCH('Lorri 401b'!N1504,'Retirement Calculator'!A:A,0),0),0)</f>
        <v>0</v>
      </c>
      <c r="K1504" s="455">
        <f t="shared" ca="1" si="108"/>
        <v>-898759.45363653521</v>
      </c>
      <c r="L1504" s="455">
        <f t="shared" ca="1" si="109"/>
        <v>-216601028.32640499</v>
      </c>
      <c r="M1504" s="471">
        <f t="shared" si="111"/>
        <v>0.05</v>
      </c>
      <c r="N1504" s="475">
        <f t="shared" si="112"/>
        <v>96823</v>
      </c>
    </row>
    <row r="1505" spans="7:14" ht="11.25" customHeight="1" x14ac:dyDescent="0.3">
      <c r="G1505" s="470"/>
      <c r="H1505" s="470">
        <v>1498</v>
      </c>
      <c r="I1505" s="455">
        <f t="shared" ca="1" si="110"/>
        <v>-216601028.32640499</v>
      </c>
      <c r="J1505" s="455">
        <f t="array" ref="J1505">IFERROR(INDEX('Retirement Calculator'!K:K,MATCH('Lorri 401b'!N1505,'Retirement Calculator'!A:A,0),0),0)</f>
        <v>0</v>
      </c>
      <c r="K1505" s="455">
        <f t="shared" ca="1" si="108"/>
        <v>-902504.28469335416</v>
      </c>
      <c r="L1505" s="455">
        <f t="shared" ca="1" si="109"/>
        <v>-217503532.61109835</v>
      </c>
      <c r="M1505" s="471">
        <f t="shared" si="111"/>
        <v>0.05</v>
      </c>
      <c r="N1505" s="475">
        <f t="shared" si="112"/>
        <v>96851</v>
      </c>
    </row>
    <row r="1506" spans="7:14" ht="11.25" customHeight="1" x14ac:dyDescent="0.3">
      <c r="G1506" s="470"/>
      <c r="H1506" s="470">
        <v>1499</v>
      </c>
      <c r="I1506" s="455">
        <f t="shared" ca="1" si="110"/>
        <v>-217503532.61109835</v>
      </c>
      <c r="J1506" s="455">
        <f t="array" ref="J1506">IFERROR(INDEX('Retirement Calculator'!K:K,MATCH('Lorri 401b'!N1506,'Retirement Calculator'!A:A,0),0),0)</f>
        <v>0</v>
      </c>
      <c r="K1506" s="455">
        <f t="shared" ca="1" si="108"/>
        <v>-906264.71921290981</v>
      </c>
      <c r="L1506" s="455">
        <f t="shared" ca="1" si="109"/>
        <v>-218409797.33031127</v>
      </c>
      <c r="M1506" s="471">
        <f t="shared" si="111"/>
        <v>0.05</v>
      </c>
      <c r="N1506" s="475">
        <f t="shared" si="112"/>
        <v>96882</v>
      </c>
    </row>
    <row r="1507" spans="7:14" ht="11.25" customHeight="1" x14ac:dyDescent="0.3">
      <c r="G1507" s="470"/>
      <c r="H1507" s="470">
        <v>1500</v>
      </c>
      <c r="I1507" s="455">
        <f t="shared" ca="1" si="110"/>
        <v>-218409797.33031127</v>
      </c>
      <c r="J1507" s="455">
        <f t="array" ref="J1507">IFERROR(INDEX('Retirement Calculator'!K:K,MATCH('Lorri 401b'!N1507,'Retirement Calculator'!A:A,0),0),0)</f>
        <v>0</v>
      </c>
      <c r="K1507" s="455">
        <f t="shared" ca="1" si="108"/>
        <v>-910040.82220963028</v>
      </c>
      <c r="L1507" s="455">
        <f t="shared" ca="1" si="109"/>
        <v>-219319838.1525209</v>
      </c>
      <c r="M1507" s="471">
        <f t="shared" si="111"/>
        <v>0.05</v>
      </c>
      <c r="N1507" s="475">
        <f t="shared" si="112"/>
        <v>96912</v>
      </c>
    </row>
    <row r="1508" spans="7:14" ht="11.25" customHeight="1" x14ac:dyDescent="0.3">
      <c r="G1508" s="470"/>
      <c r="H1508" s="470">
        <v>1501</v>
      </c>
      <c r="I1508" s="455">
        <f t="shared" ca="1" si="110"/>
        <v>-219319838.1525209</v>
      </c>
      <c r="J1508" s="455">
        <f t="array" ref="J1508">IFERROR(INDEX('Retirement Calculator'!K:K,MATCH('Lorri 401b'!N1508,'Retirement Calculator'!A:A,0),0),0)</f>
        <v>0</v>
      </c>
      <c r="K1508" s="455">
        <f t="shared" ca="1" si="108"/>
        <v>-913832.658968837</v>
      </c>
      <c r="L1508" s="455">
        <f t="shared" ca="1" si="109"/>
        <v>-220233670.81148973</v>
      </c>
      <c r="M1508" s="471">
        <f t="shared" si="111"/>
        <v>0.05</v>
      </c>
      <c r="N1508" s="475">
        <f t="shared" si="112"/>
        <v>96943</v>
      </c>
    </row>
    <row r="1509" spans="7:14" ht="11.25" customHeight="1" x14ac:dyDescent="0.3">
      <c r="G1509" s="470"/>
      <c r="H1509" s="470">
        <v>1502</v>
      </c>
      <c r="I1509" s="455">
        <f t="shared" ca="1" si="110"/>
        <v>-220233670.81148973</v>
      </c>
      <c r="J1509" s="455">
        <f t="array" ref="J1509">IFERROR(INDEX('Retirement Calculator'!K:K,MATCH('Lorri 401b'!N1509,'Retirement Calculator'!A:A,0),0),0)</f>
        <v>0</v>
      </c>
      <c r="K1509" s="455">
        <f t="shared" ca="1" si="108"/>
        <v>-917640.29504787386</v>
      </c>
      <c r="L1509" s="455">
        <f t="shared" ca="1" si="109"/>
        <v>-221151311.10653761</v>
      </c>
      <c r="M1509" s="471">
        <f t="shared" si="111"/>
        <v>0.05</v>
      </c>
      <c r="N1509" s="475">
        <f t="shared" si="112"/>
        <v>96973</v>
      </c>
    </row>
    <row r="1510" spans="7:14" ht="11.25" customHeight="1" x14ac:dyDescent="0.3">
      <c r="G1510" s="470"/>
      <c r="H1510" s="470">
        <v>1503</v>
      </c>
      <c r="I1510" s="455">
        <f t="shared" ca="1" si="110"/>
        <v>-221151311.10653761</v>
      </c>
      <c r="J1510" s="455">
        <f t="array" ref="J1510">IFERROR(INDEX('Retirement Calculator'!K:K,MATCH('Lorri 401b'!N1510,'Retirement Calculator'!A:A,0),0),0)</f>
        <v>0</v>
      </c>
      <c r="K1510" s="455">
        <f t="shared" ca="1" si="108"/>
        <v>-921463.79627723992</v>
      </c>
      <c r="L1510" s="455">
        <f t="shared" ca="1" si="109"/>
        <v>-222072774.90281487</v>
      </c>
      <c r="M1510" s="471">
        <f t="shared" si="111"/>
        <v>0.05</v>
      </c>
      <c r="N1510" s="475">
        <f t="shared" si="112"/>
        <v>97004</v>
      </c>
    </row>
    <row r="1511" spans="7:14" ht="11.25" customHeight="1" x14ac:dyDescent="0.3">
      <c r="G1511" s="470"/>
      <c r="H1511" s="470">
        <v>1504</v>
      </c>
      <c r="I1511" s="455">
        <f t="shared" ca="1" si="110"/>
        <v>-222072774.90281487</v>
      </c>
      <c r="J1511" s="455">
        <f t="array" ref="J1511">IFERROR(INDEX('Retirement Calculator'!K:K,MATCH('Lorri 401b'!N1511,'Retirement Calculator'!A:A,0),0),0)</f>
        <v>0</v>
      </c>
      <c r="K1511" s="455">
        <f t="shared" ca="1" si="108"/>
        <v>-925303.22876172862</v>
      </c>
      <c r="L1511" s="455">
        <f t="shared" ca="1" si="109"/>
        <v>-222998078.1315766</v>
      </c>
      <c r="M1511" s="471">
        <f t="shared" si="111"/>
        <v>0.05</v>
      </c>
      <c r="N1511" s="475">
        <f t="shared" si="112"/>
        <v>97035</v>
      </c>
    </row>
    <row r="1512" spans="7:14" ht="11.25" customHeight="1" x14ac:dyDescent="0.3">
      <c r="G1512" s="470"/>
      <c r="H1512" s="470">
        <v>1505</v>
      </c>
      <c r="I1512" s="455">
        <f t="shared" ca="1" si="110"/>
        <v>-222998078.1315766</v>
      </c>
      <c r="J1512" s="455">
        <f t="array" ref="J1512">IFERROR(INDEX('Retirement Calculator'!K:K,MATCH('Lorri 401b'!N1512,'Retirement Calculator'!A:A,0),0),0)</f>
        <v>0</v>
      </c>
      <c r="K1512" s="455">
        <f t="shared" ca="1" si="108"/>
        <v>-929158.65888156905</v>
      </c>
      <c r="L1512" s="455">
        <f t="shared" ca="1" si="109"/>
        <v>-223927236.79045817</v>
      </c>
      <c r="M1512" s="471">
        <f t="shared" si="111"/>
        <v>0.05</v>
      </c>
      <c r="N1512" s="475">
        <f t="shared" si="112"/>
        <v>97065</v>
      </c>
    </row>
    <row r="1513" spans="7:14" ht="11.25" customHeight="1" x14ac:dyDescent="0.3">
      <c r="G1513" s="470"/>
      <c r="H1513" s="470">
        <v>1506</v>
      </c>
      <c r="I1513" s="455">
        <f t="shared" ca="1" si="110"/>
        <v>-223927236.79045817</v>
      </c>
      <c r="J1513" s="455">
        <f t="array" ref="J1513">IFERROR(INDEX('Retirement Calculator'!K:K,MATCH('Lorri 401b'!N1513,'Retirement Calculator'!A:A,0),0),0)</f>
        <v>0</v>
      </c>
      <c r="K1513" s="455">
        <f t="shared" ca="1" si="108"/>
        <v>-933030.15329357574</v>
      </c>
      <c r="L1513" s="455">
        <f t="shared" ca="1" si="109"/>
        <v>-224860266.94375175</v>
      </c>
      <c r="M1513" s="471">
        <f t="shared" si="111"/>
        <v>0.05</v>
      </c>
      <c r="N1513" s="475">
        <f t="shared" si="112"/>
        <v>97096</v>
      </c>
    </row>
    <row r="1514" spans="7:14" ht="11.25" customHeight="1" x14ac:dyDescent="0.3">
      <c r="G1514" s="470"/>
      <c r="H1514" s="470">
        <v>1507</v>
      </c>
      <c r="I1514" s="455">
        <f t="shared" ca="1" si="110"/>
        <v>-224860266.94375175</v>
      </c>
      <c r="J1514" s="455">
        <f t="array" ref="J1514">IFERROR(INDEX('Retirement Calculator'!K:K,MATCH('Lorri 401b'!N1514,'Retirement Calculator'!A:A,0),0),0)</f>
        <v>0</v>
      </c>
      <c r="K1514" s="455">
        <f t="shared" ca="1" si="108"/>
        <v>-936917.778932299</v>
      </c>
      <c r="L1514" s="455">
        <f t="shared" ca="1" si="109"/>
        <v>-225797184.72268406</v>
      </c>
      <c r="M1514" s="471">
        <f t="shared" si="111"/>
        <v>0.05</v>
      </c>
      <c r="N1514" s="475">
        <f t="shared" si="112"/>
        <v>97126</v>
      </c>
    </row>
    <row r="1515" spans="7:14" ht="11.25" customHeight="1" x14ac:dyDescent="0.3">
      <c r="G1515" s="470"/>
      <c r="H1515" s="470">
        <v>1508</v>
      </c>
      <c r="I1515" s="455">
        <f t="shared" ca="1" si="110"/>
        <v>-225797184.72268406</v>
      </c>
      <c r="J1515" s="455">
        <f t="array" ref="J1515">IFERROR(INDEX('Retirement Calculator'!K:K,MATCH('Lorri 401b'!N1515,'Retirement Calculator'!A:A,0),0),0)</f>
        <v>0</v>
      </c>
      <c r="K1515" s="455">
        <f t="shared" ca="1" si="108"/>
        <v>-940821.60301118356</v>
      </c>
      <c r="L1515" s="455">
        <f t="shared" ca="1" si="109"/>
        <v>-226738006.32569525</v>
      </c>
      <c r="M1515" s="471">
        <f t="shared" si="111"/>
        <v>0.05</v>
      </c>
      <c r="N1515" s="475">
        <f t="shared" si="112"/>
        <v>97157</v>
      </c>
    </row>
    <row r="1516" spans="7:14" ht="11.25" customHeight="1" x14ac:dyDescent="0.3">
      <c r="G1516" s="470"/>
      <c r="H1516" s="470">
        <v>1509</v>
      </c>
      <c r="I1516" s="455">
        <f t="shared" ca="1" si="110"/>
        <v>-226738006.32569525</v>
      </c>
      <c r="J1516" s="455">
        <f t="array" ref="J1516">IFERROR(INDEX('Retirement Calculator'!K:K,MATCH('Lorri 401b'!N1516,'Retirement Calculator'!A:A,0),0),0)</f>
        <v>0</v>
      </c>
      <c r="K1516" s="455">
        <f t="shared" ca="1" si="108"/>
        <v>-944741.69302373019</v>
      </c>
      <c r="L1516" s="455">
        <f t="shared" ca="1" si="109"/>
        <v>-227682748.01871899</v>
      </c>
      <c r="M1516" s="471">
        <f t="shared" si="111"/>
        <v>0.05</v>
      </c>
      <c r="N1516" s="475">
        <f t="shared" si="112"/>
        <v>97188</v>
      </c>
    </row>
    <row r="1517" spans="7:14" ht="11.25" customHeight="1" x14ac:dyDescent="0.3">
      <c r="G1517" s="470"/>
      <c r="H1517" s="470">
        <v>1510</v>
      </c>
      <c r="I1517" s="455">
        <f t="shared" ca="1" si="110"/>
        <v>-227682748.01871899</v>
      </c>
      <c r="J1517" s="455">
        <f t="array" ref="J1517">IFERROR(INDEX('Retirement Calculator'!K:K,MATCH('Lorri 401b'!N1517,'Retirement Calculator'!A:A,0),0),0)</f>
        <v>0</v>
      </c>
      <c r="K1517" s="455">
        <f t="shared" ca="1" si="108"/>
        <v>-948678.11674466252</v>
      </c>
      <c r="L1517" s="455">
        <f t="shared" ca="1" si="109"/>
        <v>-228631426.13546365</v>
      </c>
      <c r="M1517" s="471">
        <f t="shared" si="111"/>
        <v>0.05</v>
      </c>
      <c r="N1517" s="475">
        <f t="shared" si="112"/>
        <v>97216</v>
      </c>
    </row>
    <row r="1518" spans="7:14" ht="11.25" customHeight="1" x14ac:dyDescent="0.3">
      <c r="G1518" s="470"/>
      <c r="H1518" s="470">
        <v>1511</v>
      </c>
      <c r="I1518" s="455">
        <f t="shared" ca="1" si="110"/>
        <v>-228631426.13546365</v>
      </c>
      <c r="J1518" s="455">
        <f t="array" ref="J1518">IFERROR(INDEX('Retirement Calculator'!K:K,MATCH('Lorri 401b'!N1518,'Retirement Calculator'!A:A,0),0),0)</f>
        <v>0</v>
      </c>
      <c r="K1518" s="455">
        <f t="shared" ca="1" si="108"/>
        <v>-952630.94223109854</v>
      </c>
      <c r="L1518" s="455">
        <f t="shared" ca="1" si="109"/>
        <v>-229584057.07769474</v>
      </c>
      <c r="M1518" s="471">
        <f t="shared" si="111"/>
        <v>0.05</v>
      </c>
      <c r="N1518" s="475">
        <f t="shared" si="112"/>
        <v>97247</v>
      </c>
    </row>
    <row r="1519" spans="7:14" ht="11.25" customHeight="1" x14ac:dyDescent="0.3">
      <c r="G1519" s="470"/>
      <c r="H1519" s="470">
        <v>1512</v>
      </c>
      <c r="I1519" s="455">
        <f t="shared" ca="1" si="110"/>
        <v>-229584057.07769474</v>
      </c>
      <c r="J1519" s="455">
        <f t="array" ref="J1519">IFERROR(INDEX('Retirement Calculator'!K:K,MATCH('Lorri 401b'!N1519,'Retirement Calculator'!A:A,0),0),0)</f>
        <v>0</v>
      </c>
      <c r="K1519" s="455">
        <f t="shared" ca="1" si="108"/>
        <v>-956600.23782372824</v>
      </c>
      <c r="L1519" s="455">
        <f t="shared" ca="1" si="109"/>
        <v>-230540657.31551847</v>
      </c>
      <c r="M1519" s="471">
        <f t="shared" si="111"/>
        <v>0.05</v>
      </c>
      <c r="N1519" s="475">
        <f t="shared" si="112"/>
        <v>97277</v>
      </c>
    </row>
    <row r="1520" spans="7:14" ht="11.25" customHeight="1" x14ac:dyDescent="0.3">
      <c r="G1520" s="470"/>
      <c r="H1520" s="470">
        <v>1513</v>
      </c>
      <c r="I1520" s="455">
        <f t="shared" ca="1" si="110"/>
        <v>-230540657.31551847</v>
      </c>
      <c r="J1520" s="455">
        <f t="array" ref="J1520">IFERROR(INDEX('Retirement Calculator'!K:K,MATCH('Lorri 401b'!N1520,'Retirement Calculator'!A:A,0),0),0)</f>
        <v>0</v>
      </c>
      <c r="K1520" s="455">
        <f t="shared" ca="1" si="108"/>
        <v>-960586.0721479936</v>
      </c>
      <c r="L1520" s="455">
        <f t="shared" ca="1" si="109"/>
        <v>-231501243.38766646</v>
      </c>
      <c r="M1520" s="471">
        <f t="shared" si="111"/>
        <v>0.05</v>
      </c>
      <c r="N1520" s="475">
        <f t="shared" si="112"/>
        <v>97308</v>
      </c>
    </row>
    <row r="1521" spans="7:14" ht="11.25" customHeight="1" x14ac:dyDescent="0.3">
      <c r="G1521" s="470"/>
      <c r="H1521" s="470">
        <v>1514</v>
      </c>
      <c r="I1521" s="455">
        <f t="shared" ca="1" si="110"/>
        <v>-231501243.38766646</v>
      </c>
      <c r="J1521" s="455">
        <f t="array" ref="J1521">IFERROR(INDEX('Retirement Calculator'!K:K,MATCH('Lorri 401b'!N1521,'Retirement Calculator'!A:A,0),0),0)</f>
        <v>0</v>
      </c>
      <c r="K1521" s="455">
        <f t="shared" ca="1" si="108"/>
        <v>-964588.51411527686</v>
      </c>
      <c r="L1521" s="455">
        <f t="shared" ca="1" si="109"/>
        <v>-232465831.90178174</v>
      </c>
      <c r="M1521" s="471">
        <f t="shared" si="111"/>
        <v>0.05</v>
      </c>
      <c r="N1521" s="475">
        <f t="shared" si="112"/>
        <v>97338</v>
      </c>
    </row>
    <row r="1522" spans="7:14" ht="11.25" customHeight="1" x14ac:dyDescent="0.3">
      <c r="G1522" s="470"/>
      <c r="H1522" s="470">
        <v>1515</v>
      </c>
      <c r="I1522" s="455">
        <f t="shared" ca="1" si="110"/>
        <v>-232465831.90178174</v>
      </c>
      <c r="J1522" s="455">
        <f t="array" ref="J1522">IFERROR(INDEX('Retirement Calculator'!K:K,MATCH('Lorri 401b'!N1522,'Retirement Calculator'!A:A,0),0),0)</f>
        <v>0</v>
      </c>
      <c r="K1522" s="455">
        <f t="shared" ca="1" si="108"/>
        <v>-968607.63292409061</v>
      </c>
      <c r="L1522" s="455">
        <f t="shared" ca="1" si="109"/>
        <v>-233434439.53470582</v>
      </c>
      <c r="M1522" s="471">
        <f t="shared" si="111"/>
        <v>0.05</v>
      </c>
      <c r="N1522" s="475">
        <f t="shared" si="112"/>
        <v>97369</v>
      </c>
    </row>
    <row r="1523" spans="7:14" ht="11.25" customHeight="1" x14ac:dyDescent="0.3">
      <c r="G1523" s="470"/>
      <c r="H1523" s="470">
        <v>1516</v>
      </c>
      <c r="I1523" s="455">
        <f t="shared" ca="1" si="110"/>
        <v>-233434439.53470582</v>
      </c>
      <c r="J1523" s="455">
        <f t="array" ref="J1523">IFERROR(INDEX('Retirement Calculator'!K:K,MATCH('Lorri 401b'!N1523,'Retirement Calculator'!A:A,0),0),0)</f>
        <v>0</v>
      </c>
      <c r="K1523" s="455">
        <f t="shared" ca="1" si="108"/>
        <v>-972643.49806127406</v>
      </c>
      <c r="L1523" s="455">
        <f t="shared" ca="1" si="109"/>
        <v>-234407083.03276709</v>
      </c>
      <c r="M1523" s="471">
        <f t="shared" si="111"/>
        <v>0.05</v>
      </c>
      <c r="N1523" s="475">
        <f t="shared" si="112"/>
        <v>97400</v>
      </c>
    </row>
    <row r="1524" spans="7:14" ht="11.25" customHeight="1" x14ac:dyDescent="0.3">
      <c r="G1524" s="470"/>
      <c r="H1524" s="470">
        <v>1517</v>
      </c>
      <c r="I1524" s="455">
        <f t="shared" ca="1" si="110"/>
        <v>-234407083.03276709</v>
      </c>
      <c r="J1524" s="455">
        <f t="array" ref="J1524">IFERROR(INDEX('Retirement Calculator'!K:K,MATCH('Lorri 401b'!N1524,'Retirement Calculator'!A:A,0),0),0)</f>
        <v>0</v>
      </c>
      <c r="K1524" s="455">
        <f t="shared" ca="1" si="108"/>
        <v>-976696.17930319603</v>
      </c>
      <c r="L1524" s="455">
        <f t="shared" ca="1" si="109"/>
        <v>-235383779.21207029</v>
      </c>
      <c r="M1524" s="471">
        <f t="shared" si="111"/>
        <v>0.05</v>
      </c>
      <c r="N1524" s="475">
        <f t="shared" si="112"/>
        <v>97430</v>
      </c>
    </row>
    <row r="1525" spans="7:14" ht="11.25" customHeight="1" x14ac:dyDescent="0.3">
      <c r="G1525" s="470"/>
      <c r="H1525" s="470">
        <v>1518</v>
      </c>
      <c r="I1525" s="455">
        <f t="shared" ca="1" si="110"/>
        <v>-235383779.21207029</v>
      </c>
      <c r="J1525" s="455">
        <f t="array" ref="J1525">IFERROR(INDEX('Retirement Calculator'!K:K,MATCH('Lorri 401b'!N1525,'Retirement Calculator'!A:A,0),0),0)</f>
        <v>0</v>
      </c>
      <c r="K1525" s="455">
        <f t="shared" ca="1" si="108"/>
        <v>-980765.74671695952</v>
      </c>
      <c r="L1525" s="455">
        <f t="shared" ca="1" si="109"/>
        <v>-236364544.95878723</v>
      </c>
      <c r="M1525" s="471">
        <f t="shared" si="111"/>
        <v>0.05</v>
      </c>
      <c r="N1525" s="475">
        <f t="shared" si="112"/>
        <v>97461</v>
      </c>
    </row>
    <row r="1526" spans="7:14" ht="11.25" customHeight="1" x14ac:dyDescent="0.3">
      <c r="G1526" s="470"/>
      <c r="H1526" s="470">
        <v>1519</v>
      </c>
      <c r="I1526" s="455">
        <f t="shared" ca="1" si="110"/>
        <v>-236364544.95878723</v>
      </c>
      <c r="J1526" s="455">
        <f t="array" ref="J1526">IFERROR(INDEX('Retirement Calculator'!K:K,MATCH('Lorri 401b'!N1526,'Retirement Calculator'!A:A,0),0),0)</f>
        <v>0</v>
      </c>
      <c r="K1526" s="455">
        <f t="shared" ca="1" si="108"/>
        <v>-984852.27066161344</v>
      </c>
      <c r="L1526" s="455">
        <f t="shared" ca="1" si="109"/>
        <v>-237349397.22944885</v>
      </c>
      <c r="M1526" s="471">
        <f t="shared" si="111"/>
        <v>0.05</v>
      </c>
      <c r="N1526" s="475">
        <f t="shared" si="112"/>
        <v>97491</v>
      </c>
    </row>
    <row r="1527" spans="7:14" ht="11.25" customHeight="1" x14ac:dyDescent="0.3">
      <c r="G1527" s="470"/>
      <c r="H1527" s="470">
        <v>1520</v>
      </c>
      <c r="I1527" s="455">
        <f t="shared" ca="1" si="110"/>
        <v>-237349397.22944885</v>
      </c>
      <c r="J1527" s="455">
        <f t="array" ref="J1527">IFERROR(INDEX('Retirement Calculator'!K:K,MATCH('Lorri 401b'!N1527,'Retirement Calculator'!A:A,0),0),0)</f>
        <v>0</v>
      </c>
      <c r="K1527" s="455">
        <f t="shared" ca="1" si="108"/>
        <v>-988955.82178937027</v>
      </c>
      <c r="L1527" s="455">
        <f t="shared" ca="1" si="109"/>
        <v>-238338353.05123824</v>
      </c>
      <c r="M1527" s="471">
        <f t="shared" si="111"/>
        <v>0.05</v>
      </c>
      <c r="N1527" s="475">
        <f t="shared" si="112"/>
        <v>97522</v>
      </c>
    </row>
    <row r="1528" spans="7:14" ht="11.25" customHeight="1" x14ac:dyDescent="0.3">
      <c r="G1528" s="470"/>
      <c r="H1528" s="470">
        <v>1521</v>
      </c>
      <c r="I1528" s="455">
        <f t="shared" ca="1" si="110"/>
        <v>-238338353.05123824</v>
      </c>
      <c r="J1528" s="455">
        <f t="array" ref="J1528">IFERROR(INDEX('Retirement Calculator'!K:K,MATCH('Lorri 401b'!N1528,'Retirement Calculator'!A:A,0),0),0)</f>
        <v>0</v>
      </c>
      <c r="K1528" s="455">
        <f t="shared" ca="1" si="108"/>
        <v>-993076.47104682587</v>
      </c>
      <c r="L1528" s="455">
        <f t="shared" ca="1" si="109"/>
        <v>-239331429.52228507</v>
      </c>
      <c r="M1528" s="471">
        <f t="shared" si="111"/>
        <v>0.05</v>
      </c>
      <c r="N1528" s="475">
        <f t="shared" si="112"/>
        <v>97553</v>
      </c>
    </row>
    <row r="1529" spans="7:14" ht="11.25" customHeight="1" x14ac:dyDescent="0.3">
      <c r="G1529" s="470"/>
      <c r="H1529" s="470">
        <v>1522</v>
      </c>
      <c r="I1529" s="455">
        <f t="shared" ca="1" si="110"/>
        <v>-239331429.52228507</v>
      </c>
      <c r="J1529" s="455">
        <f t="array" ref="J1529">IFERROR(INDEX('Retirement Calculator'!K:K,MATCH('Lorri 401b'!N1529,'Retirement Calculator'!A:A,0),0),0)</f>
        <v>0</v>
      </c>
      <c r="K1529" s="455">
        <f t="shared" ca="1" si="108"/>
        <v>-997214.28967618779</v>
      </c>
      <c r="L1529" s="455">
        <f t="shared" ca="1" si="109"/>
        <v>-240328643.81196126</v>
      </c>
      <c r="M1529" s="471">
        <f t="shared" si="111"/>
        <v>0.05</v>
      </c>
      <c r="N1529" s="475">
        <f t="shared" si="112"/>
        <v>97581</v>
      </c>
    </row>
    <row r="1530" spans="7:14" ht="11.25" customHeight="1" x14ac:dyDescent="0.3">
      <c r="G1530" s="470"/>
      <c r="H1530" s="470">
        <v>1523</v>
      </c>
      <c r="I1530" s="455">
        <f t="shared" ca="1" si="110"/>
        <v>-240328643.81196126</v>
      </c>
      <c r="J1530" s="455">
        <f t="array" ref="J1530">IFERROR(INDEX('Retirement Calculator'!K:K,MATCH('Lorri 401b'!N1530,'Retirement Calculator'!A:A,0),0),0)</f>
        <v>0</v>
      </c>
      <c r="K1530" s="455">
        <f t="shared" ca="1" si="108"/>
        <v>-1001369.3492165053</v>
      </c>
      <c r="L1530" s="455">
        <f t="shared" ca="1" si="109"/>
        <v>-241330013.16117775</v>
      </c>
      <c r="M1530" s="471">
        <f t="shared" si="111"/>
        <v>0.05</v>
      </c>
      <c r="N1530" s="475">
        <f t="shared" si="112"/>
        <v>97612</v>
      </c>
    </row>
    <row r="1531" spans="7:14" ht="11.25" customHeight="1" x14ac:dyDescent="0.3">
      <c r="G1531" s="470"/>
      <c r="H1531" s="470">
        <v>1524</v>
      </c>
      <c r="I1531" s="455">
        <f t="shared" ca="1" si="110"/>
        <v>-241330013.16117775</v>
      </c>
      <c r="J1531" s="455">
        <f t="array" ref="J1531">IFERROR(INDEX('Retirement Calculator'!K:K,MATCH('Lorri 401b'!N1531,'Retirement Calculator'!A:A,0),0),0)</f>
        <v>0</v>
      </c>
      <c r="K1531" s="455">
        <f t="shared" ca="1" si="108"/>
        <v>-1005541.7215049075</v>
      </c>
      <c r="L1531" s="455">
        <f t="shared" ca="1" si="109"/>
        <v>-242335554.88268265</v>
      </c>
      <c r="M1531" s="471">
        <f t="shared" si="111"/>
        <v>0.05</v>
      </c>
      <c r="N1531" s="475">
        <f t="shared" si="112"/>
        <v>97642</v>
      </c>
    </row>
    <row r="1532" spans="7:14" ht="11.25" customHeight="1" x14ac:dyDescent="0.3">
      <c r="G1532" s="470"/>
      <c r="H1532" s="470">
        <v>1525</v>
      </c>
      <c r="I1532" s="455">
        <f t="shared" ca="1" si="110"/>
        <v>-242335554.88268265</v>
      </c>
      <c r="J1532" s="455">
        <f t="array" ref="J1532">IFERROR(INDEX('Retirement Calculator'!K:K,MATCH('Lorri 401b'!N1532,'Retirement Calculator'!A:A,0),0),0)</f>
        <v>0</v>
      </c>
      <c r="K1532" s="455">
        <f t="shared" ca="1" si="108"/>
        <v>-1009731.4786778443</v>
      </c>
      <c r="L1532" s="455">
        <f t="shared" ca="1" si="109"/>
        <v>-243345286.36136049</v>
      </c>
      <c r="M1532" s="471">
        <f t="shared" si="111"/>
        <v>0.05</v>
      </c>
      <c r="N1532" s="475">
        <f t="shared" si="112"/>
        <v>97673</v>
      </c>
    </row>
    <row r="1533" spans="7:14" ht="11.25" customHeight="1" x14ac:dyDescent="0.3">
      <c r="G1533" s="470"/>
      <c r="H1533" s="470">
        <v>1526</v>
      </c>
      <c r="I1533" s="455">
        <f t="shared" ca="1" si="110"/>
        <v>-243345286.36136049</v>
      </c>
      <c r="J1533" s="455">
        <f t="array" ref="J1533">IFERROR(INDEX('Retirement Calculator'!K:K,MATCH('Lorri 401b'!N1533,'Retirement Calculator'!A:A,0),0),0)</f>
        <v>0</v>
      </c>
      <c r="K1533" s="455">
        <f t="shared" ca="1" si="108"/>
        <v>-1013938.6931723354</v>
      </c>
      <c r="L1533" s="455">
        <f t="shared" ca="1" si="109"/>
        <v>-244359225.05453283</v>
      </c>
      <c r="M1533" s="471">
        <f t="shared" si="111"/>
        <v>0.05</v>
      </c>
      <c r="N1533" s="475">
        <f t="shared" si="112"/>
        <v>97703</v>
      </c>
    </row>
    <row r="1534" spans="7:14" ht="11.25" customHeight="1" x14ac:dyDescent="0.3">
      <c r="G1534" s="470"/>
      <c r="H1534" s="470">
        <v>1527</v>
      </c>
      <c r="I1534" s="455">
        <f t="shared" ca="1" si="110"/>
        <v>-244359225.05453283</v>
      </c>
      <c r="J1534" s="455">
        <f t="array" ref="J1534">IFERROR(INDEX('Retirement Calculator'!K:K,MATCH('Lorri 401b'!N1534,'Retirement Calculator'!A:A,0),0),0)</f>
        <v>0</v>
      </c>
      <c r="K1534" s="455">
        <f t="shared" ca="1" si="108"/>
        <v>-1018163.43772722</v>
      </c>
      <c r="L1534" s="455">
        <f t="shared" ca="1" si="109"/>
        <v>-245377388.49226004</v>
      </c>
      <c r="M1534" s="471">
        <f t="shared" si="111"/>
        <v>0.05</v>
      </c>
      <c r="N1534" s="475">
        <f t="shared" si="112"/>
        <v>97734</v>
      </c>
    </row>
    <row r="1535" spans="7:14" ht="11.25" customHeight="1" x14ac:dyDescent="0.3">
      <c r="G1535" s="470"/>
      <c r="H1535" s="470">
        <v>1528</v>
      </c>
      <c r="I1535" s="455">
        <f t="shared" ca="1" si="110"/>
        <v>-245377388.49226004</v>
      </c>
      <c r="J1535" s="455">
        <f t="array" ref="J1535">IFERROR(INDEX('Retirement Calculator'!K:K,MATCH('Lorri 401b'!N1535,'Retirement Calculator'!A:A,0),0),0)</f>
        <v>0</v>
      </c>
      <c r="K1535" s="455">
        <f t="shared" ca="1" si="108"/>
        <v>-1022405.7853844168</v>
      </c>
      <c r="L1535" s="455">
        <f t="shared" ca="1" si="109"/>
        <v>-246399794.27764446</v>
      </c>
      <c r="M1535" s="471">
        <f t="shared" si="111"/>
        <v>0.05</v>
      </c>
      <c r="N1535" s="475">
        <f t="shared" si="112"/>
        <v>97765</v>
      </c>
    </row>
    <row r="1536" spans="7:14" ht="11.25" customHeight="1" x14ac:dyDescent="0.3">
      <c r="G1536" s="470"/>
      <c r="H1536" s="470">
        <v>1529</v>
      </c>
      <c r="I1536" s="455">
        <f t="shared" ca="1" si="110"/>
        <v>-246399794.27764446</v>
      </c>
      <c r="J1536" s="455">
        <f t="array" ref="J1536">IFERROR(INDEX('Retirement Calculator'!K:K,MATCH('Lorri 401b'!N1536,'Retirement Calculator'!A:A,0),0),0)</f>
        <v>0</v>
      </c>
      <c r="K1536" s="455">
        <f t="shared" ca="1" si="108"/>
        <v>-1026665.8094901853</v>
      </c>
      <c r="L1536" s="455">
        <f t="shared" ca="1" si="109"/>
        <v>-247426460.08713463</v>
      </c>
      <c r="M1536" s="471">
        <f t="shared" si="111"/>
        <v>0.05</v>
      </c>
      <c r="N1536" s="475">
        <f t="shared" si="112"/>
        <v>97795</v>
      </c>
    </row>
    <row r="1537" spans="7:14" ht="11.25" customHeight="1" x14ac:dyDescent="0.3">
      <c r="G1537" s="470"/>
      <c r="H1537" s="470">
        <v>1530</v>
      </c>
      <c r="I1537" s="455">
        <f t="shared" ca="1" si="110"/>
        <v>-247426460.08713463</v>
      </c>
      <c r="J1537" s="455">
        <f t="array" ref="J1537">IFERROR(INDEX('Retirement Calculator'!K:K,MATCH('Lorri 401b'!N1537,'Retirement Calculator'!A:A,0),0),0)</f>
        <v>0</v>
      </c>
      <c r="K1537" s="455">
        <f t="shared" ca="1" si="108"/>
        <v>-1030943.5836963943</v>
      </c>
      <c r="L1537" s="455">
        <f t="shared" ca="1" si="109"/>
        <v>-248457403.67083102</v>
      </c>
      <c r="M1537" s="471">
        <f t="shared" si="111"/>
        <v>0.05</v>
      </c>
      <c r="N1537" s="475">
        <f t="shared" si="112"/>
        <v>97826</v>
      </c>
    </row>
    <row r="1538" spans="7:14" ht="11.25" customHeight="1" x14ac:dyDescent="0.3">
      <c r="G1538" s="470"/>
      <c r="H1538" s="470">
        <v>1531</v>
      </c>
      <c r="I1538" s="455">
        <f t="shared" ca="1" si="110"/>
        <v>-248457403.67083102</v>
      </c>
      <c r="J1538" s="455">
        <f t="array" ref="J1538">IFERROR(INDEX('Retirement Calculator'!K:K,MATCH('Lorri 401b'!N1538,'Retirement Calculator'!A:A,0),0),0)</f>
        <v>0</v>
      </c>
      <c r="K1538" s="455">
        <f t="shared" ref="K1538:K1792" ca="1" si="113">IPMT(M1538/12,1,12,-I1538+J1538,,0)</f>
        <v>-1035239.1819617959</v>
      </c>
      <c r="L1538" s="455">
        <f t="shared" ref="L1538:L1792" ca="1" si="114">I1538-J1538+K1538</f>
        <v>-249492642.85279283</v>
      </c>
      <c r="M1538" s="471">
        <f t="shared" si="111"/>
        <v>0.05</v>
      </c>
      <c r="N1538" s="475">
        <f t="shared" si="112"/>
        <v>97856</v>
      </c>
    </row>
    <row r="1539" spans="7:14" ht="11.25" customHeight="1" x14ac:dyDescent="0.3">
      <c r="G1539" s="470"/>
      <c r="H1539" s="470">
        <v>1532</v>
      </c>
      <c r="I1539" s="455">
        <f t="shared" ref="I1539:I1793" ca="1" si="115">L1538</f>
        <v>-249492642.85279283</v>
      </c>
      <c r="J1539" s="455">
        <f t="array" ref="J1539">IFERROR(INDEX('Retirement Calculator'!K:K,MATCH('Lorri 401b'!N1539,'Retirement Calculator'!A:A,0),0),0)</f>
        <v>0</v>
      </c>
      <c r="K1539" s="455">
        <f t="shared" ca="1" si="113"/>
        <v>-1039552.6785533035</v>
      </c>
      <c r="L1539" s="455">
        <f t="shared" ca="1" si="114"/>
        <v>-250532195.53134614</v>
      </c>
      <c r="M1539" s="471">
        <f t="shared" ref="M1539:M1793" si="116">M1538</f>
        <v>0.05</v>
      </c>
      <c r="N1539" s="475">
        <f t="shared" ref="N1539:N1793" si="117">EDATE(N1538,1)</f>
        <v>97887</v>
      </c>
    </row>
    <row r="1540" spans="7:14" ht="11.25" customHeight="1" x14ac:dyDescent="0.3">
      <c r="G1540" s="470"/>
      <c r="H1540" s="470">
        <v>1533</v>
      </c>
      <c r="I1540" s="455">
        <f t="shared" ca="1" si="115"/>
        <v>-250532195.53134614</v>
      </c>
      <c r="J1540" s="455">
        <f t="array" ref="J1540">IFERROR(INDEX('Retirement Calculator'!K:K,MATCH('Lorri 401b'!N1540,'Retirement Calculator'!A:A,0),0),0)</f>
        <v>0</v>
      </c>
      <c r="K1540" s="455">
        <f t="shared" ca="1" si="113"/>
        <v>-1043884.1480472756</v>
      </c>
      <c r="L1540" s="455">
        <f t="shared" ca="1" si="114"/>
        <v>-251576079.67939341</v>
      </c>
      <c r="M1540" s="471">
        <f t="shared" si="116"/>
        <v>0.05</v>
      </c>
      <c r="N1540" s="475">
        <f t="shared" si="117"/>
        <v>97918</v>
      </c>
    </row>
    <row r="1541" spans="7:14" ht="11.25" customHeight="1" x14ac:dyDescent="0.3">
      <c r="G1541" s="470"/>
      <c r="H1541" s="470">
        <v>1534</v>
      </c>
      <c r="I1541" s="455">
        <f t="shared" ca="1" si="115"/>
        <v>-251576079.67939341</v>
      </c>
      <c r="J1541" s="455">
        <f t="array" ref="J1541">IFERROR(INDEX('Retirement Calculator'!K:K,MATCH('Lorri 401b'!N1541,'Retirement Calculator'!A:A,0),0),0)</f>
        <v>0</v>
      </c>
      <c r="K1541" s="455">
        <f t="shared" ca="1" si="113"/>
        <v>-1048233.6653308058</v>
      </c>
      <c r="L1541" s="455">
        <f t="shared" ca="1" si="114"/>
        <v>-252624313.34472421</v>
      </c>
      <c r="M1541" s="471">
        <f t="shared" si="116"/>
        <v>0.05</v>
      </c>
      <c r="N1541" s="475">
        <f t="shared" si="117"/>
        <v>97947</v>
      </c>
    </row>
    <row r="1542" spans="7:14" ht="11.25" customHeight="1" x14ac:dyDescent="0.3">
      <c r="G1542" s="470"/>
      <c r="H1542" s="470">
        <v>1535</v>
      </c>
      <c r="I1542" s="455">
        <f t="shared" ca="1" si="115"/>
        <v>-252624313.34472421</v>
      </c>
      <c r="J1542" s="455">
        <f t="array" ref="J1542">IFERROR(INDEX('Retirement Calculator'!K:K,MATCH('Lorri 401b'!N1542,'Retirement Calculator'!A:A,0),0),0)</f>
        <v>0</v>
      </c>
      <c r="K1542" s="455">
        <f t="shared" ca="1" si="113"/>
        <v>-1052601.3056030176</v>
      </c>
      <c r="L1542" s="455">
        <f t="shared" ca="1" si="114"/>
        <v>-253676914.65032724</v>
      </c>
      <c r="M1542" s="471">
        <f t="shared" si="116"/>
        <v>0.05</v>
      </c>
      <c r="N1542" s="475">
        <f t="shared" si="117"/>
        <v>97978</v>
      </c>
    </row>
    <row r="1543" spans="7:14" ht="11.25" customHeight="1" x14ac:dyDescent="0.3">
      <c r="G1543" s="470"/>
      <c r="H1543" s="470">
        <v>1536</v>
      </c>
      <c r="I1543" s="455">
        <f t="shared" ca="1" si="115"/>
        <v>-253676914.65032724</v>
      </c>
      <c r="J1543" s="455">
        <f t="array" ref="J1543">IFERROR(INDEX('Retirement Calculator'!K:K,MATCH('Lorri 401b'!N1543,'Retirement Calculator'!A:A,0),0),0)</f>
        <v>0</v>
      </c>
      <c r="K1543" s="455">
        <f t="shared" ca="1" si="113"/>
        <v>-1056987.1443763634</v>
      </c>
      <c r="L1543" s="455">
        <f t="shared" ca="1" si="114"/>
        <v>-254733901.7947036</v>
      </c>
      <c r="M1543" s="471">
        <f t="shared" si="116"/>
        <v>0.05</v>
      </c>
      <c r="N1543" s="475">
        <f t="shared" si="117"/>
        <v>98008</v>
      </c>
    </row>
    <row r="1544" spans="7:14" ht="11.25" customHeight="1" x14ac:dyDescent="0.3">
      <c r="G1544" s="470"/>
      <c r="H1544" s="470">
        <v>1537</v>
      </c>
      <c r="I1544" s="455">
        <f t="shared" ca="1" si="115"/>
        <v>-254733901.7947036</v>
      </c>
      <c r="J1544" s="455">
        <f t="array" ref="J1544">IFERROR(INDEX('Retirement Calculator'!K:K,MATCH('Lorri 401b'!N1544,'Retirement Calculator'!A:A,0),0),0)</f>
        <v>0</v>
      </c>
      <c r="K1544" s="455">
        <f t="shared" ca="1" si="113"/>
        <v>-1061391.2574779314</v>
      </c>
      <c r="L1544" s="455">
        <f t="shared" ca="1" si="114"/>
        <v>-255795293.05218154</v>
      </c>
      <c r="M1544" s="471">
        <f t="shared" si="116"/>
        <v>0.05</v>
      </c>
      <c r="N1544" s="475">
        <f t="shared" si="117"/>
        <v>98039</v>
      </c>
    </row>
    <row r="1545" spans="7:14" ht="11.25" customHeight="1" x14ac:dyDescent="0.3">
      <c r="G1545" s="470"/>
      <c r="H1545" s="470">
        <v>1538</v>
      </c>
      <c r="I1545" s="455">
        <f t="shared" ca="1" si="115"/>
        <v>-255795293.05218154</v>
      </c>
      <c r="J1545" s="455">
        <f t="array" ref="J1545">IFERROR(INDEX('Retirement Calculator'!K:K,MATCH('Lorri 401b'!N1545,'Retirement Calculator'!A:A,0),0),0)</f>
        <v>0</v>
      </c>
      <c r="K1545" s="455">
        <f t="shared" ca="1" si="113"/>
        <v>-1065813.7210507565</v>
      </c>
      <c r="L1545" s="455">
        <f t="shared" ca="1" si="114"/>
        <v>-256861106.77323231</v>
      </c>
      <c r="M1545" s="471">
        <f t="shared" si="116"/>
        <v>0.05</v>
      </c>
      <c r="N1545" s="475">
        <f t="shared" si="117"/>
        <v>98069</v>
      </c>
    </row>
    <row r="1546" spans="7:14" ht="11.25" customHeight="1" x14ac:dyDescent="0.3">
      <c r="G1546" s="470"/>
      <c r="H1546" s="470">
        <v>1539</v>
      </c>
      <c r="I1546" s="455">
        <f t="shared" ca="1" si="115"/>
        <v>-256861106.77323231</v>
      </c>
      <c r="J1546" s="455">
        <f t="array" ref="J1546">IFERROR(INDEX('Retirement Calculator'!K:K,MATCH('Lorri 401b'!N1546,'Retirement Calculator'!A:A,0),0),0)</f>
        <v>0</v>
      </c>
      <c r="K1546" s="455">
        <f t="shared" ca="1" si="113"/>
        <v>-1070254.6115551346</v>
      </c>
      <c r="L1546" s="455">
        <f t="shared" ca="1" si="114"/>
        <v>-257931361.38478744</v>
      </c>
      <c r="M1546" s="471">
        <f t="shared" si="116"/>
        <v>0.05</v>
      </c>
      <c r="N1546" s="475">
        <f t="shared" si="117"/>
        <v>98100</v>
      </c>
    </row>
    <row r="1547" spans="7:14" ht="11.25" customHeight="1" x14ac:dyDescent="0.3">
      <c r="G1547" s="470"/>
      <c r="H1547" s="470">
        <v>1540</v>
      </c>
      <c r="I1547" s="455">
        <f t="shared" ca="1" si="115"/>
        <v>-257931361.38478744</v>
      </c>
      <c r="J1547" s="455">
        <f t="array" ref="J1547">IFERROR(INDEX('Retirement Calculator'!K:K,MATCH('Lorri 401b'!N1547,'Retirement Calculator'!A:A,0),0),0)</f>
        <v>0</v>
      </c>
      <c r="K1547" s="455">
        <f t="shared" ca="1" si="113"/>
        <v>-1074714.0057699475</v>
      </c>
      <c r="L1547" s="455">
        <f t="shared" ca="1" si="114"/>
        <v>-259006075.39055738</v>
      </c>
      <c r="M1547" s="471">
        <f t="shared" si="116"/>
        <v>0.05</v>
      </c>
      <c r="N1547" s="475">
        <f t="shared" si="117"/>
        <v>98131</v>
      </c>
    </row>
    <row r="1548" spans="7:14" ht="11.25" customHeight="1" x14ac:dyDescent="0.3">
      <c r="G1548" s="470"/>
      <c r="H1548" s="470">
        <v>1541</v>
      </c>
      <c r="I1548" s="455">
        <f t="shared" ca="1" si="115"/>
        <v>-259006075.39055738</v>
      </c>
      <c r="J1548" s="455">
        <f t="array" ref="J1548">IFERROR(INDEX('Retirement Calculator'!K:K,MATCH('Lorri 401b'!N1548,'Retirement Calculator'!A:A,0),0),0)</f>
        <v>0</v>
      </c>
      <c r="K1548" s="455">
        <f t="shared" ca="1" si="113"/>
        <v>-1079191.980793989</v>
      </c>
      <c r="L1548" s="455">
        <f t="shared" ca="1" si="114"/>
        <v>-260085267.37135136</v>
      </c>
      <c r="M1548" s="471">
        <f t="shared" si="116"/>
        <v>0.05</v>
      </c>
      <c r="N1548" s="475">
        <f t="shared" si="117"/>
        <v>98161</v>
      </c>
    </row>
    <row r="1549" spans="7:14" ht="11.25" customHeight="1" x14ac:dyDescent="0.3">
      <c r="G1549" s="470"/>
      <c r="H1549" s="470">
        <v>1542</v>
      </c>
      <c r="I1549" s="455">
        <f t="shared" ca="1" si="115"/>
        <v>-260085267.37135136</v>
      </c>
      <c r="J1549" s="455">
        <f t="array" ref="J1549">IFERROR(INDEX('Retirement Calculator'!K:K,MATCH('Lorri 401b'!N1549,'Retirement Calculator'!A:A,0),0),0)</f>
        <v>0</v>
      </c>
      <c r="K1549" s="455">
        <f t="shared" ca="1" si="113"/>
        <v>-1083688.6140472973</v>
      </c>
      <c r="L1549" s="455">
        <f t="shared" ca="1" si="114"/>
        <v>-261168955.98539865</v>
      </c>
      <c r="M1549" s="471">
        <f t="shared" si="116"/>
        <v>0.05</v>
      </c>
      <c r="N1549" s="475">
        <f t="shared" si="117"/>
        <v>98192</v>
      </c>
    </row>
    <row r="1550" spans="7:14" ht="11.25" customHeight="1" x14ac:dyDescent="0.3">
      <c r="G1550" s="470"/>
      <c r="H1550" s="470">
        <v>1543</v>
      </c>
      <c r="I1550" s="455">
        <f t="shared" ca="1" si="115"/>
        <v>-261168955.98539865</v>
      </c>
      <c r="J1550" s="455">
        <f t="array" ref="J1550">IFERROR(INDEX('Retirement Calculator'!K:K,MATCH('Lorri 401b'!N1550,'Retirement Calculator'!A:A,0),0),0)</f>
        <v>0</v>
      </c>
      <c r="K1550" s="455">
        <f t="shared" ca="1" si="113"/>
        <v>-1088203.9832724943</v>
      </c>
      <c r="L1550" s="455">
        <f t="shared" ca="1" si="114"/>
        <v>-262257159.96867114</v>
      </c>
      <c r="M1550" s="471">
        <f t="shared" si="116"/>
        <v>0.05</v>
      </c>
      <c r="N1550" s="475">
        <f t="shared" si="117"/>
        <v>98222</v>
      </c>
    </row>
    <row r="1551" spans="7:14" ht="11.25" customHeight="1" x14ac:dyDescent="0.3">
      <c r="G1551" s="470"/>
      <c r="H1551" s="470">
        <v>1544</v>
      </c>
      <c r="I1551" s="455">
        <f t="shared" ca="1" si="115"/>
        <v>-262257159.96867114</v>
      </c>
      <c r="J1551" s="455">
        <f t="array" ref="J1551">IFERROR(INDEX('Retirement Calculator'!K:K,MATCH('Lorri 401b'!N1551,'Retirement Calculator'!A:A,0),0),0)</f>
        <v>0</v>
      </c>
      <c r="K1551" s="455">
        <f t="shared" ca="1" si="113"/>
        <v>-1092738.1665361295</v>
      </c>
      <c r="L1551" s="455">
        <f t="shared" ca="1" si="114"/>
        <v>-263349898.13520727</v>
      </c>
      <c r="M1551" s="471">
        <f t="shared" si="116"/>
        <v>0.05</v>
      </c>
      <c r="N1551" s="475">
        <f t="shared" si="117"/>
        <v>98253</v>
      </c>
    </row>
    <row r="1552" spans="7:14" ht="11.25" customHeight="1" x14ac:dyDescent="0.3">
      <c r="G1552" s="470"/>
      <c r="H1552" s="470">
        <v>1545</v>
      </c>
      <c r="I1552" s="455">
        <f t="shared" ca="1" si="115"/>
        <v>-263349898.13520727</v>
      </c>
      <c r="J1552" s="455">
        <f t="array" ref="J1552">IFERROR(INDEX('Retirement Calculator'!K:K,MATCH('Lorri 401b'!N1552,'Retirement Calculator'!A:A,0),0),0)</f>
        <v>0</v>
      </c>
      <c r="K1552" s="455">
        <f t="shared" ca="1" si="113"/>
        <v>-1097291.2422300305</v>
      </c>
      <c r="L1552" s="455">
        <f t="shared" ca="1" si="114"/>
        <v>-264447189.37743729</v>
      </c>
      <c r="M1552" s="471">
        <f t="shared" si="116"/>
        <v>0.05</v>
      </c>
      <c r="N1552" s="475">
        <f t="shared" si="117"/>
        <v>98284</v>
      </c>
    </row>
    <row r="1553" spans="7:14" ht="11.25" customHeight="1" x14ac:dyDescent="0.3">
      <c r="G1553" s="470"/>
      <c r="H1553" s="470">
        <v>1546</v>
      </c>
      <c r="I1553" s="455">
        <f t="shared" ca="1" si="115"/>
        <v>-264447189.37743729</v>
      </c>
      <c r="J1553" s="455">
        <f t="array" ref="J1553">IFERROR(INDEX('Retirement Calculator'!K:K,MATCH('Lorri 401b'!N1553,'Retirement Calculator'!A:A,0),0),0)</f>
        <v>0</v>
      </c>
      <c r="K1553" s="455">
        <f t="shared" ca="1" si="113"/>
        <v>-1101863.2890726556</v>
      </c>
      <c r="L1553" s="455">
        <f t="shared" ca="1" si="114"/>
        <v>-265549052.66650996</v>
      </c>
      <c r="M1553" s="471">
        <f t="shared" si="116"/>
        <v>0.05</v>
      </c>
      <c r="N1553" s="475">
        <f t="shared" si="117"/>
        <v>98312</v>
      </c>
    </row>
    <row r="1554" spans="7:14" ht="11.25" customHeight="1" x14ac:dyDescent="0.3">
      <c r="G1554" s="470"/>
      <c r="H1554" s="470">
        <v>1547</v>
      </c>
      <c r="I1554" s="455">
        <f t="shared" ca="1" si="115"/>
        <v>-265549052.66650996</v>
      </c>
      <c r="J1554" s="455">
        <f t="array" ref="J1554">IFERROR(INDEX('Retirement Calculator'!K:K,MATCH('Lorri 401b'!N1554,'Retirement Calculator'!A:A,0),0),0)</f>
        <v>0</v>
      </c>
      <c r="K1554" s="455">
        <f t="shared" ca="1" si="113"/>
        <v>-1106454.3861104581</v>
      </c>
      <c r="L1554" s="455">
        <f t="shared" ca="1" si="114"/>
        <v>-266655507.05262041</v>
      </c>
      <c r="M1554" s="471">
        <f t="shared" si="116"/>
        <v>0.05</v>
      </c>
      <c r="N1554" s="475">
        <f t="shared" si="117"/>
        <v>98343</v>
      </c>
    </row>
    <row r="1555" spans="7:14" ht="11.25" customHeight="1" x14ac:dyDescent="0.3">
      <c r="G1555" s="470"/>
      <c r="H1555" s="470">
        <v>1548</v>
      </c>
      <c r="I1555" s="455">
        <f t="shared" ca="1" si="115"/>
        <v>-266655507.05262041</v>
      </c>
      <c r="J1555" s="455">
        <f t="array" ref="J1555">IFERROR(INDEX('Retirement Calculator'!K:K,MATCH('Lorri 401b'!N1555,'Retirement Calculator'!A:A,0),0),0)</f>
        <v>0</v>
      </c>
      <c r="K1555" s="455">
        <f t="shared" ca="1" si="113"/>
        <v>-1111064.6127192518</v>
      </c>
      <c r="L1555" s="455">
        <f t="shared" ca="1" si="114"/>
        <v>-267766571.66533965</v>
      </c>
      <c r="M1555" s="471">
        <f t="shared" si="116"/>
        <v>0.05</v>
      </c>
      <c r="N1555" s="475">
        <f t="shared" si="117"/>
        <v>98373</v>
      </c>
    </row>
    <row r="1556" spans="7:14" ht="11.25" customHeight="1" x14ac:dyDescent="0.3">
      <c r="G1556" s="470"/>
      <c r="H1556" s="470">
        <v>1549</v>
      </c>
      <c r="I1556" s="455">
        <f t="shared" ca="1" si="115"/>
        <v>-267766571.66533965</v>
      </c>
      <c r="J1556" s="455">
        <f t="array" ref="J1556">IFERROR(INDEX('Retirement Calculator'!K:K,MATCH('Lorri 401b'!N1556,'Retirement Calculator'!A:A,0),0),0)</f>
        <v>0</v>
      </c>
      <c r="K1556" s="455">
        <f t="shared" ca="1" si="113"/>
        <v>-1115694.0486055817</v>
      </c>
      <c r="L1556" s="455">
        <f t="shared" ca="1" si="114"/>
        <v>-268882265.71394521</v>
      </c>
      <c r="M1556" s="471">
        <f t="shared" si="116"/>
        <v>0.05</v>
      </c>
      <c r="N1556" s="475">
        <f t="shared" si="117"/>
        <v>98404</v>
      </c>
    </row>
    <row r="1557" spans="7:14" ht="11.25" customHeight="1" x14ac:dyDescent="0.3">
      <c r="G1557" s="470"/>
      <c r="H1557" s="470">
        <v>1550</v>
      </c>
      <c r="I1557" s="455">
        <f t="shared" ca="1" si="115"/>
        <v>-268882265.71394521</v>
      </c>
      <c r="J1557" s="455">
        <f t="array" ref="J1557">IFERROR(INDEX('Retirement Calculator'!K:K,MATCH('Lorri 401b'!N1557,'Retirement Calculator'!A:A,0),0),0)</f>
        <v>0</v>
      </c>
      <c r="K1557" s="455">
        <f t="shared" ca="1" si="113"/>
        <v>-1120342.7738081049</v>
      </c>
      <c r="L1557" s="455">
        <f t="shared" ca="1" si="114"/>
        <v>-270002608.48775333</v>
      </c>
      <c r="M1557" s="471">
        <f t="shared" si="116"/>
        <v>0.05</v>
      </c>
      <c r="N1557" s="475">
        <f t="shared" si="117"/>
        <v>98434</v>
      </c>
    </row>
    <row r="1558" spans="7:14" ht="11.25" customHeight="1" x14ac:dyDescent="0.3">
      <c r="G1558" s="470"/>
      <c r="H1558" s="470">
        <v>1551</v>
      </c>
      <c r="I1558" s="455">
        <f t="shared" ca="1" si="115"/>
        <v>-270002608.48775333</v>
      </c>
      <c r="J1558" s="455">
        <f t="array" ref="J1558">IFERROR(INDEX('Retirement Calculator'!K:K,MATCH('Lorri 401b'!N1558,'Retirement Calculator'!A:A,0),0),0)</f>
        <v>0</v>
      </c>
      <c r="K1558" s="455">
        <f t="shared" ca="1" si="113"/>
        <v>-1125010.8686989723</v>
      </c>
      <c r="L1558" s="455">
        <f t="shared" ca="1" si="114"/>
        <v>-271127619.35645229</v>
      </c>
      <c r="M1558" s="471">
        <f t="shared" si="116"/>
        <v>0.05</v>
      </c>
      <c r="N1558" s="475">
        <f t="shared" si="117"/>
        <v>98465</v>
      </c>
    </row>
    <row r="1559" spans="7:14" ht="11.25" customHeight="1" x14ac:dyDescent="0.3">
      <c r="G1559" s="470"/>
      <c r="H1559" s="470">
        <v>1552</v>
      </c>
      <c r="I1559" s="455">
        <f t="shared" ca="1" si="115"/>
        <v>-271127619.35645229</v>
      </c>
      <c r="J1559" s="455">
        <f t="array" ref="J1559">IFERROR(INDEX('Retirement Calculator'!K:K,MATCH('Lorri 401b'!N1559,'Retirement Calculator'!A:A,0),0),0)</f>
        <v>0</v>
      </c>
      <c r="K1559" s="455">
        <f t="shared" ca="1" si="113"/>
        <v>-1129698.4139852179</v>
      </c>
      <c r="L1559" s="455">
        <f t="shared" ca="1" si="114"/>
        <v>-272257317.77043748</v>
      </c>
      <c r="M1559" s="471">
        <f t="shared" si="116"/>
        <v>0.05</v>
      </c>
      <c r="N1559" s="475">
        <f t="shared" si="117"/>
        <v>98496</v>
      </c>
    </row>
    <row r="1560" spans="7:14" ht="11.25" customHeight="1" x14ac:dyDescent="0.3">
      <c r="G1560" s="470"/>
      <c r="H1560" s="470">
        <v>1553</v>
      </c>
      <c r="I1560" s="455">
        <f t="shared" ca="1" si="115"/>
        <v>-272257317.77043748</v>
      </c>
      <c r="J1560" s="455">
        <f t="array" ref="J1560">IFERROR(INDEX('Retirement Calculator'!K:K,MATCH('Lorri 401b'!N1560,'Retirement Calculator'!A:A,0),0),0)</f>
        <v>0</v>
      </c>
      <c r="K1560" s="455">
        <f t="shared" ca="1" si="113"/>
        <v>-1134405.490710156</v>
      </c>
      <c r="L1560" s="455">
        <f t="shared" ca="1" si="114"/>
        <v>-273391723.26114762</v>
      </c>
      <c r="M1560" s="471">
        <f t="shared" si="116"/>
        <v>0.05</v>
      </c>
      <c r="N1560" s="475">
        <f t="shared" si="117"/>
        <v>98526</v>
      </c>
    </row>
    <row r="1561" spans="7:14" ht="11.25" customHeight="1" x14ac:dyDescent="0.3">
      <c r="G1561" s="470"/>
      <c r="H1561" s="470">
        <v>1554</v>
      </c>
      <c r="I1561" s="455">
        <f t="shared" ca="1" si="115"/>
        <v>-273391723.26114762</v>
      </c>
      <c r="J1561" s="455">
        <f t="array" ref="J1561">IFERROR(INDEX('Retirement Calculator'!K:K,MATCH('Lorri 401b'!N1561,'Retirement Calculator'!A:A,0),0),0)</f>
        <v>0</v>
      </c>
      <c r="K1561" s="455">
        <f t="shared" ca="1" si="113"/>
        <v>-1139132.1802547816</v>
      </c>
      <c r="L1561" s="455">
        <f t="shared" ca="1" si="114"/>
        <v>-274530855.44140238</v>
      </c>
      <c r="M1561" s="471">
        <f t="shared" si="116"/>
        <v>0.05</v>
      </c>
      <c r="N1561" s="475">
        <f t="shared" si="117"/>
        <v>98557</v>
      </c>
    </row>
    <row r="1562" spans="7:14" ht="11.25" customHeight="1" x14ac:dyDescent="0.3">
      <c r="G1562" s="470"/>
      <c r="H1562" s="470">
        <v>1555</v>
      </c>
      <c r="I1562" s="455">
        <f t="shared" ca="1" si="115"/>
        <v>-274530855.44140238</v>
      </c>
      <c r="J1562" s="455">
        <f t="array" ref="J1562">IFERROR(INDEX('Retirement Calculator'!K:K,MATCH('Lorri 401b'!N1562,'Retirement Calculator'!A:A,0),0),0)</f>
        <v>0</v>
      </c>
      <c r="K1562" s="455">
        <f t="shared" ca="1" si="113"/>
        <v>-1143878.5643391765</v>
      </c>
      <c r="L1562" s="455">
        <f t="shared" ca="1" si="114"/>
        <v>-275674734.00574154</v>
      </c>
      <c r="M1562" s="471">
        <f t="shared" si="116"/>
        <v>0.05</v>
      </c>
      <c r="N1562" s="475">
        <f t="shared" si="117"/>
        <v>98587</v>
      </c>
    </row>
    <row r="1563" spans="7:14" ht="11.25" customHeight="1" x14ac:dyDescent="0.3">
      <c r="G1563" s="470"/>
      <c r="H1563" s="470">
        <v>1556</v>
      </c>
      <c r="I1563" s="455">
        <f t="shared" ca="1" si="115"/>
        <v>-275674734.00574154</v>
      </c>
      <c r="J1563" s="455">
        <f t="array" ref="J1563">IFERROR(INDEX('Retirement Calculator'!K:K,MATCH('Lorri 401b'!N1563,'Retirement Calculator'!A:A,0),0),0)</f>
        <v>0</v>
      </c>
      <c r="K1563" s="455">
        <f t="shared" ca="1" si="113"/>
        <v>-1148644.725023923</v>
      </c>
      <c r="L1563" s="455">
        <f t="shared" ca="1" si="114"/>
        <v>-276823378.73076546</v>
      </c>
      <c r="M1563" s="471">
        <f t="shared" si="116"/>
        <v>0.05</v>
      </c>
      <c r="N1563" s="475">
        <f t="shared" si="117"/>
        <v>98618</v>
      </c>
    </row>
    <row r="1564" spans="7:14" ht="11.25" customHeight="1" x14ac:dyDescent="0.3">
      <c r="G1564" s="470"/>
      <c r="H1564" s="470">
        <v>1557</v>
      </c>
      <c r="I1564" s="455">
        <f t="shared" ca="1" si="115"/>
        <v>-276823378.73076546</v>
      </c>
      <c r="J1564" s="455">
        <f t="array" ref="J1564">IFERROR(INDEX('Retirement Calculator'!K:K,MATCH('Lorri 401b'!N1564,'Retirement Calculator'!A:A,0),0),0)</f>
        <v>0</v>
      </c>
      <c r="K1564" s="455">
        <f t="shared" ca="1" si="113"/>
        <v>-1153430.7447115227</v>
      </c>
      <c r="L1564" s="455">
        <f t="shared" ca="1" si="114"/>
        <v>-277976809.47547698</v>
      </c>
      <c r="M1564" s="471">
        <f t="shared" si="116"/>
        <v>0.05</v>
      </c>
      <c r="N1564" s="475">
        <f t="shared" si="117"/>
        <v>98649</v>
      </c>
    </row>
    <row r="1565" spans="7:14" ht="11.25" customHeight="1" x14ac:dyDescent="0.3">
      <c r="G1565" s="470"/>
      <c r="H1565" s="470">
        <v>1558</v>
      </c>
      <c r="I1565" s="455">
        <f t="shared" ca="1" si="115"/>
        <v>-277976809.47547698</v>
      </c>
      <c r="J1565" s="455">
        <f t="array" ref="J1565">IFERROR(INDEX('Retirement Calculator'!K:K,MATCH('Lorri 401b'!N1565,'Retirement Calculator'!A:A,0),0),0)</f>
        <v>0</v>
      </c>
      <c r="K1565" s="455">
        <f t="shared" ca="1" si="113"/>
        <v>-1158236.7061478207</v>
      </c>
      <c r="L1565" s="455">
        <f t="shared" ca="1" si="114"/>
        <v>-279135046.18162483</v>
      </c>
      <c r="M1565" s="471">
        <f t="shared" si="116"/>
        <v>0.05</v>
      </c>
      <c r="N1565" s="475">
        <f t="shared" si="117"/>
        <v>98677</v>
      </c>
    </row>
    <row r="1566" spans="7:14" ht="11.25" customHeight="1" x14ac:dyDescent="0.3">
      <c r="G1566" s="470"/>
      <c r="H1566" s="470">
        <v>1559</v>
      </c>
      <c r="I1566" s="455">
        <f t="shared" ca="1" si="115"/>
        <v>-279135046.18162483</v>
      </c>
      <c r="J1566" s="455">
        <f t="array" ref="J1566">IFERROR(INDEX('Retirement Calculator'!K:K,MATCH('Lorri 401b'!N1566,'Retirement Calculator'!A:A,0),0),0)</f>
        <v>0</v>
      </c>
      <c r="K1566" s="455">
        <f t="shared" ca="1" si="113"/>
        <v>-1163062.6924234368</v>
      </c>
      <c r="L1566" s="455">
        <f t="shared" ca="1" si="114"/>
        <v>-280298108.87404829</v>
      </c>
      <c r="M1566" s="471">
        <f t="shared" si="116"/>
        <v>0.05</v>
      </c>
      <c r="N1566" s="475">
        <f t="shared" si="117"/>
        <v>98708</v>
      </c>
    </row>
    <row r="1567" spans="7:14" ht="11.25" customHeight="1" x14ac:dyDescent="0.3">
      <c r="G1567" s="470"/>
      <c r="H1567" s="470">
        <v>1560</v>
      </c>
      <c r="I1567" s="455">
        <f t="shared" ca="1" si="115"/>
        <v>-280298108.87404829</v>
      </c>
      <c r="J1567" s="455">
        <f t="array" ref="J1567">IFERROR(INDEX('Retirement Calculator'!K:K,MATCH('Lorri 401b'!N1567,'Retirement Calculator'!A:A,0),0),0)</f>
        <v>0</v>
      </c>
      <c r="K1567" s="455">
        <f t="shared" ca="1" si="113"/>
        <v>-1167908.7869752012</v>
      </c>
      <c r="L1567" s="455">
        <f t="shared" ca="1" si="114"/>
        <v>-281466017.6610235</v>
      </c>
      <c r="M1567" s="471">
        <f t="shared" si="116"/>
        <v>0.05</v>
      </c>
      <c r="N1567" s="475">
        <f t="shared" si="117"/>
        <v>98738</v>
      </c>
    </row>
    <row r="1568" spans="7:14" ht="11.25" customHeight="1" x14ac:dyDescent="0.3">
      <c r="G1568" s="470"/>
      <c r="H1568" s="470">
        <v>1561</v>
      </c>
      <c r="I1568" s="455">
        <f t="shared" ca="1" si="115"/>
        <v>-281466017.6610235</v>
      </c>
      <c r="J1568" s="455">
        <f t="array" ref="J1568">IFERROR(INDEX('Retirement Calculator'!K:K,MATCH('Lorri 401b'!N1568,'Retirement Calculator'!A:A,0),0),0)</f>
        <v>0</v>
      </c>
      <c r="K1568" s="455">
        <f t="shared" ca="1" si="113"/>
        <v>-1172775.0735875978</v>
      </c>
      <c r="L1568" s="455">
        <f t="shared" ca="1" si="114"/>
        <v>-282638792.73461109</v>
      </c>
      <c r="M1568" s="471">
        <f t="shared" si="116"/>
        <v>0.05</v>
      </c>
      <c r="N1568" s="475">
        <f t="shared" si="117"/>
        <v>98769</v>
      </c>
    </row>
    <row r="1569" spans="7:14" ht="11.25" customHeight="1" x14ac:dyDescent="0.3">
      <c r="G1569" s="470"/>
      <c r="H1569" s="470">
        <v>1562</v>
      </c>
      <c r="I1569" s="455">
        <f t="shared" ca="1" si="115"/>
        <v>-282638792.73461109</v>
      </c>
      <c r="J1569" s="455">
        <f t="array" ref="J1569">IFERROR(INDEX('Retirement Calculator'!K:K,MATCH('Lorri 401b'!N1569,'Retirement Calculator'!A:A,0),0),0)</f>
        <v>0</v>
      </c>
      <c r="K1569" s="455">
        <f t="shared" ca="1" si="113"/>
        <v>-1177661.636394213</v>
      </c>
      <c r="L1569" s="455">
        <f t="shared" ca="1" si="114"/>
        <v>-283816454.3710053</v>
      </c>
      <c r="M1569" s="471">
        <f t="shared" si="116"/>
        <v>0.05</v>
      </c>
      <c r="N1569" s="475">
        <f t="shared" si="117"/>
        <v>98799</v>
      </c>
    </row>
    <row r="1570" spans="7:14" ht="11.25" customHeight="1" x14ac:dyDescent="0.3">
      <c r="G1570" s="470"/>
      <c r="H1570" s="470">
        <v>1563</v>
      </c>
      <c r="I1570" s="455">
        <f t="shared" ca="1" si="115"/>
        <v>-283816454.3710053</v>
      </c>
      <c r="J1570" s="455">
        <f t="array" ref="J1570">IFERROR(INDEX('Retirement Calculator'!K:K,MATCH('Lorri 401b'!N1570,'Retirement Calculator'!A:A,0),0),0)</f>
        <v>0</v>
      </c>
      <c r="K1570" s="455">
        <f t="shared" ca="1" si="113"/>
        <v>-1182568.5598791887</v>
      </c>
      <c r="L1570" s="455">
        <f t="shared" ca="1" si="114"/>
        <v>-284999022.93088448</v>
      </c>
      <c r="M1570" s="471">
        <f t="shared" si="116"/>
        <v>0.05</v>
      </c>
      <c r="N1570" s="475">
        <f t="shared" si="117"/>
        <v>98830</v>
      </c>
    </row>
    <row r="1571" spans="7:14" ht="11.25" customHeight="1" x14ac:dyDescent="0.3">
      <c r="G1571" s="470"/>
      <c r="H1571" s="470">
        <v>1564</v>
      </c>
      <c r="I1571" s="455">
        <f t="shared" ca="1" si="115"/>
        <v>-284999022.93088448</v>
      </c>
      <c r="J1571" s="455">
        <f t="array" ref="J1571">IFERROR(INDEX('Retirement Calculator'!K:K,MATCH('Lorri 401b'!N1571,'Retirement Calculator'!A:A,0),0),0)</f>
        <v>0</v>
      </c>
      <c r="K1571" s="455">
        <f t="shared" ca="1" si="113"/>
        <v>-1187495.9288786852</v>
      </c>
      <c r="L1571" s="455">
        <f t="shared" ca="1" si="114"/>
        <v>-286186518.85976315</v>
      </c>
      <c r="M1571" s="471">
        <f t="shared" si="116"/>
        <v>0.05</v>
      </c>
      <c r="N1571" s="475">
        <f t="shared" si="117"/>
        <v>98861</v>
      </c>
    </row>
    <row r="1572" spans="7:14" ht="11.25" customHeight="1" x14ac:dyDescent="0.3">
      <c r="G1572" s="470"/>
      <c r="H1572" s="470">
        <v>1565</v>
      </c>
      <c r="I1572" s="455">
        <f t="shared" ca="1" si="115"/>
        <v>-286186518.85976315</v>
      </c>
      <c r="J1572" s="455">
        <f t="array" ref="J1572">IFERROR(INDEX('Retirement Calculator'!K:K,MATCH('Lorri 401b'!N1572,'Retirement Calculator'!A:A,0),0),0)</f>
        <v>0</v>
      </c>
      <c r="K1572" s="455">
        <f t="shared" ca="1" si="113"/>
        <v>-1192443.8285823464</v>
      </c>
      <c r="L1572" s="455">
        <f t="shared" ca="1" si="114"/>
        <v>-287378962.68834549</v>
      </c>
      <c r="M1572" s="471">
        <f t="shared" si="116"/>
        <v>0.05</v>
      </c>
      <c r="N1572" s="475">
        <f t="shared" si="117"/>
        <v>98891</v>
      </c>
    </row>
    <row r="1573" spans="7:14" ht="11.25" customHeight="1" x14ac:dyDescent="0.3">
      <c r="G1573" s="470"/>
      <c r="H1573" s="470">
        <v>1566</v>
      </c>
      <c r="I1573" s="455">
        <f t="shared" ca="1" si="115"/>
        <v>-287378962.68834549</v>
      </c>
      <c r="J1573" s="455">
        <f t="array" ref="J1573">IFERROR(INDEX('Retirement Calculator'!K:K,MATCH('Lorri 401b'!N1573,'Retirement Calculator'!A:A,0),0),0)</f>
        <v>0</v>
      </c>
      <c r="K1573" s="455">
        <f t="shared" ca="1" si="113"/>
        <v>-1197412.3445347729</v>
      </c>
      <c r="L1573" s="455">
        <f t="shared" ca="1" si="114"/>
        <v>-288576375.03288025</v>
      </c>
      <c r="M1573" s="471">
        <f t="shared" si="116"/>
        <v>0.05</v>
      </c>
      <c r="N1573" s="475">
        <f t="shared" si="117"/>
        <v>98922</v>
      </c>
    </row>
    <row r="1574" spans="7:14" ht="11.25" customHeight="1" x14ac:dyDescent="0.3">
      <c r="G1574" s="470"/>
      <c r="H1574" s="470">
        <v>1567</v>
      </c>
      <c r="I1574" s="455">
        <f t="shared" ca="1" si="115"/>
        <v>-288576375.03288025</v>
      </c>
      <c r="J1574" s="455">
        <f t="array" ref="J1574">IFERROR(INDEX('Retirement Calculator'!K:K,MATCH('Lorri 401b'!N1574,'Retirement Calculator'!A:A,0),0),0)</f>
        <v>0</v>
      </c>
      <c r="K1574" s="455">
        <f t="shared" ca="1" si="113"/>
        <v>-1202401.562637001</v>
      </c>
      <c r="L1574" s="455">
        <f t="shared" ca="1" si="114"/>
        <v>-289778776.59551722</v>
      </c>
      <c r="M1574" s="471">
        <f t="shared" si="116"/>
        <v>0.05</v>
      </c>
      <c r="N1574" s="475">
        <f t="shared" si="117"/>
        <v>98952</v>
      </c>
    </row>
    <row r="1575" spans="7:14" ht="11.25" customHeight="1" x14ac:dyDescent="0.3">
      <c r="G1575" s="470"/>
      <c r="H1575" s="470">
        <v>1568</v>
      </c>
      <c r="I1575" s="455">
        <f t="shared" ca="1" si="115"/>
        <v>-289778776.59551722</v>
      </c>
      <c r="J1575" s="455">
        <f t="array" ref="J1575">IFERROR(INDEX('Retirement Calculator'!K:K,MATCH('Lorri 401b'!N1575,'Retirement Calculator'!A:A,0),0),0)</f>
        <v>0</v>
      </c>
      <c r="K1575" s="455">
        <f t="shared" ca="1" si="113"/>
        <v>-1207411.5691479885</v>
      </c>
      <c r="L1575" s="455">
        <f t="shared" ca="1" si="114"/>
        <v>-290986188.16466522</v>
      </c>
      <c r="M1575" s="471">
        <f t="shared" si="116"/>
        <v>0.05</v>
      </c>
      <c r="N1575" s="475">
        <f t="shared" si="117"/>
        <v>98983</v>
      </c>
    </row>
    <row r="1576" spans="7:14" ht="11.25" customHeight="1" x14ac:dyDescent="0.3">
      <c r="G1576" s="470"/>
      <c r="H1576" s="470">
        <v>1569</v>
      </c>
      <c r="I1576" s="455">
        <f t="shared" ca="1" si="115"/>
        <v>-290986188.16466522</v>
      </c>
      <c r="J1576" s="455">
        <f t="array" ref="J1576">IFERROR(INDEX('Retirement Calculator'!K:K,MATCH('Lorri 401b'!N1576,'Retirement Calculator'!A:A,0),0),0)</f>
        <v>0</v>
      </c>
      <c r="K1576" s="455">
        <f t="shared" ca="1" si="113"/>
        <v>-1212442.4506861051</v>
      </c>
      <c r="L1576" s="455">
        <f t="shared" ca="1" si="114"/>
        <v>-292198630.61535132</v>
      </c>
      <c r="M1576" s="471">
        <f t="shared" si="116"/>
        <v>0.05</v>
      </c>
      <c r="N1576" s="475">
        <f t="shared" si="117"/>
        <v>99014</v>
      </c>
    </row>
    <row r="1577" spans="7:14" ht="11.25" customHeight="1" x14ac:dyDescent="0.3">
      <c r="G1577" s="470"/>
      <c r="H1577" s="470">
        <v>1570</v>
      </c>
      <c r="I1577" s="455">
        <f t="shared" ca="1" si="115"/>
        <v>-292198630.61535132</v>
      </c>
      <c r="J1577" s="455">
        <f t="array" ref="J1577">IFERROR(INDEX('Retirement Calculator'!K:K,MATCH('Lorri 401b'!N1577,'Retirement Calculator'!A:A,0),0),0)</f>
        <v>0</v>
      </c>
      <c r="K1577" s="455">
        <f t="shared" ca="1" si="113"/>
        <v>-1217494.2942306304</v>
      </c>
      <c r="L1577" s="455">
        <f t="shared" ca="1" si="114"/>
        <v>-293416124.90958196</v>
      </c>
      <c r="M1577" s="471">
        <f t="shared" si="116"/>
        <v>0.05</v>
      </c>
      <c r="N1577" s="475">
        <f t="shared" si="117"/>
        <v>99042</v>
      </c>
    </row>
    <row r="1578" spans="7:14" ht="11.25" customHeight="1" x14ac:dyDescent="0.3">
      <c r="G1578" s="470"/>
      <c r="H1578" s="470">
        <v>1571</v>
      </c>
      <c r="I1578" s="455">
        <f t="shared" ca="1" si="115"/>
        <v>-293416124.90958196</v>
      </c>
      <c r="J1578" s="455">
        <f t="array" ref="J1578">IFERROR(INDEX('Retirement Calculator'!K:K,MATCH('Lorri 401b'!N1578,'Retirement Calculator'!A:A,0),0),0)</f>
        <v>0</v>
      </c>
      <c r="K1578" s="455">
        <f t="shared" ca="1" si="113"/>
        <v>-1222567.1871232581</v>
      </c>
      <c r="L1578" s="455">
        <f t="shared" ca="1" si="114"/>
        <v>-294638692.0967052</v>
      </c>
      <c r="M1578" s="471">
        <f t="shared" si="116"/>
        <v>0.05</v>
      </c>
      <c r="N1578" s="475">
        <f t="shared" si="117"/>
        <v>99073</v>
      </c>
    </row>
    <row r="1579" spans="7:14" ht="11.25" customHeight="1" x14ac:dyDescent="0.3">
      <c r="G1579" s="470"/>
      <c r="H1579" s="470">
        <v>1572</v>
      </c>
      <c r="I1579" s="455">
        <f t="shared" ca="1" si="115"/>
        <v>-294638692.0967052</v>
      </c>
      <c r="J1579" s="455">
        <f t="array" ref="J1579">IFERROR(INDEX('Retirement Calculator'!K:K,MATCH('Lorri 401b'!N1579,'Retirement Calculator'!A:A,0),0),0)</f>
        <v>0</v>
      </c>
      <c r="K1579" s="455">
        <f t="shared" ca="1" si="113"/>
        <v>-1227661.2170696049</v>
      </c>
      <c r="L1579" s="455">
        <f t="shared" ca="1" si="114"/>
        <v>-295866353.31377482</v>
      </c>
      <c r="M1579" s="471">
        <f t="shared" si="116"/>
        <v>0.05</v>
      </c>
      <c r="N1579" s="475">
        <f t="shared" si="117"/>
        <v>99103</v>
      </c>
    </row>
    <row r="1580" spans="7:14" ht="11.25" customHeight="1" x14ac:dyDescent="0.3">
      <c r="G1580" s="470"/>
      <c r="H1580" s="470">
        <v>1573</v>
      </c>
      <c r="I1580" s="455">
        <f t="shared" ca="1" si="115"/>
        <v>-295866353.31377482</v>
      </c>
      <c r="J1580" s="455">
        <f t="array" ref="J1580">IFERROR(INDEX('Retirement Calculator'!K:K,MATCH('Lorri 401b'!N1580,'Retirement Calculator'!A:A,0),0),0)</f>
        <v>0</v>
      </c>
      <c r="K1580" s="455">
        <f t="shared" ca="1" si="113"/>
        <v>-1232776.4721407285</v>
      </c>
      <c r="L1580" s="455">
        <f t="shared" ca="1" si="114"/>
        <v>-297099129.78591555</v>
      </c>
      <c r="M1580" s="471">
        <f t="shared" si="116"/>
        <v>0.05</v>
      </c>
      <c r="N1580" s="475">
        <f t="shared" si="117"/>
        <v>99134</v>
      </c>
    </row>
    <row r="1581" spans="7:14" ht="11.25" customHeight="1" x14ac:dyDescent="0.3">
      <c r="G1581" s="470"/>
      <c r="H1581" s="470">
        <v>1574</v>
      </c>
      <c r="I1581" s="455">
        <f t="shared" ca="1" si="115"/>
        <v>-297099129.78591555</v>
      </c>
      <c r="J1581" s="455">
        <f t="array" ref="J1581">IFERROR(INDEX('Retirement Calculator'!K:K,MATCH('Lorri 401b'!N1581,'Retirement Calculator'!A:A,0),0),0)</f>
        <v>0</v>
      </c>
      <c r="K1581" s="455">
        <f t="shared" ca="1" si="113"/>
        <v>-1237913.0407746481</v>
      </c>
      <c r="L1581" s="455">
        <f t="shared" ca="1" si="114"/>
        <v>-298337042.8266902</v>
      </c>
      <c r="M1581" s="471">
        <f t="shared" si="116"/>
        <v>0.05</v>
      </c>
      <c r="N1581" s="475">
        <f t="shared" si="117"/>
        <v>99164</v>
      </c>
    </row>
    <row r="1582" spans="7:14" ht="11.25" customHeight="1" x14ac:dyDescent="0.3">
      <c r="G1582" s="470"/>
      <c r="H1582" s="470">
        <v>1575</v>
      </c>
      <c r="I1582" s="455">
        <f t="shared" ca="1" si="115"/>
        <v>-298337042.8266902</v>
      </c>
      <c r="J1582" s="455">
        <f t="array" ref="J1582">IFERROR(INDEX('Retirement Calculator'!K:K,MATCH('Lorri 401b'!N1582,'Retirement Calculator'!A:A,0),0),0)</f>
        <v>0</v>
      </c>
      <c r="K1582" s="455">
        <f t="shared" ca="1" si="113"/>
        <v>-1243071.0117778757</v>
      </c>
      <c r="L1582" s="455">
        <f t="shared" ca="1" si="114"/>
        <v>-299580113.83846807</v>
      </c>
      <c r="M1582" s="471">
        <f t="shared" si="116"/>
        <v>0.05</v>
      </c>
      <c r="N1582" s="475">
        <f t="shared" si="117"/>
        <v>99195</v>
      </c>
    </row>
    <row r="1583" spans="7:14" ht="11.25" customHeight="1" x14ac:dyDescent="0.3">
      <c r="G1583" s="470"/>
      <c r="H1583" s="470">
        <v>1576</v>
      </c>
      <c r="I1583" s="455">
        <f t="shared" ca="1" si="115"/>
        <v>-299580113.83846807</v>
      </c>
      <c r="J1583" s="455">
        <f t="array" ref="J1583">IFERROR(INDEX('Retirement Calculator'!K:K,MATCH('Lorri 401b'!N1583,'Retirement Calculator'!A:A,0),0),0)</f>
        <v>0</v>
      </c>
      <c r="K1583" s="455">
        <f t="shared" ca="1" si="113"/>
        <v>-1248250.4743269503</v>
      </c>
      <c r="L1583" s="455">
        <f t="shared" ca="1" si="114"/>
        <v>-300828364.31279504</v>
      </c>
      <c r="M1583" s="471">
        <f t="shared" si="116"/>
        <v>0.05</v>
      </c>
      <c r="N1583" s="475">
        <f t="shared" si="117"/>
        <v>99226</v>
      </c>
    </row>
    <row r="1584" spans="7:14" ht="11.25" customHeight="1" x14ac:dyDescent="0.3">
      <c r="G1584" s="470"/>
      <c r="H1584" s="470">
        <v>1577</v>
      </c>
      <c r="I1584" s="455">
        <f t="shared" ca="1" si="115"/>
        <v>-300828364.31279504</v>
      </c>
      <c r="J1584" s="455">
        <f t="array" ref="J1584">IFERROR(INDEX('Retirement Calculator'!K:K,MATCH('Lorri 401b'!N1584,'Retirement Calculator'!A:A,0),0),0)</f>
        <v>0</v>
      </c>
      <c r="K1584" s="455">
        <f t="shared" ca="1" si="113"/>
        <v>-1253451.5179699794</v>
      </c>
      <c r="L1584" s="455">
        <f t="shared" ca="1" si="114"/>
        <v>-302081815.83076501</v>
      </c>
      <c r="M1584" s="471">
        <f t="shared" si="116"/>
        <v>0.05</v>
      </c>
      <c r="N1584" s="475">
        <f t="shared" si="117"/>
        <v>99256</v>
      </c>
    </row>
    <row r="1585" spans="7:14" ht="11.25" customHeight="1" x14ac:dyDescent="0.3">
      <c r="G1585" s="470"/>
      <c r="H1585" s="470">
        <v>1578</v>
      </c>
      <c r="I1585" s="455">
        <f t="shared" ca="1" si="115"/>
        <v>-302081815.83076501</v>
      </c>
      <c r="J1585" s="455">
        <f t="array" ref="J1585">IFERROR(INDEX('Retirement Calculator'!K:K,MATCH('Lorri 401b'!N1585,'Retirement Calculator'!A:A,0),0),0)</f>
        <v>0</v>
      </c>
      <c r="K1585" s="455">
        <f t="shared" ca="1" si="113"/>
        <v>-1258674.2326281876</v>
      </c>
      <c r="L1585" s="455">
        <f t="shared" ca="1" si="114"/>
        <v>-303340490.06339318</v>
      </c>
      <c r="M1585" s="471">
        <f t="shared" si="116"/>
        <v>0.05</v>
      </c>
      <c r="N1585" s="475">
        <f t="shared" si="117"/>
        <v>99287</v>
      </c>
    </row>
    <row r="1586" spans="7:14" ht="11.25" customHeight="1" x14ac:dyDescent="0.3">
      <c r="G1586" s="470"/>
      <c r="H1586" s="470">
        <v>1579</v>
      </c>
      <c r="I1586" s="455">
        <f t="shared" ca="1" si="115"/>
        <v>-303340490.06339318</v>
      </c>
      <c r="J1586" s="455">
        <f t="array" ref="J1586">IFERROR(INDEX('Retirement Calculator'!K:K,MATCH('Lorri 401b'!N1586,'Retirement Calculator'!A:A,0),0),0)</f>
        <v>0</v>
      </c>
      <c r="K1586" s="455">
        <f t="shared" ca="1" si="113"/>
        <v>-1263918.7085974715</v>
      </c>
      <c r="L1586" s="455">
        <f t="shared" ca="1" si="114"/>
        <v>-304604408.77199066</v>
      </c>
      <c r="M1586" s="471">
        <f t="shared" si="116"/>
        <v>0.05</v>
      </c>
      <c r="N1586" s="475">
        <f t="shared" si="117"/>
        <v>99317</v>
      </c>
    </row>
    <row r="1587" spans="7:14" ht="11.25" customHeight="1" x14ac:dyDescent="0.3">
      <c r="G1587" s="470"/>
      <c r="H1587" s="470">
        <v>1580</v>
      </c>
      <c r="I1587" s="455">
        <f t="shared" ca="1" si="115"/>
        <v>-304604408.77199066</v>
      </c>
      <c r="J1587" s="455">
        <f t="array" ref="J1587">IFERROR(INDEX('Retirement Calculator'!K:K,MATCH('Lorri 401b'!N1587,'Retirement Calculator'!A:A,0),0),0)</f>
        <v>0</v>
      </c>
      <c r="K1587" s="455">
        <f t="shared" ca="1" si="113"/>
        <v>-1269185.036549961</v>
      </c>
      <c r="L1587" s="455">
        <f t="shared" ca="1" si="114"/>
        <v>-305873593.80854064</v>
      </c>
      <c r="M1587" s="471">
        <f t="shared" si="116"/>
        <v>0.05</v>
      </c>
      <c r="N1587" s="475">
        <f t="shared" si="117"/>
        <v>99348</v>
      </c>
    </row>
    <row r="1588" spans="7:14" ht="11.25" customHeight="1" x14ac:dyDescent="0.3">
      <c r="G1588" s="470"/>
      <c r="H1588" s="470">
        <v>1581</v>
      </c>
      <c r="I1588" s="455">
        <f t="shared" ca="1" si="115"/>
        <v>-305873593.80854064</v>
      </c>
      <c r="J1588" s="455">
        <f t="array" ref="J1588">IFERROR(INDEX('Retirement Calculator'!K:K,MATCH('Lorri 401b'!N1588,'Retirement Calculator'!A:A,0),0),0)</f>
        <v>0</v>
      </c>
      <c r="K1588" s="455">
        <f t="shared" ca="1" si="113"/>
        <v>-1274473.3075355859</v>
      </c>
      <c r="L1588" s="455">
        <f t="shared" ca="1" si="114"/>
        <v>-307148067.11607623</v>
      </c>
      <c r="M1588" s="471">
        <f t="shared" si="116"/>
        <v>0.05</v>
      </c>
      <c r="N1588" s="475">
        <f t="shared" si="117"/>
        <v>99379</v>
      </c>
    </row>
    <row r="1589" spans="7:14" ht="11.25" customHeight="1" x14ac:dyDescent="0.3">
      <c r="G1589" s="470"/>
      <c r="H1589" s="470">
        <v>1582</v>
      </c>
      <c r="I1589" s="455">
        <f t="shared" ca="1" si="115"/>
        <v>-307148067.11607623</v>
      </c>
      <c r="J1589" s="455">
        <f t="array" ref="J1589">IFERROR(INDEX('Retirement Calculator'!K:K,MATCH('Lorri 401b'!N1589,'Retirement Calculator'!A:A,0),0),0)</f>
        <v>0</v>
      </c>
      <c r="K1589" s="455">
        <f t="shared" ca="1" si="113"/>
        <v>-1279783.612983651</v>
      </c>
      <c r="L1589" s="455">
        <f t="shared" ca="1" si="114"/>
        <v>-308427850.72905988</v>
      </c>
      <c r="M1589" s="471">
        <f t="shared" si="116"/>
        <v>0.05</v>
      </c>
      <c r="N1589" s="475">
        <f t="shared" si="117"/>
        <v>99408</v>
      </c>
    </row>
    <row r="1590" spans="7:14" ht="11.25" customHeight="1" x14ac:dyDescent="0.3">
      <c r="G1590" s="470"/>
      <c r="H1590" s="470">
        <v>1583</v>
      </c>
      <c r="I1590" s="455">
        <f t="shared" ca="1" si="115"/>
        <v>-308427850.72905988</v>
      </c>
      <c r="J1590" s="455">
        <f t="array" ref="J1590">IFERROR(INDEX('Retirement Calculator'!K:K,MATCH('Lorri 401b'!N1590,'Retirement Calculator'!A:A,0),0),0)</f>
        <v>0</v>
      </c>
      <c r="K1590" s="455">
        <f t="shared" ca="1" si="113"/>
        <v>-1285116.0447044161</v>
      </c>
      <c r="L1590" s="455">
        <f t="shared" ca="1" si="114"/>
        <v>-309712966.77376431</v>
      </c>
      <c r="M1590" s="471">
        <f t="shared" si="116"/>
        <v>0.05</v>
      </c>
      <c r="N1590" s="475">
        <f t="shared" si="117"/>
        <v>99439</v>
      </c>
    </row>
    <row r="1591" spans="7:14" ht="11.25" customHeight="1" x14ac:dyDescent="0.3">
      <c r="G1591" s="470"/>
      <c r="H1591" s="470">
        <v>1584</v>
      </c>
      <c r="I1591" s="455">
        <f t="shared" ca="1" si="115"/>
        <v>-309712966.77376431</v>
      </c>
      <c r="J1591" s="455">
        <f t="array" ref="J1591">IFERROR(INDEX('Retirement Calculator'!K:K,MATCH('Lorri 401b'!N1591,'Retirement Calculator'!A:A,0),0),0)</f>
        <v>0</v>
      </c>
      <c r="K1591" s="455">
        <f t="shared" ca="1" si="113"/>
        <v>-1290470.6948906847</v>
      </c>
      <c r="L1591" s="455">
        <f t="shared" ca="1" si="114"/>
        <v>-311003437.46865499</v>
      </c>
      <c r="M1591" s="471">
        <f t="shared" si="116"/>
        <v>0.05</v>
      </c>
      <c r="N1591" s="475">
        <f t="shared" si="117"/>
        <v>99469</v>
      </c>
    </row>
    <row r="1592" spans="7:14" ht="11.25" customHeight="1" x14ac:dyDescent="0.3">
      <c r="G1592" s="470"/>
      <c r="H1592" s="470">
        <v>1585</v>
      </c>
      <c r="I1592" s="455">
        <f t="shared" ca="1" si="115"/>
        <v>-311003437.46865499</v>
      </c>
      <c r="J1592" s="455">
        <f t="array" ref="J1592">IFERROR(INDEX('Retirement Calculator'!K:K,MATCH('Lorri 401b'!N1592,'Retirement Calculator'!A:A,0),0),0)</f>
        <v>0</v>
      </c>
      <c r="K1592" s="455">
        <f t="shared" ca="1" si="113"/>
        <v>-1295847.6561193957</v>
      </c>
      <c r="L1592" s="455">
        <f t="shared" ca="1" si="114"/>
        <v>-312299285.1247744</v>
      </c>
      <c r="M1592" s="471">
        <f t="shared" si="116"/>
        <v>0.05</v>
      </c>
      <c r="N1592" s="475">
        <f t="shared" si="117"/>
        <v>99500</v>
      </c>
    </row>
    <row r="1593" spans="7:14" ht="11.25" customHeight="1" x14ac:dyDescent="0.3">
      <c r="G1593" s="470"/>
      <c r="H1593" s="470">
        <v>1586</v>
      </c>
      <c r="I1593" s="455">
        <f t="shared" ca="1" si="115"/>
        <v>-312299285.1247744</v>
      </c>
      <c r="J1593" s="455">
        <f t="array" ref="J1593">IFERROR(INDEX('Retirement Calculator'!K:K,MATCH('Lorri 401b'!N1593,'Retirement Calculator'!A:A,0),0),0)</f>
        <v>0</v>
      </c>
      <c r="K1593" s="455">
        <f t="shared" ca="1" si="113"/>
        <v>-1301247.0213532266</v>
      </c>
      <c r="L1593" s="455">
        <f t="shared" ca="1" si="114"/>
        <v>-313600532.14612764</v>
      </c>
      <c r="M1593" s="471">
        <f t="shared" si="116"/>
        <v>0.05</v>
      </c>
      <c r="N1593" s="475">
        <f t="shared" si="117"/>
        <v>99530</v>
      </c>
    </row>
    <row r="1594" spans="7:14" ht="11.25" customHeight="1" x14ac:dyDescent="0.3">
      <c r="G1594" s="470"/>
      <c r="H1594" s="470">
        <v>1587</v>
      </c>
      <c r="I1594" s="455">
        <f t="shared" ca="1" si="115"/>
        <v>-313600532.14612764</v>
      </c>
      <c r="J1594" s="455">
        <f t="array" ref="J1594">IFERROR(INDEX('Retirement Calculator'!K:K,MATCH('Lorri 401b'!N1594,'Retirement Calculator'!A:A,0),0),0)</f>
        <v>0</v>
      </c>
      <c r="K1594" s="455">
        <f t="shared" ca="1" si="113"/>
        <v>-1306668.8839421985</v>
      </c>
      <c r="L1594" s="455">
        <f t="shared" ca="1" si="114"/>
        <v>-314907201.03006983</v>
      </c>
      <c r="M1594" s="471">
        <f t="shared" si="116"/>
        <v>0.05</v>
      </c>
      <c r="N1594" s="475">
        <f t="shared" si="117"/>
        <v>99561</v>
      </c>
    </row>
    <row r="1595" spans="7:14" ht="11.25" customHeight="1" x14ac:dyDescent="0.3">
      <c r="G1595" s="470"/>
      <c r="H1595" s="470">
        <v>1588</v>
      </c>
      <c r="I1595" s="455">
        <f t="shared" ca="1" si="115"/>
        <v>-314907201.03006983</v>
      </c>
      <c r="J1595" s="455">
        <f t="array" ref="J1595">IFERROR(INDEX('Retirement Calculator'!K:K,MATCH('Lorri 401b'!N1595,'Retirement Calculator'!A:A,0),0),0)</f>
        <v>0</v>
      </c>
      <c r="K1595" s="455">
        <f t="shared" ca="1" si="113"/>
        <v>-1312113.337625291</v>
      </c>
      <c r="L1595" s="455">
        <f t="shared" ca="1" si="114"/>
        <v>-316219314.36769509</v>
      </c>
      <c r="M1595" s="471">
        <f t="shared" si="116"/>
        <v>0.05</v>
      </c>
      <c r="N1595" s="475">
        <f t="shared" si="117"/>
        <v>99592</v>
      </c>
    </row>
    <row r="1596" spans="7:14" ht="11.25" customHeight="1" x14ac:dyDescent="0.3">
      <c r="G1596" s="470"/>
      <c r="H1596" s="470">
        <v>1589</v>
      </c>
      <c r="I1596" s="455">
        <f t="shared" ca="1" si="115"/>
        <v>-316219314.36769509</v>
      </c>
      <c r="J1596" s="455">
        <f t="array" ref="J1596">IFERROR(INDEX('Retirement Calculator'!K:K,MATCH('Lorri 401b'!N1596,'Retirement Calculator'!A:A,0),0),0)</f>
        <v>0</v>
      </c>
      <c r="K1596" s="455">
        <f t="shared" ca="1" si="113"/>
        <v>-1317580.476532063</v>
      </c>
      <c r="L1596" s="455">
        <f t="shared" ca="1" si="114"/>
        <v>-317536894.84422714</v>
      </c>
      <c r="M1596" s="471">
        <f t="shared" si="116"/>
        <v>0.05</v>
      </c>
      <c r="N1596" s="475">
        <f t="shared" si="117"/>
        <v>99622</v>
      </c>
    </row>
    <row r="1597" spans="7:14" ht="11.25" customHeight="1" x14ac:dyDescent="0.3">
      <c r="G1597" s="470"/>
      <c r="H1597" s="470">
        <v>1590</v>
      </c>
      <c r="I1597" s="455">
        <f t="shared" ca="1" si="115"/>
        <v>-317536894.84422714</v>
      </c>
      <c r="J1597" s="455">
        <f t="array" ref="J1597">IFERROR(INDEX('Retirement Calculator'!K:K,MATCH('Lorri 401b'!N1597,'Retirement Calculator'!A:A,0),0),0)</f>
        <v>0</v>
      </c>
      <c r="K1597" s="455">
        <f t="shared" ca="1" si="113"/>
        <v>-1323070.3951842797</v>
      </c>
      <c r="L1597" s="455">
        <f t="shared" ca="1" si="114"/>
        <v>-318859965.23941141</v>
      </c>
      <c r="M1597" s="471">
        <f t="shared" si="116"/>
        <v>0.05</v>
      </c>
      <c r="N1597" s="475">
        <f t="shared" si="117"/>
        <v>99653</v>
      </c>
    </row>
    <row r="1598" spans="7:14" ht="11.25" customHeight="1" x14ac:dyDescent="0.3">
      <c r="G1598" s="470"/>
      <c r="H1598" s="470">
        <v>1591</v>
      </c>
      <c r="I1598" s="455">
        <f t="shared" ca="1" si="115"/>
        <v>-318859965.23941141</v>
      </c>
      <c r="J1598" s="455">
        <f t="array" ref="J1598">IFERROR(INDEX('Retirement Calculator'!K:K,MATCH('Lorri 401b'!N1598,'Retirement Calculator'!A:A,0),0),0)</f>
        <v>0</v>
      </c>
      <c r="K1598" s="455">
        <f t="shared" ca="1" si="113"/>
        <v>-1328583.1884975475</v>
      </c>
      <c r="L1598" s="455">
        <f t="shared" ca="1" si="114"/>
        <v>-320188548.42790896</v>
      </c>
      <c r="M1598" s="471">
        <f t="shared" si="116"/>
        <v>0.05</v>
      </c>
      <c r="N1598" s="475">
        <f t="shared" si="117"/>
        <v>99683</v>
      </c>
    </row>
    <row r="1599" spans="7:14" ht="11.25" customHeight="1" x14ac:dyDescent="0.3">
      <c r="G1599" s="470"/>
      <c r="H1599" s="470">
        <v>1592</v>
      </c>
      <c r="I1599" s="455">
        <f t="shared" ca="1" si="115"/>
        <v>-320188548.42790896</v>
      </c>
      <c r="J1599" s="455">
        <f t="array" ref="J1599">IFERROR(INDEX('Retirement Calculator'!K:K,MATCH('Lorri 401b'!N1599,'Retirement Calculator'!A:A,0),0),0)</f>
        <v>0</v>
      </c>
      <c r="K1599" s="455">
        <f t="shared" ca="1" si="113"/>
        <v>-1334118.9517829539</v>
      </c>
      <c r="L1599" s="455">
        <f t="shared" ca="1" si="114"/>
        <v>-321522667.3796919</v>
      </c>
      <c r="M1599" s="471">
        <f t="shared" si="116"/>
        <v>0.05</v>
      </c>
      <c r="N1599" s="475">
        <f t="shared" si="117"/>
        <v>99714</v>
      </c>
    </row>
    <row r="1600" spans="7:14" ht="11.25" customHeight="1" x14ac:dyDescent="0.3">
      <c r="G1600" s="470"/>
      <c r="H1600" s="470">
        <v>1593</v>
      </c>
      <c r="I1600" s="455">
        <f t="shared" ca="1" si="115"/>
        <v>-321522667.3796919</v>
      </c>
      <c r="J1600" s="455">
        <f t="array" ref="J1600">IFERROR(INDEX('Retirement Calculator'!K:K,MATCH('Lorri 401b'!N1600,'Retirement Calculator'!A:A,0),0),0)</f>
        <v>0</v>
      </c>
      <c r="K1600" s="455">
        <f t="shared" ca="1" si="113"/>
        <v>-1339677.7807487163</v>
      </c>
      <c r="L1600" s="455">
        <f t="shared" ca="1" si="114"/>
        <v>-322862345.16044062</v>
      </c>
      <c r="M1600" s="471">
        <f t="shared" si="116"/>
        <v>0.05</v>
      </c>
      <c r="N1600" s="475">
        <f t="shared" si="117"/>
        <v>99745</v>
      </c>
    </row>
    <row r="1601" spans="7:14" ht="11.25" customHeight="1" x14ac:dyDescent="0.3">
      <c r="G1601" s="470"/>
      <c r="H1601" s="470">
        <v>1594</v>
      </c>
      <c r="I1601" s="455">
        <f t="shared" ca="1" si="115"/>
        <v>-322862345.16044062</v>
      </c>
      <c r="J1601" s="455">
        <f t="array" ref="J1601">IFERROR(INDEX('Retirement Calculator'!K:K,MATCH('Lorri 401b'!N1601,'Retirement Calculator'!A:A,0),0),0)</f>
        <v>0</v>
      </c>
      <c r="K1601" s="455">
        <f t="shared" ca="1" si="113"/>
        <v>-1345259.7715018359</v>
      </c>
      <c r="L1601" s="455">
        <f t="shared" ca="1" si="114"/>
        <v>-324207604.93194246</v>
      </c>
      <c r="M1601" s="471">
        <f t="shared" si="116"/>
        <v>0.05</v>
      </c>
      <c r="N1601" s="475">
        <f t="shared" si="117"/>
        <v>99773</v>
      </c>
    </row>
    <row r="1602" spans="7:14" ht="11.25" customHeight="1" x14ac:dyDescent="0.3">
      <c r="G1602" s="470"/>
      <c r="H1602" s="470">
        <v>1595</v>
      </c>
      <c r="I1602" s="455">
        <f t="shared" ca="1" si="115"/>
        <v>-324207604.93194246</v>
      </c>
      <c r="J1602" s="455">
        <f t="array" ref="J1602">IFERROR(INDEX('Retirement Calculator'!K:K,MATCH('Lorri 401b'!N1602,'Retirement Calculator'!A:A,0),0),0)</f>
        <v>0</v>
      </c>
      <c r="K1602" s="455">
        <f t="shared" ca="1" si="113"/>
        <v>-1350865.0205497602</v>
      </c>
      <c r="L1602" s="455">
        <f t="shared" ca="1" si="114"/>
        <v>-325558469.95249224</v>
      </c>
      <c r="M1602" s="471">
        <f t="shared" si="116"/>
        <v>0.05</v>
      </c>
      <c r="N1602" s="475">
        <f t="shared" si="117"/>
        <v>99804</v>
      </c>
    </row>
    <row r="1603" spans="7:14" ht="11.25" customHeight="1" x14ac:dyDescent="0.3">
      <c r="G1603" s="470"/>
      <c r="H1603" s="470">
        <v>1596</v>
      </c>
      <c r="I1603" s="455">
        <f t="shared" ca="1" si="115"/>
        <v>-325558469.95249224</v>
      </c>
      <c r="J1603" s="455">
        <f t="array" ref="J1603">IFERROR(INDEX('Retirement Calculator'!K:K,MATCH('Lorri 401b'!N1603,'Retirement Calculator'!A:A,0),0),0)</f>
        <v>0</v>
      </c>
      <c r="K1603" s="455">
        <f t="shared" ca="1" si="113"/>
        <v>-1356493.6248020509</v>
      </c>
      <c r="L1603" s="455">
        <f t="shared" ca="1" si="114"/>
        <v>-326914963.57729429</v>
      </c>
      <c r="M1603" s="471">
        <f t="shared" si="116"/>
        <v>0.05</v>
      </c>
      <c r="N1603" s="475">
        <f t="shared" si="117"/>
        <v>99834</v>
      </c>
    </row>
    <row r="1604" spans="7:14" ht="11.25" customHeight="1" x14ac:dyDescent="0.3">
      <c r="G1604" s="470"/>
      <c r="H1604" s="470">
        <v>1597</v>
      </c>
      <c r="I1604" s="455">
        <f t="shared" ca="1" si="115"/>
        <v>-326914963.57729429</v>
      </c>
      <c r="J1604" s="455">
        <f t="array" ref="J1604">IFERROR(INDEX('Retirement Calculator'!K:K,MATCH('Lorri 401b'!N1604,'Retirement Calculator'!A:A,0),0),0)</f>
        <v>0</v>
      </c>
      <c r="K1604" s="455">
        <f t="shared" ca="1" si="113"/>
        <v>-1362145.6815720596</v>
      </c>
      <c r="L1604" s="455">
        <f t="shared" ca="1" si="114"/>
        <v>-328277109.25886637</v>
      </c>
      <c r="M1604" s="471">
        <f t="shared" si="116"/>
        <v>0.05</v>
      </c>
      <c r="N1604" s="475">
        <f t="shared" si="117"/>
        <v>99865</v>
      </c>
    </row>
    <row r="1605" spans="7:14" ht="11.25" customHeight="1" x14ac:dyDescent="0.3">
      <c r="G1605" s="470"/>
      <c r="H1605" s="470">
        <v>1598</v>
      </c>
      <c r="I1605" s="455">
        <f t="shared" ca="1" si="115"/>
        <v>-328277109.25886637</v>
      </c>
      <c r="J1605" s="455">
        <f t="array" ref="J1605">IFERROR(INDEX('Retirement Calculator'!K:K,MATCH('Lorri 401b'!N1605,'Retirement Calculator'!A:A,0),0),0)</f>
        <v>0</v>
      </c>
      <c r="K1605" s="455">
        <f t="shared" ca="1" si="113"/>
        <v>-1367821.2885786099</v>
      </c>
      <c r="L1605" s="455">
        <f t="shared" ca="1" si="114"/>
        <v>-329644930.547445</v>
      </c>
      <c r="M1605" s="471">
        <f t="shared" si="116"/>
        <v>0.05</v>
      </c>
      <c r="N1605" s="475">
        <f t="shared" si="117"/>
        <v>99895</v>
      </c>
    </row>
    <row r="1606" spans="7:14" ht="11.25" customHeight="1" x14ac:dyDescent="0.3">
      <c r="G1606" s="470"/>
      <c r="H1606" s="470">
        <v>1599</v>
      </c>
      <c r="I1606" s="455">
        <f t="shared" ca="1" si="115"/>
        <v>-329644930.547445</v>
      </c>
      <c r="J1606" s="455">
        <f t="array" ref="J1606">IFERROR(INDEX('Retirement Calculator'!K:K,MATCH('Lorri 401b'!N1606,'Retirement Calculator'!A:A,0),0),0)</f>
        <v>0</v>
      </c>
      <c r="K1606" s="455">
        <f t="shared" ca="1" si="113"/>
        <v>-1373520.5439476874</v>
      </c>
      <c r="L1606" s="455">
        <f t="shared" ca="1" si="114"/>
        <v>-331018451.0913927</v>
      </c>
      <c r="M1606" s="471">
        <f t="shared" si="116"/>
        <v>0.05</v>
      </c>
      <c r="N1606" s="475">
        <f t="shared" si="117"/>
        <v>99926</v>
      </c>
    </row>
    <row r="1607" spans="7:14" ht="11.25" customHeight="1" x14ac:dyDescent="0.3">
      <c r="G1607" s="470"/>
      <c r="H1607" s="470">
        <v>1600</v>
      </c>
      <c r="I1607" s="455">
        <f t="shared" ca="1" si="115"/>
        <v>-331018451.0913927</v>
      </c>
      <c r="J1607" s="455">
        <f t="array" ref="J1607">IFERROR(INDEX('Retirement Calculator'!K:K,MATCH('Lorri 401b'!N1607,'Retirement Calculator'!A:A,0),0),0)</f>
        <v>0</v>
      </c>
      <c r="K1607" s="455">
        <f t="shared" ca="1" si="113"/>
        <v>-1379243.5462141363</v>
      </c>
      <c r="L1607" s="455">
        <f t="shared" ca="1" si="114"/>
        <v>-332397694.63760686</v>
      </c>
      <c r="M1607" s="471">
        <f t="shared" si="116"/>
        <v>0.05</v>
      </c>
      <c r="N1607" s="475">
        <f t="shared" si="117"/>
        <v>99957</v>
      </c>
    </row>
    <row r="1608" spans="7:14" ht="11.25" customHeight="1" x14ac:dyDescent="0.3">
      <c r="G1608" s="470"/>
      <c r="H1608" s="470">
        <v>1601</v>
      </c>
      <c r="I1608" s="455">
        <f t="shared" ca="1" si="115"/>
        <v>-332397694.63760686</v>
      </c>
      <c r="J1608" s="455">
        <f t="array" ref="J1608">IFERROR(INDEX('Retirement Calculator'!K:K,MATCH('Lorri 401b'!N1608,'Retirement Calculator'!A:A,0),0),0)</f>
        <v>0</v>
      </c>
      <c r="K1608" s="455">
        <f t="shared" ca="1" si="113"/>
        <v>-1384990.3943233618</v>
      </c>
      <c r="L1608" s="455">
        <f t="shared" ca="1" si="114"/>
        <v>-333782685.03193021</v>
      </c>
      <c r="M1608" s="471">
        <f t="shared" si="116"/>
        <v>0.05</v>
      </c>
      <c r="N1608" s="475">
        <f t="shared" si="117"/>
        <v>99987</v>
      </c>
    </row>
    <row r="1609" spans="7:14" ht="11.25" customHeight="1" x14ac:dyDescent="0.3">
      <c r="G1609" s="470"/>
      <c r="H1609" s="470">
        <v>1602</v>
      </c>
      <c r="I1609" s="455">
        <f t="shared" ca="1" si="115"/>
        <v>-333782685.03193021</v>
      </c>
      <c r="J1609" s="455">
        <f t="array" ref="J1609">IFERROR(INDEX('Retirement Calculator'!K:K,MATCH('Lorri 401b'!N1609,'Retirement Calculator'!A:A,0),0),0)</f>
        <v>0</v>
      </c>
      <c r="K1609" s="455">
        <f t="shared" ca="1" si="113"/>
        <v>-1390761.1876330425</v>
      </c>
      <c r="L1609" s="455">
        <f t="shared" ca="1" si="114"/>
        <v>-335173446.21956325</v>
      </c>
      <c r="M1609" s="471">
        <f t="shared" si="116"/>
        <v>0.05</v>
      </c>
      <c r="N1609" s="475">
        <f t="shared" si="117"/>
        <v>100018</v>
      </c>
    </row>
    <row r="1610" spans="7:14" ht="11.25" customHeight="1" x14ac:dyDescent="0.3">
      <c r="G1610" s="470"/>
      <c r="H1610" s="470">
        <v>1603</v>
      </c>
      <c r="I1610" s="455">
        <f t="shared" ca="1" si="115"/>
        <v>-335173446.21956325</v>
      </c>
      <c r="J1610" s="455">
        <f t="array" ref="J1610">IFERROR(INDEX('Retirement Calculator'!K:K,MATCH('Lorri 401b'!N1610,'Retirement Calculator'!A:A,0),0),0)</f>
        <v>0</v>
      </c>
      <c r="K1610" s="455">
        <f t="shared" ca="1" si="113"/>
        <v>-1396556.0259148469</v>
      </c>
      <c r="L1610" s="455">
        <f t="shared" ca="1" si="114"/>
        <v>-336570002.24547809</v>
      </c>
      <c r="M1610" s="471">
        <f t="shared" si="116"/>
        <v>0.05</v>
      </c>
      <c r="N1610" s="475">
        <f t="shared" si="117"/>
        <v>100048</v>
      </c>
    </row>
    <row r="1611" spans="7:14" ht="11.25" customHeight="1" x14ac:dyDescent="0.3">
      <c r="G1611" s="470"/>
      <c r="H1611" s="470">
        <v>1604</v>
      </c>
      <c r="I1611" s="455">
        <f t="shared" ca="1" si="115"/>
        <v>-336570002.24547809</v>
      </c>
      <c r="J1611" s="455">
        <f t="array" ref="J1611">IFERROR(INDEX('Retirement Calculator'!K:K,MATCH('Lorri 401b'!N1611,'Retirement Calculator'!A:A,0),0),0)</f>
        <v>0</v>
      </c>
      <c r="K1611" s="455">
        <f t="shared" ca="1" si="113"/>
        <v>-1402375.0093561588</v>
      </c>
      <c r="L1611" s="455">
        <f t="shared" ca="1" si="114"/>
        <v>-337972377.25483423</v>
      </c>
      <c r="M1611" s="471">
        <f t="shared" si="116"/>
        <v>0.05</v>
      </c>
      <c r="N1611" s="475">
        <f t="shared" si="117"/>
        <v>100079</v>
      </c>
    </row>
    <row r="1612" spans="7:14" ht="11.25" customHeight="1" x14ac:dyDescent="0.3">
      <c r="G1612" s="470"/>
      <c r="H1612" s="470">
        <v>1605</v>
      </c>
      <c r="I1612" s="455">
        <f t="shared" ca="1" si="115"/>
        <v>-337972377.25483423</v>
      </c>
      <c r="J1612" s="455">
        <f t="array" ref="J1612">IFERROR(INDEX('Retirement Calculator'!K:K,MATCH('Lorri 401b'!N1612,'Retirement Calculator'!A:A,0),0),0)</f>
        <v>0</v>
      </c>
      <c r="K1612" s="455">
        <f t="shared" ca="1" si="113"/>
        <v>-1408218.2385618093</v>
      </c>
      <c r="L1612" s="455">
        <f t="shared" ca="1" si="114"/>
        <v>-339380595.49339604</v>
      </c>
      <c r="M1612" s="471">
        <f t="shared" si="116"/>
        <v>0.05</v>
      </c>
      <c r="N1612" s="475">
        <f t="shared" si="117"/>
        <v>100110</v>
      </c>
    </row>
    <row r="1613" spans="7:14" ht="11.25" customHeight="1" x14ac:dyDescent="0.3">
      <c r="G1613" s="470"/>
      <c r="H1613" s="470">
        <v>1606</v>
      </c>
      <c r="I1613" s="455">
        <f t="shared" ca="1" si="115"/>
        <v>-339380595.49339604</v>
      </c>
      <c r="J1613" s="455">
        <f t="array" ref="J1613">IFERROR(INDEX('Retirement Calculator'!K:K,MATCH('Lorri 401b'!N1613,'Retirement Calculator'!A:A,0),0),0)</f>
        <v>0</v>
      </c>
      <c r="K1613" s="455">
        <f t="shared" ca="1" si="113"/>
        <v>-1414085.8145558168</v>
      </c>
      <c r="L1613" s="455">
        <f t="shared" ca="1" si="114"/>
        <v>-340794681.30795187</v>
      </c>
      <c r="M1613" s="471">
        <f t="shared" si="116"/>
        <v>0.05</v>
      </c>
      <c r="N1613" s="475">
        <f t="shared" si="117"/>
        <v>100138</v>
      </c>
    </row>
    <row r="1614" spans="7:14" ht="11.25" customHeight="1" x14ac:dyDescent="0.3">
      <c r="G1614" s="470"/>
      <c r="H1614" s="470">
        <v>1607</v>
      </c>
      <c r="I1614" s="455">
        <f t="shared" ca="1" si="115"/>
        <v>-340794681.30795187</v>
      </c>
      <c r="J1614" s="455">
        <f t="array" ref="J1614">IFERROR(INDEX('Retirement Calculator'!K:K,MATCH('Lorri 401b'!N1614,'Retirement Calculator'!A:A,0),0),0)</f>
        <v>0</v>
      </c>
      <c r="K1614" s="455">
        <f t="shared" ca="1" si="113"/>
        <v>-1419977.8387831328</v>
      </c>
      <c r="L1614" s="455">
        <f t="shared" ca="1" si="114"/>
        <v>-342214659.14673501</v>
      </c>
      <c r="M1614" s="471">
        <f t="shared" si="116"/>
        <v>0.05</v>
      </c>
      <c r="N1614" s="475">
        <f t="shared" si="117"/>
        <v>100169</v>
      </c>
    </row>
    <row r="1615" spans="7:14" ht="11.25" customHeight="1" x14ac:dyDescent="0.3">
      <c r="G1615" s="470"/>
      <c r="H1615" s="470">
        <v>1608</v>
      </c>
      <c r="I1615" s="455">
        <f t="shared" ca="1" si="115"/>
        <v>-342214659.14673501</v>
      </c>
      <c r="J1615" s="455">
        <f t="array" ref="J1615">IFERROR(INDEX('Retirement Calculator'!K:K,MATCH('Lorri 401b'!N1615,'Retirement Calculator'!A:A,0),0),0)</f>
        <v>0</v>
      </c>
      <c r="K1615" s="455">
        <f t="shared" ca="1" si="113"/>
        <v>-1425894.4131113959</v>
      </c>
      <c r="L1615" s="455">
        <f t="shared" ca="1" si="114"/>
        <v>-343640553.5598464</v>
      </c>
      <c r="M1615" s="471">
        <f t="shared" si="116"/>
        <v>0.05</v>
      </c>
      <c r="N1615" s="475">
        <f t="shared" si="117"/>
        <v>100199</v>
      </c>
    </row>
    <row r="1616" spans="7:14" ht="11.25" customHeight="1" x14ac:dyDescent="0.3">
      <c r="G1616" s="470"/>
      <c r="H1616" s="470">
        <v>1609</v>
      </c>
      <c r="I1616" s="455">
        <f t="shared" ca="1" si="115"/>
        <v>-343640553.5598464</v>
      </c>
      <c r="J1616" s="455">
        <f t="array" ref="J1616">IFERROR(INDEX('Retirement Calculator'!K:K,MATCH('Lorri 401b'!N1616,'Retirement Calculator'!A:A,0),0),0)</f>
        <v>0</v>
      </c>
      <c r="K1616" s="455">
        <f t="shared" ca="1" si="113"/>
        <v>-1431835.6398326934</v>
      </c>
      <c r="L1616" s="455">
        <f t="shared" ca="1" si="114"/>
        <v>-345072389.19967908</v>
      </c>
      <c r="M1616" s="471">
        <f t="shared" si="116"/>
        <v>0.05</v>
      </c>
      <c r="N1616" s="475">
        <f t="shared" si="117"/>
        <v>100230</v>
      </c>
    </row>
    <row r="1617" spans="7:14" ht="11.25" customHeight="1" x14ac:dyDescent="0.3">
      <c r="G1617" s="470"/>
      <c r="H1617" s="470">
        <v>1610</v>
      </c>
      <c r="I1617" s="455">
        <f t="shared" ca="1" si="115"/>
        <v>-345072389.19967908</v>
      </c>
      <c r="J1617" s="455">
        <f t="array" ref="J1617">IFERROR(INDEX('Retirement Calculator'!K:K,MATCH('Lorri 401b'!N1617,'Retirement Calculator'!A:A,0),0),0)</f>
        <v>0</v>
      </c>
      <c r="K1617" s="455">
        <f t="shared" ca="1" si="113"/>
        <v>-1437801.6216653294</v>
      </c>
      <c r="L1617" s="455">
        <f t="shared" ca="1" si="114"/>
        <v>-346510190.82134444</v>
      </c>
      <c r="M1617" s="471">
        <f t="shared" si="116"/>
        <v>0.05</v>
      </c>
      <c r="N1617" s="475">
        <f t="shared" si="117"/>
        <v>100260</v>
      </c>
    </row>
    <row r="1618" spans="7:14" ht="11.25" customHeight="1" x14ac:dyDescent="0.3">
      <c r="G1618" s="470"/>
      <c r="H1618" s="470">
        <v>1611</v>
      </c>
      <c r="I1618" s="455">
        <f t="shared" ca="1" si="115"/>
        <v>-346510190.82134444</v>
      </c>
      <c r="J1618" s="455">
        <f t="array" ref="J1618">IFERROR(INDEX('Retirement Calculator'!K:K,MATCH('Lorri 401b'!N1618,'Retirement Calculator'!A:A,0),0),0)</f>
        <v>0</v>
      </c>
      <c r="K1618" s="455">
        <f t="shared" ca="1" si="113"/>
        <v>-1443792.4617556017</v>
      </c>
      <c r="L1618" s="455">
        <f t="shared" ca="1" si="114"/>
        <v>-347953983.28310001</v>
      </c>
      <c r="M1618" s="471">
        <f t="shared" si="116"/>
        <v>0.05</v>
      </c>
      <c r="N1618" s="475">
        <f t="shared" si="117"/>
        <v>100291</v>
      </c>
    </row>
    <row r="1619" spans="7:14" ht="11.25" customHeight="1" x14ac:dyDescent="0.3">
      <c r="G1619" s="470"/>
      <c r="H1619" s="470">
        <v>1612</v>
      </c>
      <c r="I1619" s="455">
        <f t="shared" ca="1" si="115"/>
        <v>-347953983.28310001</v>
      </c>
      <c r="J1619" s="455">
        <f t="array" ref="J1619">IFERROR(INDEX('Retirement Calculator'!K:K,MATCH('Lorri 401b'!N1619,'Retirement Calculator'!A:A,0),0),0)</f>
        <v>0</v>
      </c>
      <c r="K1619" s="455">
        <f t="shared" ca="1" si="113"/>
        <v>-1449808.2636795833</v>
      </c>
      <c r="L1619" s="455">
        <f t="shared" ca="1" si="114"/>
        <v>-349403791.54677957</v>
      </c>
      <c r="M1619" s="471">
        <f t="shared" si="116"/>
        <v>0.05</v>
      </c>
      <c r="N1619" s="475">
        <f t="shared" si="117"/>
        <v>100322</v>
      </c>
    </row>
    <row r="1620" spans="7:14" ht="11.25" customHeight="1" x14ac:dyDescent="0.3">
      <c r="G1620" s="470"/>
      <c r="H1620" s="470">
        <v>1613</v>
      </c>
      <c r="I1620" s="455">
        <f t="shared" ca="1" si="115"/>
        <v>-349403791.54677957</v>
      </c>
      <c r="J1620" s="455">
        <f t="array" ref="J1620">IFERROR(INDEX('Retirement Calculator'!K:K,MATCH('Lorri 401b'!N1620,'Retirement Calculator'!A:A,0),0),0)</f>
        <v>0</v>
      </c>
      <c r="K1620" s="455">
        <f t="shared" ca="1" si="113"/>
        <v>-1455849.131444915</v>
      </c>
      <c r="L1620" s="455">
        <f t="shared" ca="1" si="114"/>
        <v>-350859640.6782245</v>
      </c>
      <c r="M1620" s="471">
        <f t="shared" si="116"/>
        <v>0.05</v>
      </c>
      <c r="N1620" s="475">
        <f t="shared" si="117"/>
        <v>100352</v>
      </c>
    </row>
    <row r="1621" spans="7:14" ht="11.25" customHeight="1" x14ac:dyDescent="0.3">
      <c r="G1621" s="470"/>
      <c r="H1621" s="470">
        <v>1614</v>
      </c>
      <c r="I1621" s="455">
        <f t="shared" ca="1" si="115"/>
        <v>-350859640.6782245</v>
      </c>
      <c r="J1621" s="455">
        <f t="array" ref="J1621">IFERROR(INDEX('Retirement Calculator'!K:K,MATCH('Lorri 401b'!N1621,'Retirement Calculator'!A:A,0),0),0)</f>
        <v>0</v>
      </c>
      <c r="K1621" s="455">
        <f t="shared" ca="1" si="113"/>
        <v>-1461915.1694926021</v>
      </c>
      <c r="L1621" s="455">
        <f t="shared" ca="1" si="114"/>
        <v>-352321555.84771711</v>
      </c>
      <c r="M1621" s="471">
        <f t="shared" si="116"/>
        <v>0.05</v>
      </c>
      <c r="N1621" s="475">
        <f t="shared" si="117"/>
        <v>100383</v>
      </c>
    </row>
    <row r="1622" spans="7:14" ht="11.25" customHeight="1" x14ac:dyDescent="0.3">
      <c r="G1622" s="470"/>
      <c r="H1622" s="470">
        <v>1615</v>
      </c>
      <c r="I1622" s="455">
        <f t="shared" ca="1" si="115"/>
        <v>-352321555.84771711</v>
      </c>
      <c r="J1622" s="455">
        <f t="array" ref="J1622">IFERROR(INDEX('Retirement Calculator'!K:K,MATCH('Lorri 401b'!N1622,'Retirement Calculator'!A:A,0),0),0)</f>
        <v>0</v>
      </c>
      <c r="K1622" s="455">
        <f t="shared" ca="1" si="113"/>
        <v>-1468006.4826988212</v>
      </c>
      <c r="L1622" s="455">
        <f t="shared" ca="1" si="114"/>
        <v>-353789562.3304159</v>
      </c>
      <c r="M1622" s="471">
        <f t="shared" si="116"/>
        <v>0.05</v>
      </c>
      <c r="N1622" s="475">
        <f t="shared" si="117"/>
        <v>100413</v>
      </c>
    </row>
    <row r="1623" spans="7:14" ht="11.25" customHeight="1" x14ac:dyDescent="0.3">
      <c r="G1623" s="470"/>
      <c r="H1623" s="470">
        <v>1616</v>
      </c>
      <c r="I1623" s="455">
        <f t="shared" ca="1" si="115"/>
        <v>-353789562.3304159</v>
      </c>
      <c r="J1623" s="455">
        <f t="array" ref="J1623">IFERROR(INDEX('Retirement Calculator'!K:K,MATCH('Lorri 401b'!N1623,'Retirement Calculator'!A:A,0),0),0)</f>
        <v>0</v>
      </c>
      <c r="K1623" s="455">
        <f t="shared" ca="1" si="113"/>
        <v>-1474123.176376733</v>
      </c>
      <c r="L1623" s="455">
        <f t="shared" ca="1" si="114"/>
        <v>-355263685.50679266</v>
      </c>
      <c r="M1623" s="471">
        <f t="shared" si="116"/>
        <v>0.05</v>
      </c>
      <c r="N1623" s="475">
        <f t="shared" si="117"/>
        <v>100444</v>
      </c>
    </row>
    <row r="1624" spans="7:14" ht="11.25" customHeight="1" x14ac:dyDescent="0.3">
      <c r="G1624" s="470"/>
      <c r="H1624" s="470">
        <v>1617</v>
      </c>
      <c r="I1624" s="455">
        <f t="shared" ca="1" si="115"/>
        <v>-355263685.50679266</v>
      </c>
      <c r="J1624" s="455">
        <f t="array" ref="J1624">IFERROR(INDEX('Retirement Calculator'!K:K,MATCH('Lorri 401b'!N1624,'Retirement Calculator'!A:A,0),0),0)</f>
        <v>0</v>
      </c>
      <c r="K1624" s="455">
        <f t="shared" ca="1" si="113"/>
        <v>-1480265.3562783028</v>
      </c>
      <c r="L1624" s="455">
        <f t="shared" ca="1" si="114"/>
        <v>-356743950.86307096</v>
      </c>
      <c r="M1624" s="471">
        <f t="shared" si="116"/>
        <v>0.05</v>
      </c>
      <c r="N1624" s="475">
        <f t="shared" si="117"/>
        <v>100475</v>
      </c>
    </row>
    <row r="1625" spans="7:14" ht="11.25" customHeight="1" x14ac:dyDescent="0.3">
      <c r="G1625" s="470"/>
      <c r="H1625" s="470">
        <v>1618</v>
      </c>
      <c r="I1625" s="455">
        <f t="shared" ca="1" si="115"/>
        <v>-356743950.86307096</v>
      </c>
      <c r="J1625" s="455">
        <f t="array" ref="J1625">IFERROR(INDEX('Retirement Calculator'!K:K,MATCH('Lorri 401b'!N1625,'Retirement Calculator'!A:A,0),0),0)</f>
        <v>0</v>
      </c>
      <c r="K1625" s="455">
        <f t="shared" ca="1" si="113"/>
        <v>-1486433.1285961289</v>
      </c>
      <c r="L1625" s="455">
        <f t="shared" ca="1" si="114"/>
        <v>-358230383.99166709</v>
      </c>
      <c r="M1625" s="471">
        <f t="shared" si="116"/>
        <v>0.05</v>
      </c>
      <c r="N1625" s="475">
        <f t="shared" si="117"/>
        <v>100503</v>
      </c>
    </row>
    <row r="1626" spans="7:14" ht="11.25" customHeight="1" x14ac:dyDescent="0.3">
      <c r="G1626" s="470"/>
      <c r="H1626" s="470">
        <v>1619</v>
      </c>
      <c r="I1626" s="455">
        <f t="shared" ca="1" si="115"/>
        <v>-358230383.99166709</v>
      </c>
      <c r="J1626" s="455">
        <f t="array" ref="J1626">IFERROR(INDEX('Retirement Calculator'!K:K,MATCH('Lorri 401b'!N1626,'Retirement Calculator'!A:A,0),0),0)</f>
        <v>0</v>
      </c>
      <c r="K1626" s="455">
        <f t="shared" ca="1" si="113"/>
        <v>-1492626.5999652795</v>
      </c>
      <c r="L1626" s="455">
        <f t="shared" ca="1" si="114"/>
        <v>-359723010.59163237</v>
      </c>
      <c r="M1626" s="471">
        <f t="shared" si="116"/>
        <v>0.05</v>
      </c>
      <c r="N1626" s="475">
        <f t="shared" si="117"/>
        <v>100534</v>
      </c>
    </row>
    <row r="1627" spans="7:14" ht="11.25" customHeight="1" x14ac:dyDescent="0.3">
      <c r="G1627" s="470"/>
      <c r="H1627" s="470">
        <v>1620</v>
      </c>
      <c r="I1627" s="455">
        <f t="shared" ca="1" si="115"/>
        <v>-359723010.59163237</v>
      </c>
      <c r="J1627" s="455">
        <f t="array" ref="J1627">IFERROR(INDEX('Retirement Calculator'!K:K,MATCH('Lorri 401b'!N1627,'Retirement Calculator'!A:A,0),0),0)</f>
        <v>0</v>
      </c>
      <c r="K1627" s="455">
        <f t="shared" ca="1" si="113"/>
        <v>-1498845.877465135</v>
      </c>
      <c r="L1627" s="455">
        <f t="shared" ca="1" si="114"/>
        <v>-361221856.4690975</v>
      </c>
      <c r="M1627" s="471">
        <f t="shared" si="116"/>
        <v>0.05</v>
      </c>
      <c r="N1627" s="475">
        <f t="shared" si="117"/>
        <v>100564</v>
      </c>
    </row>
    <row r="1628" spans="7:14" ht="11.25" customHeight="1" x14ac:dyDescent="0.3">
      <c r="G1628" s="470"/>
      <c r="H1628" s="470">
        <v>1621</v>
      </c>
      <c r="I1628" s="455">
        <f t="shared" ca="1" si="115"/>
        <v>-361221856.4690975</v>
      </c>
      <c r="J1628" s="455">
        <f t="array" ref="J1628">IFERROR(INDEX('Retirement Calculator'!K:K,MATCH('Lorri 401b'!N1628,'Retirement Calculator'!A:A,0),0),0)</f>
        <v>0</v>
      </c>
      <c r="K1628" s="455">
        <f t="shared" ca="1" si="113"/>
        <v>-1505091.0686212396</v>
      </c>
      <c r="L1628" s="455">
        <f t="shared" ca="1" si="114"/>
        <v>-362726947.53771871</v>
      </c>
      <c r="M1628" s="471">
        <f t="shared" si="116"/>
        <v>0.05</v>
      </c>
      <c r="N1628" s="475">
        <f t="shared" si="117"/>
        <v>100595</v>
      </c>
    </row>
    <row r="1629" spans="7:14" ht="11.25" customHeight="1" x14ac:dyDescent="0.3">
      <c r="G1629" s="470"/>
      <c r="H1629" s="470">
        <v>1622</v>
      </c>
      <c r="I1629" s="455">
        <f t="shared" ca="1" si="115"/>
        <v>-362726947.53771871</v>
      </c>
      <c r="J1629" s="455">
        <f t="array" ref="J1629">IFERROR(INDEX('Retirement Calculator'!K:K,MATCH('Lorri 401b'!N1629,'Retirement Calculator'!A:A,0),0),0)</f>
        <v>0</v>
      </c>
      <c r="K1629" s="455">
        <f t="shared" ca="1" si="113"/>
        <v>-1511362.2814071614</v>
      </c>
      <c r="L1629" s="455">
        <f t="shared" ca="1" si="114"/>
        <v>-364238309.81912589</v>
      </c>
      <c r="M1629" s="471">
        <f t="shared" si="116"/>
        <v>0.05</v>
      </c>
      <c r="N1629" s="475">
        <f t="shared" si="117"/>
        <v>100625</v>
      </c>
    </row>
    <row r="1630" spans="7:14" ht="11.25" customHeight="1" x14ac:dyDescent="0.3">
      <c r="G1630" s="470"/>
      <c r="H1630" s="470">
        <v>1623</v>
      </c>
      <c r="I1630" s="455">
        <f t="shared" ca="1" si="115"/>
        <v>-364238309.81912589</v>
      </c>
      <c r="J1630" s="455">
        <f t="array" ref="J1630">IFERROR(INDEX('Retirement Calculator'!K:K,MATCH('Lorri 401b'!N1630,'Retirement Calculator'!A:A,0),0),0)</f>
        <v>0</v>
      </c>
      <c r="K1630" s="455">
        <f t="shared" ca="1" si="113"/>
        <v>-1517659.6242463579</v>
      </c>
      <c r="L1630" s="455">
        <f t="shared" ca="1" si="114"/>
        <v>-365755969.44337225</v>
      </c>
      <c r="M1630" s="471">
        <f t="shared" si="116"/>
        <v>0.05</v>
      </c>
      <c r="N1630" s="475">
        <f t="shared" si="117"/>
        <v>100656</v>
      </c>
    </row>
    <row r="1631" spans="7:14" ht="11.25" customHeight="1" x14ac:dyDescent="0.3">
      <c r="G1631" s="470"/>
      <c r="H1631" s="470">
        <v>1624</v>
      </c>
      <c r="I1631" s="455">
        <f t="shared" ca="1" si="115"/>
        <v>-365755969.44337225</v>
      </c>
      <c r="J1631" s="455">
        <f t="array" ref="J1631">IFERROR(INDEX('Retirement Calculator'!K:K,MATCH('Lorri 401b'!N1631,'Retirement Calculator'!A:A,0),0),0)</f>
        <v>0</v>
      </c>
      <c r="K1631" s="455">
        <f t="shared" ca="1" si="113"/>
        <v>-1523983.2060140511</v>
      </c>
      <c r="L1631" s="455">
        <f t="shared" ca="1" si="114"/>
        <v>-367279952.64938629</v>
      </c>
      <c r="M1631" s="471">
        <f t="shared" si="116"/>
        <v>0.05</v>
      </c>
      <c r="N1631" s="475">
        <f t="shared" si="117"/>
        <v>100687</v>
      </c>
    </row>
    <row r="1632" spans="7:14" ht="11.25" customHeight="1" x14ac:dyDescent="0.3">
      <c r="G1632" s="470"/>
      <c r="H1632" s="470">
        <v>1625</v>
      </c>
      <c r="I1632" s="455">
        <f t="shared" ca="1" si="115"/>
        <v>-367279952.64938629</v>
      </c>
      <c r="J1632" s="455">
        <f t="array" ref="J1632">IFERROR(INDEX('Retirement Calculator'!K:K,MATCH('Lorri 401b'!N1632,'Retirement Calculator'!A:A,0),0),0)</f>
        <v>0</v>
      </c>
      <c r="K1632" s="455">
        <f t="shared" ca="1" si="113"/>
        <v>-1530333.1360391094</v>
      </c>
      <c r="L1632" s="455">
        <f t="shared" ca="1" si="114"/>
        <v>-368810285.78542542</v>
      </c>
      <c r="M1632" s="471">
        <f t="shared" si="116"/>
        <v>0.05</v>
      </c>
      <c r="N1632" s="475">
        <f t="shared" si="117"/>
        <v>100717</v>
      </c>
    </row>
    <row r="1633" spans="7:14" ht="11.25" customHeight="1" x14ac:dyDescent="0.3">
      <c r="G1633" s="470"/>
      <c r="H1633" s="470">
        <v>1626</v>
      </c>
      <c r="I1633" s="455">
        <f t="shared" ca="1" si="115"/>
        <v>-368810285.78542542</v>
      </c>
      <c r="J1633" s="455">
        <f t="array" ref="J1633">IFERROR(INDEX('Retirement Calculator'!K:K,MATCH('Lorri 401b'!N1633,'Retirement Calculator'!A:A,0),0),0)</f>
        <v>0</v>
      </c>
      <c r="K1633" s="455">
        <f t="shared" ca="1" si="113"/>
        <v>-1536709.5241059393</v>
      </c>
      <c r="L1633" s="455">
        <f t="shared" ca="1" si="114"/>
        <v>-370346995.30953139</v>
      </c>
      <c r="M1633" s="471">
        <f t="shared" si="116"/>
        <v>0.05</v>
      </c>
      <c r="N1633" s="475">
        <f t="shared" si="117"/>
        <v>100748</v>
      </c>
    </row>
    <row r="1634" spans="7:14" ht="11.25" customHeight="1" x14ac:dyDescent="0.3">
      <c r="G1634" s="470"/>
      <c r="H1634" s="470">
        <v>1627</v>
      </c>
      <c r="I1634" s="455">
        <f t="shared" ca="1" si="115"/>
        <v>-370346995.30953139</v>
      </c>
      <c r="J1634" s="455">
        <f t="array" ref="J1634">IFERROR(INDEX('Retirement Calculator'!K:K,MATCH('Lorri 401b'!N1634,'Retirement Calculator'!A:A,0),0),0)</f>
        <v>0</v>
      </c>
      <c r="K1634" s="455">
        <f t="shared" ca="1" si="113"/>
        <v>-1543112.4804563809</v>
      </c>
      <c r="L1634" s="455">
        <f t="shared" ca="1" si="114"/>
        <v>-371890107.78998774</v>
      </c>
      <c r="M1634" s="471">
        <f t="shared" si="116"/>
        <v>0.05</v>
      </c>
      <c r="N1634" s="475">
        <f t="shared" si="117"/>
        <v>100778</v>
      </c>
    </row>
    <row r="1635" spans="7:14" ht="11.25" customHeight="1" x14ac:dyDescent="0.3">
      <c r="G1635" s="470"/>
      <c r="H1635" s="470">
        <v>1628</v>
      </c>
      <c r="I1635" s="455">
        <f t="shared" ca="1" si="115"/>
        <v>-371890107.78998774</v>
      </c>
      <c r="J1635" s="455">
        <f t="array" ref="J1635">IFERROR(INDEX('Retirement Calculator'!K:K,MATCH('Lorri 401b'!N1635,'Retirement Calculator'!A:A,0),0),0)</f>
        <v>0</v>
      </c>
      <c r="K1635" s="455">
        <f t="shared" ca="1" si="113"/>
        <v>-1549542.1157916156</v>
      </c>
      <c r="L1635" s="455">
        <f t="shared" ca="1" si="114"/>
        <v>-373439649.90577936</v>
      </c>
      <c r="M1635" s="471">
        <f t="shared" si="116"/>
        <v>0.05</v>
      </c>
      <c r="N1635" s="475">
        <f t="shared" si="117"/>
        <v>100809</v>
      </c>
    </row>
    <row r="1636" spans="7:14" ht="11.25" customHeight="1" x14ac:dyDescent="0.3">
      <c r="G1636" s="470"/>
      <c r="H1636" s="470">
        <v>1629</v>
      </c>
      <c r="I1636" s="455">
        <f t="shared" ca="1" si="115"/>
        <v>-373439649.90577936</v>
      </c>
      <c r="J1636" s="455">
        <f t="array" ref="J1636">IFERROR(INDEX('Retirement Calculator'!K:K,MATCH('Lorri 401b'!N1636,'Retirement Calculator'!A:A,0),0),0)</f>
        <v>0</v>
      </c>
      <c r="K1636" s="455">
        <f t="shared" ca="1" si="113"/>
        <v>-1555998.5412740808</v>
      </c>
      <c r="L1636" s="455">
        <f t="shared" ca="1" si="114"/>
        <v>-374995648.44705343</v>
      </c>
      <c r="M1636" s="471">
        <f t="shared" si="116"/>
        <v>0.05</v>
      </c>
      <c r="N1636" s="475">
        <f t="shared" si="117"/>
        <v>100840</v>
      </c>
    </row>
    <row r="1637" spans="7:14" ht="11.25" customHeight="1" x14ac:dyDescent="0.3">
      <c r="G1637" s="470"/>
      <c r="H1637" s="470">
        <v>1630</v>
      </c>
      <c r="I1637" s="455">
        <f t="shared" ca="1" si="115"/>
        <v>-374995648.44705343</v>
      </c>
      <c r="J1637" s="455">
        <f t="array" ref="J1637">IFERROR(INDEX('Retirement Calculator'!K:K,MATCH('Lorri 401b'!N1637,'Retirement Calculator'!A:A,0),0),0)</f>
        <v>0</v>
      </c>
      <c r="K1637" s="455">
        <f t="shared" ca="1" si="113"/>
        <v>-1562481.8685293894</v>
      </c>
      <c r="L1637" s="455">
        <f t="shared" ca="1" si="114"/>
        <v>-376558130.31558281</v>
      </c>
      <c r="M1637" s="471">
        <f t="shared" si="116"/>
        <v>0.05</v>
      </c>
      <c r="N1637" s="475">
        <f t="shared" si="117"/>
        <v>100869</v>
      </c>
    </row>
    <row r="1638" spans="7:14" ht="11.25" customHeight="1" x14ac:dyDescent="0.3">
      <c r="G1638" s="470"/>
      <c r="H1638" s="470">
        <v>1631</v>
      </c>
      <c r="I1638" s="455">
        <f t="shared" ca="1" si="115"/>
        <v>-376558130.31558281</v>
      </c>
      <c r="J1638" s="455">
        <f t="array" ref="J1638">IFERROR(INDEX('Retirement Calculator'!K:K,MATCH('Lorri 401b'!N1638,'Retirement Calculator'!A:A,0),0),0)</f>
        <v>0</v>
      </c>
      <c r="K1638" s="455">
        <f t="shared" ca="1" si="113"/>
        <v>-1568992.2096482618</v>
      </c>
      <c r="L1638" s="455">
        <f t="shared" ca="1" si="114"/>
        <v>-378127122.52523106</v>
      </c>
      <c r="M1638" s="471">
        <f t="shared" si="116"/>
        <v>0.05</v>
      </c>
      <c r="N1638" s="475">
        <f t="shared" si="117"/>
        <v>100900</v>
      </c>
    </row>
    <row r="1639" spans="7:14" ht="11.25" customHeight="1" x14ac:dyDescent="0.3">
      <c r="G1639" s="470"/>
      <c r="H1639" s="470">
        <v>1632</v>
      </c>
      <c r="I1639" s="455">
        <f t="shared" ca="1" si="115"/>
        <v>-378127122.52523106</v>
      </c>
      <c r="J1639" s="455">
        <f t="array" ref="J1639">IFERROR(INDEX('Retirement Calculator'!K:K,MATCH('Lorri 401b'!N1639,'Retirement Calculator'!A:A,0),0),0)</f>
        <v>0</v>
      </c>
      <c r="K1639" s="455">
        <f t="shared" ca="1" si="113"/>
        <v>-1575529.6771884628</v>
      </c>
      <c r="L1639" s="455">
        <f t="shared" ca="1" si="114"/>
        <v>-379702652.20241952</v>
      </c>
      <c r="M1639" s="471">
        <f t="shared" si="116"/>
        <v>0.05</v>
      </c>
      <c r="N1639" s="475">
        <f t="shared" si="117"/>
        <v>100930</v>
      </c>
    </row>
    <row r="1640" spans="7:14" ht="11.25" customHeight="1" x14ac:dyDescent="0.3">
      <c r="G1640" s="470"/>
      <c r="H1640" s="470">
        <v>1633</v>
      </c>
      <c r="I1640" s="455">
        <f t="shared" ca="1" si="115"/>
        <v>-379702652.20241952</v>
      </c>
      <c r="J1640" s="455">
        <f t="array" ref="J1640">IFERROR(INDEX('Retirement Calculator'!K:K,MATCH('Lorri 401b'!N1640,'Retirement Calculator'!A:A,0),0),0)</f>
        <v>0</v>
      </c>
      <c r="K1640" s="455">
        <f t="shared" ca="1" si="113"/>
        <v>-1582094.3841767479</v>
      </c>
      <c r="L1640" s="455">
        <f t="shared" ca="1" si="114"/>
        <v>-381284746.58659625</v>
      </c>
      <c r="M1640" s="471">
        <f t="shared" si="116"/>
        <v>0.05</v>
      </c>
      <c r="N1640" s="475">
        <f t="shared" si="117"/>
        <v>100961</v>
      </c>
    </row>
    <row r="1641" spans="7:14" ht="11.25" customHeight="1" x14ac:dyDescent="0.3">
      <c r="G1641" s="470"/>
      <c r="H1641" s="470">
        <v>1634</v>
      </c>
      <c r="I1641" s="455">
        <f t="shared" ca="1" si="115"/>
        <v>-381284746.58659625</v>
      </c>
      <c r="J1641" s="455">
        <f t="array" ref="J1641">IFERROR(INDEX('Retirement Calculator'!K:K,MATCH('Lorri 401b'!N1641,'Retirement Calculator'!A:A,0),0),0)</f>
        <v>0</v>
      </c>
      <c r="K1641" s="455">
        <f t="shared" ca="1" si="113"/>
        <v>-1588686.4441108177</v>
      </c>
      <c r="L1641" s="455">
        <f t="shared" ca="1" si="114"/>
        <v>-382873433.03070706</v>
      </c>
      <c r="M1641" s="471">
        <f t="shared" si="116"/>
        <v>0.05</v>
      </c>
      <c r="N1641" s="475">
        <f t="shared" si="117"/>
        <v>100991</v>
      </c>
    </row>
    <row r="1642" spans="7:14" ht="11.25" customHeight="1" x14ac:dyDescent="0.3">
      <c r="G1642" s="470"/>
      <c r="H1642" s="470">
        <v>1635</v>
      </c>
      <c r="I1642" s="455">
        <f t="shared" ca="1" si="115"/>
        <v>-382873433.03070706</v>
      </c>
      <c r="J1642" s="455">
        <f t="array" ref="J1642">IFERROR(INDEX('Retirement Calculator'!K:K,MATCH('Lorri 401b'!N1642,'Retirement Calculator'!A:A,0),0),0)</f>
        <v>0</v>
      </c>
      <c r="K1642" s="455">
        <f t="shared" ca="1" si="113"/>
        <v>-1595305.9709612795</v>
      </c>
      <c r="L1642" s="455">
        <f t="shared" ca="1" si="114"/>
        <v>-384468739.00166833</v>
      </c>
      <c r="M1642" s="471">
        <f t="shared" si="116"/>
        <v>0.05</v>
      </c>
      <c r="N1642" s="475">
        <f t="shared" si="117"/>
        <v>101022</v>
      </c>
    </row>
    <row r="1643" spans="7:14" ht="11.25" customHeight="1" x14ac:dyDescent="0.3">
      <c r="G1643" s="470"/>
      <c r="H1643" s="470">
        <v>1636</v>
      </c>
      <c r="I1643" s="455">
        <f t="shared" ca="1" si="115"/>
        <v>-384468739.00166833</v>
      </c>
      <c r="J1643" s="455">
        <f t="array" ref="J1643">IFERROR(INDEX('Retirement Calculator'!K:K,MATCH('Lorri 401b'!N1643,'Retirement Calculator'!A:A,0),0),0)</f>
        <v>0</v>
      </c>
      <c r="K1643" s="455">
        <f t="shared" ca="1" si="113"/>
        <v>-1601953.079173618</v>
      </c>
      <c r="L1643" s="455">
        <f t="shared" ca="1" si="114"/>
        <v>-386070692.08084196</v>
      </c>
      <c r="M1643" s="471">
        <f t="shared" si="116"/>
        <v>0.05</v>
      </c>
      <c r="N1643" s="475">
        <f t="shared" si="117"/>
        <v>101053</v>
      </c>
    </row>
    <row r="1644" spans="7:14" ht="11.25" customHeight="1" x14ac:dyDescent="0.3">
      <c r="G1644" s="470"/>
      <c r="H1644" s="470">
        <v>1637</v>
      </c>
      <c r="I1644" s="455">
        <f t="shared" ca="1" si="115"/>
        <v>-386070692.08084196</v>
      </c>
      <c r="J1644" s="455">
        <f t="array" ref="J1644">IFERROR(INDEX('Retirement Calculator'!K:K,MATCH('Lorri 401b'!N1644,'Retirement Calculator'!A:A,0),0),0)</f>
        <v>0</v>
      </c>
      <c r="K1644" s="455">
        <f t="shared" ca="1" si="113"/>
        <v>-1608627.8836701747</v>
      </c>
      <c r="L1644" s="455">
        <f t="shared" ca="1" si="114"/>
        <v>-387679319.96451211</v>
      </c>
      <c r="M1644" s="471">
        <f t="shared" si="116"/>
        <v>0.05</v>
      </c>
      <c r="N1644" s="475">
        <f t="shared" si="117"/>
        <v>101083</v>
      </c>
    </row>
    <row r="1645" spans="7:14" ht="11.25" customHeight="1" x14ac:dyDescent="0.3">
      <c r="G1645" s="470"/>
      <c r="H1645" s="470">
        <v>1638</v>
      </c>
      <c r="I1645" s="455">
        <f t="shared" ca="1" si="115"/>
        <v>-387679319.96451211</v>
      </c>
      <c r="J1645" s="455">
        <f t="array" ref="J1645">IFERROR(INDEX('Retirement Calculator'!K:K,MATCH('Lorri 401b'!N1645,'Retirement Calculator'!A:A,0),0),0)</f>
        <v>0</v>
      </c>
      <c r="K1645" s="455">
        <f t="shared" ca="1" si="113"/>
        <v>-1615330.4998521337</v>
      </c>
      <c r="L1645" s="455">
        <f t="shared" ca="1" si="114"/>
        <v>-389294650.46436423</v>
      </c>
      <c r="M1645" s="471">
        <f t="shared" si="116"/>
        <v>0.05</v>
      </c>
      <c r="N1645" s="475">
        <f t="shared" si="117"/>
        <v>101114</v>
      </c>
    </row>
    <row r="1646" spans="7:14" ht="11.25" customHeight="1" x14ac:dyDescent="0.3">
      <c r="G1646" s="470"/>
      <c r="H1646" s="470">
        <v>1639</v>
      </c>
      <c r="I1646" s="455">
        <f t="shared" ca="1" si="115"/>
        <v>-389294650.46436423</v>
      </c>
      <c r="J1646" s="455">
        <f t="array" ref="J1646">IFERROR(INDEX('Retirement Calculator'!K:K,MATCH('Lorri 401b'!N1646,'Retirement Calculator'!A:A,0),0),0)</f>
        <v>0</v>
      </c>
      <c r="K1646" s="455">
        <f t="shared" ca="1" si="113"/>
        <v>-1622061.0436015176</v>
      </c>
      <c r="L1646" s="455">
        <f t="shared" ca="1" si="114"/>
        <v>-390916711.50796574</v>
      </c>
      <c r="M1646" s="471">
        <f t="shared" si="116"/>
        <v>0.05</v>
      </c>
      <c r="N1646" s="475">
        <f t="shared" si="117"/>
        <v>101144</v>
      </c>
    </row>
    <row r="1647" spans="7:14" ht="11.25" customHeight="1" x14ac:dyDescent="0.3">
      <c r="G1647" s="470"/>
      <c r="H1647" s="470">
        <v>1640</v>
      </c>
      <c r="I1647" s="455">
        <f t="shared" ca="1" si="115"/>
        <v>-390916711.50796574</v>
      </c>
      <c r="J1647" s="455">
        <f t="array" ref="J1647">IFERROR(INDEX('Retirement Calculator'!K:K,MATCH('Lorri 401b'!N1647,'Retirement Calculator'!A:A,0),0),0)</f>
        <v>0</v>
      </c>
      <c r="K1647" s="455">
        <f t="shared" ca="1" si="113"/>
        <v>-1628819.6312831906</v>
      </c>
      <c r="L1647" s="455">
        <f t="shared" ca="1" si="114"/>
        <v>-392545531.13924891</v>
      </c>
      <c r="M1647" s="471">
        <f t="shared" si="116"/>
        <v>0.05</v>
      </c>
      <c r="N1647" s="475">
        <f t="shared" si="117"/>
        <v>101175</v>
      </c>
    </row>
    <row r="1648" spans="7:14" ht="11.25" customHeight="1" x14ac:dyDescent="0.3">
      <c r="G1648" s="470"/>
      <c r="H1648" s="470">
        <v>1641</v>
      </c>
      <c r="I1648" s="455">
        <f t="shared" ca="1" si="115"/>
        <v>-392545531.13924891</v>
      </c>
      <c r="J1648" s="455">
        <f t="array" ref="J1648">IFERROR(INDEX('Retirement Calculator'!K:K,MATCH('Lorri 401b'!N1648,'Retirement Calculator'!A:A,0),0),0)</f>
        <v>0</v>
      </c>
      <c r="K1648" s="455">
        <f t="shared" ca="1" si="113"/>
        <v>-1635606.3797468704</v>
      </c>
      <c r="L1648" s="455">
        <f t="shared" ca="1" si="114"/>
        <v>-394181137.51899576</v>
      </c>
      <c r="M1648" s="471">
        <f t="shared" si="116"/>
        <v>0.05</v>
      </c>
      <c r="N1648" s="475">
        <f t="shared" si="117"/>
        <v>101206</v>
      </c>
    </row>
    <row r="1649" spans="7:14" ht="11.25" customHeight="1" x14ac:dyDescent="0.3">
      <c r="G1649" s="470"/>
      <c r="H1649" s="470">
        <v>1642</v>
      </c>
      <c r="I1649" s="455">
        <f t="shared" ca="1" si="115"/>
        <v>-394181137.51899576</v>
      </c>
      <c r="J1649" s="455">
        <f t="array" ref="J1649">IFERROR(INDEX('Retirement Calculator'!K:K,MATCH('Lorri 401b'!N1649,'Retirement Calculator'!A:A,0),0),0)</f>
        <v>0</v>
      </c>
      <c r="K1649" s="455">
        <f t="shared" ca="1" si="113"/>
        <v>-1642421.4063291489</v>
      </c>
      <c r="L1649" s="455">
        <f t="shared" ca="1" si="114"/>
        <v>-395823558.92532492</v>
      </c>
      <c r="M1649" s="471">
        <f t="shared" si="116"/>
        <v>0.05</v>
      </c>
      <c r="N1649" s="475">
        <f t="shared" si="117"/>
        <v>101234</v>
      </c>
    </row>
    <row r="1650" spans="7:14" ht="11.25" customHeight="1" x14ac:dyDescent="0.3">
      <c r="G1650" s="470"/>
      <c r="H1650" s="470">
        <v>1643</v>
      </c>
      <c r="I1650" s="455">
        <f t="shared" ca="1" si="115"/>
        <v>-395823558.92532492</v>
      </c>
      <c r="J1650" s="455">
        <f t="array" ref="J1650">IFERROR(INDEX('Retirement Calculator'!K:K,MATCH('Lorri 401b'!N1650,'Retirement Calculator'!A:A,0),0),0)</f>
        <v>0</v>
      </c>
      <c r="K1650" s="455">
        <f t="shared" ca="1" si="113"/>
        <v>-1649264.8288555206</v>
      </c>
      <c r="L1650" s="455">
        <f t="shared" ca="1" si="114"/>
        <v>-397472823.75418043</v>
      </c>
      <c r="M1650" s="471">
        <f t="shared" si="116"/>
        <v>0.05</v>
      </c>
      <c r="N1650" s="475">
        <f t="shared" si="117"/>
        <v>101265</v>
      </c>
    </row>
    <row r="1651" spans="7:14" ht="11.25" customHeight="1" x14ac:dyDescent="0.3">
      <c r="G1651" s="470"/>
      <c r="H1651" s="470">
        <v>1644</v>
      </c>
      <c r="I1651" s="455">
        <f t="shared" ca="1" si="115"/>
        <v>-397472823.75418043</v>
      </c>
      <c r="J1651" s="455">
        <f t="array" ref="J1651">IFERROR(INDEX('Retirement Calculator'!K:K,MATCH('Lorri 401b'!N1651,'Retirement Calculator'!A:A,0),0),0)</f>
        <v>0</v>
      </c>
      <c r="K1651" s="455">
        <f t="shared" ca="1" si="113"/>
        <v>-1656136.7656424185</v>
      </c>
      <c r="L1651" s="455">
        <f t="shared" ca="1" si="114"/>
        <v>-399128960.51982284</v>
      </c>
      <c r="M1651" s="471">
        <f t="shared" si="116"/>
        <v>0.05</v>
      </c>
      <c r="N1651" s="475">
        <f t="shared" si="117"/>
        <v>101295</v>
      </c>
    </row>
    <row r="1652" spans="7:14" ht="11.25" customHeight="1" x14ac:dyDescent="0.3">
      <c r="G1652" s="470"/>
      <c r="H1652" s="470">
        <v>1645</v>
      </c>
      <c r="I1652" s="455">
        <f t="shared" ca="1" si="115"/>
        <v>-399128960.51982284</v>
      </c>
      <c r="J1652" s="455">
        <f t="array" ref="J1652">IFERROR(INDEX('Retirement Calculator'!K:K,MATCH('Lorri 401b'!N1652,'Retirement Calculator'!A:A,0),0),0)</f>
        <v>0</v>
      </c>
      <c r="K1652" s="455">
        <f t="shared" ca="1" si="113"/>
        <v>-1663037.3354992617</v>
      </c>
      <c r="L1652" s="455">
        <f t="shared" ca="1" si="114"/>
        <v>-400791997.85532212</v>
      </c>
      <c r="M1652" s="471">
        <f t="shared" si="116"/>
        <v>0.05</v>
      </c>
      <c r="N1652" s="475">
        <f t="shared" si="117"/>
        <v>101326</v>
      </c>
    </row>
    <row r="1653" spans="7:14" ht="11.25" customHeight="1" x14ac:dyDescent="0.3">
      <c r="G1653" s="470"/>
      <c r="H1653" s="470">
        <v>1646</v>
      </c>
      <c r="I1653" s="455">
        <f t="shared" ca="1" si="115"/>
        <v>-400791997.85532212</v>
      </c>
      <c r="J1653" s="455">
        <f t="array" ref="J1653">IFERROR(INDEX('Retirement Calculator'!K:K,MATCH('Lorri 401b'!N1653,'Retirement Calculator'!A:A,0),0),0)</f>
        <v>0</v>
      </c>
      <c r="K1653" s="455">
        <f t="shared" ca="1" si="113"/>
        <v>-1669966.6577305088</v>
      </c>
      <c r="L1653" s="455">
        <f t="shared" ca="1" si="114"/>
        <v>-402461964.51305264</v>
      </c>
      <c r="M1653" s="471">
        <f t="shared" si="116"/>
        <v>0.05</v>
      </c>
      <c r="N1653" s="475">
        <f t="shared" si="117"/>
        <v>101356</v>
      </c>
    </row>
    <row r="1654" spans="7:14" ht="11.25" customHeight="1" x14ac:dyDescent="0.3">
      <c r="G1654" s="470"/>
      <c r="H1654" s="470">
        <v>1647</v>
      </c>
      <c r="I1654" s="455">
        <f t="shared" ca="1" si="115"/>
        <v>-402461964.51305264</v>
      </c>
      <c r="J1654" s="455">
        <f t="array" ref="J1654">IFERROR(INDEX('Retirement Calculator'!K:K,MATCH('Lorri 401b'!N1654,'Retirement Calculator'!A:A,0),0),0)</f>
        <v>0</v>
      </c>
      <c r="K1654" s="455">
        <f t="shared" ca="1" si="113"/>
        <v>-1676924.8521377193</v>
      </c>
      <c r="L1654" s="455">
        <f t="shared" ca="1" si="114"/>
        <v>-404138889.36519039</v>
      </c>
      <c r="M1654" s="471">
        <f t="shared" si="116"/>
        <v>0.05</v>
      </c>
      <c r="N1654" s="475">
        <f t="shared" si="117"/>
        <v>101387</v>
      </c>
    </row>
    <row r="1655" spans="7:14" ht="11.25" customHeight="1" x14ac:dyDescent="0.3">
      <c r="G1655" s="470"/>
      <c r="H1655" s="470">
        <v>1648</v>
      </c>
      <c r="I1655" s="455">
        <f t="shared" ca="1" si="115"/>
        <v>-404138889.36519039</v>
      </c>
      <c r="J1655" s="455">
        <f t="array" ref="J1655">IFERROR(INDEX('Retirement Calculator'!K:K,MATCH('Lorri 401b'!N1655,'Retirement Calculator'!A:A,0),0),0)</f>
        <v>0</v>
      </c>
      <c r="K1655" s="455">
        <f t="shared" ca="1" si="113"/>
        <v>-1683912.0390216266</v>
      </c>
      <c r="L1655" s="455">
        <f t="shared" ca="1" si="114"/>
        <v>-405822801.404212</v>
      </c>
      <c r="M1655" s="471">
        <f t="shared" si="116"/>
        <v>0.05</v>
      </c>
      <c r="N1655" s="475">
        <f t="shared" si="117"/>
        <v>101418</v>
      </c>
    </row>
    <row r="1656" spans="7:14" ht="11.25" customHeight="1" x14ac:dyDescent="0.3">
      <c r="G1656" s="470"/>
      <c r="H1656" s="470">
        <v>1649</v>
      </c>
      <c r="I1656" s="455">
        <f t="shared" ca="1" si="115"/>
        <v>-405822801.404212</v>
      </c>
      <c r="J1656" s="455">
        <f t="array" ref="J1656">IFERROR(INDEX('Retirement Calculator'!K:K,MATCH('Lorri 401b'!N1656,'Retirement Calculator'!A:A,0),0),0)</f>
        <v>0</v>
      </c>
      <c r="K1656" s="455">
        <f t="shared" ca="1" si="113"/>
        <v>-1690928.3391842167</v>
      </c>
      <c r="L1656" s="455">
        <f t="shared" ca="1" si="114"/>
        <v>-407513729.74339622</v>
      </c>
      <c r="M1656" s="471">
        <f t="shared" si="116"/>
        <v>0.05</v>
      </c>
      <c r="N1656" s="475">
        <f t="shared" si="117"/>
        <v>101448</v>
      </c>
    </row>
    <row r="1657" spans="7:14" ht="11.25" customHeight="1" x14ac:dyDescent="0.3">
      <c r="G1657" s="470"/>
      <c r="H1657" s="470">
        <v>1650</v>
      </c>
      <c r="I1657" s="455">
        <f t="shared" ca="1" si="115"/>
        <v>-407513729.74339622</v>
      </c>
      <c r="J1657" s="455">
        <f t="array" ref="J1657">IFERROR(INDEX('Retirement Calculator'!K:K,MATCH('Lorri 401b'!N1657,'Retirement Calculator'!A:A,0),0),0)</f>
        <v>0</v>
      </c>
      <c r="K1657" s="455">
        <f t="shared" ca="1" si="113"/>
        <v>-1697973.8739308175</v>
      </c>
      <c r="L1657" s="455">
        <f t="shared" ca="1" si="114"/>
        <v>-409211703.61732703</v>
      </c>
      <c r="M1657" s="471">
        <f t="shared" si="116"/>
        <v>0.05</v>
      </c>
      <c r="N1657" s="475">
        <f t="shared" si="117"/>
        <v>101479</v>
      </c>
    </row>
    <row r="1658" spans="7:14" ht="11.25" customHeight="1" x14ac:dyDescent="0.3">
      <c r="G1658" s="470"/>
      <c r="H1658" s="470">
        <v>1651</v>
      </c>
      <c r="I1658" s="455">
        <f t="shared" ca="1" si="115"/>
        <v>-409211703.61732703</v>
      </c>
      <c r="J1658" s="455">
        <f t="array" ref="J1658">IFERROR(INDEX('Retirement Calculator'!K:K,MATCH('Lorri 401b'!N1658,'Retirement Calculator'!A:A,0),0),0)</f>
        <v>0</v>
      </c>
      <c r="K1658" s="455">
        <f t="shared" ca="1" si="113"/>
        <v>-1705048.765072196</v>
      </c>
      <c r="L1658" s="455">
        <f t="shared" ca="1" si="114"/>
        <v>-410916752.3823992</v>
      </c>
      <c r="M1658" s="471">
        <f t="shared" si="116"/>
        <v>0.05</v>
      </c>
      <c r="N1658" s="475">
        <f t="shared" si="117"/>
        <v>101509</v>
      </c>
    </row>
    <row r="1659" spans="7:14" ht="11.25" customHeight="1" x14ac:dyDescent="0.3">
      <c r="G1659" s="470"/>
      <c r="H1659" s="470">
        <v>1652</v>
      </c>
      <c r="I1659" s="455">
        <f t="shared" ca="1" si="115"/>
        <v>-410916752.3823992</v>
      </c>
      <c r="J1659" s="455">
        <f t="array" ref="J1659">IFERROR(INDEX('Retirement Calculator'!K:K,MATCH('Lorri 401b'!N1659,'Retirement Calculator'!A:A,0),0),0)</f>
        <v>0</v>
      </c>
      <c r="K1659" s="455">
        <f t="shared" ca="1" si="113"/>
        <v>-1712153.1349266632</v>
      </c>
      <c r="L1659" s="455">
        <f t="shared" ca="1" si="114"/>
        <v>-412628905.51732588</v>
      </c>
      <c r="M1659" s="471">
        <f t="shared" si="116"/>
        <v>0.05</v>
      </c>
      <c r="N1659" s="475">
        <f t="shared" si="117"/>
        <v>101540</v>
      </c>
    </row>
    <row r="1660" spans="7:14" ht="11.25" customHeight="1" x14ac:dyDescent="0.3">
      <c r="G1660" s="470"/>
      <c r="H1660" s="470">
        <v>1653</v>
      </c>
      <c r="I1660" s="455">
        <f t="shared" ca="1" si="115"/>
        <v>-412628905.51732588</v>
      </c>
      <c r="J1660" s="455">
        <f t="array" ref="J1660">IFERROR(INDEX('Retirement Calculator'!K:K,MATCH('Lorri 401b'!N1660,'Retirement Calculator'!A:A,0),0),0)</f>
        <v>0</v>
      </c>
      <c r="K1660" s="455">
        <f t="shared" ca="1" si="113"/>
        <v>-1719287.1063221912</v>
      </c>
      <c r="L1660" s="455">
        <f t="shared" ca="1" si="114"/>
        <v>-414348192.62364805</v>
      </c>
      <c r="M1660" s="471">
        <f t="shared" si="116"/>
        <v>0.05</v>
      </c>
      <c r="N1660" s="475">
        <f t="shared" si="117"/>
        <v>101571</v>
      </c>
    </row>
    <row r="1661" spans="7:14" ht="11.25" customHeight="1" x14ac:dyDescent="0.3">
      <c r="G1661" s="470"/>
      <c r="H1661" s="470">
        <v>1654</v>
      </c>
      <c r="I1661" s="455">
        <f t="shared" ca="1" si="115"/>
        <v>-414348192.62364805</v>
      </c>
      <c r="J1661" s="455">
        <f t="array" ref="J1661">IFERROR(INDEX('Retirement Calculator'!K:K,MATCH('Lorri 401b'!N1661,'Retirement Calculator'!A:A,0),0),0)</f>
        <v>0</v>
      </c>
      <c r="K1661" s="455">
        <f t="shared" ca="1" si="113"/>
        <v>-1726450.8025985335</v>
      </c>
      <c r="L1661" s="455">
        <f t="shared" ca="1" si="114"/>
        <v>-416074643.42624658</v>
      </c>
      <c r="M1661" s="471">
        <f t="shared" si="116"/>
        <v>0.05</v>
      </c>
      <c r="N1661" s="475">
        <f t="shared" si="117"/>
        <v>101599</v>
      </c>
    </row>
    <row r="1662" spans="7:14" ht="11.25" customHeight="1" x14ac:dyDescent="0.3">
      <c r="G1662" s="470"/>
      <c r="H1662" s="470">
        <v>1655</v>
      </c>
      <c r="I1662" s="455">
        <f t="shared" ca="1" si="115"/>
        <v>-416074643.42624658</v>
      </c>
      <c r="J1662" s="455">
        <f t="array" ref="J1662">IFERROR(INDEX('Retirement Calculator'!K:K,MATCH('Lorri 401b'!N1662,'Retirement Calculator'!A:A,0),0),0)</f>
        <v>0</v>
      </c>
      <c r="K1662" s="455">
        <f t="shared" ca="1" si="113"/>
        <v>-1733644.3476093607</v>
      </c>
      <c r="L1662" s="455">
        <f t="shared" ca="1" si="114"/>
        <v>-417808287.77385592</v>
      </c>
      <c r="M1662" s="471">
        <f t="shared" si="116"/>
        <v>0.05</v>
      </c>
      <c r="N1662" s="475">
        <f t="shared" si="117"/>
        <v>101630</v>
      </c>
    </row>
    <row r="1663" spans="7:14" ht="11.25" customHeight="1" x14ac:dyDescent="0.3">
      <c r="G1663" s="470"/>
      <c r="H1663" s="470">
        <v>1656</v>
      </c>
      <c r="I1663" s="455">
        <f t="shared" ca="1" si="115"/>
        <v>-417808287.77385592</v>
      </c>
      <c r="J1663" s="455">
        <f t="array" ref="J1663">IFERROR(INDEX('Retirement Calculator'!K:K,MATCH('Lorri 401b'!N1663,'Retirement Calculator'!A:A,0),0),0)</f>
        <v>0</v>
      </c>
      <c r="K1663" s="455">
        <f t="shared" ca="1" si="113"/>
        <v>-1740867.8657243997</v>
      </c>
      <c r="L1663" s="455">
        <f t="shared" ca="1" si="114"/>
        <v>-419549155.63958031</v>
      </c>
      <c r="M1663" s="471">
        <f t="shared" si="116"/>
        <v>0.05</v>
      </c>
      <c r="N1663" s="475">
        <f t="shared" si="117"/>
        <v>101660</v>
      </c>
    </row>
    <row r="1664" spans="7:14" ht="11.25" customHeight="1" x14ac:dyDescent="0.3">
      <c r="G1664" s="470"/>
      <c r="H1664" s="470">
        <v>1657</v>
      </c>
      <c r="I1664" s="455">
        <f t="shared" ca="1" si="115"/>
        <v>-419549155.63958031</v>
      </c>
      <c r="J1664" s="455">
        <f t="array" ref="J1664">IFERROR(INDEX('Retirement Calculator'!K:K,MATCH('Lorri 401b'!N1664,'Retirement Calculator'!A:A,0),0),0)</f>
        <v>0</v>
      </c>
      <c r="K1664" s="455">
        <f t="shared" ca="1" si="113"/>
        <v>-1748121.4818315846</v>
      </c>
      <c r="L1664" s="455">
        <f t="shared" ca="1" si="114"/>
        <v>-421297277.12141192</v>
      </c>
      <c r="M1664" s="471">
        <f t="shared" si="116"/>
        <v>0.05</v>
      </c>
      <c r="N1664" s="475">
        <f t="shared" si="117"/>
        <v>101691</v>
      </c>
    </row>
    <row r="1665" spans="7:14" ht="11.25" customHeight="1" x14ac:dyDescent="0.3">
      <c r="G1665" s="470"/>
      <c r="H1665" s="470">
        <v>1658</v>
      </c>
      <c r="I1665" s="455">
        <f t="shared" ca="1" si="115"/>
        <v>-421297277.12141192</v>
      </c>
      <c r="J1665" s="455">
        <f t="array" ref="J1665">IFERROR(INDEX('Retirement Calculator'!K:K,MATCH('Lorri 401b'!N1665,'Retirement Calculator'!A:A,0),0),0)</f>
        <v>0</v>
      </c>
      <c r="K1665" s="455">
        <f t="shared" ca="1" si="113"/>
        <v>-1755405.3213392163</v>
      </c>
      <c r="L1665" s="455">
        <f t="shared" ca="1" si="114"/>
        <v>-423052682.44275111</v>
      </c>
      <c r="M1665" s="471">
        <f t="shared" si="116"/>
        <v>0.05</v>
      </c>
      <c r="N1665" s="475">
        <f t="shared" si="117"/>
        <v>101721</v>
      </c>
    </row>
    <row r="1666" spans="7:14" ht="11.25" customHeight="1" x14ac:dyDescent="0.3">
      <c r="G1666" s="470"/>
      <c r="H1666" s="470">
        <v>1659</v>
      </c>
      <c r="I1666" s="455">
        <f t="shared" ca="1" si="115"/>
        <v>-423052682.44275111</v>
      </c>
      <c r="J1666" s="455">
        <f t="array" ref="J1666">IFERROR(INDEX('Retirement Calculator'!K:K,MATCH('Lorri 401b'!N1666,'Retirement Calculator'!A:A,0),0),0)</f>
        <v>0</v>
      </c>
      <c r="K1666" s="455">
        <f t="shared" ca="1" si="113"/>
        <v>-1762719.5101781294</v>
      </c>
      <c r="L1666" s="455">
        <f t="shared" ca="1" si="114"/>
        <v>-424815401.95292926</v>
      </c>
      <c r="M1666" s="471">
        <f t="shared" si="116"/>
        <v>0.05</v>
      </c>
      <c r="N1666" s="475">
        <f t="shared" si="117"/>
        <v>101752</v>
      </c>
    </row>
    <row r="1667" spans="7:14" ht="11.25" customHeight="1" x14ac:dyDescent="0.3">
      <c r="G1667" s="470"/>
      <c r="H1667" s="470">
        <v>1660</v>
      </c>
      <c r="I1667" s="455">
        <f t="shared" ca="1" si="115"/>
        <v>-424815401.95292926</v>
      </c>
      <c r="J1667" s="455">
        <f t="array" ref="J1667">IFERROR(INDEX('Retirement Calculator'!K:K,MATCH('Lorri 401b'!N1667,'Retirement Calculator'!A:A,0),0),0)</f>
        <v>0</v>
      </c>
      <c r="K1667" s="455">
        <f t="shared" ca="1" si="113"/>
        <v>-1770064.1748038719</v>
      </c>
      <c r="L1667" s="455">
        <f t="shared" ca="1" si="114"/>
        <v>-426585466.12773311</v>
      </c>
      <c r="M1667" s="471">
        <f t="shared" si="116"/>
        <v>0.05</v>
      </c>
      <c r="N1667" s="475">
        <f t="shared" si="117"/>
        <v>101783</v>
      </c>
    </row>
    <row r="1668" spans="7:14" ht="11.25" customHeight="1" x14ac:dyDescent="0.3">
      <c r="G1668" s="470"/>
      <c r="H1668" s="470">
        <v>1661</v>
      </c>
      <c r="I1668" s="455">
        <f t="shared" ca="1" si="115"/>
        <v>-426585466.12773311</v>
      </c>
      <c r="J1668" s="455">
        <f t="array" ref="J1668">IFERROR(INDEX('Retirement Calculator'!K:K,MATCH('Lorri 401b'!N1668,'Retirement Calculator'!A:A,0),0),0)</f>
        <v>0</v>
      </c>
      <c r="K1668" s="455">
        <f t="shared" ca="1" si="113"/>
        <v>-1777439.4421988882</v>
      </c>
      <c r="L1668" s="455">
        <f t="shared" ca="1" si="114"/>
        <v>-428362905.56993198</v>
      </c>
      <c r="M1668" s="471">
        <f t="shared" si="116"/>
        <v>0.05</v>
      </c>
      <c r="N1668" s="475">
        <f t="shared" si="117"/>
        <v>101813</v>
      </c>
    </row>
    <row r="1669" spans="7:14" ht="11.25" customHeight="1" x14ac:dyDescent="0.3">
      <c r="G1669" s="470"/>
      <c r="H1669" s="470">
        <v>1662</v>
      </c>
      <c r="I1669" s="455">
        <f t="shared" ca="1" si="115"/>
        <v>-428362905.56993198</v>
      </c>
      <c r="J1669" s="455">
        <f t="array" ref="J1669">IFERROR(INDEX('Retirement Calculator'!K:K,MATCH('Lorri 401b'!N1669,'Retirement Calculator'!A:A,0),0),0)</f>
        <v>0</v>
      </c>
      <c r="K1669" s="455">
        <f t="shared" ca="1" si="113"/>
        <v>-1784845.4398747163</v>
      </c>
      <c r="L1669" s="455">
        <f t="shared" ca="1" si="114"/>
        <v>-430147751.00980669</v>
      </c>
      <c r="M1669" s="471">
        <f t="shared" si="116"/>
        <v>0.05</v>
      </c>
      <c r="N1669" s="475">
        <f t="shared" si="117"/>
        <v>101844</v>
      </c>
    </row>
    <row r="1670" spans="7:14" ht="11.25" customHeight="1" x14ac:dyDescent="0.3">
      <c r="G1670" s="470"/>
      <c r="H1670" s="470">
        <v>1663</v>
      </c>
      <c r="I1670" s="455">
        <f t="shared" ca="1" si="115"/>
        <v>-430147751.00980669</v>
      </c>
      <c r="J1670" s="455">
        <f t="array" ref="J1670">IFERROR(INDEX('Retirement Calculator'!K:K,MATCH('Lorri 401b'!N1670,'Retirement Calculator'!A:A,0),0),0)</f>
        <v>0</v>
      </c>
      <c r="K1670" s="455">
        <f t="shared" ca="1" si="113"/>
        <v>-1792282.2958741945</v>
      </c>
      <c r="L1670" s="455">
        <f t="shared" ca="1" si="114"/>
        <v>-431940033.30568087</v>
      </c>
      <c r="M1670" s="471">
        <f t="shared" si="116"/>
        <v>0.05</v>
      </c>
      <c r="N1670" s="475">
        <f t="shared" si="117"/>
        <v>101874</v>
      </c>
    </row>
    <row r="1671" spans="7:14" ht="11.25" customHeight="1" x14ac:dyDescent="0.3">
      <c r="G1671" s="470"/>
      <c r="H1671" s="470">
        <v>1664</v>
      </c>
      <c r="I1671" s="455">
        <f t="shared" ca="1" si="115"/>
        <v>-431940033.30568087</v>
      </c>
      <c r="J1671" s="455">
        <f t="array" ref="J1671">IFERROR(INDEX('Retirement Calculator'!K:K,MATCH('Lorri 401b'!N1671,'Retirement Calculator'!A:A,0),0),0)</f>
        <v>0</v>
      </c>
      <c r="K1671" s="455">
        <f t="shared" ca="1" si="113"/>
        <v>-1799750.1387736702</v>
      </c>
      <c r="L1671" s="455">
        <f t="shared" ca="1" si="114"/>
        <v>-433739783.44445455</v>
      </c>
      <c r="M1671" s="471">
        <f t="shared" si="116"/>
        <v>0.05</v>
      </c>
      <c r="N1671" s="475">
        <f t="shared" si="117"/>
        <v>101905</v>
      </c>
    </row>
    <row r="1672" spans="7:14" ht="11.25" customHeight="1" x14ac:dyDescent="0.3">
      <c r="G1672" s="470"/>
      <c r="H1672" s="470">
        <v>1665</v>
      </c>
      <c r="I1672" s="455">
        <f t="shared" ca="1" si="115"/>
        <v>-433739783.44445455</v>
      </c>
      <c r="J1672" s="455">
        <f t="array" ref="J1672">IFERROR(INDEX('Retirement Calculator'!K:K,MATCH('Lorri 401b'!N1672,'Retirement Calculator'!A:A,0),0),0)</f>
        <v>0</v>
      </c>
      <c r="K1672" s="455">
        <f t="shared" ca="1" si="113"/>
        <v>-1807249.0976852272</v>
      </c>
      <c r="L1672" s="455">
        <f t="shared" ca="1" si="114"/>
        <v>-435547032.54213977</v>
      </c>
      <c r="M1672" s="471">
        <f t="shared" si="116"/>
        <v>0.05</v>
      </c>
      <c r="N1672" s="475">
        <f t="shared" si="117"/>
        <v>101936</v>
      </c>
    </row>
    <row r="1673" spans="7:14" ht="11.25" customHeight="1" x14ac:dyDescent="0.3">
      <c r="G1673" s="470"/>
      <c r="H1673" s="470">
        <v>1666</v>
      </c>
      <c r="I1673" s="455">
        <f t="shared" ca="1" si="115"/>
        <v>-435547032.54213977</v>
      </c>
      <c r="J1673" s="455">
        <f t="array" ref="J1673">IFERROR(INDEX('Retirement Calculator'!K:K,MATCH('Lorri 401b'!N1673,'Retirement Calculator'!A:A,0),0),0)</f>
        <v>0</v>
      </c>
      <c r="K1673" s="455">
        <f t="shared" ca="1" si="113"/>
        <v>-1814779.302258916</v>
      </c>
      <c r="L1673" s="455">
        <f t="shared" ca="1" si="114"/>
        <v>-437361811.84439868</v>
      </c>
      <c r="M1673" s="471">
        <f t="shared" si="116"/>
        <v>0.05</v>
      </c>
      <c r="N1673" s="475">
        <f t="shared" si="117"/>
        <v>101964</v>
      </c>
    </row>
    <row r="1674" spans="7:14" ht="11.25" customHeight="1" x14ac:dyDescent="0.3">
      <c r="G1674" s="470"/>
      <c r="H1674" s="470">
        <v>1667</v>
      </c>
      <c r="I1674" s="455">
        <f t="shared" ca="1" si="115"/>
        <v>-437361811.84439868</v>
      </c>
      <c r="J1674" s="455">
        <f t="array" ref="J1674">IFERROR(INDEX('Retirement Calculator'!K:K,MATCH('Lorri 401b'!N1674,'Retirement Calculator'!A:A,0),0),0)</f>
        <v>0</v>
      </c>
      <c r="K1674" s="455">
        <f t="shared" ca="1" si="113"/>
        <v>-1822340.8826849947</v>
      </c>
      <c r="L1674" s="455">
        <f t="shared" ca="1" si="114"/>
        <v>-439184152.72708368</v>
      </c>
      <c r="M1674" s="471">
        <f t="shared" si="116"/>
        <v>0.05</v>
      </c>
      <c r="N1674" s="475">
        <f t="shared" si="117"/>
        <v>101995</v>
      </c>
    </row>
    <row r="1675" spans="7:14" ht="11.25" customHeight="1" x14ac:dyDescent="0.3">
      <c r="G1675" s="470"/>
      <c r="H1675" s="470">
        <v>1668</v>
      </c>
      <c r="I1675" s="455">
        <f t="shared" ca="1" si="115"/>
        <v>-439184152.72708368</v>
      </c>
      <c r="J1675" s="455">
        <f t="array" ref="J1675">IFERROR(INDEX('Retirement Calculator'!K:K,MATCH('Lorri 401b'!N1675,'Retirement Calculator'!A:A,0),0),0)</f>
        <v>0</v>
      </c>
      <c r="K1675" s="455">
        <f t="shared" ca="1" si="113"/>
        <v>-1829933.9696961821</v>
      </c>
      <c r="L1675" s="455">
        <f t="shared" ca="1" si="114"/>
        <v>-441014086.69677985</v>
      </c>
      <c r="M1675" s="471">
        <f t="shared" si="116"/>
        <v>0.05</v>
      </c>
      <c r="N1675" s="475">
        <f t="shared" si="117"/>
        <v>102025</v>
      </c>
    </row>
    <row r="1676" spans="7:14" ht="11.25" customHeight="1" x14ac:dyDescent="0.3">
      <c r="G1676" s="470"/>
      <c r="H1676" s="470">
        <v>1669</v>
      </c>
      <c r="I1676" s="455">
        <f t="shared" ca="1" si="115"/>
        <v>-441014086.69677985</v>
      </c>
      <c r="J1676" s="455">
        <f t="array" ref="J1676">IFERROR(INDEX('Retirement Calculator'!K:K,MATCH('Lorri 401b'!N1676,'Retirement Calculator'!A:A,0),0),0)</f>
        <v>0</v>
      </c>
      <c r="K1676" s="455">
        <f t="shared" ca="1" si="113"/>
        <v>-1837558.694569916</v>
      </c>
      <c r="L1676" s="455">
        <f t="shared" ca="1" si="114"/>
        <v>-442851645.39134979</v>
      </c>
      <c r="M1676" s="471">
        <f t="shared" si="116"/>
        <v>0.05</v>
      </c>
      <c r="N1676" s="475">
        <f t="shared" si="117"/>
        <v>102056</v>
      </c>
    </row>
    <row r="1677" spans="7:14" ht="11.25" customHeight="1" x14ac:dyDescent="0.3">
      <c r="G1677" s="470"/>
      <c r="H1677" s="470">
        <v>1670</v>
      </c>
      <c r="I1677" s="455">
        <f t="shared" ca="1" si="115"/>
        <v>-442851645.39134979</v>
      </c>
      <c r="J1677" s="455">
        <f t="array" ref="J1677">IFERROR(INDEX('Retirement Calculator'!K:K,MATCH('Lorri 401b'!N1677,'Retirement Calculator'!A:A,0),0),0)</f>
        <v>0</v>
      </c>
      <c r="K1677" s="455">
        <f t="shared" ca="1" si="113"/>
        <v>-1845215.1891306238</v>
      </c>
      <c r="L1677" s="455">
        <f t="shared" ca="1" si="114"/>
        <v>-444696860.5804804</v>
      </c>
      <c r="M1677" s="471">
        <f t="shared" si="116"/>
        <v>0.05</v>
      </c>
      <c r="N1677" s="475">
        <f t="shared" si="117"/>
        <v>102086</v>
      </c>
    </row>
    <row r="1678" spans="7:14" ht="11.25" customHeight="1" x14ac:dyDescent="0.3">
      <c r="G1678" s="470"/>
      <c r="H1678" s="470">
        <v>1671</v>
      </c>
      <c r="I1678" s="455">
        <f t="shared" ca="1" si="115"/>
        <v>-444696860.5804804</v>
      </c>
      <c r="J1678" s="455">
        <f t="array" ref="J1678">IFERROR(INDEX('Retirement Calculator'!K:K,MATCH('Lorri 401b'!N1678,'Retirement Calculator'!A:A,0),0),0)</f>
        <v>0</v>
      </c>
      <c r="K1678" s="455">
        <f t="shared" ca="1" si="113"/>
        <v>-1852903.5857520017</v>
      </c>
      <c r="L1678" s="455">
        <f t="shared" ca="1" si="114"/>
        <v>-446549764.16623241</v>
      </c>
      <c r="M1678" s="471">
        <f t="shared" si="116"/>
        <v>0.05</v>
      </c>
      <c r="N1678" s="475">
        <f t="shared" si="117"/>
        <v>102117</v>
      </c>
    </row>
    <row r="1679" spans="7:14" ht="11.25" customHeight="1" x14ac:dyDescent="0.3">
      <c r="G1679" s="470"/>
      <c r="H1679" s="470">
        <v>1672</v>
      </c>
      <c r="I1679" s="455">
        <f t="shared" ca="1" si="115"/>
        <v>-446549764.16623241</v>
      </c>
      <c r="J1679" s="455">
        <f t="array" ref="J1679">IFERROR(INDEX('Retirement Calculator'!K:K,MATCH('Lorri 401b'!N1679,'Retirement Calculator'!A:A,0),0),0)</f>
        <v>0</v>
      </c>
      <c r="K1679" s="455">
        <f t="shared" ca="1" si="113"/>
        <v>-1860624.0173593017</v>
      </c>
      <c r="L1679" s="455">
        <f t="shared" ca="1" si="114"/>
        <v>-448410388.18359172</v>
      </c>
      <c r="M1679" s="471">
        <f t="shared" si="116"/>
        <v>0.05</v>
      </c>
      <c r="N1679" s="475">
        <f t="shared" si="117"/>
        <v>102148</v>
      </c>
    </row>
    <row r="1680" spans="7:14" ht="11.25" customHeight="1" x14ac:dyDescent="0.3">
      <c r="G1680" s="470"/>
      <c r="H1680" s="470">
        <v>1673</v>
      </c>
      <c r="I1680" s="455">
        <f t="shared" ca="1" si="115"/>
        <v>-448410388.18359172</v>
      </c>
      <c r="J1680" s="455">
        <f t="array" ref="J1680">IFERROR(INDEX('Retirement Calculator'!K:K,MATCH('Lorri 401b'!N1680,'Retirement Calculator'!A:A,0),0),0)</f>
        <v>0</v>
      </c>
      <c r="K1680" s="455">
        <f t="shared" ca="1" si="113"/>
        <v>-1868376.617431632</v>
      </c>
      <c r="L1680" s="455">
        <f t="shared" ca="1" si="114"/>
        <v>-450278764.80102336</v>
      </c>
      <c r="M1680" s="471">
        <f t="shared" si="116"/>
        <v>0.05</v>
      </c>
      <c r="N1680" s="475">
        <f t="shared" si="117"/>
        <v>102178</v>
      </c>
    </row>
    <row r="1681" spans="7:14" ht="11.25" customHeight="1" x14ac:dyDescent="0.3">
      <c r="G1681" s="470"/>
      <c r="H1681" s="470">
        <v>1674</v>
      </c>
      <c r="I1681" s="455">
        <f t="shared" ca="1" si="115"/>
        <v>-450278764.80102336</v>
      </c>
      <c r="J1681" s="455">
        <f t="array" ref="J1681">IFERROR(INDEX('Retirement Calculator'!K:K,MATCH('Lorri 401b'!N1681,'Retirement Calculator'!A:A,0),0),0)</f>
        <v>0</v>
      </c>
      <c r="K1681" s="455">
        <f t="shared" ca="1" si="113"/>
        <v>-1876161.5200042638</v>
      </c>
      <c r="L1681" s="455">
        <f t="shared" ca="1" si="114"/>
        <v>-452154926.32102764</v>
      </c>
      <c r="M1681" s="471">
        <f t="shared" si="116"/>
        <v>0.05</v>
      </c>
      <c r="N1681" s="475">
        <f t="shared" si="117"/>
        <v>102209</v>
      </c>
    </row>
    <row r="1682" spans="7:14" ht="11.25" customHeight="1" x14ac:dyDescent="0.3">
      <c r="G1682" s="470"/>
      <c r="H1682" s="470">
        <v>1675</v>
      </c>
      <c r="I1682" s="455">
        <f t="shared" ca="1" si="115"/>
        <v>-452154926.32102764</v>
      </c>
      <c r="J1682" s="455">
        <f t="array" ref="J1682">IFERROR(INDEX('Retirement Calculator'!K:K,MATCH('Lorri 401b'!N1682,'Retirement Calculator'!A:A,0),0),0)</f>
        <v>0</v>
      </c>
      <c r="K1682" s="455">
        <f t="shared" ca="1" si="113"/>
        <v>-1883978.8596709485</v>
      </c>
      <c r="L1682" s="455">
        <f t="shared" ca="1" si="114"/>
        <v>-454038905.18069857</v>
      </c>
      <c r="M1682" s="471">
        <f t="shared" si="116"/>
        <v>0.05</v>
      </c>
      <c r="N1682" s="475">
        <f t="shared" si="117"/>
        <v>102239</v>
      </c>
    </row>
    <row r="1683" spans="7:14" ht="11.25" customHeight="1" x14ac:dyDescent="0.3">
      <c r="G1683" s="470"/>
      <c r="H1683" s="470">
        <v>1676</v>
      </c>
      <c r="I1683" s="455">
        <f t="shared" ca="1" si="115"/>
        <v>-454038905.18069857</v>
      </c>
      <c r="J1683" s="455">
        <f t="array" ref="J1683">IFERROR(INDEX('Retirement Calculator'!K:K,MATCH('Lorri 401b'!N1683,'Retirement Calculator'!A:A,0),0),0)</f>
        <v>0</v>
      </c>
      <c r="K1683" s="455">
        <f t="shared" ca="1" si="113"/>
        <v>-1891828.771586244</v>
      </c>
      <c r="L1683" s="455">
        <f t="shared" ca="1" si="114"/>
        <v>-455930733.95228481</v>
      </c>
      <c r="M1683" s="471">
        <f t="shared" si="116"/>
        <v>0.05</v>
      </c>
      <c r="N1683" s="475">
        <f t="shared" si="117"/>
        <v>102270</v>
      </c>
    </row>
    <row r="1684" spans="7:14" ht="11.25" customHeight="1" x14ac:dyDescent="0.3">
      <c r="G1684" s="470"/>
      <c r="H1684" s="470">
        <v>1677</v>
      </c>
      <c r="I1684" s="455">
        <f t="shared" ca="1" si="115"/>
        <v>-455930733.95228481</v>
      </c>
      <c r="J1684" s="455">
        <f t="array" ref="J1684">IFERROR(INDEX('Retirement Calculator'!K:K,MATCH('Lorri 401b'!N1684,'Retirement Calculator'!A:A,0),0),0)</f>
        <v>0</v>
      </c>
      <c r="K1684" s="455">
        <f t="shared" ca="1" si="113"/>
        <v>-1899711.3914678534</v>
      </c>
      <c r="L1684" s="455">
        <f t="shared" ca="1" si="114"/>
        <v>-457830445.34375268</v>
      </c>
      <c r="M1684" s="471">
        <f t="shared" si="116"/>
        <v>0.05</v>
      </c>
      <c r="N1684" s="475">
        <f t="shared" si="117"/>
        <v>102301</v>
      </c>
    </row>
    <row r="1685" spans="7:14" ht="11.25" customHeight="1" x14ac:dyDescent="0.3">
      <c r="G1685" s="470"/>
      <c r="H1685" s="470">
        <v>1678</v>
      </c>
      <c r="I1685" s="455">
        <f t="shared" ca="1" si="115"/>
        <v>-457830445.34375268</v>
      </c>
      <c r="J1685" s="455">
        <f t="array" ref="J1685">IFERROR(INDEX('Retirement Calculator'!K:K,MATCH('Lorri 401b'!N1685,'Retirement Calculator'!A:A,0),0),0)</f>
        <v>0</v>
      </c>
      <c r="K1685" s="455">
        <f t="shared" ca="1" si="113"/>
        <v>-1907626.8555989692</v>
      </c>
      <c r="L1685" s="455">
        <f t="shared" ca="1" si="114"/>
        <v>-459738072.19935167</v>
      </c>
      <c r="M1685" s="471">
        <f t="shared" si="116"/>
        <v>0.05</v>
      </c>
      <c r="N1685" s="475">
        <f t="shared" si="117"/>
        <v>102330</v>
      </c>
    </row>
    <row r="1686" spans="7:14" ht="11.25" customHeight="1" x14ac:dyDescent="0.3">
      <c r="G1686" s="470"/>
      <c r="H1686" s="470">
        <v>1679</v>
      </c>
      <c r="I1686" s="455">
        <f t="shared" ca="1" si="115"/>
        <v>-459738072.19935167</v>
      </c>
      <c r="J1686" s="455">
        <f t="array" ref="J1686">IFERROR(INDEX('Retirement Calculator'!K:K,MATCH('Lorri 401b'!N1686,'Retirement Calculator'!A:A,0),0),0)</f>
        <v>0</v>
      </c>
      <c r="K1686" s="455">
        <f t="shared" ca="1" si="113"/>
        <v>-1915575.300830632</v>
      </c>
      <c r="L1686" s="455">
        <f t="shared" ca="1" si="114"/>
        <v>-461653647.50018227</v>
      </c>
      <c r="M1686" s="471">
        <f t="shared" si="116"/>
        <v>0.05</v>
      </c>
      <c r="N1686" s="475">
        <f t="shared" si="117"/>
        <v>102361</v>
      </c>
    </row>
    <row r="1687" spans="7:14" ht="11.25" customHeight="1" x14ac:dyDescent="0.3">
      <c r="G1687" s="470"/>
      <c r="H1687" s="470">
        <v>1680</v>
      </c>
      <c r="I1687" s="455">
        <f t="shared" ca="1" si="115"/>
        <v>-461653647.50018227</v>
      </c>
      <c r="J1687" s="455">
        <f t="array" ref="J1687">IFERROR(INDEX('Retirement Calculator'!K:K,MATCH('Lorri 401b'!N1687,'Retirement Calculator'!A:A,0),0),0)</f>
        <v>0</v>
      </c>
      <c r="K1687" s="455">
        <f t="shared" ca="1" si="113"/>
        <v>-1923556.8645840927</v>
      </c>
      <c r="L1687" s="455">
        <f t="shared" ca="1" si="114"/>
        <v>-463577204.36476636</v>
      </c>
      <c r="M1687" s="471">
        <f t="shared" si="116"/>
        <v>0.05</v>
      </c>
      <c r="N1687" s="475">
        <f t="shared" si="117"/>
        <v>102391</v>
      </c>
    </row>
    <row r="1688" spans="7:14" ht="11.25" customHeight="1" x14ac:dyDescent="0.3">
      <c r="G1688" s="470"/>
      <c r="H1688" s="470">
        <v>1681</v>
      </c>
      <c r="I1688" s="455">
        <f t="shared" ca="1" si="115"/>
        <v>-463577204.36476636</v>
      </c>
      <c r="J1688" s="455">
        <f t="array" ref="J1688">IFERROR(INDEX('Retirement Calculator'!K:K,MATCH('Lorri 401b'!N1688,'Retirement Calculator'!A:A,0),0),0)</f>
        <v>0</v>
      </c>
      <c r="K1688" s="455">
        <f t="shared" ca="1" si="113"/>
        <v>-1931571.6848531931</v>
      </c>
      <c r="L1688" s="455">
        <f t="shared" ca="1" si="114"/>
        <v>-465508776.04961956</v>
      </c>
      <c r="M1688" s="471">
        <f t="shared" si="116"/>
        <v>0.05</v>
      </c>
      <c r="N1688" s="475">
        <f t="shared" si="117"/>
        <v>102422</v>
      </c>
    </row>
    <row r="1689" spans="7:14" ht="11.25" customHeight="1" x14ac:dyDescent="0.3">
      <c r="G1689" s="470"/>
      <c r="H1689" s="470">
        <v>1682</v>
      </c>
      <c r="I1689" s="455">
        <f t="shared" ca="1" si="115"/>
        <v>-465508776.04961956</v>
      </c>
      <c r="J1689" s="455">
        <f t="array" ref="J1689">IFERROR(INDEX('Retirement Calculator'!K:K,MATCH('Lorri 401b'!N1689,'Retirement Calculator'!A:A,0),0),0)</f>
        <v>0</v>
      </c>
      <c r="K1689" s="455">
        <f t="shared" ca="1" si="113"/>
        <v>-1939619.9002067484</v>
      </c>
      <c r="L1689" s="455">
        <f t="shared" ca="1" si="114"/>
        <v>-467448395.9498263</v>
      </c>
      <c r="M1689" s="471">
        <f t="shared" si="116"/>
        <v>0.05</v>
      </c>
      <c r="N1689" s="475">
        <f t="shared" si="117"/>
        <v>102452</v>
      </c>
    </row>
    <row r="1690" spans="7:14" ht="11.25" customHeight="1" x14ac:dyDescent="0.3">
      <c r="G1690" s="470"/>
      <c r="H1690" s="470">
        <v>1683</v>
      </c>
      <c r="I1690" s="455">
        <f t="shared" ca="1" si="115"/>
        <v>-467448395.9498263</v>
      </c>
      <c r="J1690" s="455">
        <f t="array" ref="J1690">IFERROR(INDEX('Retirement Calculator'!K:K,MATCH('Lorri 401b'!N1690,'Retirement Calculator'!A:A,0),0),0)</f>
        <v>0</v>
      </c>
      <c r="K1690" s="455">
        <f t="shared" ca="1" si="113"/>
        <v>-1947701.6497909429</v>
      </c>
      <c r="L1690" s="455">
        <f t="shared" ca="1" si="114"/>
        <v>-469396097.59961724</v>
      </c>
      <c r="M1690" s="471">
        <f t="shared" si="116"/>
        <v>0.05</v>
      </c>
      <c r="N1690" s="475">
        <f t="shared" si="117"/>
        <v>102483</v>
      </c>
    </row>
    <row r="1691" spans="7:14" ht="11.25" customHeight="1" x14ac:dyDescent="0.3">
      <c r="G1691" s="470"/>
      <c r="H1691" s="470">
        <v>1684</v>
      </c>
      <c r="I1691" s="455">
        <f t="shared" ca="1" si="115"/>
        <v>-469396097.59961724</v>
      </c>
      <c r="J1691" s="455">
        <f t="array" ref="J1691">IFERROR(INDEX('Retirement Calculator'!K:K,MATCH('Lorri 401b'!N1691,'Retirement Calculator'!A:A,0),0),0)</f>
        <v>0</v>
      </c>
      <c r="K1691" s="455">
        <f t="shared" ca="1" si="113"/>
        <v>-1955817.0733317381</v>
      </c>
      <c r="L1691" s="455">
        <f t="shared" ca="1" si="114"/>
        <v>-471351914.67294896</v>
      </c>
      <c r="M1691" s="471">
        <f t="shared" si="116"/>
        <v>0.05</v>
      </c>
      <c r="N1691" s="475">
        <f t="shared" si="117"/>
        <v>102514</v>
      </c>
    </row>
    <row r="1692" spans="7:14" ht="11.25" customHeight="1" x14ac:dyDescent="0.3">
      <c r="G1692" s="470"/>
      <c r="H1692" s="470">
        <v>1685</v>
      </c>
      <c r="I1692" s="455">
        <f t="shared" ca="1" si="115"/>
        <v>-471351914.67294896</v>
      </c>
      <c r="J1692" s="455">
        <f t="array" ref="J1692">IFERROR(INDEX('Retirement Calculator'!K:K,MATCH('Lorri 401b'!N1692,'Retirement Calculator'!A:A,0),0),0)</f>
        <v>0</v>
      </c>
      <c r="K1692" s="455">
        <f t="shared" ca="1" si="113"/>
        <v>-1963966.3111372872</v>
      </c>
      <c r="L1692" s="455">
        <f t="shared" ca="1" si="114"/>
        <v>-473315880.98408622</v>
      </c>
      <c r="M1692" s="471">
        <f t="shared" si="116"/>
        <v>0.05</v>
      </c>
      <c r="N1692" s="475">
        <f t="shared" si="117"/>
        <v>102544</v>
      </c>
    </row>
    <row r="1693" spans="7:14" ht="11.25" customHeight="1" x14ac:dyDescent="0.3">
      <c r="G1693" s="470"/>
      <c r="H1693" s="470">
        <v>1686</v>
      </c>
      <c r="I1693" s="455">
        <f t="shared" ca="1" si="115"/>
        <v>-473315880.98408622</v>
      </c>
      <c r="J1693" s="455">
        <f t="array" ref="J1693">IFERROR(INDEX('Retirement Calculator'!K:K,MATCH('Lorri 401b'!N1693,'Retirement Calculator'!A:A,0),0),0)</f>
        <v>0</v>
      </c>
      <c r="K1693" s="455">
        <f t="shared" ca="1" si="113"/>
        <v>-1972149.504100359</v>
      </c>
      <c r="L1693" s="455">
        <f t="shared" ca="1" si="114"/>
        <v>-475288030.4881866</v>
      </c>
      <c r="M1693" s="471">
        <f t="shared" si="116"/>
        <v>0.05</v>
      </c>
      <c r="N1693" s="475">
        <f t="shared" si="117"/>
        <v>102575</v>
      </c>
    </row>
    <row r="1694" spans="7:14" ht="11.25" customHeight="1" x14ac:dyDescent="0.3">
      <c r="G1694" s="470"/>
      <c r="H1694" s="470">
        <v>1687</v>
      </c>
      <c r="I1694" s="455">
        <f t="shared" ca="1" si="115"/>
        <v>-475288030.4881866</v>
      </c>
      <c r="J1694" s="455">
        <f t="array" ref="J1694">IFERROR(INDEX('Retirement Calculator'!K:K,MATCH('Lorri 401b'!N1694,'Retirement Calculator'!A:A,0),0),0)</f>
        <v>0</v>
      </c>
      <c r="K1694" s="455">
        <f t="shared" ca="1" si="113"/>
        <v>-1980366.7937007775</v>
      </c>
      <c r="L1694" s="455">
        <f t="shared" ca="1" si="114"/>
        <v>-477268397.28188735</v>
      </c>
      <c r="M1694" s="471">
        <f t="shared" si="116"/>
        <v>0.05</v>
      </c>
      <c r="N1694" s="475">
        <f t="shared" si="117"/>
        <v>102605</v>
      </c>
    </row>
    <row r="1695" spans="7:14" ht="11.25" customHeight="1" x14ac:dyDescent="0.3">
      <c r="G1695" s="470"/>
      <c r="H1695" s="470">
        <v>1688</v>
      </c>
      <c r="I1695" s="455">
        <f t="shared" ca="1" si="115"/>
        <v>-477268397.28188735</v>
      </c>
      <c r="J1695" s="455">
        <f t="array" ref="J1695">IFERROR(INDEX('Retirement Calculator'!K:K,MATCH('Lorri 401b'!N1695,'Retirement Calculator'!A:A,0),0),0)</f>
        <v>0</v>
      </c>
      <c r="K1695" s="455">
        <f t="shared" ca="1" si="113"/>
        <v>-1988618.322007864</v>
      </c>
      <c r="L1695" s="455">
        <f t="shared" ca="1" si="114"/>
        <v>-479257015.60389519</v>
      </c>
      <c r="M1695" s="471">
        <f t="shared" si="116"/>
        <v>0.05</v>
      </c>
      <c r="N1695" s="475">
        <f t="shared" si="117"/>
        <v>102636</v>
      </c>
    </row>
    <row r="1696" spans="7:14" ht="11.25" customHeight="1" x14ac:dyDescent="0.3">
      <c r="G1696" s="470"/>
      <c r="H1696" s="470">
        <v>1689</v>
      </c>
      <c r="I1696" s="455">
        <f t="shared" ca="1" si="115"/>
        <v>-479257015.60389519</v>
      </c>
      <c r="J1696" s="455">
        <f t="array" ref="J1696">IFERROR(INDEX('Retirement Calculator'!K:K,MATCH('Lorri 401b'!N1696,'Retirement Calculator'!A:A,0),0),0)</f>
        <v>0</v>
      </c>
      <c r="K1696" s="455">
        <f t="shared" ca="1" si="113"/>
        <v>-1996904.2316828966</v>
      </c>
      <c r="L1696" s="455">
        <f t="shared" ca="1" si="114"/>
        <v>-481253919.83557808</v>
      </c>
      <c r="M1696" s="471">
        <f t="shared" si="116"/>
        <v>0.05</v>
      </c>
      <c r="N1696" s="475">
        <f t="shared" si="117"/>
        <v>102667</v>
      </c>
    </row>
    <row r="1697" spans="7:14" ht="11.25" customHeight="1" x14ac:dyDescent="0.3">
      <c r="G1697" s="470"/>
      <c r="H1697" s="470">
        <v>1690</v>
      </c>
      <c r="I1697" s="455">
        <f t="shared" ca="1" si="115"/>
        <v>-481253919.83557808</v>
      </c>
      <c r="J1697" s="455">
        <f t="array" ref="J1697">IFERROR(INDEX('Retirement Calculator'!K:K,MATCH('Lorri 401b'!N1697,'Retirement Calculator'!A:A,0),0),0)</f>
        <v>0</v>
      </c>
      <c r="K1697" s="455">
        <f t="shared" ca="1" si="113"/>
        <v>-2005224.6659815754</v>
      </c>
      <c r="L1697" s="455">
        <f t="shared" ca="1" si="114"/>
        <v>-483259144.50155967</v>
      </c>
      <c r="M1697" s="471">
        <f t="shared" si="116"/>
        <v>0.05</v>
      </c>
      <c r="N1697" s="475">
        <f t="shared" si="117"/>
        <v>102695</v>
      </c>
    </row>
    <row r="1698" spans="7:14" ht="11.25" customHeight="1" x14ac:dyDescent="0.3">
      <c r="G1698" s="470"/>
      <c r="H1698" s="470">
        <v>1691</v>
      </c>
      <c r="I1698" s="455">
        <f t="shared" ca="1" si="115"/>
        <v>-483259144.50155967</v>
      </c>
      <c r="J1698" s="455">
        <f t="array" ref="J1698">IFERROR(INDEX('Retirement Calculator'!K:K,MATCH('Lorri 401b'!N1698,'Retirement Calculator'!A:A,0),0),0)</f>
        <v>0</v>
      </c>
      <c r="K1698" s="455">
        <f t="shared" ca="1" si="113"/>
        <v>-2013579.7687564988</v>
      </c>
      <c r="L1698" s="455">
        <f t="shared" ca="1" si="114"/>
        <v>-485272724.27031618</v>
      </c>
      <c r="M1698" s="471">
        <f t="shared" si="116"/>
        <v>0.05</v>
      </c>
      <c r="N1698" s="475">
        <f t="shared" si="117"/>
        <v>102726</v>
      </c>
    </row>
    <row r="1699" spans="7:14" ht="11.25" customHeight="1" x14ac:dyDescent="0.3">
      <c r="G1699" s="470"/>
      <c r="H1699" s="470">
        <v>1692</v>
      </c>
      <c r="I1699" s="455">
        <f t="shared" ca="1" si="115"/>
        <v>-485272724.27031618</v>
      </c>
      <c r="J1699" s="455">
        <f t="array" ref="J1699">IFERROR(INDEX('Retirement Calculator'!K:K,MATCH('Lorri 401b'!N1699,'Retirement Calculator'!A:A,0),0),0)</f>
        <v>0</v>
      </c>
      <c r="K1699" s="455">
        <f t="shared" ca="1" si="113"/>
        <v>-2021969.6844596507</v>
      </c>
      <c r="L1699" s="455">
        <f t="shared" ca="1" si="114"/>
        <v>-487294693.95477581</v>
      </c>
      <c r="M1699" s="471">
        <f t="shared" si="116"/>
        <v>0.05</v>
      </c>
      <c r="N1699" s="475">
        <f t="shared" si="117"/>
        <v>102756</v>
      </c>
    </row>
    <row r="1700" spans="7:14" ht="11.25" customHeight="1" x14ac:dyDescent="0.3">
      <c r="G1700" s="470"/>
      <c r="H1700" s="470">
        <v>1693</v>
      </c>
      <c r="I1700" s="455">
        <f t="shared" ca="1" si="115"/>
        <v>-487294693.95477581</v>
      </c>
      <c r="J1700" s="455">
        <f t="array" ref="J1700">IFERROR(INDEX('Retirement Calculator'!K:K,MATCH('Lorri 401b'!N1700,'Retirement Calculator'!A:A,0),0),0)</f>
        <v>0</v>
      </c>
      <c r="K1700" s="455">
        <f t="shared" ca="1" si="113"/>
        <v>-2030394.5581448993</v>
      </c>
      <c r="L1700" s="455">
        <f t="shared" ca="1" si="114"/>
        <v>-489325088.51292074</v>
      </c>
      <c r="M1700" s="471">
        <f t="shared" si="116"/>
        <v>0.05</v>
      </c>
      <c r="N1700" s="475">
        <f t="shared" si="117"/>
        <v>102787</v>
      </c>
    </row>
    <row r="1701" spans="7:14" ht="11.25" customHeight="1" x14ac:dyDescent="0.3">
      <c r="G1701" s="470"/>
      <c r="H1701" s="470">
        <v>1694</v>
      </c>
      <c r="I1701" s="455">
        <f t="shared" ca="1" si="115"/>
        <v>-489325088.51292074</v>
      </c>
      <c r="J1701" s="455">
        <f t="array" ref="J1701">IFERROR(INDEX('Retirement Calculator'!K:K,MATCH('Lorri 401b'!N1701,'Retirement Calculator'!A:A,0),0),0)</f>
        <v>0</v>
      </c>
      <c r="K1701" s="455">
        <f t="shared" ca="1" si="113"/>
        <v>-2038854.5354705031</v>
      </c>
      <c r="L1701" s="455">
        <f t="shared" ca="1" si="114"/>
        <v>-491363943.04839122</v>
      </c>
      <c r="M1701" s="471">
        <f t="shared" si="116"/>
        <v>0.05</v>
      </c>
      <c r="N1701" s="475">
        <f t="shared" si="117"/>
        <v>102817</v>
      </c>
    </row>
    <row r="1702" spans="7:14" ht="11.25" customHeight="1" x14ac:dyDescent="0.3">
      <c r="G1702" s="470"/>
      <c r="H1702" s="470">
        <v>1695</v>
      </c>
      <c r="I1702" s="455">
        <f t="shared" ca="1" si="115"/>
        <v>-491363943.04839122</v>
      </c>
      <c r="J1702" s="455">
        <f t="array" ref="J1702">IFERROR(INDEX('Retirement Calculator'!K:K,MATCH('Lorri 401b'!N1702,'Retirement Calculator'!A:A,0),0),0)</f>
        <v>0</v>
      </c>
      <c r="K1702" s="455">
        <f t="shared" ca="1" si="113"/>
        <v>-2047349.7627016301</v>
      </c>
      <c r="L1702" s="455">
        <f t="shared" ca="1" si="114"/>
        <v>-493411292.81109285</v>
      </c>
      <c r="M1702" s="471">
        <f t="shared" si="116"/>
        <v>0.05</v>
      </c>
      <c r="N1702" s="475">
        <f t="shared" si="117"/>
        <v>102848</v>
      </c>
    </row>
    <row r="1703" spans="7:14" ht="11.25" customHeight="1" x14ac:dyDescent="0.3">
      <c r="G1703" s="470"/>
      <c r="H1703" s="470">
        <v>1696</v>
      </c>
      <c r="I1703" s="455">
        <f t="shared" ca="1" si="115"/>
        <v>-493411292.81109285</v>
      </c>
      <c r="J1703" s="455">
        <f t="array" ref="J1703">IFERROR(INDEX('Retirement Calculator'!K:K,MATCH('Lorri 401b'!N1703,'Retirement Calculator'!A:A,0),0),0)</f>
        <v>0</v>
      </c>
      <c r="K1703" s="455">
        <f t="shared" ca="1" si="113"/>
        <v>-2055880.3867128869</v>
      </c>
      <c r="L1703" s="455">
        <f t="shared" ca="1" si="114"/>
        <v>-495467173.19780576</v>
      </c>
      <c r="M1703" s="471">
        <f t="shared" si="116"/>
        <v>0.05</v>
      </c>
      <c r="N1703" s="475">
        <f t="shared" si="117"/>
        <v>102879</v>
      </c>
    </row>
    <row r="1704" spans="7:14" ht="11.25" customHeight="1" x14ac:dyDescent="0.3">
      <c r="G1704" s="470"/>
      <c r="H1704" s="470">
        <v>1697</v>
      </c>
      <c r="I1704" s="455">
        <f t="shared" ca="1" si="115"/>
        <v>-495467173.19780576</v>
      </c>
      <c r="J1704" s="455">
        <f t="array" ref="J1704">IFERROR(INDEX('Retirement Calculator'!K:K,MATCH('Lorri 401b'!N1704,'Retirement Calculator'!A:A,0),0),0)</f>
        <v>0</v>
      </c>
      <c r="K1704" s="455">
        <f t="shared" ca="1" si="113"/>
        <v>-2064446.5549908574</v>
      </c>
      <c r="L1704" s="455">
        <f t="shared" ca="1" si="114"/>
        <v>-497531619.75279659</v>
      </c>
      <c r="M1704" s="471">
        <f t="shared" si="116"/>
        <v>0.05</v>
      </c>
      <c r="N1704" s="475">
        <f t="shared" si="117"/>
        <v>102909</v>
      </c>
    </row>
    <row r="1705" spans="7:14" ht="11.25" customHeight="1" x14ac:dyDescent="0.3">
      <c r="G1705" s="470"/>
      <c r="H1705" s="470">
        <v>1698</v>
      </c>
      <c r="I1705" s="455">
        <f t="shared" ca="1" si="115"/>
        <v>-497531619.75279659</v>
      </c>
      <c r="J1705" s="455">
        <f t="array" ref="J1705">IFERROR(INDEX('Retirement Calculator'!K:K,MATCH('Lorri 401b'!N1705,'Retirement Calculator'!A:A,0),0),0)</f>
        <v>0</v>
      </c>
      <c r="K1705" s="455">
        <f t="shared" ca="1" si="113"/>
        <v>-2073048.4156366521</v>
      </c>
      <c r="L1705" s="455">
        <f t="shared" ca="1" si="114"/>
        <v>-499604668.16843325</v>
      </c>
      <c r="M1705" s="471">
        <f t="shared" si="116"/>
        <v>0.05</v>
      </c>
      <c r="N1705" s="475">
        <f t="shared" si="117"/>
        <v>102940</v>
      </c>
    </row>
    <row r="1706" spans="7:14" ht="11.25" customHeight="1" x14ac:dyDescent="0.3">
      <c r="G1706" s="470"/>
      <c r="H1706" s="470">
        <v>1699</v>
      </c>
      <c r="I1706" s="455">
        <f t="shared" ca="1" si="115"/>
        <v>-499604668.16843325</v>
      </c>
      <c r="J1706" s="455">
        <f t="array" ref="J1706">IFERROR(INDEX('Retirement Calculator'!K:K,MATCH('Lorri 401b'!N1706,'Retirement Calculator'!A:A,0),0),0)</f>
        <v>0</v>
      </c>
      <c r="K1706" s="455">
        <f t="shared" ca="1" si="113"/>
        <v>-2081686.1173684718</v>
      </c>
      <c r="L1706" s="455">
        <f t="shared" ca="1" si="114"/>
        <v>-501686354.28580171</v>
      </c>
      <c r="M1706" s="471">
        <f t="shared" si="116"/>
        <v>0.05</v>
      </c>
      <c r="N1706" s="475">
        <f t="shared" si="117"/>
        <v>102970</v>
      </c>
    </row>
    <row r="1707" spans="7:14" ht="11.25" customHeight="1" x14ac:dyDescent="0.3">
      <c r="G1707" s="470"/>
      <c r="H1707" s="470">
        <v>1700</v>
      </c>
      <c r="I1707" s="455">
        <f t="shared" ca="1" si="115"/>
        <v>-501686354.28580171</v>
      </c>
      <c r="J1707" s="455">
        <f t="array" ref="J1707">IFERROR(INDEX('Retirement Calculator'!K:K,MATCH('Lorri 401b'!N1707,'Retirement Calculator'!A:A,0),0),0)</f>
        <v>0</v>
      </c>
      <c r="K1707" s="455">
        <f t="shared" ca="1" si="113"/>
        <v>-2090359.8095241738</v>
      </c>
      <c r="L1707" s="455">
        <f t="shared" ca="1" si="114"/>
        <v>-503776714.09532589</v>
      </c>
      <c r="M1707" s="471">
        <f t="shared" si="116"/>
        <v>0.05</v>
      </c>
      <c r="N1707" s="475">
        <f t="shared" si="117"/>
        <v>103001</v>
      </c>
    </row>
    <row r="1708" spans="7:14" ht="11.25" customHeight="1" x14ac:dyDescent="0.3">
      <c r="G1708" s="470"/>
      <c r="H1708" s="470">
        <v>1701</v>
      </c>
      <c r="I1708" s="455">
        <f t="shared" ca="1" si="115"/>
        <v>-503776714.09532589</v>
      </c>
      <c r="J1708" s="455">
        <f t="array" ref="J1708">IFERROR(INDEX('Retirement Calculator'!K:K,MATCH('Lorri 401b'!N1708,'Retirement Calculator'!A:A,0),0),0)</f>
        <v>0</v>
      </c>
      <c r="K1708" s="455">
        <f t="shared" ca="1" si="113"/>
        <v>-2099069.6420638575</v>
      </c>
      <c r="L1708" s="455">
        <f t="shared" ca="1" si="114"/>
        <v>-505875783.73738974</v>
      </c>
      <c r="M1708" s="471">
        <f t="shared" si="116"/>
        <v>0.05</v>
      </c>
      <c r="N1708" s="475">
        <f t="shared" si="117"/>
        <v>103032</v>
      </c>
    </row>
    <row r="1709" spans="7:14" ht="11.25" customHeight="1" x14ac:dyDescent="0.3">
      <c r="G1709" s="470"/>
      <c r="H1709" s="470">
        <v>1702</v>
      </c>
      <c r="I1709" s="455">
        <f t="shared" ca="1" si="115"/>
        <v>-505875783.73738974</v>
      </c>
      <c r="J1709" s="455">
        <f t="array" ref="J1709">IFERROR(INDEX('Retirement Calculator'!K:K,MATCH('Lorri 401b'!N1709,'Retirement Calculator'!A:A,0),0),0)</f>
        <v>0</v>
      </c>
      <c r="K1709" s="455">
        <f t="shared" ca="1" si="113"/>
        <v>-2107815.7655724576</v>
      </c>
      <c r="L1709" s="455">
        <f t="shared" ca="1" si="114"/>
        <v>-507983599.50296217</v>
      </c>
      <c r="M1709" s="471">
        <f t="shared" si="116"/>
        <v>0.05</v>
      </c>
      <c r="N1709" s="475">
        <f t="shared" si="117"/>
        <v>103060</v>
      </c>
    </row>
    <row r="1710" spans="7:14" ht="11.25" customHeight="1" x14ac:dyDescent="0.3">
      <c r="G1710" s="470"/>
      <c r="H1710" s="470">
        <v>1703</v>
      </c>
      <c r="I1710" s="455">
        <f t="shared" ca="1" si="115"/>
        <v>-507983599.50296217</v>
      </c>
      <c r="J1710" s="455">
        <f t="array" ref="J1710">IFERROR(INDEX('Retirement Calculator'!K:K,MATCH('Lorri 401b'!N1710,'Retirement Calculator'!A:A,0),0),0)</f>
        <v>0</v>
      </c>
      <c r="K1710" s="455">
        <f t="shared" ca="1" si="113"/>
        <v>-2116598.3312623422</v>
      </c>
      <c r="L1710" s="455">
        <f t="shared" ca="1" si="114"/>
        <v>-510100197.83422452</v>
      </c>
      <c r="M1710" s="471">
        <f t="shared" si="116"/>
        <v>0.05</v>
      </c>
      <c r="N1710" s="475">
        <f t="shared" si="117"/>
        <v>103091</v>
      </c>
    </row>
    <row r="1711" spans="7:14" ht="11.25" customHeight="1" x14ac:dyDescent="0.3">
      <c r="G1711" s="470"/>
      <c r="H1711" s="470">
        <v>1704</v>
      </c>
      <c r="I1711" s="455">
        <f t="shared" ca="1" si="115"/>
        <v>-510100197.83422452</v>
      </c>
      <c r="J1711" s="455">
        <f t="array" ref="J1711">IFERROR(INDEX('Retirement Calculator'!K:K,MATCH('Lorri 401b'!N1711,'Retirement Calculator'!A:A,0),0),0)</f>
        <v>0</v>
      </c>
      <c r="K1711" s="455">
        <f t="shared" ca="1" si="113"/>
        <v>-2125417.4909759355</v>
      </c>
      <c r="L1711" s="455">
        <f t="shared" ca="1" si="114"/>
        <v>-512225615.32520044</v>
      </c>
      <c r="M1711" s="471">
        <f t="shared" si="116"/>
        <v>0.05</v>
      </c>
      <c r="N1711" s="475">
        <f t="shared" si="117"/>
        <v>103121</v>
      </c>
    </row>
    <row r="1712" spans="7:14" ht="11.25" customHeight="1" x14ac:dyDescent="0.3">
      <c r="G1712" s="470"/>
      <c r="H1712" s="470">
        <v>1705</v>
      </c>
      <c r="I1712" s="455">
        <f t="shared" ca="1" si="115"/>
        <v>-512225615.32520044</v>
      </c>
      <c r="J1712" s="455">
        <f t="array" ref="J1712">IFERROR(INDEX('Retirement Calculator'!K:K,MATCH('Lorri 401b'!N1712,'Retirement Calculator'!A:A,0),0),0)</f>
        <v>0</v>
      </c>
      <c r="K1712" s="455">
        <f t="shared" ca="1" si="113"/>
        <v>-2134273.3971883352</v>
      </c>
      <c r="L1712" s="455">
        <f t="shared" ca="1" si="114"/>
        <v>-514359888.72238874</v>
      </c>
      <c r="M1712" s="471">
        <f t="shared" si="116"/>
        <v>0.05</v>
      </c>
      <c r="N1712" s="475">
        <f t="shared" si="117"/>
        <v>103152</v>
      </c>
    </row>
    <row r="1713" spans="7:14" ht="11.25" customHeight="1" x14ac:dyDescent="0.3">
      <c r="G1713" s="470"/>
      <c r="H1713" s="470">
        <v>1706</v>
      </c>
      <c r="I1713" s="455">
        <f t="shared" ca="1" si="115"/>
        <v>-514359888.72238874</v>
      </c>
      <c r="J1713" s="455">
        <f t="array" ref="J1713">IFERROR(INDEX('Retirement Calculator'!K:K,MATCH('Lorri 401b'!N1713,'Retirement Calculator'!A:A,0),0),0)</f>
        <v>0</v>
      </c>
      <c r="K1713" s="455">
        <f t="shared" ca="1" si="113"/>
        <v>-2143166.2030099533</v>
      </c>
      <c r="L1713" s="455">
        <f t="shared" ca="1" si="114"/>
        <v>-516503054.92539871</v>
      </c>
      <c r="M1713" s="471">
        <f t="shared" si="116"/>
        <v>0.05</v>
      </c>
      <c r="N1713" s="475">
        <f t="shared" si="117"/>
        <v>103182</v>
      </c>
    </row>
    <row r="1714" spans="7:14" ht="11.25" customHeight="1" x14ac:dyDescent="0.3">
      <c r="G1714" s="470"/>
      <c r="H1714" s="470">
        <v>1707</v>
      </c>
      <c r="I1714" s="455">
        <f t="shared" ca="1" si="115"/>
        <v>-516503054.92539871</v>
      </c>
      <c r="J1714" s="455">
        <f t="array" ref="J1714">IFERROR(INDEX('Retirement Calculator'!K:K,MATCH('Lorri 401b'!N1714,'Retirement Calculator'!A:A,0),0),0)</f>
        <v>0</v>
      </c>
      <c r="K1714" s="455">
        <f t="shared" ca="1" si="113"/>
        <v>-2152096.0621891613</v>
      </c>
      <c r="L1714" s="455">
        <f t="shared" ca="1" si="114"/>
        <v>-518655150.98758787</v>
      </c>
      <c r="M1714" s="471">
        <f t="shared" si="116"/>
        <v>0.05</v>
      </c>
      <c r="N1714" s="475">
        <f t="shared" si="117"/>
        <v>103213</v>
      </c>
    </row>
    <row r="1715" spans="7:14" ht="11.25" customHeight="1" x14ac:dyDescent="0.3">
      <c r="G1715" s="470"/>
      <c r="H1715" s="470">
        <v>1708</v>
      </c>
      <c r="I1715" s="455">
        <f t="shared" ca="1" si="115"/>
        <v>-518655150.98758787</v>
      </c>
      <c r="J1715" s="455">
        <f t="array" ref="J1715">IFERROR(INDEX('Retirement Calculator'!K:K,MATCH('Lorri 401b'!N1715,'Retirement Calculator'!A:A,0),0),0)</f>
        <v>0</v>
      </c>
      <c r="K1715" s="455">
        <f t="shared" ca="1" si="113"/>
        <v>-2161063.1291149496</v>
      </c>
      <c r="L1715" s="455">
        <f t="shared" ca="1" si="114"/>
        <v>-520816214.1167028</v>
      </c>
      <c r="M1715" s="471">
        <f t="shared" si="116"/>
        <v>0.05</v>
      </c>
      <c r="N1715" s="475">
        <f t="shared" si="117"/>
        <v>103244</v>
      </c>
    </row>
    <row r="1716" spans="7:14" ht="11.25" customHeight="1" x14ac:dyDescent="0.3">
      <c r="G1716" s="470"/>
      <c r="H1716" s="470">
        <v>1709</v>
      </c>
      <c r="I1716" s="455">
        <f t="shared" ca="1" si="115"/>
        <v>-520816214.1167028</v>
      </c>
      <c r="J1716" s="455">
        <f t="array" ref="J1716">IFERROR(INDEX('Retirement Calculator'!K:K,MATCH('Lorri 401b'!N1716,'Retirement Calculator'!A:A,0),0),0)</f>
        <v>0</v>
      </c>
      <c r="K1716" s="455">
        <f t="shared" ca="1" si="113"/>
        <v>-2170067.5588195948</v>
      </c>
      <c r="L1716" s="455">
        <f t="shared" ca="1" si="114"/>
        <v>-522986281.67552239</v>
      </c>
      <c r="M1716" s="471">
        <f t="shared" si="116"/>
        <v>0.05</v>
      </c>
      <c r="N1716" s="475">
        <f t="shared" si="117"/>
        <v>103274</v>
      </c>
    </row>
    <row r="1717" spans="7:14" ht="11.25" customHeight="1" x14ac:dyDescent="0.3">
      <c r="G1717" s="470"/>
      <c r="H1717" s="470">
        <v>1710</v>
      </c>
      <c r="I1717" s="455">
        <f t="shared" ca="1" si="115"/>
        <v>-522986281.67552239</v>
      </c>
      <c r="J1717" s="455">
        <f t="array" ref="J1717">IFERROR(INDEX('Retirement Calculator'!K:K,MATCH('Lorri 401b'!N1717,'Retirement Calculator'!A:A,0),0),0)</f>
        <v>0</v>
      </c>
      <c r="K1717" s="455">
        <f t="shared" ca="1" si="113"/>
        <v>-2179109.506981343</v>
      </c>
      <c r="L1717" s="455">
        <f t="shared" ca="1" si="114"/>
        <v>-525165391.1825037</v>
      </c>
      <c r="M1717" s="471">
        <f t="shared" si="116"/>
        <v>0.05</v>
      </c>
      <c r="N1717" s="475">
        <f t="shared" si="117"/>
        <v>103305</v>
      </c>
    </row>
    <row r="1718" spans="7:14" ht="11.25" customHeight="1" x14ac:dyDescent="0.3">
      <c r="G1718" s="470"/>
      <c r="H1718" s="470">
        <v>1711</v>
      </c>
      <c r="I1718" s="455">
        <f t="shared" ca="1" si="115"/>
        <v>-525165391.1825037</v>
      </c>
      <c r="J1718" s="455">
        <f t="array" ref="J1718">IFERROR(INDEX('Retirement Calculator'!K:K,MATCH('Lorri 401b'!N1718,'Retirement Calculator'!A:A,0),0),0)</f>
        <v>0</v>
      </c>
      <c r="K1718" s="455">
        <f t="shared" ca="1" si="113"/>
        <v>-2188189.1299270988</v>
      </c>
      <c r="L1718" s="455">
        <f t="shared" ca="1" si="114"/>
        <v>-527353580.3124308</v>
      </c>
      <c r="M1718" s="471">
        <f t="shared" si="116"/>
        <v>0.05</v>
      </c>
      <c r="N1718" s="475">
        <f t="shared" si="117"/>
        <v>103335</v>
      </c>
    </row>
    <row r="1719" spans="7:14" ht="11.25" customHeight="1" x14ac:dyDescent="0.3">
      <c r="G1719" s="470"/>
      <c r="H1719" s="470">
        <v>1712</v>
      </c>
      <c r="I1719" s="455">
        <f t="shared" ca="1" si="115"/>
        <v>-527353580.3124308</v>
      </c>
      <c r="J1719" s="455">
        <f t="array" ref="J1719">IFERROR(INDEX('Retirement Calculator'!K:K,MATCH('Lorri 401b'!N1719,'Retirement Calculator'!A:A,0),0),0)</f>
        <v>0</v>
      </c>
      <c r="K1719" s="455">
        <f t="shared" ca="1" si="113"/>
        <v>-2197306.5846351287</v>
      </c>
      <c r="L1719" s="455">
        <f t="shared" ca="1" si="114"/>
        <v>-529550886.89706594</v>
      </c>
      <c r="M1719" s="471">
        <f t="shared" si="116"/>
        <v>0.05</v>
      </c>
      <c r="N1719" s="475">
        <f t="shared" si="117"/>
        <v>103366</v>
      </c>
    </row>
    <row r="1720" spans="7:14" ht="11.25" customHeight="1" x14ac:dyDescent="0.3">
      <c r="G1720" s="470"/>
      <c r="H1720" s="470">
        <v>1713</v>
      </c>
      <c r="I1720" s="455">
        <f t="shared" ca="1" si="115"/>
        <v>-529550886.89706594</v>
      </c>
      <c r="J1720" s="455">
        <f t="array" ref="J1720">IFERROR(INDEX('Retirement Calculator'!K:K,MATCH('Lorri 401b'!N1720,'Retirement Calculator'!A:A,0),0),0)</f>
        <v>0</v>
      </c>
      <c r="K1720" s="455">
        <f t="shared" ca="1" si="113"/>
        <v>-2206462.0287377746</v>
      </c>
      <c r="L1720" s="455">
        <f t="shared" ca="1" si="114"/>
        <v>-531757348.92580372</v>
      </c>
      <c r="M1720" s="471">
        <f t="shared" si="116"/>
        <v>0.05</v>
      </c>
      <c r="N1720" s="475">
        <f t="shared" si="117"/>
        <v>103397</v>
      </c>
    </row>
    <row r="1721" spans="7:14" ht="11.25" customHeight="1" x14ac:dyDescent="0.3">
      <c r="G1721" s="470"/>
      <c r="H1721" s="470">
        <v>1714</v>
      </c>
      <c r="I1721" s="455">
        <f t="shared" ca="1" si="115"/>
        <v>-531757348.92580372</v>
      </c>
      <c r="J1721" s="455">
        <f t="array" ref="J1721">IFERROR(INDEX('Retirement Calculator'!K:K,MATCH('Lorri 401b'!N1721,'Retirement Calculator'!A:A,0),0),0)</f>
        <v>0</v>
      </c>
      <c r="K1721" s="455">
        <f t="shared" ca="1" si="113"/>
        <v>-2215655.620524182</v>
      </c>
      <c r="L1721" s="455">
        <f t="shared" ca="1" si="114"/>
        <v>-533973004.54632789</v>
      </c>
      <c r="M1721" s="471">
        <f t="shared" si="116"/>
        <v>0.05</v>
      </c>
      <c r="N1721" s="475">
        <f t="shared" si="117"/>
        <v>103425</v>
      </c>
    </row>
    <row r="1722" spans="7:14" ht="11.25" customHeight="1" x14ac:dyDescent="0.3">
      <c r="G1722" s="470"/>
      <c r="H1722" s="470">
        <v>1715</v>
      </c>
      <c r="I1722" s="455">
        <f t="shared" ca="1" si="115"/>
        <v>-533973004.54632789</v>
      </c>
      <c r="J1722" s="455">
        <f t="array" ref="J1722">IFERROR(INDEX('Retirement Calculator'!K:K,MATCH('Lorri 401b'!N1722,'Retirement Calculator'!A:A,0),0),0)</f>
        <v>0</v>
      </c>
      <c r="K1722" s="455">
        <f t="shared" ca="1" si="113"/>
        <v>-2224887.5189430332</v>
      </c>
      <c r="L1722" s="455">
        <f t="shared" ca="1" si="114"/>
        <v>-536197892.0652709</v>
      </c>
      <c r="M1722" s="471">
        <f t="shared" si="116"/>
        <v>0.05</v>
      </c>
      <c r="N1722" s="475">
        <f t="shared" si="117"/>
        <v>103456</v>
      </c>
    </row>
    <row r="1723" spans="7:14" ht="11.25" customHeight="1" x14ac:dyDescent="0.3">
      <c r="G1723" s="470"/>
      <c r="H1723" s="470">
        <v>1716</v>
      </c>
      <c r="I1723" s="455">
        <f t="shared" ca="1" si="115"/>
        <v>-536197892.0652709</v>
      </c>
      <c r="J1723" s="455">
        <f t="array" ref="J1723">IFERROR(INDEX('Retirement Calculator'!K:K,MATCH('Lorri 401b'!N1723,'Retirement Calculator'!A:A,0),0),0)</f>
        <v>0</v>
      </c>
      <c r="K1723" s="455">
        <f t="shared" ca="1" si="113"/>
        <v>-2234157.8836052953</v>
      </c>
      <c r="L1723" s="455">
        <f t="shared" ca="1" si="114"/>
        <v>-538432049.94887614</v>
      </c>
      <c r="M1723" s="471">
        <f t="shared" si="116"/>
        <v>0.05</v>
      </c>
      <c r="N1723" s="475">
        <f t="shared" si="117"/>
        <v>103486</v>
      </c>
    </row>
    <row r="1724" spans="7:14" ht="11.25" customHeight="1" x14ac:dyDescent="0.3">
      <c r="G1724" s="470"/>
      <c r="H1724" s="470">
        <v>1717</v>
      </c>
      <c r="I1724" s="455">
        <f t="shared" ca="1" si="115"/>
        <v>-538432049.94887614</v>
      </c>
      <c r="J1724" s="455">
        <f t="array" ref="J1724">IFERROR(INDEX('Retirement Calculator'!K:K,MATCH('Lorri 401b'!N1724,'Retirement Calculator'!A:A,0),0),0)</f>
        <v>0</v>
      </c>
      <c r="K1724" s="455">
        <f t="shared" ca="1" si="113"/>
        <v>-2243466.8747869837</v>
      </c>
      <c r="L1724" s="455">
        <f t="shared" ca="1" si="114"/>
        <v>-540675516.82366312</v>
      </c>
      <c r="M1724" s="471">
        <f t="shared" si="116"/>
        <v>0.05</v>
      </c>
      <c r="N1724" s="475">
        <f t="shared" si="117"/>
        <v>103517</v>
      </c>
    </row>
    <row r="1725" spans="7:14" ht="11.25" customHeight="1" x14ac:dyDescent="0.3">
      <c r="G1725" s="470"/>
      <c r="H1725" s="470">
        <v>1718</v>
      </c>
      <c r="I1725" s="455">
        <f t="shared" ca="1" si="115"/>
        <v>-540675516.82366312</v>
      </c>
      <c r="J1725" s="455">
        <f t="array" ref="J1725">IFERROR(INDEX('Retirement Calculator'!K:K,MATCH('Lorri 401b'!N1725,'Retirement Calculator'!A:A,0),0),0)</f>
        <v>0</v>
      </c>
      <c r="K1725" s="455">
        <f t="shared" ca="1" si="113"/>
        <v>-2252814.6534319296</v>
      </c>
      <c r="L1725" s="455">
        <f t="shared" ca="1" si="114"/>
        <v>-542928331.47709501</v>
      </c>
      <c r="M1725" s="471">
        <f t="shared" si="116"/>
        <v>0.05</v>
      </c>
      <c r="N1725" s="475">
        <f t="shared" si="117"/>
        <v>103547</v>
      </c>
    </row>
    <row r="1726" spans="7:14" ht="11.25" customHeight="1" x14ac:dyDescent="0.3">
      <c r="G1726" s="470"/>
      <c r="H1726" s="470">
        <v>1719</v>
      </c>
      <c r="I1726" s="455">
        <f t="shared" ca="1" si="115"/>
        <v>-542928331.47709501</v>
      </c>
      <c r="J1726" s="455">
        <f t="array" ref="J1726">IFERROR(INDEX('Retirement Calculator'!K:K,MATCH('Lorri 401b'!N1726,'Retirement Calculator'!A:A,0),0),0)</f>
        <v>0</v>
      </c>
      <c r="K1726" s="455">
        <f t="shared" ca="1" si="113"/>
        <v>-2262201.3811545623</v>
      </c>
      <c r="L1726" s="455">
        <f t="shared" ca="1" si="114"/>
        <v>-545190532.85824955</v>
      </c>
      <c r="M1726" s="471">
        <f t="shared" si="116"/>
        <v>0.05</v>
      </c>
      <c r="N1726" s="475">
        <f t="shared" si="117"/>
        <v>103578</v>
      </c>
    </row>
    <row r="1727" spans="7:14" ht="11.25" customHeight="1" x14ac:dyDescent="0.3">
      <c r="G1727" s="470"/>
      <c r="H1727" s="470">
        <v>1720</v>
      </c>
      <c r="I1727" s="455">
        <f t="shared" ca="1" si="115"/>
        <v>-545190532.85824955</v>
      </c>
      <c r="J1727" s="455">
        <f t="array" ref="J1727">IFERROR(INDEX('Retirement Calculator'!K:K,MATCH('Lorri 401b'!N1727,'Retirement Calculator'!A:A,0),0),0)</f>
        <v>0</v>
      </c>
      <c r="K1727" s="455">
        <f t="shared" ca="1" si="113"/>
        <v>-2271627.2202427066</v>
      </c>
      <c r="L1727" s="455">
        <f t="shared" ca="1" si="114"/>
        <v>-547462160.07849228</v>
      </c>
      <c r="M1727" s="471">
        <f t="shared" si="116"/>
        <v>0.05</v>
      </c>
      <c r="N1727" s="475">
        <f t="shared" si="117"/>
        <v>103609</v>
      </c>
    </row>
    <row r="1728" spans="7:14" ht="11.25" customHeight="1" x14ac:dyDescent="0.3">
      <c r="G1728" s="470"/>
      <c r="H1728" s="470">
        <v>1721</v>
      </c>
      <c r="I1728" s="455">
        <f t="shared" ca="1" si="115"/>
        <v>-547462160.07849228</v>
      </c>
      <c r="J1728" s="455">
        <f t="array" ref="J1728">IFERROR(INDEX('Retirement Calculator'!K:K,MATCH('Lorri 401b'!N1728,'Retirement Calculator'!A:A,0),0),0)</f>
        <v>0</v>
      </c>
      <c r="K1728" s="455">
        <f t="shared" ca="1" si="113"/>
        <v>-2281092.3336603846</v>
      </c>
      <c r="L1728" s="455">
        <f t="shared" ca="1" si="114"/>
        <v>-549743252.41215265</v>
      </c>
      <c r="M1728" s="471">
        <f t="shared" si="116"/>
        <v>0.05</v>
      </c>
      <c r="N1728" s="475">
        <f t="shared" si="117"/>
        <v>103639</v>
      </c>
    </row>
    <row r="1729" spans="7:14" ht="11.25" customHeight="1" x14ac:dyDescent="0.3">
      <c r="G1729" s="470"/>
      <c r="H1729" s="470">
        <v>1722</v>
      </c>
      <c r="I1729" s="455">
        <f t="shared" ca="1" si="115"/>
        <v>-549743252.41215265</v>
      </c>
      <c r="J1729" s="455">
        <f t="array" ref="J1729">IFERROR(INDEX('Retirement Calculator'!K:K,MATCH('Lorri 401b'!N1729,'Retirement Calculator'!A:A,0),0),0)</f>
        <v>0</v>
      </c>
      <c r="K1729" s="455">
        <f t="shared" ca="1" si="113"/>
        <v>-2290596.8850506358</v>
      </c>
      <c r="L1729" s="455">
        <f t="shared" ca="1" si="114"/>
        <v>-552033849.2972033</v>
      </c>
      <c r="M1729" s="471">
        <f t="shared" si="116"/>
        <v>0.05</v>
      </c>
      <c r="N1729" s="475">
        <f t="shared" si="117"/>
        <v>103670</v>
      </c>
    </row>
    <row r="1730" spans="7:14" ht="11.25" customHeight="1" x14ac:dyDescent="0.3">
      <c r="G1730" s="470"/>
      <c r="H1730" s="470">
        <v>1723</v>
      </c>
      <c r="I1730" s="455">
        <f t="shared" ca="1" si="115"/>
        <v>-552033849.2972033</v>
      </c>
      <c r="J1730" s="455">
        <f t="array" ref="J1730">IFERROR(INDEX('Retirement Calculator'!K:K,MATCH('Lorri 401b'!N1730,'Retirement Calculator'!A:A,0),0),0)</f>
        <v>0</v>
      </c>
      <c r="K1730" s="455">
        <f t="shared" ca="1" si="113"/>
        <v>-2300141.0387383471</v>
      </c>
      <c r="L1730" s="455">
        <f t="shared" ca="1" si="114"/>
        <v>-554333990.33594167</v>
      </c>
      <c r="M1730" s="471">
        <f t="shared" si="116"/>
        <v>0.05</v>
      </c>
      <c r="N1730" s="475">
        <f t="shared" si="117"/>
        <v>103700</v>
      </c>
    </row>
    <row r="1731" spans="7:14" ht="11.25" customHeight="1" x14ac:dyDescent="0.3">
      <c r="G1731" s="470"/>
      <c r="H1731" s="470">
        <v>1724</v>
      </c>
      <c r="I1731" s="455">
        <f t="shared" ca="1" si="115"/>
        <v>-554333990.33594167</v>
      </c>
      <c r="J1731" s="455">
        <f t="array" ref="J1731">IFERROR(INDEX('Retirement Calculator'!K:K,MATCH('Lorri 401b'!N1731,'Retirement Calculator'!A:A,0),0),0)</f>
        <v>0</v>
      </c>
      <c r="K1731" s="455">
        <f t="shared" ca="1" si="113"/>
        <v>-2309724.9597330904</v>
      </c>
      <c r="L1731" s="455">
        <f t="shared" ca="1" si="114"/>
        <v>-556643715.2956748</v>
      </c>
      <c r="M1731" s="471">
        <f t="shared" si="116"/>
        <v>0.05</v>
      </c>
      <c r="N1731" s="475">
        <f t="shared" si="117"/>
        <v>103731</v>
      </c>
    </row>
    <row r="1732" spans="7:14" ht="11.25" customHeight="1" x14ac:dyDescent="0.3">
      <c r="G1732" s="470"/>
      <c r="H1732" s="470">
        <v>1725</v>
      </c>
      <c r="I1732" s="455">
        <f t="shared" ca="1" si="115"/>
        <v>-556643715.2956748</v>
      </c>
      <c r="J1732" s="455">
        <f t="array" ref="J1732">IFERROR(INDEX('Retirement Calculator'!K:K,MATCH('Lorri 401b'!N1732,'Retirement Calculator'!A:A,0),0),0)</f>
        <v>0</v>
      </c>
      <c r="K1732" s="455">
        <f t="shared" ca="1" si="113"/>
        <v>-2319348.8137319782</v>
      </c>
      <c r="L1732" s="455">
        <f t="shared" ca="1" si="114"/>
        <v>-558963064.10940683</v>
      </c>
      <c r="M1732" s="471">
        <f t="shared" si="116"/>
        <v>0.05</v>
      </c>
      <c r="N1732" s="475">
        <f t="shared" si="117"/>
        <v>103762</v>
      </c>
    </row>
    <row r="1733" spans="7:14" ht="11.25" customHeight="1" x14ac:dyDescent="0.3">
      <c r="G1733" s="470"/>
      <c r="H1733" s="470">
        <v>1726</v>
      </c>
      <c r="I1733" s="455">
        <f t="shared" ca="1" si="115"/>
        <v>-558963064.10940683</v>
      </c>
      <c r="J1733" s="455">
        <f t="array" ref="J1733">IFERROR(INDEX('Retirement Calculator'!K:K,MATCH('Lorri 401b'!N1733,'Retirement Calculator'!A:A,0),0),0)</f>
        <v>0</v>
      </c>
      <c r="K1733" s="455">
        <f t="shared" ca="1" si="113"/>
        <v>-2329012.7671225285</v>
      </c>
      <c r="L1733" s="455">
        <f t="shared" ca="1" si="114"/>
        <v>-561292076.87652934</v>
      </c>
      <c r="M1733" s="471">
        <f t="shared" si="116"/>
        <v>0.05</v>
      </c>
      <c r="N1733" s="475">
        <f t="shared" si="117"/>
        <v>103791</v>
      </c>
    </row>
    <row r="1734" spans="7:14" ht="11.25" customHeight="1" x14ac:dyDescent="0.3">
      <c r="G1734" s="470"/>
      <c r="H1734" s="470">
        <v>1727</v>
      </c>
      <c r="I1734" s="455">
        <f t="shared" ca="1" si="115"/>
        <v>-561292076.87652934</v>
      </c>
      <c r="J1734" s="455">
        <f t="array" ref="J1734">IFERROR(INDEX('Retirement Calculator'!K:K,MATCH('Lorri 401b'!N1734,'Retirement Calculator'!A:A,0),0),0)</f>
        <v>0</v>
      </c>
      <c r="K1734" s="455">
        <f t="shared" ca="1" si="113"/>
        <v>-2338716.9869855391</v>
      </c>
      <c r="L1734" s="455">
        <f t="shared" ca="1" si="114"/>
        <v>-563630793.8635149</v>
      </c>
      <c r="M1734" s="471">
        <f t="shared" si="116"/>
        <v>0.05</v>
      </c>
      <c r="N1734" s="475">
        <f t="shared" si="117"/>
        <v>103822</v>
      </c>
    </row>
    <row r="1735" spans="7:14" ht="11.25" customHeight="1" x14ac:dyDescent="0.3">
      <c r="G1735" s="470"/>
      <c r="H1735" s="470">
        <v>1728</v>
      </c>
      <c r="I1735" s="455">
        <f t="shared" ca="1" si="115"/>
        <v>-563630793.8635149</v>
      </c>
      <c r="J1735" s="455">
        <f t="array" ref="J1735">IFERROR(INDEX('Retirement Calculator'!K:K,MATCH('Lorri 401b'!N1735,'Retirement Calculator'!A:A,0),0),0)</f>
        <v>0</v>
      </c>
      <c r="K1735" s="455">
        <f t="shared" ca="1" si="113"/>
        <v>-2348461.6410979787</v>
      </c>
      <c r="L1735" s="455">
        <f t="shared" ca="1" si="114"/>
        <v>-565979255.50461292</v>
      </c>
      <c r="M1735" s="471">
        <f t="shared" si="116"/>
        <v>0.05</v>
      </c>
      <c r="N1735" s="475">
        <f t="shared" si="117"/>
        <v>103852</v>
      </c>
    </row>
    <row r="1736" spans="7:14" ht="11.25" customHeight="1" x14ac:dyDescent="0.3">
      <c r="G1736" s="470"/>
      <c r="H1736" s="470">
        <v>1729</v>
      </c>
      <c r="I1736" s="455">
        <f t="shared" ca="1" si="115"/>
        <v>-565979255.50461292</v>
      </c>
      <c r="J1736" s="455">
        <f t="array" ref="J1736">IFERROR(INDEX('Retirement Calculator'!K:K,MATCH('Lorri 401b'!N1736,'Retirement Calculator'!A:A,0),0),0)</f>
        <v>0</v>
      </c>
      <c r="K1736" s="455">
        <f t="shared" ca="1" si="113"/>
        <v>-2358246.8979358873</v>
      </c>
      <c r="L1736" s="455">
        <f t="shared" ca="1" si="114"/>
        <v>-568337502.40254879</v>
      </c>
      <c r="M1736" s="471">
        <f t="shared" si="116"/>
        <v>0.05</v>
      </c>
      <c r="N1736" s="475">
        <f t="shared" si="117"/>
        <v>103883</v>
      </c>
    </row>
    <row r="1737" spans="7:14" ht="11.25" customHeight="1" x14ac:dyDescent="0.3">
      <c r="G1737" s="470"/>
      <c r="H1737" s="470">
        <v>1730</v>
      </c>
      <c r="I1737" s="455">
        <f t="shared" ca="1" si="115"/>
        <v>-568337502.40254879</v>
      </c>
      <c r="J1737" s="455">
        <f t="array" ref="J1737">IFERROR(INDEX('Retirement Calculator'!K:K,MATCH('Lorri 401b'!N1737,'Retirement Calculator'!A:A,0),0),0)</f>
        <v>0</v>
      </c>
      <c r="K1737" s="455">
        <f t="shared" ca="1" si="113"/>
        <v>-2368072.9266772866</v>
      </c>
      <c r="L1737" s="455">
        <f t="shared" ca="1" si="114"/>
        <v>-570705575.32922602</v>
      </c>
      <c r="M1737" s="471">
        <f t="shared" si="116"/>
        <v>0.05</v>
      </c>
      <c r="N1737" s="475">
        <f t="shared" si="117"/>
        <v>103913</v>
      </c>
    </row>
    <row r="1738" spans="7:14" ht="11.25" customHeight="1" x14ac:dyDescent="0.3">
      <c r="G1738" s="470"/>
      <c r="H1738" s="470">
        <v>1731</v>
      </c>
      <c r="I1738" s="455">
        <f t="shared" ca="1" si="115"/>
        <v>-570705575.32922602</v>
      </c>
      <c r="J1738" s="455">
        <f t="array" ref="J1738">IFERROR(INDEX('Retirement Calculator'!K:K,MATCH('Lorri 401b'!N1738,'Retirement Calculator'!A:A,0),0),0)</f>
        <v>0</v>
      </c>
      <c r="K1738" s="455">
        <f t="shared" ca="1" si="113"/>
        <v>-2377939.8972051083</v>
      </c>
      <c r="L1738" s="455">
        <f t="shared" ca="1" si="114"/>
        <v>-573083515.22643113</v>
      </c>
      <c r="M1738" s="471">
        <f t="shared" si="116"/>
        <v>0.05</v>
      </c>
      <c r="N1738" s="475">
        <f t="shared" si="117"/>
        <v>103944</v>
      </c>
    </row>
    <row r="1739" spans="7:14" ht="11.25" customHeight="1" x14ac:dyDescent="0.3">
      <c r="G1739" s="470"/>
      <c r="H1739" s="470">
        <v>1732</v>
      </c>
      <c r="I1739" s="455">
        <f t="shared" ca="1" si="115"/>
        <v>-573083515.22643113</v>
      </c>
      <c r="J1739" s="455">
        <f t="array" ref="J1739">IFERROR(INDEX('Retirement Calculator'!K:K,MATCH('Lorri 401b'!N1739,'Retirement Calculator'!A:A,0),0),0)</f>
        <v>0</v>
      </c>
      <c r="K1739" s="455">
        <f t="shared" ca="1" si="113"/>
        <v>-2387847.9801101298</v>
      </c>
      <c r="L1739" s="455">
        <f t="shared" ca="1" si="114"/>
        <v>-575471363.2065413</v>
      </c>
      <c r="M1739" s="471">
        <f t="shared" si="116"/>
        <v>0.05</v>
      </c>
      <c r="N1739" s="475">
        <f t="shared" si="117"/>
        <v>103975</v>
      </c>
    </row>
    <row r="1740" spans="7:14" ht="11.25" customHeight="1" x14ac:dyDescent="0.3">
      <c r="G1740" s="470"/>
      <c r="H1740" s="470">
        <v>1733</v>
      </c>
      <c r="I1740" s="455">
        <f t="shared" ca="1" si="115"/>
        <v>-575471363.2065413</v>
      </c>
      <c r="J1740" s="455">
        <f t="array" ref="J1740">IFERROR(INDEX('Retirement Calculator'!K:K,MATCH('Lorri 401b'!N1740,'Retirement Calculator'!A:A,0),0),0)</f>
        <v>0</v>
      </c>
      <c r="K1740" s="455">
        <f t="shared" ca="1" si="113"/>
        <v>-2397797.3466939218</v>
      </c>
      <c r="L1740" s="455">
        <f t="shared" ca="1" si="114"/>
        <v>-577869160.55323517</v>
      </c>
      <c r="M1740" s="471">
        <f t="shared" si="116"/>
        <v>0.05</v>
      </c>
      <c r="N1740" s="475">
        <f t="shared" si="117"/>
        <v>104005</v>
      </c>
    </row>
    <row r="1741" spans="7:14" ht="11.25" customHeight="1" x14ac:dyDescent="0.3">
      <c r="G1741" s="470"/>
      <c r="H1741" s="470">
        <v>1734</v>
      </c>
      <c r="I1741" s="455">
        <f t="shared" ca="1" si="115"/>
        <v>-577869160.55323517</v>
      </c>
      <c r="J1741" s="455">
        <f t="array" ref="J1741">IFERROR(INDEX('Retirement Calculator'!K:K,MATCH('Lorri 401b'!N1741,'Retirement Calculator'!A:A,0),0),0)</f>
        <v>0</v>
      </c>
      <c r="K1741" s="455">
        <f t="shared" ca="1" si="113"/>
        <v>-2407788.1689718133</v>
      </c>
      <c r="L1741" s="455">
        <f t="shared" ca="1" si="114"/>
        <v>-580276948.72220695</v>
      </c>
      <c r="M1741" s="471">
        <f t="shared" si="116"/>
        <v>0.05</v>
      </c>
      <c r="N1741" s="475">
        <f t="shared" si="117"/>
        <v>104036</v>
      </c>
    </row>
    <row r="1742" spans="7:14" ht="11.25" customHeight="1" x14ac:dyDescent="0.3">
      <c r="G1742" s="470"/>
      <c r="H1742" s="470">
        <v>1735</v>
      </c>
      <c r="I1742" s="455">
        <f t="shared" ca="1" si="115"/>
        <v>-580276948.72220695</v>
      </c>
      <c r="J1742" s="455">
        <f t="array" ref="J1742">IFERROR(INDEX('Retirement Calculator'!K:K,MATCH('Lorri 401b'!N1742,'Retirement Calculator'!A:A,0),0),0)</f>
        <v>0</v>
      </c>
      <c r="K1742" s="455">
        <f t="shared" ca="1" si="113"/>
        <v>-2417820.6196758621</v>
      </c>
      <c r="L1742" s="455">
        <f t="shared" ca="1" si="114"/>
        <v>-582694769.34188282</v>
      </c>
      <c r="M1742" s="471">
        <f t="shared" si="116"/>
        <v>0.05</v>
      </c>
      <c r="N1742" s="475">
        <f t="shared" si="117"/>
        <v>104066</v>
      </c>
    </row>
    <row r="1743" spans="7:14" ht="11.25" customHeight="1" x14ac:dyDescent="0.3">
      <c r="G1743" s="470"/>
      <c r="H1743" s="470">
        <v>1736</v>
      </c>
      <c r="I1743" s="455">
        <f t="shared" ca="1" si="115"/>
        <v>-582694769.34188282</v>
      </c>
      <c r="J1743" s="455">
        <f t="array" ref="J1743">IFERROR(INDEX('Retirement Calculator'!K:K,MATCH('Lorri 401b'!N1743,'Retirement Calculator'!A:A,0),0),0)</f>
        <v>0</v>
      </c>
      <c r="K1743" s="455">
        <f t="shared" ca="1" si="113"/>
        <v>-2427894.872257845</v>
      </c>
      <c r="L1743" s="455">
        <f t="shared" ca="1" si="114"/>
        <v>-585122664.21414065</v>
      </c>
      <c r="M1743" s="471">
        <f t="shared" si="116"/>
        <v>0.05</v>
      </c>
      <c r="N1743" s="475">
        <f t="shared" si="117"/>
        <v>104097</v>
      </c>
    </row>
    <row r="1744" spans="7:14" ht="11.25" customHeight="1" x14ac:dyDescent="0.3">
      <c r="G1744" s="470"/>
      <c r="H1744" s="470">
        <v>1737</v>
      </c>
      <c r="I1744" s="455">
        <f t="shared" ca="1" si="115"/>
        <v>-585122664.21414065</v>
      </c>
      <c r="J1744" s="455">
        <f t="array" ref="J1744">IFERROR(INDEX('Retirement Calculator'!K:K,MATCH('Lorri 401b'!N1744,'Retirement Calculator'!A:A,0),0),0)</f>
        <v>0</v>
      </c>
      <c r="K1744" s="455">
        <f t="shared" ca="1" si="113"/>
        <v>-2438011.1008922528</v>
      </c>
      <c r="L1744" s="455">
        <f t="shared" ca="1" si="114"/>
        <v>-587560675.31503296</v>
      </c>
      <c r="M1744" s="471">
        <f t="shared" si="116"/>
        <v>0.05</v>
      </c>
      <c r="N1744" s="475">
        <f t="shared" si="117"/>
        <v>104128</v>
      </c>
    </row>
    <row r="1745" spans="7:14" ht="11.25" customHeight="1" x14ac:dyDescent="0.3">
      <c r="G1745" s="470"/>
      <c r="H1745" s="470">
        <v>1738</v>
      </c>
      <c r="I1745" s="455">
        <f t="shared" ca="1" si="115"/>
        <v>-587560675.31503296</v>
      </c>
      <c r="J1745" s="455">
        <f t="array" ref="J1745">IFERROR(INDEX('Retirement Calculator'!K:K,MATCH('Lorri 401b'!N1745,'Retirement Calculator'!A:A,0),0),0)</f>
        <v>0</v>
      </c>
      <c r="K1745" s="455">
        <f t="shared" ca="1" si="113"/>
        <v>-2448169.4804793037</v>
      </c>
      <c r="L1745" s="455">
        <f t="shared" ca="1" si="114"/>
        <v>-590008844.79551232</v>
      </c>
      <c r="M1745" s="471">
        <f t="shared" si="116"/>
        <v>0.05</v>
      </c>
      <c r="N1745" s="475">
        <f t="shared" si="117"/>
        <v>104156</v>
      </c>
    </row>
    <row r="1746" spans="7:14" ht="11.25" customHeight="1" x14ac:dyDescent="0.3">
      <c r="G1746" s="470"/>
      <c r="H1746" s="470">
        <v>1739</v>
      </c>
      <c r="I1746" s="455">
        <f t="shared" ca="1" si="115"/>
        <v>-590008844.79551232</v>
      </c>
      <c r="J1746" s="455">
        <f t="array" ref="J1746">IFERROR(INDEX('Retirement Calculator'!K:K,MATCH('Lorri 401b'!N1746,'Retirement Calculator'!A:A,0),0),0)</f>
        <v>0</v>
      </c>
      <c r="K1746" s="455">
        <f t="shared" ca="1" si="113"/>
        <v>-2458370.1866479679</v>
      </c>
      <c r="L1746" s="455">
        <f t="shared" ca="1" si="114"/>
        <v>-592467214.98216033</v>
      </c>
      <c r="M1746" s="471">
        <f t="shared" si="116"/>
        <v>0.05</v>
      </c>
      <c r="N1746" s="475">
        <f t="shared" si="117"/>
        <v>104187</v>
      </c>
    </row>
    <row r="1747" spans="7:14" ht="11.25" customHeight="1" x14ac:dyDescent="0.3">
      <c r="G1747" s="470"/>
      <c r="H1747" s="470">
        <v>1740</v>
      </c>
      <c r="I1747" s="455">
        <f t="shared" ca="1" si="115"/>
        <v>-592467214.98216033</v>
      </c>
      <c r="J1747" s="455">
        <f t="array" ref="J1747">IFERROR(INDEX('Retirement Calculator'!K:K,MATCH('Lorri 401b'!N1747,'Retirement Calculator'!A:A,0),0),0)</f>
        <v>0</v>
      </c>
      <c r="K1747" s="455">
        <f t="shared" ca="1" si="113"/>
        <v>-2468613.3957590014</v>
      </c>
      <c r="L1747" s="455">
        <f t="shared" ca="1" si="114"/>
        <v>-594935828.37791932</v>
      </c>
      <c r="M1747" s="471">
        <f t="shared" si="116"/>
        <v>0.05</v>
      </c>
      <c r="N1747" s="475">
        <f t="shared" si="117"/>
        <v>104217</v>
      </c>
    </row>
    <row r="1748" spans="7:14" ht="11.25" customHeight="1" x14ac:dyDescent="0.3">
      <c r="G1748" s="470"/>
      <c r="H1748" s="470">
        <v>1741</v>
      </c>
      <c r="I1748" s="455">
        <f t="shared" ca="1" si="115"/>
        <v>-594935828.37791932</v>
      </c>
      <c r="J1748" s="455">
        <f t="array" ref="J1748">IFERROR(INDEX('Retirement Calculator'!K:K,MATCH('Lorri 401b'!N1748,'Retirement Calculator'!A:A,0),0),0)</f>
        <v>0</v>
      </c>
      <c r="K1748" s="455">
        <f t="shared" ca="1" si="113"/>
        <v>-2478899.2849079971</v>
      </c>
      <c r="L1748" s="455">
        <f t="shared" ca="1" si="114"/>
        <v>-597414727.66282737</v>
      </c>
      <c r="M1748" s="471">
        <f t="shared" si="116"/>
        <v>0.05</v>
      </c>
      <c r="N1748" s="475">
        <f t="shared" si="117"/>
        <v>104248</v>
      </c>
    </row>
    <row r="1749" spans="7:14" ht="11.25" customHeight="1" x14ac:dyDescent="0.3">
      <c r="G1749" s="470"/>
      <c r="H1749" s="470">
        <v>1742</v>
      </c>
      <c r="I1749" s="455">
        <f t="shared" ca="1" si="115"/>
        <v>-597414727.66282737</v>
      </c>
      <c r="J1749" s="455">
        <f t="array" ref="J1749">IFERROR(INDEX('Retirement Calculator'!K:K,MATCH('Lorri 401b'!N1749,'Retirement Calculator'!A:A,0),0),0)</f>
        <v>0</v>
      </c>
      <c r="K1749" s="455">
        <f t="shared" ca="1" si="113"/>
        <v>-2489228.0319284475</v>
      </c>
      <c r="L1749" s="455">
        <f t="shared" ca="1" si="114"/>
        <v>-599903955.69475579</v>
      </c>
      <c r="M1749" s="471">
        <f t="shared" si="116"/>
        <v>0.05</v>
      </c>
      <c r="N1749" s="475">
        <f t="shared" si="117"/>
        <v>104278</v>
      </c>
    </row>
    <row r="1750" spans="7:14" ht="11.25" customHeight="1" x14ac:dyDescent="0.3">
      <c r="G1750" s="470"/>
      <c r="H1750" s="470">
        <v>1743</v>
      </c>
      <c r="I1750" s="455">
        <f t="shared" ca="1" si="115"/>
        <v>-599903955.69475579</v>
      </c>
      <c r="J1750" s="455">
        <f t="array" ref="J1750">IFERROR(INDEX('Retirement Calculator'!K:K,MATCH('Lorri 401b'!N1750,'Retirement Calculator'!A:A,0),0),0)</f>
        <v>0</v>
      </c>
      <c r="K1750" s="455">
        <f t="shared" ca="1" si="113"/>
        <v>-2499599.815394816</v>
      </c>
      <c r="L1750" s="455">
        <f t="shared" ca="1" si="114"/>
        <v>-602403555.51015055</v>
      </c>
      <c r="M1750" s="471">
        <f t="shared" si="116"/>
        <v>0.05</v>
      </c>
      <c r="N1750" s="475">
        <f t="shared" si="117"/>
        <v>104309</v>
      </c>
    </row>
    <row r="1751" spans="7:14" ht="11.25" customHeight="1" x14ac:dyDescent="0.3">
      <c r="G1751" s="470"/>
      <c r="H1751" s="470">
        <v>1744</v>
      </c>
      <c r="I1751" s="455">
        <f t="shared" ca="1" si="115"/>
        <v>-602403555.51015055</v>
      </c>
      <c r="J1751" s="455">
        <f t="array" ref="J1751">IFERROR(INDEX('Retirement Calculator'!K:K,MATCH('Lorri 401b'!N1751,'Retirement Calculator'!A:A,0),0),0)</f>
        <v>0</v>
      </c>
      <c r="K1751" s="455">
        <f t="shared" ca="1" si="113"/>
        <v>-2510014.8146256274</v>
      </c>
      <c r="L1751" s="455">
        <f t="shared" ca="1" si="114"/>
        <v>-604913570.32477617</v>
      </c>
      <c r="M1751" s="471">
        <f t="shared" si="116"/>
        <v>0.05</v>
      </c>
      <c r="N1751" s="475">
        <f t="shared" si="117"/>
        <v>104340</v>
      </c>
    </row>
    <row r="1752" spans="7:14" ht="11.25" customHeight="1" x14ac:dyDescent="0.3">
      <c r="G1752" s="470"/>
      <c r="H1752" s="470">
        <v>1745</v>
      </c>
      <c r="I1752" s="455">
        <f t="shared" ca="1" si="115"/>
        <v>-604913570.32477617</v>
      </c>
      <c r="J1752" s="455">
        <f t="array" ref="J1752">IFERROR(INDEX('Retirement Calculator'!K:K,MATCH('Lorri 401b'!N1752,'Retirement Calculator'!A:A,0),0),0)</f>
        <v>0</v>
      </c>
      <c r="K1752" s="455">
        <f t="shared" ca="1" si="113"/>
        <v>-2520473.2096865675</v>
      </c>
      <c r="L1752" s="455">
        <f t="shared" ca="1" si="114"/>
        <v>-607434043.53446269</v>
      </c>
      <c r="M1752" s="471">
        <f t="shared" si="116"/>
        <v>0.05</v>
      </c>
      <c r="N1752" s="475">
        <f t="shared" si="117"/>
        <v>104370</v>
      </c>
    </row>
    <row r="1753" spans="7:14" ht="11.25" customHeight="1" x14ac:dyDescent="0.3">
      <c r="G1753" s="470"/>
      <c r="H1753" s="470">
        <v>1746</v>
      </c>
      <c r="I1753" s="455">
        <f t="shared" ca="1" si="115"/>
        <v>-607434043.53446269</v>
      </c>
      <c r="J1753" s="455">
        <f t="array" ref="J1753">IFERROR(INDEX('Retirement Calculator'!K:K,MATCH('Lorri 401b'!N1753,'Retirement Calculator'!A:A,0),0),0)</f>
        <v>0</v>
      </c>
      <c r="K1753" s="455">
        <f t="shared" ca="1" si="113"/>
        <v>-2530975.1813935945</v>
      </c>
      <c r="L1753" s="455">
        <f t="shared" ca="1" si="114"/>
        <v>-609965018.71585631</v>
      </c>
      <c r="M1753" s="471">
        <f t="shared" si="116"/>
        <v>0.05</v>
      </c>
      <c r="N1753" s="475">
        <f t="shared" si="117"/>
        <v>104401</v>
      </c>
    </row>
    <row r="1754" spans="7:14" ht="11.25" customHeight="1" x14ac:dyDescent="0.3">
      <c r="G1754" s="470"/>
      <c r="H1754" s="470">
        <v>1747</v>
      </c>
      <c r="I1754" s="455">
        <f t="shared" ca="1" si="115"/>
        <v>-609965018.71585631</v>
      </c>
      <c r="J1754" s="455">
        <f t="array" ref="J1754">IFERROR(INDEX('Retirement Calculator'!K:K,MATCH('Lorri 401b'!N1754,'Retirement Calculator'!A:A,0),0),0)</f>
        <v>0</v>
      </c>
      <c r="K1754" s="455">
        <f t="shared" ca="1" si="113"/>
        <v>-2541520.9113160679</v>
      </c>
      <c r="L1754" s="455">
        <f t="shared" ca="1" si="114"/>
        <v>-612506539.62717235</v>
      </c>
      <c r="M1754" s="471">
        <f t="shared" si="116"/>
        <v>0.05</v>
      </c>
      <c r="N1754" s="475">
        <f t="shared" si="117"/>
        <v>104431</v>
      </c>
    </row>
    <row r="1755" spans="7:14" ht="11.25" customHeight="1" x14ac:dyDescent="0.3">
      <c r="G1755" s="470"/>
      <c r="H1755" s="470">
        <v>1748</v>
      </c>
      <c r="I1755" s="455">
        <f t="shared" ca="1" si="115"/>
        <v>-612506539.62717235</v>
      </c>
      <c r="J1755" s="455">
        <f t="array" ref="J1755">IFERROR(INDEX('Retirement Calculator'!K:K,MATCH('Lorri 401b'!N1755,'Retirement Calculator'!A:A,0),0),0)</f>
        <v>0</v>
      </c>
      <c r="K1755" s="455">
        <f t="shared" ca="1" si="113"/>
        <v>-2552110.5817798846</v>
      </c>
      <c r="L1755" s="455">
        <f t="shared" ca="1" si="114"/>
        <v>-615058650.20895219</v>
      </c>
      <c r="M1755" s="471">
        <f t="shared" si="116"/>
        <v>0.05</v>
      </c>
      <c r="N1755" s="475">
        <f t="shared" si="117"/>
        <v>104462</v>
      </c>
    </row>
    <row r="1756" spans="7:14" ht="11.25" customHeight="1" x14ac:dyDescent="0.3">
      <c r="G1756" s="470"/>
      <c r="H1756" s="470">
        <v>1749</v>
      </c>
      <c r="I1756" s="455">
        <f t="shared" ca="1" si="115"/>
        <v>-615058650.20895219</v>
      </c>
      <c r="J1756" s="455">
        <f t="array" ref="J1756">IFERROR(INDEX('Retirement Calculator'!K:K,MATCH('Lorri 401b'!N1756,'Retirement Calculator'!A:A,0),0),0)</f>
        <v>0</v>
      </c>
      <c r="K1756" s="455">
        <f t="shared" ca="1" si="113"/>
        <v>-2562744.3758706339</v>
      </c>
      <c r="L1756" s="455">
        <f t="shared" ca="1" si="114"/>
        <v>-617621394.58482277</v>
      </c>
      <c r="M1756" s="471">
        <f t="shared" si="116"/>
        <v>0.05</v>
      </c>
      <c r="N1756" s="475">
        <f t="shared" si="117"/>
        <v>104493</v>
      </c>
    </row>
    <row r="1757" spans="7:14" ht="11.25" customHeight="1" x14ac:dyDescent="0.3">
      <c r="G1757" s="470"/>
      <c r="H1757" s="470">
        <v>1750</v>
      </c>
      <c r="I1757" s="455">
        <f t="shared" ca="1" si="115"/>
        <v>-617621394.58482277</v>
      </c>
      <c r="J1757" s="455">
        <f t="array" ref="J1757">IFERROR(INDEX('Retirement Calculator'!K:K,MATCH('Lorri 401b'!N1757,'Retirement Calculator'!A:A,0),0),0)</f>
        <v>0</v>
      </c>
      <c r="K1757" s="455">
        <f t="shared" ca="1" si="113"/>
        <v>-2573422.4774367614</v>
      </c>
      <c r="L1757" s="455">
        <f t="shared" ca="1" si="114"/>
        <v>-620194817.06225955</v>
      </c>
      <c r="M1757" s="471">
        <f t="shared" si="116"/>
        <v>0.05</v>
      </c>
      <c r="N1757" s="475">
        <f t="shared" si="117"/>
        <v>104521</v>
      </c>
    </row>
    <row r="1758" spans="7:14" ht="11.25" customHeight="1" x14ac:dyDescent="0.3">
      <c r="G1758" s="470"/>
      <c r="H1758" s="470">
        <v>1751</v>
      </c>
      <c r="I1758" s="455">
        <f t="shared" ca="1" si="115"/>
        <v>-620194817.06225955</v>
      </c>
      <c r="J1758" s="455">
        <f t="array" ref="J1758">IFERROR(INDEX('Retirement Calculator'!K:K,MATCH('Lorri 401b'!N1758,'Retirement Calculator'!A:A,0),0),0)</f>
        <v>0</v>
      </c>
      <c r="K1758" s="455">
        <f t="shared" ca="1" si="113"/>
        <v>-2584145.0710927481</v>
      </c>
      <c r="L1758" s="455">
        <f t="shared" ca="1" si="114"/>
        <v>-622778962.13335228</v>
      </c>
      <c r="M1758" s="471">
        <f t="shared" si="116"/>
        <v>0.05</v>
      </c>
      <c r="N1758" s="475">
        <f t="shared" si="117"/>
        <v>104552</v>
      </c>
    </row>
    <row r="1759" spans="7:14" ht="11.25" customHeight="1" x14ac:dyDescent="0.3">
      <c r="G1759" s="470"/>
      <c r="H1759" s="470">
        <v>1752</v>
      </c>
      <c r="I1759" s="455">
        <f t="shared" ca="1" si="115"/>
        <v>-622778962.13335228</v>
      </c>
      <c r="J1759" s="455">
        <f t="array" ref="J1759">IFERROR(INDEX('Retirement Calculator'!K:K,MATCH('Lorri 401b'!N1759,'Retirement Calculator'!A:A,0),0),0)</f>
        <v>0</v>
      </c>
      <c r="K1759" s="455">
        <f t="shared" ca="1" si="113"/>
        <v>-2594912.3422223013</v>
      </c>
      <c r="L1759" s="455">
        <f t="shared" ca="1" si="114"/>
        <v>-625373874.47557461</v>
      </c>
      <c r="M1759" s="471">
        <f t="shared" si="116"/>
        <v>0.05</v>
      </c>
      <c r="N1759" s="475">
        <f t="shared" si="117"/>
        <v>104582</v>
      </c>
    </row>
    <row r="1760" spans="7:14" ht="11.25" customHeight="1" x14ac:dyDescent="0.3">
      <c r="G1760" s="470"/>
      <c r="H1760" s="470">
        <v>1753</v>
      </c>
      <c r="I1760" s="455">
        <f t="shared" ca="1" si="115"/>
        <v>-625373874.47557461</v>
      </c>
      <c r="J1760" s="455">
        <f t="array" ref="J1760">IFERROR(INDEX('Retirement Calculator'!K:K,MATCH('Lorri 401b'!N1760,'Retirement Calculator'!A:A,0),0),0)</f>
        <v>0</v>
      </c>
      <c r="K1760" s="455">
        <f t="shared" ca="1" si="113"/>
        <v>-2605724.4769815607</v>
      </c>
      <c r="L1760" s="455">
        <f t="shared" ca="1" si="114"/>
        <v>-627979598.95255613</v>
      </c>
      <c r="M1760" s="471">
        <f t="shared" si="116"/>
        <v>0.05</v>
      </c>
      <c r="N1760" s="475">
        <f t="shared" si="117"/>
        <v>104613</v>
      </c>
    </row>
    <row r="1761" spans="7:14" ht="11.25" customHeight="1" x14ac:dyDescent="0.3">
      <c r="G1761" s="470"/>
      <c r="H1761" s="470">
        <v>1754</v>
      </c>
      <c r="I1761" s="455">
        <f t="shared" ca="1" si="115"/>
        <v>-627979598.95255613</v>
      </c>
      <c r="J1761" s="455">
        <f t="array" ref="J1761">IFERROR(INDEX('Retirement Calculator'!K:K,MATCH('Lorri 401b'!N1761,'Retirement Calculator'!A:A,0),0),0)</f>
        <v>0</v>
      </c>
      <c r="K1761" s="455">
        <f t="shared" ca="1" si="113"/>
        <v>-2616581.6623023171</v>
      </c>
      <c r="L1761" s="455">
        <f t="shared" ca="1" si="114"/>
        <v>-630596180.61485851</v>
      </c>
      <c r="M1761" s="471">
        <f t="shared" si="116"/>
        <v>0.05</v>
      </c>
      <c r="N1761" s="475">
        <f t="shared" si="117"/>
        <v>104643</v>
      </c>
    </row>
    <row r="1762" spans="7:14" ht="11.25" customHeight="1" x14ac:dyDescent="0.3">
      <c r="G1762" s="470"/>
      <c r="H1762" s="470">
        <v>1755</v>
      </c>
      <c r="I1762" s="455">
        <f t="shared" ca="1" si="115"/>
        <v>-630596180.61485851</v>
      </c>
      <c r="J1762" s="455">
        <f t="array" ref="J1762">IFERROR(INDEX('Retirement Calculator'!K:K,MATCH('Lorri 401b'!N1762,'Retirement Calculator'!A:A,0),0),0)</f>
        <v>0</v>
      </c>
      <c r="K1762" s="455">
        <f t="shared" ca="1" si="113"/>
        <v>-2627484.0858952436</v>
      </c>
      <c r="L1762" s="455">
        <f t="shared" ca="1" si="114"/>
        <v>-633223664.70075381</v>
      </c>
      <c r="M1762" s="471">
        <f t="shared" si="116"/>
        <v>0.05</v>
      </c>
      <c r="N1762" s="475">
        <f t="shared" si="117"/>
        <v>104674</v>
      </c>
    </row>
    <row r="1763" spans="7:14" ht="11.25" customHeight="1" x14ac:dyDescent="0.3">
      <c r="G1763" s="470"/>
      <c r="H1763" s="470">
        <v>1756</v>
      </c>
      <c r="I1763" s="455">
        <f t="shared" ca="1" si="115"/>
        <v>-633223664.70075381</v>
      </c>
      <c r="J1763" s="455">
        <f t="array" ref="J1763">IFERROR(INDEX('Retirement Calculator'!K:K,MATCH('Lorri 401b'!N1763,'Retirement Calculator'!A:A,0),0),0)</f>
        <v>0</v>
      </c>
      <c r="K1763" s="455">
        <f t="shared" ca="1" si="113"/>
        <v>-2638431.9362531407</v>
      </c>
      <c r="L1763" s="455">
        <f t="shared" ca="1" si="114"/>
        <v>-635862096.637007</v>
      </c>
      <c r="M1763" s="471">
        <f t="shared" si="116"/>
        <v>0.05</v>
      </c>
      <c r="N1763" s="475">
        <f t="shared" si="117"/>
        <v>104705</v>
      </c>
    </row>
    <row r="1764" spans="7:14" ht="11.25" customHeight="1" x14ac:dyDescent="0.3">
      <c r="G1764" s="470"/>
      <c r="H1764" s="470">
        <v>1757</v>
      </c>
      <c r="I1764" s="455">
        <f t="shared" ca="1" si="115"/>
        <v>-635862096.637007</v>
      </c>
      <c r="J1764" s="455">
        <f t="array" ref="J1764">IFERROR(INDEX('Retirement Calculator'!K:K,MATCH('Lorri 401b'!N1764,'Retirement Calculator'!A:A,0),0),0)</f>
        <v>0</v>
      </c>
      <c r="K1764" s="455">
        <f t="shared" ca="1" si="113"/>
        <v>-2649425.4026541957</v>
      </c>
      <c r="L1764" s="455">
        <f t="shared" ca="1" si="114"/>
        <v>-638511522.03966117</v>
      </c>
      <c r="M1764" s="471">
        <f t="shared" si="116"/>
        <v>0.05</v>
      </c>
      <c r="N1764" s="475">
        <f t="shared" si="117"/>
        <v>104735</v>
      </c>
    </row>
    <row r="1765" spans="7:14" ht="11.25" customHeight="1" x14ac:dyDescent="0.3">
      <c r="G1765" s="470"/>
      <c r="H1765" s="470">
        <v>1758</v>
      </c>
      <c r="I1765" s="455">
        <f t="shared" ca="1" si="115"/>
        <v>-638511522.03966117</v>
      </c>
      <c r="J1765" s="455">
        <f t="array" ref="J1765">IFERROR(INDEX('Retirement Calculator'!K:K,MATCH('Lorri 401b'!N1765,'Retirement Calculator'!A:A,0),0),0)</f>
        <v>0</v>
      </c>
      <c r="K1765" s="455">
        <f t="shared" ca="1" si="113"/>
        <v>-2660464.6751652546</v>
      </c>
      <c r="L1765" s="455">
        <f t="shared" ca="1" si="114"/>
        <v>-641171986.71482646</v>
      </c>
      <c r="M1765" s="471">
        <f t="shared" si="116"/>
        <v>0.05</v>
      </c>
      <c r="N1765" s="475">
        <f t="shared" si="117"/>
        <v>104766</v>
      </c>
    </row>
    <row r="1766" spans="7:14" ht="11.25" customHeight="1" x14ac:dyDescent="0.3">
      <c r="G1766" s="470"/>
      <c r="H1766" s="470">
        <v>1759</v>
      </c>
      <c r="I1766" s="455">
        <f t="shared" ca="1" si="115"/>
        <v>-641171986.71482646</v>
      </c>
      <c r="J1766" s="455">
        <f t="array" ref="J1766">IFERROR(INDEX('Retirement Calculator'!K:K,MATCH('Lorri 401b'!N1766,'Retirement Calculator'!A:A,0),0),0)</f>
        <v>0</v>
      </c>
      <c r="K1766" s="455">
        <f t="shared" ca="1" si="113"/>
        <v>-2671549.9446451101</v>
      </c>
      <c r="L1766" s="455">
        <f t="shared" ca="1" si="114"/>
        <v>-643843536.65947163</v>
      </c>
      <c r="M1766" s="471">
        <f t="shared" si="116"/>
        <v>0.05</v>
      </c>
      <c r="N1766" s="475">
        <f t="shared" si="117"/>
        <v>104796</v>
      </c>
    </row>
    <row r="1767" spans="7:14" ht="11.25" customHeight="1" x14ac:dyDescent="0.3">
      <c r="G1767" s="470"/>
      <c r="H1767" s="470">
        <v>1760</v>
      </c>
      <c r="I1767" s="455">
        <f t="shared" ca="1" si="115"/>
        <v>-643843536.65947163</v>
      </c>
      <c r="J1767" s="455">
        <f t="array" ref="J1767">IFERROR(INDEX('Retirement Calculator'!K:K,MATCH('Lorri 401b'!N1767,'Retirement Calculator'!A:A,0),0),0)</f>
        <v>0</v>
      </c>
      <c r="K1767" s="455">
        <f t="shared" ca="1" si="113"/>
        <v>-2682681.4027477982</v>
      </c>
      <c r="L1767" s="455">
        <f t="shared" ca="1" si="114"/>
        <v>-646526218.06221938</v>
      </c>
      <c r="M1767" s="471">
        <f t="shared" si="116"/>
        <v>0.05</v>
      </c>
      <c r="N1767" s="475">
        <f t="shared" si="117"/>
        <v>104827</v>
      </c>
    </row>
    <row r="1768" spans="7:14" ht="11.25" customHeight="1" x14ac:dyDescent="0.3">
      <c r="G1768" s="470"/>
      <c r="H1768" s="470">
        <v>1761</v>
      </c>
      <c r="I1768" s="455">
        <f t="shared" ca="1" si="115"/>
        <v>-646526218.06221938</v>
      </c>
      <c r="J1768" s="455">
        <f t="array" ref="J1768">IFERROR(INDEX('Retirement Calculator'!K:K,MATCH('Lorri 401b'!N1768,'Retirement Calculator'!A:A,0),0),0)</f>
        <v>0</v>
      </c>
      <c r="K1768" s="455">
        <f t="shared" ca="1" si="113"/>
        <v>-2693859.2419259138</v>
      </c>
      <c r="L1768" s="455">
        <f t="shared" ca="1" si="114"/>
        <v>-649220077.30414534</v>
      </c>
      <c r="M1768" s="471">
        <f t="shared" si="116"/>
        <v>0.05</v>
      </c>
      <c r="N1768" s="475">
        <f t="shared" si="117"/>
        <v>104858</v>
      </c>
    </row>
    <row r="1769" spans="7:14" ht="11.25" customHeight="1" x14ac:dyDescent="0.3">
      <c r="G1769" s="470"/>
      <c r="H1769" s="470">
        <v>1762</v>
      </c>
      <c r="I1769" s="455">
        <f t="shared" ca="1" si="115"/>
        <v>-649220077.30414534</v>
      </c>
      <c r="J1769" s="455">
        <f t="array" ref="J1769">IFERROR(INDEX('Retirement Calculator'!K:K,MATCH('Lorri 401b'!N1769,'Retirement Calculator'!A:A,0),0),0)</f>
        <v>0</v>
      </c>
      <c r="K1769" s="455">
        <f t="shared" ca="1" si="113"/>
        <v>-2705083.6554339388</v>
      </c>
      <c r="L1769" s="455">
        <f t="shared" ca="1" si="114"/>
        <v>-651925160.95957923</v>
      </c>
      <c r="M1769" s="471">
        <f t="shared" si="116"/>
        <v>0.05</v>
      </c>
      <c r="N1769" s="475">
        <f t="shared" si="117"/>
        <v>104886</v>
      </c>
    </row>
    <row r="1770" spans="7:14" ht="11.25" customHeight="1" x14ac:dyDescent="0.3">
      <c r="G1770" s="470"/>
      <c r="H1770" s="470">
        <v>1763</v>
      </c>
      <c r="I1770" s="455">
        <f t="shared" ca="1" si="115"/>
        <v>-651925160.95957923</v>
      </c>
      <c r="J1770" s="455">
        <f t="array" ref="J1770">IFERROR(INDEX('Retirement Calculator'!K:K,MATCH('Lorri 401b'!N1770,'Retirement Calculator'!A:A,0),0),0)</f>
        <v>0</v>
      </c>
      <c r="K1770" s="455">
        <f t="shared" ca="1" si="113"/>
        <v>-2716354.83733158</v>
      </c>
      <c r="L1770" s="455">
        <f t="shared" ca="1" si="114"/>
        <v>-654641515.79691076</v>
      </c>
      <c r="M1770" s="471">
        <f t="shared" si="116"/>
        <v>0.05</v>
      </c>
      <c r="N1770" s="475">
        <f t="shared" si="117"/>
        <v>104917</v>
      </c>
    </row>
    <row r="1771" spans="7:14" ht="11.25" customHeight="1" x14ac:dyDescent="0.3">
      <c r="G1771" s="470"/>
      <c r="H1771" s="470">
        <v>1764</v>
      </c>
      <c r="I1771" s="455">
        <f t="shared" ca="1" si="115"/>
        <v>-654641515.79691076</v>
      </c>
      <c r="J1771" s="455">
        <f t="array" ref="J1771">IFERROR(INDEX('Retirement Calculator'!K:K,MATCH('Lorri 401b'!N1771,'Retirement Calculator'!A:A,0),0),0)</f>
        <v>0</v>
      </c>
      <c r="K1771" s="455">
        <f t="shared" ca="1" si="113"/>
        <v>-2727672.9824871281</v>
      </c>
      <c r="L1771" s="455">
        <f t="shared" ca="1" si="114"/>
        <v>-657369188.77939785</v>
      </c>
      <c r="M1771" s="471">
        <f t="shared" si="116"/>
        <v>0.05</v>
      </c>
      <c r="N1771" s="475">
        <f t="shared" si="117"/>
        <v>104947</v>
      </c>
    </row>
    <row r="1772" spans="7:14" ht="11.25" customHeight="1" x14ac:dyDescent="0.3">
      <c r="G1772" s="470"/>
      <c r="H1772" s="470">
        <v>1765</v>
      </c>
      <c r="I1772" s="455">
        <f t="shared" ca="1" si="115"/>
        <v>-657369188.77939785</v>
      </c>
      <c r="J1772" s="455">
        <f t="array" ref="J1772">IFERROR(INDEX('Retirement Calculator'!K:K,MATCH('Lorri 401b'!N1772,'Retirement Calculator'!A:A,0),0),0)</f>
        <v>0</v>
      </c>
      <c r="K1772" s="455">
        <f t="shared" ca="1" si="113"/>
        <v>-2739038.2865808243</v>
      </c>
      <c r="L1772" s="455">
        <f t="shared" ca="1" si="114"/>
        <v>-660108227.06597865</v>
      </c>
      <c r="M1772" s="471">
        <f t="shared" si="116"/>
        <v>0.05</v>
      </c>
      <c r="N1772" s="475">
        <f t="shared" si="117"/>
        <v>104978</v>
      </c>
    </row>
    <row r="1773" spans="7:14" ht="11.25" customHeight="1" x14ac:dyDescent="0.3">
      <c r="G1773" s="470"/>
      <c r="H1773" s="470">
        <v>1766</v>
      </c>
      <c r="I1773" s="455">
        <f t="shared" ca="1" si="115"/>
        <v>-660108227.06597865</v>
      </c>
      <c r="J1773" s="455">
        <f t="array" ref="J1773">IFERROR(INDEX('Retirement Calculator'!K:K,MATCH('Lorri 401b'!N1773,'Retirement Calculator'!A:A,0),0),0)</f>
        <v>0</v>
      </c>
      <c r="K1773" s="455">
        <f t="shared" ca="1" si="113"/>
        <v>-2750450.9461082444</v>
      </c>
      <c r="L1773" s="455">
        <f t="shared" ca="1" si="114"/>
        <v>-662858678.01208687</v>
      </c>
      <c r="M1773" s="471">
        <f t="shared" si="116"/>
        <v>0.05</v>
      </c>
      <c r="N1773" s="475">
        <f t="shared" si="117"/>
        <v>105008</v>
      </c>
    </row>
    <row r="1774" spans="7:14" ht="11.25" customHeight="1" x14ac:dyDescent="0.3">
      <c r="G1774" s="470"/>
      <c r="H1774" s="470">
        <v>1767</v>
      </c>
      <c r="I1774" s="455">
        <f t="shared" ca="1" si="115"/>
        <v>-662858678.01208687</v>
      </c>
      <c r="J1774" s="455">
        <f t="array" ref="J1774">IFERROR(INDEX('Retirement Calculator'!K:K,MATCH('Lorri 401b'!N1774,'Retirement Calculator'!A:A,0),0),0)</f>
        <v>0</v>
      </c>
      <c r="K1774" s="455">
        <f t="shared" ca="1" si="113"/>
        <v>-2761911.1583836954</v>
      </c>
      <c r="L1774" s="455">
        <f t="shared" ca="1" si="114"/>
        <v>-665620589.1704706</v>
      </c>
      <c r="M1774" s="471">
        <f t="shared" si="116"/>
        <v>0.05</v>
      </c>
      <c r="N1774" s="475">
        <f t="shared" si="117"/>
        <v>105039</v>
      </c>
    </row>
    <row r="1775" spans="7:14" ht="11.25" customHeight="1" x14ac:dyDescent="0.3">
      <c r="G1775" s="470"/>
      <c r="H1775" s="470">
        <v>1768</v>
      </c>
      <c r="I1775" s="455">
        <f t="shared" ca="1" si="115"/>
        <v>-665620589.1704706</v>
      </c>
      <c r="J1775" s="455">
        <f t="array" ref="J1775">IFERROR(INDEX('Retirement Calculator'!K:K,MATCH('Lorri 401b'!N1775,'Retirement Calculator'!A:A,0),0),0)</f>
        <v>0</v>
      </c>
      <c r="K1775" s="455">
        <f t="shared" ca="1" si="113"/>
        <v>-2773419.1215436272</v>
      </c>
      <c r="L1775" s="455">
        <f t="shared" ca="1" si="114"/>
        <v>-668394008.29201424</v>
      </c>
      <c r="M1775" s="471">
        <f t="shared" si="116"/>
        <v>0.05</v>
      </c>
      <c r="N1775" s="475">
        <f t="shared" si="117"/>
        <v>105070</v>
      </c>
    </row>
    <row r="1776" spans="7:14" ht="11.25" customHeight="1" x14ac:dyDescent="0.3">
      <c r="G1776" s="470"/>
      <c r="H1776" s="470">
        <v>1769</v>
      </c>
      <c r="I1776" s="455">
        <f t="shared" ca="1" si="115"/>
        <v>-668394008.29201424</v>
      </c>
      <c r="J1776" s="455">
        <f t="array" ref="J1776">IFERROR(INDEX('Retirement Calculator'!K:K,MATCH('Lorri 401b'!N1776,'Retirement Calculator'!A:A,0),0),0)</f>
        <v>0</v>
      </c>
      <c r="K1776" s="455">
        <f t="shared" ca="1" si="113"/>
        <v>-2784975.0345500591</v>
      </c>
      <c r="L1776" s="455">
        <f t="shared" ca="1" si="114"/>
        <v>-671178983.32656431</v>
      </c>
      <c r="M1776" s="471">
        <f t="shared" si="116"/>
        <v>0.05</v>
      </c>
      <c r="N1776" s="475">
        <f t="shared" si="117"/>
        <v>105100</v>
      </c>
    </row>
    <row r="1777" spans="7:14" ht="11.25" customHeight="1" x14ac:dyDescent="0.3">
      <c r="G1777" s="470"/>
      <c r="H1777" s="470">
        <v>1770</v>
      </c>
      <c r="I1777" s="455">
        <f t="shared" ca="1" si="115"/>
        <v>-671178983.32656431</v>
      </c>
      <c r="J1777" s="455">
        <f t="array" ref="J1777">IFERROR(INDEX('Retirement Calculator'!K:K,MATCH('Lorri 401b'!N1777,'Retirement Calculator'!A:A,0),0),0)</f>
        <v>0</v>
      </c>
      <c r="K1777" s="455">
        <f t="shared" ca="1" si="113"/>
        <v>-2796579.0971940178</v>
      </c>
      <c r="L1777" s="455">
        <f t="shared" ca="1" si="114"/>
        <v>-673975562.42375839</v>
      </c>
      <c r="M1777" s="471">
        <f t="shared" si="116"/>
        <v>0.05</v>
      </c>
      <c r="N1777" s="475">
        <f t="shared" si="117"/>
        <v>105131</v>
      </c>
    </row>
    <row r="1778" spans="7:14" ht="11.25" customHeight="1" x14ac:dyDescent="0.3">
      <c r="G1778" s="470"/>
      <c r="H1778" s="470">
        <v>1771</v>
      </c>
      <c r="I1778" s="455">
        <f t="shared" ca="1" si="115"/>
        <v>-673975562.42375839</v>
      </c>
      <c r="J1778" s="455">
        <f t="array" ref="J1778">IFERROR(INDEX('Retirement Calculator'!K:K,MATCH('Lorri 401b'!N1778,'Retirement Calculator'!A:A,0),0),0)</f>
        <v>0</v>
      </c>
      <c r="K1778" s="455">
        <f t="shared" ca="1" si="113"/>
        <v>-2808231.5100989933</v>
      </c>
      <c r="L1778" s="455">
        <f t="shared" ca="1" si="114"/>
        <v>-676783793.93385732</v>
      </c>
      <c r="M1778" s="471">
        <f t="shared" si="116"/>
        <v>0.05</v>
      </c>
      <c r="N1778" s="475">
        <f t="shared" si="117"/>
        <v>105161</v>
      </c>
    </row>
    <row r="1779" spans="7:14" ht="11.25" customHeight="1" x14ac:dyDescent="0.3">
      <c r="G1779" s="470"/>
      <c r="H1779" s="470">
        <v>1772</v>
      </c>
      <c r="I1779" s="455">
        <f t="shared" ca="1" si="115"/>
        <v>-676783793.93385732</v>
      </c>
      <c r="J1779" s="455">
        <f t="array" ref="J1779">IFERROR(INDEX('Retirement Calculator'!K:K,MATCH('Lorri 401b'!N1779,'Retirement Calculator'!A:A,0),0),0)</f>
        <v>0</v>
      </c>
      <c r="K1779" s="455">
        <f t="shared" ca="1" si="113"/>
        <v>-2819932.4747244054</v>
      </c>
      <c r="L1779" s="455">
        <f t="shared" ca="1" si="114"/>
        <v>-679603726.40858173</v>
      </c>
      <c r="M1779" s="471">
        <f t="shared" si="116"/>
        <v>0.05</v>
      </c>
      <c r="N1779" s="475">
        <f t="shared" si="117"/>
        <v>105192</v>
      </c>
    </row>
    <row r="1780" spans="7:14" ht="11.25" customHeight="1" x14ac:dyDescent="0.3">
      <c r="G1780" s="470"/>
      <c r="H1780" s="470">
        <v>1773</v>
      </c>
      <c r="I1780" s="455">
        <f t="shared" ca="1" si="115"/>
        <v>-679603726.40858173</v>
      </c>
      <c r="J1780" s="455">
        <f t="array" ref="J1780">IFERROR(INDEX('Retirement Calculator'!K:K,MATCH('Lorri 401b'!N1780,'Retirement Calculator'!A:A,0),0),0)</f>
        <v>0</v>
      </c>
      <c r="K1780" s="455">
        <f t="shared" ca="1" si="113"/>
        <v>-2831682.1933690906</v>
      </c>
      <c r="L1780" s="455">
        <f t="shared" ca="1" si="114"/>
        <v>-682435408.60195088</v>
      </c>
      <c r="M1780" s="471">
        <f t="shared" si="116"/>
        <v>0.05</v>
      </c>
      <c r="N1780" s="475">
        <f t="shared" si="117"/>
        <v>105223</v>
      </c>
    </row>
    <row r="1781" spans="7:14" ht="11.25" customHeight="1" x14ac:dyDescent="0.3">
      <c r="G1781" s="470"/>
      <c r="H1781" s="470">
        <v>1774</v>
      </c>
      <c r="I1781" s="455">
        <f t="shared" ca="1" si="115"/>
        <v>-682435408.60195088</v>
      </c>
      <c r="J1781" s="455">
        <f t="array" ref="J1781">IFERROR(INDEX('Retirement Calculator'!K:K,MATCH('Lorri 401b'!N1781,'Retirement Calculator'!A:A,0),0),0)</f>
        <v>0</v>
      </c>
      <c r="K1781" s="455">
        <f t="shared" ca="1" si="113"/>
        <v>-2843480.8691747952</v>
      </c>
      <c r="L1781" s="455">
        <f t="shared" ca="1" si="114"/>
        <v>-685278889.47112572</v>
      </c>
      <c r="M1781" s="471">
        <f t="shared" si="116"/>
        <v>0.05</v>
      </c>
      <c r="N1781" s="475">
        <f t="shared" si="117"/>
        <v>105252</v>
      </c>
    </row>
    <row r="1782" spans="7:14" ht="11.25" customHeight="1" x14ac:dyDescent="0.3">
      <c r="G1782" s="470"/>
      <c r="H1782" s="470">
        <v>1775</v>
      </c>
      <c r="I1782" s="455">
        <f t="shared" ca="1" si="115"/>
        <v>-685278889.47112572</v>
      </c>
      <c r="J1782" s="455">
        <f t="array" ref="J1782">IFERROR(INDEX('Retirement Calculator'!K:K,MATCH('Lorri 401b'!N1782,'Retirement Calculator'!A:A,0),0),0)</f>
        <v>0</v>
      </c>
      <c r="K1782" s="455">
        <f t="shared" ca="1" si="113"/>
        <v>-2855328.7061296906</v>
      </c>
      <c r="L1782" s="455">
        <f t="shared" ca="1" si="114"/>
        <v>-688134218.17725539</v>
      </c>
      <c r="M1782" s="471">
        <f t="shared" si="116"/>
        <v>0.05</v>
      </c>
      <c r="N1782" s="475">
        <f t="shared" si="117"/>
        <v>105283</v>
      </c>
    </row>
    <row r="1783" spans="7:14" ht="11.25" customHeight="1" x14ac:dyDescent="0.3">
      <c r="G1783" s="470"/>
      <c r="H1783" s="470">
        <v>1776</v>
      </c>
      <c r="I1783" s="455">
        <f t="shared" ca="1" si="115"/>
        <v>-688134218.17725539</v>
      </c>
      <c r="J1783" s="455">
        <f t="array" ref="J1783">IFERROR(INDEX('Retirement Calculator'!K:K,MATCH('Lorri 401b'!N1783,'Retirement Calculator'!A:A,0),0),0)</f>
        <v>0</v>
      </c>
      <c r="K1783" s="455">
        <f t="shared" ca="1" si="113"/>
        <v>-2867225.9090718976</v>
      </c>
      <c r="L1783" s="455">
        <f t="shared" ca="1" si="114"/>
        <v>-691001444.08632731</v>
      </c>
      <c r="M1783" s="471">
        <f t="shared" si="116"/>
        <v>0.05</v>
      </c>
      <c r="N1783" s="475">
        <f t="shared" si="117"/>
        <v>105313</v>
      </c>
    </row>
    <row r="1784" spans="7:14" ht="11.25" customHeight="1" x14ac:dyDescent="0.3">
      <c r="G1784" s="470"/>
      <c r="H1784" s="470">
        <v>1777</v>
      </c>
      <c r="I1784" s="455">
        <f t="shared" ca="1" si="115"/>
        <v>-691001444.08632731</v>
      </c>
      <c r="J1784" s="455">
        <f t="array" ref="J1784">IFERROR(INDEX('Retirement Calculator'!K:K,MATCH('Lorri 401b'!N1784,'Retirement Calculator'!A:A,0),0),0)</f>
        <v>0</v>
      </c>
      <c r="K1784" s="455">
        <f t="shared" ca="1" si="113"/>
        <v>-2879172.6836930304</v>
      </c>
      <c r="L1784" s="455">
        <f t="shared" ca="1" si="114"/>
        <v>-693880616.77002037</v>
      </c>
      <c r="M1784" s="471">
        <f t="shared" si="116"/>
        <v>0.05</v>
      </c>
      <c r="N1784" s="475">
        <f t="shared" si="117"/>
        <v>105344</v>
      </c>
    </row>
    <row r="1785" spans="7:14" ht="11.25" customHeight="1" x14ac:dyDescent="0.3">
      <c r="G1785" s="470"/>
      <c r="H1785" s="470">
        <v>1778</v>
      </c>
      <c r="I1785" s="455">
        <f t="shared" ca="1" si="115"/>
        <v>-693880616.77002037</v>
      </c>
      <c r="J1785" s="455">
        <f t="array" ref="J1785">IFERROR(INDEX('Retirement Calculator'!K:K,MATCH('Lorri 401b'!N1785,'Retirement Calculator'!A:A,0),0),0)</f>
        <v>0</v>
      </c>
      <c r="K1785" s="455">
        <f t="shared" ca="1" si="113"/>
        <v>-2891169.2365417513</v>
      </c>
      <c r="L1785" s="455">
        <f t="shared" ca="1" si="114"/>
        <v>-696771786.00656211</v>
      </c>
      <c r="M1785" s="471">
        <f t="shared" si="116"/>
        <v>0.05</v>
      </c>
      <c r="N1785" s="475">
        <f t="shared" si="117"/>
        <v>105374</v>
      </c>
    </row>
    <row r="1786" spans="7:14" ht="11.25" customHeight="1" x14ac:dyDescent="0.3">
      <c r="G1786" s="470"/>
      <c r="H1786" s="470">
        <v>1779</v>
      </c>
      <c r="I1786" s="455">
        <f t="shared" ca="1" si="115"/>
        <v>-696771786.00656211</v>
      </c>
      <c r="J1786" s="455">
        <f t="array" ref="J1786">IFERROR(INDEX('Retirement Calculator'!K:K,MATCH('Lorri 401b'!N1786,'Retirement Calculator'!A:A,0),0),0)</f>
        <v>0</v>
      </c>
      <c r="K1786" s="455">
        <f t="shared" ca="1" si="113"/>
        <v>-2903215.7750273421</v>
      </c>
      <c r="L1786" s="455">
        <f t="shared" ca="1" si="114"/>
        <v>-699675001.78158951</v>
      </c>
      <c r="M1786" s="471">
        <f t="shared" si="116"/>
        <v>0.05</v>
      </c>
      <c r="N1786" s="475">
        <f t="shared" si="117"/>
        <v>105405</v>
      </c>
    </row>
    <row r="1787" spans="7:14" ht="11.25" customHeight="1" x14ac:dyDescent="0.3">
      <c r="G1787" s="470"/>
      <c r="H1787" s="470">
        <v>1780</v>
      </c>
      <c r="I1787" s="455">
        <f t="shared" ca="1" si="115"/>
        <v>-699675001.78158951</v>
      </c>
      <c r="J1787" s="455">
        <f t="array" ref="J1787">IFERROR(INDEX('Retirement Calculator'!K:K,MATCH('Lorri 401b'!N1787,'Retirement Calculator'!A:A,0),0),0)</f>
        <v>0</v>
      </c>
      <c r="K1787" s="455">
        <f t="shared" ca="1" si="113"/>
        <v>-2915312.5074232896</v>
      </c>
      <c r="L1787" s="455">
        <f t="shared" ca="1" si="114"/>
        <v>-702590314.28901279</v>
      </c>
      <c r="M1787" s="471">
        <f t="shared" si="116"/>
        <v>0.05</v>
      </c>
      <c r="N1787" s="475">
        <f t="shared" si="117"/>
        <v>105436</v>
      </c>
    </row>
    <row r="1788" spans="7:14" ht="11.25" customHeight="1" x14ac:dyDescent="0.3">
      <c r="G1788" s="470"/>
      <c r="H1788" s="470">
        <v>1781</v>
      </c>
      <c r="I1788" s="455">
        <f t="shared" ca="1" si="115"/>
        <v>-702590314.28901279</v>
      </c>
      <c r="J1788" s="455">
        <f t="array" ref="J1788">IFERROR(INDEX('Retirement Calculator'!K:K,MATCH('Lorri 401b'!N1788,'Retirement Calculator'!A:A,0),0),0)</f>
        <v>0</v>
      </c>
      <c r="K1788" s="455">
        <f t="shared" ca="1" si="113"/>
        <v>-2927459.6428708867</v>
      </c>
      <c r="L1788" s="455">
        <f t="shared" ca="1" si="114"/>
        <v>-705517773.93188369</v>
      </c>
      <c r="M1788" s="471">
        <f t="shared" si="116"/>
        <v>0.05</v>
      </c>
      <c r="N1788" s="475">
        <f t="shared" si="117"/>
        <v>105466</v>
      </c>
    </row>
    <row r="1789" spans="7:14" ht="11.25" customHeight="1" x14ac:dyDescent="0.3">
      <c r="G1789" s="470"/>
      <c r="H1789" s="470">
        <v>1782</v>
      </c>
      <c r="I1789" s="455">
        <f t="shared" ca="1" si="115"/>
        <v>-705517773.93188369</v>
      </c>
      <c r="J1789" s="455">
        <f t="array" ref="J1789">IFERROR(INDEX('Retirement Calculator'!K:K,MATCH('Lorri 401b'!N1789,'Retirement Calculator'!A:A,0),0),0)</f>
        <v>0</v>
      </c>
      <c r="K1789" s="455">
        <f t="shared" ca="1" si="113"/>
        <v>-2939657.3913828488</v>
      </c>
      <c r="L1789" s="455">
        <f t="shared" ca="1" si="114"/>
        <v>-708457431.32326651</v>
      </c>
      <c r="M1789" s="471">
        <f t="shared" si="116"/>
        <v>0.05</v>
      </c>
      <c r="N1789" s="475">
        <f t="shared" si="117"/>
        <v>105497</v>
      </c>
    </row>
    <row r="1790" spans="7:14" ht="11.25" customHeight="1" x14ac:dyDescent="0.3">
      <c r="G1790" s="470"/>
      <c r="H1790" s="470">
        <v>1783</v>
      </c>
      <c r="I1790" s="455">
        <f t="shared" ca="1" si="115"/>
        <v>-708457431.32326651</v>
      </c>
      <c r="J1790" s="455">
        <f t="array" ref="J1790">IFERROR(INDEX('Retirement Calculator'!K:K,MATCH('Lorri 401b'!N1790,'Retirement Calculator'!A:A,0),0),0)</f>
        <v>0</v>
      </c>
      <c r="K1790" s="455">
        <f t="shared" ca="1" si="113"/>
        <v>-2951905.9638469438</v>
      </c>
      <c r="L1790" s="455">
        <f t="shared" ca="1" si="114"/>
        <v>-711409337.28711343</v>
      </c>
      <c r="M1790" s="471">
        <f t="shared" si="116"/>
        <v>0.05</v>
      </c>
      <c r="N1790" s="475">
        <f t="shared" si="117"/>
        <v>105527</v>
      </c>
    </row>
    <row r="1791" spans="7:14" ht="11.25" customHeight="1" x14ac:dyDescent="0.3">
      <c r="G1791" s="470"/>
      <c r="H1791" s="470">
        <v>1784</v>
      </c>
      <c r="I1791" s="455">
        <f t="shared" ca="1" si="115"/>
        <v>-711409337.28711343</v>
      </c>
      <c r="J1791" s="455">
        <f t="array" ref="J1791">IFERROR(INDEX('Retirement Calculator'!K:K,MATCH('Lorri 401b'!N1791,'Retirement Calculator'!A:A,0),0),0)</f>
        <v>0</v>
      </c>
      <c r="K1791" s="455">
        <f t="shared" ca="1" si="113"/>
        <v>-2964205.572029639</v>
      </c>
      <c r="L1791" s="455">
        <f t="shared" ca="1" si="114"/>
        <v>-714373542.85914302</v>
      </c>
      <c r="M1791" s="471">
        <f t="shared" si="116"/>
        <v>0.05</v>
      </c>
      <c r="N1791" s="475">
        <f t="shared" si="117"/>
        <v>105558</v>
      </c>
    </row>
    <row r="1792" spans="7:14" ht="11.25" customHeight="1" x14ac:dyDescent="0.3">
      <c r="G1792" s="470"/>
      <c r="H1792" s="470">
        <v>1785</v>
      </c>
      <c r="I1792" s="455">
        <f t="shared" ca="1" si="115"/>
        <v>-714373542.85914302</v>
      </c>
      <c r="J1792" s="455">
        <f t="array" ref="J1792">IFERROR(INDEX('Retirement Calculator'!K:K,MATCH('Lorri 401b'!N1792,'Retirement Calculator'!A:A,0),0),0)</f>
        <v>0</v>
      </c>
      <c r="K1792" s="455">
        <f t="shared" ca="1" si="113"/>
        <v>-2976556.4285797626</v>
      </c>
      <c r="L1792" s="455">
        <f t="shared" ca="1" si="114"/>
        <v>-717350099.28772283</v>
      </c>
      <c r="M1792" s="471">
        <f t="shared" si="116"/>
        <v>0.05</v>
      </c>
      <c r="N1792" s="475">
        <f t="shared" si="117"/>
        <v>105589</v>
      </c>
    </row>
    <row r="1793" spans="7:14" ht="11.25" customHeight="1" x14ac:dyDescent="0.3">
      <c r="G1793" s="470"/>
      <c r="H1793" s="470">
        <v>1786</v>
      </c>
      <c r="I1793" s="455">
        <f t="shared" ca="1" si="115"/>
        <v>-717350099.28772283</v>
      </c>
      <c r="J1793" s="455">
        <f t="array" ref="J1793">IFERROR(INDEX('Retirement Calculator'!K:K,MATCH('Lorri 401b'!N1793,'Retirement Calculator'!A:A,0),0),0)</f>
        <v>0</v>
      </c>
      <c r="K1793" s="455">
        <f t="shared" ref="K1793:K2047" ca="1" si="118">IPMT(M1793/12,1,12,-I1793+J1793,,0)</f>
        <v>-2988958.7470321786</v>
      </c>
      <c r="L1793" s="455">
        <f t="shared" ref="L1793:L2047" ca="1" si="119">I1793-J1793+K1793</f>
        <v>-720339058.03475499</v>
      </c>
      <c r="M1793" s="471">
        <f t="shared" si="116"/>
        <v>0.05</v>
      </c>
      <c r="N1793" s="475">
        <f t="shared" si="117"/>
        <v>105617</v>
      </c>
    </row>
    <row r="1794" spans="7:14" ht="11.25" customHeight="1" x14ac:dyDescent="0.3">
      <c r="G1794" s="470"/>
      <c r="H1794" s="470">
        <v>1787</v>
      </c>
      <c r="I1794" s="455">
        <f t="shared" ref="I1794:I2048" ca="1" si="120">L1793</f>
        <v>-720339058.03475499</v>
      </c>
      <c r="J1794" s="455">
        <f t="array" ref="J1794">IFERROR(INDEX('Retirement Calculator'!K:K,MATCH('Lorri 401b'!N1794,'Retirement Calculator'!A:A,0),0),0)</f>
        <v>0</v>
      </c>
      <c r="K1794" s="455">
        <f t="shared" ca="1" si="118"/>
        <v>-3001412.741811479</v>
      </c>
      <c r="L1794" s="455">
        <f t="shared" ca="1" si="119"/>
        <v>-723340470.77656651</v>
      </c>
      <c r="M1794" s="471">
        <f t="shared" ref="M1794:M2048" si="121">M1793</f>
        <v>0.05</v>
      </c>
      <c r="N1794" s="475">
        <f t="shared" ref="N1794:N2048" si="122">EDATE(N1793,1)</f>
        <v>105648</v>
      </c>
    </row>
    <row r="1795" spans="7:14" ht="11.25" customHeight="1" x14ac:dyDescent="0.3">
      <c r="G1795" s="470"/>
      <c r="H1795" s="470">
        <v>1788</v>
      </c>
      <c r="I1795" s="455">
        <f t="shared" ca="1" si="120"/>
        <v>-723340470.77656651</v>
      </c>
      <c r="J1795" s="455">
        <f t="array" ref="J1795">IFERROR(INDEX('Retirement Calculator'!K:K,MATCH('Lorri 401b'!N1795,'Retirement Calculator'!A:A,0),0),0)</f>
        <v>0</v>
      </c>
      <c r="K1795" s="455">
        <f t="shared" ca="1" si="118"/>
        <v>-3013918.6282356936</v>
      </c>
      <c r="L1795" s="455">
        <f t="shared" ca="1" si="119"/>
        <v>-726354389.4048022</v>
      </c>
      <c r="M1795" s="471">
        <f t="shared" si="121"/>
        <v>0.05</v>
      </c>
      <c r="N1795" s="475">
        <f t="shared" si="122"/>
        <v>105678</v>
      </c>
    </row>
    <row r="1796" spans="7:14" ht="11.25" customHeight="1" x14ac:dyDescent="0.3">
      <c r="G1796" s="470"/>
      <c r="H1796" s="470">
        <v>1789</v>
      </c>
      <c r="I1796" s="455">
        <f t="shared" ca="1" si="120"/>
        <v>-726354389.4048022</v>
      </c>
      <c r="J1796" s="455">
        <f t="array" ref="J1796">IFERROR(INDEX('Retirement Calculator'!K:K,MATCH('Lorri 401b'!N1796,'Retirement Calculator'!A:A,0),0),0)</f>
        <v>0</v>
      </c>
      <c r="K1796" s="455">
        <f t="shared" ca="1" si="118"/>
        <v>-3026476.6225200091</v>
      </c>
      <c r="L1796" s="455">
        <f t="shared" ca="1" si="119"/>
        <v>-729380866.02732217</v>
      </c>
      <c r="M1796" s="471">
        <f t="shared" si="121"/>
        <v>0.05</v>
      </c>
      <c r="N1796" s="475">
        <f t="shared" si="122"/>
        <v>105709</v>
      </c>
    </row>
    <row r="1797" spans="7:14" ht="11.25" customHeight="1" x14ac:dyDescent="0.3">
      <c r="G1797" s="470"/>
      <c r="H1797" s="470">
        <v>1790</v>
      </c>
      <c r="I1797" s="455">
        <f t="shared" ca="1" si="120"/>
        <v>-729380866.02732217</v>
      </c>
      <c r="J1797" s="455">
        <f t="array" ref="J1797">IFERROR(INDEX('Retirement Calculator'!K:K,MATCH('Lorri 401b'!N1797,'Retirement Calculator'!A:A,0),0),0)</f>
        <v>0</v>
      </c>
      <c r="K1797" s="455">
        <f t="shared" ca="1" si="118"/>
        <v>-3039086.941780509</v>
      </c>
      <c r="L1797" s="455">
        <f t="shared" ca="1" si="119"/>
        <v>-732419952.96910274</v>
      </c>
      <c r="M1797" s="471">
        <f t="shared" si="121"/>
        <v>0.05</v>
      </c>
      <c r="N1797" s="475">
        <f t="shared" si="122"/>
        <v>105739</v>
      </c>
    </row>
    <row r="1798" spans="7:14" ht="11.25" customHeight="1" x14ac:dyDescent="0.3">
      <c r="G1798" s="470"/>
      <c r="H1798" s="470">
        <v>1791</v>
      </c>
      <c r="I1798" s="455">
        <f t="shared" ca="1" si="120"/>
        <v>-732419952.96910274</v>
      </c>
      <c r="J1798" s="455">
        <f t="array" ref="J1798">IFERROR(INDEX('Retirement Calculator'!K:K,MATCH('Lorri 401b'!N1798,'Retirement Calculator'!A:A,0),0),0)</f>
        <v>0</v>
      </c>
      <c r="K1798" s="455">
        <f t="shared" ca="1" si="118"/>
        <v>-3051749.8040379281</v>
      </c>
      <c r="L1798" s="455">
        <f t="shared" ca="1" si="119"/>
        <v>-735471702.77314067</v>
      </c>
      <c r="M1798" s="471">
        <f t="shared" si="121"/>
        <v>0.05</v>
      </c>
      <c r="N1798" s="475">
        <f t="shared" si="122"/>
        <v>105770</v>
      </c>
    </row>
    <row r="1799" spans="7:14" ht="11.25" customHeight="1" x14ac:dyDescent="0.3">
      <c r="G1799" s="470"/>
      <c r="H1799" s="470">
        <v>1792</v>
      </c>
      <c r="I1799" s="455">
        <f t="shared" ca="1" si="120"/>
        <v>-735471702.77314067</v>
      </c>
      <c r="J1799" s="455">
        <f t="array" ref="J1799">IFERROR(INDEX('Retirement Calculator'!K:K,MATCH('Lorri 401b'!N1799,'Retirement Calculator'!A:A,0),0),0)</f>
        <v>0</v>
      </c>
      <c r="K1799" s="455">
        <f t="shared" ca="1" si="118"/>
        <v>-3064465.4282214195</v>
      </c>
      <c r="L1799" s="455">
        <f t="shared" ca="1" si="119"/>
        <v>-738536168.20136213</v>
      </c>
      <c r="M1799" s="471">
        <f t="shared" si="121"/>
        <v>0.05</v>
      </c>
      <c r="N1799" s="475">
        <f t="shared" si="122"/>
        <v>105801</v>
      </c>
    </row>
    <row r="1800" spans="7:14" ht="11.25" customHeight="1" x14ac:dyDescent="0.3">
      <c r="G1800" s="470"/>
      <c r="H1800" s="470">
        <v>1793</v>
      </c>
      <c r="I1800" s="455">
        <f t="shared" ca="1" si="120"/>
        <v>-738536168.20136213</v>
      </c>
      <c r="J1800" s="455">
        <f t="array" ref="J1800">IFERROR(INDEX('Retirement Calculator'!K:K,MATCH('Lorri 401b'!N1800,'Retirement Calculator'!A:A,0),0),0)</f>
        <v>0</v>
      </c>
      <c r="K1800" s="455">
        <f t="shared" ca="1" si="118"/>
        <v>-3077234.0341723422</v>
      </c>
      <c r="L1800" s="455">
        <f t="shared" ca="1" si="119"/>
        <v>-741613402.23553443</v>
      </c>
      <c r="M1800" s="471">
        <f t="shared" si="121"/>
        <v>0.05</v>
      </c>
      <c r="N1800" s="475">
        <f t="shared" si="122"/>
        <v>105831</v>
      </c>
    </row>
    <row r="1801" spans="7:14" ht="11.25" customHeight="1" x14ac:dyDescent="0.3">
      <c r="G1801" s="470"/>
      <c r="H1801" s="470">
        <v>1794</v>
      </c>
      <c r="I1801" s="455">
        <f t="shared" ca="1" si="120"/>
        <v>-741613402.23553443</v>
      </c>
      <c r="J1801" s="455">
        <f t="array" ref="J1801">IFERROR(INDEX('Retirement Calculator'!K:K,MATCH('Lorri 401b'!N1801,'Retirement Calculator'!A:A,0),0),0)</f>
        <v>0</v>
      </c>
      <c r="K1801" s="455">
        <f t="shared" ca="1" si="118"/>
        <v>-3090055.8426480601</v>
      </c>
      <c r="L1801" s="455">
        <f t="shared" ca="1" si="119"/>
        <v>-744703458.07818246</v>
      </c>
      <c r="M1801" s="471">
        <f t="shared" si="121"/>
        <v>0.05</v>
      </c>
      <c r="N1801" s="475">
        <f t="shared" si="122"/>
        <v>105862</v>
      </c>
    </row>
    <row r="1802" spans="7:14" ht="11.25" customHeight="1" x14ac:dyDescent="0.3">
      <c r="G1802" s="470"/>
      <c r="H1802" s="470">
        <v>1795</v>
      </c>
      <c r="I1802" s="455">
        <f t="shared" ca="1" si="120"/>
        <v>-744703458.07818246</v>
      </c>
      <c r="J1802" s="455">
        <f t="array" ref="J1802">IFERROR(INDEX('Retirement Calculator'!K:K,MATCH('Lorri 401b'!N1802,'Retirement Calculator'!A:A,0),0),0)</f>
        <v>0</v>
      </c>
      <c r="K1802" s="455">
        <f t="shared" ca="1" si="118"/>
        <v>-3102931.0753257601</v>
      </c>
      <c r="L1802" s="455">
        <f t="shared" ca="1" si="119"/>
        <v>-747806389.15350819</v>
      </c>
      <c r="M1802" s="471">
        <f t="shared" si="121"/>
        <v>0.05</v>
      </c>
      <c r="N1802" s="475">
        <f t="shared" si="122"/>
        <v>105892</v>
      </c>
    </row>
    <row r="1803" spans="7:14" ht="11.25" customHeight="1" x14ac:dyDescent="0.3">
      <c r="G1803" s="470"/>
      <c r="H1803" s="470">
        <v>1796</v>
      </c>
      <c r="I1803" s="455">
        <f t="shared" ca="1" si="120"/>
        <v>-747806389.15350819</v>
      </c>
      <c r="J1803" s="455">
        <f t="array" ref="J1803">IFERROR(INDEX('Retirement Calculator'!K:K,MATCH('Lorri 401b'!N1803,'Retirement Calculator'!A:A,0),0),0)</f>
        <v>0</v>
      </c>
      <c r="K1803" s="455">
        <f t="shared" ca="1" si="118"/>
        <v>-3115859.954806284</v>
      </c>
      <c r="L1803" s="455">
        <f t="shared" ca="1" si="119"/>
        <v>-750922249.10831451</v>
      </c>
      <c r="M1803" s="471">
        <f t="shared" si="121"/>
        <v>0.05</v>
      </c>
      <c r="N1803" s="475">
        <f t="shared" si="122"/>
        <v>105923</v>
      </c>
    </row>
    <row r="1804" spans="7:14" ht="11.25" customHeight="1" x14ac:dyDescent="0.3">
      <c r="G1804" s="470"/>
      <c r="H1804" s="470">
        <v>1797</v>
      </c>
      <c r="I1804" s="455">
        <f t="shared" ca="1" si="120"/>
        <v>-750922249.10831451</v>
      </c>
      <c r="J1804" s="455">
        <f t="array" ref="J1804">IFERROR(INDEX('Retirement Calculator'!K:K,MATCH('Lorri 401b'!N1804,'Retirement Calculator'!A:A,0),0),0)</f>
        <v>0</v>
      </c>
      <c r="K1804" s="455">
        <f t="shared" ca="1" si="118"/>
        <v>-3128842.7046179771</v>
      </c>
      <c r="L1804" s="455">
        <f t="shared" ca="1" si="119"/>
        <v>-754051091.81293249</v>
      </c>
      <c r="M1804" s="471">
        <f t="shared" si="121"/>
        <v>0.05</v>
      </c>
      <c r="N1804" s="475">
        <f t="shared" si="122"/>
        <v>105954</v>
      </c>
    </row>
    <row r="1805" spans="7:14" ht="11.25" customHeight="1" x14ac:dyDescent="0.3">
      <c r="G1805" s="470"/>
      <c r="H1805" s="470">
        <v>1798</v>
      </c>
      <c r="I1805" s="455">
        <f t="shared" ca="1" si="120"/>
        <v>-754051091.81293249</v>
      </c>
      <c r="J1805" s="455">
        <f t="array" ref="J1805">IFERROR(INDEX('Retirement Calculator'!K:K,MATCH('Lorri 401b'!N1805,'Retirement Calculator'!A:A,0),0),0)</f>
        <v>0</v>
      </c>
      <c r="K1805" s="455">
        <f t="shared" ca="1" si="118"/>
        <v>-3141879.5492205522</v>
      </c>
      <c r="L1805" s="455">
        <f t="shared" ca="1" si="119"/>
        <v>-757192971.36215305</v>
      </c>
      <c r="M1805" s="471">
        <f t="shared" si="121"/>
        <v>0.05</v>
      </c>
      <c r="N1805" s="475">
        <f t="shared" si="122"/>
        <v>105982</v>
      </c>
    </row>
    <row r="1806" spans="7:14" ht="11.25" customHeight="1" x14ac:dyDescent="0.3">
      <c r="G1806" s="470"/>
      <c r="H1806" s="470">
        <v>1799</v>
      </c>
      <c r="I1806" s="455">
        <f t="shared" ca="1" si="120"/>
        <v>-757192971.36215305</v>
      </c>
      <c r="J1806" s="455">
        <f t="array" ref="J1806">IFERROR(INDEX('Retirement Calculator'!K:K,MATCH('Lorri 401b'!N1806,'Retirement Calculator'!A:A,0),0),0)</f>
        <v>0</v>
      </c>
      <c r="K1806" s="455">
        <f t="shared" ca="1" si="118"/>
        <v>-3154970.7140089711</v>
      </c>
      <c r="L1806" s="455">
        <f t="shared" ca="1" si="119"/>
        <v>-760347942.07616198</v>
      </c>
      <c r="M1806" s="471">
        <f t="shared" si="121"/>
        <v>0.05</v>
      </c>
      <c r="N1806" s="475">
        <f t="shared" si="122"/>
        <v>106013</v>
      </c>
    </row>
    <row r="1807" spans="7:14" ht="11.25" customHeight="1" x14ac:dyDescent="0.3">
      <c r="G1807" s="470"/>
      <c r="H1807" s="470">
        <v>1800</v>
      </c>
      <c r="I1807" s="455">
        <f t="shared" ca="1" si="120"/>
        <v>-760347942.07616198</v>
      </c>
      <c r="J1807" s="455">
        <f t="array" ref="J1807">IFERROR(INDEX('Retirement Calculator'!K:K,MATCH('Lorri 401b'!N1807,'Retirement Calculator'!A:A,0),0),0)</f>
        <v>0</v>
      </c>
      <c r="K1807" s="455">
        <f t="shared" ca="1" si="118"/>
        <v>-3168116.4253173415</v>
      </c>
      <c r="L1807" s="455">
        <f t="shared" ca="1" si="119"/>
        <v>-763516058.50147927</v>
      </c>
      <c r="M1807" s="471">
        <f t="shared" si="121"/>
        <v>0.05</v>
      </c>
      <c r="N1807" s="475">
        <f t="shared" si="122"/>
        <v>106043</v>
      </c>
    </row>
    <row r="1808" spans="7:14" ht="11.25" customHeight="1" x14ac:dyDescent="0.3">
      <c r="G1808" s="470"/>
      <c r="H1808" s="470">
        <v>1801</v>
      </c>
      <c r="I1808" s="455">
        <f t="shared" ca="1" si="120"/>
        <v>-763516058.50147927</v>
      </c>
      <c r="J1808" s="455">
        <f t="array" ref="J1808">IFERROR(INDEX('Retirement Calculator'!K:K,MATCH('Lorri 401b'!N1808,'Retirement Calculator'!A:A,0),0),0)</f>
        <v>0</v>
      </c>
      <c r="K1808" s="455">
        <f t="shared" ca="1" si="118"/>
        <v>-3181316.9104228304</v>
      </c>
      <c r="L1808" s="455">
        <f t="shared" ca="1" si="119"/>
        <v>-766697375.41190207</v>
      </c>
      <c r="M1808" s="471">
        <f t="shared" si="121"/>
        <v>0.05</v>
      </c>
      <c r="N1808" s="475">
        <f t="shared" si="122"/>
        <v>106074</v>
      </c>
    </row>
    <row r="1809" spans="7:14" ht="11.25" customHeight="1" x14ac:dyDescent="0.3">
      <c r="G1809" s="470"/>
      <c r="H1809" s="470">
        <v>1802</v>
      </c>
      <c r="I1809" s="455">
        <f t="shared" ca="1" si="120"/>
        <v>-766697375.41190207</v>
      </c>
      <c r="J1809" s="455">
        <f t="array" ref="J1809">IFERROR(INDEX('Retirement Calculator'!K:K,MATCH('Lorri 401b'!N1809,'Retirement Calculator'!A:A,0),0),0)</f>
        <v>0</v>
      </c>
      <c r="K1809" s="455">
        <f t="shared" ca="1" si="118"/>
        <v>-3194572.397549592</v>
      </c>
      <c r="L1809" s="455">
        <f t="shared" ca="1" si="119"/>
        <v>-769891947.8094517</v>
      </c>
      <c r="M1809" s="471">
        <f t="shared" si="121"/>
        <v>0.05</v>
      </c>
      <c r="N1809" s="475">
        <f t="shared" si="122"/>
        <v>106104</v>
      </c>
    </row>
    <row r="1810" spans="7:14" ht="11.25" customHeight="1" x14ac:dyDescent="0.3">
      <c r="G1810" s="470"/>
      <c r="H1810" s="470">
        <v>1803</v>
      </c>
      <c r="I1810" s="455">
        <f t="shared" ca="1" si="120"/>
        <v>-769891947.8094517</v>
      </c>
      <c r="J1810" s="455">
        <f t="array" ref="J1810">IFERROR(INDEX('Retirement Calculator'!K:K,MATCH('Lorri 401b'!N1810,'Retirement Calculator'!A:A,0),0),0)</f>
        <v>0</v>
      </c>
      <c r="K1810" s="455">
        <f t="shared" ca="1" si="118"/>
        <v>-3207883.1158727156</v>
      </c>
      <c r="L1810" s="455">
        <f t="shared" ca="1" si="119"/>
        <v>-773099830.92532444</v>
      </c>
      <c r="M1810" s="471">
        <f t="shared" si="121"/>
        <v>0.05</v>
      </c>
      <c r="N1810" s="475">
        <f t="shared" si="122"/>
        <v>106135</v>
      </c>
    </row>
    <row r="1811" spans="7:14" ht="11.25" customHeight="1" x14ac:dyDescent="0.3">
      <c r="G1811" s="470"/>
      <c r="H1811" s="470">
        <v>1804</v>
      </c>
      <c r="I1811" s="455">
        <f t="shared" ca="1" si="120"/>
        <v>-773099830.92532444</v>
      </c>
      <c r="J1811" s="455">
        <f t="array" ref="J1811">IFERROR(INDEX('Retirement Calculator'!K:K,MATCH('Lorri 401b'!N1811,'Retirement Calculator'!A:A,0),0),0)</f>
        <v>0</v>
      </c>
      <c r="K1811" s="455">
        <f t="shared" ca="1" si="118"/>
        <v>-3221249.295522185</v>
      </c>
      <c r="L1811" s="455">
        <f t="shared" ca="1" si="119"/>
        <v>-776321080.22084665</v>
      </c>
      <c r="M1811" s="471">
        <f t="shared" si="121"/>
        <v>0.05</v>
      </c>
      <c r="N1811" s="475">
        <f t="shared" si="122"/>
        <v>106166</v>
      </c>
    </row>
    <row r="1812" spans="7:14" ht="11.25" customHeight="1" x14ac:dyDescent="0.3">
      <c r="G1812" s="470"/>
      <c r="H1812" s="470">
        <v>1805</v>
      </c>
      <c r="I1812" s="455">
        <f t="shared" ca="1" si="120"/>
        <v>-776321080.22084665</v>
      </c>
      <c r="J1812" s="455">
        <f t="array" ref="J1812">IFERROR(INDEX('Retirement Calculator'!K:K,MATCH('Lorri 401b'!N1812,'Retirement Calculator'!A:A,0),0),0)</f>
        <v>0</v>
      </c>
      <c r="K1812" s="455">
        <f t="shared" ca="1" si="118"/>
        <v>-3234671.1675868612</v>
      </c>
      <c r="L1812" s="455">
        <f t="shared" ca="1" si="119"/>
        <v>-779555751.38843346</v>
      </c>
      <c r="M1812" s="471">
        <f t="shared" si="121"/>
        <v>0.05</v>
      </c>
      <c r="N1812" s="475">
        <f t="shared" si="122"/>
        <v>106196</v>
      </c>
    </row>
    <row r="1813" spans="7:14" ht="11.25" customHeight="1" x14ac:dyDescent="0.3">
      <c r="G1813" s="470"/>
      <c r="H1813" s="470">
        <v>1806</v>
      </c>
      <c r="I1813" s="455">
        <f t="shared" ca="1" si="120"/>
        <v>-779555751.38843346</v>
      </c>
      <c r="J1813" s="455">
        <f t="array" ref="J1813">IFERROR(INDEX('Retirement Calculator'!K:K,MATCH('Lorri 401b'!N1813,'Retirement Calculator'!A:A,0),0),0)</f>
        <v>0</v>
      </c>
      <c r="K1813" s="455">
        <f t="shared" ca="1" si="118"/>
        <v>-3248148.9641184728</v>
      </c>
      <c r="L1813" s="455">
        <f t="shared" ca="1" si="119"/>
        <v>-782803900.35255194</v>
      </c>
      <c r="M1813" s="471">
        <f t="shared" si="121"/>
        <v>0.05</v>
      </c>
      <c r="N1813" s="475">
        <f t="shared" si="122"/>
        <v>106227</v>
      </c>
    </row>
    <row r="1814" spans="7:14" ht="11.25" customHeight="1" x14ac:dyDescent="0.3">
      <c r="G1814" s="470"/>
      <c r="H1814" s="470">
        <v>1807</v>
      </c>
      <c r="I1814" s="455">
        <f t="shared" ca="1" si="120"/>
        <v>-782803900.35255194</v>
      </c>
      <c r="J1814" s="455">
        <f t="array" ref="J1814">IFERROR(INDEX('Retirement Calculator'!K:K,MATCH('Lorri 401b'!N1814,'Retirement Calculator'!A:A,0),0),0)</f>
        <v>0</v>
      </c>
      <c r="K1814" s="455">
        <f t="shared" ca="1" si="118"/>
        <v>-3261682.9181356332</v>
      </c>
      <c r="L1814" s="455">
        <f t="shared" ca="1" si="119"/>
        <v>-786065583.27068758</v>
      </c>
      <c r="M1814" s="471">
        <f t="shared" si="121"/>
        <v>0.05</v>
      </c>
      <c r="N1814" s="475">
        <f t="shared" si="122"/>
        <v>106257</v>
      </c>
    </row>
    <row r="1815" spans="7:14" ht="11.25" customHeight="1" x14ac:dyDescent="0.3">
      <c r="G1815" s="470"/>
      <c r="H1815" s="470">
        <v>1808</v>
      </c>
      <c r="I1815" s="455">
        <f t="shared" ca="1" si="120"/>
        <v>-786065583.27068758</v>
      </c>
      <c r="J1815" s="455">
        <f t="array" ref="J1815">IFERROR(INDEX('Retirement Calculator'!K:K,MATCH('Lorri 401b'!N1815,'Retirement Calculator'!A:A,0),0),0)</f>
        <v>0</v>
      </c>
      <c r="K1815" s="455">
        <f t="shared" ca="1" si="118"/>
        <v>-3275273.2636278649</v>
      </c>
      <c r="L1815" s="455">
        <f t="shared" ca="1" si="119"/>
        <v>-789340856.53431547</v>
      </c>
      <c r="M1815" s="471">
        <f t="shared" si="121"/>
        <v>0.05</v>
      </c>
      <c r="N1815" s="475">
        <f t="shared" si="122"/>
        <v>106288</v>
      </c>
    </row>
    <row r="1816" spans="7:14" ht="11.25" customHeight="1" x14ac:dyDescent="0.3">
      <c r="G1816" s="470"/>
      <c r="H1816" s="470">
        <v>1809</v>
      </c>
      <c r="I1816" s="455">
        <f t="shared" ca="1" si="120"/>
        <v>-789340856.53431547</v>
      </c>
      <c r="J1816" s="455">
        <f t="array" ref="J1816">IFERROR(INDEX('Retirement Calculator'!K:K,MATCH('Lorri 401b'!N1816,'Retirement Calculator'!A:A,0),0),0)</f>
        <v>0</v>
      </c>
      <c r="K1816" s="455">
        <f t="shared" ca="1" si="118"/>
        <v>-3288920.2355596479</v>
      </c>
      <c r="L1816" s="455">
        <f t="shared" ca="1" si="119"/>
        <v>-792629776.76987517</v>
      </c>
      <c r="M1816" s="471">
        <f t="shared" si="121"/>
        <v>0.05</v>
      </c>
      <c r="N1816" s="475">
        <f t="shared" si="122"/>
        <v>106319</v>
      </c>
    </row>
    <row r="1817" spans="7:14" ht="11.25" customHeight="1" x14ac:dyDescent="0.3">
      <c r="G1817" s="470"/>
      <c r="H1817" s="470">
        <v>1810</v>
      </c>
      <c r="I1817" s="455">
        <f t="shared" ca="1" si="120"/>
        <v>-792629776.76987517</v>
      </c>
      <c r="J1817" s="455">
        <f t="array" ref="J1817">IFERROR(INDEX('Retirement Calculator'!K:K,MATCH('Lorri 401b'!N1817,'Retirement Calculator'!A:A,0),0),0)</f>
        <v>0</v>
      </c>
      <c r="K1817" s="455">
        <f t="shared" ca="1" si="118"/>
        <v>-3302624.0698744799</v>
      </c>
      <c r="L1817" s="455">
        <f t="shared" ca="1" si="119"/>
        <v>-795932400.83974969</v>
      </c>
      <c r="M1817" s="471">
        <f t="shared" si="121"/>
        <v>0.05</v>
      </c>
      <c r="N1817" s="475">
        <f t="shared" si="122"/>
        <v>106347</v>
      </c>
    </row>
    <row r="1818" spans="7:14" ht="11.25" customHeight="1" x14ac:dyDescent="0.3">
      <c r="G1818" s="470"/>
      <c r="H1818" s="470">
        <v>1811</v>
      </c>
      <c r="I1818" s="455">
        <f t="shared" ca="1" si="120"/>
        <v>-795932400.83974969</v>
      </c>
      <c r="J1818" s="455">
        <f t="array" ref="J1818">IFERROR(INDEX('Retirement Calculator'!K:K,MATCH('Lorri 401b'!N1818,'Retirement Calculator'!A:A,0),0),0)</f>
        <v>0</v>
      </c>
      <c r="K1818" s="455">
        <f t="shared" ca="1" si="118"/>
        <v>-3316385.003498957</v>
      </c>
      <c r="L1818" s="455">
        <f t="shared" ca="1" si="119"/>
        <v>-799248785.84324861</v>
      </c>
      <c r="M1818" s="471">
        <f t="shared" si="121"/>
        <v>0.05</v>
      </c>
      <c r="N1818" s="475">
        <f t="shared" si="122"/>
        <v>106378</v>
      </c>
    </row>
    <row r="1819" spans="7:14" ht="11.25" customHeight="1" x14ac:dyDescent="0.3">
      <c r="G1819" s="470"/>
      <c r="H1819" s="470">
        <v>1812</v>
      </c>
      <c r="I1819" s="455">
        <f t="shared" ca="1" si="120"/>
        <v>-799248785.84324861</v>
      </c>
      <c r="J1819" s="455">
        <f t="array" ref="J1819">IFERROR(INDEX('Retirement Calculator'!K:K,MATCH('Lorri 401b'!N1819,'Retirement Calculator'!A:A,0),0),0)</f>
        <v>0</v>
      </c>
      <c r="K1819" s="455">
        <f t="shared" ca="1" si="118"/>
        <v>-3330203.274346869</v>
      </c>
      <c r="L1819" s="455">
        <f t="shared" ca="1" si="119"/>
        <v>-802578989.11759543</v>
      </c>
      <c r="M1819" s="471">
        <f t="shared" si="121"/>
        <v>0.05</v>
      </c>
      <c r="N1819" s="475">
        <f t="shared" si="122"/>
        <v>106408</v>
      </c>
    </row>
    <row r="1820" spans="7:14" ht="11.25" customHeight="1" x14ac:dyDescent="0.3">
      <c r="G1820" s="470"/>
      <c r="H1820" s="470">
        <v>1813</v>
      </c>
      <c r="I1820" s="455">
        <f t="shared" ca="1" si="120"/>
        <v>-802578989.11759543</v>
      </c>
      <c r="J1820" s="455">
        <f t="array" ref="J1820">IFERROR(INDEX('Retirement Calculator'!K:K,MATCH('Lorri 401b'!N1820,'Retirement Calculator'!A:A,0),0),0)</f>
        <v>0</v>
      </c>
      <c r="K1820" s="455">
        <f t="shared" ca="1" si="118"/>
        <v>-3344079.1213233145</v>
      </c>
      <c r="L1820" s="455">
        <f t="shared" ca="1" si="119"/>
        <v>-805923068.23891878</v>
      </c>
      <c r="M1820" s="471">
        <f t="shared" si="121"/>
        <v>0.05</v>
      </c>
      <c r="N1820" s="475">
        <f t="shared" si="122"/>
        <v>106439</v>
      </c>
    </row>
    <row r="1821" spans="7:14" ht="11.25" customHeight="1" x14ac:dyDescent="0.3">
      <c r="G1821" s="470"/>
      <c r="H1821" s="470">
        <v>1814</v>
      </c>
      <c r="I1821" s="455">
        <f t="shared" ca="1" si="120"/>
        <v>-805923068.23891878</v>
      </c>
      <c r="J1821" s="455">
        <f t="array" ref="J1821">IFERROR(INDEX('Retirement Calculator'!K:K,MATCH('Lorri 401b'!N1821,'Retirement Calculator'!A:A,0),0),0)</f>
        <v>0</v>
      </c>
      <c r="K1821" s="455">
        <f t="shared" ca="1" si="118"/>
        <v>-3358012.7843288281</v>
      </c>
      <c r="L1821" s="455">
        <f t="shared" ca="1" si="119"/>
        <v>-809281081.0232476</v>
      </c>
      <c r="M1821" s="471">
        <f t="shared" si="121"/>
        <v>0.05</v>
      </c>
      <c r="N1821" s="475">
        <f t="shared" si="122"/>
        <v>106469</v>
      </c>
    </row>
    <row r="1822" spans="7:14" ht="11.25" customHeight="1" x14ac:dyDescent="0.3">
      <c r="G1822" s="470"/>
      <c r="H1822" s="470">
        <v>1815</v>
      </c>
      <c r="I1822" s="455">
        <f t="shared" ca="1" si="120"/>
        <v>-809281081.0232476</v>
      </c>
      <c r="J1822" s="455">
        <f t="array" ref="J1822">IFERROR(INDEX('Retirement Calculator'!K:K,MATCH('Lorri 401b'!N1822,'Retirement Calculator'!A:A,0),0),0)</f>
        <v>0</v>
      </c>
      <c r="K1822" s="455">
        <f t="shared" ca="1" si="118"/>
        <v>-3372004.5042635314</v>
      </c>
      <c r="L1822" s="455">
        <f t="shared" ca="1" si="119"/>
        <v>-812653085.52751112</v>
      </c>
      <c r="M1822" s="471">
        <f t="shared" si="121"/>
        <v>0.05</v>
      </c>
      <c r="N1822" s="475">
        <f t="shared" si="122"/>
        <v>106500</v>
      </c>
    </row>
    <row r="1823" spans="7:14" ht="11.25" customHeight="1" x14ac:dyDescent="0.3">
      <c r="G1823" s="470"/>
      <c r="H1823" s="470">
        <v>1816</v>
      </c>
      <c r="I1823" s="455">
        <f t="shared" ca="1" si="120"/>
        <v>-812653085.52751112</v>
      </c>
      <c r="J1823" s="455">
        <f t="array" ref="J1823">IFERROR(INDEX('Retirement Calculator'!K:K,MATCH('Lorri 401b'!N1823,'Retirement Calculator'!A:A,0),0),0)</f>
        <v>0</v>
      </c>
      <c r="K1823" s="455">
        <f t="shared" ca="1" si="118"/>
        <v>-3386054.5230312962</v>
      </c>
      <c r="L1823" s="455">
        <f t="shared" ca="1" si="119"/>
        <v>-816039140.05054247</v>
      </c>
      <c r="M1823" s="471">
        <f t="shared" si="121"/>
        <v>0.05</v>
      </c>
      <c r="N1823" s="475">
        <f t="shared" si="122"/>
        <v>106531</v>
      </c>
    </row>
    <row r="1824" spans="7:14" ht="11.25" customHeight="1" x14ac:dyDescent="0.3">
      <c r="G1824" s="470"/>
      <c r="H1824" s="470">
        <v>1817</v>
      </c>
      <c r="I1824" s="455">
        <f t="shared" ca="1" si="120"/>
        <v>-816039140.05054247</v>
      </c>
      <c r="J1824" s="455">
        <f t="array" ref="J1824">IFERROR(INDEX('Retirement Calculator'!K:K,MATCH('Lorri 401b'!N1824,'Retirement Calculator'!A:A,0),0),0)</f>
        <v>0</v>
      </c>
      <c r="K1824" s="455">
        <f t="shared" ca="1" si="118"/>
        <v>-3400163.0835439269</v>
      </c>
      <c r="L1824" s="455">
        <f t="shared" ca="1" si="119"/>
        <v>-819439303.13408637</v>
      </c>
      <c r="M1824" s="471">
        <f t="shared" si="121"/>
        <v>0.05</v>
      </c>
      <c r="N1824" s="475">
        <f t="shared" si="122"/>
        <v>106561</v>
      </c>
    </row>
    <row r="1825" spans="7:14" ht="11.25" customHeight="1" x14ac:dyDescent="0.3">
      <c r="G1825" s="470"/>
      <c r="H1825" s="470">
        <v>1818</v>
      </c>
      <c r="I1825" s="455">
        <f t="shared" ca="1" si="120"/>
        <v>-819439303.13408637</v>
      </c>
      <c r="J1825" s="455">
        <f t="array" ref="J1825">IFERROR(INDEX('Retirement Calculator'!K:K,MATCH('Lorri 401b'!N1825,'Retirement Calculator'!A:A,0),0),0)</f>
        <v>0</v>
      </c>
      <c r="K1825" s="455">
        <f t="shared" ca="1" si="118"/>
        <v>-3414330.4297253597</v>
      </c>
      <c r="L1825" s="455">
        <f t="shared" ca="1" si="119"/>
        <v>-822853633.56381178</v>
      </c>
      <c r="M1825" s="471">
        <f t="shared" si="121"/>
        <v>0.05</v>
      </c>
      <c r="N1825" s="475">
        <f t="shared" si="122"/>
        <v>106592</v>
      </c>
    </row>
    <row r="1826" spans="7:14" ht="11.25" customHeight="1" x14ac:dyDescent="0.3">
      <c r="G1826" s="470"/>
      <c r="H1826" s="470">
        <v>1819</v>
      </c>
      <c r="I1826" s="455">
        <f t="shared" ca="1" si="120"/>
        <v>-822853633.56381178</v>
      </c>
      <c r="J1826" s="455">
        <f t="array" ref="J1826">IFERROR(INDEX('Retirement Calculator'!K:K,MATCH('Lorri 401b'!N1826,'Retirement Calculator'!A:A,0),0),0)</f>
        <v>0</v>
      </c>
      <c r="K1826" s="455">
        <f t="shared" ca="1" si="118"/>
        <v>-3428556.8065158823</v>
      </c>
      <c r="L1826" s="455">
        <f t="shared" ca="1" si="119"/>
        <v>-826282190.37032771</v>
      </c>
      <c r="M1826" s="471">
        <f t="shared" si="121"/>
        <v>0.05</v>
      </c>
      <c r="N1826" s="475">
        <f t="shared" si="122"/>
        <v>106622</v>
      </c>
    </row>
    <row r="1827" spans="7:14" ht="11.25" customHeight="1" x14ac:dyDescent="0.3">
      <c r="G1827" s="470"/>
      <c r="H1827" s="470">
        <v>1820</v>
      </c>
      <c r="I1827" s="455">
        <f t="shared" ca="1" si="120"/>
        <v>-826282190.37032771</v>
      </c>
      <c r="J1827" s="455">
        <f t="array" ref="J1827">IFERROR(INDEX('Retirement Calculator'!K:K,MATCH('Lorri 401b'!N1827,'Retirement Calculator'!A:A,0),0),0)</f>
        <v>0</v>
      </c>
      <c r="K1827" s="455">
        <f t="shared" ca="1" si="118"/>
        <v>-3442842.4598763655</v>
      </c>
      <c r="L1827" s="455">
        <f t="shared" ca="1" si="119"/>
        <v>-829725032.83020413</v>
      </c>
      <c r="M1827" s="471">
        <f t="shared" si="121"/>
        <v>0.05</v>
      </c>
      <c r="N1827" s="475">
        <f t="shared" si="122"/>
        <v>106653</v>
      </c>
    </row>
    <row r="1828" spans="7:14" ht="11.25" customHeight="1" x14ac:dyDescent="0.3">
      <c r="G1828" s="470"/>
      <c r="H1828" s="470">
        <v>1821</v>
      </c>
      <c r="I1828" s="455">
        <f t="shared" ca="1" si="120"/>
        <v>-829725032.83020413</v>
      </c>
      <c r="J1828" s="455">
        <f t="array" ref="J1828">IFERROR(INDEX('Retirement Calculator'!K:K,MATCH('Lorri 401b'!N1828,'Retirement Calculator'!A:A,0),0),0)</f>
        <v>0</v>
      </c>
      <c r="K1828" s="455">
        <f t="shared" ca="1" si="118"/>
        <v>-3457187.6367925173</v>
      </c>
      <c r="L1828" s="455">
        <f t="shared" ca="1" si="119"/>
        <v>-833182220.46699667</v>
      </c>
      <c r="M1828" s="471">
        <f t="shared" si="121"/>
        <v>0.05</v>
      </c>
      <c r="N1828" s="475">
        <f t="shared" si="122"/>
        <v>106684</v>
      </c>
    </row>
    <row r="1829" spans="7:14" ht="11.25" customHeight="1" x14ac:dyDescent="0.3">
      <c r="G1829" s="470"/>
      <c r="H1829" s="470">
        <v>1822</v>
      </c>
      <c r="I1829" s="455">
        <f t="shared" ca="1" si="120"/>
        <v>-833182220.46699667</v>
      </c>
      <c r="J1829" s="455">
        <f t="array" ref="J1829">IFERROR(INDEX('Retirement Calculator'!K:K,MATCH('Lorri 401b'!N1829,'Retirement Calculator'!A:A,0),0),0)</f>
        <v>0</v>
      </c>
      <c r="K1829" s="455">
        <f t="shared" ca="1" si="118"/>
        <v>-3471592.5852791527</v>
      </c>
      <c r="L1829" s="455">
        <f t="shared" ca="1" si="119"/>
        <v>-836653813.05227578</v>
      </c>
      <c r="M1829" s="471">
        <f t="shared" si="121"/>
        <v>0.05</v>
      </c>
      <c r="N1829" s="475">
        <f t="shared" si="122"/>
        <v>106713</v>
      </c>
    </row>
    <row r="1830" spans="7:14" ht="11.25" customHeight="1" x14ac:dyDescent="0.3">
      <c r="G1830" s="470"/>
      <c r="H1830" s="470">
        <v>1823</v>
      </c>
      <c r="I1830" s="455">
        <f t="shared" ca="1" si="120"/>
        <v>-836653813.05227578</v>
      </c>
      <c r="J1830" s="455">
        <f t="array" ref="J1830">IFERROR(INDEX('Retirement Calculator'!K:K,MATCH('Lorri 401b'!N1830,'Retirement Calculator'!A:A,0),0),0)</f>
        <v>0</v>
      </c>
      <c r="K1830" s="455">
        <f t="shared" ca="1" si="118"/>
        <v>-3486057.5543844826</v>
      </c>
      <c r="L1830" s="455">
        <f t="shared" ca="1" si="119"/>
        <v>-840139870.60666025</v>
      </c>
      <c r="M1830" s="471">
        <f t="shared" si="121"/>
        <v>0.05</v>
      </c>
      <c r="N1830" s="475">
        <f t="shared" si="122"/>
        <v>106744</v>
      </c>
    </row>
    <row r="1831" spans="7:14" ht="11.25" customHeight="1" x14ac:dyDescent="0.3">
      <c r="G1831" s="470"/>
      <c r="H1831" s="470">
        <v>1824</v>
      </c>
      <c r="I1831" s="455">
        <f t="shared" ca="1" si="120"/>
        <v>-840139870.60666025</v>
      </c>
      <c r="J1831" s="455">
        <f t="array" ref="J1831">IFERROR(INDEX('Retirement Calculator'!K:K,MATCH('Lorri 401b'!N1831,'Retirement Calculator'!A:A,0),0),0)</f>
        <v>0</v>
      </c>
      <c r="K1831" s="455">
        <f t="shared" ca="1" si="118"/>
        <v>-3500582.794194418</v>
      </c>
      <c r="L1831" s="455">
        <f t="shared" ca="1" si="119"/>
        <v>-843640453.40085471</v>
      </c>
      <c r="M1831" s="471">
        <f t="shared" si="121"/>
        <v>0.05</v>
      </c>
      <c r="N1831" s="475">
        <f t="shared" si="122"/>
        <v>106774</v>
      </c>
    </row>
    <row r="1832" spans="7:14" ht="11.25" customHeight="1" x14ac:dyDescent="0.3">
      <c r="G1832" s="470"/>
      <c r="H1832" s="470">
        <v>1825</v>
      </c>
      <c r="I1832" s="455">
        <f t="shared" ca="1" si="120"/>
        <v>-843640453.40085471</v>
      </c>
      <c r="J1832" s="455">
        <f t="array" ref="J1832">IFERROR(INDEX('Retirement Calculator'!K:K,MATCH('Lorri 401b'!N1832,'Retirement Calculator'!A:A,0),0),0)</f>
        <v>0</v>
      </c>
      <c r="K1832" s="455">
        <f t="shared" ca="1" si="118"/>
        <v>-3515168.555836895</v>
      </c>
      <c r="L1832" s="455">
        <f t="shared" ca="1" si="119"/>
        <v>-847155621.95669162</v>
      </c>
      <c r="M1832" s="471">
        <f t="shared" si="121"/>
        <v>0.05</v>
      </c>
      <c r="N1832" s="475">
        <f t="shared" si="122"/>
        <v>106805</v>
      </c>
    </row>
    <row r="1833" spans="7:14" ht="11.25" customHeight="1" x14ac:dyDescent="0.3">
      <c r="G1833" s="470"/>
      <c r="H1833" s="470">
        <v>1826</v>
      </c>
      <c r="I1833" s="455">
        <f t="shared" ca="1" si="120"/>
        <v>-847155621.95669162</v>
      </c>
      <c r="J1833" s="455">
        <f t="array" ref="J1833">IFERROR(INDEX('Retirement Calculator'!K:K,MATCH('Lorri 401b'!N1833,'Retirement Calculator'!A:A,0),0),0)</f>
        <v>0</v>
      </c>
      <c r="K1833" s="455">
        <f t="shared" ca="1" si="118"/>
        <v>-3529815.0914862151</v>
      </c>
      <c r="L1833" s="455">
        <f t="shared" ca="1" si="119"/>
        <v>-850685437.04817784</v>
      </c>
      <c r="M1833" s="471">
        <f t="shared" si="121"/>
        <v>0.05</v>
      </c>
      <c r="N1833" s="475">
        <f t="shared" si="122"/>
        <v>106835</v>
      </c>
    </row>
    <row r="1834" spans="7:14" ht="11.25" customHeight="1" x14ac:dyDescent="0.3">
      <c r="G1834" s="470"/>
      <c r="H1834" s="470">
        <v>1827</v>
      </c>
      <c r="I1834" s="455">
        <f t="shared" ca="1" si="120"/>
        <v>-850685437.04817784</v>
      </c>
      <c r="J1834" s="455">
        <f t="array" ref="J1834">IFERROR(INDEX('Retirement Calculator'!K:K,MATCH('Lorri 401b'!N1834,'Retirement Calculator'!A:A,0),0),0)</f>
        <v>0</v>
      </c>
      <c r="K1834" s="455">
        <f t="shared" ca="1" si="118"/>
        <v>-3544522.6543674082</v>
      </c>
      <c r="L1834" s="455">
        <f t="shared" ca="1" si="119"/>
        <v>-854229959.70254529</v>
      </c>
      <c r="M1834" s="471">
        <f t="shared" si="121"/>
        <v>0.05</v>
      </c>
      <c r="N1834" s="475">
        <f t="shared" si="122"/>
        <v>106866</v>
      </c>
    </row>
    <row r="1835" spans="7:14" ht="11.25" customHeight="1" x14ac:dyDescent="0.3">
      <c r="G1835" s="470"/>
      <c r="H1835" s="470">
        <v>1828</v>
      </c>
      <c r="I1835" s="455">
        <f t="shared" ca="1" si="120"/>
        <v>-854229959.70254529</v>
      </c>
      <c r="J1835" s="455">
        <f t="array" ref="J1835">IFERROR(INDEX('Retirement Calculator'!K:K,MATCH('Lorri 401b'!N1835,'Retirement Calculator'!A:A,0),0),0)</f>
        <v>0</v>
      </c>
      <c r="K1835" s="455">
        <f t="shared" ca="1" si="118"/>
        <v>-3559291.4987606052</v>
      </c>
      <c r="L1835" s="455">
        <f t="shared" ca="1" si="119"/>
        <v>-857789251.20130587</v>
      </c>
      <c r="M1835" s="471">
        <f t="shared" si="121"/>
        <v>0.05</v>
      </c>
      <c r="N1835" s="475">
        <f t="shared" si="122"/>
        <v>106897</v>
      </c>
    </row>
    <row r="1836" spans="7:14" ht="11.25" customHeight="1" x14ac:dyDescent="0.3">
      <c r="G1836" s="470"/>
      <c r="H1836" s="470">
        <v>1829</v>
      </c>
      <c r="I1836" s="455">
        <f t="shared" ca="1" si="120"/>
        <v>-857789251.20130587</v>
      </c>
      <c r="J1836" s="455">
        <f t="array" ref="J1836">IFERROR(INDEX('Retirement Calculator'!K:K,MATCH('Lorri 401b'!N1836,'Retirement Calculator'!A:A,0),0),0)</f>
        <v>0</v>
      </c>
      <c r="K1836" s="455">
        <f t="shared" ca="1" si="118"/>
        <v>-3574121.8800054411</v>
      </c>
      <c r="L1836" s="455">
        <f t="shared" ca="1" si="119"/>
        <v>-861363373.08131135</v>
      </c>
      <c r="M1836" s="471">
        <f t="shared" si="121"/>
        <v>0.05</v>
      </c>
      <c r="N1836" s="475">
        <f t="shared" si="122"/>
        <v>106927</v>
      </c>
    </row>
    <row r="1837" spans="7:14" ht="11.25" customHeight="1" x14ac:dyDescent="0.3">
      <c r="G1837" s="470"/>
      <c r="H1837" s="470">
        <v>1830</v>
      </c>
      <c r="I1837" s="455">
        <f t="shared" ca="1" si="120"/>
        <v>-861363373.08131135</v>
      </c>
      <c r="J1837" s="455">
        <f t="array" ref="J1837">IFERROR(INDEX('Retirement Calculator'!K:K,MATCH('Lorri 401b'!N1837,'Retirement Calculator'!A:A,0),0),0)</f>
        <v>0</v>
      </c>
      <c r="K1837" s="455">
        <f t="shared" ca="1" si="118"/>
        <v>-3589014.0545054642</v>
      </c>
      <c r="L1837" s="455">
        <f t="shared" ca="1" si="119"/>
        <v>-864952387.13581681</v>
      </c>
      <c r="M1837" s="471">
        <f t="shared" si="121"/>
        <v>0.05</v>
      </c>
      <c r="N1837" s="475">
        <f t="shared" si="122"/>
        <v>106958</v>
      </c>
    </row>
    <row r="1838" spans="7:14" ht="11.25" customHeight="1" x14ac:dyDescent="0.3">
      <c r="G1838" s="470"/>
      <c r="H1838" s="470">
        <v>1831</v>
      </c>
      <c r="I1838" s="455">
        <f t="shared" ca="1" si="120"/>
        <v>-864952387.13581681</v>
      </c>
      <c r="J1838" s="455">
        <f t="array" ref="J1838">IFERROR(INDEX('Retirement Calculator'!K:K,MATCH('Lorri 401b'!N1838,'Retirement Calculator'!A:A,0),0),0)</f>
        <v>0</v>
      </c>
      <c r="K1838" s="455">
        <f t="shared" ca="1" si="118"/>
        <v>-3603968.2797325705</v>
      </c>
      <c r="L1838" s="455">
        <f t="shared" ca="1" si="119"/>
        <v>-868556355.4155494</v>
      </c>
      <c r="M1838" s="471">
        <f t="shared" si="121"/>
        <v>0.05</v>
      </c>
      <c r="N1838" s="475">
        <f t="shared" si="122"/>
        <v>106988</v>
      </c>
    </row>
    <row r="1839" spans="7:14" ht="11.25" customHeight="1" x14ac:dyDescent="0.3">
      <c r="G1839" s="470"/>
      <c r="H1839" s="470">
        <v>1832</v>
      </c>
      <c r="I1839" s="455">
        <f t="shared" ca="1" si="120"/>
        <v>-868556355.4155494</v>
      </c>
      <c r="J1839" s="455">
        <f t="array" ref="J1839">IFERROR(INDEX('Retirement Calculator'!K:K,MATCH('Lorri 401b'!N1839,'Retirement Calculator'!A:A,0),0),0)</f>
        <v>0</v>
      </c>
      <c r="K1839" s="455">
        <f t="shared" ca="1" si="118"/>
        <v>-3618984.8142314558</v>
      </c>
      <c r="L1839" s="455">
        <f t="shared" ca="1" si="119"/>
        <v>-872175340.22978091</v>
      </c>
      <c r="M1839" s="471">
        <f t="shared" si="121"/>
        <v>0.05</v>
      </c>
      <c r="N1839" s="475">
        <f t="shared" si="122"/>
        <v>107019</v>
      </c>
    </row>
    <row r="1840" spans="7:14" ht="11.25" customHeight="1" x14ac:dyDescent="0.3">
      <c r="G1840" s="470"/>
      <c r="H1840" s="470">
        <v>1833</v>
      </c>
      <c r="I1840" s="455">
        <f t="shared" ca="1" si="120"/>
        <v>-872175340.22978091</v>
      </c>
      <c r="J1840" s="455">
        <f t="array" ref="J1840">IFERROR(INDEX('Retirement Calculator'!K:K,MATCH('Lorri 401b'!N1840,'Retirement Calculator'!A:A,0),0),0)</f>
        <v>0</v>
      </c>
      <c r="K1840" s="455">
        <f t="shared" ca="1" si="118"/>
        <v>-3634063.9176240875</v>
      </c>
      <c r="L1840" s="455">
        <f t="shared" ca="1" si="119"/>
        <v>-875809404.14740503</v>
      </c>
      <c r="M1840" s="471">
        <f t="shared" si="121"/>
        <v>0.05</v>
      </c>
      <c r="N1840" s="475">
        <f t="shared" si="122"/>
        <v>107050</v>
      </c>
    </row>
    <row r="1841" spans="7:14" ht="11.25" customHeight="1" x14ac:dyDescent="0.3">
      <c r="G1841" s="470"/>
      <c r="H1841" s="470">
        <v>1834</v>
      </c>
      <c r="I1841" s="455">
        <f t="shared" ca="1" si="120"/>
        <v>-875809404.14740503</v>
      </c>
      <c r="J1841" s="455">
        <f t="array" ref="J1841">IFERROR(INDEX('Retirement Calculator'!K:K,MATCH('Lorri 401b'!N1841,'Retirement Calculator'!A:A,0),0),0)</f>
        <v>0</v>
      </c>
      <c r="K1841" s="455">
        <f t="shared" ca="1" si="118"/>
        <v>-3649205.8506141878</v>
      </c>
      <c r="L1841" s="455">
        <f t="shared" ca="1" si="119"/>
        <v>-879458609.99801922</v>
      </c>
      <c r="M1841" s="471">
        <f t="shared" si="121"/>
        <v>0.05</v>
      </c>
      <c r="N1841" s="475">
        <f t="shared" si="122"/>
        <v>107078</v>
      </c>
    </row>
    <row r="1842" spans="7:14" ht="11.25" customHeight="1" x14ac:dyDescent="0.3">
      <c r="G1842" s="470"/>
      <c r="H1842" s="470">
        <v>1835</v>
      </c>
      <c r="I1842" s="455">
        <f t="shared" ca="1" si="120"/>
        <v>-879458609.99801922</v>
      </c>
      <c r="J1842" s="455">
        <f t="array" ref="J1842">IFERROR(INDEX('Retirement Calculator'!K:K,MATCH('Lorri 401b'!N1842,'Retirement Calculator'!A:A,0),0),0)</f>
        <v>0</v>
      </c>
      <c r="K1842" s="455">
        <f t="shared" ca="1" si="118"/>
        <v>-3664410.8749917466</v>
      </c>
      <c r="L1842" s="455">
        <f t="shared" ca="1" si="119"/>
        <v>-883123020.87301099</v>
      </c>
      <c r="M1842" s="471">
        <f t="shared" si="121"/>
        <v>0.05</v>
      </c>
      <c r="N1842" s="475">
        <f t="shared" si="122"/>
        <v>107109</v>
      </c>
    </row>
    <row r="1843" spans="7:14" ht="11.25" customHeight="1" x14ac:dyDescent="0.3">
      <c r="G1843" s="470"/>
      <c r="H1843" s="470">
        <v>1836</v>
      </c>
      <c r="I1843" s="455">
        <f t="shared" ca="1" si="120"/>
        <v>-883123020.87301099</v>
      </c>
      <c r="J1843" s="455">
        <f t="array" ref="J1843">IFERROR(INDEX('Retirement Calculator'!K:K,MATCH('Lorri 401b'!N1843,'Retirement Calculator'!A:A,0),0),0)</f>
        <v>0</v>
      </c>
      <c r="K1843" s="455">
        <f t="shared" ca="1" si="118"/>
        <v>-3679679.2536375462</v>
      </c>
      <c r="L1843" s="455">
        <f t="shared" ca="1" si="119"/>
        <v>-886802700.12664855</v>
      </c>
      <c r="M1843" s="471">
        <f t="shared" si="121"/>
        <v>0.05</v>
      </c>
      <c r="N1843" s="475">
        <f t="shared" si="122"/>
        <v>107139</v>
      </c>
    </row>
    <row r="1844" spans="7:14" ht="11.25" customHeight="1" x14ac:dyDescent="0.3">
      <c r="G1844" s="470"/>
      <c r="H1844" s="470">
        <v>1837</v>
      </c>
      <c r="I1844" s="455">
        <f t="shared" ca="1" si="120"/>
        <v>-886802700.12664855</v>
      </c>
      <c r="J1844" s="455">
        <f t="array" ref="J1844">IFERROR(INDEX('Retirement Calculator'!K:K,MATCH('Lorri 401b'!N1844,'Retirement Calculator'!A:A,0),0),0)</f>
        <v>0</v>
      </c>
      <c r="K1844" s="455">
        <f t="shared" ca="1" si="118"/>
        <v>-3695011.2505277023</v>
      </c>
      <c r="L1844" s="455">
        <f t="shared" ca="1" si="119"/>
        <v>-890497711.37717628</v>
      </c>
      <c r="M1844" s="471">
        <f t="shared" si="121"/>
        <v>0.05</v>
      </c>
      <c r="N1844" s="475">
        <f t="shared" si="122"/>
        <v>107170</v>
      </c>
    </row>
    <row r="1845" spans="7:14" ht="11.25" customHeight="1" x14ac:dyDescent="0.3">
      <c r="G1845" s="470"/>
      <c r="H1845" s="470">
        <v>1838</v>
      </c>
      <c r="I1845" s="455">
        <f t="shared" ca="1" si="120"/>
        <v>-890497711.37717628</v>
      </c>
      <c r="J1845" s="455">
        <f t="array" ref="J1845">IFERROR(INDEX('Retirement Calculator'!K:K,MATCH('Lorri 401b'!N1845,'Retirement Calculator'!A:A,0),0),0)</f>
        <v>0</v>
      </c>
      <c r="K1845" s="455">
        <f t="shared" ca="1" si="118"/>
        <v>-3710407.1307382346</v>
      </c>
      <c r="L1845" s="455">
        <f t="shared" ca="1" si="119"/>
        <v>-894208118.50791454</v>
      </c>
      <c r="M1845" s="471">
        <f t="shared" si="121"/>
        <v>0.05</v>
      </c>
      <c r="N1845" s="475">
        <f t="shared" si="122"/>
        <v>107200</v>
      </c>
    </row>
    <row r="1846" spans="7:14" ht="11.25" customHeight="1" x14ac:dyDescent="0.3">
      <c r="G1846" s="470"/>
      <c r="H1846" s="470">
        <v>1839</v>
      </c>
      <c r="I1846" s="455">
        <f t="shared" ca="1" si="120"/>
        <v>-894208118.50791454</v>
      </c>
      <c r="J1846" s="455">
        <f t="array" ref="J1846">IFERROR(INDEX('Retirement Calculator'!K:K,MATCH('Lorri 401b'!N1846,'Retirement Calculator'!A:A,0),0),0)</f>
        <v>0</v>
      </c>
      <c r="K1846" s="455">
        <f t="shared" ca="1" si="118"/>
        <v>-3725867.1604496441</v>
      </c>
      <c r="L1846" s="455">
        <f t="shared" ca="1" si="119"/>
        <v>-897933985.66836417</v>
      </c>
      <c r="M1846" s="471">
        <f t="shared" si="121"/>
        <v>0.05</v>
      </c>
      <c r="N1846" s="475">
        <f t="shared" si="122"/>
        <v>107231</v>
      </c>
    </row>
    <row r="1847" spans="7:14" ht="11.25" customHeight="1" x14ac:dyDescent="0.3">
      <c r="G1847" s="470"/>
      <c r="H1847" s="470">
        <v>1840</v>
      </c>
      <c r="I1847" s="455">
        <f t="shared" ca="1" si="120"/>
        <v>-897933985.66836417</v>
      </c>
      <c r="J1847" s="455">
        <f t="array" ref="J1847">IFERROR(INDEX('Retirement Calculator'!K:K,MATCH('Lorri 401b'!N1847,'Retirement Calculator'!A:A,0),0),0)</f>
        <v>0</v>
      </c>
      <c r="K1847" s="455">
        <f t="shared" ca="1" si="118"/>
        <v>-3741391.6069515175</v>
      </c>
      <c r="L1847" s="455">
        <f t="shared" ca="1" si="119"/>
        <v>-901675377.27531564</v>
      </c>
      <c r="M1847" s="471">
        <f t="shared" si="121"/>
        <v>0.05</v>
      </c>
      <c r="N1847" s="475">
        <f t="shared" si="122"/>
        <v>107262</v>
      </c>
    </row>
    <row r="1848" spans="7:14" ht="11.25" customHeight="1" x14ac:dyDescent="0.3">
      <c r="G1848" s="470"/>
      <c r="H1848" s="470">
        <v>1841</v>
      </c>
      <c r="I1848" s="455">
        <f t="shared" ca="1" si="120"/>
        <v>-901675377.27531564</v>
      </c>
      <c r="J1848" s="455">
        <f t="array" ref="J1848">IFERROR(INDEX('Retirement Calculator'!K:K,MATCH('Lorri 401b'!N1848,'Retirement Calculator'!A:A,0),0),0)</f>
        <v>0</v>
      </c>
      <c r="K1848" s="455">
        <f t="shared" ca="1" si="118"/>
        <v>-3756980.738647148</v>
      </c>
      <c r="L1848" s="455">
        <f t="shared" ca="1" si="119"/>
        <v>-905432358.01396275</v>
      </c>
      <c r="M1848" s="471">
        <f t="shared" si="121"/>
        <v>0.05</v>
      </c>
      <c r="N1848" s="475">
        <f t="shared" si="122"/>
        <v>107292</v>
      </c>
    </row>
    <row r="1849" spans="7:14" ht="11.25" customHeight="1" x14ac:dyDescent="0.3">
      <c r="G1849" s="470"/>
      <c r="H1849" s="470">
        <v>1842</v>
      </c>
      <c r="I1849" s="455">
        <f t="shared" ca="1" si="120"/>
        <v>-905432358.01396275</v>
      </c>
      <c r="J1849" s="455">
        <f t="array" ref="J1849">IFERROR(INDEX('Retirement Calculator'!K:K,MATCH('Lorri 401b'!N1849,'Retirement Calculator'!A:A,0),0),0)</f>
        <v>0</v>
      </c>
      <c r="K1849" s="455">
        <f t="shared" ca="1" si="118"/>
        <v>-3772634.8250581776</v>
      </c>
      <c r="L1849" s="455">
        <f t="shared" ca="1" si="119"/>
        <v>-909204992.83902097</v>
      </c>
      <c r="M1849" s="471">
        <f t="shared" si="121"/>
        <v>0.05</v>
      </c>
      <c r="N1849" s="475">
        <f t="shared" si="122"/>
        <v>107323</v>
      </c>
    </row>
    <row r="1850" spans="7:14" ht="11.25" customHeight="1" x14ac:dyDescent="0.3">
      <c r="G1850" s="470"/>
      <c r="H1850" s="470">
        <v>1843</v>
      </c>
      <c r="I1850" s="455">
        <f t="shared" ca="1" si="120"/>
        <v>-909204992.83902097</v>
      </c>
      <c r="J1850" s="455">
        <f t="array" ref="J1850">IFERROR(INDEX('Retirement Calculator'!K:K,MATCH('Lorri 401b'!N1850,'Retirement Calculator'!A:A,0),0),0)</f>
        <v>0</v>
      </c>
      <c r="K1850" s="455">
        <f t="shared" ca="1" si="118"/>
        <v>-3788354.1368292547</v>
      </c>
      <c r="L1850" s="455">
        <f t="shared" ca="1" si="119"/>
        <v>-912993346.97585022</v>
      </c>
      <c r="M1850" s="471">
        <f t="shared" si="121"/>
        <v>0.05</v>
      </c>
      <c r="N1850" s="475">
        <f t="shared" si="122"/>
        <v>107353</v>
      </c>
    </row>
    <row r="1851" spans="7:14" ht="11.25" customHeight="1" x14ac:dyDescent="0.3">
      <c r="G1851" s="470"/>
      <c r="H1851" s="470">
        <v>1844</v>
      </c>
      <c r="I1851" s="455">
        <f t="shared" ca="1" si="120"/>
        <v>-912993346.97585022</v>
      </c>
      <c r="J1851" s="455">
        <f t="array" ref="J1851">IFERROR(INDEX('Retirement Calculator'!K:K,MATCH('Lorri 401b'!N1851,'Retirement Calculator'!A:A,0),0),0)</f>
        <v>0</v>
      </c>
      <c r="K1851" s="455">
        <f t="shared" ca="1" si="118"/>
        <v>-3804138.945732709</v>
      </c>
      <c r="L1851" s="455">
        <f t="shared" ca="1" si="119"/>
        <v>-916797485.92158294</v>
      </c>
      <c r="M1851" s="471">
        <f t="shared" si="121"/>
        <v>0.05</v>
      </c>
      <c r="N1851" s="475">
        <f t="shared" si="122"/>
        <v>107384</v>
      </c>
    </row>
    <row r="1852" spans="7:14" ht="11.25" customHeight="1" x14ac:dyDescent="0.3">
      <c r="G1852" s="470"/>
      <c r="H1852" s="470">
        <v>1845</v>
      </c>
      <c r="I1852" s="455">
        <f t="shared" ca="1" si="120"/>
        <v>-916797485.92158294</v>
      </c>
      <c r="J1852" s="455">
        <f t="array" ref="J1852">IFERROR(INDEX('Retirement Calculator'!K:K,MATCH('Lorri 401b'!N1852,'Retirement Calculator'!A:A,0),0),0)</f>
        <v>0</v>
      </c>
      <c r="K1852" s="455">
        <f t="shared" ca="1" si="118"/>
        <v>-3819989.5246732617</v>
      </c>
      <c r="L1852" s="455">
        <f t="shared" ca="1" si="119"/>
        <v>-920617475.44625616</v>
      </c>
      <c r="M1852" s="471">
        <f t="shared" si="121"/>
        <v>0.05</v>
      </c>
      <c r="N1852" s="475">
        <f t="shared" si="122"/>
        <v>107415</v>
      </c>
    </row>
    <row r="1853" spans="7:14" ht="11.25" customHeight="1" x14ac:dyDescent="0.3">
      <c r="G1853" s="470"/>
      <c r="H1853" s="470">
        <v>1846</v>
      </c>
      <c r="I1853" s="455">
        <f t="shared" ca="1" si="120"/>
        <v>-920617475.44625616</v>
      </c>
      <c r="J1853" s="455">
        <f t="array" ref="J1853">IFERROR(INDEX('Retirement Calculator'!K:K,MATCH('Lorri 401b'!N1853,'Retirement Calculator'!A:A,0),0),0)</f>
        <v>0</v>
      </c>
      <c r="K1853" s="455">
        <f t="shared" ca="1" si="118"/>
        <v>-3835906.1476927344</v>
      </c>
      <c r="L1853" s="455">
        <f t="shared" ca="1" si="119"/>
        <v>-924453381.59394884</v>
      </c>
      <c r="M1853" s="471">
        <f t="shared" si="121"/>
        <v>0.05</v>
      </c>
      <c r="N1853" s="475">
        <f t="shared" si="122"/>
        <v>107443</v>
      </c>
    </row>
    <row r="1854" spans="7:14" ht="11.25" customHeight="1" x14ac:dyDescent="0.3">
      <c r="G1854" s="470"/>
      <c r="H1854" s="470">
        <v>1847</v>
      </c>
      <c r="I1854" s="455">
        <f t="shared" ca="1" si="120"/>
        <v>-924453381.59394884</v>
      </c>
      <c r="J1854" s="455">
        <f t="array" ref="J1854">IFERROR(INDEX('Retirement Calculator'!K:K,MATCH('Lorri 401b'!N1854,'Retirement Calculator'!A:A,0),0),0)</f>
        <v>0</v>
      </c>
      <c r="K1854" s="455">
        <f t="shared" ca="1" si="118"/>
        <v>-3851889.0899747866</v>
      </c>
      <c r="L1854" s="455">
        <f t="shared" ca="1" si="119"/>
        <v>-928305270.6839236</v>
      </c>
      <c r="M1854" s="471">
        <f t="shared" si="121"/>
        <v>0.05</v>
      </c>
      <c r="N1854" s="475">
        <f t="shared" si="122"/>
        <v>107474</v>
      </c>
    </row>
    <row r="1855" spans="7:14" ht="11.25" customHeight="1" x14ac:dyDescent="0.3">
      <c r="G1855" s="470"/>
      <c r="H1855" s="470">
        <v>1848</v>
      </c>
      <c r="I1855" s="455">
        <f t="shared" ca="1" si="120"/>
        <v>-928305270.6839236</v>
      </c>
      <c r="J1855" s="455">
        <f t="array" ref="J1855">IFERROR(INDEX('Retirement Calculator'!K:K,MATCH('Lorri 401b'!N1855,'Retirement Calculator'!A:A,0),0),0)</f>
        <v>0</v>
      </c>
      <c r="K1855" s="455">
        <f t="shared" ca="1" si="118"/>
        <v>-3867938.6278496822</v>
      </c>
      <c r="L1855" s="455">
        <f t="shared" ca="1" si="119"/>
        <v>-932173209.3117733</v>
      </c>
      <c r="M1855" s="471">
        <f t="shared" si="121"/>
        <v>0.05</v>
      </c>
      <c r="N1855" s="475">
        <f t="shared" si="122"/>
        <v>107504</v>
      </c>
    </row>
    <row r="1856" spans="7:14" ht="11.25" customHeight="1" x14ac:dyDescent="0.3">
      <c r="G1856" s="470"/>
      <c r="H1856" s="470">
        <v>1849</v>
      </c>
      <c r="I1856" s="455">
        <f t="shared" ca="1" si="120"/>
        <v>-932173209.3117733</v>
      </c>
      <c r="J1856" s="455">
        <f t="array" ref="J1856">IFERROR(INDEX('Retirement Calculator'!K:K,MATCH('Lorri 401b'!N1856,'Retirement Calculator'!A:A,0),0),0)</f>
        <v>0</v>
      </c>
      <c r="K1856" s="455">
        <f t="shared" ca="1" si="118"/>
        <v>-3884055.0387990554</v>
      </c>
      <c r="L1856" s="455">
        <f t="shared" ca="1" si="119"/>
        <v>-936057264.35057235</v>
      </c>
      <c r="M1856" s="471">
        <f t="shared" si="121"/>
        <v>0.05</v>
      </c>
      <c r="N1856" s="475">
        <f t="shared" si="122"/>
        <v>107535</v>
      </c>
    </row>
    <row r="1857" spans="7:14" ht="11.25" customHeight="1" x14ac:dyDescent="0.3">
      <c r="G1857" s="470"/>
      <c r="H1857" s="470">
        <v>1850</v>
      </c>
      <c r="I1857" s="455">
        <f t="shared" ca="1" si="120"/>
        <v>-936057264.35057235</v>
      </c>
      <c r="J1857" s="455">
        <f t="array" ref="J1857">IFERROR(INDEX('Retirement Calculator'!K:K,MATCH('Lorri 401b'!N1857,'Retirement Calculator'!A:A,0),0),0)</f>
        <v>0</v>
      </c>
      <c r="K1857" s="455">
        <f t="shared" ca="1" si="118"/>
        <v>-3900238.6014607185</v>
      </c>
      <c r="L1857" s="455">
        <f t="shared" ca="1" si="119"/>
        <v>-939957502.95203304</v>
      </c>
      <c r="M1857" s="471">
        <f t="shared" si="121"/>
        <v>0.05</v>
      </c>
      <c r="N1857" s="475">
        <f t="shared" si="122"/>
        <v>107565</v>
      </c>
    </row>
    <row r="1858" spans="7:14" ht="11.25" customHeight="1" x14ac:dyDescent="0.3">
      <c r="G1858" s="470"/>
      <c r="H1858" s="470">
        <v>1851</v>
      </c>
      <c r="I1858" s="455">
        <f t="shared" ca="1" si="120"/>
        <v>-939957502.95203304</v>
      </c>
      <c r="J1858" s="455">
        <f t="array" ref="J1858">IFERROR(INDEX('Retirement Calculator'!K:K,MATCH('Lorri 401b'!N1858,'Retirement Calculator'!A:A,0),0),0)</f>
        <v>0</v>
      </c>
      <c r="K1858" s="455">
        <f t="shared" ca="1" si="118"/>
        <v>-3916489.5956334714</v>
      </c>
      <c r="L1858" s="455">
        <f t="shared" ca="1" si="119"/>
        <v>-943873992.54766655</v>
      </c>
      <c r="M1858" s="471">
        <f t="shared" si="121"/>
        <v>0.05</v>
      </c>
      <c r="N1858" s="475">
        <f t="shared" si="122"/>
        <v>107596</v>
      </c>
    </row>
    <row r="1859" spans="7:14" ht="11.25" customHeight="1" x14ac:dyDescent="0.3">
      <c r="G1859" s="470"/>
      <c r="H1859" s="470">
        <v>1852</v>
      </c>
      <c r="I1859" s="455">
        <f t="shared" ca="1" si="120"/>
        <v>-943873992.54766655</v>
      </c>
      <c r="J1859" s="455">
        <f t="array" ref="J1859">IFERROR(INDEX('Retirement Calculator'!K:K,MATCH('Lorri 401b'!N1859,'Retirement Calculator'!A:A,0),0),0)</f>
        <v>0</v>
      </c>
      <c r="K1859" s="455">
        <f t="shared" ca="1" si="118"/>
        <v>-3932808.3022819441</v>
      </c>
      <c r="L1859" s="455">
        <f t="shared" ca="1" si="119"/>
        <v>-947806800.84994853</v>
      </c>
      <c r="M1859" s="471">
        <f t="shared" si="121"/>
        <v>0.05</v>
      </c>
      <c r="N1859" s="475">
        <f t="shared" si="122"/>
        <v>107627</v>
      </c>
    </row>
    <row r="1860" spans="7:14" ht="11.25" customHeight="1" x14ac:dyDescent="0.3">
      <c r="G1860" s="470"/>
      <c r="H1860" s="470">
        <v>1853</v>
      </c>
      <c r="I1860" s="455">
        <f t="shared" ca="1" si="120"/>
        <v>-947806800.84994853</v>
      </c>
      <c r="J1860" s="455">
        <f t="array" ref="J1860">IFERROR(INDEX('Retirement Calculator'!K:K,MATCH('Lorri 401b'!N1860,'Retirement Calculator'!A:A,0),0),0)</f>
        <v>0</v>
      </c>
      <c r="K1860" s="455">
        <f t="shared" ca="1" si="118"/>
        <v>-3949195.0035414523</v>
      </c>
      <c r="L1860" s="455">
        <f t="shared" ca="1" si="119"/>
        <v>-951755995.85349</v>
      </c>
      <c r="M1860" s="471">
        <f t="shared" si="121"/>
        <v>0.05</v>
      </c>
      <c r="N1860" s="475">
        <f t="shared" si="122"/>
        <v>107657</v>
      </c>
    </row>
    <row r="1861" spans="7:14" ht="11.25" customHeight="1" x14ac:dyDescent="0.3">
      <c r="G1861" s="470"/>
      <c r="H1861" s="470">
        <v>1854</v>
      </c>
      <c r="I1861" s="455">
        <f t="shared" ca="1" si="120"/>
        <v>-951755995.85349</v>
      </c>
      <c r="J1861" s="455">
        <f t="array" ref="J1861">IFERROR(INDEX('Retirement Calculator'!K:K,MATCH('Lorri 401b'!N1861,'Retirement Calculator'!A:A,0),0),0)</f>
        <v>0</v>
      </c>
      <c r="K1861" s="455">
        <f t="shared" ca="1" si="118"/>
        <v>-3965649.9827228752</v>
      </c>
      <c r="L1861" s="455">
        <f t="shared" ca="1" si="119"/>
        <v>-955721645.83621287</v>
      </c>
      <c r="M1861" s="471">
        <f t="shared" si="121"/>
        <v>0.05</v>
      </c>
      <c r="N1861" s="475">
        <f t="shared" si="122"/>
        <v>107688</v>
      </c>
    </row>
    <row r="1862" spans="7:14" ht="11.25" customHeight="1" x14ac:dyDescent="0.3">
      <c r="G1862" s="470"/>
      <c r="H1862" s="470">
        <v>1855</v>
      </c>
      <c r="I1862" s="455">
        <f t="shared" ca="1" si="120"/>
        <v>-955721645.83621287</v>
      </c>
      <c r="J1862" s="455">
        <f t="array" ref="J1862">IFERROR(INDEX('Retirement Calculator'!K:K,MATCH('Lorri 401b'!N1862,'Retirement Calculator'!A:A,0),0),0)</f>
        <v>0</v>
      </c>
      <c r="K1862" s="455">
        <f t="shared" ca="1" si="118"/>
        <v>-3982173.5243175542</v>
      </c>
      <c r="L1862" s="455">
        <f t="shared" ca="1" si="119"/>
        <v>-959703819.36053038</v>
      </c>
      <c r="M1862" s="471">
        <f t="shared" si="121"/>
        <v>0.05</v>
      </c>
      <c r="N1862" s="475">
        <f t="shared" si="122"/>
        <v>107718</v>
      </c>
    </row>
    <row r="1863" spans="7:14" ht="11.25" customHeight="1" x14ac:dyDescent="0.3">
      <c r="G1863" s="470"/>
      <c r="H1863" s="470">
        <v>1856</v>
      </c>
      <c r="I1863" s="455">
        <f t="shared" ca="1" si="120"/>
        <v>-959703819.36053038</v>
      </c>
      <c r="J1863" s="455">
        <f t="array" ref="J1863">IFERROR(INDEX('Retirement Calculator'!K:K,MATCH('Lorri 401b'!N1863,'Retirement Calculator'!A:A,0),0),0)</f>
        <v>0</v>
      </c>
      <c r="K1863" s="455">
        <f t="shared" ca="1" si="118"/>
        <v>-3998765.9140022099</v>
      </c>
      <c r="L1863" s="455">
        <f t="shared" ca="1" si="119"/>
        <v>-963702585.27453256</v>
      </c>
      <c r="M1863" s="471">
        <f t="shared" si="121"/>
        <v>0.05</v>
      </c>
      <c r="N1863" s="475">
        <f t="shared" si="122"/>
        <v>107749</v>
      </c>
    </row>
    <row r="1864" spans="7:14" ht="11.25" customHeight="1" x14ac:dyDescent="0.3">
      <c r="G1864" s="470"/>
      <c r="H1864" s="470">
        <v>1857</v>
      </c>
      <c r="I1864" s="455">
        <f t="shared" ca="1" si="120"/>
        <v>-963702585.27453256</v>
      </c>
      <c r="J1864" s="455">
        <f t="array" ref="J1864">IFERROR(INDEX('Retirement Calculator'!K:K,MATCH('Lorri 401b'!N1864,'Retirement Calculator'!A:A,0),0),0)</f>
        <v>0</v>
      </c>
      <c r="K1864" s="455">
        <f t="shared" ca="1" si="118"/>
        <v>-4015427.4386438858</v>
      </c>
      <c r="L1864" s="455">
        <f t="shared" ca="1" si="119"/>
        <v>-967718012.71317649</v>
      </c>
      <c r="M1864" s="471">
        <f t="shared" si="121"/>
        <v>0.05</v>
      </c>
      <c r="N1864" s="475">
        <f t="shared" si="122"/>
        <v>107780</v>
      </c>
    </row>
    <row r="1865" spans="7:14" ht="11.25" customHeight="1" x14ac:dyDescent="0.3">
      <c r="G1865" s="470"/>
      <c r="H1865" s="470">
        <v>1858</v>
      </c>
      <c r="I1865" s="455">
        <f t="shared" ca="1" si="120"/>
        <v>-967718012.71317649</v>
      </c>
      <c r="J1865" s="455">
        <f t="array" ref="J1865">IFERROR(INDEX('Retirement Calculator'!K:K,MATCH('Lorri 401b'!N1865,'Retirement Calculator'!A:A,0),0),0)</f>
        <v>0</v>
      </c>
      <c r="K1865" s="455">
        <f t="shared" ca="1" si="118"/>
        <v>-4032158.3863049014</v>
      </c>
      <c r="L1865" s="455">
        <f t="shared" ca="1" si="119"/>
        <v>-971750171.09948134</v>
      </c>
      <c r="M1865" s="471">
        <f t="shared" si="121"/>
        <v>0.05</v>
      </c>
      <c r="N1865" s="475">
        <f t="shared" si="122"/>
        <v>107808</v>
      </c>
    </row>
    <row r="1866" spans="7:14" ht="11.25" customHeight="1" x14ac:dyDescent="0.3">
      <c r="G1866" s="470"/>
      <c r="H1866" s="470">
        <v>1859</v>
      </c>
      <c r="I1866" s="455">
        <f t="shared" ca="1" si="120"/>
        <v>-971750171.09948134</v>
      </c>
      <c r="J1866" s="455">
        <f t="array" ref="J1866">IFERROR(INDEX('Retirement Calculator'!K:K,MATCH('Lorri 401b'!N1866,'Retirement Calculator'!A:A,0),0),0)</f>
        <v>0</v>
      </c>
      <c r="K1866" s="455">
        <f t="shared" ca="1" si="118"/>
        <v>-4048959.046247839</v>
      </c>
      <c r="L1866" s="455">
        <f t="shared" ca="1" si="119"/>
        <v>-975799130.14572918</v>
      </c>
      <c r="M1866" s="471">
        <f t="shared" si="121"/>
        <v>0.05</v>
      </c>
      <c r="N1866" s="475">
        <f t="shared" si="122"/>
        <v>107839</v>
      </c>
    </row>
    <row r="1867" spans="7:14" ht="11.25" customHeight="1" x14ac:dyDescent="0.3">
      <c r="G1867" s="470"/>
      <c r="H1867" s="470">
        <v>1860</v>
      </c>
      <c r="I1867" s="455">
        <f t="shared" ca="1" si="120"/>
        <v>-975799130.14572918</v>
      </c>
      <c r="J1867" s="455">
        <f t="array" ref="J1867">IFERROR(INDEX('Retirement Calculator'!K:K,MATCH('Lorri 401b'!N1867,'Retirement Calculator'!A:A,0),0),0)</f>
        <v>0</v>
      </c>
      <c r="K1867" s="455">
        <f t="shared" ca="1" si="118"/>
        <v>-4065829.7089405386</v>
      </c>
      <c r="L1867" s="455">
        <f t="shared" ca="1" si="119"/>
        <v>-979864959.85466969</v>
      </c>
      <c r="M1867" s="471">
        <f t="shared" si="121"/>
        <v>0.05</v>
      </c>
      <c r="N1867" s="475">
        <f t="shared" si="122"/>
        <v>107869</v>
      </c>
    </row>
    <row r="1868" spans="7:14" ht="11.25" customHeight="1" x14ac:dyDescent="0.3">
      <c r="G1868" s="470"/>
      <c r="H1868" s="470">
        <v>1861</v>
      </c>
      <c r="I1868" s="455">
        <f t="shared" ca="1" si="120"/>
        <v>-979864959.85466969</v>
      </c>
      <c r="J1868" s="455">
        <f t="array" ref="J1868">IFERROR(INDEX('Retirement Calculator'!K:K,MATCH('Lorri 401b'!N1868,'Retirement Calculator'!A:A,0),0),0)</f>
        <v>0</v>
      </c>
      <c r="K1868" s="455">
        <f t="shared" ca="1" si="118"/>
        <v>-4082770.6660611238</v>
      </c>
      <c r="L1868" s="455">
        <f t="shared" ca="1" si="119"/>
        <v>-983947730.52073085</v>
      </c>
      <c r="M1868" s="471">
        <f t="shared" si="121"/>
        <v>0.05</v>
      </c>
      <c r="N1868" s="475">
        <f t="shared" si="122"/>
        <v>107900</v>
      </c>
    </row>
    <row r="1869" spans="7:14" ht="11.25" customHeight="1" x14ac:dyDescent="0.3">
      <c r="G1869" s="470"/>
      <c r="H1869" s="470">
        <v>1862</v>
      </c>
      <c r="I1869" s="455">
        <f t="shared" ca="1" si="120"/>
        <v>-983947730.52073085</v>
      </c>
      <c r="J1869" s="455">
        <f t="array" ref="J1869">IFERROR(INDEX('Retirement Calculator'!K:K,MATCH('Lorri 401b'!N1869,'Retirement Calculator'!A:A,0),0),0)</f>
        <v>0</v>
      </c>
      <c r="K1869" s="455">
        <f t="shared" ca="1" si="118"/>
        <v>-4099782.210503045</v>
      </c>
      <c r="L1869" s="455">
        <f t="shared" ca="1" si="119"/>
        <v>-988047512.73123395</v>
      </c>
      <c r="M1869" s="471">
        <f t="shared" si="121"/>
        <v>0.05</v>
      </c>
      <c r="N1869" s="475">
        <f t="shared" si="122"/>
        <v>107930</v>
      </c>
    </row>
    <row r="1870" spans="7:14" ht="11.25" customHeight="1" x14ac:dyDescent="0.3">
      <c r="G1870" s="470"/>
      <c r="H1870" s="470">
        <v>1863</v>
      </c>
      <c r="I1870" s="455">
        <f t="shared" ca="1" si="120"/>
        <v>-988047512.73123395</v>
      </c>
      <c r="J1870" s="455">
        <f t="array" ref="J1870">IFERROR(INDEX('Retirement Calculator'!K:K,MATCH('Lorri 401b'!N1870,'Retirement Calculator'!A:A,0),0),0)</f>
        <v>0</v>
      </c>
      <c r="K1870" s="455">
        <f t="shared" ca="1" si="118"/>
        <v>-4116864.6363801421</v>
      </c>
      <c r="L1870" s="455">
        <f t="shared" ca="1" si="119"/>
        <v>-992164377.36761415</v>
      </c>
      <c r="M1870" s="471">
        <f t="shared" si="121"/>
        <v>0.05</v>
      </c>
      <c r="N1870" s="475">
        <f t="shared" si="122"/>
        <v>107961</v>
      </c>
    </row>
    <row r="1871" spans="7:14" ht="11.25" customHeight="1" x14ac:dyDescent="0.3">
      <c r="G1871" s="470"/>
      <c r="H1871" s="470">
        <v>1864</v>
      </c>
      <c r="I1871" s="455">
        <f t="shared" ca="1" si="120"/>
        <v>-992164377.36761415</v>
      </c>
      <c r="J1871" s="455">
        <f t="array" ref="J1871">IFERROR(INDEX('Retirement Calculator'!K:K,MATCH('Lorri 401b'!N1871,'Retirement Calculator'!A:A,0),0),0)</f>
        <v>0</v>
      </c>
      <c r="K1871" s="455">
        <f t="shared" ca="1" si="118"/>
        <v>-4134018.2390317256</v>
      </c>
      <c r="L1871" s="455">
        <f t="shared" ca="1" si="119"/>
        <v>-996298395.60664582</v>
      </c>
      <c r="M1871" s="471">
        <f t="shared" si="121"/>
        <v>0.05</v>
      </c>
      <c r="N1871" s="475">
        <f t="shared" si="122"/>
        <v>107992</v>
      </c>
    </row>
    <row r="1872" spans="7:14" ht="11.25" customHeight="1" x14ac:dyDescent="0.3">
      <c r="G1872" s="470"/>
      <c r="H1872" s="470">
        <v>1865</v>
      </c>
      <c r="I1872" s="455">
        <f t="shared" ca="1" si="120"/>
        <v>-996298395.60664582</v>
      </c>
      <c r="J1872" s="455">
        <f t="array" ref="J1872">IFERROR(INDEX('Retirement Calculator'!K:K,MATCH('Lorri 401b'!N1872,'Retirement Calculator'!A:A,0),0),0)</f>
        <v>0</v>
      </c>
      <c r="K1872" s="455">
        <f t="shared" ca="1" si="118"/>
        <v>-4151243.3150276914</v>
      </c>
      <c r="L1872" s="455">
        <f t="shared" ca="1" si="119"/>
        <v>-1000449638.9216735</v>
      </c>
      <c r="M1872" s="471">
        <f t="shared" si="121"/>
        <v>0.05</v>
      </c>
      <c r="N1872" s="475">
        <f t="shared" si="122"/>
        <v>108022</v>
      </c>
    </row>
    <row r="1873" spans="7:14" ht="11.25" customHeight="1" x14ac:dyDescent="0.3">
      <c r="G1873" s="470"/>
      <c r="H1873" s="470">
        <v>1866</v>
      </c>
      <c r="I1873" s="455">
        <f t="shared" ca="1" si="120"/>
        <v>-1000449638.9216735</v>
      </c>
      <c r="J1873" s="455">
        <f t="array" ref="J1873">IFERROR(INDEX('Retirement Calculator'!K:K,MATCH('Lorri 401b'!N1873,'Retirement Calculator'!A:A,0),0),0)</f>
        <v>0</v>
      </c>
      <c r="K1873" s="455">
        <f t="shared" ca="1" si="118"/>
        <v>-4168540.1621736395</v>
      </c>
      <c r="L1873" s="455">
        <f t="shared" ca="1" si="119"/>
        <v>-1004618179.0838472</v>
      </c>
      <c r="M1873" s="471">
        <f t="shared" si="121"/>
        <v>0.05</v>
      </c>
      <c r="N1873" s="475">
        <f t="shared" si="122"/>
        <v>108053</v>
      </c>
    </row>
    <row r="1874" spans="7:14" ht="11.25" customHeight="1" x14ac:dyDescent="0.3">
      <c r="G1874" s="470"/>
      <c r="H1874" s="470">
        <v>1867</v>
      </c>
      <c r="I1874" s="455">
        <f t="shared" ca="1" si="120"/>
        <v>-1004618179.0838472</v>
      </c>
      <c r="J1874" s="455">
        <f t="array" ref="J1874">IFERROR(INDEX('Retirement Calculator'!K:K,MATCH('Lorri 401b'!N1874,'Retirement Calculator'!A:A,0),0),0)</f>
        <v>0</v>
      </c>
      <c r="K1874" s="455">
        <f t="shared" ca="1" si="118"/>
        <v>-4185909.0795160304</v>
      </c>
      <c r="L1874" s="455">
        <f t="shared" ca="1" si="119"/>
        <v>-1008804088.1633632</v>
      </c>
      <c r="M1874" s="471">
        <f t="shared" si="121"/>
        <v>0.05</v>
      </c>
      <c r="N1874" s="475">
        <f t="shared" si="122"/>
        <v>108083</v>
      </c>
    </row>
    <row r="1875" spans="7:14" ht="11.25" customHeight="1" x14ac:dyDescent="0.3">
      <c r="G1875" s="470"/>
      <c r="H1875" s="470">
        <v>1868</v>
      </c>
      <c r="I1875" s="455">
        <f t="shared" ca="1" si="120"/>
        <v>-1008804088.1633632</v>
      </c>
      <c r="J1875" s="455">
        <f t="array" ref="J1875">IFERROR(INDEX('Retirement Calculator'!K:K,MATCH('Lorri 401b'!N1875,'Retirement Calculator'!A:A,0),0),0)</f>
        <v>0</v>
      </c>
      <c r="K1875" s="455">
        <f t="shared" ca="1" si="118"/>
        <v>-4203350.3673473466</v>
      </c>
      <c r="L1875" s="455">
        <f t="shared" ca="1" si="119"/>
        <v>-1013007438.5307106</v>
      </c>
      <c r="M1875" s="471">
        <f t="shared" si="121"/>
        <v>0.05</v>
      </c>
      <c r="N1875" s="475">
        <f t="shared" si="122"/>
        <v>108114</v>
      </c>
    </row>
    <row r="1876" spans="7:14" ht="11.25" customHeight="1" x14ac:dyDescent="0.3">
      <c r="G1876" s="470"/>
      <c r="H1876" s="470">
        <v>1869</v>
      </c>
      <c r="I1876" s="455">
        <f t="shared" ca="1" si="120"/>
        <v>-1013007438.5307106</v>
      </c>
      <c r="J1876" s="455">
        <f t="array" ref="J1876">IFERROR(INDEX('Retirement Calculator'!K:K,MATCH('Lorri 401b'!N1876,'Retirement Calculator'!A:A,0),0),0)</f>
        <v>0</v>
      </c>
      <c r="K1876" s="455">
        <f t="shared" ca="1" si="118"/>
        <v>-4220864.3272112943</v>
      </c>
      <c r="L1876" s="455">
        <f t="shared" ca="1" si="119"/>
        <v>-1017228302.8579218</v>
      </c>
      <c r="M1876" s="471">
        <f t="shared" si="121"/>
        <v>0.05</v>
      </c>
      <c r="N1876" s="475">
        <f t="shared" si="122"/>
        <v>108145</v>
      </c>
    </row>
    <row r="1877" spans="7:14" ht="11.25" customHeight="1" x14ac:dyDescent="0.3">
      <c r="G1877" s="470"/>
      <c r="H1877" s="470">
        <v>1870</v>
      </c>
      <c r="I1877" s="455">
        <f t="shared" ca="1" si="120"/>
        <v>-1017228302.8579218</v>
      </c>
      <c r="J1877" s="455">
        <f t="array" ref="J1877">IFERROR(INDEX('Retirement Calculator'!K:K,MATCH('Lorri 401b'!N1877,'Retirement Calculator'!A:A,0),0),0)</f>
        <v>0</v>
      </c>
      <c r="K1877" s="455">
        <f t="shared" ca="1" si="118"/>
        <v>-4238451.2619080078</v>
      </c>
      <c r="L1877" s="455">
        <f t="shared" ca="1" si="119"/>
        <v>-1021466754.1198299</v>
      </c>
      <c r="M1877" s="471">
        <f t="shared" si="121"/>
        <v>0.05</v>
      </c>
      <c r="N1877" s="475">
        <f t="shared" si="122"/>
        <v>108174</v>
      </c>
    </row>
    <row r="1878" spans="7:14" ht="11.25" customHeight="1" x14ac:dyDescent="0.3">
      <c r="G1878" s="470"/>
      <c r="H1878" s="470">
        <v>1871</v>
      </c>
      <c r="I1878" s="455">
        <f t="shared" ca="1" si="120"/>
        <v>-1021466754.1198299</v>
      </c>
      <c r="J1878" s="455">
        <f t="array" ref="J1878">IFERROR(INDEX('Retirement Calculator'!K:K,MATCH('Lorri 401b'!N1878,'Retirement Calculator'!A:A,0),0),0)</f>
        <v>0</v>
      </c>
      <c r="K1878" s="455">
        <f t="shared" ca="1" si="118"/>
        <v>-4256111.475499291</v>
      </c>
      <c r="L1878" s="455">
        <f t="shared" ca="1" si="119"/>
        <v>-1025722865.5953292</v>
      </c>
      <c r="M1878" s="471">
        <f t="shared" si="121"/>
        <v>0.05</v>
      </c>
      <c r="N1878" s="475">
        <f t="shared" si="122"/>
        <v>108205</v>
      </c>
    </row>
    <row r="1879" spans="7:14" ht="11.25" customHeight="1" x14ac:dyDescent="0.3">
      <c r="G1879" s="470"/>
      <c r="H1879" s="470">
        <v>1872</v>
      </c>
      <c r="I1879" s="455">
        <f t="shared" ca="1" si="120"/>
        <v>-1025722865.5953292</v>
      </c>
      <c r="J1879" s="455">
        <f t="array" ref="J1879">IFERROR(INDEX('Retirement Calculator'!K:K,MATCH('Lorri 401b'!N1879,'Retirement Calculator'!A:A,0),0),0)</f>
        <v>0</v>
      </c>
      <c r="K1879" s="455">
        <f t="shared" ca="1" si="118"/>
        <v>-4273845.2733138716</v>
      </c>
      <c r="L1879" s="455">
        <f t="shared" ca="1" si="119"/>
        <v>-1029996710.868643</v>
      </c>
      <c r="M1879" s="471">
        <f t="shared" si="121"/>
        <v>0.05</v>
      </c>
      <c r="N1879" s="475">
        <f t="shared" si="122"/>
        <v>108235</v>
      </c>
    </row>
    <row r="1880" spans="7:14" ht="11.25" customHeight="1" x14ac:dyDescent="0.3">
      <c r="G1880" s="470"/>
      <c r="H1880" s="470">
        <v>1873</v>
      </c>
      <c r="I1880" s="455">
        <f t="shared" ca="1" si="120"/>
        <v>-1029996710.868643</v>
      </c>
      <c r="J1880" s="455">
        <f t="array" ref="J1880">IFERROR(INDEX('Retirement Calculator'!K:K,MATCH('Lorri 401b'!N1880,'Retirement Calculator'!A:A,0),0),0)</f>
        <v>0</v>
      </c>
      <c r="K1880" s="455">
        <f t="shared" ca="1" si="118"/>
        <v>-4291652.9619526789</v>
      </c>
      <c r="L1880" s="455">
        <f t="shared" ca="1" si="119"/>
        <v>-1034288363.8305957</v>
      </c>
      <c r="M1880" s="471">
        <f t="shared" si="121"/>
        <v>0.05</v>
      </c>
      <c r="N1880" s="475">
        <f t="shared" si="122"/>
        <v>108266</v>
      </c>
    </row>
    <row r="1881" spans="7:14" ht="11.25" customHeight="1" x14ac:dyDescent="0.3">
      <c r="G1881" s="470"/>
      <c r="H1881" s="470">
        <v>1874</v>
      </c>
      <c r="I1881" s="455">
        <f t="shared" ca="1" si="120"/>
        <v>-1034288363.8305957</v>
      </c>
      <c r="J1881" s="455">
        <f t="array" ref="J1881">IFERROR(INDEX('Retirement Calculator'!K:K,MATCH('Lorri 401b'!N1881,'Retirement Calculator'!A:A,0),0),0)</f>
        <v>0</v>
      </c>
      <c r="K1881" s="455">
        <f t="shared" ca="1" si="118"/>
        <v>-4309534.8492941484</v>
      </c>
      <c r="L1881" s="455">
        <f t="shared" ca="1" si="119"/>
        <v>-1038597898.6798899</v>
      </c>
      <c r="M1881" s="471">
        <f t="shared" si="121"/>
        <v>0.05</v>
      </c>
      <c r="N1881" s="475">
        <f t="shared" si="122"/>
        <v>108296</v>
      </c>
    </row>
    <row r="1882" spans="7:14" ht="11.25" customHeight="1" x14ac:dyDescent="0.3">
      <c r="G1882" s="470"/>
      <c r="H1882" s="470">
        <v>1875</v>
      </c>
      <c r="I1882" s="455">
        <f t="shared" ca="1" si="120"/>
        <v>-1038597898.6798899</v>
      </c>
      <c r="J1882" s="455">
        <f t="array" ref="J1882">IFERROR(INDEX('Retirement Calculator'!K:K,MATCH('Lorri 401b'!N1882,'Retirement Calculator'!A:A,0),0),0)</f>
        <v>0</v>
      </c>
      <c r="K1882" s="455">
        <f t="shared" ca="1" si="118"/>
        <v>-4327491.2444995409</v>
      </c>
      <c r="L1882" s="455">
        <f t="shared" ca="1" si="119"/>
        <v>-1042925389.9243895</v>
      </c>
      <c r="M1882" s="471">
        <f t="shared" si="121"/>
        <v>0.05</v>
      </c>
      <c r="N1882" s="475">
        <f t="shared" si="122"/>
        <v>108327</v>
      </c>
    </row>
    <row r="1883" spans="7:14" ht="11.25" customHeight="1" x14ac:dyDescent="0.3">
      <c r="G1883" s="470"/>
      <c r="H1883" s="470">
        <v>1876</v>
      </c>
      <c r="I1883" s="455">
        <f t="shared" ca="1" si="120"/>
        <v>-1042925389.9243895</v>
      </c>
      <c r="J1883" s="455">
        <f t="array" ref="J1883">IFERROR(INDEX('Retirement Calculator'!K:K,MATCH('Lorri 401b'!N1883,'Retirement Calculator'!A:A,0),0),0)</f>
        <v>0</v>
      </c>
      <c r="K1883" s="455">
        <f t="shared" ca="1" si="118"/>
        <v>-4345522.4580182899</v>
      </c>
      <c r="L1883" s="455">
        <f t="shared" ca="1" si="119"/>
        <v>-1047270912.3824078</v>
      </c>
      <c r="M1883" s="471">
        <f t="shared" si="121"/>
        <v>0.05</v>
      </c>
      <c r="N1883" s="475">
        <f t="shared" si="122"/>
        <v>108358</v>
      </c>
    </row>
    <row r="1884" spans="7:14" ht="11.25" customHeight="1" x14ac:dyDescent="0.3">
      <c r="G1884" s="470"/>
      <c r="H1884" s="470">
        <v>1877</v>
      </c>
      <c r="I1884" s="455">
        <f t="shared" ca="1" si="120"/>
        <v>-1047270912.3824078</v>
      </c>
      <c r="J1884" s="455">
        <f t="array" ref="J1884">IFERROR(INDEX('Retirement Calculator'!K:K,MATCH('Lorri 401b'!N1884,'Retirement Calculator'!A:A,0),0),0)</f>
        <v>0</v>
      </c>
      <c r="K1884" s="455">
        <f t="shared" ca="1" si="118"/>
        <v>-4363628.8015933661</v>
      </c>
      <c r="L1884" s="455">
        <f t="shared" ca="1" si="119"/>
        <v>-1051634541.1840012</v>
      </c>
      <c r="M1884" s="471">
        <f t="shared" si="121"/>
        <v>0.05</v>
      </c>
      <c r="N1884" s="475">
        <f t="shared" si="122"/>
        <v>108388</v>
      </c>
    </row>
    <row r="1885" spans="7:14" ht="11.25" customHeight="1" x14ac:dyDescent="0.3">
      <c r="G1885" s="470"/>
      <c r="H1885" s="470">
        <v>1878</v>
      </c>
      <c r="I1885" s="455">
        <f t="shared" ca="1" si="120"/>
        <v>-1051634541.1840012</v>
      </c>
      <c r="J1885" s="455">
        <f t="array" ref="J1885">IFERROR(INDEX('Retirement Calculator'!K:K,MATCH('Lorri 401b'!N1885,'Retirement Calculator'!A:A,0),0),0)</f>
        <v>0</v>
      </c>
      <c r="K1885" s="455">
        <f t="shared" ca="1" si="118"/>
        <v>-4381810.5882666726</v>
      </c>
      <c r="L1885" s="455">
        <f t="shared" ca="1" si="119"/>
        <v>-1056016351.7722679</v>
      </c>
      <c r="M1885" s="471">
        <f t="shared" si="121"/>
        <v>0.05</v>
      </c>
      <c r="N1885" s="475">
        <f t="shared" si="122"/>
        <v>108419</v>
      </c>
    </row>
    <row r="1886" spans="7:14" ht="11.25" customHeight="1" x14ac:dyDescent="0.3">
      <c r="G1886" s="470"/>
      <c r="H1886" s="470">
        <v>1879</v>
      </c>
      <c r="I1886" s="455">
        <f t="shared" ca="1" si="120"/>
        <v>-1056016351.7722679</v>
      </c>
      <c r="J1886" s="455">
        <f t="array" ref="J1886">IFERROR(INDEX('Retirement Calculator'!K:K,MATCH('Lorri 401b'!N1886,'Retirement Calculator'!A:A,0),0),0)</f>
        <v>0</v>
      </c>
      <c r="K1886" s="455">
        <f t="shared" ca="1" si="118"/>
        <v>-4400068.1323844492</v>
      </c>
      <c r="L1886" s="455">
        <f t="shared" ca="1" si="119"/>
        <v>-1060416419.9046524</v>
      </c>
      <c r="M1886" s="471">
        <f t="shared" si="121"/>
        <v>0.05</v>
      </c>
      <c r="N1886" s="475">
        <f t="shared" si="122"/>
        <v>108449</v>
      </c>
    </row>
    <row r="1887" spans="7:14" ht="11.25" customHeight="1" x14ac:dyDescent="0.3">
      <c r="G1887" s="470"/>
      <c r="H1887" s="470">
        <v>1880</v>
      </c>
      <c r="I1887" s="455">
        <f t="shared" ca="1" si="120"/>
        <v>-1060416419.9046524</v>
      </c>
      <c r="J1887" s="455">
        <f t="array" ref="J1887">IFERROR(INDEX('Retirement Calculator'!K:K,MATCH('Lorri 401b'!N1887,'Retirement Calculator'!A:A,0),0),0)</f>
        <v>0</v>
      </c>
      <c r="K1887" s="455">
        <f t="shared" ca="1" si="118"/>
        <v>-4418401.7496027183</v>
      </c>
      <c r="L1887" s="455">
        <f t="shared" ca="1" si="119"/>
        <v>-1064834821.654255</v>
      </c>
      <c r="M1887" s="471">
        <f t="shared" si="121"/>
        <v>0.05</v>
      </c>
      <c r="N1887" s="475">
        <f t="shared" si="122"/>
        <v>108480</v>
      </c>
    </row>
    <row r="1888" spans="7:14" ht="11.25" customHeight="1" x14ac:dyDescent="0.3">
      <c r="G1888" s="470"/>
      <c r="H1888" s="470">
        <v>1881</v>
      </c>
      <c r="I1888" s="455">
        <f t="shared" ca="1" si="120"/>
        <v>-1064834821.654255</v>
      </c>
      <c r="J1888" s="455">
        <f t="array" ref="J1888">IFERROR(INDEX('Retirement Calculator'!K:K,MATCH('Lorri 401b'!N1888,'Retirement Calculator'!A:A,0),0),0)</f>
        <v>0</v>
      </c>
      <c r="K1888" s="455">
        <f t="shared" ca="1" si="118"/>
        <v>-4436811.7568927296</v>
      </c>
      <c r="L1888" s="455">
        <f t="shared" ca="1" si="119"/>
        <v>-1069271633.4111477</v>
      </c>
      <c r="M1888" s="471">
        <f t="shared" si="121"/>
        <v>0.05</v>
      </c>
      <c r="N1888" s="475">
        <f t="shared" si="122"/>
        <v>108511</v>
      </c>
    </row>
    <row r="1889" spans="7:14" ht="11.25" customHeight="1" x14ac:dyDescent="0.3">
      <c r="G1889" s="470"/>
      <c r="H1889" s="470">
        <v>1882</v>
      </c>
      <c r="I1889" s="455">
        <f t="shared" ca="1" si="120"/>
        <v>-1069271633.4111477</v>
      </c>
      <c r="J1889" s="455">
        <f t="array" ref="J1889">IFERROR(INDEX('Retirement Calculator'!K:K,MATCH('Lorri 401b'!N1889,'Retirement Calculator'!A:A,0),0),0)</f>
        <v>0</v>
      </c>
      <c r="K1889" s="455">
        <f t="shared" ca="1" si="118"/>
        <v>-4455298.4725464489</v>
      </c>
      <c r="L1889" s="455">
        <f t="shared" ca="1" si="119"/>
        <v>-1073726931.8836942</v>
      </c>
      <c r="M1889" s="471">
        <f t="shared" si="121"/>
        <v>0.05</v>
      </c>
      <c r="N1889" s="475">
        <f t="shared" si="122"/>
        <v>108539</v>
      </c>
    </row>
    <row r="1890" spans="7:14" ht="11.25" customHeight="1" x14ac:dyDescent="0.3">
      <c r="G1890" s="470"/>
      <c r="H1890" s="470">
        <v>1883</v>
      </c>
      <c r="I1890" s="455">
        <f t="shared" ca="1" si="120"/>
        <v>-1073726931.8836942</v>
      </c>
      <c r="J1890" s="455">
        <f t="array" ref="J1890">IFERROR(INDEX('Retirement Calculator'!K:K,MATCH('Lorri 401b'!N1890,'Retirement Calculator'!A:A,0),0),0)</f>
        <v>0</v>
      </c>
      <c r="K1890" s="455">
        <f t="shared" ca="1" si="118"/>
        <v>-4473862.2161820587</v>
      </c>
      <c r="L1890" s="455">
        <f t="shared" ca="1" si="119"/>
        <v>-1078200794.0998762</v>
      </c>
      <c r="M1890" s="471">
        <f t="shared" si="121"/>
        <v>0.05</v>
      </c>
      <c r="N1890" s="475">
        <f t="shared" si="122"/>
        <v>108570</v>
      </c>
    </row>
    <row r="1891" spans="7:14" ht="11.25" customHeight="1" x14ac:dyDescent="0.3">
      <c r="G1891" s="470"/>
      <c r="H1891" s="470">
        <v>1884</v>
      </c>
      <c r="I1891" s="455">
        <f t="shared" ca="1" si="120"/>
        <v>-1078200794.0998762</v>
      </c>
      <c r="J1891" s="455">
        <f t="array" ref="J1891">IFERROR(INDEX('Retirement Calculator'!K:K,MATCH('Lorri 401b'!N1891,'Retirement Calculator'!A:A,0),0),0)</f>
        <v>0</v>
      </c>
      <c r="K1891" s="455">
        <f t="shared" ca="1" si="118"/>
        <v>-4492503.3087494839</v>
      </c>
      <c r="L1891" s="455">
        <f t="shared" ca="1" si="119"/>
        <v>-1082693297.4086256</v>
      </c>
      <c r="M1891" s="471">
        <f t="shared" si="121"/>
        <v>0.05</v>
      </c>
      <c r="N1891" s="475">
        <f t="shared" si="122"/>
        <v>108600</v>
      </c>
    </row>
    <row r="1892" spans="7:14" ht="11.25" customHeight="1" x14ac:dyDescent="0.3">
      <c r="G1892" s="470"/>
      <c r="H1892" s="470">
        <v>1885</v>
      </c>
      <c r="I1892" s="455">
        <f t="shared" ca="1" si="120"/>
        <v>-1082693297.4086256</v>
      </c>
      <c r="J1892" s="455">
        <f t="array" ref="J1892">IFERROR(INDEX('Retirement Calculator'!K:K,MATCH('Lorri 401b'!N1892,'Retirement Calculator'!A:A,0),0),0)</f>
        <v>0</v>
      </c>
      <c r="K1892" s="455">
        <f t="shared" ca="1" si="118"/>
        <v>-4511222.0725359395</v>
      </c>
      <c r="L1892" s="455">
        <f t="shared" ca="1" si="119"/>
        <v>-1087204519.4811616</v>
      </c>
      <c r="M1892" s="471">
        <f t="shared" si="121"/>
        <v>0.05</v>
      </c>
      <c r="N1892" s="475">
        <f t="shared" si="122"/>
        <v>108631</v>
      </c>
    </row>
    <row r="1893" spans="7:14" ht="11.25" customHeight="1" x14ac:dyDescent="0.3">
      <c r="G1893" s="470"/>
      <c r="H1893" s="470">
        <v>1886</v>
      </c>
      <c r="I1893" s="455">
        <f t="shared" ca="1" si="120"/>
        <v>-1087204519.4811616</v>
      </c>
      <c r="J1893" s="455">
        <f t="array" ref="J1893">IFERROR(INDEX('Retirement Calculator'!K:K,MATCH('Lorri 401b'!N1893,'Retirement Calculator'!A:A,0),0),0)</f>
        <v>0</v>
      </c>
      <c r="K1893" s="455">
        <f t="shared" ca="1" si="118"/>
        <v>-4530018.831171507</v>
      </c>
      <c r="L1893" s="455">
        <f t="shared" ca="1" si="119"/>
        <v>-1091734538.3123331</v>
      </c>
      <c r="M1893" s="471">
        <f t="shared" si="121"/>
        <v>0.05</v>
      </c>
      <c r="N1893" s="475">
        <f t="shared" si="122"/>
        <v>108661</v>
      </c>
    </row>
    <row r="1894" spans="7:14" ht="11.25" customHeight="1" x14ac:dyDescent="0.3">
      <c r="G1894" s="470"/>
      <c r="H1894" s="470">
        <v>1887</v>
      </c>
      <c r="I1894" s="455">
        <f t="shared" ca="1" si="120"/>
        <v>-1091734538.3123331</v>
      </c>
      <c r="J1894" s="455">
        <f t="array" ref="J1894">IFERROR(INDEX('Retirement Calculator'!K:K,MATCH('Lorri 401b'!N1894,'Retirement Calculator'!A:A,0),0),0)</f>
        <v>0</v>
      </c>
      <c r="K1894" s="455">
        <f t="shared" ca="1" si="118"/>
        <v>-4548893.9096347215</v>
      </c>
      <c r="L1894" s="455">
        <f t="shared" ca="1" si="119"/>
        <v>-1096283432.2219679</v>
      </c>
      <c r="M1894" s="471">
        <f t="shared" si="121"/>
        <v>0.05</v>
      </c>
      <c r="N1894" s="475">
        <f t="shared" si="122"/>
        <v>108692</v>
      </c>
    </row>
    <row r="1895" spans="7:14" ht="11.25" customHeight="1" x14ac:dyDescent="0.3">
      <c r="G1895" s="470"/>
      <c r="H1895" s="470">
        <v>1888</v>
      </c>
      <c r="I1895" s="455">
        <f t="shared" ca="1" si="120"/>
        <v>-1096283432.2219679</v>
      </c>
      <c r="J1895" s="455">
        <f t="array" ref="J1895">IFERROR(INDEX('Retirement Calculator'!K:K,MATCH('Lorri 401b'!N1895,'Retirement Calculator'!A:A,0),0),0)</f>
        <v>0</v>
      </c>
      <c r="K1895" s="455">
        <f t="shared" ca="1" si="118"/>
        <v>-4567847.6342581995</v>
      </c>
      <c r="L1895" s="455">
        <f t="shared" ca="1" si="119"/>
        <v>-1100851279.8562262</v>
      </c>
      <c r="M1895" s="471">
        <f t="shared" si="121"/>
        <v>0.05</v>
      </c>
      <c r="N1895" s="475">
        <f t="shared" si="122"/>
        <v>108723</v>
      </c>
    </row>
    <row r="1896" spans="7:14" ht="11.25" customHeight="1" x14ac:dyDescent="0.3">
      <c r="G1896" s="470"/>
      <c r="H1896" s="470">
        <v>1889</v>
      </c>
      <c r="I1896" s="455">
        <f t="shared" ca="1" si="120"/>
        <v>-1100851279.8562262</v>
      </c>
      <c r="J1896" s="455">
        <f t="array" ref="J1896">IFERROR(INDEX('Retirement Calculator'!K:K,MATCH('Lorri 401b'!N1896,'Retirement Calculator'!A:A,0),0),0)</f>
        <v>0</v>
      </c>
      <c r="K1896" s="455">
        <f t="shared" ca="1" si="118"/>
        <v>-4586880.3327342756</v>
      </c>
      <c r="L1896" s="455">
        <f t="shared" ca="1" si="119"/>
        <v>-1105438160.1889606</v>
      </c>
      <c r="M1896" s="471">
        <f t="shared" si="121"/>
        <v>0.05</v>
      </c>
      <c r="N1896" s="475">
        <f t="shared" si="122"/>
        <v>108753</v>
      </c>
    </row>
    <row r="1897" spans="7:14" ht="11.25" customHeight="1" x14ac:dyDescent="0.3">
      <c r="G1897" s="470"/>
      <c r="H1897" s="470">
        <v>1890</v>
      </c>
      <c r="I1897" s="455">
        <f t="shared" ca="1" si="120"/>
        <v>-1105438160.1889606</v>
      </c>
      <c r="J1897" s="455">
        <f t="array" ref="J1897">IFERROR(INDEX('Retirement Calculator'!K:K,MATCH('Lorri 401b'!N1897,'Retirement Calculator'!A:A,0),0),0)</f>
        <v>0</v>
      </c>
      <c r="K1897" s="455">
        <f t="shared" ca="1" si="118"/>
        <v>-4605992.3341206685</v>
      </c>
      <c r="L1897" s="455">
        <f t="shared" ca="1" si="119"/>
        <v>-1110044152.5230813</v>
      </c>
      <c r="M1897" s="471">
        <f t="shared" si="121"/>
        <v>0.05</v>
      </c>
      <c r="N1897" s="475">
        <f t="shared" si="122"/>
        <v>108784</v>
      </c>
    </row>
    <row r="1898" spans="7:14" ht="11.25" customHeight="1" x14ac:dyDescent="0.3">
      <c r="G1898" s="470"/>
      <c r="H1898" s="470">
        <v>1891</v>
      </c>
      <c r="I1898" s="455">
        <f t="shared" ca="1" si="120"/>
        <v>-1110044152.5230813</v>
      </c>
      <c r="J1898" s="455">
        <f t="array" ref="J1898">IFERROR(INDEX('Retirement Calculator'!K:K,MATCH('Lorri 401b'!N1898,'Retirement Calculator'!A:A,0),0),0)</f>
        <v>0</v>
      </c>
      <c r="K1898" s="455">
        <f t="shared" ca="1" si="118"/>
        <v>-4625183.9688461721</v>
      </c>
      <c r="L1898" s="455">
        <f t="shared" ca="1" si="119"/>
        <v>-1114669336.4919274</v>
      </c>
      <c r="M1898" s="471">
        <f t="shared" si="121"/>
        <v>0.05</v>
      </c>
      <c r="N1898" s="475">
        <f t="shared" si="122"/>
        <v>108814</v>
      </c>
    </row>
    <row r="1899" spans="7:14" ht="11.25" customHeight="1" x14ac:dyDescent="0.3">
      <c r="G1899" s="470"/>
      <c r="H1899" s="470">
        <v>1892</v>
      </c>
      <c r="I1899" s="455">
        <f t="shared" ca="1" si="120"/>
        <v>-1114669336.4919274</v>
      </c>
      <c r="J1899" s="455">
        <f t="array" ref="J1899">IFERROR(INDEX('Retirement Calculator'!K:K,MATCH('Lorri 401b'!N1899,'Retirement Calculator'!A:A,0),0),0)</f>
        <v>0</v>
      </c>
      <c r="K1899" s="455">
        <f t="shared" ca="1" si="118"/>
        <v>-4644455.568716364</v>
      </c>
      <c r="L1899" s="455">
        <f t="shared" ca="1" si="119"/>
        <v>-1119313792.0606437</v>
      </c>
      <c r="M1899" s="471">
        <f t="shared" si="121"/>
        <v>0.05</v>
      </c>
      <c r="N1899" s="475">
        <f t="shared" si="122"/>
        <v>108845</v>
      </c>
    </row>
    <row r="1900" spans="7:14" ht="11.25" customHeight="1" x14ac:dyDescent="0.3">
      <c r="G1900" s="470"/>
      <c r="H1900" s="470">
        <v>1893</v>
      </c>
      <c r="I1900" s="455">
        <f t="shared" ca="1" si="120"/>
        <v>-1119313792.0606437</v>
      </c>
      <c r="J1900" s="455">
        <f t="array" ref="J1900">IFERROR(INDEX('Retirement Calculator'!K:K,MATCH('Lorri 401b'!N1900,'Retirement Calculator'!A:A,0),0),0)</f>
        <v>0</v>
      </c>
      <c r="K1900" s="455">
        <f t="shared" ca="1" si="118"/>
        <v>-4663807.4669193486</v>
      </c>
      <c r="L1900" s="455">
        <f t="shared" ca="1" si="119"/>
        <v>-1123977599.5275631</v>
      </c>
      <c r="M1900" s="471">
        <f t="shared" si="121"/>
        <v>0.05</v>
      </c>
      <c r="N1900" s="475">
        <f t="shared" si="122"/>
        <v>108876</v>
      </c>
    </row>
    <row r="1901" spans="7:14" ht="11.25" customHeight="1" x14ac:dyDescent="0.3">
      <c r="G1901" s="470"/>
      <c r="H1901" s="470">
        <v>1894</v>
      </c>
      <c r="I1901" s="455">
        <f t="shared" ca="1" si="120"/>
        <v>-1123977599.5275631</v>
      </c>
      <c r="J1901" s="455">
        <f t="array" ref="J1901">IFERROR(INDEX('Retirement Calculator'!K:K,MATCH('Lorri 401b'!N1901,'Retirement Calculator'!A:A,0),0),0)</f>
        <v>0</v>
      </c>
      <c r="K1901" s="455">
        <f t="shared" ca="1" si="118"/>
        <v>-4683239.9980315128</v>
      </c>
      <c r="L1901" s="455">
        <f t="shared" ca="1" si="119"/>
        <v>-1128660839.5255947</v>
      </c>
      <c r="M1901" s="471">
        <f t="shared" si="121"/>
        <v>0.05</v>
      </c>
      <c r="N1901" s="475">
        <f t="shared" si="122"/>
        <v>108904</v>
      </c>
    </row>
    <row r="1902" spans="7:14" ht="11.25" customHeight="1" x14ac:dyDescent="0.3">
      <c r="G1902" s="470"/>
      <c r="H1902" s="470">
        <v>1895</v>
      </c>
      <c r="I1902" s="455">
        <f t="shared" ca="1" si="120"/>
        <v>-1128660839.5255947</v>
      </c>
      <c r="J1902" s="455">
        <f t="array" ref="J1902">IFERROR(INDEX('Retirement Calculator'!K:K,MATCH('Lorri 401b'!N1902,'Retirement Calculator'!A:A,0),0),0)</f>
        <v>0</v>
      </c>
      <c r="K1902" s="455">
        <f t="shared" ca="1" si="118"/>
        <v>-4702753.4980233116</v>
      </c>
      <c r="L1902" s="455">
        <f t="shared" ca="1" si="119"/>
        <v>-1133363593.023618</v>
      </c>
      <c r="M1902" s="471">
        <f t="shared" si="121"/>
        <v>0.05</v>
      </c>
      <c r="N1902" s="475">
        <f t="shared" si="122"/>
        <v>108935</v>
      </c>
    </row>
    <row r="1903" spans="7:14" ht="11.25" customHeight="1" x14ac:dyDescent="0.3">
      <c r="G1903" s="470"/>
      <c r="H1903" s="470">
        <v>1896</v>
      </c>
      <c r="I1903" s="455">
        <f t="shared" ca="1" si="120"/>
        <v>-1133363593.023618</v>
      </c>
      <c r="J1903" s="455">
        <f t="array" ref="J1903">IFERROR(INDEX('Retirement Calculator'!K:K,MATCH('Lorri 401b'!N1903,'Retirement Calculator'!A:A,0),0),0)</f>
        <v>0</v>
      </c>
      <c r="K1903" s="455">
        <f t="shared" ca="1" si="118"/>
        <v>-4722348.3042650744</v>
      </c>
      <c r="L1903" s="455">
        <f t="shared" ca="1" si="119"/>
        <v>-1138085941.327883</v>
      </c>
      <c r="M1903" s="471">
        <f t="shared" si="121"/>
        <v>0.05</v>
      </c>
      <c r="N1903" s="475">
        <f t="shared" si="122"/>
        <v>108965</v>
      </c>
    </row>
    <row r="1904" spans="7:14" ht="11.25" customHeight="1" x14ac:dyDescent="0.3">
      <c r="G1904" s="470"/>
      <c r="H1904" s="470">
        <v>1897</v>
      </c>
      <c r="I1904" s="455">
        <f t="shared" ca="1" si="120"/>
        <v>-1138085941.327883</v>
      </c>
      <c r="J1904" s="455">
        <f t="array" ref="J1904">IFERROR(INDEX('Retirement Calculator'!K:K,MATCH('Lorri 401b'!N1904,'Retirement Calculator'!A:A,0),0),0)</f>
        <v>0</v>
      </c>
      <c r="K1904" s="455">
        <f t="shared" ca="1" si="118"/>
        <v>-4742024.7555328459</v>
      </c>
      <c r="L1904" s="455">
        <f t="shared" ca="1" si="119"/>
        <v>-1142827966.0834157</v>
      </c>
      <c r="M1904" s="471">
        <f t="shared" si="121"/>
        <v>0.05</v>
      </c>
      <c r="N1904" s="475">
        <f t="shared" si="122"/>
        <v>108996</v>
      </c>
    </row>
    <row r="1905" spans="7:14" ht="11.25" customHeight="1" x14ac:dyDescent="0.3">
      <c r="G1905" s="470"/>
      <c r="H1905" s="470">
        <v>1898</v>
      </c>
      <c r="I1905" s="455">
        <f t="shared" ca="1" si="120"/>
        <v>-1142827966.0834157</v>
      </c>
      <c r="J1905" s="455">
        <f t="array" ref="J1905">IFERROR(INDEX('Retirement Calculator'!K:K,MATCH('Lorri 401b'!N1905,'Retirement Calculator'!A:A,0),0),0)</f>
        <v>0</v>
      </c>
      <c r="K1905" s="455">
        <f t="shared" ca="1" si="118"/>
        <v>-4761783.1920142323</v>
      </c>
      <c r="L1905" s="455">
        <f t="shared" ca="1" si="119"/>
        <v>-1147589749.27543</v>
      </c>
      <c r="M1905" s="471">
        <f t="shared" si="121"/>
        <v>0.05</v>
      </c>
      <c r="N1905" s="475">
        <f t="shared" si="122"/>
        <v>109026</v>
      </c>
    </row>
    <row r="1906" spans="7:14" ht="11.25" customHeight="1" x14ac:dyDescent="0.3">
      <c r="G1906" s="470"/>
      <c r="H1906" s="470">
        <v>1899</v>
      </c>
      <c r="I1906" s="455">
        <f t="shared" ca="1" si="120"/>
        <v>-1147589749.27543</v>
      </c>
      <c r="J1906" s="455">
        <f t="array" ref="J1906">IFERROR(INDEX('Retirement Calculator'!K:K,MATCH('Lorri 401b'!N1906,'Retirement Calculator'!A:A,0),0),0)</f>
        <v>0</v>
      </c>
      <c r="K1906" s="455">
        <f t="shared" ca="1" si="118"/>
        <v>-4781623.9553142916</v>
      </c>
      <c r="L1906" s="455">
        <f t="shared" ca="1" si="119"/>
        <v>-1152371373.2307444</v>
      </c>
      <c r="M1906" s="471">
        <f t="shared" si="121"/>
        <v>0.05</v>
      </c>
      <c r="N1906" s="475">
        <f t="shared" si="122"/>
        <v>109057</v>
      </c>
    </row>
    <row r="1907" spans="7:14" ht="11.25" customHeight="1" x14ac:dyDescent="0.3">
      <c r="G1907" s="470"/>
      <c r="H1907" s="470">
        <v>1900</v>
      </c>
      <c r="I1907" s="455">
        <f t="shared" ca="1" si="120"/>
        <v>-1152371373.2307444</v>
      </c>
      <c r="J1907" s="455">
        <f t="array" ref="J1907">IFERROR(INDEX('Retirement Calculator'!K:K,MATCH('Lorri 401b'!N1907,'Retirement Calculator'!A:A,0),0),0)</f>
        <v>0</v>
      </c>
      <c r="K1907" s="455">
        <f t="shared" ca="1" si="118"/>
        <v>-4801547.3884614352</v>
      </c>
      <c r="L1907" s="455">
        <f t="shared" ca="1" si="119"/>
        <v>-1157172920.6192057</v>
      </c>
      <c r="M1907" s="471">
        <f t="shared" si="121"/>
        <v>0.05</v>
      </c>
      <c r="N1907" s="475">
        <f t="shared" si="122"/>
        <v>109088</v>
      </c>
    </row>
    <row r="1908" spans="7:14" ht="11.25" customHeight="1" x14ac:dyDescent="0.3">
      <c r="G1908" s="470"/>
      <c r="H1908" s="470">
        <v>1901</v>
      </c>
      <c r="I1908" s="455">
        <f t="shared" ca="1" si="120"/>
        <v>-1157172920.6192057</v>
      </c>
      <c r="J1908" s="455">
        <f t="array" ref="J1908">IFERROR(INDEX('Retirement Calculator'!K:K,MATCH('Lorri 401b'!N1908,'Retirement Calculator'!A:A,0),0),0)</f>
        <v>0</v>
      </c>
      <c r="K1908" s="455">
        <f t="shared" ca="1" si="118"/>
        <v>-4821553.8359133573</v>
      </c>
      <c r="L1908" s="455">
        <f t="shared" ca="1" si="119"/>
        <v>-1161994474.4551191</v>
      </c>
      <c r="M1908" s="471">
        <f t="shared" si="121"/>
        <v>0.05</v>
      </c>
      <c r="N1908" s="475">
        <f t="shared" si="122"/>
        <v>109118</v>
      </c>
    </row>
    <row r="1909" spans="7:14" ht="11.25" customHeight="1" x14ac:dyDescent="0.3">
      <c r="G1909" s="470"/>
      <c r="H1909" s="470">
        <v>1902</v>
      </c>
      <c r="I1909" s="455">
        <f t="shared" ca="1" si="120"/>
        <v>-1161994474.4551191</v>
      </c>
      <c r="J1909" s="455">
        <f t="array" ref="J1909">IFERROR(INDEX('Retirement Calculator'!K:K,MATCH('Lorri 401b'!N1909,'Retirement Calculator'!A:A,0),0),0)</f>
        <v>0</v>
      </c>
      <c r="K1909" s="455">
        <f t="shared" ca="1" si="118"/>
        <v>-4841643.6435629968</v>
      </c>
      <c r="L1909" s="455">
        <f t="shared" ca="1" si="119"/>
        <v>-1166836118.0986822</v>
      </c>
      <c r="M1909" s="471">
        <f t="shared" si="121"/>
        <v>0.05</v>
      </c>
      <c r="N1909" s="475">
        <f t="shared" si="122"/>
        <v>109149</v>
      </c>
    </row>
    <row r="1910" spans="7:14" ht="11.25" customHeight="1" x14ac:dyDescent="0.3">
      <c r="G1910" s="470"/>
      <c r="H1910" s="470">
        <v>1903</v>
      </c>
      <c r="I1910" s="455">
        <f t="shared" ca="1" si="120"/>
        <v>-1166836118.0986822</v>
      </c>
      <c r="J1910" s="455">
        <f t="array" ref="J1910">IFERROR(INDEX('Retirement Calculator'!K:K,MATCH('Lorri 401b'!N1910,'Retirement Calculator'!A:A,0),0),0)</f>
        <v>0</v>
      </c>
      <c r="K1910" s="455">
        <f t="shared" ca="1" si="118"/>
        <v>-4861817.1587445093</v>
      </c>
      <c r="L1910" s="455">
        <f t="shared" ca="1" si="119"/>
        <v>-1171697935.2574267</v>
      </c>
      <c r="M1910" s="471">
        <f t="shared" si="121"/>
        <v>0.05</v>
      </c>
      <c r="N1910" s="475">
        <f t="shared" si="122"/>
        <v>109179</v>
      </c>
    </row>
    <row r="1911" spans="7:14" ht="11.25" customHeight="1" x14ac:dyDescent="0.3">
      <c r="G1911" s="470"/>
      <c r="H1911" s="470">
        <v>1904</v>
      </c>
      <c r="I1911" s="455">
        <f t="shared" ca="1" si="120"/>
        <v>-1171697935.2574267</v>
      </c>
      <c r="J1911" s="455">
        <f t="array" ref="J1911">IFERROR(INDEX('Retirement Calculator'!K:K,MATCH('Lorri 401b'!N1911,'Retirement Calculator'!A:A,0),0),0)</f>
        <v>0</v>
      </c>
      <c r="K1911" s="455">
        <f t="shared" ca="1" si="118"/>
        <v>-4882074.7302392777</v>
      </c>
      <c r="L1911" s="455">
        <f t="shared" ca="1" si="119"/>
        <v>-1176580009.9876661</v>
      </c>
      <c r="M1911" s="471">
        <f t="shared" si="121"/>
        <v>0.05</v>
      </c>
      <c r="N1911" s="475">
        <f t="shared" si="122"/>
        <v>109210</v>
      </c>
    </row>
    <row r="1912" spans="7:14" ht="11.25" customHeight="1" x14ac:dyDescent="0.3">
      <c r="G1912" s="470"/>
      <c r="H1912" s="470">
        <v>1905</v>
      </c>
      <c r="I1912" s="455">
        <f t="shared" ca="1" si="120"/>
        <v>-1176580009.9876661</v>
      </c>
      <c r="J1912" s="455">
        <f t="array" ref="J1912">IFERROR(INDEX('Retirement Calculator'!K:K,MATCH('Lorri 401b'!N1912,'Retirement Calculator'!A:A,0),0),0)</f>
        <v>0</v>
      </c>
      <c r="K1912" s="455">
        <f t="shared" ca="1" si="118"/>
        <v>-4902416.7082819417</v>
      </c>
      <c r="L1912" s="455">
        <f t="shared" ca="1" si="119"/>
        <v>-1181482426.6959481</v>
      </c>
      <c r="M1912" s="471">
        <f t="shared" si="121"/>
        <v>0.05</v>
      </c>
      <c r="N1912" s="475">
        <f t="shared" si="122"/>
        <v>109241</v>
      </c>
    </row>
    <row r="1913" spans="7:14" ht="11.25" customHeight="1" x14ac:dyDescent="0.3">
      <c r="G1913" s="470"/>
      <c r="H1913" s="470">
        <v>1906</v>
      </c>
      <c r="I1913" s="455">
        <f t="shared" ca="1" si="120"/>
        <v>-1181482426.6959481</v>
      </c>
      <c r="J1913" s="455">
        <f t="array" ref="J1913">IFERROR(INDEX('Retirement Calculator'!K:K,MATCH('Lorri 401b'!N1913,'Retirement Calculator'!A:A,0),0),0)</f>
        <v>0</v>
      </c>
      <c r="K1913" s="455">
        <f t="shared" ca="1" si="118"/>
        <v>-4922843.4445664501</v>
      </c>
      <c r="L1913" s="455">
        <f t="shared" ca="1" si="119"/>
        <v>-1186405270.1405146</v>
      </c>
      <c r="M1913" s="471">
        <f t="shared" si="121"/>
        <v>0.05</v>
      </c>
      <c r="N1913" s="475">
        <f t="shared" si="122"/>
        <v>109269</v>
      </c>
    </row>
    <row r="1914" spans="7:14" ht="11.25" customHeight="1" x14ac:dyDescent="0.3">
      <c r="G1914" s="470"/>
      <c r="H1914" s="470">
        <v>1907</v>
      </c>
      <c r="I1914" s="455">
        <f t="shared" ca="1" si="120"/>
        <v>-1186405270.1405146</v>
      </c>
      <c r="J1914" s="455">
        <f t="array" ref="J1914">IFERROR(INDEX('Retirement Calculator'!K:K,MATCH('Lorri 401b'!N1914,'Retirement Calculator'!A:A,0),0),0)</f>
        <v>0</v>
      </c>
      <c r="K1914" s="455">
        <f t="shared" ca="1" si="118"/>
        <v>-4943355.2922521438</v>
      </c>
      <c r="L1914" s="455">
        <f t="shared" ca="1" si="119"/>
        <v>-1191348625.4327667</v>
      </c>
      <c r="M1914" s="471">
        <f t="shared" si="121"/>
        <v>0.05</v>
      </c>
      <c r="N1914" s="475">
        <f t="shared" si="122"/>
        <v>109300</v>
      </c>
    </row>
    <row r="1915" spans="7:14" ht="11.25" customHeight="1" x14ac:dyDescent="0.3">
      <c r="G1915" s="470"/>
      <c r="H1915" s="470">
        <v>1908</v>
      </c>
      <c r="I1915" s="455">
        <f t="shared" ca="1" si="120"/>
        <v>-1191348625.4327667</v>
      </c>
      <c r="J1915" s="455">
        <f t="array" ref="J1915">IFERROR(INDEX('Retirement Calculator'!K:K,MATCH('Lorri 401b'!N1915,'Retirement Calculator'!A:A,0),0),0)</f>
        <v>0</v>
      </c>
      <c r="K1915" s="455">
        <f t="shared" ca="1" si="118"/>
        <v>-4963952.6059698611</v>
      </c>
      <c r="L1915" s="455">
        <f t="shared" ca="1" si="119"/>
        <v>-1196312578.0387366</v>
      </c>
      <c r="M1915" s="471">
        <f t="shared" si="121"/>
        <v>0.05</v>
      </c>
      <c r="N1915" s="475">
        <f t="shared" si="122"/>
        <v>109330</v>
      </c>
    </row>
    <row r="1916" spans="7:14" ht="11.25" customHeight="1" x14ac:dyDescent="0.3">
      <c r="G1916" s="470"/>
      <c r="H1916" s="470">
        <v>1909</v>
      </c>
      <c r="I1916" s="455">
        <f t="shared" ca="1" si="120"/>
        <v>-1196312578.0387366</v>
      </c>
      <c r="J1916" s="455">
        <f t="array" ref="J1916">IFERROR(INDEX('Retirement Calculator'!K:K,MATCH('Lorri 401b'!N1916,'Retirement Calculator'!A:A,0),0),0)</f>
        <v>0</v>
      </c>
      <c r="K1916" s="455">
        <f t="shared" ca="1" si="118"/>
        <v>-4984635.7418280691</v>
      </c>
      <c r="L1916" s="455">
        <f t="shared" ca="1" si="119"/>
        <v>-1201297213.7805645</v>
      </c>
      <c r="M1916" s="471">
        <f t="shared" si="121"/>
        <v>0.05</v>
      </c>
      <c r="N1916" s="475">
        <f t="shared" si="122"/>
        <v>109361</v>
      </c>
    </row>
    <row r="1917" spans="7:14" ht="11.25" customHeight="1" x14ac:dyDescent="0.3">
      <c r="G1917" s="470"/>
      <c r="H1917" s="470">
        <v>1910</v>
      </c>
      <c r="I1917" s="455">
        <f t="shared" ca="1" si="120"/>
        <v>-1201297213.7805645</v>
      </c>
      <c r="J1917" s="455">
        <f t="array" ref="J1917">IFERROR(INDEX('Retirement Calculator'!K:K,MATCH('Lorri 401b'!N1917,'Retirement Calculator'!A:A,0),0),0)</f>
        <v>0</v>
      </c>
      <c r="K1917" s="455">
        <f t="shared" ca="1" si="118"/>
        <v>-5005405.0574190188</v>
      </c>
      <c r="L1917" s="455">
        <f t="shared" ca="1" si="119"/>
        <v>-1206302618.8379836</v>
      </c>
      <c r="M1917" s="471">
        <f t="shared" si="121"/>
        <v>0.05</v>
      </c>
      <c r="N1917" s="475">
        <f t="shared" si="122"/>
        <v>109391</v>
      </c>
    </row>
    <row r="1918" spans="7:14" ht="11.25" customHeight="1" x14ac:dyDescent="0.3">
      <c r="G1918" s="470"/>
      <c r="H1918" s="470">
        <v>1911</v>
      </c>
      <c r="I1918" s="455">
        <f t="shared" ca="1" si="120"/>
        <v>-1206302618.8379836</v>
      </c>
      <c r="J1918" s="455">
        <f t="array" ref="J1918">IFERROR(INDEX('Retirement Calculator'!K:K,MATCH('Lorri 401b'!N1918,'Retirement Calculator'!A:A,0),0),0)</f>
        <v>0</v>
      </c>
      <c r="K1918" s="455">
        <f t="shared" ca="1" si="118"/>
        <v>-5026260.9118249314</v>
      </c>
      <c r="L1918" s="455">
        <f t="shared" ca="1" si="119"/>
        <v>-1211328879.7498085</v>
      </c>
      <c r="M1918" s="471">
        <f t="shared" si="121"/>
        <v>0.05</v>
      </c>
      <c r="N1918" s="475">
        <f t="shared" si="122"/>
        <v>109422</v>
      </c>
    </row>
    <row r="1919" spans="7:14" ht="11.25" customHeight="1" x14ac:dyDescent="0.3">
      <c r="G1919" s="470"/>
      <c r="H1919" s="470">
        <v>1912</v>
      </c>
      <c r="I1919" s="455">
        <f t="shared" ca="1" si="120"/>
        <v>-1211328879.7498085</v>
      </c>
      <c r="J1919" s="455">
        <f t="array" ref="J1919">IFERROR(INDEX('Retirement Calculator'!K:K,MATCH('Lorri 401b'!N1919,'Retirement Calculator'!A:A,0),0),0)</f>
        <v>0</v>
      </c>
      <c r="K1919" s="455">
        <f t="shared" ca="1" si="118"/>
        <v>-5047203.6656242022</v>
      </c>
      <c r="L1919" s="455">
        <f t="shared" ca="1" si="119"/>
        <v>-1216376083.4154327</v>
      </c>
      <c r="M1919" s="471">
        <f t="shared" si="121"/>
        <v>0.05</v>
      </c>
      <c r="N1919" s="475">
        <f t="shared" si="122"/>
        <v>109453</v>
      </c>
    </row>
    <row r="1920" spans="7:14" ht="11.25" customHeight="1" x14ac:dyDescent="0.3">
      <c r="G1920" s="470"/>
      <c r="H1920" s="470">
        <v>1913</v>
      </c>
      <c r="I1920" s="455">
        <f t="shared" ca="1" si="120"/>
        <v>-1216376083.4154327</v>
      </c>
      <c r="J1920" s="455">
        <f t="array" ref="J1920">IFERROR(INDEX('Retirement Calculator'!K:K,MATCH('Lorri 401b'!N1920,'Retirement Calculator'!A:A,0),0),0)</f>
        <v>0</v>
      </c>
      <c r="K1920" s="455">
        <f t="shared" ca="1" si="118"/>
        <v>-5068233.6808976363</v>
      </c>
      <c r="L1920" s="455">
        <f t="shared" ca="1" si="119"/>
        <v>-1221444317.0963304</v>
      </c>
      <c r="M1920" s="471">
        <f t="shared" si="121"/>
        <v>0.05</v>
      </c>
      <c r="N1920" s="475">
        <f t="shared" si="122"/>
        <v>109483</v>
      </c>
    </row>
    <row r="1921" spans="7:14" ht="11.25" customHeight="1" x14ac:dyDescent="0.3">
      <c r="G1921" s="470"/>
      <c r="H1921" s="470">
        <v>1914</v>
      </c>
      <c r="I1921" s="455">
        <f t="shared" ca="1" si="120"/>
        <v>-1221444317.0963304</v>
      </c>
      <c r="J1921" s="455">
        <f t="array" ref="J1921">IFERROR(INDEX('Retirement Calculator'!K:K,MATCH('Lorri 401b'!N1921,'Retirement Calculator'!A:A,0),0),0)</f>
        <v>0</v>
      </c>
      <c r="K1921" s="455">
        <f t="shared" ca="1" si="118"/>
        <v>-5089351.3212347096</v>
      </c>
      <c r="L1921" s="455">
        <f t="shared" ca="1" si="119"/>
        <v>-1226533668.4175651</v>
      </c>
      <c r="M1921" s="471">
        <f t="shared" si="121"/>
        <v>0.05</v>
      </c>
      <c r="N1921" s="475">
        <f t="shared" si="122"/>
        <v>109514</v>
      </c>
    </row>
    <row r="1922" spans="7:14" ht="11.25" customHeight="1" x14ac:dyDescent="0.3">
      <c r="G1922" s="470"/>
      <c r="H1922" s="470">
        <v>1915</v>
      </c>
      <c r="I1922" s="455">
        <f t="shared" ca="1" si="120"/>
        <v>-1226533668.4175651</v>
      </c>
      <c r="J1922" s="455">
        <f t="array" ref="J1922">IFERROR(INDEX('Retirement Calculator'!K:K,MATCH('Lorri 401b'!N1922,'Retirement Calculator'!A:A,0),0),0)</f>
        <v>0</v>
      </c>
      <c r="K1922" s="455">
        <f t="shared" ca="1" si="118"/>
        <v>-5110556.9517398542</v>
      </c>
      <c r="L1922" s="455">
        <f t="shared" ca="1" si="119"/>
        <v>-1231644225.3693049</v>
      </c>
      <c r="M1922" s="471">
        <f t="shared" si="121"/>
        <v>0.05</v>
      </c>
      <c r="N1922" s="475">
        <f t="shared" si="122"/>
        <v>109544</v>
      </c>
    </row>
    <row r="1923" spans="7:14" ht="11.25" customHeight="1" x14ac:dyDescent="0.3">
      <c r="G1923" s="470"/>
      <c r="H1923" s="470">
        <v>1916</v>
      </c>
      <c r="I1923" s="455">
        <f t="shared" ca="1" si="120"/>
        <v>-1231644225.3693049</v>
      </c>
      <c r="J1923" s="455">
        <f t="array" ref="J1923">IFERROR(INDEX('Retirement Calculator'!K:K,MATCH('Lorri 401b'!N1923,'Retirement Calculator'!A:A,0),0),0)</f>
        <v>0</v>
      </c>
      <c r="K1923" s="455">
        <f t="shared" ca="1" si="118"/>
        <v>-5131850.9390387703</v>
      </c>
      <c r="L1923" s="455">
        <f t="shared" ca="1" si="119"/>
        <v>-1236776076.3083436</v>
      </c>
      <c r="M1923" s="471">
        <f t="shared" si="121"/>
        <v>0.05</v>
      </c>
      <c r="N1923" s="475">
        <f t="shared" si="122"/>
        <v>109575</v>
      </c>
    </row>
    <row r="1924" spans="7:14" ht="11.25" customHeight="1" x14ac:dyDescent="0.3">
      <c r="G1924" s="470"/>
      <c r="H1924" s="470">
        <v>1917</v>
      </c>
      <c r="I1924" s="455">
        <f t="shared" ca="1" si="120"/>
        <v>-1236776076.3083436</v>
      </c>
      <c r="J1924" s="455">
        <f t="array" ref="J1924">IFERROR(INDEX('Retirement Calculator'!K:K,MATCH('Lorri 401b'!N1924,'Retirement Calculator'!A:A,0),0),0)</f>
        <v>0</v>
      </c>
      <c r="K1924" s="455">
        <f t="shared" ca="1" si="118"/>
        <v>-5153233.6512847655</v>
      </c>
      <c r="L1924" s="455">
        <f t="shared" ca="1" si="119"/>
        <v>-1241929309.9596283</v>
      </c>
      <c r="M1924" s="471">
        <f t="shared" si="121"/>
        <v>0.05</v>
      </c>
      <c r="N1924" s="475">
        <f t="shared" si="122"/>
        <v>109606</v>
      </c>
    </row>
    <row r="1925" spans="7:14" ht="11.25" customHeight="1" x14ac:dyDescent="0.3">
      <c r="G1925" s="470"/>
      <c r="H1925" s="470">
        <v>1918</v>
      </c>
      <c r="I1925" s="455">
        <f t="shared" ca="1" si="120"/>
        <v>-1241929309.9596283</v>
      </c>
      <c r="J1925" s="455">
        <f t="array" ref="J1925">IFERROR(INDEX('Retirement Calculator'!K:K,MATCH('Lorri 401b'!N1925,'Retirement Calculator'!A:A,0),0),0)</f>
        <v>0</v>
      </c>
      <c r="K1925" s="455">
        <f t="shared" ca="1" si="118"/>
        <v>-5174705.4581651185</v>
      </c>
      <c r="L1925" s="455">
        <f t="shared" ca="1" si="119"/>
        <v>-1247104015.4177935</v>
      </c>
      <c r="M1925" s="471">
        <f t="shared" si="121"/>
        <v>0.05</v>
      </c>
      <c r="N1925" s="475">
        <f t="shared" si="122"/>
        <v>109634</v>
      </c>
    </row>
    <row r="1926" spans="7:14" ht="11.25" customHeight="1" x14ac:dyDescent="0.3">
      <c r="G1926" s="470"/>
      <c r="H1926" s="470">
        <v>1919</v>
      </c>
      <c r="I1926" s="455">
        <f t="shared" ca="1" si="120"/>
        <v>-1247104015.4177935</v>
      </c>
      <c r="J1926" s="455">
        <f t="array" ref="J1926">IFERROR(INDEX('Retirement Calculator'!K:K,MATCH('Lorri 401b'!N1926,'Retirement Calculator'!A:A,0),0),0)</f>
        <v>0</v>
      </c>
      <c r="K1926" s="455">
        <f t="shared" ca="1" si="118"/>
        <v>-5196266.7309074728</v>
      </c>
      <c r="L1926" s="455">
        <f t="shared" ca="1" si="119"/>
        <v>-1252300282.148701</v>
      </c>
      <c r="M1926" s="471">
        <f t="shared" si="121"/>
        <v>0.05</v>
      </c>
      <c r="N1926" s="475">
        <f t="shared" si="122"/>
        <v>109665</v>
      </c>
    </row>
    <row r="1927" spans="7:14" ht="11.25" customHeight="1" x14ac:dyDescent="0.3">
      <c r="G1927" s="470"/>
      <c r="H1927" s="470">
        <v>1920</v>
      </c>
      <c r="I1927" s="455">
        <f t="shared" ca="1" si="120"/>
        <v>-1252300282.148701</v>
      </c>
      <c r="J1927" s="455">
        <f t="array" ref="J1927">IFERROR(INDEX('Retirement Calculator'!K:K,MATCH('Lorri 401b'!N1927,'Retirement Calculator'!A:A,0),0),0)</f>
        <v>0</v>
      </c>
      <c r="K1927" s="455">
        <f t="shared" ca="1" si="118"/>
        <v>-5217917.8422862543</v>
      </c>
      <c r="L1927" s="455">
        <f t="shared" ca="1" si="119"/>
        <v>-1257518199.9909873</v>
      </c>
      <c r="M1927" s="471">
        <f t="shared" si="121"/>
        <v>0.05</v>
      </c>
      <c r="N1927" s="475">
        <f t="shared" si="122"/>
        <v>109695</v>
      </c>
    </row>
    <row r="1928" spans="7:14" ht="11.25" customHeight="1" x14ac:dyDescent="0.3">
      <c r="G1928" s="470"/>
      <c r="H1928" s="470">
        <v>1921</v>
      </c>
      <c r="I1928" s="455">
        <f t="shared" ca="1" si="120"/>
        <v>-1257518199.9909873</v>
      </c>
      <c r="J1928" s="455">
        <f t="array" ref="J1928">IFERROR(INDEX('Retirement Calculator'!K:K,MATCH('Lorri 401b'!N1928,'Retirement Calculator'!A:A,0),0),0)</f>
        <v>0</v>
      </c>
      <c r="K1928" s="455">
        <f t="shared" ca="1" si="118"/>
        <v>-5239659.1666291133</v>
      </c>
      <c r="L1928" s="455">
        <f t="shared" ca="1" si="119"/>
        <v>-1262757859.1576164</v>
      </c>
      <c r="M1928" s="471">
        <f t="shared" si="121"/>
        <v>0.05</v>
      </c>
      <c r="N1928" s="475">
        <f t="shared" si="122"/>
        <v>109726</v>
      </c>
    </row>
    <row r="1929" spans="7:14" ht="11.25" customHeight="1" x14ac:dyDescent="0.3">
      <c r="G1929" s="470"/>
      <c r="H1929" s="470">
        <v>1922</v>
      </c>
      <c r="I1929" s="455">
        <f t="shared" ca="1" si="120"/>
        <v>-1262757859.1576164</v>
      </c>
      <c r="J1929" s="455">
        <f t="array" ref="J1929">IFERROR(INDEX('Retirement Calculator'!K:K,MATCH('Lorri 401b'!N1929,'Retirement Calculator'!A:A,0),0),0)</f>
        <v>0</v>
      </c>
      <c r="K1929" s="455">
        <f t="shared" ca="1" si="118"/>
        <v>-5261491.0798234018</v>
      </c>
      <c r="L1929" s="455">
        <f t="shared" ca="1" si="119"/>
        <v>-1268019350.2374399</v>
      </c>
      <c r="M1929" s="471">
        <f t="shared" si="121"/>
        <v>0.05</v>
      </c>
      <c r="N1929" s="475">
        <f t="shared" si="122"/>
        <v>109756</v>
      </c>
    </row>
    <row r="1930" spans="7:14" ht="11.25" customHeight="1" x14ac:dyDescent="0.3">
      <c r="G1930" s="470"/>
      <c r="H1930" s="470">
        <v>1923</v>
      </c>
      <c r="I1930" s="455">
        <f t="shared" ca="1" si="120"/>
        <v>-1268019350.2374399</v>
      </c>
      <c r="J1930" s="455">
        <f t="array" ref="J1930">IFERROR(INDEX('Retirement Calculator'!K:K,MATCH('Lorri 401b'!N1930,'Retirement Calculator'!A:A,0),0),0)</f>
        <v>0</v>
      </c>
      <c r="K1930" s="455">
        <f t="shared" ca="1" si="118"/>
        <v>-5283413.9593226658</v>
      </c>
      <c r="L1930" s="455">
        <f t="shared" ca="1" si="119"/>
        <v>-1273302764.1967626</v>
      </c>
      <c r="M1930" s="471">
        <f t="shared" si="121"/>
        <v>0.05</v>
      </c>
      <c r="N1930" s="475">
        <f t="shared" si="122"/>
        <v>109787</v>
      </c>
    </row>
    <row r="1931" spans="7:14" ht="11.25" customHeight="1" x14ac:dyDescent="0.3">
      <c r="G1931" s="470"/>
      <c r="H1931" s="470">
        <v>1924</v>
      </c>
      <c r="I1931" s="455">
        <f t="shared" ca="1" si="120"/>
        <v>-1273302764.1967626</v>
      </c>
      <c r="J1931" s="455">
        <f t="array" ref="J1931">IFERROR(INDEX('Retirement Calculator'!K:K,MATCH('Lorri 401b'!N1931,'Retirement Calculator'!A:A,0),0),0)</f>
        <v>0</v>
      </c>
      <c r="K1931" s="455">
        <f t="shared" ca="1" si="118"/>
        <v>-5305428.1841531768</v>
      </c>
      <c r="L1931" s="455">
        <f t="shared" ca="1" si="119"/>
        <v>-1278608192.3809156</v>
      </c>
      <c r="M1931" s="471">
        <f t="shared" si="121"/>
        <v>0.05</v>
      </c>
      <c r="N1931" s="475">
        <f t="shared" si="122"/>
        <v>109818</v>
      </c>
    </row>
    <row r="1932" spans="7:14" ht="11.25" customHeight="1" x14ac:dyDescent="0.3">
      <c r="G1932" s="470"/>
      <c r="H1932" s="470">
        <v>1925</v>
      </c>
      <c r="I1932" s="455">
        <f t="shared" ca="1" si="120"/>
        <v>-1278608192.3809156</v>
      </c>
      <c r="J1932" s="455">
        <f t="array" ref="J1932">IFERROR(INDEX('Retirement Calculator'!K:K,MATCH('Lorri 401b'!N1932,'Retirement Calculator'!A:A,0),0),0)</f>
        <v>0</v>
      </c>
      <c r="K1932" s="455">
        <f t="shared" ca="1" si="118"/>
        <v>-5327534.1349204816</v>
      </c>
      <c r="L1932" s="455">
        <f t="shared" ca="1" si="119"/>
        <v>-1283935726.5158362</v>
      </c>
      <c r="M1932" s="471">
        <f t="shared" si="121"/>
        <v>0.05</v>
      </c>
      <c r="N1932" s="475">
        <f t="shared" si="122"/>
        <v>109848</v>
      </c>
    </row>
    <row r="1933" spans="7:14" ht="11.25" customHeight="1" x14ac:dyDescent="0.3">
      <c r="G1933" s="470"/>
      <c r="H1933" s="470">
        <v>1926</v>
      </c>
      <c r="I1933" s="455">
        <f t="shared" ca="1" si="120"/>
        <v>-1283935726.5158362</v>
      </c>
      <c r="J1933" s="455">
        <f t="array" ref="J1933">IFERROR(INDEX('Retirement Calculator'!K:K,MATCH('Lorri 401b'!N1933,'Retirement Calculator'!A:A,0),0),0)</f>
        <v>0</v>
      </c>
      <c r="K1933" s="455">
        <f t="shared" ca="1" si="118"/>
        <v>-5349732.1938159838</v>
      </c>
      <c r="L1933" s="455">
        <f t="shared" ca="1" si="119"/>
        <v>-1289285458.7096522</v>
      </c>
      <c r="M1933" s="471">
        <f t="shared" si="121"/>
        <v>0.05</v>
      </c>
      <c r="N1933" s="475">
        <f t="shared" si="122"/>
        <v>109879</v>
      </c>
    </row>
    <row r="1934" spans="7:14" ht="11.25" customHeight="1" x14ac:dyDescent="0.3">
      <c r="G1934" s="470"/>
      <c r="H1934" s="470">
        <v>1927</v>
      </c>
      <c r="I1934" s="455">
        <f t="shared" ca="1" si="120"/>
        <v>-1289285458.7096522</v>
      </c>
      <c r="J1934" s="455">
        <f t="array" ref="J1934">IFERROR(INDEX('Retirement Calculator'!K:K,MATCH('Lorri 401b'!N1934,'Retirement Calculator'!A:A,0),0),0)</f>
        <v>0</v>
      </c>
      <c r="K1934" s="455">
        <f t="shared" ca="1" si="118"/>
        <v>-5372022.7446235511</v>
      </c>
      <c r="L1934" s="455">
        <f t="shared" ca="1" si="119"/>
        <v>-1294657481.4542758</v>
      </c>
      <c r="M1934" s="471">
        <f t="shared" si="121"/>
        <v>0.05</v>
      </c>
      <c r="N1934" s="475">
        <f t="shared" si="122"/>
        <v>109909</v>
      </c>
    </row>
    <row r="1935" spans="7:14" ht="11.25" customHeight="1" x14ac:dyDescent="0.3">
      <c r="G1935" s="470"/>
      <c r="H1935" s="470">
        <v>1928</v>
      </c>
      <c r="I1935" s="455">
        <f t="shared" ca="1" si="120"/>
        <v>-1294657481.4542758</v>
      </c>
      <c r="J1935" s="455">
        <f t="array" ref="J1935">IFERROR(INDEX('Retirement Calculator'!K:K,MATCH('Lorri 401b'!N1935,'Retirement Calculator'!A:A,0),0),0)</f>
        <v>0</v>
      </c>
      <c r="K1935" s="455">
        <f t="shared" ca="1" si="118"/>
        <v>-5394406.1727261497</v>
      </c>
      <c r="L1935" s="455">
        <f t="shared" ca="1" si="119"/>
        <v>-1300051887.627002</v>
      </c>
      <c r="M1935" s="471">
        <f t="shared" si="121"/>
        <v>0.05</v>
      </c>
      <c r="N1935" s="475">
        <f t="shared" si="122"/>
        <v>109940</v>
      </c>
    </row>
    <row r="1936" spans="7:14" ht="11.25" customHeight="1" x14ac:dyDescent="0.3">
      <c r="G1936" s="470"/>
      <c r="H1936" s="470">
        <v>1929</v>
      </c>
      <c r="I1936" s="455">
        <f t="shared" ca="1" si="120"/>
        <v>-1300051887.627002</v>
      </c>
      <c r="J1936" s="455">
        <f t="array" ref="J1936">IFERROR(INDEX('Retirement Calculator'!K:K,MATCH('Lorri 401b'!N1936,'Retirement Calculator'!A:A,0),0),0)</f>
        <v>0</v>
      </c>
      <c r="K1936" s="455">
        <f t="shared" ca="1" si="118"/>
        <v>-5416882.8651125086</v>
      </c>
      <c r="L1936" s="455">
        <f t="shared" ca="1" si="119"/>
        <v>-1305468770.4921145</v>
      </c>
      <c r="M1936" s="471">
        <f t="shared" si="121"/>
        <v>0.05</v>
      </c>
      <c r="N1936" s="475">
        <f t="shared" si="122"/>
        <v>109971</v>
      </c>
    </row>
    <row r="1937" spans="7:14" ht="11.25" customHeight="1" x14ac:dyDescent="0.3">
      <c r="G1937" s="470"/>
      <c r="H1937" s="470">
        <v>1930</v>
      </c>
      <c r="I1937" s="455">
        <f t="shared" ca="1" si="120"/>
        <v>-1305468770.4921145</v>
      </c>
      <c r="J1937" s="455">
        <f t="array" ref="J1937">IFERROR(INDEX('Retirement Calculator'!K:K,MATCH('Lorri 401b'!N1937,'Retirement Calculator'!A:A,0),0),0)</f>
        <v>0</v>
      </c>
      <c r="K1937" s="455">
        <f t="shared" ca="1" si="118"/>
        <v>-5439453.2103838101</v>
      </c>
      <c r="L1937" s="455">
        <f t="shared" ca="1" si="119"/>
        <v>-1310908223.7024984</v>
      </c>
      <c r="M1937" s="471">
        <f t="shared" si="121"/>
        <v>0.05</v>
      </c>
      <c r="N1937" s="475">
        <f t="shared" si="122"/>
        <v>109999</v>
      </c>
    </row>
    <row r="1938" spans="7:14" ht="11.25" customHeight="1" x14ac:dyDescent="0.3">
      <c r="G1938" s="470"/>
      <c r="H1938" s="470">
        <v>1931</v>
      </c>
      <c r="I1938" s="455">
        <f t="shared" ca="1" si="120"/>
        <v>-1310908223.7024984</v>
      </c>
      <c r="J1938" s="455">
        <f t="array" ref="J1938">IFERROR(INDEX('Retirement Calculator'!K:K,MATCH('Lorri 401b'!N1938,'Retirement Calculator'!A:A,0),0),0)</f>
        <v>0</v>
      </c>
      <c r="K1938" s="455">
        <f t="shared" ca="1" si="118"/>
        <v>-5462117.5987604102</v>
      </c>
      <c r="L1938" s="455">
        <f t="shared" ca="1" si="119"/>
        <v>-1316370341.3012588</v>
      </c>
      <c r="M1938" s="471">
        <f t="shared" si="121"/>
        <v>0.05</v>
      </c>
      <c r="N1938" s="475">
        <f t="shared" si="122"/>
        <v>110030</v>
      </c>
    </row>
    <row r="1939" spans="7:14" ht="11.25" customHeight="1" x14ac:dyDescent="0.3">
      <c r="G1939" s="470"/>
      <c r="H1939" s="470">
        <v>1932</v>
      </c>
      <c r="I1939" s="455">
        <f t="shared" ca="1" si="120"/>
        <v>-1316370341.3012588</v>
      </c>
      <c r="J1939" s="455">
        <f t="array" ref="J1939">IFERROR(INDEX('Retirement Calculator'!K:K,MATCH('Lorri 401b'!N1939,'Retirement Calculator'!A:A,0),0),0)</f>
        <v>0</v>
      </c>
      <c r="K1939" s="455">
        <f t="shared" ca="1" si="118"/>
        <v>-5484876.4220885783</v>
      </c>
      <c r="L1939" s="455">
        <f t="shared" ca="1" si="119"/>
        <v>-1321855217.7233474</v>
      </c>
      <c r="M1939" s="471">
        <f t="shared" si="121"/>
        <v>0.05</v>
      </c>
      <c r="N1939" s="475">
        <f t="shared" si="122"/>
        <v>110060</v>
      </c>
    </row>
    <row r="1940" spans="7:14" ht="11.25" customHeight="1" x14ac:dyDescent="0.3">
      <c r="G1940" s="470"/>
      <c r="H1940" s="470">
        <v>1933</v>
      </c>
      <c r="I1940" s="455">
        <f t="shared" ca="1" si="120"/>
        <v>-1321855217.7233474</v>
      </c>
      <c r="J1940" s="455">
        <f t="array" ref="J1940">IFERROR(INDEX('Retirement Calculator'!K:K,MATCH('Lorri 401b'!N1940,'Retirement Calculator'!A:A,0),0),0)</f>
        <v>0</v>
      </c>
      <c r="K1940" s="455">
        <f t="shared" ca="1" si="118"/>
        <v>-5507730.0738472808</v>
      </c>
      <c r="L1940" s="455">
        <f t="shared" ca="1" si="119"/>
        <v>-1327362947.7971947</v>
      </c>
      <c r="M1940" s="471">
        <f t="shared" si="121"/>
        <v>0.05</v>
      </c>
      <c r="N1940" s="475">
        <f t="shared" si="122"/>
        <v>110091</v>
      </c>
    </row>
    <row r="1941" spans="7:14" ht="11.25" customHeight="1" x14ac:dyDescent="0.3">
      <c r="G1941" s="470"/>
      <c r="H1941" s="470">
        <v>1934</v>
      </c>
      <c r="I1941" s="455">
        <f t="shared" ca="1" si="120"/>
        <v>-1327362947.7971947</v>
      </c>
      <c r="J1941" s="455">
        <f t="array" ref="J1941">IFERROR(INDEX('Retirement Calculator'!K:K,MATCH('Lorri 401b'!N1941,'Retirement Calculator'!A:A,0),0),0)</f>
        <v>0</v>
      </c>
      <c r="K1941" s="455">
        <f t="shared" ca="1" si="118"/>
        <v>-5530678.9491549777</v>
      </c>
      <c r="L1941" s="455">
        <f t="shared" ca="1" si="119"/>
        <v>-1332893626.7463498</v>
      </c>
      <c r="M1941" s="471">
        <f t="shared" si="121"/>
        <v>0.05</v>
      </c>
      <c r="N1941" s="475">
        <f t="shared" si="122"/>
        <v>110121</v>
      </c>
    </row>
    <row r="1942" spans="7:14" ht="11.25" customHeight="1" x14ac:dyDescent="0.3">
      <c r="G1942" s="470"/>
      <c r="H1942" s="470">
        <v>1935</v>
      </c>
      <c r="I1942" s="455">
        <f t="shared" ca="1" si="120"/>
        <v>-1332893626.7463498</v>
      </c>
      <c r="J1942" s="455">
        <f t="array" ref="J1942">IFERROR(INDEX('Retirement Calculator'!K:K,MATCH('Lorri 401b'!N1942,'Retirement Calculator'!A:A,0),0),0)</f>
        <v>0</v>
      </c>
      <c r="K1942" s="455">
        <f t="shared" ca="1" si="118"/>
        <v>-5553723.4447764577</v>
      </c>
      <c r="L1942" s="455">
        <f t="shared" ca="1" si="119"/>
        <v>-1338447350.1911263</v>
      </c>
      <c r="M1942" s="471">
        <f t="shared" si="121"/>
        <v>0.05</v>
      </c>
      <c r="N1942" s="475">
        <f t="shared" si="122"/>
        <v>110152</v>
      </c>
    </row>
    <row r="1943" spans="7:14" ht="11.25" customHeight="1" x14ac:dyDescent="0.3">
      <c r="G1943" s="470"/>
      <c r="H1943" s="470">
        <v>1936</v>
      </c>
      <c r="I1943" s="455">
        <f t="shared" ca="1" si="120"/>
        <v>-1338447350.1911263</v>
      </c>
      <c r="J1943" s="455">
        <f t="array" ref="J1943">IFERROR(INDEX('Retirement Calculator'!K:K,MATCH('Lorri 401b'!N1943,'Retirement Calculator'!A:A,0),0),0)</f>
        <v>0</v>
      </c>
      <c r="K1943" s="455">
        <f t="shared" ca="1" si="118"/>
        <v>-5576863.959129693</v>
      </c>
      <c r="L1943" s="455">
        <f t="shared" ca="1" si="119"/>
        <v>-1344024214.1502562</v>
      </c>
      <c r="M1943" s="471">
        <f t="shared" si="121"/>
        <v>0.05</v>
      </c>
      <c r="N1943" s="475">
        <f t="shared" si="122"/>
        <v>110183</v>
      </c>
    </row>
    <row r="1944" spans="7:14" ht="11.25" customHeight="1" x14ac:dyDescent="0.3">
      <c r="G1944" s="470"/>
      <c r="H1944" s="470">
        <v>1937</v>
      </c>
      <c r="I1944" s="455">
        <f t="shared" ca="1" si="120"/>
        <v>-1344024214.1502562</v>
      </c>
      <c r="J1944" s="455">
        <f t="array" ref="J1944">IFERROR(INDEX('Retirement Calculator'!K:K,MATCH('Lorri 401b'!N1944,'Retirement Calculator'!A:A,0),0),0)</f>
        <v>0</v>
      </c>
      <c r="K1944" s="455">
        <f t="shared" ca="1" si="118"/>
        <v>-5600100.8922927342</v>
      </c>
      <c r="L1944" s="455">
        <f t="shared" ca="1" si="119"/>
        <v>-1349624315.0425489</v>
      </c>
      <c r="M1944" s="471">
        <f t="shared" si="121"/>
        <v>0.05</v>
      </c>
      <c r="N1944" s="475">
        <f t="shared" si="122"/>
        <v>110213</v>
      </c>
    </row>
    <row r="1945" spans="7:14" ht="11.25" customHeight="1" x14ac:dyDescent="0.3">
      <c r="G1945" s="470"/>
      <c r="H1945" s="470">
        <v>1938</v>
      </c>
      <c r="I1945" s="455">
        <f t="shared" ca="1" si="120"/>
        <v>-1349624315.0425489</v>
      </c>
      <c r="J1945" s="455">
        <f t="array" ref="J1945">IFERROR(INDEX('Retirement Calculator'!K:K,MATCH('Lorri 401b'!N1945,'Retirement Calculator'!A:A,0),0),0)</f>
        <v>0</v>
      </c>
      <c r="K1945" s="455">
        <f t="shared" ca="1" si="118"/>
        <v>-5623434.6460106205</v>
      </c>
      <c r="L1945" s="455">
        <f t="shared" ca="1" si="119"/>
        <v>-1355247749.6885595</v>
      </c>
      <c r="M1945" s="471">
        <f t="shared" si="121"/>
        <v>0.05</v>
      </c>
      <c r="N1945" s="475">
        <f t="shared" si="122"/>
        <v>110244</v>
      </c>
    </row>
    <row r="1946" spans="7:14" ht="11.25" customHeight="1" x14ac:dyDescent="0.3">
      <c r="G1946" s="470"/>
      <c r="H1946" s="470">
        <v>1939</v>
      </c>
      <c r="I1946" s="455">
        <f t="shared" ca="1" si="120"/>
        <v>-1355247749.6885595</v>
      </c>
      <c r="J1946" s="455">
        <f t="array" ref="J1946">IFERROR(INDEX('Retirement Calculator'!K:K,MATCH('Lorri 401b'!N1946,'Retirement Calculator'!A:A,0),0),0)</f>
        <v>0</v>
      </c>
      <c r="K1946" s="455">
        <f t="shared" ca="1" si="118"/>
        <v>-5646865.6237023314</v>
      </c>
      <c r="L1946" s="455">
        <f t="shared" ca="1" si="119"/>
        <v>-1360894615.3122618</v>
      </c>
      <c r="M1946" s="471">
        <f t="shared" si="121"/>
        <v>0.05</v>
      </c>
      <c r="N1946" s="475">
        <f t="shared" si="122"/>
        <v>110274</v>
      </c>
    </row>
    <row r="1947" spans="7:14" ht="11.25" customHeight="1" x14ac:dyDescent="0.3">
      <c r="G1947" s="470"/>
      <c r="H1947" s="470">
        <v>1940</v>
      </c>
      <c r="I1947" s="455">
        <f t="shared" ca="1" si="120"/>
        <v>-1360894615.3122618</v>
      </c>
      <c r="J1947" s="455">
        <f t="array" ref="J1947">IFERROR(INDEX('Retirement Calculator'!K:K,MATCH('Lorri 401b'!N1947,'Retirement Calculator'!A:A,0),0),0)</f>
        <v>0</v>
      </c>
      <c r="K1947" s="455">
        <f t="shared" ca="1" si="118"/>
        <v>-5670394.2304677572</v>
      </c>
      <c r="L1947" s="455">
        <f t="shared" ca="1" si="119"/>
        <v>-1366565009.5427296</v>
      </c>
      <c r="M1947" s="471">
        <f t="shared" si="121"/>
        <v>0.05</v>
      </c>
      <c r="N1947" s="475">
        <f t="shared" si="122"/>
        <v>110305</v>
      </c>
    </row>
    <row r="1948" spans="7:14" ht="11.25" customHeight="1" x14ac:dyDescent="0.3">
      <c r="G1948" s="470"/>
      <c r="H1948" s="470">
        <v>1941</v>
      </c>
      <c r="I1948" s="455">
        <f t="shared" ca="1" si="120"/>
        <v>-1366565009.5427296</v>
      </c>
      <c r="J1948" s="455">
        <f t="array" ref="J1948">IFERROR(INDEX('Retirement Calculator'!K:K,MATCH('Lorri 401b'!N1948,'Retirement Calculator'!A:A,0),0),0)</f>
        <v>0</v>
      </c>
      <c r="K1948" s="455">
        <f t="shared" ca="1" si="118"/>
        <v>-5694020.8730947068</v>
      </c>
      <c r="L1948" s="455">
        <f t="shared" ca="1" si="119"/>
        <v>-1372259030.4158244</v>
      </c>
      <c r="M1948" s="471">
        <f t="shared" si="121"/>
        <v>0.05</v>
      </c>
      <c r="N1948" s="475">
        <f t="shared" si="122"/>
        <v>110336</v>
      </c>
    </row>
    <row r="1949" spans="7:14" ht="11.25" customHeight="1" x14ac:dyDescent="0.3">
      <c r="G1949" s="470"/>
      <c r="H1949" s="470">
        <v>1942</v>
      </c>
      <c r="I1949" s="455">
        <f t="shared" ca="1" si="120"/>
        <v>-1372259030.4158244</v>
      </c>
      <c r="J1949" s="455">
        <f t="array" ref="J1949">IFERROR(INDEX('Retirement Calculator'!K:K,MATCH('Lorri 401b'!N1949,'Retirement Calculator'!A:A,0),0),0)</f>
        <v>0</v>
      </c>
      <c r="K1949" s="455">
        <f t="shared" ca="1" si="118"/>
        <v>-5717745.9600659348</v>
      </c>
      <c r="L1949" s="455">
        <f t="shared" ca="1" si="119"/>
        <v>-1377976776.3758903</v>
      </c>
      <c r="M1949" s="471">
        <f t="shared" si="121"/>
        <v>0.05</v>
      </c>
      <c r="N1949" s="475">
        <f t="shared" si="122"/>
        <v>110364</v>
      </c>
    </row>
    <row r="1950" spans="7:14" ht="11.25" customHeight="1" x14ac:dyDescent="0.3">
      <c r="G1950" s="470"/>
      <c r="H1950" s="470">
        <v>1943</v>
      </c>
      <c r="I1950" s="455">
        <f t="shared" ca="1" si="120"/>
        <v>-1377976776.3758903</v>
      </c>
      <c r="J1950" s="455">
        <f t="array" ref="J1950">IFERROR(INDEX('Retirement Calculator'!K:K,MATCH('Lorri 401b'!N1950,'Retirement Calculator'!A:A,0),0),0)</f>
        <v>0</v>
      </c>
      <c r="K1950" s="455">
        <f t="shared" ca="1" si="118"/>
        <v>-5741569.9015662093</v>
      </c>
      <c r="L1950" s="455">
        <f t="shared" ca="1" si="119"/>
        <v>-1383718346.2774565</v>
      </c>
      <c r="M1950" s="471">
        <f t="shared" si="121"/>
        <v>0.05</v>
      </c>
      <c r="N1950" s="475">
        <f t="shared" si="122"/>
        <v>110395</v>
      </c>
    </row>
    <row r="1951" spans="7:14" ht="11.25" customHeight="1" x14ac:dyDescent="0.3">
      <c r="G1951" s="470"/>
      <c r="H1951" s="470">
        <v>1944</v>
      </c>
      <c r="I1951" s="455">
        <f t="shared" ca="1" si="120"/>
        <v>-1383718346.2774565</v>
      </c>
      <c r="J1951" s="455">
        <f t="array" ref="J1951">IFERROR(INDEX('Retirement Calculator'!K:K,MATCH('Lorri 401b'!N1951,'Retirement Calculator'!A:A,0),0),0)</f>
        <v>0</v>
      </c>
      <c r="K1951" s="455">
        <f t="shared" ca="1" si="118"/>
        <v>-5765493.1094894018</v>
      </c>
      <c r="L1951" s="455">
        <f t="shared" ca="1" si="119"/>
        <v>-1389483839.386946</v>
      </c>
      <c r="M1951" s="471">
        <f t="shared" si="121"/>
        <v>0.05</v>
      </c>
      <c r="N1951" s="475">
        <f t="shared" si="122"/>
        <v>110425</v>
      </c>
    </row>
    <row r="1952" spans="7:14" ht="11.25" customHeight="1" x14ac:dyDescent="0.3">
      <c r="G1952" s="470"/>
      <c r="H1952" s="470">
        <v>1945</v>
      </c>
      <c r="I1952" s="455">
        <f t="shared" ca="1" si="120"/>
        <v>-1389483839.386946</v>
      </c>
      <c r="J1952" s="455">
        <f t="array" ref="J1952">IFERROR(INDEX('Retirement Calculator'!K:K,MATCH('Lorri 401b'!N1952,'Retirement Calculator'!A:A,0),0),0)</f>
        <v>0</v>
      </c>
      <c r="K1952" s="455">
        <f t="shared" ca="1" si="118"/>
        <v>-5789515.9974456085</v>
      </c>
      <c r="L1952" s="455">
        <f t="shared" ca="1" si="119"/>
        <v>-1395273355.3843915</v>
      </c>
      <c r="M1952" s="471">
        <f t="shared" si="121"/>
        <v>0.05</v>
      </c>
      <c r="N1952" s="475">
        <f t="shared" si="122"/>
        <v>110456</v>
      </c>
    </row>
    <row r="1953" spans="7:14" ht="11.25" customHeight="1" x14ac:dyDescent="0.3">
      <c r="G1953" s="470"/>
      <c r="H1953" s="470">
        <v>1946</v>
      </c>
      <c r="I1953" s="455">
        <f t="shared" ca="1" si="120"/>
        <v>-1395273355.3843915</v>
      </c>
      <c r="J1953" s="455">
        <f t="array" ref="J1953">IFERROR(INDEX('Retirement Calculator'!K:K,MATCH('Lorri 401b'!N1953,'Retirement Calculator'!A:A,0),0),0)</f>
        <v>0</v>
      </c>
      <c r="K1953" s="455">
        <f t="shared" ca="1" si="118"/>
        <v>-5813638.9807682978</v>
      </c>
      <c r="L1953" s="455">
        <f t="shared" ca="1" si="119"/>
        <v>-1401086994.3651597</v>
      </c>
      <c r="M1953" s="471">
        <f t="shared" si="121"/>
        <v>0.05</v>
      </c>
      <c r="N1953" s="475">
        <f t="shared" si="122"/>
        <v>110486</v>
      </c>
    </row>
    <row r="1954" spans="7:14" ht="11.25" customHeight="1" x14ac:dyDescent="0.3">
      <c r="G1954" s="470"/>
      <c r="H1954" s="470">
        <v>1947</v>
      </c>
      <c r="I1954" s="455">
        <f t="shared" ca="1" si="120"/>
        <v>-1401086994.3651597</v>
      </c>
      <c r="J1954" s="455">
        <f t="array" ref="J1954">IFERROR(INDEX('Retirement Calculator'!K:K,MATCH('Lorri 401b'!N1954,'Retirement Calculator'!A:A,0),0),0)</f>
        <v>0</v>
      </c>
      <c r="K1954" s="455">
        <f t="shared" ca="1" si="118"/>
        <v>-5837862.4765214985</v>
      </c>
      <c r="L1954" s="455">
        <f t="shared" ca="1" si="119"/>
        <v>-1406924856.8416812</v>
      </c>
      <c r="M1954" s="471">
        <f t="shared" si="121"/>
        <v>0.05</v>
      </c>
      <c r="N1954" s="475">
        <f t="shared" si="122"/>
        <v>110517</v>
      </c>
    </row>
    <row r="1955" spans="7:14" ht="11.25" customHeight="1" x14ac:dyDescent="0.3">
      <c r="G1955" s="470"/>
      <c r="H1955" s="470">
        <v>1948</v>
      </c>
      <c r="I1955" s="455">
        <f t="shared" ca="1" si="120"/>
        <v>-1406924856.8416812</v>
      </c>
      <c r="J1955" s="455">
        <f t="array" ref="J1955">IFERROR(INDEX('Retirement Calculator'!K:K,MATCH('Lorri 401b'!N1955,'Retirement Calculator'!A:A,0),0),0)</f>
        <v>0</v>
      </c>
      <c r="K1955" s="455">
        <f t="shared" ca="1" si="118"/>
        <v>-5862186.9035070054</v>
      </c>
      <c r="L1955" s="455">
        <f t="shared" ca="1" si="119"/>
        <v>-1412787043.7451882</v>
      </c>
      <c r="M1955" s="471">
        <f t="shared" si="121"/>
        <v>0.05</v>
      </c>
      <c r="N1955" s="475">
        <f t="shared" si="122"/>
        <v>110548</v>
      </c>
    </row>
    <row r="1956" spans="7:14" ht="11.25" customHeight="1" x14ac:dyDescent="0.3">
      <c r="G1956" s="470"/>
      <c r="H1956" s="470">
        <v>1949</v>
      </c>
      <c r="I1956" s="455">
        <f t="shared" ca="1" si="120"/>
        <v>-1412787043.7451882</v>
      </c>
      <c r="J1956" s="455">
        <f t="array" ref="J1956">IFERROR(INDEX('Retirement Calculator'!K:K,MATCH('Lorri 401b'!N1956,'Retirement Calculator'!A:A,0),0),0)</f>
        <v>0</v>
      </c>
      <c r="K1956" s="455">
        <f t="shared" ca="1" si="118"/>
        <v>-5886612.6822716175</v>
      </c>
      <c r="L1956" s="455">
        <f t="shared" ca="1" si="119"/>
        <v>-1418673656.42746</v>
      </c>
      <c r="M1956" s="471">
        <f t="shared" si="121"/>
        <v>0.05</v>
      </c>
      <c r="N1956" s="475">
        <f t="shared" si="122"/>
        <v>110578</v>
      </c>
    </row>
    <row r="1957" spans="7:14" ht="11.25" customHeight="1" x14ac:dyDescent="0.3">
      <c r="G1957" s="470"/>
      <c r="H1957" s="470">
        <v>1950</v>
      </c>
      <c r="I1957" s="455">
        <f t="shared" ca="1" si="120"/>
        <v>-1418673656.42746</v>
      </c>
      <c r="J1957" s="455">
        <f t="array" ref="J1957">IFERROR(INDEX('Retirement Calculator'!K:K,MATCH('Lorri 401b'!N1957,'Retirement Calculator'!A:A,0),0),0)</f>
        <v>0</v>
      </c>
      <c r="K1957" s="455">
        <f t="shared" ca="1" si="118"/>
        <v>-5911140.2351144161</v>
      </c>
      <c r="L1957" s="455">
        <f t="shared" ca="1" si="119"/>
        <v>-1424584796.6625743</v>
      </c>
      <c r="M1957" s="471">
        <f t="shared" si="121"/>
        <v>0.05</v>
      </c>
      <c r="N1957" s="475">
        <f t="shared" si="122"/>
        <v>110609</v>
      </c>
    </row>
    <row r="1958" spans="7:14" ht="11.25" customHeight="1" x14ac:dyDescent="0.3">
      <c r="G1958" s="470"/>
      <c r="H1958" s="470">
        <v>1951</v>
      </c>
      <c r="I1958" s="455">
        <f t="shared" ca="1" si="120"/>
        <v>-1424584796.6625743</v>
      </c>
      <c r="J1958" s="455">
        <f t="array" ref="J1958">IFERROR(INDEX('Retirement Calculator'!K:K,MATCH('Lorri 401b'!N1958,'Retirement Calculator'!A:A,0),0),0)</f>
        <v>0</v>
      </c>
      <c r="K1958" s="455">
        <f t="shared" ca="1" si="118"/>
        <v>-5935769.9860940594</v>
      </c>
      <c r="L1958" s="455">
        <f t="shared" ca="1" si="119"/>
        <v>-1430520566.6486683</v>
      </c>
      <c r="M1958" s="471">
        <f t="shared" si="121"/>
        <v>0.05</v>
      </c>
      <c r="N1958" s="475">
        <f t="shared" si="122"/>
        <v>110639</v>
      </c>
    </row>
    <row r="1959" spans="7:14" ht="11.25" customHeight="1" x14ac:dyDescent="0.3">
      <c r="G1959" s="470"/>
      <c r="H1959" s="470">
        <v>1952</v>
      </c>
      <c r="I1959" s="455">
        <f t="shared" ca="1" si="120"/>
        <v>-1430520566.6486683</v>
      </c>
      <c r="J1959" s="455">
        <f t="array" ref="J1959">IFERROR(INDEX('Retirement Calculator'!K:K,MATCH('Lorri 401b'!N1959,'Retirement Calculator'!A:A,0),0),0)</f>
        <v>0</v>
      </c>
      <c r="K1959" s="455">
        <f t="shared" ca="1" si="118"/>
        <v>-5960502.3610361181</v>
      </c>
      <c r="L1959" s="455">
        <f t="shared" ca="1" si="119"/>
        <v>-1436481069.0097044</v>
      </c>
      <c r="M1959" s="471">
        <f t="shared" si="121"/>
        <v>0.05</v>
      </c>
      <c r="N1959" s="475">
        <f t="shared" si="122"/>
        <v>110670</v>
      </c>
    </row>
    <row r="1960" spans="7:14" ht="11.25" customHeight="1" x14ac:dyDescent="0.3">
      <c r="G1960" s="470"/>
      <c r="H1960" s="470">
        <v>1953</v>
      </c>
      <c r="I1960" s="455">
        <f t="shared" ca="1" si="120"/>
        <v>-1436481069.0097044</v>
      </c>
      <c r="J1960" s="455">
        <f t="array" ref="J1960">IFERROR(INDEX('Retirement Calculator'!K:K,MATCH('Lorri 401b'!N1960,'Retirement Calculator'!A:A,0),0),0)</f>
        <v>0</v>
      </c>
      <c r="K1960" s="455">
        <f t="shared" ca="1" si="118"/>
        <v>-5985337.7875404349</v>
      </c>
      <c r="L1960" s="455">
        <f t="shared" ca="1" si="119"/>
        <v>-1442466406.7972448</v>
      </c>
      <c r="M1960" s="471">
        <f t="shared" si="121"/>
        <v>0.05</v>
      </c>
      <c r="N1960" s="475">
        <f t="shared" si="122"/>
        <v>110701</v>
      </c>
    </row>
    <row r="1961" spans="7:14" ht="11.25" customHeight="1" x14ac:dyDescent="0.3">
      <c r="G1961" s="470"/>
      <c r="H1961" s="470">
        <v>1954</v>
      </c>
      <c r="I1961" s="455">
        <f t="shared" ca="1" si="120"/>
        <v>-1442466406.7972448</v>
      </c>
      <c r="J1961" s="455">
        <f t="array" ref="J1961">IFERROR(INDEX('Retirement Calculator'!K:K,MATCH('Lorri 401b'!N1961,'Retirement Calculator'!A:A,0),0),0)</f>
        <v>0</v>
      </c>
      <c r="K1961" s="455">
        <f t="shared" ca="1" si="118"/>
        <v>-6010276.6949885199</v>
      </c>
      <c r="L1961" s="455">
        <f t="shared" ca="1" si="119"/>
        <v>-1448476683.4922333</v>
      </c>
      <c r="M1961" s="471">
        <f t="shared" si="121"/>
        <v>0.05</v>
      </c>
      <c r="N1961" s="475">
        <f t="shared" si="122"/>
        <v>110729</v>
      </c>
    </row>
    <row r="1962" spans="7:14" ht="11.25" customHeight="1" x14ac:dyDescent="0.3">
      <c r="G1962" s="470"/>
      <c r="H1962" s="470">
        <v>1955</v>
      </c>
      <c r="I1962" s="455">
        <f t="shared" ca="1" si="120"/>
        <v>-1448476683.4922333</v>
      </c>
      <c r="J1962" s="455">
        <f t="array" ref="J1962">IFERROR(INDEX('Retirement Calculator'!K:K,MATCH('Lorri 401b'!N1962,'Retirement Calculator'!A:A,0),0),0)</f>
        <v>0</v>
      </c>
      <c r="K1962" s="455">
        <f t="shared" ca="1" si="118"/>
        <v>-6035319.5145509718</v>
      </c>
      <c r="L1962" s="455">
        <f t="shared" ca="1" si="119"/>
        <v>-1454512003.0067842</v>
      </c>
      <c r="M1962" s="471">
        <f t="shared" si="121"/>
        <v>0.05</v>
      </c>
      <c r="N1962" s="475">
        <f t="shared" si="122"/>
        <v>110760</v>
      </c>
    </row>
    <row r="1963" spans="7:14" ht="11.25" customHeight="1" x14ac:dyDescent="0.3">
      <c r="G1963" s="470"/>
      <c r="H1963" s="470">
        <v>1956</v>
      </c>
      <c r="I1963" s="455">
        <f t="shared" ca="1" si="120"/>
        <v>-1454512003.0067842</v>
      </c>
      <c r="J1963" s="455">
        <f t="array" ref="J1963">IFERROR(INDEX('Retirement Calculator'!K:K,MATCH('Lorri 401b'!N1963,'Retirement Calculator'!A:A,0),0),0)</f>
        <v>0</v>
      </c>
      <c r="K1963" s="455">
        <f t="shared" ca="1" si="118"/>
        <v>-6060466.6791949337</v>
      </c>
      <c r="L1963" s="455">
        <f t="shared" ca="1" si="119"/>
        <v>-1460572469.6859791</v>
      </c>
      <c r="M1963" s="471">
        <f t="shared" si="121"/>
        <v>0.05</v>
      </c>
      <c r="N1963" s="475">
        <f t="shared" si="122"/>
        <v>110790</v>
      </c>
    </row>
    <row r="1964" spans="7:14" ht="11.25" customHeight="1" x14ac:dyDescent="0.3">
      <c r="G1964" s="470"/>
      <c r="H1964" s="470">
        <v>1957</v>
      </c>
      <c r="I1964" s="455">
        <f t="shared" ca="1" si="120"/>
        <v>-1460572469.6859791</v>
      </c>
      <c r="J1964" s="455">
        <f t="array" ref="J1964">IFERROR(INDEX('Retirement Calculator'!K:K,MATCH('Lorri 401b'!N1964,'Retirement Calculator'!A:A,0),0),0)</f>
        <v>0</v>
      </c>
      <c r="K1964" s="455">
        <f t="shared" ca="1" si="118"/>
        <v>-6085718.6236915793</v>
      </c>
      <c r="L1964" s="455">
        <f t="shared" ca="1" si="119"/>
        <v>-1466658188.3096707</v>
      </c>
      <c r="M1964" s="471">
        <f t="shared" si="121"/>
        <v>0.05</v>
      </c>
      <c r="N1964" s="475">
        <f t="shared" si="122"/>
        <v>110821</v>
      </c>
    </row>
    <row r="1965" spans="7:14" ht="11.25" customHeight="1" x14ac:dyDescent="0.3">
      <c r="G1965" s="470"/>
      <c r="H1965" s="470">
        <v>1958</v>
      </c>
      <c r="I1965" s="455">
        <f t="shared" ca="1" si="120"/>
        <v>-1466658188.3096707</v>
      </c>
      <c r="J1965" s="455">
        <f t="array" ref="J1965">IFERROR(INDEX('Retirement Calculator'!K:K,MATCH('Lorri 401b'!N1965,'Retirement Calculator'!A:A,0),0),0)</f>
        <v>0</v>
      </c>
      <c r="K1965" s="455">
        <f t="shared" ca="1" si="118"/>
        <v>-6111075.7846236276</v>
      </c>
      <c r="L1965" s="455">
        <f t="shared" ca="1" si="119"/>
        <v>-1472769264.0942943</v>
      </c>
      <c r="M1965" s="471">
        <f t="shared" si="121"/>
        <v>0.05</v>
      </c>
      <c r="N1965" s="475">
        <f t="shared" si="122"/>
        <v>110851</v>
      </c>
    </row>
    <row r="1966" spans="7:14" ht="11.25" customHeight="1" x14ac:dyDescent="0.3">
      <c r="G1966" s="470"/>
      <c r="H1966" s="470">
        <v>1959</v>
      </c>
      <c r="I1966" s="455">
        <f t="shared" ca="1" si="120"/>
        <v>-1472769264.0942943</v>
      </c>
      <c r="J1966" s="455">
        <f t="array" ref="J1966">IFERROR(INDEX('Retirement Calculator'!K:K,MATCH('Lorri 401b'!N1966,'Retirement Calculator'!A:A,0),0),0)</f>
        <v>0</v>
      </c>
      <c r="K1966" s="455">
        <f t="shared" ca="1" si="118"/>
        <v>-6136538.600392893</v>
      </c>
      <c r="L1966" s="455">
        <f t="shared" ca="1" si="119"/>
        <v>-1478905802.6946871</v>
      </c>
      <c r="M1966" s="471">
        <f t="shared" si="121"/>
        <v>0.05</v>
      </c>
      <c r="N1966" s="475">
        <f t="shared" si="122"/>
        <v>110882</v>
      </c>
    </row>
    <row r="1967" spans="7:14" ht="11.25" customHeight="1" x14ac:dyDescent="0.3">
      <c r="G1967" s="470"/>
      <c r="H1967" s="470">
        <v>1960</v>
      </c>
      <c r="I1967" s="455">
        <f t="shared" ca="1" si="120"/>
        <v>-1478905802.6946871</v>
      </c>
      <c r="J1967" s="455">
        <f t="array" ref="J1967">IFERROR(INDEX('Retirement Calculator'!K:K,MATCH('Lorri 401b'!N1967,'Retirement Calculator'!A:A,0),0),0)</f>
        <v>0</v>
      </c>
      <c r="K1967" s="455">
        <f t="shared" ca="1" si="118"/>
        <v>-6162107.5112278629</v>
      </c>
      <c r="L1967" s="455">
        <f t="shared" ca="1" si="119"/>
        <v>-1485067910.205915</v>
      </c>
      <c r="M1967" s="471">
        <f t="shared" si="121"/>
        <v>0.05</v>
      </c>
      <c r="N1967" s="475">
        <f t="shared" si="122"/>
        <v>110913</v>
      </c>
    </row>
    <row r="1968" spans="7:14" ht="11.25" customHeight="1" x14ac:dyDescent="0.3">
      <c r="G1968" s="470"/>
      <c r="H1968" s="470">
        <v>1961</v>
      </c>
      <c r="I1968" s="455">
        <f t="shared" ca="1" si="120"/>
        <v>-1485067910.205915</v>
      </c>
      <c r="J1968" s="455">
        <f t="array" ref="J1968">IFERROR(INDEX('Retirement Calculator'!K:K,MATCH('Lorri 401b'!N1968,'Retirement Calculator'!A:A,0),0),0)</f>
        <v>0</v>
      </c>
      <c r="K1968" s="455">
        <f t="shared" ca="1" si="118"/>
        <v>-6187782.9591913121</v>
      </c>
      <c r="L1968" s="455">
        <f t="shared" ca="1" si="119"/>
        <v>-1491255693.1651063</v>
      </c>
      <c r="M1968" s="471">
        <f t="shared" si="121"/>
        <v>0.05</v>
      </c>
      <c r="N1968" s="475">
        <f t="shared" si="122"/>
        <v>110943</v>
      </c>
    </row>
    <row r="1969" spans="7:14" ht="11.25" customHeight="1" x14ac:dyDescent="0.3">
      <c r="G1969" s="470"/>
      <c r="H1969" s="470">
        <v>1962</v>
      </c>
      <c r="I1969" s="455">
        <f t="shared" ca="1" si="120"/>
        <v>-1491255693.1651063</v>
      </c>
      <c r="J1969" s="455">
        <f t="array" ref="J1969">IFERROR(INDEX('Retirement Calculator'!K:K,MATCH('Lorri 401b'!N1969,'Retirement Calculator'!A:A,0),0),0)</f>
        <v>0</v>
      </c>
      <c r="K1969" s="455">
        <f t="shared" ca="1" si="118"/>
        <v>-6213565.388187943</v>
      </c>
      <c r="L1969" s="455">
        <f t="shared" ca="1" si="119"/>
        <v>-1497469258.5532942</v>
      </c>
      <c r="M1969" s="471">
        <f t="shared" si="121"/>
        <v>0.05</v>
      </c>
      <c r="N1969" s="475">
        <f t="shared" si="122"/>
        <v>110974</v>
      </c>
    </row>
    <row r="1970" spans="7:14" ht="11.25" customHeight="1" x14ac:dyDescent="0.3">
      <c r="G1970" s="470"/>
      <c r="H1970" s="470">
        <v>1963</v>
      </c>
      <c r="I1970" s="455">
        <f t="shared" ca="1" si="120"/>
        <v>-1497469258.5532942</v>
      </c>
      <c r="J1970" s="455">
        <f t="array" ref="J1970">IFERROR(INDEX('Retirement Calculator'!K:K,MATCH('Lorri 401b'!N1970,'Retirement Calculator'!A:A,0),0),0)</f>
        <v>0</v>
      </c>
      <c r="K1970" s="455">
        <f t="shared" ca="1" si="118"/>
        <v>-6239455.2439720593</v>
      </c>
      <c r="L1970" s="455">
        <f t="shared" ca="1" si="119"/>
        <v>-1503708713.7972662</v>
      </c>
      <c r="M1970" s="471">
        <f t="shared" si="121"/>
        <v>0.05</v>
      </c>
      <c r="N1970" s="475">
        <f t="shared" si="122"/>
        <v>111004</v>
      </c>
    </row>
    <row r="1971" spans="7:14" ht="11.25" customHeight="1" x14ac:dyDescent="0.3">
      <c r="G1971" s="470"/>
      <c r="H1971" s="470">
        <v>1964</v>
      </c>
      <c r="I1971" s="455">
        <f t="shared" ca="1" si="120"/>
        <v>-1503708713.7972662</v>
      </c>
      <c r="J1971" s="455">
        <f t="array" ref="J1971">IFERROR(INDEX('Retirement Calculator'!K:K,MATCH('Lorri 401b'!N1971,'Retirement Calculator'!A:A,0),0),0)</f>
        <v>0</v>
      </c>
      <c r="K1971" s="455">
        <f t="shared" ca="1" si="118"/>
        <v>-6265452.9741552761</v>
      </c>
      <c r="L1971" s="455">
        <f t="shared" ca="1" si="119"/>
        <v>-1509974166.7714214</v>
      </c>
      <c r="M1971" s="471">
        <f t="shared" si="121"/>
        <v>0.05</v>
      </c>
      <c r="N1971" s="475">
        <f t="shared" si="122"/>
        <v>111035</v>
      </c>
    </row>
    <row r="1972" spans="7:14" ht="11.25" customHeight="1" x14ac:dyDescent="0.3">
      <c r="G1972" s="470"/>
      <c r="H1972" s="470">
        <v>1965</v>
      </c>
      <c r="I1972" s="455">
        <f t="shared" ca="1" si="120"/>
        <v>-1509974166.7714214</v>
      </c>
      <c r="J1972" s="455">
        <f t="array" ref="J1972">IFERROR(INDEX('Retirement Calculator'!K:K,MATCH('Lorri 401b'!N1972,'Retirement Calculator'!A:A,0),0),0)</f>
        <v>0</v>
      </c>
      <c r="K1972" s="455">
        <f t="shared" ca="1" si="118"/>
        <v>-6291559.0282142563</v>
      </c>
      <c r="L1972" s="455">
        <f t="shared" ca="1" si="119"/>
        <v>-1516265725.7996356</v>
      </c>
      <c r="M1972" s="471">
        <f t="shared" si="121"/>
        <v>0.05</v>
      </c>
      <c r="N1972" s="475">
        <f t="shared" si="122"/>
        <v>111066</v>
      </c>
    </row>
    <row r="1973" spans="7:14" ht="11.25" customHeight="1" x14ac:dyDescent="0.3">
      <c r="G1973" s="470"/>
      <c r="H1973" s="470">
        <v>1966</v>
      </c>
      <c r="I1973" s="455">
        <f t="shared" ca="1" si="120"/>
        <v>-1516265725.7996356</v>
      </c>
      <c r="J1973" s="455">
        <f t="array" ref="J1973">IFERROR(INDEX('Retirement Calculator'!K:K,MATCH('Lorri 401b'!N1973,'Retirement Calculator'!A:A,0),0),0)</f>
        <v>0</v>
      </c>
      <c r="K1973" s="455">
        <f t="shared" ca="1" si="118"/>
        <v>-6317773.8574984819</v>
      </c>
      <c r="L1973" s="455">
        <f t="shared" ca="1" si="119"/>
        <v>-1522583499.6571341</v>
      </c>
      <c r="M1973" s="471">
        <f t="shared" si="121"/>
        <v>0.05</v>
      </c>
      <c r="N1973" s="475">
        <f t="shared" si="122"/>
        <v>111095</v>
      </c>
    </row>
    <row r="1974" spans="7:14" ht="11.25" customHeight="1" x14ac:dyDescent="0.3">
      <c r="G1974" s="470"/>
      <c r="H1974" s="470">
        <v>1967</v>
      </c>
      <c r="I1974" s="455">
        <f t="shared" ca="1" si="120"/>
        <v>-1522583499.6571341</v>
      </c>
      <c r="J1974" s="455">
        <f t="array" ref="J1974">IFERROR(INDEX('Retirement Calculator'!K:K,MATCH('Lorri 401b'!N1974,'Retirement Calculator'!A:A,0),0),0)</f>
        <v>0</v>
      </c>
      <c r="K1974" s="455">
        <f t="shared" ca="1" si="118"/>
        <v>-6344097.9152380582</v>
      </c>
      <c r="L1974" s="455">
        <f t="shared" ca="1" si="119"/>
        <v>-1528927597.5723722</v>
      </c>
      <c r="M1974" s="471">
        <f t="shared" si="121"/>
        <v>0.05</v>
      </c>
      <c r="N1974" s="475">
        <f t="shared" si="122"/>
        <v>111126</v>
      </c>
    </row>
    <row r="1975" spans="7:14" ht="11.25" customHeight="1" x14ac:dyDescent="0.3">
      <c r="G1975" s="470"/>
      <c r="H1975" s="470">
        <v>1968</v>
      </c>
      <c r="I1975" s="455">
        <f t="shared" ca="1" si="120"/>
        <v>-1528927597.5723722</v>
      </c>
      <c r="J1975" s="455">
        <f t="array" ref="J1975">IFERROR(INDEX('Retirement Calculator'!K:K,MATCH('Lorri 401b'!N1975,'Retirement Calculator'!A:A,0),0),0)</f>
        <v>0</v>
      </c>
      <c r="K1975" s="455">
        <f t="shared" ca="1" si="118"/>
        <v>-6370531.6565515511</v>
      </c>
      <c r="L1975" s="455">
        <f t="shared" ca="1" si="119"/>
        <v>-1535298129.2289238</v>
      </c>
      <c r="M1975" s="471">
        <f t="shared" si="121"/>
        <v>0.05</v>
      </c>
      <c r="N1975" s="475">
        <f t="shared" si="122"/>
        <v>111156</v>
      </c>
    </row>
    <row r="1976" spans="7:14" ht="11.25" customHeight="1" x14ac:dyDescent="0.3">
      <c r="G1976" s="470"/>
      <c r="H1976" s="470">
        <v>1969</v>
      </c>
      <c r="I1976" s="455">
        <f t="shared" ca="1" si="120"/>
        <v>-1535298129.2289238</v>
      </c>
      <c r="J1976" s="455">
        <f t="array" ref="J1976">IFERROR(INDEX('Retirement Calculator'!K:K,MATCH('Lorri 401b'!N1976,'Retirement Calculator'!A:A,0),0),0)</f>
        <v>0</v>
      </c>
      <c r="K1976" s="455">
        <f t="shared" ca="1" si="118"/>
        <v>-6397075.538453849</v>
      </c>
      <c r="L1976" s="455">
        <f t="shared" ca="1" si="119"/>
        <v>-1541695204.7673776</v>
      </c>
      <c r="M1976" s="471">
        <f t="shared" si="121"/>
        <v>0.05</v>
      </c>
      <c r="N1976" s="475">
        <f t="shared" si="122"/>
        <v>111187</v>
      </c>
    </row>
    <row r="1977" spans="7:14" ht="11.25" customHeight="1" x14ac:dyDescent="0.3">
      <c r="G1977" s="470"/>
      <c r="H1977" s="470">
        <v>1970</v>
      </c>
      <c r="I1977" s="455">
        <f t="shared" ca="1" si="120"/>
        <v>-1541695204.7673776</v>
      </c>
      <c r="J1977" s="455">
        <f t="array" ref="J1977">IFERROR(INDEX('Retirement Calculator'!K:K,MATCH('Lorri 401b'!N1977,'Retirement Calculator'!A:A,0),0),0)</f>
        <v>0</v>
      </c>
      <c r="K1977" s="455">
        <f t="shared" ca="1" si="118"/>
        <v>-6423730.019864073</v>
      </c>
      <c r="L1977" s="455">
        <f t="shared" ca="1" si="119"/>
        <v>-1548118934.7872417</v>
      </c>
      <c r="M1977" s="471">
        <f t="shared" si="121"/>
        <v>0.05</v>
      </c>
      <c r="N1977" s="475">
        <f t="shared" si="122"/>
        <v>111217</v>
      </c>
    </row>
    <row r="1978" spans="7:14" ht="11.25" customHeight="1" x14ac:dyDescent="0.3">
      <c r="G1978" s="470"/>
      <c r="H1978" s="470">
        <v>1971</v>
      </c>
      <c r="I1978" s="455">
        <f t="shared" ca="1" si="120"/>
        <v>-1548118934.7872417</v>
      </c>
      <c r="J1978" s="455">
        <f t="array" ref="J1978">IFERROR(INDEX('Retirement Calculator'!K:K,MATCH('Lorri 401b'!N1978,'Retirement Calculator'!A:A,0),0),0)</f>
        <v>0</v>
      </c>
      <c r="K1978" s="455">
        <f t="shared" ca="1" si="118"/>
        <v>-6450495.5616135066</v>
      </c>
      <c r="L1978" s="455">
        <f t="shared" ca="1" si="119"/>
        <v>-1554569430.3488553</v>
      </c>
      <c r="M1978" s="471">
        <f t="shared" si="121"/>
        <v>0.05</v>
      </c>
      <c r="N1978" s="475">
        <f t="shared" si="122"/>
        <v>111248</v>
      </c>
    </row>
    <row r="1979" spans="7:14" ht="11.25" customHeight="1" x14ac:dyDescent="0.3">
      <c r="G1979" s="470"/>
      <c r="H1979" s="470">
        <v>1972</v>
      </c>
      <c r="I1979" s="455">
        <f t="shared" ca="1" si="120"/>
        <v>-1554569430.3488553</v>
      </c>
      <c r="J1979" s="455">
        <f t="array" ref="J1979">IFERROR(INDEX('Retirement Calculator'!K:K,MATCH('Lorri 401b'!N1979,'Retirement Calculator'!A:A,0),0),0)</f>
        <v>0</v>
      </c>
      <c r="K1979" s="455">
        <f t="shared" ca="1" si="118"/>
        <v>-6477372.6264535636</v>
      </c>
      <c r="L1979" s="455">
        <f t="shared" ca="1" si="119"/>
        <v>-1561046802.9753089</v>
      </c>
      <c r="M1979" s="471">
        <f t="shared" si="121"/>
        <v>0.05</v>
      </c>
      <c r="N1979" s="475">
        <f t="shared" si="122"/>
        <v>111279</v>
      </c>
    </row>
    <row r="1980" spans="7:14" ht="11.25" customHeight="1" x14ac:dyDescent="0.3">
      <c r="G1980" s="470"/>
      <c r="H1980" s="470">
        <v>1973</v>
      </c>
      <c r="I1980" s="455">
        <f t="shared" ca="1" si="120"/>
        <v>-1561046802.9753089</v>
      </c>
      <c r="J1980" s="455">
        <f t="array" ref="J1980">IFERROR(INDEX('Retirement Calculator'!K:K,MATCH('Lorri 401b'!N1980,'Retirement Calculator'!A:A,0),0),0)</f>
        <v>0</v>
      </c>
      <c r="K1980" s="455">
        <f t="shared" ca="1" si="118"/>
        <v>-6504361.6790637868</v>
      </c>
      <c r="L1980" s="455">
        <f t="shared" ca="1" si="119"/>
        <v>-1567551164.6543727</v>
      </c>
      <c r="M1980" s="471">
        <f t="shared" si="121"/>
        <v>0.05</v>
      </c>
      <c r="N1980" s="475">
        <f t="shared" si="122"/>
        <v>111309</v>
      </c>
    </row>
    <row r="1981" spans="7:14" ht="11.25" customHeight="1" x14ac:dyDescent="0.3">
      <c r="G1981" s="470"/>
      <c r="H1981" s="470">
        <v>1974</v>
      </c>
      <c r="I1981" s="455">
        <f t="shared" ca="1" si="120"/>
        <v>-1567551164.6543727</v>
      </c>
      <c r="J1981" s="455">
        <f t="array" ref="J1981">IFERROR(INDEX('Retirement Calculator'!K:K,MATCH('Lorri 401b'!N1981,'Retirement Calculator'!A:A,0),0),0)</f>
        <v>0</v>
      </c>
      <c r="K1981" s="455">
        <f t="shared" ca="1" si="118"/>
        <v>-6531463.1860598866</v>
      </c>
      <c r="L1981" s="455">
        <f t="shared" ca="1" si="119"/>
        <v>-1574082627.8404326</v>
      </c>
      <c r="M1981" s="471">
        <f t="shared" si="121"/>
        <v>0.05</v>
      </c>
      <c r="N1981" s="475">
        <f t="shared" si="122"/>
        <v>111340</v>
      </c>
    </row>
    <row r="1982" spans="7:14" ht="11.25" customHeight="1" x14ac:dyDescent="0.3">
      <c r="G1982" s="470"/>
      <c r="H1982" s="470">
        <v>1975</v>
      </c>
      <c r="I1982" s="455">
        <f t="shared" ca="1" si="120"/>
        <v>-1574082627.8404326</v>
      </c>
      <c r="J1982" s="455">
        <f t="array" ref="J1982">IFERROR(INDEX('Retirement Calculator'!K:K,MATCH('Lorri 401b'!N1982,'Retirement Calculator'!A:A,0),0),0)</f>
        <v>0</v>
      </c>
      <c r="K1982" s="455">
        <f t="shared" ca="1" si="118"/>
        <v>-6558677.6160018025</v>
      </c>
      <c r="L1982" s="455">
        <f t="shared" ca="1" si="119"/>
        <v>-1580641305.4564345</v>
      </c>
      <c r="M1982" s="471">
        <f t="shared" si="121"/>
        <v>0.05</v>
      </c>
      <c r="N1982" s="475">
        <f t="shared" si="122"/>
        <v>111370</v>
      </c>
    </row>
    <row r="1983" spans="7:14" ht="11.25" customHeight="1" x14ac:dyDescent="0.3">
      <c r="G1983" s="470"/>
      <c r="H1983" s="470">
        <v>1976</v>
      </c>
      <c r="I1983" s="455">
        <f t="shared" ca="1" si="120"/>
        <v>-1580641305.4564345</v>
      </c>
      <c r="J1983" s="455">
        <f t="array" ref="J1983">IFERROR(INDEX('Retirement Calculator'!K:K,MATCH('Lorri 401b'!N1983,'Retirement Calculator'!A:A,0),0),0)</f>
        <v>0</v>
      </c>
      <c r="K1983" s="455">
        <f t="shared" ca="1" si="118"/>
        <v>-6586005.4394018101</v>
      </c>
      <c r="L1983" s="455">
        <f t="shared" ca="1" si="119"/>
        <v>-1587227310.8958364</v>
      </c>
      <c r="M1983" s="471">
        <f t="shared" si="121"/>
        <v>0.05</v>
      </c>
      <c r="N1983" s="475">
        <f t="shared" si="122"/>
        <v>111401</v>
      </c>
    </row>
    <row r="1984" spans="7:14" ht="11.25" customHeight="1" x14ac:dyDescent="0.3">
      <c r="G1984" s="470"/>
      <c r="H1984" s="470">
        <v>1977</v>
      </c>
      <c r="I1984" s="455">
        <f t="shared" ca="1" si="120"/>
        <v>-1587227310.8958364</v>
      </c>
      <c r="J1984" s="455">
        <f t="array" ref="J1984">IFERROR(INDEX('Retirement Calculator'!K:K,MATCH('Lorri 401b'!N1984,'Retirement Calculator'!A:A,0),0),0)</f>
        <v>0</v>
      </c>
      <c r="K1984" s="455">
        <f t="shared" ca="1" si="118"/>
        <v>-6613447.1287326515</v>
      </c>
      <c r="L1984" s="455">
        <f t="shared" ca="1" si="119"/>
        <v>-1593840758.024569</v>
      </c>
      <c r="M1984" s="471">
        <f t="shared" si="121"/>
        <v>0.05</v>
      </c>
      <c r="N1984" s="475">
        <f t="shared" si="122"/>
        <v>111432</v>
      </c>
    </row>
    <row r="1985" spans="7:14" ht="11.25" customHeight="1" x14ac:dyDescent="0.3">
      <c r="G1985" s="470"/>
      <c r="H1985" s="470">
        <v>1978</v>
      </c>
      <c r="I1985" s="455">
        <f t="shared" ca="1" si="120"/>
        <v>-1593840758.024569</v>
      </c>
      <c r="J1985" s="455">
        <f t="array" ref="J1985">IFERROR(INDEX('Retirement Calculator'!K:K,MATCH('Lorri 401b'!N1985,'Retirement Calculator'!A:A,0),0),0)</f>
        <v>0</v>
      </c>
      <c r="K1985" s="455">
        <f t="shared" ca="1" si="118"/>
        <v>-6641003.1584357042</v>
      </c>
      <c r="L1985" s="455">
        <f t="shared" ca="1" si="119"/>
        <v>-1600481761.1830049</v>
      </c>
      <c r="M1985" s="471">
        <f t="shared" si="121"/>
        <v>0.05</v>
      </c>
      <c r="N1985" s="475">
        <f t="shared" si="122"/>
        <v>111460</v>
      </c>
    </row>
    <row r="1986" spans="7:14" ht="11.25" customHeight="1" x14ac:dyDescent="0.3">
      <c r="G1986" s="470"/>
      <c r="H1986" s="470">
        <v>1979</v>
      </c>
      <c r="I1986" s="455">
        <f t="shared" ca="1" si="120"/>
        <v>-1600481761.1830049</v>
      </c>
      <c r="J1986" s="455">
        <f t="array" ref="J1986">IFERROR(INDEX('Retirement Calculator'!K:K,MATCH('Lorri 401b'!N1986,'Retirement Calculator'!A:A,0),0),0)</f>
        <v>0</v>
      </c>
      <c r="K1986" s="455">
        <f t="shared" ca="1" si="118"/>
        <v>-6668674.0049291868</v>
      </c>
      <c r="L1986" s="455">
        <f t="shared" ca="1" si="119"/>
        <v>-1607150435.1879342</v>
      </c>
      <c r="M1986" s="471">
        <f t="shared" si="121"/>
        <v>0.05</v>
      </c>
      <c r="N1986" s="475">
        <f t="shared" si="122"/>
        <v>111491</v>
      </c>
    </row>
    <row r="1987" spans="7:14" ht="11.25" customHeight="1" x14ac:dyDescent="0.3">
      <c r="G1987" s="470"/>
      <c r="H1987" s="470">
        <v>1980</v>
      </c>
      <c r="I1987" s="455">
        <f t="shared" ca="1" si="120"/>
        <v>-1607150435.1879342</v>
      </c>
      <c r="J1987" s="455">
        <f t="array" ref="J1987">IFERROR(INDEX('Retirement Calculator'!K:K,MATCH('Lorri 401b'!N1987,'Retirement Calculator'!A:A,0),0),0)</f>
        <v>0</v>
      </c>
      <c r="K1987" s="455">
        <f t="shared" ca="1" si="118"/>
        <v>-6696460.1466163918</v>
      </c>
      <c r="L1987" s="455">
        <f t="shared" ca="1" si="119"/>
        <v>-1613846895.3345506</v>
      </c>
      <c r="M1987" s="471">
        <f t="shared" si="121"/>
        <v>0.05</v>
      </c>
      <c r="N1987" s="475">
        <f t="shared" si="122"/>
        <v>111521</v>
      </c>
    </row>
    <row r="1988" spans="7:14" ht="11.25" customHeight="1" x14ac:dyDescent="0.3">
      <c r="G1988" s="470"/>
      <c r="H1988" s="470">
        <v>1981</v>
      </c>
      <c r="I1988" s="455">
        <f t="shared" ca="1" si="120"/>
        <v>-1613846895.3345506</v>
      </c>
      <c r="J1988" s="455">
        <f t="array" ref="J1988">IFERROR(INDEX('Retirement Calculator'!K:K,MATCH('Lorri 401b'!N1988,'Retirement Calculator'!A:A,0),0),0)</f>
        <v>0</v>
      </c>
      <c r="K1988" s="455">
        <f t="shared" ca="1" si="118"/>
        <v>-6724362.0638939608</v>
      </c>
      <c r="L1988" s="455">
        <f t="shared" ca="1" si="119"/>
        <v>-1620571257.3984447</v>
      </c>
      <c r="M1988" s="471">
        <f t="shared" si="121"/>
        <v>0.05</v>
      </c>
      <c r="N1988" s="475">
        <f t="shared" si="122"/>
        <v>111552</v>
      </c>
    </row>
    <row r="1989" spans="7:14" ht="11.25" customHeight="1" x14ac:dyDescent="0.3">
      <c r="G1989" s="470"/>
      <c r="H1989" s="470">
        <v>1982</v>
      </c>
      <c r="I1989" s="455">
        <f t="shared" ca="1" si="120"/>
        <v>-1620571257.3984447</v>
      </c>
      <c r="J1989" s="455">
        <f t="array" ref="J1989">IFERROR(INDEX('Retirement Calculator'!K:K,MATCH('Lorri 401b'!N1989,'Retirement Calculator'!A:A,0),0),0)</f>
        <v>0</v>
      </c>
      <c r="K1989" s="455">
        <f t="shared" ca="1" si="118"/>
        <v>-6752380.2391601857</v>
      </c>
      <c r="L1989" s="455">
        <f t="shared" ca="1" si="119"/>
        <v>-1627323637.637605</v>
      </c>
      <c r="M1989" s="471">
        <f t="shared" si="121"/>
        <v>0.05</v>
      </c>
      <c r="N1989" s="475">
        <f t="shared" si="122"/>
        <v>111582</v>
      </c>
    </row>
    <row r="1990" spans="7:14" ht="11.25" customHeight="1" x14ac:dyDescent="0.3">
      <c r="G1990" s="470"/>
      <c r="H1990" s="470">
        <v>1983</v>
      </c>
      <c r="I1990" s="455">
        <f t="shared" ca="1" si="120"/>
        <v>-1627323637.637605</v>
      </c>
      <c r="J1990" s="455">
        <f t="array" ref="J1990">IFERROR(INDEX('Retirement Calculator'!K:K,MATCH('Lorri 401b'!N1990,'Retirement Calculator'!A:A,0),0),0)</f>
        <v>0</v>
      </c>
      <c r="K1990" s="455">
        <f t="shared" ca="1" si="118"/>
        <v>-6780515.1568233538</v>
      </c>
      <c r="L1990" s="455">
        <f t="shared" ca="1" si="119"/>
        <v>-1634104152.7944283</v>
      </c>
      <c r="M1990" s="471">
        <f t="shared" si="121"/>
        <v>0.05</v>
      </c>
      <c r="N1990" s="475">
        <f t="shared" si="122"/>
        <v>111613</v>
      </c>
    </row>
    <row r="1991" spans="7:14" ht="11.25" customHeight="1" x14ac:dyDescent="0.3">
      <c r="G1991" s="470"/>
      <c r="H1991" s="470">
        <v>1984</v>
      </c>
      <c r="I1991" s="455">
        <f t="shared" ca="1" si="120"/>
        <v>-1634104152.7944283</v>
      </c>
      <c r="J1991" s="455">
        <f t="array" ref="J1991">IFERROR(INDEX('Retirement Calculator'!K:K,MATCH('Lorri 401b'!N1991,'Retirement Calculator'!A:A,0),0),0)</f>
        <v>0</v>
      </c>
      <c r="K1991" s="455">
        <f t="shared" ca="1" si="118"/>
        <v>-6808767.3033101177</v>
      </c>
      <c r="L1991" s="455">
        <f t="shared" ca="1" si="119"/>
        <v>-1640912920.0977385</v>
      </c>
      <c r="M1991" s="471">
        <f t="shared" si="121"/>
        <v>0.05</v>
      </c>
      <c r="N1991" s="475">
        <f t="shared" si="122"/>
        <v>111644</v>
      </c>
    </row>
    <row r="1992" spans="7:14" ht="11.25" customHeight="1" x14ac:dyDescent="0.3">
      <c r="G1992" s="470"/>
      <c r="H1992" s="470">
        <v>1985</v>
      </c>
      <c r="I1992" s="455">
        <f t="shared" ca="1" si="120"/>
        <v>-1640912920.0977385</v>
      </c>
      <c r="J1992" s="455">
        <f t="array" ref="J1992">IFERROR(INDEX('Retirement Calculator'!K:K,MATCH('Lorri 401b'!N1992,'Retirement Calculator'!A:A,0),0),0)</f>
        <v>0</v>
      </c>
      <c r="K1992" s="455">
        <f t="shared" ca="1" si="118"/>
        <v>-6837137.1670739101</v>
      </c>
      <c r="L1992" s="455">
        <f t="shared" ca="1" si="119"/>
        <v>-1647750057.2648125</v>
      </c>
      <c r="M1992" s="471">
        <f t="shared" si="121"/>
        <v>0.05</v>
      </c>
      <c r="N1992" s="475">
        <f t="shared" si="122"/>
        <v>111674</v>
      </c>
    </row>
    <row r="1993" spans="7:14" ht="11.25" customHeight="1" x14ac:dyDescent="0.3">
      <c r="G1993" s="470"/>
      <c r="H1993" s="470">
        <v>1986</v>
      </c>
      <c r="I1993" s="455">
        <f t="shared" ca="1" si="120"/>
        <v>-1647750057.2648125</v>
      </c>
      <c r="J1993" s="455">
        <f t="array" ref="J1993">IFERROR(INDEX('Retirement Calculator'!K:K,MATCH('Lorri 401b'!N1993,'Retirement Calculator'!A:A,0),0),0)</f>
        <v>0</v>
      </c>
      <c r="K1993" s="455">
        <f t="shared" ca="1" si="118"/>
        <v>-6865625.2386033852</v>
      </c>
      <c r="L1993" s="455">
        <f t="shared" ca="1" si="119"/>
        <v>-1654615682.5034158</v>
      </c>
      <c r="M1993" s="471">
        <f t="shared" si="121"/>
        <v>0.05</v>
      </c>
      <c r="N1993" s="475">
        <f t="shared" si="122"/>
        <v>111705</v>
      </c>
    </row>
    <row r="1994" spans="7:14" ht="11.25" customHeight="1" x14ac:dyDescent="0.3">
      <c r="G1994" s="470"/>
      <c r="H1994" s="470">
        <v>1987</v>
      </c>
      <c r="I1994" s="455">
        <f t="shared" ca="1" si="120"/>
        <v>-1654615682.5034158</v>
      </c>
      <c r="J1994" s="455">
        <f t="array" ref="J1994">IFERROR(INDEX('Retirement Calculator'!K:K,MATCH('Lorri 401b'!N1994,'Retirement Calculator'!A:A,0),0),0)</f>
        <v>0</v>
      </c>
      <c r="K1994" s="455">
        <f t="shared" ca="1" si="118"/>
        <v>-6894232.0104308994</v>
      </c>
      <c r="L1994" s="455">
        <f t="shared" ca="1" si="119"/>
        <v>-1661509914.5138466</v>
      </c>
      <c r="M1994" s="471">
        <f t="shared" si="121"/>
        <v>0.05</v>
      </c>
      <c r="N1994" s="475">
        <f t="shared" si="122"/>
        <v>111735</v>
      </c>
    </row>
    <row r="1995" spans="7:14" ht="11.25" customHeight="1" x14ac:dyDescent="0.3">
      <c r="G1995" s="470"/>
      <c r="H1995" s="470">
        <v>1988</v>
      </c>
      <c r="I1995" s="455">
        <f t="shared" ca="1" si="120"/>
        <v>-1661509914.5138466</v>
      </c>
      <c r="J1995" s="455">
        <f t="array" ref="J1995">IFERROR(INDEX('Retirement Calculator'!K:K,MATCH('Lorri 401b'!N1995,'Retirement Calculator'!A:A,0),0),0)</f>
        <v>0</v>
      </c>
      <c r="K1995" s="455">
        <f t="shared" ca="1" si="118"/>
        <v>-6922957.9771410273</v>
      </c>
      <c r="L1995" s="455">
        <f t="shared" ca="1" si="119"/>
        <v>-1668432872.4909878</v>
      </c>
      <c r="M1995" s="471">
        <f t="shared" si="121"/>
        <v>0.05</v>
      </c>
      <c r="N1995" s="475">
        <f t="shared" si="122"/>
        <v>111766</v>
      </c>
    </row>
    <row r="1996" spans="7:14" ht="11.25" customHeight="1" x14ac:dyDescent="0.3">
      <c r="G1996" s="470"/>
      <c r="H1996" s="470">
        <v>1989</v>
      </c>
      <c r="I1996" s="455">
        <f t="shared" ca="1" si="120"/>
        <v>-1668432872.4909878</v>
      </c>
      <c r="J1996" s="455">
        <f t="array" ref="J1996">IFERROR(INDEX('Retirement Calculator'!K:K,MATCH('Lorri 401b'!N1996,'Retirement Calculator'!A:A,0),0),0)</f>
        <v>0</v>
      </c>
      <c r="K1996" s="455">
        <f t="shared" ca="1" si="118"/>
        <v>-6951803.6353791161</v>
      </c>
      <c r="L1996" s="455">
        <f t="shared" ca="1" si="119"/>
        <v>-1675384676.1263669</v>
      </c>
      <c r="M1996" s="471">
        <f t="shared" si="121"/>
        <v>0.05</v>
      </c>
      <c r="N1996" s="475">
        <f t="shared" si="122"/>
        <v>111797</v>
      </c>
    </row>
    <row r="1997" spans="7:14" ht="11.25" customHeight="1" x14ac:dyDescent="0.3">
      <c r="G1997" s="470"/>
      <c r="H1997" s="470">
        <v>1990</v>
      </c>
      <c r="I1997" s="455">
        <f t="shared" ca="1" si="120"/>
        <v>-1675384676.1263669</v>
      </c>
      <c r="J1997" s="455">
        <f t="array" ref="J1997">IFERROR(INDEX('Retirement Calculator'!K:K,MATCH('Lorri 401b'!N1997,'Retirement Calculator'!A:A,0),0),0)</f>
        <v>0</v>
      </c>
      <c r="K1997" s="455">
        <f t="shared" ca="1" si="118"/>
        <v>-6980769.4838598622</v>
      </c>
      <c r="L1997" s="455">
        <f t="shared" ca="1" si="119"/>
        <v>-1682365445.6102266</v>
      </c>
      <c r="M1997" s="471">
        <f t="shared" si="121"/>
        <v>0.05</v>
      </c>
      <c r="N1997" s="475">
        <f t="shared" si="122"/>
        <v>111825</v>
      </c>
    </row>
    <row r="1998" spans="7:14" ht="11.25" customHeight="1" x14ac:dyDescent="0.3">
      <c r="G1998" s="470"/>
      <c r="H1998" s="470">
        <v>1991</v>
      </c>
      <c r="I1998" s="455">
        <f t="shared" ca="1" si="120"/>
        <v>-1682365445.6102266</v>
      </c>
      <c r="J1998" s="455">
        <f t="array" ref="J1998">IFERROR(INDEX('Retirement Calculator'!K:K,MATCH('Lorri 401b'!N1998,'Retirement Calculator'!A:A,0),0),0)</f>
        <v>0</v>
      </c>
      <c r="K1998" s="455">
        <f t="shared" ca="1" si="118"/>
        <v>-7009856.0233759442</v>
      </c>
      <c r="L1998" s="455">
        <f t="shared" ca="1" si="119"/>
        <v>-1689375301.6336026</v>
      </c>
      <c r="M1998" s="471">
        <f t="shared" si="121"/>
        <v>0.05</v>
      </c>
      <c r="N1998" s="475">
        <f t="shared" si="122"/>
        <v>111856</v>
      </c>
    </row>
    <row r="1999" spans="7:14" ht="11.25" customHeight="1" x14ac:dyDescent="0.3">
      <c r="G1999" s="470"/>
      <c r="H1999" s="470">
        <v>1992</v>
      </c>
      <c r="I1999" s="455">
        <f t="shared" ca="1" si="120"/>
        <v>-1689375301.6336026</v>
      </c>
      <c r="J1999" s="455">
        <f t="array" ref="J1999">IFERROR(INDEX('Retirement Calculator'!K:K,MATCH('Lorri 401b'!N1999,'Retirement Calculator'!A:A,0),0),0)</f>
        <v>0</v>
      </c>
      <c r="K1999" s="455">
        <f t="shared" ca="1" si="118"/>
        <v>-7039063.7568066781</v>
      </c>
      <c r="L1999" s="455">
        <f t="shared" ca="1" si="119"/>
        <v>-1696414365.3904092</v>
      </c>
      <c r="M1999" s="471">
        <f t="shared" si="121"/>
        <v>0.05</v>
      </c>
      <c r="N1999" s="475">
        <f t="shared" si="122"/>
        <v>111886</v>
      </c>
    </row>
    <row r="2000" spans="7:14" ht="11.25" customHeight="1" x14ac:dyDescent="0.3">
      <c r="G2000" s="470"/>
      <c r="H2000" s="470">
        <v>1993</v>
      </c>
      <c r="I2000" s="455">
        <f t="shared" ca="1" si="120"/>
        <v>-1696414365.3904092</v>
      </c>
      <c r="J2000" s="455">
        <f t="array" ref="J2000">IFERROR(INDEX('Retirement Calculator'!K:K,MATCH('Lorri 401b'!N2000,'Retirement Calculator'!A:A,0),0),0)</f>
        <v>0</v>
      </c>
      <c r="K2000" s="455">
        <f t="shared" ca="1" si="118"/>
        <v>-7068393.1891267039</v>
      </c>
      <c r="L2000" s="455">
        <f t="shared" ca="1" si="119"/>
        <v>-1703482758.579536</v>
      </c>
      <c r="M2000" s="471">
        <f t="shared" si="121"/>
        <v>0.05</v>
      </c>
      <c r="N2000" s="475">
        <f t="shared" si="122"/>
        <v>111917</v>
      </c>
    </row>
    <row r="2001" spans="7:14" ht="11.25" customHeight="1" x14ac:dyDescent="0.3">
      <c r="G2001" s="470"/>
      <c r="H2001" s="470">
        <v>1994</v>
      </c>
      <c r="I2001" s="455">
        <f t="shared" ca="1" si="120"/>
        <v>-1703482758.579536</v>
      </c>
      <c r="J2001" s="455">
        <f t="array" ref="J2001">IFERROR(INDEX('Retirement Calculator'!K:K,MATCH('Lorri 401b'!N2001,'Retirement Calculator'!A:A,0),0),0)</f>
        <v>0</v>
      </c>
      <c r="K2001" s="455">
        <f t="shared" ca="1" si="118"/>
        <v>-7097844.8274147324</v>
      </c>
      <c r="L2001" s="455">
        <f t="shared" ca="1" si="119"/>
        <v>-1710580603.4069507</v>
      </c>
      <c r="M2001" s="471">
        <f t="shared" si="121"/>
        <v>0.05</v>
      </c>
      <c r="N2001" s="475">
        <f t="shared" si="122"/>
        <v>111947</v>
      </c>
    </row>
    <row r="2002" spans="7:14" ht="11.25" customHeight="1" x14ac:dyDescent="0.3">
      <c r="G2002" s="470"/>
      <c r="H2002" s="470">
        <v>1995</v>
      </c>
      <c r="I2002" s="455">
        <f t="shared" ca="1" si="120"/>
        <v>-1710580603.4069507</v>
      </c>
      <c r="J2002" s="455">
        <f t="array" ref="J2002">IFERROR(INDEX('Retirement Calculator'!K:K,MATCH('Lorri 401b'!N2002,'Retirement Calculator'!A:A,0),0),0)</f>
        <v>0</v>
      </c>
      <c r="K2002" s="455">
        <f t="shared" ca="1" si="118"/>
        <v>-7127419.1808622945</v>
      </c>
      <c r="L2002" s="455">
        <f t="shared" ca="1" si="119"/>
        <v>-1717708022.5878129</v>
      </c>
      <c r="M2002" s="471">
        <f t="shared" si="121"/>
        <v>0.05</v>
      </c>
      <c r="N2002" s="475">
        <f t="shared" si="122"/>
        <v>111978</v>
      </c>
    </row>
    <row r="2003" spans="7:14" ht="11.25" customHeight="1" x14ac:dyDescent="0.3">
      <c r="G2003" s="470"/>
      <c r="H2003" s="470">
        <v>1996</v>
      </c>
      <c r="I2003" s="455">
        <f t="shared" ca="1" si="120"/>
        <v>-1717708022.5878129</v>
      </c>
      <c r="J2003" s="455">
        <f t="array" ref="J2003">IFERROR(INDEX('Retirement Calculator'!K:K,MATCH('Lorri 401b'!N2003,'Retirement Calculator'!A:A,0),0),0)</f>
        <v>0</v>
      </c>
      <c r="K2003" s="455">
        <f t="shared" ca="1" si="118"/>
        <v>-7157116.7607825538</v>
      </c>
      <c r="L2003" s="455">
        <f t="shared" ca="1" si="119"/>
        <v>-1724865139.3485954</v>
      </c>
      <c r="M2003" s="471">
        <f t="shared" si="121"/>
        <v>0.05</v>
      </c>
      <c r="N2003" s="475">
        <f t="shared" si="122"/>
        <v>112009</v>
      </c>
    </row>
    <row r="2004" spans="7:14" ht="11.25" customHeight="1" x14ac:dyDescent="0.3">
      <c r="G2004" s="470"/>
      <c r="H2004" s="470">
        <v>1997</v>
      </c>
      <c r="I2004" s="455">
        <f t="shared" ca="1" si="120"/>
        <v>-1724865139.3485954</v>
      </c>
      <c r="J2004" s="455">
        <f t="array" ref="J2004">IFERROR(INDEX('Retirement Calculator'!K:K,MATCH('Lorri 401b'!N2004,'Retirement Calculator'!A:A,0),0),0)</f>
        <v>0</v>
      </c>
      <c r="K2004" s="455">
        <f t="shared" ca="1" si="118"/>
        <v>-7186938.080619147</v>
      </c>
      <c r="L2004" s="455">
        <f t="shared" ca="1" si="119"/>
        <v>-1732052077.4292145</v>
      </c>
      <c r="M2004" s="471">
        <f t="shared" si="121"/>
        <v>0.05</v>
      </c>
      <c r="N2004" s="475">
        <f t="shared" si="122"/>
        <v>112039</v>
      </c>
    </row>
    <row r="2005" spans="7:14" ht="11.25" customHeight="1" x14ac:dyDescent="0.3">
      <c r="G2005" s="470"/>
      <c r="H2005" s="470">
        <v>1998</v>
      </c>
      <c r="I2005" s="455">
        <f t="shared" ca="1" si="120"/>
        <v>-1732052077.4292145</v>
      </c>
      <c r="J2005" s="455">
        <f t="array" ref="J2005">IFERROR(INDEX('Retirement Calculator'!K:K,MATCH('Lorri 401b'!N2005,'Retirement Calculator'!A:A,0),0),0)</f>
        <v>0</v>
      </c>
      <c r="K2005" s="455">
        <f t="shared" ca="1" si="118"/>
        <v>-7216883.6559550604</v>
      </c>
      <c r="L2005" s="455">
        <f t="shared" ca="1" si="119"/>
        <v>-1739268961.0851696</v>
      </c>
      <c r="M2005" s="471">
        <f t="shared" si="121"/>
        <v>0.05</v>
      </c>
      <c r="N2005" s="475">
        <f t="shared" si="122"/>
        <v>112070</v>
      </c>
    </row>
    <row r="2006" spans="7:14" ht="11.25" customHeight="1" x14ac:dyDescent="0.3">
      <c r="G2006" s="470"/>
      <c r="H2006" s="470">
        <v>1999</v>
      </c>
      <c r="I2006" s="455">
        <f t="shared" ca="1" si="120"/>
        <v>-1739268961.0851696</v>
      </c>
      <c r="J2006" s="455">
        <f t="array" ref="J2006">IFERROR(INDEX('Retirement Calculator'!K:K,MATCH('Lorri 401b'!N2006,'Retirement Calculator'!A:A,0),0),0)</f>
        <v>0</v>
      </c>
      <c r="K2006" s="455">
        <f t="shared" ca="1" si="118"/>
        <v>-7246954.0045215385</v>
      </c>
      <c r="L2006" s="455">
        <f t="shared" ca="1" si="119"/>
        <v>-1746515915.0896912</v>
      </c>
      <c r="M2006" s="471">
        <f t="shared" si="121"/>
        <v>0.05</v>
      </c>
      <c r="N2006" s="475">
        <f t="shared" si="122"/>
        <v>112100</v>
      </c>
    </row>
    <row r="2007" spans="7:14" ht="11.25" customHeight="1" x14ac:dyDescent="0.3">
      <c r="G2007" s="470"/>
      <c r="H2007" s="470">
        <v>2000</v>
      </c>
      <c r="I2007" s="455">
        <f t="shared" ca="1" si="120"/>
        <v>-1746515915.0896912</v>
      </c>
      <c r="J2007" s="455">
        <f t="array" ref="J2007">IFERROR(INDEX('Retirement Calculator'!K:K,MATCH('Lorri 401b'!N2007,'Retirement Calculator'!A:A,0),0),0)</f>
        <v>0</v>
      </c>
      <c r="K2007" s="455">
        <f t="shared" ca="1" si="118"/>
        <v>-7277149.6462070458</v>
      </c>
      <c r="L2007" s="455">
        <f t="shared" ca="1" si="119"/>
        <v>-1753793064.7358983</v>
      </c>
      <c r="M2007" s="471">
        <f t="shared" si="121"/>
        <v>0.05</v>
      </c>
      <c r="N2007" s="475">
        <f t="shared" si="122"/>
        <v>112131</v>
      </c>
    </row>
    <row r="2008" spans="7:14" ht="11.25" customHeight="1" x14ac:dyDescent="0.3">
      <c r="G2008" s="470"/>
      <c r="H2008" s="470">
        <v>2001</v>
      </c>
      <c r="I2008" s="455">
        <f t="shared" ca="1" si="120"/>
        <v>-1753793064.7358983</v>
      </c>
      <c r="J2008" s="455">
        <f t="array" ref="J2008">IFERROR(INDEX('Retirement Calculator'!K:K,MATCH('Lorri 401b'!N2008,'Retirement Calculator'!A:A,0),0),0)</f>
        <v>0</v>
      </c>
      <c r="K2008" s="455">
        <f t="shared" ca="1" si="118"/>
        <v>-7307471.1030662414</v>
      </c>
      <c r="L2008" s="455">
        <f t="shared" ca="1" si="119"/>
        <v>-1761100535.8389645</v>
      </c>
      <c r="M2008" s="471">
        <f t="shared" si="121"/>
        <v>0.05</v>
      </c>
      <c r="N2008" s="475">
        <f t="shared" si="122"/>
        <v>112162</v>
      </c>
    </row>
    <row r="2009" spans="7:14" ht="11.25" customHeight="1" x14ac:dyDescent="0.3">
      <c r="G2009" s="470"/>
      <c r="H2009" s="470">
        <v>2002</v>
      </c>
      <c r="I2009" s="455">
        <f t="shared" ca="1" si="120"/>
        <v>-1761100535.8389645</v>
      </c>
      <c r="J2009" s="455">
        <f t="array" ref="J2009">IFERROR(INDEX('Retirement Calculator'!K:K,MATCH('Lorri 401b'!N2009,'Retirement Calculator'!A:A,0),0),0)</f>
        <v>0</v>
      </c>
      <c r="K2009" s="455">
        <f t="shared" ca="1" si="118"/>
        <v>-7337918.8993290188</v>
      </c>
      <c r="L2009" s="455">
        <f t="shared" ca="1" si="119"/>
        <v>-1768438454.7382934</v>
      </c>
      <c r="M2009" s="471">
        <f t="shared" si="121"/>
        <v>0.05</v>
      </c>
      <c r="N2009" s="475">
        <f t="shared" si="122"/>
        <v>112190</v>
      </c>
    </row>
    <row r="2010" spans="7:14" ht="11.25" customHeight="1" x14ac:dyDescent="0.3">
      <c r="G2010" s="470"/>
      <c r="H2010" s="470">
        <v>2003</v>
      </c>
      <c r="I2010" s="455">
        <f t="shared" ca="1" si="120"/>
        <v>-1768438454.7382934</v>
      </c>
      <c r="J2010" s="455">
        <f t="array" ref="J2010">IFERROR(INDEX('Retirement Calculator'!K:K,MATCH('Lorri 401b'!N2010,'Retirement Calculator'!A:A,0),0),0)</f>
        <v>0</v>
      </c>
      <c r="K2010" s="455">
        <f t="shared" ca="1" si="118"/>
        <v>-7368493.5614095554</v>
      </c>
      <c r="L2010" s="455">
        <f t="shared" ca="1" si="119"/>
        <v>-1775806948.2997029</v>
      </c>
      <c r="M2010" s="471">
        <f t="shared" si="121"/>
        <v>0.05</v>
      </c>
      <c r="N2010" s="475">
        <f t="shared" si="122"/>
        <v>112221</v>
      </c>
    </row>
    <row r="2011" spans="7:14" ht="11.25" customHeight="1" x14ac:dyDescent="0.3">
      <c r="G2011" s="470"/>
      <c r="H2011" s="470">
        <v>2004</v>
      </c>
      <c r="I2011" s="455">
        <f t="shared" ca="1" si="120"/>
        <v>-1775806948.2997029</v>
      </c>
      <c r="J2011" s="455">
        <f t="array" ref="J2011">IFERROR(INDEX('Retirement Calculator'!K:K,MATCH('Lorri 401b'!N2011,'Retirement Calculator'!A:A,0),0),0)</f>
        <v>0</v>
      </c>
      <c r="K2011" s="455">
        <f t="shared" ca="1" si="118"/>
        <v>-7399195.6179154273</v>
      </c>
      <c r="L2011" s="455">
        <f t="shared" ca="1" si="119"/>
        <v>-1783206143.9176183</v>
      </c>
      <c r="M2011" s="471">
        <f t="shared" si="121"/>
        <v>0.05</v>
      </c>
      <c r="N2011" s="475">
        <f t="shared" si="122"/>
        <v>112251</v>
      </c>
    </row>
    <row r="2012" spans="7:14" ht="11.25" customHeight="1" x14ac:dyDescent="0.3">
      <c r="G2012" s="470"/>
      <c r="H2012" s="470">
        <v>2005</v>
      </c>
      <c r="I2012" s="455">
        <f t="shared" ca="1" si="120"/>
        <v>-1783206143.9176183</v>
      </c>
      <c r="J2012" s="455">
        <f t="array" ref="J2012">IFERROR(INDEX('Retirement Calculator'!K:K,MATCH('Lorri 401b'!N2012,'Retirement Calculator'!A:A,0),0),0)</f>
        <v>0</v>
      </c>
      <c r="K2012" s="455">
        <f t="shared" ca="1" si="118"/>
        <v>-7430025.599656743</v>
      </c>
      <c r="L2012" s="455">
        <f t="shared" ca="1" si="119"/>
        <v>-1790636169.5172751</v>
      </c>
      <c r="M2012" s="471">
        <f t="shared" si="121"/>
        <v>0.05</v>
      </c>
      <c r="N2012" s="475">
        <f t="shared" si="122"/>
        <v>112282</v>
      </c>
    </row>
    <row r="2013" spans="7:14" ht="11.25" customHeight="1" x14ac:dyDescent="0.3">
      <c r="G2013" s="470"/>
      <c r="H2013" s="470">
        <v>2006</v>
      </c>
      <c r="I2013" s="455">
        <f t="shared" ca="1" si="120"/>
        <v>-1790636169.5172751</v>
      </c>
      <c r="J2013" s="455">
        <f t="array" ref="J2013">IFERROR(INDEX('Retirement Calculator'!K:K,MATCH('Lorri 401b'!N2013,'Retirement Calculator'!A:A,0),0),0)</f>
        <v>0</v>
      </c>
      <c r="K2013" s="455">
        <f t="shared" ca="1" si="118"/>
        <v>-7460984.0396553129</v>
      </c>
      <c r="L2013" s="455">
        <f t="shared" ca="1" si="119"/>
        <v>-1798097153.5569303</v>
      </c>
      <c r="M2013" s="471">
        <f t="shared" si="121"/>
        <v>0.05</v>
      </c>
      <c r="N2013" s="475">
        <f t="shared" si="122"/>
        <v>112312</v>
      </c>
    </row>
    <row r="2014" spans="7:14" ht="11.25" customHeight="1" x14ac:dyDescent="0.3">
      <c r="G2014" s="470"/>
      <c r="H2014" s="470">
        <v>2007</v>
      </c>
      <c r="I2014" s="455">
        <f t="shared" ca="1" si="120"/>
        <v>-1798097153.5569303</v>
      </c>
      <c r="J2014" s="455">
        <f t="array" ref="J2014">IFERROR(INDEX('Retirement Calculator'!K:K,MATCH('Lorri 401b'!N2014,'Retirement Calculator'!A:A,0),0),0)</f>
        <v>0</v>
      </c>
      <c r="K2014" s="455">
        <f t="shared" ca="1" si="118"/>
        <v>-7492071.4731538761</v>
      </c>
      <c r="L2014" s="455">
        <f t="shared" ca="1" si="119"/>
        <v>-1805589225.0300841</v>
      </c>
      <c r="M2014" s="471">
        <f t="shared" si="121"/>
        <v>0.05</v>
      </c>
      <c r="N2014" s="475">
        <f t="shared" si="122"/>
        <v>112343</v>
      </c>
    </row>
    <row r="2015" spans="7:14" ht="11.25" customHeight="1" x14ac:dyDescent="0.3">
      <c r="G2015" s="470"/>
      <c r="H2015" s="470">
        <v>2008</v>
      </c>
      <c r="I2015" s="455">
        <f t="shared" ca="1" si="120"/>
        <v>-1805589225.0300841</v>
      </c>
      <c r="J2015" s="455">
        <f t="array" ref="J2015">IFERROR(INDEX('Retirement Calculator'!K:K,MATCH('Lorri 401b'!N2015,'Retirement Calculator'!A:A,0),0),0)</f>
        <v>0</v>
      </c>
      <c r="K2015" s="455">
        <f t="shared" ca="1" si="118"/>
        <v>-7523288.4376253504</v>
      </c>
      <c r="L2015" s="455">
        <f t="shared" ca="1" si="119"/>
        <v>-1813112513.4677095</v>
      </c>
      <c r="M2015" s="471">
        <f t="shared" si="121"/>
        <v>0.05</v>
      </c>
      <c r="N2015" s="475">
        <f t="shared" si="122"/>
        <v>112374</v>
      </c>
    </row>
    <row r="2016" spans="7:14" ht="11.25" customHeight="1" x14ac:dyDescent="0.3">
      <c r="G2016" s="470"/>
      <c r="H2016" s="470">
        <v>2009</v>
      </c>
      <c r="I2016" s="455">
        <f t="shared" ca="1" si="120"/>
        <v>-1813112513.4677095</v>
      </c>
      <c r="J2016" s="455">
        <f t="array" ref="J2016">IFERROR(INDEX('Retirement Calculator'!K:K,MATCH('Lorri 401b'!N2016,'Retirement Calculator'!A:A,0),0),0)</f>
        <v>0</v>
      </c>
      <c r="K2016" s="455">
        <f t="shared" ca="1" si="118"/>
        <v>-7554635.472782122</v>
      </c>
      <c r="L2016" s="455">
        <f t="shared" ca="1" si="119"/>
        <v>-1820667148.9404917</v>
      </c>
      <c r="M2016" s="471">
        <f t="shared" si="121"/>
        <v>0.05</v>
      </c>
      <c r="N2016" s="475">
        <f t="shared" si="122"/>
        <v>112404</v>
      </c>
    </row>
    <row r="2017" spans="7:14" ht="11.25" customHeight="1" x14ac:dyDescent="0.3">
      <c r="G2017" s="470"/>
      <c r="H2017" s="470">
        <v>2010</v>
      </c>
      <c r="I2017" s="455">
        <f t="shared" ca="1" si="120"/>
        <v>-1820667148.9404917</v>
      </c>
      <c r="J2017" s="455">
        <f t="array" ref="J2017">IFERROR(INDEX('Retirement Calculator'!K:K,MATCH('Lorri 401b'!N2017,'Retirement Calculator'!A:A,0),0),0)</f>
        <v>0</v>
      </c>
      <c r="K2017" s="455">
        <f t="shared" ca="1" si="118"/>
        <v>-7586113.120585382</v>
      </c>
      <c r="L2017" s="455">
        <f t="shared" ca="1" si="119"/>
        <v>-1828253262.0610771</v>
      </c>
      <c r="M2017" s="471">
        <f t="shared" si="121"/>
        <v>0.05</v>
      </c>
      <c r="N2017" s="475">
        <f t="shared" si="122"/>
        <v>112435</v>
      </c>
    </row>
    <row r="2018" spans="7:14" ht="11.25" customHeight="1" x14ac:dyDescent="0.3">
      <c r="G2018" s="470"/>
      <c r="H2018" s="470">
        <v>2011</v>
      </c>
      <c r="I2018" s="455">
        <f t="shared" ca="1" si="120"/>
        <v>-1828253262.0610771</v>
      </c>
      <c r="J2018" s="455">
        <f t="array" ref="J2018">IFERROR(INDEX('Retirement Calculator'!K:K,MATCH('Lorri 401b'!N2018,'Retirement Calculator'!A:A,0),0),0)</f>
        <v>0</v>
      </c>
      <c r="K2018" s="455">
        <f t="shared" ca="1" si="118"/>
        <v>-7617721.9252544874</v>
      </c>
      <c r="L2018" s="455">
        <f t="shared" ca="1" si="119"/>
        <v>-1835870983.9863317</v>
      </c>
      <c r="M2018" s="471">
        <f t="shared" si="121"/>
        <v>0.05</v>
      </c>
      <c r="N2018" s="475">
        <f t="shared" si="122"/>
        <v>112465</v>
      </c>
    </row>
    <row r="2019" spans="7:14" ht="11.25" customHeight="1" x14ac:dyDescent="0.3">
      <c r="G2019" s="470"/>
      <c r="H2019" s="470">
        <v>2012</v>
      </c>
      <c r="I2019" s="455">
        <f t="shared" ca="1" si="120"/>
        <v>-1835870983.9863317</v>
      </c>
      <c r="J2019" s="455">
        <f t="array" ref="J2019">IFERROR(INDEX('Retirement Calculator'!K:K,MATCH('Lorri 401b'!N2019,'Retirement Calculator'!A:A,0),0),0)</f>
        <v>0</v>
      </c>
      <c r="K2019" s="455">
        <f t="shared" ca="1" si="118"/>
        <v>-7649462.4332763823</v>
      </c>
      <c r="L2019" s="455">
        <f t="shared" ca="1" si="119"/>
        <v>-1843520446.4196081</v>
      </c>
      <c r="M2019" s="471">
        <f t="shared" si="121"/>
        <v>0.05</v>
      </c>
      <c r="N2019" s="475">
        <f t="shared" si="122"/>
        <v>112496</v>
      </c>
    </row>
    <row r="2020" spans="7:14" ht="11.25" customHeight="1" x14ac:dyDescent="0.3">
      <c r="G2020" s="470"/>
      <c r="H2020" s="470">
        <v>2013</v>
      </c>
      <c r="I2020" s="455">
        <f t="shared" ca="1" si="120"/>
        <v>-1843520446.4196081</v>
      </c>
      <c r="J2020" s="455">
        <f t="array" ref="J2020">IFERROR(INDEX('Retirement Calculator'!K:K,MATCH('Lorri 401b'!N2020,'Retirement Calculator'!A:A,0),0),0)</f>
        <v>0</v>
      </c>
      <c r="K2020" s="455">
        <f t="shared" ca="1" si="118"/>
        <v>-7681335.1934150336</v>
      </c>
      <c r="L2020" s="455">
        <f t="shared" ca="1" si="119"/>
        <v>-1851201781.613023</v>
      </c>
      <c r="M2020" s="471">
        <f t="shared" si="121"/>
        <v>0.05</v>
      </c>
      <c r="N2020" s="475">
        <f t="shared" si="122"/>
        <v>112527</v>
      </c>
    </row>
    <row r="2021" spans="7:14" ht="11.25" customHeight="1" x14ac:dyDescent="0.3">
      <c r="G2021" s="470"/>
      <c r="H2021" s="470">
        <v>2014</v>
      </c>
      <c r="I2021" s="455">
        <f t="shared" ca="1" si="120"/>
        <v>-1851201781.613023</v>
      </c>
      <c r="J2021" s="455">
        <f t="array" ref="J2021">IFERROR(INDEX('Retirement Calculator'!K:K,MATCH('Lorri 401b'!N2021,'Retirement Calculator'!A:A,0),0),0)</f>
        <v>0</v>
      </c>
      <c r="K2021" s="455">
        <f t="shared" ca="1" si="118"/>
        <v>-7713340.7567209294</v>
      </c>
      <c r="L2021" s="455">
        <f t="shared" ca="1" si="119"/>
        <v>-1858915122.3697441</v>
      </c>
      <c r="M2021" s="471">
        <f t="shared" si="121"/>
        <v>0.05</v>
      </c>
      <c r="N2021" s="475">
        <f t="shared" si="122"/>
        <v>112556</v>
      </c>
    </row>
    <row r="2022" spans="7:14" ht="11.25" customHeight="1" x14ac:dyDescent="0.3">
      <c r="G2022" s="470"/>
      <c r="H2022" s="470">
        <v>2015</v>
      </c>
      <c r="I2022" s="455">
        <f t="shared" ca="1" si="120"/>
        <v>-1858915122.3697441</v>
      </c>
      <c r="J2022" s="455">
        <f t="array" ref="J2022">IFERROR(INDEX('Retirement Calculator'!K:K,MATCH('Lorri 401b'!N2022,'Retirement Calculator'!A:A,0),0),0)</f>
        <v>0</v>
      </c>
      <c r="K2022" s="455">
        <f t="shared" ca="1" si="118"/>
        <v>-7745479.6765406001</v>
      </c>
      <c r="L2022" s="455">
        <f t="shared" ca="1" si="119"/>
        <v>-1866660602.0462847</v>
      </c>
      <c r="M2022" s="471">
        <f t="shared" si="121"/>
        <v>0.05</v>
      </c>
      <c r="N2022" s="475">
        <f t="shared" si="122"/>
        <v>112587</v>
      </c>
    </row>
    <row r="2023" spans="7:14" ht="11.25" customHeight="1" x14ac:dyDescent="0.3">
      <c r="G2023" s="470"/>
      <c r="H2023" s="470">
        <v>2016</v>
      </c>
      <c r="I2023" s="455">
        <f t="shared" ca="1" si="120"/>
        <v>-1866660602.0462847</v>
      </c>
      <c r="J2023" s="455">
        <f t="array" ref="J2023">IFERROR(INDEX('Retirement Calculator'!K:K,MATCH('Lorri 401b'!N2023,'Retirement Calculator'!A:A,0),0),0)</f>
        <v>0</v>
      </c>
      <c r="K2023" s="455">
        <f t="shared" ca="1" si="118"/>
        <v>-7777752.5085261846</v>
      </c>
      <c r="L2023" s="455">
        <f t="shared" ca="1" si="119"/>
        <v>-1874438354.5548108</v>
      </c>
      <c r="M2023" s="471">
        <f t="shared" si="121"/>
        <v>0.05</v>
      </c>
      <c r="N2023" s="475">
        <f t="shared" si="122"/>
        <v>112617</v>
      </c>
    </row>
    <row r="2024" spans="7:14" ht="11.25" customHeight="1" x14ac:dyDescent="0.3">
      <c r="G2024" s="470"/>
      <c r="H2024" s="470">
        <v>2017</v>
      </c>
      <c r="I2024" s="455">
        <f t="shared" ca="1" si="120"/>
        <v>-1874438354.5548108</v>
      </c>
      <c r="J2024" s="455">
        <f t="array" ref="J2024">IFERROR(INDEX('Retirement Calculator'!K:K,MATCH('Lorri 401b'!N2024,'Retirement Calculator'!A:A,0),0),0)</f>
        <v>0</v>
      </c>
      <c r="K2024" s="455">
        <f t="shared" ca="1" si="118"/>
        <v>-7810159.8106450448</v>
      </c>
      <c r="L2024" s="455">
        <f t="shared" ca="1" si="119"/>
        <v>-1882248514.3654559</v>
      </c>
      <c r="M2024" s="471">
        <f t="shared" si="121"/>
        <v>0.05</v>
      </c>
      <c r="N2024" s="475">
        <f t="shared" si="122"/>
        <v>112648</v>
      </c>
    </row>
    <row r="2025" spans="7:14" ht="11.25" customHeight="1" x14ac:dyDescent="0.3">
      <c r="G2025" s="470"/>
      <c r="H2025" s="470">
        <v>2018</v>
      </c>
      <c r="I2025" s="455">
        <f t="shared" ca="1" si="120"/>
        <v>-1882248514.3654559</v>
      </c>
      <c r="J2025" s="455">
        <f t="array" ref="J2025">IFERROR(INDEX('Retirement Calculator'!K:K,MATCH('Lorri 401b'!N2025,'Retirement Calculator'!A:A,0),0),0)</f>
        <v>0</v>
      </c>
      <c r="K2025" s="455">
        <f t="shared" ca="1" si="118"/>
        <v>-7842702.1431893986</v>
      </c>
      <c r="L2025" s="455">
        <f t="shared" ca="1" si="119"/>
        <v>-1890091216.5086453</v>
      </c>
      <c r="M2025" s="471">
        <f t="shared" si="121"/>
        <v>0.05</v>
      </c>
      <c r="N2025" s="475">
        <f t="shared" si="122"/>
        <v>112678</v>
      </c>
    </row>
    <row r="2026" spans="7:14" ht="11.25" customHeight="1" x14ac:dyDescent="0.3">
      <c r="G2026" s="470"/>
      <c r="H2026" s="470">
        <v>2019</v>
      </c>
      <c r="I2026" s="455">
        <f t="shared" ca="1" si="120"/>
        <v>-1890091216.5086453</v>
      </c>
      <c r="J2026" s="455">
        <f t="array" ref="J2026">IFERROR(INDEX('Retirement Calculator'!K:K,MATCH('Lorri 401b'!N2026,'Retirement Calculator'!A:A,0),0),0)</f>
        <v>0</v>
      </c>
      <c r="K2026" s="455">
        <f t="shared" ca="1" si="118"/>
        <v>-7875380.0687860232</v>
      </c>
      <c r="L2026" s="455">
        <f t="shared" ca="1" si="119"/>
        <v>-1897966596.5774312</v>
      </c>
      <c r="M2026" s="471">
        <f t="shared" si="121"/>
        <v>0.05</v>
      </c>
      <c r="N2026" s="475">
        <f t="shared" si="122"/>
        <v>112709</v>
      </c>
    </row>
    <row r="2027" spans="7:14" ht="11.25" customHeight="1" x14ac:dyDescent="0.3">
      <c r="G2027" s="470"/>
      <c r="H2027" s="470">
        <v>2020</v>
      </c>
      <c r="I2027" s="455">
        <f t="shared" ca="1" si="120"/>
        <v>-1897966596.5774312</v>
      </c>
      <c r="J2027" s="455">
        <f t="array" ref="J2027">IFERROR(INDEX('Retirement Calculator'!K:K,MATCH('Lorri 401b'!N2027,'Retirement Calculator'!A:A,0),0),0)</f>
        <v>0</v>
      </c>
      <c r="K2027" s="455">
        <f t="shared" ca="1" si="118"/>
        <v>-7908194.1524059633</v>
      </c>
      <c r="L2027" s="455">
        <f t="shared" ca="1" si="119"/>
        <v>-1905874790.7298372</v>
      </c>
      <c r="M2027" s="471">
        <f t="shared" si="121"/>
        <v>0.05</v>
      </c>
      <c r="N2027" s="475">
        <f t="shared" si="122"/>
        <v>112740</v>
      </c>
    </row>
    <row r="2028" spans="7:14" ht="11.25" customHeight="1" x14ac:dyDescent="0.3">
      <c r="G2028" s="470"/>
      <c r="H2028" s="470">
        <v>2021</v>
      </c>
      <c r="I2028" s="455">
        <f t="shared" ca="1" si="120"/>
        <v>-1905874790.7298372</v>
      </c>
      <c r="J2028" s="455">
        <f t="array" ref="J2028">IFERROR(INDEX('Retirement Calculator'!K:K,MATCH('Lorri 401b'!N2028,'Retirement Calculator'!A:A,0),0),0)</f>
        <v>0</v>
      </c>
      <c r="K2028" s="455">
        <f t="shared" ca="1" si="118"/>
        <v>-7941144.961374321</v>
      </c>
      <c r="L2028" s="455">
        <f t="shared" ca="1" si="119"/>
        <v>-1913815935.6912115</v>
      </c>
      <c r="M2028" s="471">
        <f t="shared" si="121"/>
        <v>0.05</v>
      </c>
      <c r="N2028" s="475">
        <f t="shared" si="122"/>
        <v>112770</v>
      </c>
    </row>
    <row r="2029" spans="7:14" ht="11.25" customHeight="1" x14ac:dyDescent="0.3">
      <c r="G2029" s="470"/>
      <c r="H2029" s="470">
        <v>2022</v>
      </c>
      <c r="I2029" s="455">
        <f t="shared" ca="1" si="120"/>
        <v>-1913815935.6912115</v>
      </c>
      <c r="J2029" s="455">
        <f t="array" ref="J2029">IFERROR(INDEX('Retirement Calculator'!K:K,MATCH('Lorri 401b'!N2029,'Retirement Calculator'!A:A,0),0),0)</f>
        <v>0</v>
      </c>
      <c r="K2029" s="455">
        <f t="shared" ca="1" si="118"/>
        <v>-7974233.0653800471</v>
      </c>
      <c r="L2029" s="455">
        <f t="shared" ca="1" si="119"/>
        <v>-1921790168.7565916</v>
      </c>
      <c r="M2029" s="471">
        <f t="shared" si="121"/>
        <v>0.05</v>
      </c>
      <c r="N2029" s="475">
        <f t="shared" si="122"/>
        <v>112801</v>
      </c>
    </row>
    <row r="2030" spans="7:14" ht="11.25" customHeight="1" x14ac:dyDescent="0.3">
      <c r="G2030" s="470"/>
      <c r="H2030" s="470">
        <v>2023</v>
      </c>
      <c r="I2030" s="455">
        <f t="shared" ca="1" si="120"/>
        <v>-1921790168.7565916</v>
      </c>
      <c r="J2030" s="455">
        <f t="array" ref="J2030">IFERROR(INDEX('Retirement Calculator'!K:K,MATCH('Lorri 401b'!N2030,'Retirement Calculator'!A:A,0),0),0)</f>
        <v>0</v>
      </c>
      <c r="K2030" s="455">
        <f t="shared" ca="1" si="118"/>
        <v>-8007459.0364857977</v>
      </c>
      <c r="L2030" s="455">
        <f t="shared" ca="1" si="119"/>
        <v>-1929797627.7930775</v>
      </c>
      <c r="M2030" s="471">
        <f t="shared" si="121"/>
        <v>0.05</v>
      </c>
      <c r="N2030" s="475">
        <f t="shared" si="122"/>
        <v>112831</v>
      </c>
    </row>
    <row r="2031" spans="7:14" ht="11.25" customHeight="1" x14ac:dyDescent="0.3">
      <c r="G2031" s="470"/>
      <c r="H2031" s="470">
        <v>2024</v>
      </c>
      <c r="I2031" s="455">
        <f t="shared" ca="1" si="120"/>
        <v>-1929797627.7930775</v>
      </c>
      <c r="J2031" s="455">
        <f t="array" ref="J2031">IFERROR(INDEX('Retirement Calculator'!K:K,MATCH('Lorri 401b'!N2031,'Retirement Calculator'!A:A,0),0),0)</f>
        <v>0</v>
      </c>
      <c r="K2031" s="455">
        <f t="shared" ca="1" si="118"/>
        <v>-8040823.4491378227</v>
      </c>
      <c r="L2031" s="455">
        <f t="shared" ca="1" si="119"/>
        <v>-1937838451.2422154</v>
      </c>
      <c r="M2031" s="471">
        <f t="shared" si="121"/>
        <v>0.05</v>
      </c>
      <c r="N2031" s="475">
        <f t="shared" si="122"/>
        <v>112862</v>
      </c>
    </row>
    <row r="2032" spans="7:14" ht="11.25" customHeight="1" x14ac:dyDescent="0.3">
      <c r="G2032" s="470"/>
      <c r="H2032" s="470">
        <v>2025</v>
      </c>
      <c r="I2032" s="455">
        <f t="shared" ca="1" si="120"/>
        <v>-1937838451.2422154</v>
      </c>
      <c r="J2032" s="455">
        <f t="array" ref="J2032">IFERROR(INDEX('Retirement Calculator'!K:K,MATCH('Lorri 401b'!N2032,'Retirement Calculator'!A:A,0),0),0)</f>
        <v>0</v>
      </c>
      <c r="K2032" s="455">
        <f t="shared" ca="1" si="118"/>
        <v>-8074326.8801758969</v>
      </c>
      <c r="L2032" s="455">
        <f t="shared" ca="1" si="119"/>
        <v>-1945912778.1223912</v>
      </c>
      <c r="M2032" s="471">
        <f t="shared" si="121"/>
        <v>0.05</v>
      </c>
      <c r="N2032" s="475">
        <f t="shared" si="122"/>
        <v>112893</v>
      </c>
    </row>
    <row r="2033" spans="7:14" ht="11.25" customHeight="1" x14ac:dyDescent="0.3">
      <c r="G2033" s="470"/>
      <c r="H2033" s="470">
        <v>2026</v>
      </c>
      <c r="I2033" s="455">
        <f t="shared" ca="1" si="120"/>
        <v>-1945912778.1223912</v>
      </c>
      <c r="J2033" s="455">
        <f t="array" ref="J2033">IFERROR(INDEX('Retirement Calculator'!K:K,MATCH('Lorri 401b'!N2033,'Retirement Calculator'!A:A,0),0),0)</f>
        <v>0</v>
      </c>
      <c r="K2033" s="455">
        <f t="shared" ca="1" si="118"/>
        <v>-8107969.9088432956</v>
      </c>
      <c r="L2033" s="455">
        <f t="shared" ca="1" si="119"/>
        <v>-1954020748.0312345</v>
      </c>
      <c r="M2033" s="471">
        <f t="shared" si="121"/>
        <v>0.05</v>
      </c>
      <c r="N2033" s="475">
        <f t="shared" si="122"/>
        <v>112921</v>
      </c>
    </row>
    <row r="2034" spans="7:14" ht="11.25" customHeight="1" x14ac:dyDescent="0.3">
      <c r="G2034" s="470"/>
      <c r="H2034" s="470">
        <v>2027</v>
      </c>
      <c r="I2034" s="455">
        <f t="shared" ca="1" si="120"/>
        <v>-1954020748.0312345</v>
      </c>
      <c r="J2034" s="455">
        <f t="array" ref="J2034">IFERROR(INDEX('Retirement Calculator'!K:K,MATCH('Lorri 401b'!N2034,'Retirement Calculator'!A:A,0),0),0)</f>
        <v>0</v>
      </c>
      <c r="K2034" s="455">
        <f t="shared" ca="1" si="118"/>
        <v>-8141753.1167968092</v>
      </c>
      <c r="L2034" s="455">
        <f t="shared" ca="1" si="119"/>
        <v>-1962162501.1480312</v>
      </c>
      <c r="M2034" s="471">
        <f t="shared" si="121"/>
        <v>0.05</v>
      </c>
      <c r="N2034" s="475">
        <f t="shared" si="122"/>
        <v>112952</v>
      </c>
    </row>
    <row r="2035" spans="7:14" ht="11.25" customHeight="1" x14ac:dyDescent="0.3">
      <c r="G2035" s="470"/>
      <c r="H2035" s="470">
        <v>2028</v>
      </c>
      <c r="I2035" s="455">
        <f t="shared" ca="1" si="120"/>
        <v>-1962162501.1480312</v>
      </c>
      <c r="J2035" s="455">
        <f t="array" ref="J2035">IFERROR(INDEX('Retirement Calculator'!K:K,MATCH('Lorri 401b'!N2035,'Retirement Calculator'!A:A,0),0),0)</f>
        <v>0</v>
      </c>
      <c r="K2035" s="455">
        <f t="shared" ca="1" si="118"/>
        <v>-8175677.0881167967</v>
      </c>
      <c r="L2035" s="455">
        <f t="shared" ca="1" si="119"/>
        <v>-1970338178.2361481</v>
      </c>
      <c r="M2035" s="471">
        <f t="shared" si="121"/>
        <v>0.05</v>
      </c>
      <c r="N2035" s="475">
        <f t="shared" si="122"/>
        <v>112982</v>
      </c>
    </row>
    <row r="2036" spans="7:14" ht="11.25" customHeight="1" x14ac:dyDescent="0.3">
      <c r="G2036" s="470"/>
      <c r="H2036" s="470">
        <v>2029</v>
      </c>
      <c r="I2036" s="455">
        <f t="shared" ca="1" si="120"/>
        <v>-1970338178.2361481</v>
      </c>
      <c r="J2036" s="455">
        <f t="array" ref="J2036">IFERROR(INDEX('Retirement Calculator'!K:K,MATCH('Lorri 401b'!N2036,'Retirement Calculator'!A:A,0),0),0)</f>
        <v>0</v>
      </c>
      <c r="K2036" s="455">
        <f t="shared" ca="1" si="118"/>
        <v>-8209742.4093172839</v>
      </c>
      <c r="L2036" s="455">
        <f t="shared" ca="1" si="119"/>
        <v>-1978547920.6454654</v>
      </c>
      <c r="M2036" s="471">
        <f t="shared" si="121"/>
        <v>0.05</v>
      </c>
      <c r="N2036" s="475">
        <f t="shared" si="122"/>
        <v>113013</v>
      </c>
    </row>
    <row r="2037" spans="7:14" ht="11.25" customHeight="1" x14ac:dyDescent="0.3">
      <c r="G2037" s="470"/>
      <c r="H2037" s="470">
        <v>2030</v>
      </c>
      <c r="I2037" s="455">
        <f t="shared" ca="1" si="120"/>
        <v>-1978547920.6454654</v>
      </c>
      <c r="J2037" s="455">
        <f t="array" ref="J2037">IFERROR(INDEX('Retirement Calculator'!K:K,MATCH('Lorri 401b'!N2037,'Retirement Calculator'!A:A,0),0),0)</f>
        <v>0</v>
      </c>
      <c r="K2037" s="455">
        <f t="shared" ca="1" si="118"/>
        <v>-8243949.6693561058</v>
      </c>
      <c r="L2037" s="455">
        <f t="shared" ca="1" si="119"/>
        <v>-1986791870.3148215</v>
      </c>
      <c r="M2037" s="471">
        <f t="shared" si="121"/>
        <v>0.05</v>
      </c>
      <c r="N2037" s="475">
        <f t="shared" si="122"/>
        <v>113043</v>
      </c>
    </row>
    <row r="2038" spans="7:14" ht="11.25" customHeight="1" x14ac:dyDescent="0.3">
      <c r="G2038" s="470"/>
      <c r="H2038" s="470">
        <v>2031</v>
      </c>
      <c r="I2038" s="455">
        <f t="shared" ca="1" si="120"/>
        <v>-1986791870.3148215</v>
      </c>
      <c r="J2038" s="455">
        <f t="array" ref="J2038">IFERROR(INDEX('Retirement Calculator'!K:K,MATCH('Lorri 401b'!N2038,'Retirement Calculator'!A:A,0),0),0)</f>
        <v>0</v>
      </c>
      <c r="K2038" s="455">
        <f t="shared" ca="1" si="118"/>
        <v>-8278299.4596450897</v>
      </c>
      <c r="L2038" s="455">
        <f t="shared" ca="1" si="119"/>
        <v>-1995070169.7744665</v>
      </c>
      <c r="M2038" s="471">
        <f t="shared" si="121"/>
        <v>0.05</v>
      </c>
      <c r="N2038" s="475">
        <f t="shared" si="122"/>
        <v>113074</v>
      </c>
    </row>
    <row r="2039" spans="7:14" ht="11.25" customHeight="1" x14ac:dyDescent="0.3">
      <c r="G2039" s="470"/>
      <c r="H2039" s="470">
        <v>2032</v>
      </c>
      <c r="I2039" s="455">
        <f t="shared" ca="1" si="120"/>
        <v>-1995070169.7744665</v>
      </c>
      <c r="J2039" s="455">
        <f t="array" ref="J2039">IFERROR(INDEX('Retirement Calculator'!K:K,MATCH('Lorri 401b'!N2039,'Retirement Calculator'!A:A,0),0),0)</f>
        <v>0</v>
      </c>
      <c r="K2039" s="455">
        <f t="shared" ca="1" si="118"/>
        <v>-8312792.374060276</v>
      </c>
      <c r="L2039" s="455">
        <f t="shared" ca="1" si="119"/>
        <v>-2003382962.1485269</v>
      </c>
      <c r="M2039" s="471">
        <f t="shared" si="121"/>
        <v>0.05</v>
      </c>
      <c r="N2039" s="475">
        <f t="shared" si="122"/>
        <v>113105</v>
      </c>
    </row>
    <row r="2040" spans="7:14" ht="11.25" customHeight="1" x14ac:dyDescent="0.3">
      <c r="G2040" s="470"/>
      <c r="H2040" s="470">
        <v>2033</v>
      </c>
      <c r="I2040" s="455">
        <f t="shared" ca="1" si="120"/>
        <v>-2003382962.1485269</v>
      </c>
      <c r="J2040" s="455">
        <f t="array" ref="J2040">IFERROR(INDEX('Retirement Calculator'!K:K,MATCH('Lorri 401b'!N2040,'Retirement Calculator'!A:A,0),0),0)</f>
        <v>0</v>
      </c>
      <c r="K2040" s="455">
        <f t="shared" ca="1" si="118"/>
        <v>-8347429.0089521958</v>
      </c>
      <c r="L2040" s="455">
        <f t="shared" ca="1" si="119"/>
        <v>-2011730391.157479</v>
      </c>
      <c r="M2040" s="471">
        <f t="shared" si="121"/>
        <v>0.05</v>
      </c>
      <c r="N2040" s="475">
        <f t="shared" si="122"/>
        <v>113135</v>
      </c>
    </row>
    <row r="2041" spans="7:14" ht="11.25" customHeight="1" x14ac:dyDescent="0.3">
      <c r="G2041" s="470"/>
      <c r="H2041" s="470">
        <v>2034</v>
      </c>
      <c r="I2041" s="455">
        <f t="shared" ca="1" si="120"/>
        <v>-2011730391.157479</v>
      </c>
      <c r="J2041" s="455">
        <f t="array" ref="J2041">IFERROR(INDEX('Retirement Calculator'!K:K,MATCH('Lorri 401b'!N2041,'Retirement Calculator'!A:A,0),0),0)</f>
        <v>0</v>
      </c>
      <c r="K2041" s="455">
        <f t="shared" ca="1" si="118"/>
        <v>-8382209.9631561628</v>
      </c>
      <c r="L2041" s="455">
        <f t="shared" ca="1" si="119"/>
        <v>-2020112601.1206353</v>
      </c>
      <c r="M2041" s="471">
        <f t="shared" si="121"/>
        <v>0.05</v>
      </c>
      <c r="N2041" s="475">
        <f t="shared" si="122"/>
        <v>113166</v>
      </c>
    </row>
    <row r="2042" spans="7:14" ht="11.25" customHeight="1" x14ac:dyDescent="0.3">
      <c r="G2042" s="470"/>
      <c r="H2042" s="470">
        <v>2035</v>
      </c>
      <c r="I2042" s="455">
        <f t="shared" ca="1" si="120"/>
        <v>-2020112601.1206353</v>
      </c>
      <c r="J2042" s="455">
        <f t="array" ref="J2042">IFERROR(INDEX('Retirement Calculator'!K:K,MATCH('Lorri 401b'!N2042,'Retirement Calculator'!A:A,0),0),0)</f>
        <v>0</v>
      </c>
      <c r="K2042" s="455">
        <f t="shared" ca="1" si="118"/>
        <v>-8417135.8380026463</v>
      </c>
      <c r="L2042" s="455">
        <f t="shared" ca="1" si="119"/>
        <v>-2028529736.958638</v>
      </c>
      <c r="M2042" s="471">
        <f t="shared" si="121"/>
        <v>0.05</v>
      </c>
      <c r="N2042" s="475">
        <f t="shared" si="122"/>
        <v>113196</v>
      </c>
    </row>
    <row r="2043" spans="7:14" ht="11.25" customHeight="1" x14ac:dyDescent="0.3">
      <c r="G2043" s="470"/>
      <c r="H2043" s="470">
        <v>2036</v>
      </c>
      <c r="I2043" s="455">
        <f t="shared" ca="1" si="120"/>
        <v>-2028529736.958638</v>
      </c>
      <c r="J2043" s="455">
        <f t="array" ref="J2043">IFERROR(INDEX('Retirement Calculator'!K:K,MATCH('Lorri 401b'!N2043,'Retirement Calculator'!A:A,0),0),0)</f>
        <v>0</v>
      </c>
      <c r="K2043" s="455">
        <f t="shared" ca="1" si="118"/>
        <v>-8452207.2373276576</v>
      </c>
      <c r="L2043" s="455">
        <f t="shared" ca="1" si="119"/>
        <v>-2036981944.1959655</v>
      </c>
      <c r="M2043" s="471">
        <f t="shared" si="121"/>
        <v>0.05</v>
      </c>
      <c r="N2043" s="475">
        <f t="shared" si="122"/>
        <v>113227</v>
      </c>
    </row>
    <row r="2044" spans="7:14" ht="11.25" customHeight="1" x14ac:dyDescent="0.3">
      <c r="G2044" s="470"/>
      <c r="H2044" s="470">
        <v>2037</v>
      </c>
      <c r="I2044" s="455">
        <f t="shared" ca="1" si="120"/>
        <v>-2036981944.1959655</v>
      </c>
      <c r="J2044" s="455">
        <f t="array" ref="J2044">IFERROR(INDEX('Retirement Calculator'!K:K,MATCH('Lorri 401b'!N2044,'Retirement Calculator'!A:A,0),0),0)</f>
        <v>0</v>
      </c>
      <c r="K2044" s="455">
        <f t="shared" ca="1" si="118"/>
        <v>-8487424.7674831897</v>
      </c>
      <c r="L2044" s="455">
        <f t="shared" ca="1" si="119"/>
        <v>-2045469368.9634488</v>
      </c>
      <c r="M2044" s="471">
        <f t="shared" si="121"/>
        <v>0.05</v>
      </c>
      <c r="N2044" s="475">
        <f t="shared" si="122"/>
        <v>113258</v>
      </c>
    </row>
    <row r="2045" spans="7:14" ht="11.25" customHeight="1" x14ac:dyDescent="0.3">
      <c r="G2045" s="470"/>
      <c r="H2045" s="470">
        <v>2038</v>
      </c>
      <c r="I2045" s="455">
        <f t="shared" ca="1" si="120"/>
        <v>-2045469368.9634488</v>
      </c>
      <c r="J2045" s="455">
        <f t="array" ref="J2045">IFERROR(INDEX('Retirement Calculator'!K:K,MATCH('Lorri 401b'!N2045,'Retirement Calculator'!A:A,0),0),0)</f>
        <v>0</v>
      </c>
      <c r="K2045" s="455">
        <f t="shared" ca="1" si="118"/>
        <v>-8522789.0373477042</v>
      </c>
      <c r="L2045" s="455">
        <f t="shared" ca="1" si="119"/>
        <v>-2053992158.0007966</v>
      </c>
      <c r="M2045" s="471">
        <f t="shared" si="121"/>
        <v>0.05</v>
      </c>
      <c r="N2045" s="475">
        <f t="shared" si="122"/>
        <v>113286</v>
      </c>
    </row>
    <row r="2046" spans="7:14" ht="11.25" customHeight="1" x14ac:dyDescent="0.3">
      <c r="G2046" s="470"/>
      <c r="H2046" s="470">
        <v>2039</v>
      </c>
      <c r="I2046" s="455">
        <f t="shared" ca="1" si="120"/>
        <v>-2053992158.0007966</v>
      </c>
      <c r="J2046" s="455">
        <f t="array" ref="J2046">IFERROR(INDEX('Retirement Calculator'!K:K,MATCH('Lorri 401b'!N2046,'Retirement Calculator'!A:A,0),0),0)</f>
        <v>0</v>
      </c>
      <c r="K2046" s="455">
        <f t="shared" ca="1" si="118"/>
        <v>-8558300.6583366524</v>
      </c>
      <c r="L2046" s="455">
        <f t="shared" ca="1" si="119"/>
        <v>-2062550458.6591332</v>
      </c>
      <c r="M2046" s="471">
        <f t="shared" si="121"/>
        <v>0.05</v>
      </c>
      <c r="N2046" s="475">
        <f t="shared" si="122"/>
        <v>113317</v>
      </c>
    </row>
    <row r="2047" spans="7:14" ht="11.25" customHeight="1" x14ac:dyDescent="0.3">
      <c r="G2047" s="470"/>
      <c r="H2047" s="470">
        <v>2040</v>
      </c>
      <c r="I2047" s="455">
        <f t="shared" ca="1" si="120"/>
        <v>-2062550458.6591332</v>
      </c>
      <c r="J2047" s="455">
        <f t="array" ref="J2047">IFERROR(INDEX('Retirement Calculator'!K:K,MATCH('Lorri 401b'!N2047,'Retirement Calculator'!A:A,0),0),0)</f>
        <v>0</v>
      </c>
      <c r="K2047" s="455">
        <f t="shared" ca="1" si="118"/>
        <v>-8593960.2444130555</v>
      </c>
      <c r="L2047" s="455">
        <f t="shared" ca="1" si="119"/>
        <v>-2071144418.9035463</v>
      </c>
      <c r="M2047" s="471">
        <f t="shared" si="121"/>
        <v>0.05</v>
      </c>
      <c r="N2047" s="475">
        <f t="shared" si="122"/>
        <v>113347</v>
      </c>
    </row>
    <row r="2048" spans="7:14" ht="11.25" customHeight="1" x14ac:dyDescent="0.3">
      <c r="G2048" s="470"/>
      <c r="H2048" s="470">
        <v>2041</v>
      </c>
      <c r="I2048" s="455">
        <f t="shared" ca="1" si="120"/>
        <v>-2071144418.9035463</v>
      </c>
      <c r="J2048" s="455">
        <f t="array" ref="J2048">IFERROR(INDEX('Retirement Calculator'!K:K,MATCH('Lorri 401b'!N2048,'Retirement Calculator'!A:A,0),0),0)</f>
        <v>0</v>
      </c>
      <c r="K2048" s="455">
        <f t="shared" ref="K2048:K2302" ca="1" si="123">IPMT(M2048/12,1,12,-I2048+J2048,,0)</f>
        <v>-8629768.4120981097</v>
      </c>
      <c r="L2048" s="455">
        <f t="shared" ref="L2048:L2302" ca="1" si="124">I2048-J2048+K2048</f>
        <v>-2079774187.3156445</v>
      </c>
      <c r="M2048" s="471">
        <f t="shared" si="121"/>
        <v>0.05</v>
      </c>
      <c r="N2048" s="475">
        <f t="shared" si="122"/>
        <v>113378</v>
      </c>
    </row>
    <row r="2049" spans="7:14" ht="11.25" customHeight="1" x14ac:dyDescent="0.3">
      <c r="G2049" s="470"/>
      <c r="H2049" s="470">
        <v>2042</v>
      </c>
      <c r="I2049" s="455">
        <f t="shared" ref="I2049:I2303" ca="1" si="125">L2048</f>
        <v>-2079774187.3156445</v>
      </c>
      <c r="J2049" s="455">
        <f t="array" ref="J2049">IFERROR(INDEX('Retirement Calculator'!K:K,MATCH('Lorri 401b'!N2049,'Retirement Calculator'!A:A,0),0),0)</f>
        <v>0</v>
      </c>
      <c r="K2049" s="455">
        <f t="shared" ca="1" si="123"/>
        <v>-8665725.7804818526</v>
      </c>
      <c r="L2049" s="455">
        <f t="shared" ca="1" si="124"/>
        <v>-2088439913.0961263</v>
      </c>
      <c r="M2049" s="471">
        <f t="shared" ref="M2049:M2303" si="126">M2048</f>
        <v>0.05</v>
      </c>
      <c r="N2049" s="475">
        <f t="shared" ref="N2049:N2303" si="127">EDATE(N2048,1)</f>
        <v>113408</v>
      </c>
    </row>
    <row r="2050" spans="7:14" ht="11.25" customHeight="1" x14ac:dyDescent="0.3">
      <c r="G2050" s="470"/>
      <c r="H2050" s="470">
        <v>2043</v>
      </c>
      <c r="I2050" s="455">
        <f t="shared" ca="1" si="125"/>
        <v>-2088439913.0961263</v>
      </c>
      <c r="J2050" s="455">
        <f t="array" ref="J2050">IFERROR(INDEX('Retirement Calculator'!K:K,MATCH('Lorri 401b'!N2050,'Retirement Calculator'!A:A,0),0),0)</f>
        <v>0</v>
      </c>
      <c r="K2050" s="455">
        <f t="shared" ca="1" si="123"/>
        <v>-8701832.9712338597</v>
      </c>
      <c r="L2050" s="455">
        <f t="shared" ca="1" si="124"/>
        <v>-2097141746.0673602</v>
      </c>
      <c r="M2050" s="471">
        <f t="shared" si="126"/>
        <v>0.05</v>
      </c>
      <c r="N2050" s="475">
        <f t="shared" si="127"/>
        <v>113439</v>
      </c>
    </row>
    <row r="2051" spans="7:14" ht="11.25" customHeight="1" x14ac:dyDescent="0.3">
      <c r="G2051" s="470"/>
      <c r="H2051" s="470">
        <v>2044</v>
      </c>
      <c r="I2051" s="455">
        <f t="shared" ca="1" si="125"/>
        <v>-2097141746.0673602</v>
      </c>
      <c r="J2051" s="455">
        <f t="array" ref="J2051">IFERROR(INDEX('Retirement Calculator'!K:K,MATCH('Lorri 401b'!N2051,'Retirement Calculator'!A:A,0),0),0)</f>
        <v>0</v>
      </c>
      <c r="K2051" s="455">
        <f t="shared" ca="1" si="123"/>
        <v>-8738090.6086140014</v>
      </c>
      <c r="L2051" s="455">
        <f t="shared" ca="1" si="124"/>
        <v>-2105879836.6759741</v>
      </c>
      <c r="M2051" s="471">
        <f t="shared" si="126"/>
        <v>0.05</v>
      </c>
      <c r="N2051" s="475">
        <f t="shared" si="127"/>
        <v>113470</v>
      </c>
    </row>
    <row r="2052" spans="7:14" ht="11.25" customHeight="1" x14ac:dyDescent="0.3">
      <c r="G2052" s="470"/>
      <c r="H2052" s="470">
        <v>2045</v>
      </c>
      <c r="I2052" s="455">
        <f t="shared" ca="1" si="125"/>
        <v>-2105879836.6759741</v>
      </c>
      <c r="J2052" s="455">
        <f t="array" ref="J2052">IFERROR(INDEX('Retirement Calculator'!K:K,MATCH('Lorri 401b'!N2052,'Retirement Calculator'!A:A,0),0),0)</f>
        <v>0</v>
      </c>
      <c r="K2052" s="455">
        <f t="shared" ca="1" si="123"/>
        <v>-8774499.3194832262</v>
      </c>
      <c r="L2052" s="455">
        <f t="shared" ca="1" si="124"/>
        <v>-2114654335.9954574</v>
      </c>
      <c r="M2052" s="471">
        <f t="shared" si="126"/>
        <v>0.05</v>
      </c>
      <c r="N2052" s="475">
        <f t="shared" si="127"/>
        <v>113500</v>
      </c>
    </row>
    <row r="2053" spans="7:14" ht="11.25" customHeight="1" x14ac:dyDescent="0.3">
      <c r="G2053" s="470"/>
      <c r="H2053" s="470">
        <v>2046</v>
      </c>
      <c r="I2053" s="455">
        <f t="shared" ca="1" si="125"/>
        <v>-2114654335.9954574</v>
      </c>
      <c r="J2053" s="455">
        <f t="array" ref="J2053">IFERROR(INDEX('Retirement Calculator'!K:K,MATCH('Lorri 401b'!N2053,'Retirement Calculator'!A:A,0),0),0)</f>
        <v>0</v>
      </c>
      <c r="K2053" s="455">
        <f t="shared" ca="1" si="123"/>
        <v>-8811059.7333144061</v>
      </c>
      <c r="L2053" s="455">
        <f t="shared" ca="1" si="124"/>
        <v>-2123465395.7287719</v>
      </c>
      <c r="M2053" s="471">
        <f t="shared" si="126"/>
        <v>0.05</v>
      </c>
      <c r="N2053" s="475">
        <f t="shared" si="127"/>
        <v>113531</v>
      </c>
    </row>
    <row r="2054" spans="7:14" ht="11.25" customHeight="1" x14ac:dyDescent="0.3">
      <c r="G2054" s="470"/>
      <c r="H2054" s="470">
        <v>2047</v>
      </c>
      <c r="I2054" s="455">
        <f t="shared" ca="1" si="125"/>
        <v>-2123465395.7287719</v>
      </c>
      <c r="J2054" s="455">
        <f t="array" ref="J2054">IFERROR(INDEX('Retirement Calculator'!K:K,MATCH('Lorri 401b'!N2054,'Retirement Calculator'!A:A,0),0),0)</f>
        <v>0</v>
      </c>
      <c r="K2054" s="455">
        <f t="shared" ca="1" si="123"/>
        <v>-8847772.4822032154</v>
      </c>
      <c r="L2054" s="455">
        <f t="shared" ca="1" si="124"/>
        <v>-2132313168.2109752</v>
      </c>
      <c r="M2054" s="471">
        <f t="shared" si="126"/>
        <v>0.05</v>
      </c>
      <c r="N2054" s="475">
        <f t="shared" si="127"/>
        <v>113561</v>
      </c>
    </row>
    <row r="2055" spans="7:14" ht="11.25" customHeight="1" x14ac:dyDescent="0.3">
      <c r="G2055" s="470"/>
      <c r="H2055" s="470">
        <v>2048</v>
      </c>
      <c r="I2055" s="455">
        <f t="shared" ca="1" si="125"/>
        <v>-2132313168.2109752</v>
      </c>
      <c r="J2055" s="455">
        <f t="array" ref="J2055">IFERROR(INDEX('Retirement Calculator'!K:K,MATCH('Lorri 401b'!N2055,'Retirement Calculator'!A:A,0),0),0)</f>
        <v>0</v>
      </c>
      <c r="K2055" s="455">
        <f t="shared" ca="1" si="123"/>
        <v>-8884638.2008790635</v>
      </c>
      <c r="L2055" s="455">
        <f t="shared" ca="1" si="124"/>
        <v>-2141197806.4118543</v>
      </c>
      <c r="M2055" s="471">
        <f t="shared" si="126"/>
        <v>0.05</v>
      </c>
      <c r="N2055" s="475">
        <f t="shared" si="127"/>
        <v>113592</v>
      </c>
    </row>
    <row r="2056" spans="7:14" ht="11.25" customHeight="1" x14ac:dyDescent="0.3">
      <c r="G2056" s="470"/>
      <c r="H2056" s="470">
        <v>2049</v>
      </c>
      <c r="I2056" s="455">
        <f t="shared" ca="1" si="125"/>
        <v>-2141197806.4118543</v>
      </c>
      <c r="J2056" s="455">
        <f t="array" ref="J2056">IFERROR(INDEX('Retirement Calculator'!K:K,MATCH('Lorri 401b'!N2056,'Retirement Calculator'!A:A,0),0),0)</f>
        <v>0</v>
      </c>
      <c r="K2056" s="455">
        <f t="shared" ca="1" si="123"/>
        <v>-8921657.5267160591</v>
      </c>
      <c r="L2056" s="455">
        <f t="shared" ca="1" si="124"/>
        <v>-2150119463.9385705</v>
      </c>
      <c r="M2056" s="471">
        <f t="shared" si="126"/>
        <v>0.05</v>
      </c>
      <c r="N2056" s="475">
        <f t="shared" si="127"/>
        <v>113623</v>
      </c>
    </row>
    <row r="2057" spans="7:14" ht="11.25" customHeight="1" x14ac:dyDescent="0.3">
      <c r="G2057" s="470"/>
      <c r="H2057" s="470">
        <v>2050</v>
      </c>
      <c r="I2057" s="455">
        <f t="shared" ca="1" si="125"/>
        <v>-2150119463.9385705</v>
      </c>
      <c r="J2057" s="455">
        <f t="array" ref="J2057">IFERROR(INDEX('Retirement Calculator'!K:K,MATCH('Lorri 401b'!N2057,'Retirement Calculator'!A:A,0),0),0)</f>
        <v>0</v>
      </c>
      <c r="K2057" s="455">
        <f t="shared" ca="1" si="123"/>
        <v>-8958831.0997440442</v>
      </c>
      <c r="L2057" s="455">
        <f t="shared" ca="1" si="124"/>
        <v>-2159078295.0383143</v>
      </c>
      <c r="M2057" s="471">
        <f t="shared" si="126"/>
        <v>0.05</v>
      </c>
      <c r="N2057" s="475">
        <f t="shared" si="127"/>
        <v>113651</v>
      </c>
    </row>
    <row r="2058" spans="7:14" ht="11.25" customHeight="1" x14ac:dyDescent="0.3">
      <c r="G2058" s="470"/>
      <c r="H2058" s="470">
        <v>2051</v>
      </c>
      <c r="I2058" s="455">
        <f t="shared" ca="1" si="125"/>
        <v>-2159078295.0383143</v>
      </c>
      <c r="J2058" s="455">
        <f t="array" ref="J2058">IFERROR(INDEX('Retirement Calculator'!K:K,MATCH('Lorri 401b'!N2058,'Retirement Calculator'!A:A,0),0),0)</f>
        <v>0</v>
      </c>
      <c r="K2058" s="455">
        <f t="shared" ca="1" si="123"/>
        <v>-8996159.5626596436</v>
      </c>
      <c r="L2058" s="455">
        <f t="shared" ca="1" si="124"/>
        <v>-2168074454.6009741</v>
      </c>
      <c r="M2058" s="471">
        <f t="shared" si="126"/>
        <v>0.05</v>
      </c>
      <c r="N2058" s="475">
        <f t="shared" si="127"/>
        <v>113682</v>
      </c>
    </row>
    <row r="2059" spans="7:14" ht="11.25" customHeight="1" x14ac:dyDescent="0.3">
      <c r="G2059" s="470"/>
      <c r="H2059" s="470">
        <v>2052</v>
      </c>
      <c r="I2059" s="455">
        <f t="shared" ca="1" si="125"/>
        <v>-2168074454.6009741</v>
      </c>
      <c r="J2059" s="455">
        <f t="array" ref="J2059">IFERROR(INDEX('Retirement Calculator'!K:K,MATCH('Lorri 401b'!N2059,'Retirement Calculator'!A:A,0),0),0)</f>
        <v>0</v>
      </c>
      <c r="K2059" s="455">
        <f t="shared" ca="1" si="123"/>
        <v>-9033643.5608373918</v>
      </c>
      <c r="L2059" s="455">
        <f t="shared" ca="1" si="124"/>
        <v>-2177108098.1618114</v>
      </c>
      <c r="M2059" s="471">
        <f t="shared" si="126"/>
        <v>0.05</v>
      </c>
      <c r="N2059" s="475">
        <f t="shared" si="127"/>
        <v>113712</v>
      </c>
    </row>
    <row r="2060" spans="7:14" ht="11.25" customHeight="1" x14ac:dyDescent="0.3">
      <c r="G2060" s="470"/>
      <c r="H2060" s="470">
        <v>2053</v>
      </c>
      <c r="I2060" s="455">
        <f t="shared" ca="1" si="125"/>
        <v>-2177108098.1618114</v>
      </c>
      <c r="J2060" s="455">
        <f t="array" ref="J2060">IFERROR(INDEX('Retirement Calculator'!K:K,MATCH('Lorri 401b'!N2060,'Retirement Calculator'!A:A,0),0),0)</f>
        <v>0</v>
      </c>
      <c r="K2060" s="455">
        <f t="shared" ca="1" si="123"/>
        <v>-9071283.7423408814</v>
      </c>
      <c r="L2060" s="455">
        <f t="shared" ca="1" si="124"/>
        <v>-2186179381.9041524</v>
      </c>
      <c r="M2060" s="471">
        <f t="shared" si="126"/>
        <v>0.05</v>
      </c>
      <c r="N2060" s="475">
        <f t="shared" si="127"/>
        <v>113743</v>
      </c>
    </row>
    <row r="2061" spans="7:14" ht="11.25" customHeight="1" x14ac:dyDescent="0.3">
      <c r="G2061" s="470"/>
      <c r="H2061" s="470">
        <v>2054</v>
      </c>
      <c r="I2061" s="455">
        <f t="shared" ca="1" si="125"/>
        <v>-2186179381.9041524</v>
      </c>
      <c r="J2061" s="455">
        <f t="array" ref="J2061">IFERROR(INDEX('Retirement Calculator'!K:K,MATCH('Lorri 401b'!N2061,'Retirement Calculator'!A:A,0),0),0)</f>
        <v>0</v>
      </c>
      <c r="K2061" s="455">
        <f t="shared" ca="1" si="123"/>
        <v>-9109080.7579339687</v>
      </c>
      <c r="L2061" s="455">
        <f t="shared" ca="1" si="124"/>
        <v>-2195288462.6620865</v>
      </c>
      <c r="M2061" s="471">
        <f t="shared" si="126"/>
        <v>0.05</v>
      </c>
      <c r="N2061" s="475">
        <f t="shared" si="127"/>
        <v>113773</v>
      </c>
    </row>
    <row r="2062" spans="7:14" ht="11.25" customHeight="1" x14ac:dyDescent="0.3">
      <c r="G2062" s="470"/>
      <c r="H2062" s="470">
        <v>2055</v>
      </c>
      <c r="I2062" s="455">
        <f t="shared" ca="1" si="125"/>
        <v>-2195288462.6620865</v>
      </c>
      <c r="J2062" s="455">
        <f t="array" ref="J2062">IFERROR(INDEX('Retirement Calculator'!K:K,MATCH('Lorri 401b'!N2062,'Retirement Calculator'!A:A,0),0),0)</f>
        <v>0</v>
      </c>
      <c r="K2062" s="455">
        <f t="shared" ca="1" si="123"/>
        <v>-9147035.2610920276</v>
      </c>
      <c r="L2062" s="455">
        <f t="shared" ca="1" si="124"/>
        <v>-2204435497.9231787</v>
      </c>
      <c r="M2062" s="471">
        <f t="shared" si="126"/>
        <v>0.05</v>
      </c>
      <c r="N2062" s="475">
        <f t="shared" si="127"/>
        <v>113804</v>
      </c>
    </row>
    <row r="2063" spans="7:14" ht="11.25" customHeight="1" x14ac:dyDescent="0.3">
      <c r="G2063" s="470"/>
      <c r="H2063" s="470">
        <v>2056</v>
      </c>
      <c r="I2063" s="455">
        <f t="shared" ca="1" si="125"/>
        <v>-2204435497.9231787</v>
      </c>
      <c r="J2063" s="455">
        <f t="array" ref="J2063">IFERROR(INDEX('Retirement Calculator'!K:K,MATCH('Lorri 401b'!N2063,'Retirement Calculator'!A:A,0),0),0)</f>
        <v>0</v>
      </c>
      <c r="K2063" s="455">
        <f t="shared" ca="1" si="123"/>
        <v>-9185147.9080132451</v>
      </c>
      <c r="L2063" s="455">
        <f t="shared" ca="1" si="124"/>
        <v>-2213620645.831192</v>
      </c>
      <c r="M2063" s="471">
        <f t="shared" si="126"/>
        <v>0.05</v>
      </c>
      <c r="N2063" s="475">
        <f t="shared" si="127"/>
        <v>113835</v>
      </c>
    </row>
    <row r="2064" spans="7:14" ht="11.25" customHeight="1" x14ac:dyDescent="0.3">
      <c r="G2064" s="470"/>
      <c r="H2064" s="470">
        <v>2057</v>
      </c>
      <c r="I2064" s="455">
        <f t="shared" ca="1" si="125"/>
        <v>-2213620645.831192</v>
      </c>
      <c r="J2064" s="455">
        <f t="array" ref="J2064">IFERROR(INDEX('Retirement Calculator'!K:K,MATCH('Lorri 401b'!N2064,'Retirement Calculator'!A:A,0),0),0)</f>
        <v>0</v>
      </c>
      <c r="K2064" s="455">
        <f t="shared" ca="1" si="123"/>
        <v>-9223419.357629966</v>
      </c>
      <c r="L2064" s="455">
        <f t="shared" ca="1" si="124"/>
        <v>-2222844065.1888218</v>
      </c>
      <c r="M2064" s="471">
        <f t="shared" si="126"/>
        <v>0.05</v>
      </c>
      <c r="N2064" s="475">
        <f t="shared" si="127"/>
        <v>113865</v>
      </c>
    </row>
    <row r="2065" spans="7:14" ht="11.25" customHeight="1" x14ac:dyDescent="0.3">
      <c r="G2065" s="470"/>
      <c r="H2065" s="470">
        <v>2058</v>
      </c>
      <c r="I2065" s="455">
        <f t="shared" ca="1" si="125"/>
        <v>-2222844065.1888218</v>
      </c>
      <c r="J2065" s="455">
        <f t="array" ref="J2065">IFERROR(INDEX('Retirement Calculator'!K:K,MATCH('Lorri 401b'!N2065,'Retirement Calculator'!A:A,0),0),0)</f>
        <v>0</v>
      </c>
      <c r="K2065" s="455">
        <f t="shared" ca="1" si="123"/>
        <v>-9261850.2716200911</v>
      </c>
      <c r="L2065" s="455">
        <f t="shared" ca="1" si="124"/>
        <v>-2232105915.4604421</v>
      </c>
      <c r="M2065" s="471">
        <f t="shared" si="126"/>
        <v>0.05</v>
      </c>
      <c r="N2065" s="475">
        <f t="shared" si="127"/>
        <v>113896</v>
      </c>
    </row>
    <row r="2066" spans="7:14" ht="11.25" customHeight="1" x14ac:dyDescent="0.3">
      <c r="G2066" s="470"/>
      <c r="H2066" s="470">
        <v>2059</v>
      </c>
      <c r="I2066" s="455">
        <f t="shared" ca="1" si="125"/>
        <v>-2232105915.4604421</v>
      </c>
      <c r="J2066" s="455">
        <f t="array" ref="J2066">IFERROR(INDEX('Retirement Calculator'!K:K,MATCH('Lorri 401b'!N2066,'Retirement Calculator'!A:A,0),0),0)</f>
        <v>0</v>
      </c>
      <c r="K2066" s="455">
        <f t="shared" ca="1" si="123"/>
        <v>-9300441.3144185077</v>
      </c>
      <c r="L2066" s="455">
        <f t="shared" ca="1" si="124"/>
        <v>-2241406356.7748604</v>
      </c>
      <c r="M2066" s="471">
        <f t="shared" si="126"/>
        <v>0.05</v>
      </c>
      <c r="N2066" s="475">
        <f t="shared" si="127"/>
        <v>113926</v>
      </c>
    </row>
    <row r="2067" spans="7:14" ht="11.25" customHeight="1" x14ac:dyDescent="0.3">
      <c r="G2067" s="470"/>
      <c r="H2067" s="470">
        <v>2060</v>
      </c>
      <c r="I2067" s="455">
        <f t="shared" ca="1" si="125"/>
        <v>-2241406356.7748604</v>
      </c>
      <c r="J2067" s="455">
        <f t="array" ref="J2067">IFERROR(INDEX('Retirement Calculator'!K:K,MATCH('Lorri 401b'!N2067,'Retirement Calculator'!A:A,0),0),0)</f>
        <v>0</v>
      </c>
      <c r="K2067" s="455">
        <f t="shared" ca="1" si="123"/>
        <v>-9339193.1532285847</v>
      </c>
      <c r="L2067" s="455">
        <f t="shared" ca="1" si="124"/>
        <v>-2250745549.9280891</v>
      </c>
      <c r="M2067" s="471">
        <f t="shared" si="126"/>
        <v>0.05</v>
      </c>
      <c r="N2067" s="475">
        <f t="shared" si="127"/>
        <v>113957</v>
      </c>
    </row>
    <row r="2068" spans="7:14" ht="11.25" customHeight="1" x14ac:dyDescent="0.3">
      <c r="G2068" s="470"/>
      <c r="H2068" s="470">
        <v>2061</v>
      </c>
      <c r="I2068" s="455">
        <f t="shared" ca="1" si="125"/>
        <v>-2250745549.9280891</v>
      </c>
      <c r="J2068" s="455">
        <f t="array" ref="J2068">IFERROR(INDEX('Retirement Calculator'!K:K,MATCH('Lorri 401b'!N2068,'Retirement Calculator'!A:A,0),0),0)</f>
        <v>0</v>
      </c>
      <c r="K2068" s="455">
        <f t="shared" ca="1" si="123"/>
        <v>-9378106.4580337051</v>
      </c>
      <c r="L2068" s="455">
        <f t="shared" ca="1" si="124"/>
        <v>-2260123656.3861227</v>
      </c>
      <c r="M2068" s="471">
        <f t="shared" si="126"/>
        <v>0.05</v>
      </c>
      <c r="N2068" s="475">
        <f t="shared" si="127"/>
        <v>113988</v>
      </c>
    </row>
    <row r="2069" spans="7:14" ht="11.25" customHeight="1" x14ac:dyDescent="0.3">
      <c r="G2069" s="470"/>
      <c r="H2069" s="470">
        <v>2062</v>
      </c>
      <c r="I2069" s="455">
        <f t="shared" ca="1" si="125"/>
        <v>-2260123656.3861227</v>
      </c>
      <c r="J2069" s="455">
        <f t="array" ref="J2069">IFERROR(INDEX('Retirement Calculator'!K:K,MATCH('Lorri 401b'!N2069,'Retirement Calculator'!A:A,0),0),0)</f>
        <v>0</v>
      </c>
      <c r="K2069" s="455">
        <f t="shared" ca="1" si="123"/>
        <v>-9417181.9016088452</v>
      </c>
      <c r="L2069" s="455">
        <f t="shared" ca="1" si="124"/>
        <v>-2269540838.2877316</v>
      </c>
      <c r="M2069" s="471">
        <f t="shared" si="126"/>
        <v>0.05</v>
      </c>
      <c r="N2069" s="475">
        <f t="shared" si="127"/>
        <v>114017</v>
      </c>
    </row>
    <row r="2070" spans="7:14" ht="11.25" customHeight="1" x14ac:dyDescent="0.3">
      <c r="G2070" s="470"/>
      <c r="H2070" s="470">
        <v>2063</v>
      </c>
      <c r="I2070" s="455">
        <f t="shared" ca="1" si="125"/>
        <v>-2269540838.2877316</v>
      </c>
      <c r="J2070" s="455">
        <f t="array" ref="J2070">IFERROR(INDEX('Retirement Calculator'!K:K,MATCH('Lorri 401b'!N2070,'Retirement Calculator'!A:A,0),0),0)</f>
        <v>0</v>
      </c>
      <c r="K2070" s="455">
        <f t="shared" ca="1" si="123"/>
        <v>-9456420.1595322154</v>
      </c>
      <c r="L2070" s="455">
        <f t="shared" ca="1" si="124"/>
        <v>-2278997258.4472637</v>
      </c>
      <c r="M2070" s="471">
        <f t="shared" si="126"/>
        <v>0.05</v>
      </c>
      <c r="N2070" s="475">
        <f t="shared" si="127"/>
        <v>114048</v>
      </c>
    </row>
    <row r="2071" spans="7:14" ht="11.25" customHeight="1" x14ac:dyDescent="0.3">
      <c r="G2071" s="470"/>
      <c r="H2071" s="470">
        <v>2064</v>
      </c>
      <c r="I2071" s="455">
        <f t="shared" ca="1" si="125"/>
        <v>-2278997258.4472637</v>
      </c>
      <c r="J2071" s="455">
        <f t="array" ref="J2071">IFERROR(INDEX('Retirement Calculator'!K:K,MATCH('Lorri 401b'!N2071,'Retirement Calculator'!A:A,0),0),0)</f>
        <v>0</v>
      </c>
      <c r="K2071" s="455">
        <f t="shared" ca="1" si="123"/>
        <v>-9495821.910196932</v>
      </c>
      <c r="L2071" s="455">
        <f t="shared" ca="1" si="124"/>
        <v>-2288493080.3574605</v>
      </c>
      <c r="M2071" s="471">
        <f t="shared" si="126"/>
        <v>0.05</v>
      </c>
      <c r="N2071" s="475">
        <f t="shared" si="127"/>
        <v>114078</v>
      </c>
    </row>
    <row r="2072" spans="7:14" ht="11.25" customHeight="1" x14ac:dyDescent="0.3">
      <c r="G2072" s="470"/>
      <c r="H2072" s="470">
        <v>2065</v>
      </c>
      <c r="I2072" s="455">
        <f t="shared" ca="1" si="125"/>
        <v>-2288493080.3574605</v>
      </c>
      <c r="J2072" s="455">
        <f t="array" ref="J2072">IFERROR(INDEX('Retirement Calculator'!K:K,MATCH('Lorri 401b'!N2072,'Retirement Calculator'!A:A,0),0),0)</f>
        <v>0</v>
      </c>
      <c r="K2072" s="455">
        <f t="shared" ca="1" si="123"/>
        <v>-9535387.8348227516</v>
      </c>
      <c r="L2072" s="455">
        <f t="shared" ca="1" si="124"/>
        <v>-2298028468.1922832</v>
      </c>
      <c r="M2072" s="471">
        <f t="shared" si="126"/>
        <v>0.05</v>
      </c>
      <c r="N2072" s="475">
        <f t="shared" si="127"/>
        <v>114109</v>
      </c>
    </row>
    <row r="2073" spans="7:14" ht="11.25" customHeight="1" x14ac:dyDescent="0.3">
      <c r="G2073" s="470"/>
      <c r="H2073" s="470">
        <v>2066</v>
      </c>
      <c r="I2073" s="455">
        <f t="shared" ca="1" si="125"/>
        <v>-2298028468.1922832</v>
      </c>
      <c r="J2073" s="455">
        <f t="array" ref="J2073">IFERROR(INDEX('Retirement Calculator'!K:K,MATCH('Lorri 401b'!N2073,'Retirement Calculator'!A:A,0),0),0)</f>
        <v>0</v>
      </c>
      <c r="K2073" s="455">
        <f t="shared" ca="1" si="123"/>
        <v>-9575118.6174678467</v>
      </c>
      <c r="L2073" s="455">
        <f t="shared" ca="1" si="124"/>
        <v>-2307603586.809751</v>
      </c>
      <c r="M2073" s="471">
        <f t="shared" si="126"/>
        <v>0.05</v>
      </c>
      <c r="N2073" s="475">
        <f t="shared" si="127"/>
        <v>114139</v>
      </c>
    </row>
    <row r="2074" spans="7:14" ht="11.25" customHeight="1" x14ac:dyDescent="0.3">
      <c r="G2074" s="470"/>
      <c r="H2074" s="470">
        <v>2067</v>
      </c>
      <c r="I2074" s="455">
        <f t="shared" ca="1" si="125"/>
        <v>-2307603586.809751</v>
      </c>
      <c r="J2074" s="455">
        <f t="array" ref="J2074">IFERROR(INDEX('Retirement Calculator'!K:K,MATCH('Lorri 401b'!N2074,'Retirement Calculator'!A:A,0),0),0)</f>
        <v>0</v>
      </c>
      <c r="K2074" s="455">
        <f t="shared" ca="1" si="123"/>
        <v>-9615014.9450406283</v>
      </c>
      <c r="L2074" s="455">
        <f t="shared" ca="1" si="124"/>
        <v>-2317218601.7547917</v>
      </c>
      <c r="M2074" s="471">
        <f t="shared" si="126"/>
        <v>0.05</v>
      </c>
      <c r="N2074" s="475">
        <f t="shared" si="127"/>
        <v>114170</v>
      </c>
    </row>
    <row r="2075" spans="7:14" ht="11.25" customHeight="1" x14ac:dyDescent="0.3">
      <c r="G2075" s="470"/>
      <c r="H2075" s="470">
        <v>2068</v>
      </c>
      <c r="I2075" s="455">
        <f t="shared" ca="1" si="125"/>
        <v>-2317218601.7547917</v>
      </c>
      <c r="J2075" s="455">
        <f t="array" ref="J2075">IFERROR(INDEX('Retirement Calculator'!K:K,MATCH('Lorri 401b'!N2075,'Retirement Calculator'!A:A,0),0),0)</f>
        <v>0</v>
      </c>
      <c r="K2075" s="455">
        <f t="shared" ca="1" si="123"/>
        <v>-9655077.5073116329</v>
      </c>
      <c r="L2075" s="455">
        <f t="shared" ca="1" si="124"/>
        <v>-2326873679.2621036</v>
      </c>
      <c r="M2075" s="471">
        <f t="shared" si="126"/>
        <v>0.05</v>
      </c>
      <c r="N2075" s="475">
        <f t="shared" si="127"/>
        <v>114201</v>
      </c>
    </row>
    <row r="2076" spans="7:14" ht="11.25" customHeight="1" x14ac:dyDescent="0.3">
      <c r="G2076" s="470"/>
      <c r="H2076" s="470">
        <v>2069</v>
      </c>
      <c r="I2076" s="455">
        <f t="shared" ca="1" si="125"/>
        <v>-2326873679.2621036</v>
      </c>
      <c r="J2076" s="455">
        <f t="array" ref="J2076">IFERROR(INDEX('Retirement Calculator'!K:K,MATCH('Lorri 401b'!N2076,'Retirement Calculator'!A:A,0),0),0)</f>
        <v>0</v>
      </c>
      <c r="K2076" s="455">
        <f t="shared" ca="1" si="123"/>
        <v>-9695306.9969254322</v>
      </c>
      <c r="L2076" s="455">
        <f t="shared" ca="1" si="124"/>
        <v>-2336568986.2590289</v>
      </c>
      <c r="M2076" s="471">
        <f t="shared" si="126"/>
        <v>0.05</v>
      </c>
      <c r="N2076" s="475">
        <f t="shared" si="127"/>
        <v>114231</v>
      </c>
    </row>
    <row r="2077" spans="7:14" ht="11.25" customHeight="1" x14ac:dyDescent="0.3">
      <c r="G2077" s="470"/>
      <c r="H2077" s="470">
        <v>2070</v>
      </c>
      <c r="I2077" s="455">
        <f t="shared" ca="1" si="125"/>
        <v>-2336568986.2590289</v>
      </c>
      <c r="J2077" s="455">
        <f t="array" ref="J2077">IFERROR(INDEX('Retirement Calculator'!K:K,MATCH('Lorri 401b'!N2077,'Retirement Calculator'!A:A,0),0),0)</f>
        <v>0</v>
      </c>
      <c r="K2077" s="455">
        <f t="shared" ca="1" si="123"/>
        <v>-9735704.1094126198</v>
      </c>
      <c r="L2077" s="455">
        <f t="shared" ca="1" si="124"/>
        <v>-2346304690.3684416</v>
      </c>
      <c r="M2077" s="471">
        <f t="shared" si="126"/>
        <v>0.05</v>
      </c>
      <c r="N2077" s="475">
        <f t="shared" si="127"/>
        <v>114262</v>
      </c>
    </row>
    <row r="2078" spans="7:14" ht="11.25" customHeight="1" x14ac:dyDescent="0.3">
      <c r="G2078" s="470"/>
      <c r="H2078" s="470">
        <v>2071</v>
      </c>
      <c r="I2078" s="455">
        <f t="shared" ca="1" si="125"/>
        <v>-2346304690.3684416</v>
      </c>
      <c r="J2078" s="455">
        <f t="array" ref="J2078">IFERROR(INDEX('Retirement Calculator'!K:K,MATCH('Lorri 401b'!N2078,'Retirement Calculator'!A:A,0),0),0)</f>
        <v>0</v>
      </c>
      <c r="K2078" s="455">
        <f t="shared" ca="1" si="123"/>
        <v>-9776269.5432018396</v>
      </c>
      <c r="L2078" s="455">
        <f t="shared" ca="1" si="124"/>
        <v>-2356080959.9116435</v>
      </c>
      <c r="M2078" s="471">
        <f t="shared" si="126"/>
        <v>0.05</v>
      </c>
      <c r="N2078" s="475">
        <f t="shared" si="127"/>
        <v>114292</v>
      </c>
    </row>
    <row r="2079" spans="7:14" ht="11.25" customHeight="1" x14ac:dyDescent="0.3">
      <c r="G2079" s="470"/>
      <c r="H2079" s="470">
        <v>2072</v>
      </c>
      <c r="I2079" s="455">
        <f t="shared" ca="1" si="125"/>
        <v>-2356080959.9116435</v>
      </c>
      <c r="J2079" s="455">
        <f t="array" ref="J2079">IFERROR(INDEX('Retirement Calculator'!K:K,MATCH('Lorri 401b'!N2079,'Retirement Calculator'!A:A,0),0),0)</f>
        <v>0</v>
      </c>
      <c r="K2079" s="455">
        <f t="shared" ca="1" si="123"/>
        <v>-9817003.9996318482</v>
      </c>
      <c r="L2079" s="455">
        <f t="shared" ca="1" si="124"/>
        <v>-2365897963.9112754</v>
      </c>
      <c r="M2079" s="471">
        <f t="shared" si="126"/>
        <v>0.05</v>
      </c>
      <c r="N2079" s="475">
        <f t="shared" si="127"/>
        <v>114323</v>
      </c>
    </row>
    <row r="2080" spans="7:14" ht="11.25" customHeight="1" x14ac:dyDescent="0.3">
      <c r="G2080" s="470"/>
      <c r="H2080" s="470">
        <v>2073</v>
      </c>
      <c r="I2080" s="455">
        <f t="shared" ca="1" si="125"/>
        <v>-2365897963.9112754</v>
      </c>
      <c r="J2080" s="455">
        <f t="array" ref="J2080">IFERROR(INDEX('Retirement Calculator'!K:K,MATCH('Lorri 401b'!N2080,'Retirement Calculator'!A:A,0),0),0)</f>
        <v>0</v>
      </c>
      <c r="K2080" s="455">
        <f t="shared" ca="1" si="123"/>
        <v>-9857908.1829636469</v>
      </c>
      <c r="L2080" s="455">
        <f t="shared" ca="1" si="124"/>
        <v>-2375755872.0942392</v>
      </c>
      <c r="M2080" s="471">
        <f t="shared" si="126"/>
        <v>0.05</v>
      </c>
      <c r="N2080" s="475">
        <f t="shared" si="127"/>
        <v>114354</v>
      </c>
    </row>
    <row r="2081" spans="7:14" ht="11.25" customHeight="1" x14ac:dyDescent="0.3">
      <c r="G2081" s="470"/>
      <c r="H2081" s="470">
        <v>2074</v>
      </c>
      <c r="I2081" s="455">
        <f t="shared" ca="1" si="125"/>
        <v>-2375755872.0942392</v>
      </c>
      <c r="J2081" s="455">
        <f t="array" ref="J2081">IFERROR(INDEX('Retirement Calculator'!K:K,MATCH('Lorri 401b'!N2081,'Retirement Calculator'!A:A,0),0),0)</f>
        <v>0</v>
      </c>
      <c r="K2081" s="455">
        <f t="shared" ca="1" si="123"/>
        <v>-9898982.8003926631</v>
      </c>
      <c r="L2081" s="455">
        <f t="shared" ca="1" si="124"/>
        <v>-2385654854.8946319</v>
      </c>
      <c r="M2081" s="471">
        <f t="shared" si="126"/>
        <v>0.05</v>
      </c>
      <c r="N2081" s="475">
        <f t="shared" si="127"/>
        <v>114382</v>
      </c>
    </row>
    <row r="2082" spans="7:14" ht="11.25" customHeight="1" x14ac:dyDescent="0.3">
      <c r="G2082" s="470"/>
      <c r="H2082" s="470">
        <v>2075</v>
      </c>
      <c r="I2082" s="455">
        <f t="shared" ca="1" si="125"/>
        <v>-2385654854.8946319</v>
      </c>
      <c r="J2082" s="455">
        <f t="array" ref="J2082">IFERROR(INDEX('Retirement Calculator'!K:K,MATCH('Lorri 401b'!N2082,'Retirement Calculator'!A:A,0),0),0)</f>
        <v>0</v>
      </c>
      <c r="K2082" s="455">
        <f t="shared" ca="1" si="123"/>
        <v>-9940228.5620609652</v>
      </c>
      <c r="L2082" s="455">
        <f t="shared" ca="1" si="124"/>
        <v>-2395595083.4566927</v>
      </c>
      <c r="M2082" s="471">
        <f t="shared" si="126"/>
        <v>0.05</v>
      </c>
      <c r="N2082" s="475">
        <f t="shared" si="127"/>
        <v>114413</v>
      </c>
    </row>
    <row r="2083" spans="7:14" ht="11.25" customHeight="1" x14ac:dyDescent="0.3">
      <c r="G2083" s="470"/>
      <c r="H2083" s="470">
        <v>2076</v>
      </c>
      <c r="I2083" s="455">
        <f t="shared" ca="1" si="125"/>
        <v>-2395595083.4566927</v>
      </c>
      <c r="J2083" s="455">
        <f t="array" ref="J2083">IFERROR(INDEX('Retirement Calculator'!K:K,MATCH('Lorri 401b'!N2083,'Retirement Calculator'!A:A,0),0),0)</f>
        <v>0</v>
      </c>
      <c r="K2083" s="455">
        <f t="shared" ca="1" si="123"/>
        <v>-9981646.1810695529</v>
      </c>
      <c r="L2083" s="455">
        <f t="shared" ca="1" si="124"/>
        <v>-2405576729.6377621</v>
      </c>
      <c r="M2083" s="471">
        <f t="shared" si="126"/>
        <v>0.05</v>
      </c>
      <c r="N2083" s="475">
        <f t="shared" si="127"/>
        <v>114443</v>
      </c>
    </row>
    <row r="2084" spans="7:14" ht="11.25" customHeight="1" x14ac:dyDescent="0.3">
      <c r="G2084" s="470"/>
      <c r="H2084" s="470">
        <v>2077</v>
      </c>
      <c r="I2084" s="455">
        <f t="shared" ca="1" si="125"/>
        <v>-2405576729.6377621</v>
      </c>
      <c r="J2084" s="455">
        <f t="array" ref="J2084">IFERROR(INDEX('Retirement Calculator'!K:K,MATCH('Lorri 401b'!N2084,'Retirement Calculator'!A:A,0),0),0)</f>
        <v>0</v>
      </c>
      <c r="K2084" s="455">
        <f t="shared" ca="1" si="123"/>
        <v>-10023236.373490674</v>
      </c>
      <c r="L2084" s="455">
        <f t="shared" ca="1" si="124"/>
        <v>-2415599966.0112529</v>
      </c>
      <c r="M2084" s="471">
        <f t="shared" si="126"/>
        <v>0.05</v>
      </c>
      <c r="N2084" s="475">
        <f t="shared" si="127"/>
        <v>114474</v>
      </c>
    </row>
    <row r="2085" spans="7:14" ht="11.25" customHeight="1" x14ac:dyDescent="0.3">
      <c r="G2085" s="470"/>
      <c r="H2085" s="470">
        <v>2078</v>
      </c>
      <c r="I2085" s="455">
        <f t="shared" ca="1" si="125"/>
        <v>-2415599966.0112529</v>
      </c>
      <c r="J2085" s="455">
        <f t="array" ref="J2085">IFERROR(INDEX('Retirement Calculator'!K:K,MATCH('Lorri 401b'!N2085,'Retirement Calculator'!A:A,0),0),0)</f>
        <v>0</v>
      </c>
      <c r="K2085" s="455">
        <f t="shared" ca="1" si="123"/>
        <v>-10064999.858380221</v>
      </c>
      <c r="L2085" s="455">
        <f t="shared" ca="1" si="124"/>
        <v>-2425664965.8696332</v>
      </c>
      <c r="M2085" s="471">
        <f t="shared" si="126"/>
        <v>0.05</v>
      </c>
      <c r="N2085" s="475">
        <f t="shared" si="127"/>
        <v>114504</v>
      </c>
    </row>
    <row r="2086" spans="7:14" ht="11.25" customHeight="1" x14ac:dyDescent="0.3">
      <c r="G2086" s="470"/>
      <c r="H2086" s="470">
        <v>2079</v>
      </c>
      <c r="I2086" s="455">
        <f t="shared" ca="1" si="125"/>
        <v>-2425664965.8696332</v>
      </c>
      <c r="J2086" s="455">
        <f t="array" ref="J2086">IFERROR(INDEX('Retirement Calculator'!K:K,MATCH('Lorri 401b'!N2086,'Retirement Calculator'!A:A,0),0),0)</f>
        <v>0</v>
      </c>
      <c r="K2086" s="455">
        <f t="shared" ca="1" si="123"/>
        <v>-10106937.357790139</v>
      </c>
      <c r="L2086" s="455">
        <f t="shared" ca="1" si="124"/>
        <v>-2435771903.2274232</v>
      </c>
      <c r="M2086" s="471">
        <f t="shared" si="126"/>
        <v>0.05</v>
      </c>
      <c r="N2086" s="475">
        <f t="shared" si="127"/>
        <v>114535</v>
      </c>
    </row>
    <row r="2087" spans="7:14" ht="11.25" customHeight="1" x14ac:dyDescent="0.3">
      <c r="G2087" s="470"/>
      <c r="H2087" s="470">
        <v>2080</v>
      </c>
      <c r="I2087" s="455">
        <f t="shared" ca="1" si="125"/>
        <v>-2435771903.2274232</v>
      </c>
      <c r="J2087" s="455">
        <f t="array" ref="J2087">IFERROR(INDEX('Retirement Calculator'!K:K,MATCH('Lorri 401b'!N2087,'Retirement Calculator'!A:A,0),0),0)</f>
        <v>0</v>
      </c>
      <c r="K2087" s="455">
        <f t="shared" ca="1" si="123"/>
        <v>-10149049.59678093</v>
      </c>
      <c r="L2087" s="455">
        <f t="shared" ca="1" si="124"/>
        <v>-2445920952.824204</v>
      </c>
      <c r="M2087" s="471">
        <f t="shared" si="126"/>
        <v>0.05</v>
      </c>
      <c r="N2087" s="475">
        <f t="shared" si="127"/>
        <v>114566</v>
      </c>
    </row>
    <row r="2088" spans="7:14" ht="11.25" customHeight="1" x14ac:dyDescent="0.3">
      <c r="G2088" s="470"/>
      <c r="H2088" s="470">
        <v>2081</v>
      </c>
      <c r="I2088" s="455">
        <f t="shared" ca="1" si="125"/>
        <v>-2445920952.824204</v>
      </c>
      <c r="J2088" s="455">
        <f t="array" ref="J2088">IFERROR(INDEX('Retirement Calculator'!K:K,MATCH('Lorri 401b'!N2088,'Retirement Calculator'!A:A,0),0),0)</f>
        <v>0</v>
      </c>
      <c r="K2088" s="455">
        <f t="shared" ca="1" si="123"/>
        <v>-10191337.303434184</v>
      </c>
      <c r="L2088" s="455">
        <f t="shared" ca="1" si="124"/>
        <v>-2456112290.1276383</v>
      </c>
      <c r="M2088" s="471">
        <f t="shared" si="126"/>
        <v>0.05</v>
      </c>
      <c r="N2088" s="475">
        <f t="shared" si="127"/>
        <v>114596</v>
      </c>
    </row>
    <row r="2089" spans="7:14" ht="11.25" customHeight="1" x14ac:dyDescent="0.3">
      <c r="G2089" s="470"/>
      <c r="H2089" s="470">
        <v>2082</v>
      </c>
      <c r="I2089" s="455">
        <f t="shared" ca="1" si="125"/>
        <v>-2456112290.1276383</v>
      </c>
      <c r="J2089" s="455">
        <f t="array" ref="J2089">IFERROR(INDEX('Retirement Calculator'!K:K,MATCH('Lorri 401b'!N2089,'Retirement Calculator'!A:A,0),0),0)</f>
        <v>0</v>
      </c>
      <c r="K2089" s="455">
        <f t="shared" ca="1" si="123"/>
        <v>-10233801.20886516</v>
      </c>
      <c r="L2089" s="455">
        <f t="shared" ca="1" si="124"/>
        <v>-2466346091.3365035</v>
      </c>
      <c r="M2089" s="471">
        <f t="shared" si="126"/>
        <v>0.05</v>
      </c>
      <c r="N2089" s="475">
        <f t="shared" si="127"/>
        <v>114627</v>
      </c>
    </row>
    <row r="2090" spans="7:14" ht="11.25" customHeight="1" x14ac:dyDescent="0.3">
      <c r="G2090" s="470"/>
      <c r="H2090" s="470">
        <v>2083</v>
      </c>
      <c r="I2090" s="455">
        <f t="shared" ca="1" si="125"/>
        <v>-2466346091.3365035</v>
      </c>
      <c r="J2090" s="455">
        <f t="array" ref="J2090">IFERROR(INDEX('Retirement Calculator'!K:K,MATCH('Lorri 401b'!N2090,'Retirement Calculator'!A:A,0),0),0)</f>
        <v>0</v>
      </c>
      <c r="K2090" s="455">
        <f t="shared" ca="1" si="123"/>
        <v>-10276442.047235431</v>
      </c>
      <c r="L2090" s="455">
        <f t="shared" ca="1" si="124"/>
        <v>-2476622533.383739</v>
      </c>
      <c r="M2090" s="471">
        <f t="shared" si="126"/>
        <v>0.05</v>
      </c>
      <c r="N2090" s="475">
        <f t="shared" si="127"/>
        <v>114657</v>
      </c>
    </row>
    <row r="2091" spans="7:14" ht="11.25" customHeight="1" x14ac:dyDescent="0.3">
      <c r="G2091" s="470"/>
      <c r="H2091" s="470">
        <v>2084</v>
      </c>
      <c r="I2091" s="455">
        <f t="shared" ca="1" si="125"/>
        <v>-2476622533.383739</v>
      </c>
      <c r="J2091" s="455">
        <f t="array" ref="J2091">IFERROR(INDEX('Retirement Calculator'!K:K,MATCH('Lorri 401b'!N2091,'Retirement Calculator'!A:A,0),0),0)</f>
        <v>0</v>
      </c>
      <c r="K2091" s="455">
        <f t="shared" ca="1" si="123"/>
        <v>-10319260.555765579</v>
      </c>
      <c r="L2091" s="455">
        <f t="shared" ca="1" si="124"/>
        <v>-2486941793.9395046</v>
      </c>
      <c r="M2091" s="471">
        <f t="shared" si="126"/>
        <v>0.05</v>
      </c>
      <c r="N2091" s="475">
        <f t="shared" si="127"/>
        <v>114688</v>
      </c>
    </row>
    <row r="2092" spans="7:14" ht="11.25" customHeight="1" x14ac:dyDescent="0.3">
      <c r="G2092" s="470"/>
      <c r="H2092" s="470">
        <v>2085</v>
      </c>
      <c r="I2092" s="455">
        <f t="shared" ca="1" si="125"/>
        <v>-2486941793.9395046</v>
      </c>
      <c r="J2092" s="455">
        <f t="array" ref="J2092">IFERROR(INDEX('Retirement Calculator'!K:K,MATCH('Lorri 401b'!N2092,'Retirement Calculator'!A:A,0),0),0)</f>
        <v>0</v>
      </c>
      <c r="K2092" s="455">
        <f t="shared" ca="1" si="123"/>
        <v>-10362257.474747935</v>
      </c>
      <c r="L2092" s="455">
        <f t="shared" ca="1" si="124"/>
        <v>-2497304051.4142528</v>
      </c>
      <c r="M2092" s="471">
        <f t="shared" si="126"/>
        <v>0.05</v>
      </c>
      <c r="N2092" s="475">
        <f t="shared" si="127"/>
        <v>114719</v>
      </c>
    </row>
    <row r="2093" spans="7:14" ht="11.25" customHeight="1" x14ac:dyDescent="0.3">
      <c r="G2093" s="470"/>
      <c r="H2093" s="470">
        <v>2086</v>
      </c>
      <c r="I2093" s="455">
        <f t="shared" ca="1" si="125"/>
        <v>-2497304051.4142528</v>
      </c>
      <c r="J2093" s="455">
        <f t="array" ref="J2093">IFERROR(INDEX('Retirement Calculator'!K:K,MATCH('Lorri 401b'!N2093,'Retirement Calculator'!A:A,0),0),0)</f>
        <v>0</v>
      </c>
      <c r="K2093" s="455">
        <f t="shared" ca="1" si="123"/>
        <v>-10405433.547559386</v>
      </c>
      <c r="L2093" s="455">
        <f t="shared" ca="1" si="124"/>
        <v>-2507709484.961812</v>
      </c>
      <c r="M2093" s="471">
        <f t="shared" si="126"/>
        <v>0.05</v>
      </c>
      <c r="N2093" s="475">
        <f t="shared" si="127"/>
        <v>114747</v>
      </c>
    </row>
    <row r="2094" spans="7:14" ht="11.25" customHeight="1" x14ac:dyDescent="0.3">
      <c r="G2094" s="470"/>
      <c r="H2094" s="470">
        <v>2087</v>
      </c>
      <c r="I2094" s="455">
        <f t="shared" ca="1" si="125"/>
        <v>-2507709484.961812</v>
      </c>
      <c r="J2094" s="455">
        <f t="array" ref="J2094">IFERROR(INDEX('Retirement Calculator'!K:K,MATCH('Lorri 401b'!N2094,'Retirement Calculator'!A:A,0),0),0)</f>
        <v>0</v>
      </c>
      <c r="K2094" s="455">
        <f t="shared" ca="1" si="123"/>
        <v>-10448789.520674217</v>
      </c>
      <c r="L2094" s="455">
        <f t="shared" ca="1" si="124"/>
        <v>-2518158274.4824862</v>
      </c>
      <c r="M2094" s="471">
        <f t="shared" si="126"/>
        <v>0.05</v>
      </c>
      <c r="N2094" s="475">
        <f t="shared" si="127"/>
        <v>114778</v>
      </c>
    </row>
    <row r="2095" spans="7:14" ht="11.25" customHeight="1" x14ac:dyDescent="0.3">
      <c r="G2095" s="470"/>
      <c r="H2095" s="470">
        <v>2088</v>
      </c>
      <c r="I2095" s="455">
        <f t="shared" ca="1" si="125"/>
        <v>-2518158274.4824862</v>
      </c>
      <c r="J2095" s="455">
        <f t="array" ref="J2095">IFERROR(INDEX('Retirement Calculator'!K:K,MATCH('Lorri 401b'!N2095,'Retirement Calculator'!A:A,0),0),0)</f>
        <v>0</v>
      </c>
      <c r="K2095" s="455">
        <f t="shared" ca="1" si="123"/>
        <v>-10492326.143677026</v>
      </c>
      <c r="L2095" s="455">
        <f t="shared" ca="1" si="124"/>
        <v>-2528650600.6261635</v>
      </c>
      <c r="M2095" s="471">
        <f t="shared" si="126"/>
        <v>0.05</v>
      </c>
      <c r="N2095" s="475">
        <f t="shared" si="127"/>
        <v>114808</v>
      </c>
    </row>
    <row r="2096" spans="7:14" ht="11.25" customHeight="1" x14ac:dyDescent="0.3">
      <c r="G2096" s="470"/>
      <c r="H2096" s="470">
        <v>2089</v>
      </c>
      <c r="I2096" s="455">
        <f t="shared" ca="1" si="125"/>
        <v>-2528650600.6261635</v>
      </c>
      <c r="J2096" s="455">
        <f t="array" ref="J2096">IFERROR(INDEX('Retirement Calculator'!K:K,MATCH('Lorri 401b'!N2096,'Retirement Calculator'!A:A,0),0),0)</f>
        <v>0</v>
      </c>
      <c r="K2096" s="455">
        <f t="shared" ca="1" si="123"/>
        <v>-10536044.169275681</v>
      </c>
      <c r="L2096" s="455">
        <f t="shared" ca="1" si="124"/>
        <v>-2539186644.7954392</v>
      </c>
      <c r="M2096" s="471">
        <f t="shared" si="126"/>
        <v>0.05</v>
      </c>
      <c r="N2096" s="475">
        <f t="shared" si="127"/>
        <v>114839</v>
      </c>
    </row>
    <row r="2097" spans="7:14" ht="11.25" customHeight="1" x14ac:dyDescent="0.3">
      <c r="G2097" s="470"/>
      <c r="H2097" s="470">
        <v>2090</v>
      </c>
      <c r="I2097" s="455">
        <f t="shared" ca="1" si="125"/>
        <v>-2539186644.7954392</v>
      </c>
      <c r="J2097" s="455">
        <f t="array" ref="J2097">IFERROR(INDEX('Retirement Calculator'!K:K,MATCH('Lorri 401b'!N2097,'Retirement Calculator'!A:A,0),0),0)</f>
        <v>0</v>
      </c>
      <c r="K2097" s="455">
        <f t="shared" ca="1" si="123"/>
        <v>-10579944.353314331</v>
      </c>
      <c r="L2097" s="455">
        <f t="shared" ca="1" si="124"/>
        <v>-2549766589.1487536</v>
      </c>
      <c r="M2097" s="471">
        <f t="shared" si="126"/>
        <v>0.05</v>
      </c>
      <c r="N2097" s="475">
        <f t="shared" si="127"/>
        <v>114869</v>
      </c>
    </row>
    <row r="2098" spans="7:14" ht="11.25" customHeight="1" x14ac:dyDescent="0.3">
      <c r="G2098" s="470"/>
      <c r="H2098" s="470">
        <v>2091</v>
      </c>
      <c r="I2098" s="455">
        <f t="shared" ca="1" si="125"/>
        <v>-2549766589.1487536</v>
      </c>
      <c r="J2098" s="455">
        <f t="array" ref="J2098">IFERROR(INDEX('Retirement Calculator'!K:K,MATCH('Lorri 401b'!N2098,'Retirement Calculator'!A:A,0),0),0)</f>
        <v>0</v>
      </c>
      <c r="K2098" s="455">
        <f t="shared" ca="1" si="123"/>
        <v>-10624027.454786474</v>
      </c>
      <c r="L2098" s="455">
        <f t="shared" ca="1" si="124"/>
        <v>-2560390616.6035399</v>
      </c>
      <c r="M2098" s="471">
        <f t="shared" si="126"/>
        <v>0.05</v>
      </c>
      <c r="N2098" s="475">
        <f t="shared" si="127"/>
        <v>114900</v>
      </c>
    </row>
    <row r="2099" spans="7:14" ht="11.25" customHeight="1" x14ac:dyDescent="0.3">
      <c r="G2099" s="470"/>
      <c r="H2099" s="470">
        <v>2092</v>
      </c>
      <c r="I2099" s="455">
        <f t="shared" ca="1" si="125"/>
        <v>-2560390616.6035399</v>
      </c>
      <c r="J2099" s="455">
        <f t="array" ref="J2099">IFERROR(INDEX('Retirement Calculator'!K:K,MATCH('Lorri 401b'!N2099,'Retirement Calculator'!A:A,0),0),0)</f>
        <v>0</v>
      </c>
      <c r="K2099" s="455">
        <f t="shared" ca="1" si="123"/>
        <v>-10668294.235848082</v>
      </c>
      <c r="L2099" s="455">
        <f t="shared" ca="1" si="124"/>
        <v>-2571058910.8393879</v>
      </c>
      <c r="M2099" s="471">
        <f t="shared" si="126"/>
        <v>0.05</v>
      </c>
      <c r="N2099" s="475">
        <f t="shared" si="127"/>
        <v>114931</v>
      </c>
    </row>
    <row r="2100" spans="7:14" ht="11.25" customHeight="1" x14ac:dyDescent="0.3">
      <c r="G2100" s="470"/>
      <c r="H2100" s="470">
        <v>2093</v>
      </c>
      <c r="I2100" s="455">
        <f t="shared" ca="1" si="125"/>
        <v>-2571058910.8393879</v>
      </c>
      <c r="J2100" s="455">
        <f t="array" ref="J2100">IFERROR(INDEX('Retirement Calculator'!K:K,MATCH('Lorri 401b'!N2100,'Retirement Calculator'!A:A,0),0),0)</f>
        <v>0</v>
      </c>
      <c r="K2100" s="455">
        <f t="shared" ca="1" si="123"/>
        <v>-10712745.461830784</v>
      </c>
      <c r="L2100" s="455">
        <f t="shared" ca="1" si="124"/>
        <v>-2581771656.3012185</v>
      </c>
      <c r="M2100" s="471">
        <f t="shared" si="126"/>
        <v>0.05</v>
      </c>
      <c r="N2100" s="475">
        <f t="shared" si="127"/>
        <v>114961</v>
      </c>
    </row>
    <row r="2101" spans="7:14" ht="11.25" customHeight="1" x14ac:dyDescent="0.3">
      <c r="G2101" s="470"/>
      <c r="H2101" s="470">
        <v>2094</v>
      </c>
      <c r="I2101" s="455">
        <f t="shared" ca="1" si="125"/>
        <v>-2581771656.3012185</v>
      </c>
      <c r="J2101" s="455">
        <f t="array" ref="J2101">IFERROR(INDEX('Retirement Calculator'!K:K,MATCH('Lorri 401b'!N2101,'Retirement Calculator'!A:A,0),0),0)</f>
        <v>0</v>
      </c>
      <c r="K2101" s="455">
        <f t="shared" ca="1" si="123"/>
        <v>-10757381.901255077</v>
      </c>
      <c r="L2101" s="455">
        <f t="shared" ca="1" si="124"/>
        <v>-2592529038.2024736</v>
      </c>
      <c r="M2101" s="471">
        <f t="shared" si="126"/>
        <v>0.05</v>
      </c>
      <c r="N2101" s="475">
        <f t="shared" si="127"/>
        <v>114992</v>
      </c>
    </row>
    <row r="2102" spans="7:14" ht="11.25" customHeight="1" x14ac:dyDescent="0.3">
      <c r="G2102" s="470"/>
      <c r="H2102" s="470">
        <v>2095</v>
      </c>
      <c r="I2102" s="455">
        <f t="shared" ca="1" si="125"/>
        <v>-2592529038.2024736</v>
      </c>
      <c r="J2102" s="455">
        <f t="array" ref="J2102">IFERROR(INDEX('Retirement Calculator'!K:K,MATCH('Lorri 401b'!N2102,'Retirement Calculator'!A:A,0),0),0)</f>
        <v>0</v>
      </c>
      <c r="K2102" s="455">
        <f t="shared" ca="1" si="123"/>
        <v>-10802204.32584364</v>
      </c>
      <c r="L2102" s="455">
        <f t="shared" ca="1" si="124"/>
        <v>-2603331242.5283175</v>
      </c>
      <c r="M2102" s="471">
        <f t="shared" si="126"/>
        <v>0.05</v>
      </c>
      <c r="N2102" s="475">
        <f t="shared" si="127"/>
        <v>115022</v>
      </c>
    </row>
    <row r="2103" spans="7:14" ht="11.25" customHeight="1" x14ac:dyDescent="0.3">
      <c r="G2103" s="470"/>
      <c r="H2103" s="470">
        <v>2096</v>
      </c>
      <c r="I2103" s="455">
        <f t="shared" ca="1" si="125"/>
        <v>-2603331242.5283175</v>
      </c>
      <c r="J2103" s="455">
        <f t="array" ref="J2103">IFERROR(INDEX('Retirement Calculator'!K:K,MATCH('Lorri 401b'!N2103,'Retirement Calculator'!A:A,0),0),0)</f>
        <v>0</v>
      </c>
      <c r="K2103" s="455">
        <f t="shared" ca="1" si="123"/>
        <v>-10847213.510534655</v>
      </c>
      <c r="L2103" s="455">
        <f t="shared" ca="1" si="124"/>
        <v>-2614178456.0388522</v>
      </c>
      <c r="M2103" s="471">
        <f t="shared" si="126"/>
        <v>0.05</v>
      </c>
      <c r="N2103" s="475">
        <f t="shared" si="127"/>
        <v>115053</v>
      </c>
    </row>
    <row r="2104" spans="7:14" ht="11.25" customHeight="1" x14ac:dyDescent="0.3">
      <c r="G2104" s="470"/>
      <c r="H2104" s="470">
        <v>2097</v>
      </c>
      <c r="I2104" s="455">
        <f t="shared" ca="1" si="125"/>
        <v>-2614178456.0388522</v>
      </c>
      <c r="J2104" s="455">
        <f t="array" ref="J2104">IFERROR(INDEX('Retirement Calculator'!K:K,MATCH('Lorri 401b'!N2104,'Retirement Calculator'!A:A,0),0),0)</f>
        <v>0</v>
      </c>
      <c r="K2104" s="455">
        <f t="shared" ca="1" si="123"/>
        <v>-10892410.233495217</v>
      </c>
      <c r="L2104" s="455">
        <f t="shared" ca="1" si="124"/>
        <v>-2625070866.2723475</v>
      </c>
      <c r="M2104" s="471">
        <f t="shared" si="126"/>
        <v>0.05</v>
      </c>
      <c r="N2104" s="475">
        <f t="shared" si="127"/>
        <v>115084</v>
      </c>
    </row>
    <row r="2105" spans="7:14" ht="11.25" customHeight="1" x14ac:dyDescent="0.3">
      <c r="G2105" s="470"/>
      <c r="H2105" s="470">
        <v>2098</v>
      </c>
      <c r="I2105" s="455">
        <f t="shared" ca="1" si="125"/>
        <v>-2625070866.2723475</v>
      </c>
      <c r="J2105" s="455">
        <f t="array" ref="J2105">IFERROR(INDEX('Retirement Calculator'!K:K,MATCH('Lorri 401b'!N2105,'Retirement Calculator'!A:A,0),0),0)</f>
        <v>0</v>
      </c>
      <c r="K2105" s="455">
        <f t="shared" ca="1" si="123"/>
        <v>-10937795.276134782</v>
      </c>
      <c r="L2105" s="455">
        <f t="shared" ca="1" si="124"/>
        <v>-2636008661.5484824</v>
      </c>
      <c r="M2105" s="471">
        <f t="shared" si="126"/>
        <v>0.05</v>
      </c>
      <c r="N2105" s="475">
        <f t="shared" si="127"/>
        <v>115112</v>
      </c>
    </row>
    <row r="2106" spans="7:14" ht="11.25" customHeight="1" x14ac:dyDescent="0.3">
      <c r="G2106" s="470"/>
      <c r="H2106" s="470">
        <v>2099</v>
      </c>
      <c r="I2106" s="455">
        <f t="shared" ca="1" si="125"/>
        <v>-2636008661.5484824</v>
      </c>
      <c r="J2106" s="455">
        <f t="array" ref="J2106">IFERROR(INDEX('Retirement Calculator'!K:K,MATCH('Lorri 401b'!N2106,'Retirement Calculator'!A:A,0),0),0)</f>
        <v>0</v>
      </c>
      <c r="K2106" s="455">
        <f t="shared" ca="1" si="123"/>
        <v>-10983369.423118677</v>
      </c>
      <c r="L2106" s="455">
        <f t="shared" ca="1" si="124"/>
        <v>-2646992030.971601</v>
      </c>
      <c r="M2106" s="471">
        <f t="shared" si="126"/>
        <v>0.05</v>
      </c>
      <c r="N2106" s="475">
        <f t="shared" si="127"/>
        <v>115143</v>
      </c>
    </row>
    <row r="2107" spans="7:14" ht="11.25" customHeight="1" x14ac:dyDescent="0.3">
      <c r="G2107" s="470"/>
      <c r="H2107" s="470">
        <v>2100</v>
      </c>
      <c r="I2107" s="455">
        <f t="shared" ca="1" si="125"/>
        <v>-2646992030.971601</v>
      </c>
      <c r="J2107" s="455">
        <f t="array" ref="J2107">IFERROR(INDEX('Retirement Calculator'!K:K,MATCH('Lorri 401b'!N2107,'Retirement Calculator'!A:A,0),0),0)</f>
        <v>0</v>
      </c>
      <c r="K2107" s="455">
        <f t="shared" ca="1" si="123"/>
        <v>-11029133.46238167</v>
      </c>
      <c r="L2107" s="455">
        <f t="shared" ca="1" si="124"/>
        <v>-2658021164.4339828</v>
      </c>
      <c r="M2107" s="471">
        <f t="shared" si="126"/>
        <v>0.05</v>
      </c>
      <c r="N2107" s="475">
        <f t="shared" si="127"/>
        <v>115173</v>
      </c>
    </row>
    <row r="2108" spans="7:14" ht="11.25" customHeight="1" x14ac:dyDescent="0.3">
      <c r="G2108" s="470"/>
      <c r="H2108" s="470">
        <v>2101</v>
      </c>
      <c r="I2108" s="455">
        <f t="shared" ca="1" si="125"/>
        <v>-2658021164.4339828</v>
      </c>
      <c r="J2108" s="455">
        <f t="array" ref="J2108">IFERROR(INDEX('Retirement Calculator'!K:K,MATCH('Lorri 401b'!N2108,'Retirement Calculator'!A:A,0),0),0)</f>
        <v>0</v>
      </c>
      <c r="K2108" s="455">
        <f t="shared" ca="1" si="123"/>
        <v>-11075088.185141595</v>
      </c>
      <c r="L2108" s="455">
        <f t="shared" ca="1" si="124"/>
        <v>-2669096252.6191244</v>
      </c>
      <c r="M2108" s="471">
        <f t="shared" si="126"/>
        <v>0.05</v>
      </c>
      <c r="N2108" s="475">
        <f t="shared" si="127"/>
        <v>115204</v>
      </c>
    </row>
    <row r="2109" spans="7:14" ht="11.25" customHeight="1" x14ac:dyDescent="0.3">
      <c r="G2109" s="470"/>
      <c r="H2109" s="470">
        <v>2102</v>
      </c>
      <c r="I2109" s="455">
        <f t="shared" ca="1" si="125"/>
        <v>-2669096252.6191244</v>
      </c>
      <c r="J2109" s="455">
        <f t="array" ref="J2109">IFERROR(INDEX('Retirement Calculator'!K:K,MATCH('Lorri 401b'!N2109,'Retirement Calculator'!A:A,0),0),0)</f>
        <v>0</v>
      </c>
      <c r="K2109" s="455">
        <f t="shared" ca="1" si="123"/>
        <v>-11121234.385913018</v>
      </c>
      <c r="L2109" s="455">
        <f t="shared" ca="1" si="124"/>
        <v>-2680217487.0050373</v>
      </c>
      <c r="M2109" s="471">
        <f t="shared" si="126"/>
        <v>0.05</v>
      </c>
      <c r="N2109" s="475">
        <f t="shared" si="127"/>
        <v>115234</v>
      </c>
    </row>
    <row r="2110" spans="7:14" ht="11.25" customHeight="1" x14ac:dyDescent="0.3">
      <c r="G2110" s="470"/>
      <c r="H2110" s="470">
        <v>2103</v>
      </c>
      <c r="I2110" s="455">
        <f t="shared" ca="1" si="125"/>
        <v>-2680217487.0050373</v>
      </c>
      <c r="J2110" s="455">
        <f t="array" ref="J2110">IFERROR(INDEX('Retirement Calculator'!K:K,MATCH('Lorri 401b'!N2110,'Retirement Calculator'!A:A,0),0),0)</f>
        <v>0</v>
      </c>
      <c r="K2110" s="455">
        <f t="shared" ca="1" si="123"/>
        <v>-11167572.862520989</v>
      </c>
      <c r="L2110" s="455">
        <f t="shared" ca="1" si="124"/>
        <v>-2691385059.8675585</v>
      </c>
      <c r="M2110" s="471">
        <f t="shared" si="126"/>
        <v>0.05</v>
      </c>
      <c r="N2110" s="475">
        <f t="shared" si="127"/>
        <v>115265</v>
      </c>
    </row>
    <row r="2111" spans="7:14" ht="11.25" customHeight="1" x14ac:dyDescent="0.3">
      <c r="G2111" s="470"/>
      <c r="H2111" s="470">
        <v>2104</v>
      </c>
      <c r="I2111" s="455">
        <f t="shared" ca="1" si="125"/>
        <v>-2691385059.8675585</v>
      </c>
      <c r="J2111" s="455">
        <f t="array" ref="J2111">IFERROR(INDEX('Retirement Calculator'!K:K,MATCH('Lorri 401b'!N2111,'Retirement Calculator'!A:A,0),0),0)</f>
        <v>0</v>
      </c>
      <c r="K2111" s="455">
        <f t="shared" ca="1" si="123"/>
        <v>-11214104.416114828</v>
      </c>
      <c r="L2111" s="455">
        <f t="shared" ca="1" si="124"/>
        <v>-2702599164.2836733</v>
      </c>
      <c r="M2111" s="471">
        <f t="shared" si="126"/>
        <v>0.05</v>
      </c>
      <c r="N2111" s="475">
        <f t="shared" si="127"/>
        <v>115296</v>
      </c>
    </row>
    <row r="2112" spans="7:14" ht="11.25" customHeight="1" x14ac:dyDescent="0.3">
      <c r="G2112" s="470"/>
      <c r="H2112" s="470">
        <v>2105</v>
      </c>
      <c r="I2112" s="455">
        <f t="shared" ca="1" si="125"/>
        <v>-2702599164.2836733</v>
      </c>
      <c r="J2112" s="455">
        <f t="array" ref="J2112">IFERROR(INDEX('Retirement Calculator'!K:K,MATCH('Lorri 401b'!N2112,'Retirement Calculator'!A:A,0),0),0)</f>
        <v>0</v>
      </c>
      <c r="K2112" s="455">
        <f t="shared" ca="1" si="123"/>
        <v>-11260829.851181973</v>
      </c>
      <c r="L2112" s="455">
        <f t="shared" ca="1" si="124"/>
        <v>-2713859994.1348553</v>
      </c>
      <c r="M2112" s="471">
        <f t="shared" si="126"/>
        <v>0.05</v>
      </c>
      <c r="N2112" s="475">
        <f t="shared" si="127"/>
        <v>115326</v>
      </c>
    </row>
    <row r="2113" spans="7:14" ht="11.25" customHeight="1" x14ac:dyDescent="0.3">
      <c r="G2113" s="470"/>
      <c r="H2113" s="470">
        <v>2106</v>
      </c>
      <c r="I2113" s="455">
        <f t="shared" ca="1" si="125"/>
        <v>-2713859994.1348553</v>
      </c>
      <c r="J2113" s="455">
        <f t="array" ref="J2113">IFERROR(INDEX('Retirement Calculator'!K:K,MATCH('Lorri 401b'!N2113,'Retirement Calculator'!A:A,0),0),0)</f>
        <v>0</v>
      </c>
      <c r="K2113" s="455">
        <f t="shared" ca="1" si="123"/>
        <v>-11307749.975561896</v>
      </c>
      <c r="L2113" s="455">
        <f t="shared" ca="1" si="124"/>
        <v>-2725167744.1104174</v>
      </c>
      <c r="M2113" s="471">
        <f t="shared" si="126"/>
        <v>0.05</v>
      </c>
      <c r="N2113" s="475">
        <f t="shared" si="127"/>
        <v>115357</v>
      </c>
    </row>
    <row r="2114" spans="7:14" ht="11.25" customHeight="1" x14ac:dyDescent="0.3">
      <c r="G2114" s="470"/>
      <c r="H2114" s="470">
        <v>2107</v>
      </c>
      <c r="I2114" s="455">
        <f t="shared" ca="1" si="125"/>
        <v>-2725167744.1104174</v>
      </c>
      <c r="J2114" s="455">
        <f t="array" ref="J2114">IFERROR(INDEX('Retirement Calculator'!K:K,MATCH('Lorri 401b'!N2114,'Retirement Calculator'!A:A,0),0),0)</f>
        <v>0</v>
      </c>
      <c r="K2114" s="455">
        <f t="shared" ca="1" si="123"/>
        <v>-11354865.600460073</v>
      </c>
      <c r="L2114" s="455">
        <f t="shared" ca="1" si="124"/>
        <v>-2736522609.7108774</v>
      </c>
      <c r="M2114" s="471">
        <f t="shared" si="126"/>
        <v>0.05</v>
      </c>
      <c r="N2114" s="475">
        <f t="shared" si="127"/>
        <v>115387</v>
      </c>
    </row>
    <row r="2115" spans="7:14" ht="11.25" customHeight="1" x14ac:dyDescent="0.3">
      <c r="G2115" s="470"/>
      <c r="H2115" s="470">
        <v>2108</v>
      </c>
      <c r="I2115" s="455">
        <f t="shared" ca="1" si="125"/>
        <v>-2736522609.7108774</v>
      </c>
      <c r="J2115" s="455">
        <f t="array" ref="J2115">IFERROR(INDEX('Retirement Calculator'!K:K,MATCH('Lorri 401b'!N2115,'Retirement Calculator'!A:A,0),0),0)</f>
        <v>0</v>
      </c>
      <c r="K2115" s="455">
        <f t="shared" ca="1" si="123"/>
        <v>-11402177.540461989</v>
      </c>
      <c r="L2115" s="455">
        <f t="shared" ca="1" si="124"/>
        <v>-2747924787.2513394</v>
      </c>
      <c r="M2115" s="471">
        <f t="shared" si="126"/>
        <v>0.05</v>
      </c>
      <c r="N2115" s="475">
        <f t="shared" si="127"/>
        <v>115418</v>
      </c>
    </row>
    <row r="2116" spans="7:14" ht="11.25" customHeight="1" x14ac:dyDescent="0.3">
      <c r="G2116" s="470"/>
      <c r="H2116" s="470">
        <v>2109</v>
      </c>
      <c r="I2116" s="455">
        <f t="shared" ca="1" si="125"/>
        <v>-2747924787.2513394</v>
      </c>
      <c r="J2116" s="455">
        <f t="array" ref="J2116">IFERROR(INDEX('Retirement Calculator'!K:K,MATCH('Lorri 401b'!N2116,'Retirement Calculator'!A:A,0),0),0)</f>
        <v>0</v>
      </c>
      <c r="K2116" s="455">
        <f t="shared" ca="1" si="123"/>
        <v>-11449686.613547247</v>
      </c>
      <c r="L2116" s="455">
        <f t="shared" ca="1" si="124"/>
        <v>-2759374473.8648868</v>
      </c>
      <c r="M2116" s="471">
        <f t="shared" si="126"/>
        <v>0.05</v>
      </c>
      <c r="N2116" s="475">
        <f t="shared" si="127"/>
        <v>115449</v>
      </c>
    </row>
    <row r="2117" spans="7:14" ht="11.25" customHeight="1" x14ac:dyDescent="0.3">
      <c r="G2117" s="470"/>
      <c r="H2117" s="470">
        <v>2110</v>
      </c>
      <c r="I2117" s="455">
        <f t="shared" ca="1" si="125"/>
        <v>-2759374473.8648868</v>
      </c>
      <c r="J2117" s="455">
        <f t="array" ref="J2117">IFERROR(INDEX('Retirement Calculator'!K:K,MATCH('Lorri 401b'!N2117,'Retirement Calculator'!A:A,0),0),0)</f>
        <v>0</v>
      </c>
      <c r="K2117" s="455">
        <f t="shared" ca="1" si="123"/>
        <v>-11497393.641103694</v>
      </c>
      <c r="L2117" s="455">
        <f t="shared" ca="1" si="124"/>
        <v>-2770871867.5059905</v>
      </c>
      <c r="M2117" s="471">
        <f t="shared" si="126"/>
        <v>0.05</v>
      </c>
      <c r="N2117" s="475">
        <f t="shared" si="127"/>
        <v>115478</v>
      </c>
    </row>
    <row r="2118" spans="7:14" ht="11.25" customHeight="1" x14ac:dyDescent="0.3">
      <c r="G2118" s="470"/>
      <c r="H2118" s="470">
        <v>2111</v>
      </c>
      <c r="I2118" s="455">
        <f t="shared" ca="1" si="125"/>
        <v>-2770871867.5059905</v>
      </c>
      <c r="J2118" s="455">
        <f t="array" ref="J2118">IFERROR(INDEX('Retirement Calculator'!K:K,MATCH('Lorri 401b'!N2118,'Retirement Calculator'!A:A,0),0),0)</f>
        <v>0</v>
      </c>
      <c r="K2118" s="455">
        <f t="shared" ca="1" si="123"/>
        <v>-11545299.447941627</v>
      </c>
      <c r="L2118" s="455">
        <f t="shared" ca="1" si="124"/>
        <v>-2782417166.9539323</v>
      </c>
      <c r="M2118" s="471">
        <f t="shared" si="126"/>
        <v>0.05</v>
      </c>
      <c r="N2118" s="475">
        <f t="shared" si="127"/>
        <v>115509</v>
      </c>
    </row>
    <row r="2119" spans="7:14" ht="11.25" customHeight="1" x14ac:dyDescent="0.3">
      <c r="G2119" s="470"/>
      <c r="H2119" s="470">
        <v>2112</v>
      </c>
      <c r="I2119" s="455">
        <f t="shared" ca="1" si="125"/>
        <v>-2782417166.9539323</v>
      </c>
      <c r="J2119" s="455">
        <f t="array" ref="J2119">IFERROR(INDEX('Retirement Calculator'!K:K,MATCH('Lorri 401b'!N2119,'Retirement Calculator'!A:A,0),0),0)</f>
        <v>0</v>
      </c>
      <c r="K2119" s="455">
        <f t="shared" ca="1" si="123"/>
        <v>-11593404.862308051</v>
      </c>
      <c r="L2119" s="455">
        <f t="shared" ca="1" si="124"/>
        <v>-2794010571.8162403</v>
      </c>
      <c r="M2119" s="471">
        <f t="shared" si="126"/>
        <v>0.05</v>
      </c>
      <c r="N2119" s="475">
        <f t="shared" si="127"/>
        <v>115539</v>
      </c>
    </row>
    <row r="2120" spans="7:14" ht="11.25" customHeight="1" x14ac:dyDescent="0.3">
      <c r="G2120" s="470"/>
      <c r="H2120" s="470">
        <v>2113</v>
      </c>
      <c r="I2120" s="455">
        <f t="shared" ca="1" si="125"/>
        <v>-2794010571.8162403</v>
      </c>
      <c r="J2120" s="455">
        <f t="array" ref="J2120">IFERROR(INDEX('Retirement Calculator'!K:K,MATCH('Lorri 401b'!N2120,'Retirement Calculator'!A:A,0),0),0)</f>
        <v>0</v>
      </c>
      <c r="K2120" s="455">
        <f t="shared" ca="1" si="123"/>
        <v>-11641710.715901</v>
      </c>
      <c r="L2120" s="455">
        <f t="shared" ca="1" si="124"/>
        <v>-2805652282.5321412</v>
      </c>
      <c r="M2120" s="471">
        <f t="shared" si="126"/>
        <v>0.05</v>
      </c>
      <c r="N2120" s="475">
        <f t="shared" si="127"/>
        <v>115570</v>
      </c>
    </row>
    <row r="2121" spans="7:14" ht="11.25" customHeight="1" x14ac:dyDescent="0.3">
      <c r="G2121" s="470"/>
      <c r="H2121" s="470">
        <v>2114</v>
      </c>
      <c r="I2121" s="455">
        <f t="shared" ca="1" si="125"/>
        <v>-2805652282.5321412</v>
      </c>
      <c r="J2121" s="455">
        <f t="array" ref="J2121">IFERROR(INDEX('Retirement Calculator'!K:K,MATCH('Lorri 401b'!N2121,'Retirement Calculator'!A:A,0),0),0)</f>
        <v>0</v>
      </c>
      <c r="K2121" s="455">
        <f t="shared" ca="1" si="123"/>
        <v>-11690217.843883922</v>
      </c>
      <c r="L2121" s="455">
        <f t="shared" ca="1" si="124"/>
        <v>-2817342500.3760252</v>
      </c>
      <c r="M2121" s="471">
        <f t="shared" si="126"/>
        <v>0.05</v>
      </c>
      <c r="N2121" s="475">
        <f t="shared" si="127"/>
        <v>115600</v>
      </c>
    </row>
    <row r="2122" spans="7:14" ht="11.25" customHeight="1" x14ac:dyDescent="0.3">
      <c r="G2122" s="470"/>
      <c r="H2122" s="470">
        <v>2115</v>
      </c>
      <c r="I2122" s="455">
        <f t="shared" ca="1" si="125"/>
        <v>-2817342500.3760252</v>
      </c>
      <c r="J2122" s="455">
        <f t="array" ref="J2122">IFERROR(INDEX('Retirement Calculator'!K:K,MATCH('Lorri 401b'!N2122,'Retirement Calculator'!A:A,0),0),0)</f>
        <v>0</v>
      </c>
      <c r="K2122" s="455">
        <f t="shared" ca="1" si="123"/>
        <v>-11738927.084900105</v>
      </c>
      <c r="L2122" s="455">
        <f t="shared" ca="1" si="124"/>
        <v>-2829081427.4609251</v>
      </c>
      <c r="M2122" s="471">
        <f t="shared" si="126"/>
        <v>0.05</v>
      </c>
      <c r="N2122" s="475">
        <f t="shared" si="127"/>
        <v>115631</v>
      </c>
    </row>
    <row r="2123" spans="7:14" ht="11.25" customHeight="1" x14ac:dyDescent="0.3">
      <c r="G2123" s="470"/>
      <c r="H2123" s="470">
        <v>2116</v>
      </c>
      <c r="I2123" s="455">
        <f t="shared" ca="1" si="125"/>
        <v>-2829081427.4609251</v>
      </c>
      <c r="J2123" s="455">
        <f t="array" ref="J2123">IFERROR(INDEX('Retirement Calculator'!K:K,MATCH('Lorri 401b'!N2123,'Retirement Calculator'!A:A,0),0),0)</f>
        <v>0</v>
      </c>
      <c r="K2123" s="455">
        <f t="shared" ca="1" si="123"/>
        <v>-11787839.281087188</v>
      </c>
      <c r="L2123" s="455">
        <f t="shared" ca="1" si="124"/>
        <v>-2840869266.7420125</v>
      </c>
      <c r="M2123" s="471">
        <f t="shared" si="126"/>
        <v>0.05</v>
      </c>
      <c r="N2123" s="475">
        <f t="shared" si="127"/>
        <v>115662</v>
      </c>
    </row>
    <row r="2124" spans="7:14" ht="11.25" customHeight="1" x14ac:dyDescent="0.3">
      <c r="G2124" s="470"/>
      <c r="H2124" s="470">
        <v>2117</v>
      </c>
      <c r="I2124" s="455">
        <f t="shared" ca="1" si="125"/>
        <v>-2840869266.7420125</v>
      </c>
      <c r="J2124" s="455">
        <f t="array" ref="J2124">IFERROR(INDEX('Retirement Calculator'!K:K,MATCH('Lorri 401b'!N2124,'Retirement Calculator'!A:A,0),0),0)</f>
        <v>0</v>
      </c>
      <c r="K2124" s="455">
        <f t="shared" ca="1" si="123"/>
        <v>-11836955.278091719</v>
      </c>
      <c r="L2124" s="455">
        <f t="shared" ca="1" si="124"/>
        <v>-2852706222.0201044</v>
      </c>
      <c r="M2124" s="471">
        <f t="shared" si="126"/>
        <v>0.05</v>
      </c>
      <c r="N2124" s="475">
        <f t="shared" si="127"/>
        <v>115692</v>
      </c>
    </row>
    <row r="2125" spans="7:14" ht="11.25" customHeight="1" x14ac:dyDescent="0.3">
      <c r="G2125" s="470"/>
      <c r="H2125" s="470">
        <v>2118</v>
      </c>
      <c r="I2125" s="455">
        <f t="shared" ca="1" si="125"/>
        <v>-2852706222.0201044</v>
      </c>
      <c r="J2125" s="455">
        <f t="array" ref="J2125">IFERROR(INDEX('Retirement Calculator'!K:K,MATCH('Lorri 401b'!N2125,'Retirement Calculator'!A:A,0),0),0)</f>
        <v>0</v>
      </c>
      <c r="K2125" s="455">
        <f t="shared" ca="1" si="123"/>
        <v>-11886275.925083768</v>
      </c>
      <c r="L2125" s="455">
        <f t="shared" ca="1" si="124"/>
        <v>-2864592497.945188</v>
      </c>
      <c r="M2125" s="471">
        <f t="shared" si="126"/>
        <v>0.05</v>
      </c>
      <c r="N2125" s="475">
        <f t="shared" si="127"/>
        <v>115723</v>
      </c>
    </row>
    <row r="2126" spans="7:14" ht="11.25" customHeight="1" x14ac:dyDescent="0.3">
      <c r="G2126" s="470"/>
      <c r="H2126" s="470">
        <v>2119</v>
      </c>
      <c r="I2126" s="455">
        <f t="shared" ca="1" si="125"/>
        <v>-2864592497.945188</v>
      </c>
      <c r="J2126" s="455">
        <f t="array" ref="J2126">IFERROR(INDEX('Retirement Calculator'!K:K,MATCH('Lorri 401b'!N2126,'Retirement Calculator'!A:A,0),0),0)</f>
        <v>0</v>
      </c>
      <c r="K2126" s="455">
        <f t="shared" ca="1" si="123"/>
        <v>-11935802.074771617</v>
      </c>
      <c r="L2126" s="455">
        <f t="shared" ca="1" si="124"/>
        <v>-2876528300.0199594</v>
      </c>
      <c r="M2126" s="471">
        <f t="shared" si="126"/>
        <v>0.05</v>
      </c>
      <c r="N2126" s="475">
        <f t="shared" si="127"/>
        <v>115753</v>
      </c>
    </row>
    <row r="2127" spans="7:14" ht="11.25" customHeight="1" x14ac:dyDescent="0.3">
      <c r="G2127" s="470"/>
      <c r="H2127" s="470">
        <v>2120</v>
      </c>
      <c r="I2127" s="455">
        <f t="shared" ca="1" si="125"/>
        <v>-2876528300.0199594</v>
      </c>
      <c r="J2127" s="455">
        <f t="array" ref="J2127">IFERROR(INDEX('Retirement Calculator'!K:K,MATCH('Lorri 401b'!N2127,'Retirement Calculator'!A:A,0),0),0)</f>
        <v>0</v>
      </c>
      <c r="K2127" s="455">
        <f t="shared" ca="1" si="123"/>
        <v>-11985534.583416497</v>
      </c>
      <c r="L2127" s="455">
        <f t="shared" ca="1" si="124"/>
        <v>-2888513834.6033759</v>
      </c>
      <c r="M2127" s="471">
        <f t="shared" si="126"/>
        <v>0.05</v>
      </c>
      <c r="N2127" s="475">
        <f t="shared" si="127"/>
        <v>115784</v>
      </c>
    </row>
    <row r="2128" spans="7:14" ht="11.25" customHeight="1" x14ac:dyDescent="0.3">
      <c r="G2128" s="470"/>
      <c r="H2128" s="470">
        <v>2121</v>
      </c>
      <c r="I2128" s="455">
        <f t="shared" ca="1" si="125"/>
        <v>-2888513834.6033759</v>
      </c>
      <c r="J2128" s="455">
        <f t="array" ref="J2128">IFERROR(INDEX('Retirement Calculator'!K:K,MATCH('Lorri 401b'!N2128,'Retirement Calculator'!A:A,0),0),0)</f>
        <v>0</v>
      </c>
      <c r="K2128" s="455">
        <f t="shared" ca="1" si="123"/>
        <v>-12035474.3108474</v>
      </c>
      <c r="L2128" s="455">
        <f t="shared" ca="1" si="124"/>
        <v>-2900549308.9142232</v>
      </c>
      <c r="M2128" s="471">
        <f t="shared" si="126"/>
        <v>0.05</v>
      </c>
      <c r="N2128" s="475">
        <f t="shared" si="127"/>
        <v>115815</v>
      </c>
    </row>
    <row r="2129" spans="7:14" ht="11.25" customHeight="1" x14ac:dyDescent="0.3">
      <c r="G2129" s="470"/>
      <c r="H2129" s="470">
        <v>2122</v>
      </c>
      <c r="I2129" s="455">
        <f t="shared" ca="1" si="125"/>
        <v>-2900549308.9142232</v>
      </c>
      <c r="J2129" s="455">
        <f t="array" ref="J2129">IFERROR(INDEX('Retirement Calculator'!K:K,MATCH('Lorri 401b'!N2129,'Retirement Calculator'!A:A,0),0),0)</f>
        <v>0</v>
      </c>
      <c r="K2129" s="455">
        <f t="shared" ca="1" si="123"/>
        <v>-12085622.120475929</v>
      </c>
      <c r="L2129" s="455">
        <f t="shared" ca="1" si="124"/>
        <v>-2912634931.034699</v>
      </c>
      <c r="M2129" s="471">
        <f t="shared" si="126"/>
        <v>0.05</v>
      </c>
      <c r="N2129" s="475">
        <f t="shared" si="127"/>
        <v>115843</v>
      </c>
    </row>
    <row r="2130" spans="7:14" ht="11.25" customHeight="1" x14ac:dyDescent="0.3">
      <c r="G2130" s="470"/>
      <c r="H2130" s="470">
        <v>2123</v>
      </c>
      <c r="I2130" s="455">
        <f t="shared" ca="1" si="125"/>
        <v>-2912634931.034699</v>
      </c>
      <c r="J2130" s="455">
        <f t="array" ref="J2130">IFERROR(INDEX('Retirement Calculator'!K:K,MATCH('Lorri 401b'!N2130,'Retirement Calculator'!A:A,0),0),0)</f>
        <v>0</v>
      </c>
      <c r="K2130" s="455">
        <f t="shared" ca="1" si="123"/>
        <v>-12135978.879311245</v>
      </c>
      <c r="L2130" s="455">
        <f t="shared" ca="1" si="124"/>
        <v>-2924770909.91401</v>
      </c>
      <c r="M2130" s="471">
        <f t="shared" si="126"/>
        <v>0.05</v>
      </c>
      <c r="N2130" s="475">
        <f t="shared" si="127"/>
        <v>115874</v>
      </c>
    </row>
    <row r="2131" spans="7:14" ht="11.25" customHeight="1" x14ac:dyDescent="0.3">
      <c r="G2131" s="470"/>
      <c r="H2131" s="470">
        <v>2124</v>
      </c>
      <c r="I2131" s="455">
        <f t="shared" ca="1" si="125"/>
        <v>-2924770909.91401</v>
      </c>
      <c r="J2131" s="455">
        <f t="array" ref="J2131">IFERROR(INDEX('Retirement Calculator'!K:K,MATCH('Lorri 401b'!N2131,'Retirement Calculator'!A:A,0),0),0)</f>
        <v>0</v>
      </c>
      <c r="K2131" s="455">
        <f t="shared" ca="1" si="123"/>
        <v>-12186545.457975041</v>
      </c>
      <c r="L2131" s="455">
        <f t="shared" ca="1" si="124"/>
        <v>-2936957455.371985</v>
      </c>
      <c r="M2131" s="471">
        <f t="shared" si="126"/>
        <v>0.05</v>
      </c>
      <c r="N2131" s="475">
        <f t="shared" si="127"/>
        <v>115904</v>
      </c>
    </row>
    <row r="2132" spans="7:14" ht="11.25" customHeight="1" x14ac:dyDescent="0.3">
      <c r="G2132" s="470"/>
      <c r="H2132" s="470">
        <v>2125</v>
      </c>
      <c r="I2132" s="455">
        <f t="shared" ca="1" si="125"/>
        <v>-2936957455.371985</v>
      </c>
      <c r="J2132" s="455">
        <f t="array" ref="J2132">IFERROR(INDEX('Retirement Calculator'!K:K,MATCH('Lorri 401b'!N2132,'Retirement Calculator'!A:A,0),0),0)</f>
        <v>0</v>
      </c>
      <c r="K2132" s="455">
        <f t="shared" ca="1" si="123"/>
        <v>-12237322.730716605</v>
      </c>
      <c r="L2132" s="455">
        <f t="shared" ca="1" si="124"/>
        <v>-2949194778.1027017</v>
      </c>
      <c r="M2132" s="471">
        <f t="shared" si="126"/>
        <v>0.05</v>
      </c>
      <c r="N2132" s="475">
        <f t="shared" si="127"/>
        <v>115935</v>
      </c>
    </row>
    <row r="2133" spans="7:14" ht="11.25" customHeight="1" x14ac:dyDescent="0.3">
      <c r="G2133" s="470"/>
      <c r="H2133" s="470">
        <v>2126</v>
      </c>
      <c r="I2133" s="455">
        <f t="shared" ca="1" si="125"/>
        <v>-2949194778.1027017</v>
      </c>
      <c r="J2133" s="455">
        <f t="array" ref="J2133">IFERROR(INDEX('Retirement Calculator'!K:K,MATCH('Lorri 401b'!N2133,'Retirement Calculator'!A:A,0),0),0)</f>
        <v>0</v>
      </c>
      <c r="K2133" s="455">
        <f t="shared" ca="1" si="123"/>
        <v>-12288311.575427923</v>
      </c>
      <c r="L2133" s="455">
        <f t="shared" ca="1" si="124"/>
        <v>-2961483089.6781297</v>
      </c>
      <c r="M2133" s="471">
        <f t="shared" si="126"/>
        <v>0.05</v>
      </c>
      <c r="N2133" s="475">
        <f t="shared" si="127"/>
        <v>115965</v>
      </c>
    </row>
    <row r="2134" spans="7:14" ht="11.25" customHeight="1" x14ac:dyDescent="0.3">
      <c r="G2134" s="470"/>
      <c r="H2134" s="470">
        <v>2127</v>
      </c>
      <c r="I2134" s="455">
        <f t="shared" ca="1" si="125"/>
        <v>-2961483089.6781297</v>
      </c>
      <c r="J2134" s="455">
        <f t="array" ref="J2134">IFERROR(INDEX('Retirement Calculator'!K:K,MATCH('Lorri 401b'!N2134,'Retirement Calculator'!A:A,0),0),0)</f>
        <v>0</v>
      </c>
      <c r="K2134" s="455">
        <f t="shared" ca="1" si="123"/>
        <v>-12339512.873658873</v>
      </c>
      <c r="L2134" s="455">
        <f t="shared" ca="1" si="124"/>
        <v>-2973822602.5517883</v>
      </c>
      <c r="M2134" s="471">
        <f t="shared" si="126"/>
        <v>0.05</v>
      </c>
      <c r="N2134" s="475">
        <f t="shared" si="127"/>
        <v>115996</v>
      </c>
    </row>
    <row r="2135" spans="7:14" ht="11.25" customHeight="1" x14ac:dyDescent="0.3">
      <c r="G2135" s="470"/>
      <c r="H2135" s="470">
        <v>2128</v>
      </c>
      <c r="I2135" s="455">
        <f t="shared" ca="1" si="125"/>
        <v>-2973822602.5517883</v>
      </c>
      <c r="J2135" s="455">
        <f t="array" ref="J2135">IFERROR(INDEX('Retirement Calculator'!K:K,MATCH('Lorri 401b'!N2135,'Retirement Calculator'!A:A,0),0),0)</f>
        <v>0</v>
      </c>
      <c r="K2135" s="455">
        <f t="shared" ca="1" si="123"/>
        <v>-12390927.510632452</v>
      </c>
      <c r="L2135" s="455">
        <f t="shared" ca="1" si="124"/>
        <v>-2986213530.0624208</v>
      </c>
      <c r="M2135" s="471">
        <f t="shared" si="126"/>
        <v>0.05</v>
      </c>
      <c r="N2135" s="475">
        <f t="shared" si="127"/>
        <v>116027</v>
      </c>
    </row>
    <row r="2136" spans="7:14" ht="11.25" customHeight="1" x14ac:dyDescent="0.3">
      <c r="G2136" s="470"/>
      <c r="H2136" s="470">
        <v>2129</v>
      </c>
      <c r="I2136" s="455">
        <f t="shared" ca="1" si="125"/>
        <v>-2986213530.0624208</v>
      </c>
      <c r="J2136" s="455">
        <f t="array" ref="J2136">IFERROR(INDEX('Retirement Calculator'!K:K,MATCH('Lorri 401b'!N2136,'Retirement Calculator'!A:A,0),0),0)</f>
        <v>0</v>
      </c>
      <c r="K2136" s="455">
        <f t="shared" ca="1" si="123"/>
        <v>-12442556.375260087</v>
      </c>
      <c r="L2136" s="455">
        <f t="shared" ca="1" si="124"/>
        <v>-2998656086.4376807</v>
      </c>
      <c r="M2136" s="471">
        <f t="shared" si="126"/>
        <v>0.05</v>
      </c>
      <c r="N2136" s="475">
        <f t="shared" si="127"/>
        <v>116057</v>
      </c>
    </row>
    <row r="2137" spans="7:14" ht="11.25" customHeight="1" x14ac:dyDescent="0.3">
      <c r="G2137" s="470"/>
      <c r="H2137" s="470">
        <v>2130</v>
      </c>
      <c r="I2137" s="455">
        <f t="shared" ca="1" si="125"/>
        <v>-2998656086.4376807</v>
      </c>
      <c r="J2137" s="455">
        <f t="array" ref="J2137">IFERROR(INDEX('Retirement Calculator'!K:K,MATCH('Lorri 401b'!N2137,'Retirement Calculator'!A:A,0),0),0)</f>
        <v>0</v>
      </c>
      <c r="K2137" s="455">
        <f t="shared" ca="1" si="123"/>
        <v>-12494400.360157004</v>
      </c>
      <c r="L2137" s="455">
        <f t="shared" ca="1" si="124"/>
        <v>-3011150486.7978377</v>
      </c>
      <c r="M2137" s="471">
        <f t="shared" si="126"/>
        <v>0.05</v>
      </c>
      <c r="N2137" s="475">
        <f t="shared" si="127"/>
        <v>116088</v>
      </c>
    </row>
    <row r="2138" spans="7:14" ht="11.25" customHeight="1" x14ac:dyDescent="0.3">
      <c r="G2138" s="470"/>
      <c r="H2138" s="470">
        <v>2131</v>
      </c>
      <c r="I2138" s="455">
        <f t="shared" ca="1" si="125"/>
        <v>-3011150486.7978377</v>
      </c>
      <c r="J2138" s="455">
        <f t="array" ref="J2138">IFERROR(INDEX('Retirement Calculator'!K:K,MATCH('Lorri 401b'!N2138,'Retirement Calculator'!A:A,0),0),0)</f>
        <v>0</v>
      </c>
      <c r="K2138" s="455">
        <f t="shared" ca="1" si="123"/>
        <v>-12546460.361657657</v>
      </c>
      <c r="L2138" s="455">
        <f t="shared" ca="1" si="124"/>
        <v>-3023696947.1594954</v>
      </c>
      <c r="M2138" s="471">
        <f t="shared" si="126"/>
        <v>0.05</v>
      </c>
      <c r="N2138" s="475">
        <f t="shared" si="127"/>
        <v>116118</v>
      </c>
    </row>
    <row r="2139" spans="7:14" ht="11.25" customHeight="1" x14ac:dyDescent="0.3">
      <c r="G2139" s="470"/>
      <c r="H2139" s="470">
        <v>2132</v>
      </c>
      <c r="I2139" s="455">
        <f t="shared" ca="1" si="125"/>
        <v>-3023696947.1594954</v>
      </c>
      <c r="J2139" s="455">
        <f t="array" ref="J2139">IFERROR(INDEX('Retirement Calculator'!K:K,MATCH('Lorri 401b'!N2139,'Retirement Calculator'!A:A,0),0),0)</f>
        <v>0</v>
      </c>
      <c r="K2139" s="455">
        <f t="shared" ca="1" si="123"/>
        <v>-12598737.279831231</v>
      </c>
      <c r="L2139" s="455">
        <f t="shared" ca="1" si="124"/>
        <v>-3036295684.4393268</v>
      </c>
      <c r="M2139" s="471">
        <f t="shared" si="126"/>
        <v>0.05</v>
      </c>
      <c r="N2139" s="475">
        <f t="shared" si="127"/>
        <v>116149</v>
      </c>
    </row>
    <row r="2140" spans="7:14" ht="11.25" customHeight="1" x14ac:dyDescent="0.3">
      <c r="G2140" s="470"/>
      <c r="H2140" s="470">
        <v>2133</v>
      </c>
      <c r="I2140" s="455">
        <f t="shared" ca="1" si="125"/>
        <v>-3036295684.4393268</v>
      </c>
      <c r="J2140" s="455">
        <f t="array" ref="J2140">IFERROR(INDEX('Retirement Calculator'!K:K,MATCH('Lorri 401b'!N2140,'Retirement Calculator'!A:A,0),0),0)</f>
        <v>0</v>
      </c>
      <c r="K2140" s="455">
        <f t="shared" ca="1" si="123"/>
        <v>-12651232.018497195</v>
      </c>
      <c r="L2140" s="455">
        <f t="shared" ca="1" si="124"/>
        <v>-3048946916.4578238</v>
      </c>
      <c r="M2140" s="471">
        <f t="shared" si="126"/>
        <v>0.05</v>
      </c>
      <c r="N2140" s="475">
        <f t="shared" si="127"/>
        <v>116180</v>
      </c>
    </row>
    <row r="2141" spans="7:14" ht="11.25" customHeight="1" x14ac:dyDescent="0.3">
      <c r="G2141" s="470"/>
      <c r="H2141" s="470">
        <v>2134</v>
      </c>
      <c r="I2141" s="455">
        <f t="shared" ca="1" si="125"/>
        <v>-3048946916.4578238</v>
      </c>
      <c r="J2141" s="455">
        <f t="array" ref="J2141">IFERROR(INDEX('Retirement Calculator'!K:K,MATCH('Lorri 401b'!N2141,'Retirement Calculator'!A:A,0),0),0)</f>
        <v>0</v>
      </c>
      <c r="K2141" s="455">
        <f t="shared" ca="1" si="123"/>
        <v>-12703945.485240933</v>
      </c>
      <c r="L2141" s="455">
        <f t="shared" ca="1" si="124"/>
        <v>-3061650861.9430647</v>
      </c>
      <c r="M2141" s="471">
        <f t="shared" si="126"/>
        <v>0.05</v>
      </c>
      <c r="N2141" s="475">
        <f t="shared" si="127"/>
        <v>116208</v>
      </c>
    </row>
    <row r="2142" spans="7:14" ht="11.25" customHeight="1" x14ac:dyDescent="0.3">
      <c r="G2142" s="470"/>
      <c r="H2142" s="470">
        <v>2135</v>
      </c>
      <c r="I2142" s="455">
        <f t="shared" ca="1" si="125"/>
        <v>-3061650861.9430647</v>
      </c>
      <c r="J2142" s="455">
        <f t="array" ref="J2142">IFERROR(INDEX('Retirement Calculator'!K:K,MATCH('Lorri 401b'!N2142,'Retirement Calculator'!A:A,0),0),0)</f>
        <v>0</v>
      </c>
      <c r="K2142" s="455">
        <f t="shared" ca="1" si="123"/>
        <v>-12756878.591429437</v>
      </c>
      <c r="L2142" s="455">
        <f t="shared" ca="1" si="124"/>
        <v>-3074407740.5344939</v>
      </c>
      <c r="M2142" s="471">
        <f t="shared" si="126"/>
        <v>0.05</v>
      </c>
      <c r="N2142" s="475">
        <f t="shared" si="127"/>
        <v>116239</v>
      </c>
    </row>
    <row r="2143" spans="7:14" ht="11.25" customHeight="1" x14ac:dyDescent="0.3">
      <c r="G2143" s="470"/>
      <c r="H2143" s="470">
        <v>2136</v>
      </c>
      <c r="I2143" s="455">
        <f t="shared" ca="1" si="125"/>
        <v>-3074407740.5344939</v>
      </c>
      <c r="J2143" s="455">
        <f t="array" ref="J2143">IFERROR(INDEX('Retirement Calculator'!K:K,MATCH('Lorri 401b'!N2143,'Retirement Calculator'!A:A,0),0),0)</f>
        <v>0</v>
      </c>
      <c r="K2143" s="455">
        <f t="shared" ca="1" si="123"/>
        <v>-12810032.252227059</v>
      </c>
      <c r="L2143" s="455">
        <f t="shared" ca="1" si="124"/>
        <v>-3087217772.7867208</v>
      </c>
      <c r="M2143" s="471">
        <f t="shared" si="126"/>
        <v>0.05</v>
      </c>
      <c r="N2143" s="475">
        <f t="shared" si="127"/>
        <v>116269</v>
      </c>
    </row>
    <row r="2144" spans="7:14" ht="11.25" customHeight="1" x14ac:dyDescent="0.3">
      <c r="G2144" s="470"/>
      <c r="H2144" s="470">
        <v>2137</v>
      </c>
      <c r="I2144" s="455">
        <f t="shared" ca="1" si="125"/>
        <v>-3087217772.7867208</v>
      </c>
      <c r="J2144" s="455">
        <f t="array" ref="J2144">IFERROR(INDEX('Retirement Calculator'!K:K,MATCH('Lorri 401b'!N2144,'Retirement Calculator'!A:A,0),0),0)</f>
        <v>0</v>
      </c>
      <c r="K2144" s="455">
        <f t="shared" ca="1" si="123"/>
        <v>-12863407.386611337</v>
      </c>
      <c r="L2144" s="455">
        <f t="shared" ca="1" si="124"/>
        <v>-3100081180.1733322</v>
      </c>
      <c r="M2144" s="471">
        <f t="shared" si="126"/>
        <v>0.05</v>
      </c>
      <c r="N2144" s="475">
        <f t="shared" si="127"/>
        <v>116300</v>
      </c>
    </row>
    <row r="2145" spans="7:14" ht="11.25" customHeight="1" x14ac:dyDescent="0.3">
      <c r="G2145" s="470"/>
      <c r="H2145" s="470">
        <v>2138</v>
      </c>
      <c r="I2145" s="455">
        <f t="shared" ca="1" si="125"/>
        <v>-3100081180.1733322</v>
      </c>
      <c r="J2145" s="455">
        <f t="array" ref="J2145">IFERROR(INDEX('Retirement Calculator'!K:K,MATCH('Lorri 401b'!N2145,'Retirement Calculator'!A:A,0),0),0)</f>
        <v>0</v>
      </c>
      <c r="K2145" s="455">
        <f t="shared" ca="1" si="123"/>
        <v>-12917004.917388884</v>
      </c>
      <c r="L2145" s="455">
        <f t="shared" ca="1" si="124"/>
        <v>-3112998185.0907211</v>
      </c>
      <c r="M2145" s="471">
        <f t="shared" si="126"/>
        <v>0.05</v>
      </c>
      <c r="N2145" s="475">
        <f t="shared" si="127"/>
        <v>116330</v>
      </c>
    </row>
    <row r="2146" spans="7:14" ht="11.25" customHeight="1" x14ac:dyDescent="0.3">
      <c r="G2146" s="470"/>
      <c r="H2146" s="470">
        <v>2139</v>
      </c>
      <c r="I2146" s="455">
        <f t="shared" ca="1" si="125"/>
        <v>-3112998185.0907211</v>
      </c>
      <c r="J2146" s="455">
        <f t="array" ref="J2146">IFERROR(INDEX('Retirement Calculator'!K:K,MATCH('Lorri 401b'!N2146,'Retirement Calculator'!A:A,0),0),0)</f>
        <v>0</v>
      </c>
      <c r="K2146" s="455">
        <f t="shared" ca="1" si="123"/>
        <v>-12970825.771211337</v>
      </c>
      <c r="L2146" s="455">
        <f t="shared" ca="1" si="124"/>
        <v>-3125969010.8619323</v>
      </c>
      <c r="M2146" s="471">
        <f t="shared" si="126"/>
        <v>0.05</v>
      </c>
      <c r="N2146" s="475">
        <f t="shared" si="127"/>
        <v>116361</v>
      </c>
    </row>
    <row r="2147" spans="7:14" ht="11.25" customHeight="1" x14ac:dyDescent="0.3">
      <c r="G2147" s="470"/>
      <c r="H2147" s="470">
        <v>2140</v>
      </c>
      <c r="I2147" s="455">
        <f t="shared" ca="1" si="125"/>
        <v>-3125969010.8619323</v>
      </c>
      <c r="J2147" s="455">
        <f t="array" ref="J2147">IFERROR(INDEX('Retirement Calculator'!K:K,MATCH('Lorri 401b'!N2147,'Retirement Calculator'!A:A,0),0),0)</f>
        <v>0</v>
      </c>
      <c r="K2147" s="455">
        <f t="shared" ca="1" si="123"/>
        <v>-13024870.878591385</v>
      </c>
      <c r="L2147" s="455">
        <f t="shared" ca="1" si="124"/>
        <v>-3138993881.7405238</v>
      </c>
      <c r="M2147" s="471">
        <f t="shared" si="126"/>
        <v>0.05</v>
      </c>
      <c r="N2147" s="475">
        <f t="shared" si="127"/>
        <v>116392</v>
      </c>
    </row>
    <row r="2148" spans="7:14" ht="11.25" customHeight="1" x14ac:dyDescent="0.3">
      <c r="G2148" s="470"/>
      <c r="H2148" s="470">
        <v>2141</v>
      </c>
      <c r="I2148" s="455">
        <f t="shared" ca="1" si="125"/>
        <v>-3138993881.7405238</v>
      </c>
      <c r="J2148" s="455">
        <f t="array" ref="J2148">IFERROR(INDEX('Retirement Calculator'!K:K,MATCH('Lorri 401b'!N2148,'Retirement Calculator'!A:A,0),0),0)</f>
        <v>0</v>
      </c>
      <c r="K2148" s="455">
        <f t="shared" ca="1" si="123"/>
        <v>-13079141.173918849</v>
      </c>
      <c r="L2148" s="455">
        <f t="shared" ca="1" si="124"/>
        <v>-3152073022.9144425</v>
      </c>
      <c r="M2148" s="471">
        <f t="shared" si="126"/>
        <v>0.05</v>
      </c>
      <c r="N2148" s="475">
        <f t="shared" si="127"/>
        <v>116422</v>
      </c>
    </row>
    <row r="2149" spans="7:14" ht="11.25" customHeight="1" x14ac:dyDescent="0.3">
      <c r="G2149" s="470"/>
      <c r="H2149" s="470">
        <v>2142</v>
      </c>
      <c r="I2149" s="455">
        <f t="shared" ca="1" si="125"/>
        <v>-3152073022.9144425</v>
      </c>
      <c r="J2149" s="455">
        <f t="array" ref="J2149">IFERROR(INDEX('Retirement Calculator'!K:K,MATCH('Lorri 401b'!N2149,'Retirement Calculator'!A:A,0),0),0)</f>
        <v>0</v>
      </c>
      <c r="K2149" s="455">
        <f t="shared" ca="1" si="123"/>
        <v>-13133637.595476843</v>
      </c>
      <c r="L2149" s="455">
        <f t="shared" ca="1" si="124"/>
        <v>-3165206660.5099192</v>
      </c>
      <c r="M2149" s="471">
        <f t="shared" si="126"/>
        <v>0.05</v>
      </c>
      <c r="N2149" s="475">
        <f t="shared" si="127"/>
        <v>116453</v>
      </c>
    </row>
    <row r="2150" spans="7:14" ht="11.25" customHeight="1" x14ac:dyDescent="0.3">
      <c r="G2150" s="470"/>
      <c r="H2150" s="470">
        <v>2143</v>
      </c>
      <c r="I2150" s="455">
        <f t="shared" ca="1" si="125"/>
        <v>-3165206660.5099192</v>
      </c>
      <c r="J2150" s="455">
        <f t="array" ref="J2150">IFERROR(INDEX('Retirement Calculator'!K:K,MATCH('Lorri 401b'!N2150,'Retirement Calculator'!A:A,0),0),0)</f>
        <v>0</v>
      </c>
      <c r="K2150" s="455">
        <f t="shared" ca="1" si="123"/>
        <v>-13188361.085457996</v>
      </c>
      <c r="L2150" s="455">
        <f t="shared" ca="1" si="124"/>
        <v>-3178395021.595377</v>
      </c>
      <c r="M2150" s="471">
        <f t="shared" si="126"/>
        <v>0.05</v>
      </c>
      <c r="N2150" s="475">
        <f t="shared" si="127"/>
        <v>116483</v>
      </c>
    </row>
    <row r="2151" spans="7:14" ht="11.25" customHeight="1" x14ac:dyDescent="0.3">
      <c r="G2151" s="470"/>
      <c r="H2151" s="470">
        <v>2144</v>
      </c>
      <c r="I2151" s="455">
        <f t="shared" ca="1" si="125"/>
        <v>-3178395021.595377</v>
      </c>
      <c r="J2151" s="455">
        <f t="array" ref="J2151">IFERROR(INDEX('Retirement Calculator'!K:K,MATCH('Lorri 401b'!N2151,'Retirement Calculator'!A:A,0),0),0)</f>
        <v>0</v>
      </c>
      <c r="K2151" s="455">
        <f t="shared" ca="1" si="123"/>
        <v>-13243312.589980736</v>
      </c>
      <c r="L2151" s="455">
        <f t="shared" ca="1" si="124"/>
        <v>-3191638334.1853576</v>
      </c>
      <c r="M2151" s="471">
        <f t="shared" si="126"/>
        <v>0.05</v>
      </c>
      <c r="N2151" s="475">
        <f t="shared" si="127"/>
        <v>116514</v>
      </c>
    </row>
    <row r="2152" spans="7:14" ht="11.25" customHeight="1" x14ac:dyDescent="0.3">
      <c r="G2152" s="470"/>
      <c r="H2152" s="470">
        <v>2145</v>
      </c>
      <c r="I2152" s="455">
        <f t="shared" ca="1" si="125"/>
        <v>-3191638334.1853576</v>
      </c>
      <c r="J2152" s="455">
        <f t="array" ref="J2152">IFERROR(INDEX('Retirement Calculator'!K:K,MATCH('Lorri 401b'!N2152,'Retirement Calculator'!A:A,0),0),0)</f>
        <v>0</v>
      </c>
      <c r="K2152" s="455">
        <f t="shared" ca="1" si="123"/>
        <v>-13298493.059105657</v>
      </c>
      <c r="L2152" s="455">
        <f t="shared" ca="1" si="124"/>
        <v>-3204936827.2444634</v>
      </c>
      <c r="M2152" s="471">
        <f t="shared" si="126"/>
        <v>0.05</v>
      </c>
      <c r="N2152" s="475">
        <f t="shared" si="127"/>
        <v>116545</v>
      </c>
    </row>
    <row r="2153" spans="7:14" ht="11.25" customHeight="1" x14ac:dyDescent="0.3">
      <c r="G2153" s="470"/>
      <c r="H2153" s="470">
        <v>2146</v>
      </c>
      <c r="I2153" s="455">
        <f t="shared" ca="1" si="125"/>
        <v>-3204936827.2444634</v>
      </c>
      <c r="J2153" s="455">
        <f t="array" ref="J2153">IFERROR(INDEX('Retirement Calculator'!K:K,MATCH('Lorri 401b'!N2153,'Retirement Calculator'!A:A,0),0),0)</f>
        <v>0</v>
      </c>
      <c r="K2153" s="455">
        <f t="shared" ca="1" si="123"/>
        <v>-13353903.446851932</v>
      </c>
      <c r="L2153" s="455">
        <f t="shared" ca="1" si="124"/>
        <v>-3218290730.6913152</v>
      </c>
      <c r="M2153" s="471">
        <f t="shared" si="126"/>
        <v>0.05</v>
      </c>
      <c r="N2153" s="475">
        <f t="shared" si="127"/>
        <v>116573</v>
      </c>
    </row>
    <row r="2154" spans="7:14" ht="11.25" customHeight="1" x14ac:dyDescent="0.3">
      <c r="G2154" s="470"/>
      <c r="H2154" s="470">
        <v>2147</v>
      </c>
      <c r="I2154" s="455">
        <f t="shared" ca="1" si="125"/>
        <v>-3218290730.6913152</v>
      </c>
      <c r="J2154" s="455">
        <f t="array" ref="J2154">IFERROR(INDEX('Retirement Calculator'!K:K,MATCH('Lorri 401b'!N2154,'Retirement Calculator'!A:A,0),0),0)</f>
        <v>0</v>
      </c>
      <c r="K2154" s="455">
        <f t="shared" ca="1" si="123"/>
        <v>-13409544.711213812</v>
      </c>
      <c r="L2154" s="455">
        <f t="shared" ca="1" si="124"/>
        <v>-3231700275.4025288</v>
      </c>
      <c r="M2154" s="471">
        <f t="shared" si="126"/>
        <v>0.05</v>
      </c>
      <c r="N2154" s="475">
        <f t="shared" si="127"/>
        <v>116604</v>
      </c>
    </row>
    <row r="2155" spans="7:14" ht="11.25" customHeight="1" x14ac:dyDescent="0.3">
      <c r="G2155" s="470"/>
      <c r="H2155" s="470">
        <v>2148</v>
      </c>
      <c r="I2155" s="455">
        <f t="shared" ca="1" si="125"/>
        <v>-3231700275.4025288</v>
      </c>
      <c r="J2155" s="455">
        <f t="array" ref="J2155">IFERROR(INDEX('Retirement Calculator'!K:K,MATCH('Lorri 401b'!N2155,'Retirement Calculator'!A:A,0),0),0)</f>
        <v>0</v>
      </c>
      <c r="K2155" s="455">
        <f t="shared" ca="1" si="123"/>
        <v>-13465417.814177202</v>
      </c>
      <c r="L2155" s="455">
        <f t="shared" ca="1" si="124"/>
        <v>-3245165693.2167058</v>
      </c>
      <c r="M2155" s="471">
        <f t="shared" si="126"/>
        <v>0.05</v>
      </c>
      <c r="N2155" s="475">
        <f t="shared" si="127"/>
        <v>116634</v>
      </c>
    </row>
    <row r="2156" spans="7:14" ht="11.25" customHeight="1" x14ac:dyDescent="0.3">
      <c r="G2156" s="470"/>
      <c r="H2156" s="470">
        <v>2149</v>
      </c>
      <c r="I2156" s="455">
        <f t="shared" ca="1" si="125"/>
        <v>-3245165693.2167058</v>
      </c>
      <c r="J2156" s="455">
        <f t="array" ref="J2156">IFERROR(INDEX('Retirement Calculator'!K:K,MATCH('Lorri 401b'!N2156,'Retirement Calculator'!A:A,0),0),0)</f>
        <v>0</v>
      </c>
      <c r="K2156" s="455">
        <f t="shared" ca="1" si="123"/>
        <v>-13521523.721736275</v>
      </c>
      <c r="L2156" s="455">
        <f t="shared" ca="1" si="124"/>
        <v>-3258687216.9384422</v>
      </c>
      <c r="M2156" s="471">
        <f t="shared" si="126"/>
        <v>0.05</v>
      </c>
      <c r="N2156" s="475">
        <f t="shared" si="127"/>
        <v>116665</v>
      </c>
    </row>
    <row r="2157" spans="7:14" ht="11.25" customHeight="1" x14ac:dyDescent="0.3">
      <c r="G2157" s="470"/>
      <c r="H2157" s="470">
        <v>2150</v>
      </c>
      <c r="I2157" s="455">
        <f t="shared" ca="1" si="125"/>
        <v>-3258687216.9384422</v>
      </c>
      <c r="J2157" s="455">
        <f t="array" ref="J2157">IFERROR(INDEX('Retirement Calculator'!K:K,MATCH('Lorri 401b'!N2157,'Retirement Calculator'!A:A,0),0),0)</f>
        <v>0</v>
      </c>
      <c r="K2157" s="455">
        <f t="shared" ca="1" si="123"/>
        <v>-13577863.403910175</v>
      </c>
      <c r="L2157" s="455">
        <f t="shared" ca="1" si="124"/>
        <v>-3272265080.3423524</v>
      </c>
      <c r="M2157" s="471">
        <f t="shared" si="126"/>
        <v>0.05</v>
      </c>
      <c r="N2157" s="475">
        <f t="shared" si="127"/>
        <v>116695</v>
      </c>
    </row>
    <row r="2158" spans="7:14" ht="11.25" customHeight="1" x14ac:dyDescent="0.3">
      <c r="G2158" s="470"/>
      <c r="H2158" s="470">
        <v>2151</v>
      </c>
      <c r="I2158" s="455">
        <f t="shared" ca="1" si="125"/>
        <v>-3272265080.3423524</v>
      </c>
      <c r="J2158" s="455">
        <f t="array" ref="J2158">IFERROR(INDEX('Retirement Calculator'!K:K,MATCH('Lorri 401b'!N2158,'Retirement Calculator'!A:A,0),0),0)</f>
        <v>0</v>
      </c>
      <c r="K2158" s="455">
        <f t="shared" ca="1" si="123"/>
        <v>-13634437.834759802</v>
      </c>
      <c r="L2158" s="455">
        <f t="shared" ca="1" si="124"/>
        <v>-3285899518.1771121</v>
      </c>
      <c r="M2158" s="471">
        <f t="shared" si="126"/>
        <v>0.05</v>
      </c>
      <c r="N2158" s="475">
        <f t="shared" si="127"/>
        <v>116726</v>
      </c>
    </row>
    <row r="2159" spans="7:14" ht="11.25" customHeight="1" x14ac:dyDescent="0.3">
      <c r="G2159" s="470"/>
      <c r="H2159" s="470">
        <v>2152</v>
      </c>
      <c r="I2159" s="455">
        <f t="shared" ca="1" si="125"/>
        <v>-3285899518.1771121</v>
      </c>
      <c r="J2159" s="455">
        <f t="array" ref="J2159">IFERROR(INDEX('Retirement Calculator'!K:K,MATCH('Lorri 401b'!N2159,'Retirement Calculator'!A:A,0),0),0)</f>
        <v>0</v>
      </c>
      <c r="K2159" s="455">
        <f t="shared" ca="1" si="123"/>
        <v>-13691247.992404634</v>
      </c>
      <c r="L2159" s="455">
        <f t="shared" ca="1" si="124"/>
        <v>-3299590766.1695166</v>
      </c>
      <c r="M2159" s="471">
        <f t="shared" si="126"/>
        <v>0.05</v>
      </c>
      <c r="N2159" s="475">
        <f t="shared" si="127"/>
        <v>116757</v>
      </c>
    </row>
    <row r="2160" spans="7:14" ht="11.25" customHeight="1" x14ac:dyDescent="0.3">
      <c r="G2160" s="470"/>
      <c r="H2160" s="470">
        <v>2153</v>
      </c>
      <c r="I2160" s="455">
        <f t="shared" ca="1" si="125"/>
        <v>-3299590766.1695166</v>
      </c>
      <c r="J2160" s="455">
        <f t="array" ref="J2160">IFERROR(INDEX('Retirement Calculator'!K:K,MATCH('Lorri 401b'!N2160,'Retirement Calculator'!A:A,0),0),0)</f>
        <v>0</v>
      </c>
      <c r="K2160" s="455">
        <f t="shared" ca="1" si="123"/>
        <v>-13748294.859039651</v>
      </c>
      <c r="L2160" s="455">
        <f t="shared" ca="1" si="124"/>
        <v>-3313339061.0285563</v>
      </c>
      <c r="M2160" s="471">
        <f t="shared" si="126"/>
        <v>0.05</v>
      </c>
      <c r="N2160" s="475">
        <f t="shared" si="127"/>
        <v>116787</v>
      </c>
    </row>
    <row r="2161" spans="7:14" ht="11.25" customHeight="1" x14ac:dyDescent="0.3">
      <c r="G2161" s="470"/>
      <c r="H2161" s="470">
        <v>2154</v>
      </c>
      <c r="I2161" s="455">
        <f t="shared" ca="1" si="125"/>
        <v>-3313339061.0285563</v>
      </c>
      <c r="J2161" s="455">
        <f t="array" ref="J2161">IFERROR(INDEX('Retirement Calculator'!K:K,MATCH('Lorri 401b'!N2161,'Retirement Calculator'!A:A,0),0),0)</f>
        <v>0</v>
      </c>
      <c r="K2161" s="455">
        <f t="shared" ca="1" si="123"/>
        <v>-13805579.420952318</v>
      </c>
      <c r="L2161" s="455">
        <f t="shared" ca="1" si="124"/>
        <v>-3327144640.4495087</v>
      </c>
      <c r="M2161" s="471">
        <f t="shared" si="126"/>
        <v>0.05</v>
      </c>
      <c r="N2161" s="475">
        <f t="shared" si="127"/>
        <v>116818</v>
      </c>
    </row>
    <row r="2162" spans="7:14" ht="11.25" customHeight="1" x14ac:dyDescent="0.3">
      <c r="G2162" s="470"/>
      <c r="H2162" s="470">
        <v>2155</v>
      </c>
      <c r="I2162" s="455">
        <f t="shared" ca="1" si="125"/>
        <v>-3327144640.4495087</v>
      </c>
      <c r="J2162" s="455">
        <f t="array" ref="J2162">IFERROR(INDEX('Retirement Calculator'!K:K,MATCH('Lorri 401b'!N2162,'Retirement Calculator'!A:A,0),0),0)</f>
        <v>0</v>
      </c>
      <c r="K2162" s="455">
        <f t="shared" ca="1" si="123"/>
        <v>-13863102.668539619</v>
      </c>
      <c r="L2162" s="455">
        <f t="shared" ca="1" si="124"/>
        <v>-3341007743.1180482</v>
      </c>
      <c r="M2162" s="471">
        <f t="shared" si="126"/>
        <v>0.05</v>
      </c>
      <c r="N2162" s="475">
        <f t="shared" si="127"/>
        <v>116848</v>
      </c>
    </row>
    <row r="2163" spans="7:14" ht="11.25" customHeight="1" x14ac:dyDescent="0.3">
      <c r="G2163" s="470"/>
      <c r="H2163" s="470">
        <v>2156</v>
      </c>
      <c r="I2163" s="455">
        <f t="shared" ca="1" si="125"/>
        <v>-3341007743.1180482</v>
      </c>
      <c r="J2163" s="455">
        <f t="array" ref="J2163">IFERROR(INDEX('Retirement Calculator'!K:K,MATCH('Lorri 401b'!N2163,'Retirement Calculator'!A:A,0),0),0)</f>
        <v>0</v>
      </c>
      <c r="K2163" s="455">
        <f t="shared" ca="1" si="123"/>
        <v>-13920865.5963252</v>
      </c>
      <c r="L2163" s="455">
        <f t="shared" ca="1" si="124"/>
        <v>-3354928608.7143736</v>
      </c>
      <c r="M2163" s="471">
        <f t="shared" si="126"/>
        <v>0.05</v>
      </c>
      <c r="N2163" s="475">
        <f t="shared" si="127"/>
        <v>116879</v>
      </c>
    </row>
    <row r="2164" spans="7:14" ht="11.25" customHeight="1" x14ac:dyDescent="0.3">
      <c r="G2164" s="470"/>
      <c r="H2164" s="470">
        <v>2157</v>
      </c>
      <c r="I2164" s="455">
        <f t="shared" ca="1" si="125"/>
        <v>-3354928608.7143736</v>
      </c>
      <c r="J2164" s="455">
        <f t="array" ref="J2164">IFERROR(INDEX('Retirement Calculator'!K:K,MATCH('Lorri 401b'!N2164,'Retirement Calculator'!A:A,0),0),0)</f>
        <v>0</v>
      </c>
      <c r="K2164" s="455">
        <f t="shared" ca="1" si="123"/>
        <v>-13978869.202976556</v>
      </c>
      <c r="L2164" s="455">
        <f t="shared" ca="1" si="124"/>
        <v>-3368907477.9173503</v>
      </c>
      <c r="M2164" s="471">
        <f t="shared" si="126"/>
        <v>0.05</v>
      </c>
      <c r="N2164" s="475">
        <f t="shared" si="127"/>
        <v>116910</v>
      </c>
    </row>
    <row r="2165" spans="7:14" ht="11.25" customHeight="1" x14ac:dyDescent="0.3">
      <c r="G2165" s="470"/>
      <c r="H2165" s="470">
        <v>2158</v>
      </c>
      <c r="I2165" s="455">
        <f t="shared" ca="1" si="125"/>
        <v>-3368907477.9173503</v>
      </c>
      <c r="J2165" s="455">
        <f t="array" ref="J2165">IFERROR(INDEX('Retirement Calculator'!K:K,MATCH('Lorri 401b'!N2165,'Retirement Calculator'!A:A,0),0),0)</f>
        <v>0</v>
      </c>
      <c r="K2165" s="455">
        <f t="shared" ca="1" si="123"/>
        <v>-14037114.49132229</v>
      </c>
      <c r="L2165" s="455">
        <f t="shared" ca="1" si="124"/>
        <v>-3382944592.4086728</v>
      </c>
      <c r="M2165" s="471">
        <f t="shared" si="126"/>
        <v>0.05</v>
      </c>
      <c r="N2165" s="475">
        <f t="shared" si="127"/>
        <v>116939</v>
      </c>
    </row>
    <row r="2166" spans="7:14" ht="11.25" customHeight="1" x14ac:dyDescent="0.3">
      <c r="G2166" s="470"/>
      <c r="H2166" s="470">
        <v>2159</v>
      </c>
      <c r="I2166" s="455">
        <f t="shared" ca="1" si="125"/>
        <v>-3382944592.4086728</v>
      </c>
      <c r="J2166" s="455">
        <f t="array" ref="J2166">IFERROR(INDEX('Retirement Calculator'!K:K,MATCH('Lorri 401b'!N2166,'Retirement Calculator'!A:A,0),0),0)</f>
        <v>0</v>
      </c>
      <c r="K2166" s="455">
        <f t="shared" ca="1" si="123"/>
        <v>-14095602.468369469</v>
      </c>
      <c r="L2166" s="455">
        <f t="shared" ca="1" si="124"/>
        <v>-3397040194.8770423</v>
      </c>
      <c r="M2166" s="471">
        <f t="shared" si="126"/>
        <v>0.05</v>
      </c>
      <c r="N2166" s="475">
        <f t="shared" si="127"/>
        <v>116970</v>
      </c>
    </row>
    <row r="2167" spans="7:14" ht="11.25" customHeight="1" x14ac:dyDescent="0.3">
      <c r="G2167" s="470"/>
      <c r="H2167" s="470">
        <v>2160</v>
      </c>
      <c r="I2167" s="455">
        <f t="shared" ca="1" si="125"/>
        <v>-3397040194.8770423</v>
      </c>
      <c r="J2167" s="455">
        <f t="array" ref="J2167">IFERROR(INDEX('Retirement Calculator'!K:K,MATCH('Lorri 401b'!N2167,'Retirement Calculator'!A:A,0),0),0)</f>
        <v>0</v>
      </c>
      <c r="K2167" s="455">
        <f t="shared" ca="1" si="123"/>
        <v>-14154334.14532101</v>
      </c>
      <c r="L2167" s="455">
        <f t="shared" ca="1" si="124"/>
        <v>-3411194529.0223632</v>
      </c>
      <c r="M2167" s="471">
        <f t="shared" si="126"/>
        <v>0.05</v>
      </c>
      <c r="N2167" s="475">
        <f t="shared" si="127"/>
        <v>117000</v>
      </c>
    </row>
    <row r="2168" spans="7:14" ht="11.25" customHeight="1" x14ac:dyDescent="0.3">
      <c r="G2168" s="470"/>
      <c r="H2168" s="470">
        <v>2161</v>
      </c>
      <c r="I2168" s="455">
        <f t="shared" ca="1" si="125"/>
        <v>-3411194529.0223632</v>
      </c>
      <c r="J2168" s="455">
        <f t="array" ref="J2168">IFERROR(INDEX('Retirement Calculator'!K:K,MATCH('Lorri 401b'!N2168,'Retirement Calculator'!A:A,0),0),0)</f>
        <v>0</v>
      </c>
      <c r="K2168" s="455">
        <f t="shared" ca="1" si="123"/>
        <v>-14213310.53759318</v>
      </c>
      <c r="L2168" s="455">
        <f t="shared" ca="1" si="124"/>
        <v>-3425407839.5599566</v>
      </c>
      <c r="M2168" s="471">
        <f t="shared" si="126"/>
        <v>0.05</v>
      </c>
      <c r="N2168" s="475">
        <f t="shared" si="127"/>
        <v>117031</v>
      </c>
    </row>
    <row r="2169" spans="7:14" ht="11.25" customHeight="1" x14ac:dyDescent="0.3">
      <c r="G2169" s="470"/>
      <c r="H2169" s="470">
        <v>2162</v>
      </c>
      <c r="I2169" s="455">
        <f t="shared" ca="1" si="125"/>
        <v>-3425407839.5599566</v>
      </c>
      <c r="J2169" s="455">
        <f t="array" ref="J2169">IFERROR(INDEX('Retirement Calculator'!K:K,MATCH('Lorri 401b'!N2169,'Retirement Calculator'!A:A,0),0),0)</f>
        <v>0</v>
      </c>
      <c r="K2169" s="455">
        <f t="shared" ca="1" si="123"/>
        <v>-14272532.664833153</v>
      </c>
      <c r="L2169" s="455">
        <f t="shared" ca="1" si="124"/>
        <v>-3439680372.2247896</v>
      </c>
      <c r="M2169" s="471">
        <f t="shared" si="126"/>
        <v>0.05</v>
      </c>
      <c r="N2169" s="475">
        <f t="shared" si="127"/>
        <v>117061</v>
      </c>
    </row>
    <row r="2170" spans="7:14" ht="11.25" customHeight="1" x14ac:dyDescent="0.3">
      <c r="G2170" s="470"/>
      <c r="H2170" s="470">
        <v>2163</v>
      </c>
      <c r="I2170" s="455">
        <f t="shared" ca="1" si="125"/>
        <v>-3439680372.2247896</v>
      </c>
      <c r="J2170" s="455">
        <f t="array" ref="J2170">IFERROR(INDEX('Retirement Calculator'!K:K,MATCH('Lorri 401b'!N2170,'Retirement Calculator'!A:A,0),0),0)</f>
        <v>0</v>
      </c>
      <c r="K2170" s="455">
        <f t="shared" ca="1" si="123"/>
        <v>-14332001.550936621</v>
      </c>
      <c r="L2170" s="455">
        <f t="shared" ca="1" si="124"/>
        <v>-3454012373.7757263</v>
      </c>
      <c r="M2170" s="471">
        <f t="shared" si="126"/>
        <v>0.05</v>
      </c>
      <c r="N2170" s="475">
        <f t="shared" si="127"/>
        <v>117092</v>
      </c>
    </row>
    <row r="2171" spans="7:14" ht="11.25" customHeight="1" x14ac:dyDescent="0.3">
      <c r="G2171" s="470"/>
      <c r="H2171" s="470">
        <v>2164</v>
      </c>
      <c r="I2171" s="455">
        <f t="shared" ca="1" si="125"/>
        <v>-3454012373.7757263</v>
      </c>
      <c r="J2171" s="455">
        <f t="array" ref="J2171">IFERROR(INDEX('Retirement Calculator'!K:K,MATCH('Lorri 401b'!N2171,'Retirement Calculator'!A:A,0),0),0)</f>
        <v>0</v>
      </c>
      <c r="K2171" s="455">
        <f t="shared" ca="1" si="123"/>
        <v>-14391718.224065527</v>
      </c>
      <c r="L2171" s="455">
        <f t="shared" ca="1" si="124"/>
        <v>-3468404091.9997916</v>
      </c>
      <c r="M2171" s="471">
        <f t="shared" si="126"/>
        <v>0.05</v>
      </c>
      <c r="N2171" s="475">
        <f t="shared" si="127"/>
        <v>117123</v>
      </c>
    </row>
    <row r="2172" spans="7:14" ht="11.25" customHeight="1" x14ac:dyDescent="0.3">
      <c r="G2172" s="470"/>
      <c r="H2172" s="470">
        <v>2165</v>
      </c>
      <c r="I2172" s="455">
        <f t="shared" ca="1" si="125"/>
        <v>-3468404091.9997916</v>
      </c>
      <c r="J2172" s="455">
        <f t="array" ref="J2172">IFERROR(INDEX('Retirement Calculator'!K:K,MATCH('Lorri 401b'!N2172,'Retirement Calculator'!A:A,0),0),0)</f>
        <v>0</v>
      </c>
      <c r="K2172" s="455">
        <f t="shared" ca="1" si="123"/>
        <v>-14451683.716665799</v>
      </c>
      <c r="L2172" s="455">
        <f t="shared" ca="1" si="124"/>
        <v>-3482855775.7164574</v>
      </c>
      <c r="M2172" s="471">
        <f t="shared" si="126"/>
        <v>0.05</v>
      </c>
      <c r="N2172" s="475">
        <f t="shared" si="127"/>
        <v>117153</v>
      </c>
    </row>
    <row r="2173" spans="7:14" ht="11.25" customHeight="1" x14ac:dyDescent="0.3">
      <c r="G2173" s="470"/>
      <c r="H2173" s="470">
        <v>2166</v>
      </c>
      <c r="I2173" s="455">
        <f t="shared" ca="1" si="125"/>
        <v>-3482855775.7164574</v>
      </c>
      <c r="J2173" s="455">
        <f t="array" ref="J2173">IFERROR(INDEX('Retirement Calculator'!K:K,MATCH('Lorri 401b'!N2173,'Retirement Calculator'!A:A,0),0),0)</f>
        <v>0</v>
      </c>
      <c r="K2173" s="455">
        <f t="shared" ca="1" si="123"/>
        <v>-14511899.065485237</v>
      </c>
      <c r="L2173" s="455">
        <f t="shared" ca="1" si="124"/>
        <v>-3497367674.7819424</v>
      </c>
      <c r="M2173" s="471">
        <f t="shared" si="126"/>
        <v>0.05</v>
      </c>
      <c r="N2173" s="475">
        <f t="shared" si="127"/>
        <v>117184</v>
      </c>
    </row>
    <row r="2174" spans="7:14" ht="11.25" customHeight="1" x14ac:dyDescent="0.3">
      <c r="G2174" s="470"/>
      <c r="H2174" s="470">
        <v>2167</v>
      </c>
      <c r="I2174" s="455">
        <f t="shared" ca="1" si="125"/>
        <v>-3497367674.7819424</v>
      </c>
      <c r="J2174" s="455">
        <f t="array" ref="J2174">IFERROR(INDEX('Retirement Calculator'!K:K,MATCH('Lorri 401b'!N2174,'Retirement Calculator'!A:A,0),0),0)</f>
        <v>0</v>
      </c>
      <c r="K2174" s="455">
        <f t="shared" ca="1" si="123"/>
        <v>-14572365.311591428</v>
      </c>
      <c r="L2174" s="455">
        <f t="shared" ca="1" si="124"/>
        <v>-3511940040.093534</v>
      </c>
      <c r="M2174" s="471">
        <f t="shared" si="126"/>
        <v>0.05</v>
      </c>
      <c r="N2174" s="475">
        <f t="shared" si="127"/>
        <v>117214</v>
      </c>
    </row>
    <row r="2175" spans="7:14" ht="11.25" customHeight="1" x14ac:dyDescent="0.3">
      <c r="G2175" s="470"/>
      <c r="H2175" s="470">
        <v>2168</v>
      </c>
      <c r="I2175" s="455">
        <f t="shared" ca="1" si="125"/>
        <v>-3511940040.093534</v>
      </c>
      <c r="J2175" s="455">
        <f t="array" ref="J2175">IFERROR(INDEX('Retirement Calculator'!K:K,MATCH('Lorri 401b'!N2175,'Retirement Calculator'!A:A,0),0),0)</f>
        <v>0</v>
      </c>
      <c r="K2175" s="455">
        <f t="shared" ca="1" si="123"/>
        <v>-14633083.500389727</v>
      </c>
      <c r="L2175" s="455">
        <f t="shared" ca="1" si="124"/>
        <v>-3526573123.5939236</v>
      </c>
      <c r="M2175" s="471">
        <f t="shared" si="126"/>
        <v>0.05</v>
      </c>
      <c r="N2175" s="475">
        <f t="shared" si="127"/>
        <v>117245</v>
      </c>
    </row>
    <row r="2176" spans="7:14" ht="11.25" customHeight="1" x14ac:dyDescent="0.3">
      <c r="G2176" s="470"/>
      <c r="H2176" s="470">
        <v>2169</v>
      </c>
      <c r="I2176" s="455">
        <f t="shared" ca="1" si="125"/>
        <v>-3526573123.5939236</v>
      </c>
      <c r="J2176" s="455">
        <f t="array" ref="J2176">IFERROR(INDEX('Retirement Calculator'!K:K,MATCH('Lorri 401b'!N2176,'Retirement Calculator'!A:A,0),0),0)</f>
        <v>0</v>
      </c>
      <c r="K2176" s="455">
        <f t="shared" ca="1" si="123"/>
        <v>-14694054.681641348</v>
      </c>
      <c r="L2176" s="455">
        <f t="shared" ca="1" si="124"/>
        <v>-3541267178.2755651</v>
      </c>
      <c r="M2176" s="471">
        <f t="shared" si="126"/>
        <v>0.05</v>
      </c>
      <c r="N2176" s="475">
        <f t="shared" si="127"/>
        <v>117276</v>
      </c>
    </row>
    <row r="2177" spans="7:14" ht="11.25" customHeight="1" x14ac:dyDescent="0.3">
      <c r="G2177" s="470"/>
      <c r="H2177" s="470">
        <v>2170</v>
      </c>
      <c r="I2177" s="455">
        <f t="shared" ca="1" si="125"/>
        <v>-3541267178.2755651</v>
      </c>
      <c r="J2177" s="455">
        <f t="array" ref="J2177">IFERROR(INDEX('Retirement Calculator'!K:K,MATCH('Lorri 401b'!N2177,'Retirement Calculator'!A:A,0),0),0)</f>
        <v>0</v>
      </c>
      <c r="K2177" s="455">
        <f t="shared" ca="1" si="123"/>
        <v>-14755279.909481522</v>
      </c>
      <c r="L2177" s="455">
        <f t="shared" ca="1" si="124"/>
        <v>-3556022458.1850467</v>
      </c>
      <c r="M2177" s="471">
        <f t="shared" si="126"/>
        <v>0.05</v>
      </c>
      <c r="N2177" s="475">
        <f t="shared" si="127"/>
        <v>117304</v>
      </c>
    </row>
    <row r="2178" spans="7:14" ht="11.25" customHeight="1" x14ac:dyDescent="0.3">
      <c r="G2178" s="470"/>
      <c r="H2178" s="470">
        <v>2171</v>
      </c>
      <c r="I2178" s="455">
        <f t="shared" ca="1" si="125"/>
        <v>-3556022458.1850467</v>
      </c>
      <c r="J2178" s="455">
        <f t="array" ref="J2178">IFERROR(INDEX('Retirement Calculator'!K:K,MATCH('Lorri 401b'!N2178,'Retirement Calculator'!A:A,0),0),0)</f>
        <v>0</v>
      </c>
      <c r="K2178" s="455">
        <f t="shared" ca="1" si="123"/>
        <v>-14816760.242437694</v>
      </c>
      <c r="L2178" s="455">
        <f t="shared" ca="1" si="124"/>
        <v>-3570839218.4274845</v>
      </c>
      <c r="M2178" s="471">
        <f t="shared" si="126"/>
        <v>0.05</v>
      </c>
      <c r="N2178" s="475">
        <f t="shared" si="127"/>
        <v>117335</v>
      </c>
    </row>
    <row r="2179" spans="7:14" ht="11.25" customHeight="1" x14ac:dyDescent="0.3">
      <c r="G2179" s="470"/>
      <c r="H2179" s="470">
        <v>2172</v>
      </c>
      <c r="I2179" s="455">
        <f t="shared" ca="1" si="125"/>
        <v>-3570839218.4274845</v>
      </c>
      <c r="J2179" s="455">
        <f t="array" ref="J2179">IFERROR(INDEX('Retirement Calculator'!K:K,MATCH('Lorri 401b'!N2179,'Retirement Calculator'!A:A,0),0),0)</f>
        <v>0</v>
      </c>
      <c r="K2179" s="455">
        <f t="shared" ca="1" si="123"/>
        <v>-14878496.743447851</v>
      </c>
      <c r="L2179" s="455">
        <f t="shared" ca="1" si="124"/>
        <v>-3585717715.1709323</v>
      </c>
      <c r="M2179" s="471">
        <f t="shared" si="126"/>
        <v>0.05</v>
      </c>
      <c r="N2179" s="475">
        <f t="shared" si="127"/>
        <v>117365</v>
      </c>
    </row>
    <row r="2180" spans="7:14" ht="11.25" customHeight="1" x14ac:dyDescent="0.3">
      <c r="G2180" s="470"/>
      <c r="H2180" s="470">
        <v>2173</v>
      </c>
      <c r="I2180" s="455">
        <f t="shared" ca="1" si="125"/>
        <v>-3585717715.1709323</v>
      </c>
      <c r="J2180" s="455">
        <f t="array" ref="J2180">IFERROR(INDEX('Retirement Calculator'!K:K,MATCH('Lorri 401b'!N2180,'Retirement Calculator'!A:A,0),0),0)</f>
        <v>0</v>
      </c>
      <c r="K2180" s="455">
        <f t="shared" ca="1" si="123"/>
        <v>-14940490.479878884</v>
      </c>
      <c r="L2180" s="455">
        <f t="shared" ca="1" si="124"/>
        <v>-3600658205.6508112</v>
      </c>
      <c r="M2180" s="471">
        <f t="shared" si="126"/>
        <v>0.05</v>
      </c>
      <c r="N2180" s="475">
        <f t="shared" si="127"/>
        <v>117396</v>
      </c>
    </row>
    <row r="2181" spans="7:14" ht="11.25" customHeight="1" x14ac:dyDescent="0.3">
      <c r="G2181" s="470"/>
      <c r="H2181" s="470">
        <v>2174</v>
      </c>
      <c r="I2181" s="455">
        <f t="shared" ca="1" si="125"/>
        <v>-3600658205.6508112</v>
      </c>
      <c r="J2181" s="455">
        <f t="array" ref="J2181">IFERROR(INDEX('Retirement Calculator'!K:K,MATCH('Lorri 401b'!N2181,'Retirement Calculator'!A:A,0),0),0)</f>
        <v>0</v>
      </c>
      <c r="K2181" s="455">
        <f t="shared" ca="1" si="123"/>
        <v>-15002742.523545044</v>
      </c>
      <c r="L2181" s="455">
        <f t="shared" ca="1" si="124"/>
        <v>-3615660948.1743565</v>
      </c>
      <c r="M2181" s="471">
        <f t="shared" si="126"/>
        <v>0.05</v>
      </c>
      <c r="N2181" s="475">
        <f t="shared" si="127"/>
        <v>117426</v>
      </c>
    </row>
    <row r="2182" spans="7:14" ht="11.25" customHeight="1" x14ac:dyDescent="0.3">
      <c r="G2182" s="470"/>
      <c r="H2182" s="470">
        <v>2175</v>
      </c>
      <c r="I2182" s="455">
        <f t="shared" ca="1" si="125"/>
        <v>-3615660948.1743565</v>
      </c>
      <c r="J2182" s="455">
        <f t="array" ref="J2182">IFERROR(INDEX('Retirement Calculator'!K:K,MATCH('Lorri 401b'!N2182,'Retirement Calculator'!A:A,0),0),0)</f>
        <v>0</v>
      </c>
      <c r="K2182" s="455">
        <f t="shared" ca="1" si="123"/>
        <v>-15065253.950726485</v>
      </c>
      <c r="L2182" s="455">
        <f t="shared" ca="1" si="124"/>
        <v>-3630726202.125083</v>
      </c>
      <c r="M2182" s="471">
        <f t="shared" si="126"/>
        <v>0.05</v>
      </c>
      <c r="N2182" s="475">
        <f t="shared" si="127"/>
        <v>117457</v>
      </c>
    </row>
    <row r="2183" spans="7:14" ht="11.25" customHeight="1" x14ac:dyDescent="0.3">
      <c r="G2183" s="470"/>
      <c r="H2183" s="470">
        <v>2176</v>
      </c>
      <c r="I2183" s="455">
        <f t="shared" ca="1" si="125"/>
        <v>-3630726202.125083</v>
      </c>
      <c r="J2183" s="455">
        <f t="array" ref="J2183">IFERROR(INDEX('Retirement Calculator'!K:K,MATCH('Lorri 401b'!N2183,'Retirement Calculator'!A:A,0),0),0)</f>
        <v>0</v>
      </c>
      <c r="K2183" s="455">
        <f t="shared" ca="1" si="123"/>
        <v>-15128025.842187846</v>
      </c>
      <c r="L2183" s="455">
        <f t="shared" ca="1" si="124"/>
        <v>-3645854227.9672709</v>
      </c>
      <c r="M2183" s="471">
        <f t="shared" si="126"/>
        <v>0.05</v>
      </c>
      <c r="N2183" s="475">
        <f t="shared" si="127"/>
        <v>117488</v>
      </c>
    </row>
    <row r="2184" spans="7:14" ht="11.25" customHeight="1" x14ac:dyDescent="0.3">
      <c r="G2184" s="470"/>
      <c r="H2184" s="470">
        <v>2177</v>
      </c>
      <c r="I2184" s="455">
        <f t="shared" ca="1" si="125"/>
        <v>-3645854227.9672709</v>
      </c>
      <c r="J2184" s="455">
        <f t="array" ref="J2184">IFERROR(INDEX('Retirement Calculator'!K:K,MATCH('Lorri 401b'!N2184,'Retirement Calculator'!A:A,0),0),0)</f>
        <v>0</v>
      </c>
      <c r="K2184" s="455">
        <f t="shared" ca="1" si="123"/>
        <v>-15191059.283196962</v>
      </c>
      <c r="L2184" s="455">
        <f t="shared" ca="1" si="124"/>
        <v>-3661045287.2504678</v>
      </c>
      <c r="M2184" s="471">
        <f t="shared" si="126"/>
        <v>0.05</v>
      </c>
      <c r="N2184" s="475">
        <f t="shared" si="127"/>
        <v>117518</v>
      </c>
    </row>
    <row r="2185" spans="7:14" ht="11.25" customHeight="1" x14ac:dyDescent="0.3">
      <c r="G2185" s="470"/>
      <c r="H2185" s="470">
        <v>2178</v>
      </c>
      <c r="I2185" s="455">
        <f t="shared" ca="1" si="125"/>
        <v>-3661045287.2504678</v>
      </c>
      <c r="J2185" s="455">
        <f t="array" ref="J2185">IFERROR(INDEX('Retirement Calculator'!K:K,MATCH('Lorri 401b'!N2185,'Retirement Calculator'!A:A,0),0),0)</f>
        <v>0</v>
      </c>
      <c r="K2185" s="455">
        <f t="shared" ca="1" si="123"/>
        <v>-15254355.363543617</v>
      </c>
      <c r="L2185" s="455">
        <f t="shared" ca="1" si="124"/>
        <v>-3676299642.6140113</v>
      </c>
      <c r="M2185" s="471">
        <f t="shared" si="126"/>
        <v>0.05</v>
      </c>
      <c r="N2185" s="475">
        <f t="shared" si="127"/>
        <v>117549</v>
      </c>
    </row>
    <row r="2186" spans="7:14" ht="11.25" customHeight="1" x14ac:dyDescent="0.3">
      <c r="G2186" s="470"/>
      <c r="H2186" s="470">
        <v>2179</v>
      </c>
      <c r="I2186" s="455">
        <f t="shared" ca="1" si="125"/>
        <v>-3676299642.6140113</v>
      </c>
      <c r="J2186" s="455">
        <f t="array" ref="J2186">IFERROR(INDEX('Retirement Calculator'!K:K,MATCH('Lorri 401b'!N2186,'Retirement Calculator'!A:A,0),0),0)</f>
        <v>0</v>
      </c>
      <c r="K2186" s="455">
        <f t="shared" ca="1" si="123"/>
        <v>-15317915.177558379</v>
      </c>
      <c r="L2186" s="455">
        <f t="shared" ca="1" si="124"/>
        <v>-3691617557.7915697</v>
      </c>
      <c r="M2186" s="471">
        <f t="shared" si="126"/>
        <v>0.05</v>
      </c>
      <c r="N2186" s="475">
        <f t="shared" si="127"/>
        <v>117579</v>
      </c>
    </row>
    <row r="2187" spans="7:14" ht="11.25" customHeight="1" x14ac:dyDescent="0.3">
      <c r="G2187" s="470"/>
      <c r="H2187" s="470">
        <v>2180</v>
      </c>
      <c r="I2187" s="455">
        <f t="shared" ca="1" si="125"/>
        <v>-3691617557.7915697</v>
      </c>
      <c r="J2187" s="455">
        <f t="array" ref="J2187">IFERROR(INDEX('Retirement Calculator'!K:K,MATCH('Lorri 401b'!N2187,'Retirement Calculator'!A:A,0),0),0)</f>
        <v>0</v>
      </c>
      <c r="K2187" s="455">
        <f t="shared" ca="1" si="123"/>
        <v>-15381739.824131539</v>
      </c>
      <c r="L2187" s="455">
        <f t="shared" ca="1" si="124"/>
        <v>-3706999297.6157012</v>
      </c>
      <c r="M2187" s="471">
        <f t="shared" si="126"/>
        <v>0.05</v>
      </c>
      <c r="N2187" s="475">
        <f t="shared" si="127"/>
        <v>117610</v>
      </c>
    </row>
    <row r="2188" spans="7:14" ht="11.25" customHeight="1" x14ac:dyDescent="0.3">
      <c r="G2188" s="470"/>
      <c r="H2188" s="470">
        <v>2181</v>
      </c>
      <c r="I2188" s="455">
        <f t="shared" ca="1" si="125"/>
        <v>-3706999297.6157012</v>
      </c>
      <c r="J2188" s="455">
        <f t="array" ref="J2188">IFERROR(INDEX('Retirement Calculator'!K:K,MATCH('Lorri 401b'!N2188,'Retirement Calculator'!A:A,0),0),0)</f>
        <v>0</v>
      </c>
      <c r="K2188" s="455">
        <f t="shared" ca="1" si="123"/>
        <v>-15445830.406732088</v>
      </c>
      <c r="L2188" s="455">
        <f t="shared" ca="1" si="124"/>
        <v>-3722445128.0224333</v>
      </c>
      <c r="M2188" s="471">
        <f t="shared" si="126"/>
        <v>0.05</v>
      </c>
      <c r="N2188" s="475">
        <f t="shared" si="127"/>
        <v>117641</v>
      </c>
    </row>
    <row r="2189" spans="7:14" ht="11.25" customHeight="1" x14ac:dyDescent="0.3">
      <c r="G2189" s="470"/>
      <c r="H2189" s="470">
        <v>2182</v>
      </c>
      <c r="I2189" s="455">
        <f t="shared" ca="1" si="125"/>
        <v>-3722445128.0224333</v>
      </c>
      <c r="J2189" s="455">
        <f t="array" ref="J2189">IFERROR(INDEX('Retirement Calculator'!K:K,MATCH('Lorri 401b'!N2189,'Retirement Calculator'!A:A,0),0),0)</f>
        <v>0</v>
      </c>
      <c r="K2189" s="455">
        <f t="shared" ca="1" si="123"/>
        <v>-15510188.033426803</v>
      </c>
      <c r="L2189" s="455">
        <f t="shared" ca="1" si="124"/>
        <v>-3737955316.05586</v>
      </c>
      <c r="M2189" s="471">
        <f t="shared" si="126"/>
        <v>0.05</v>
      </c>
      <c r="N2189" s="475">
        <f t="shared" si="127"/>
        <v>117669</v>
      </c>
    </row>
    <row r="2190" spans="7:14" ht="11.25" customHeight="1" x14ac:dyDescent="0.3">
      <c r="G2190" s="470"/>
      <c r="H2190" s="470">
        <v>2183</v>
      </c>
      <c r="I2190" s="455">
        <f t="shared" ca="1" si="125"/>
        <v>-3737955316.05586</v>
      </c>
      <c r="J2190" s="455">
        <f t="array" ref="J2190">IFERROR(INDEX('Retirement Calculator'!K:K,MATCH('Lorri 401b'!N2190,'Retirement Calculator'!A:A,0),0),0)</f>
        <v>0</v>
      </c>
      <c r="K2190" s="455">
        <f t="shared" ca="1" si="123"/>
        <v>-15574813.816899417</v>
      </c>
      <c r="L2190" s="455">
        <f t="shared" ca="1" si="124"/>
        <v>-3753530129.8727593</v>
      </c>
      <c r="M2190" s="471">
        <f t="shared" si="126"/>
        <v>0.05</v>
      </c>
      <c r="N2190" s="475">
        <f t="shared" si="127"/>
        <v>117700</v>
      </c>
    </row>
    <row r="2191" spans="7:14" ht="11.25" customHeight="1" x14ac:dyDescent="0.3">
      <c r="G2191" s="470"/>
      <c r="H2191" s="470">
        <v>2184</v>
      </c>
      <c r="I2191" s="455">
        <f t="shared" ca="1" si="125"/>
        <v>-3753530129.8727593</v>
      </c>
      <c r="J2191" s="455">
        <f t="array" ref="J2191">IFERROR(INDEX('Retirement Calculator'!K:K,MATCH('Lorri 401b'!N2191,'Retirement Calculator'!A:A,0),0),0)</f>
        <v>0</v>
      </c>
      <c r="K2191" s="455">
        <f t="shared" ca="1" si="123"/>
        <v>-15639708.87446983</v>
      </c>
      <c r="L2191" s="455">
        <f t="shared" ca="1" si="124"/>
        <v>-3769169838.7472291</v>
      </c>
      <c r="M2191" s="471">
        <f t="shared" si="126"/>
        <v>0.05</v>
      </c>
      <c r="N2191" s="475">
        <f t="shared" si="127"/>
        <v>117730</v>
      </c>
    </row>
    <row r="2192" spans="7:14" ht="11.25" customHeight="1" x14ac:dyDescent="0.3">
      <c r="G2192" s="470"/>
      <c r="H2192" s="470">
        <v>2185</v>
      </c>
      <c r="I2192" s="455">
        <f t="shared" ca="1" si="125"/>
        <v>-3769169838.7472291</v>
      </c>
      <c r="J2192" s="455">
        <f t="array" ref="J2192">IFERROR(INDEX('Retirement Calculator'!K:K,MATCH('Lorri 401b'!N2192,'Retirement Calculator'!A:A,0),0),0)</f>
        <v>0</v>
      </c>
      <c r="K2192" s="455">
        <f t="shared" ca="1" si="123"/>
        <v>-15704874.328113457</v>
      </c>
      <c r="L2192" s="455">
        <f t="shared" ca="1" si="124"/>
        <v>-3784874713.0753427</v>
      </c>
      <c r="M2192" s="471">
        <f t="shared" si="126"/>
        <v>0.05</v>
      </c>
      <c r="N2192" s="475">
        <f t="shared" si="127"/>
        <v>117761</v>
      </c>
    </row>
    <row r="2193" spans="7:14" ht="11.25" customHeight="1" x14ac:dyDescent="0.3">
      <c r="G2193" s="470"/>
      <c r="H2193" s="470">
        <v>2186</v>
      </c>
      <c r="I2193" s="455">
        <f t="shared" ca="1" si="125"/>
        <v>-3784874713.0753427</v>
      </c>
      <c r="J2193" s="455">
        <f t="array" ref="J2193">IFERROR(INDEX('Retirement Calculator'!K:K,MATCH('Lorri 401b'!N2193,'Retirement Calculator'!A:A,0),0),0)</f>
        <v>0</v>
      </c>
      <c r="K2193" s="455">
        <f t="shared" ca="1" si="123"/>
        <v>-15770311.304480594</v>
      </c>
      <c r="L2193" s="455">
        <f t="shared" ca="1" si="124"/>
        <v>-3800645024.3798232</v>
      </c>
      <c r="M2193" s="471">
        <f t="shared" si="126"/>
        <v>0.05</v>
      </c>
      <c r="N2193" s="475">
        <f t="shared" si="127"/>
        <v>117791</v>
      </c>
    </row>
    <row r="2194" spans="7:14" ht="11.25" customHeight="1" x14ac:dyDescent="0.3">
      <c r="G2194" s="470"/>
      <c r="H2194" s="470">
        <v>2187</v>
      </c>
      <c r="I2194" s="455">
        <f t="shared" ca="1" si="125"/>
        <v>-3800645024.3798232</v>
      </c>
      <c r="J2194" s="455">
        <f t="array" ref="J2194">IFERROR(INDEX('Retirement Calculator'!K:K,MATCH('Lorri 401b'!N2194,'Retirement Calculator'!A:A,0),0),0)</f>
        <v>0</v>
      </c>
      <c r="K2194" s="455">
        <f t="shared" ca="1" si="123"/>
        <v>-15836020.93491593</v>
      </c>
      <c r="L2194" s="455">
        <f t="shared" ca="1" si="124"/>
        <v>-3816481045.3147392</v>
      </c>
      <c r="M2194" s="471">
        <f t="shared" si="126"/>
        <v>0.05</v>
      </c>
      <c r="N2194" s="475">
        <f t="shared" si="127"/>
        <v>117822</v>
      </c>
    </row>
    <row r="2195" spans="7:14" ht="11.25" customHeight="1" x14ac:dyDescent="0.3">
      <c r="G2195" s="470"/>
      <c r="H2195" s="470">
        <v>2188</v>
      </c>
      <c r="I2195" s="455">
        <f t="shared" ca="1" si="125"/>
        <v>-3816481045.3147392</v>
      </c>
      <c r="J2195" s="455">
        <f t="array" ref="J2195">IFERROR(INDEX('Retirement Calculator'!K:K,MATCH('Lorri 401b'!N2195,'Retirement Calculator'!A:A,0),0),0)</f>
        <v>0</v>
      </c>
      <c r="K2195" s="455">
        <f t="shared" ca="1" si="123"/>
        <v>-15902004.35547808</v>
      </c>
      <c r="L2195" s="455">
        <f t="shared" ca="1" si="124"/>
        <v>-3832383049.6702175</v>
      </c>
      <c r="M2195" s="471">
        <f t="shared" si="126"/>
        <v>0.05</v>
      </c>
      <c r="N2195" s="475">
        <f t="shared" si="127"/>
        <v>117853</v>
      </c>
    </row>
    <row r="2196" spans="7:14" ht="11.25" customHeight="1" x14ac:dyDescent="0.3">
      <c r="G2196" s="470"/>
      <c r="H2196" s="470">
        <v>2189</v>
      </c>
      <c r="I2196" s="455">
        <f t="shared" ca="1" si="125"/>
        <v>-3832383049.6702175</v>
      </c>
      <c r="J2196" s="455">
        <f t="array" ref="J2196">IFERROR(INDEX('Retirement Calculator'!K:K,MATCH('Lorri 401b'!N2196,'Retirement Calculator'!A:A,0),0),0)</f>
        <v>0</v>
      </c>
      <c r="K2196" s="455">
        <f t="shared" ca="1" si="123"/>
        <v>-15968262.70695924</v>
      </c>
      <c r="L2196" s="455">
        <f t="shared" ca="1" si="124"/>
        <v>-3848351312.3771768</v>
      </c>
      <c r="M2196" s="471">
        <f t="shared" si="126"/>
        <v>0.05</v>
      </c>
      <c r="N2196" s="475">
        <f t="shared" si="127"/>
        <v>117883</v>
      </c>
    </row>
    <row r="2197" spans="7:14" ht="11.25" customHeight="1" x14ac:dyDescent="0.3">
      <c r="G2197" s="470"/>
      <c r="H2197" s="470">
        <v>2190</v>
      </c>
      <c r="I2197" s="455">
        <f t="shared" ca="1" si="125"/>
        <v>-3848351312.3771768</v>
      </c>
      <c r="J2197" s="455">
        <f t="array" ref="J2197">IFERROR(INDEX('Retirement Calculator'!K:K,MATCH('Lorri 401b'!N2197,'Retirement Calculator'!A:A,0),0),0)</f>
        <v>0</v>
      </c>
      <c r="K2197" s="455">
        <f t="shared" ca="1" si="123"/>
        <v>-16034797.134904902</v>
      </c>
      <c r="L2197" s="455">
        <f t="shared" ca="1" si="124"/>
        <v>-3864386109.5120816</v>
      </c>
      <c r="M2197" s="471">
        <f t="shared" si="126"/>
        <v>0.05</v>
      </c>
      <c r="N2197" s="475">
        <f t="shared" si="127"/>
        <v>117914</v>
      </c>
    </row>
    <row r="2198" spans="7:14" ht="11.25" customHeight="1" x14ac:dyDescent="0.3">
      <c r="G2198" s="470"/>
      <c r="H2198" s="470">
        <v>2191</v>
      </c>
      <c r="I2198" s="455">
        <f t="shared" ca="1" si="125"/>
        <v>-3864386109.5120816</v>
      </c>
      <c r="J2198" s="455">
        <f t="array" ref="J2198">IFERROR(INDEX('Retirement Calculator'!K:K,MATCH('Lorri 401b'!N2198,'Retirement Calculator'!A:A,0),0),0)</f>
        <v>0</v>
      </c>
      <c r="K2198" s="455">
        <f t="shared" ca="1" si="123"/>
        <v>-16101608.789633673</v>
      </c>
      <c r="L2198" s="455">
        <f t="shared" ca="1" si="124"/>
        <v>-3880487718.3017154</v>
      </c>
      <c r="M2198" s="471">
        <f t="shared" si="126"/>
        <v>0.05</v>
      </c>
      <c r="N2198" s="475">
        <f t="shared" si="127"/>
        <v>117944</v>
      </c>
    </row>
    <row r="2199" spans="7:14" ht="11.25" customHeight="1" x14ac:dyDescent="0.3">
      <c r="G2199" s="470"/>
      <c r="H2199" s="470">
        <v>2192</v>
      </c>
      <c r="I2199" s="455">
        <f t="shared" ca="1" si="125"/>
        <v>-3880487718.3017154</v>
      </c>
      <c r="J2199" s="455">
        <f t="array" ref="J2199">IFERROR(INDEX('Retirement Calculator'!K:K,MATCH('Lorri 401b'!N2199,'Retirement Calculator'!A:A,0),0),0)</f>
        <v>0</v>
      </c>
      <c r="K2199" s="455">
        <f t="shared" ca="1" si="123"/>
        <v>-16168698.826257147</v>
      </c>
      <c r="L2199" s="455">
        <f t="shared" ca="1" si="124"/>
        <v>-3896656417.1279726</v>
      </c>
      <c r="M2199" s="471">
        <f t="shared" si="126"/>
        <v>0.05</v>
      </c>
      <c r="N2199" s="475">
        <f t="shared" si="127"/>
        <v>117975</v>
      </c>
    </row>
    <row r="2200" spans="7:14" ht="11.25" customHeight="1" x14ac:dyDescent="0.3">
      <c r="G2200" s="470"/>
      <c r="H2200" s="470">
        <v>2193</v>
      </c>
      <c r="I2200" s="455">
        <f t="shared" ca="1" si="125"/>
        <v>-3896656417.1279726</v>
      </c>
      <c r="J2200" s="455">
        <f t="array" ref="J2200">IFERROR(INDEX('Retirement Calculator'!K:K,MATCH('Lorri 401b'!N2200,'Retirement Calculator'!A:A,0),0),0)</f>
        <v>0</v>
      </c>
      <c r="K2200" s="455">
        <f t="shared" ca="1" si="123"/>
        <v>-16236068.404699886</v>
      </c>
      <c r="L2200" s="455">
        <f t="shared" ca="1" si="124"/>
        <v>-3912892485.5326724</v>
      </c>
      <c r="M2200" s="471">
        <f t="shared" si="126"/>
        <v>0.05</v>
      </c>
      <c r="N2200" s="475">
        <f t="shared" si="127"/>
        <v>118006</v>
      </c>
    </row>
    <row r="2201" spans="7:14" ht="11.25" customHeight="1" x14ac:dyDescent="0.3">
      <c r="G2201" s="470"/>
      <c r="H2201" s="470">
        <v>2194</v>
      </c>
      <c r="I2201" s="455">
        <f t="shared" ca="1" si="125"/>
        <v>-3912892485.5326724</v>
      </c>
      <c r="J2201" s="455">
        <f t="array" ref="J2201">IFERROR(INDEX('Retirement Calculator'!K:K,MATCH('Lorri 401b'!N2201,'Retirement Calculator'!A:A,0),0),0)</f>
        <v>0</v>
      </c>
      <c r="K2201" s="455">
        <f t="shared" ca="1" si="123"/>
        <v>-16303718.689719468</v>
      </c>
      <c r="L2201" s="455">
        <f t="shared" ca="1" si="124"/>
        <v>-3929196204.2223921</v>
      </c>
      <c r="M2201" s="471">
        <f t="shared" si="126"/>
        <v>0.05</v>
      </c>
      <c r="N2201" s="475">
        <f t="shared" si="127"/>
        <v>118034</v>
      </c>
    </row>
    <row r="2202" spans="7:14" ht="11.25" customHeight="1" x14ac:dyDescent="0.3">
      <c r="G2202" s="470"/>
      <c r="H2202" s="470">
        <v>2195</v>
      </c>
      <c r="I2202" s="455">
        <f t="shared" ca="1" si="125"/>
        <v>-3929196204.2223921</v>
      </c>
      <c r="J2202" s="455">
        <f t="array" ref="J2202">IFERROR(INDEX('Retirement Calculator'!K:K,MATCH('Lorri 401b'!N2202,'Retirement Calculator'!A:A,0),0),0)</f>
        <v>0</v>
      </c>
      <c r="K2202" s="455">
        <f t="shared" ca="1" si="123"/>
        <v>-16371650.850926632</v>
      </c>
      <c r="L2202" s="455">
        <f t="shared" ca="1" si="124"/>
        <v>-3945567855.0733185</v>
      </c>
      <c r="M2202" s="471">
        <f t="shared" si="126"/>
        <v>0.05</v>
      </c>
      <c r="N2202" s="475">
        <f t="shared" si="127"/>
        <v>118065</v>
      </c>
    </row>
    <row r="2203" spans="7:14" ht="11.25" customHeight="1" x14ac:dyDescent="0.3">
      <c r="G2203" s="470"/>
      <c r="H2203" s="470">
        <v>2196</v>
      </c>
      <c r="I2203" s="455">
        <f t="shared" ca="1" si="125"/>
        <v>-3945567855.0733185</v>
      </c>
      <c r="J2203" s="455">
        <f t="array" ref="J2203">IFERROR(INDEX('Retirement Calculator'!K:K,MATCH('Lorri 401b'!N2203,'Retirement Calculator'!A:A,0),0),0)</f>
        <v>0</v>
      </c>
      <c r="K2203" s="455">
        <f t="shared" ca="1" si="123"/>
        <v>-16439866.062805491</v>
      </c>
      <c r="L2203" s="455">
        <f t="shared" ca="1" si="124"/>
        <v>-3962007721.1361241</v>
      </c>
      <c r="M2203" s="471">
        <f t="shared" si="126"/>
        <v>0.05</v>
      </c>
      <c r="N2203" s="475">
        <f t="shared" si="127"/>
        <v>118095</v>
      </c>
    </row>
    <row r="2204" spans="7:14" ht="11.25" customHeight="1" x14ac:dyDescent="0.3">
      <c r="G2204" s="470"/>
      <c r="H2204" s="470">
        <v>2197</v>
      </c>
      <c r="I2204" s="455">
        <f t="shared" ca="1" si="125"/>
        <v>-3962007721.1361241</v>
      </c>
      <c r="J2204" s="455">
        <f t="array" ref="J2204">IFERROR(INDEX('Retirement Calculator'!K:K,MATCH('Lorri 401b'!N2204,'Retirement Calculator'!A:A,0),0),0)</f>
        <v>0</v>
      </c>
      <c r="K2204" s="455">
        <f t="shared" ca="1" si="123"/>
        <v>-16508365.504733847</v>
      </c>
      <c r="L2204" s="455">
        <f t="shared" ca="1" si="124"/>
        <v>-3978516086.6408582</v>
      </c>
      <c r="M2204" s="471">
        <f t="shared" si="126"/>
        <v>0.05</v>
      </c>
      <c r="N2204" s="475">
        <f t="shared" si="127"/>
        <v>118126</v>
      </c>
    </row>
    <row r="2205" spans="7:14" ht="11.25" customHeight="1" x14ac:dyDescent="0.3">
      <c r="G2205" s="470"/>
      <c r="H2205" s="470">
        <v>2198</v>
      </c>
      <c r="I2205" s="455">
        <f t="shared" ca="1" si="125"/>
        <v>-3978516086.6408582</v>
      </c>
      <c r="J2205" s="455">
        <f t="array" ref="J2205">IFERROR(INDEX('Retirement Calculator'!K:K,MATCH('Lorri 401b'!N2205,'Retirement Calculator'!A:A,0),0),0)</f>
        <v>0</v>
      </c>
      <c r="K2205" s="455">
        <f t="shared" ca="1" si="123"/>
        <v>-16577150.361003576</v>
      </c>
      <c r="L2205" s="455">
        <f t="shared" ca="1" si="124"/>
        <v>-3995093237.0018616</v>
      </c>
      <c r="M2205" s="471">
        <f t="shared" si="126"/>
        <v>0.05</v>
      </c>
      <c r="N2205" s="475">
        <f t="shared" si="127"/>
        <v>118156</v>
      </c>
    </row>
    <row r="2206" spans="7:14" ht="11.25" customHeight="1" x14ac:dyDescent="0.3">
      <c r="G2206" s="470"/>
      <c r="H2206" s="470">
        <v>2199</v>
      </c>
      <c r="I2206" s="455">
        <f t="shared" ca="1" si="125"/>
        <v>-3995093237.0018616</v>
      </c>
      <c r="J2206" s="455">
        <f t="array" ref="J2206">IFERROR(INDEX('Retirement Calculator'!K:K,MATCH('Lorri 401b'!N2206,'Retirement Calculator'!A:A,0),0),0)</f>
        <v>0</v>
      </c>
      <c r="K2206" s="455">
        <f t="shared" ca="1" si="123"/>
        <v>-16646221.820841089</v>
      </c>
      <c r="L2206" s="455">
        <f t="shared" ca="1" si="124"/>
        <v>-4011739458.8227029</v>
      </c>
      <c r="M2206" s="471">
        <f t="shared" si="126"/>
        <v>0.05</v>
      </c>
      <c r="N2206" s="475">
        <f t="shared" si="127"/>
        <v>118187</v>
      </c>
    </row>
    <row r="2207" spans="7:14" ht="11.25" customHeight="1" x14ac:dyDescent="0.3">
      <c r="G2207" s="470"/>
      <c r="H2207" s="470">
        <v>2200</v>
      </c>
      <c r="I2207" s="455">
        <f t="shared" ca="1" si="125"/>
        <v>-4011739458.8227029</v>
      </c>
      <c r="J2207" s="455">
        <f t="array" ref="J2207">IFERROR(INDEX('Retirement Calculator'!K:K,MATCH('Lorri 401b'!N2207,'Retirement Calculator'!A:A,0),0),0)</f>
        <v>0</v>
      </c>
      <c r="K2207" s="455">
        <f t="shared" ca="1" si="123"/>
        <v>-16715581.078427928</v>
      </c>
      <c r="L2207" s="455">
        <f t="shared" ca="1" si="124"/>
        <v>-4028455039.9011307</v>
      </c>
      <c r="M2207" s="471">
        <f t="shared" si="126"/>
        <v>0.05</v>
      </c>
      <c r="N2207" s="475">
        <f t="shared" si="127"/>
        <v>118218</v>
      </c>
    </row>
    <row r="2208" spans="7:14" ht="11.25" customHeight="1" x14ac:dyDescent="0.3">
      <c r="G2208" s="470"/>
      <c r="H2208" s="470">
        <v>2201</v>
      </c>
      <c r="I2208" s="455">
        <f t="shared" ca="1" si="125"/>
        <v>-4028455039.9011307</v>
      </c>
      <c r="J2208" s="455">
        <f t="array" ref="J2208">IFERROR(INDEX('Retirement Calculator'!K:K,MATCH('Lorri 401b'!N2208,'Retirement Calculator'!A:A,0),0),0)</f>
        <v>0</v>
      </c>
      <c r="K2208" s="455">
        <f t="shared" ca="1" si="123"/>
        <v>-16785229.332921378</v>
      </c>
      <c r="L2208" s="455">
        <f t="shared" ca="1" si="124"/>
        <v>-4045240269.2340522</v>
      </c>
      <c r="M2208" s="471">
        <f t="shared" si="126"/>
        <v>0.05</v>
      </c>
      <c r="N2208" s="475">
        <f t="shared" si="127"/>
        <v>118248</v>
      </c>
    </row>
    <row r="2209" spans="7:14" ht="11.25" customHeight="1" x14ac:dyDescent="0.3">
      <c r="G2209" s="470"/>
      <c r="H2209" s="470">
        <v>2202</v>
      </c>
      <c r="I2209" s="455">
        <f t="shared" ca="1" si="125"/>
        <v>-4045240269.2340522</v>
      </c>
      <c r="J2209" s="455">
        <f t="array" ref="J2209">IFERROR(INDEX('Retirement Calculator'!K:K,MATCH('Lorri 401b'!N2209,'Retirement Calculator'!A:A,0),0),0)</f>
        <v>0</v>
      </c>
      <c r="K2209" s="455">
        <f t="shared" ca="1" si="123"/>
        <v>-16855167.788475219</v>
      </c>
      <c r="L2209" s="455">
        <f t="shared" ca="1" si="124"/>
        <v>-4062095437.0225272</v>
      </c>
      <c r="M2209" s="471">
        <f t="shared" si="126"/>
        <v>0.05</v>
      </c>
      <c r="N2209" s="475">
        <f t="shared" si="127"/>
        <v>118279</v>
      </c>
    </row>
    <row r="2210" spans="7:14" ht="11.25" customHeight="1" x14ac:dyDescent="0.3">
      <c r="G2210" s="470"/>
      <c r="H2210" s="470">
        <v>2203</v>
      </c>
      <c r="I2210" s="455">
        <f t="shared" ca="1" si="125"/>
        <v>-4062095437.0225272</v>
      </c>
      <c r="J2210" s="455">
        <f t="array" ref="J2210">IFERROR(INDEX('Retirement Calculator'!K:K,MATCH('Lorri 401b'!N2210,'Retirement Calculator'!A:A,0),0),0)</f>
        <v>0</v>
      </c>
      <c r="K2210" s="455">
        <f t="shared" ca="1" si="123"/>
        <v>-16925397.654260531</v>
      </c>
      <c r="L2210" s="455">
        <f t="shared" ca="1" si="124"/>
        <v>-4079020834.6767879</v>
      </c>
      <c r="M2210" s="471">
        <f t="shared" si="126"/>
        <v>0.05</v>
      </c>
      <c r="N2210" s="475">
        <f t="shared" si="127"/>
        <v>118309</v>
      </c>
    </row>
    <row r="2211" spans="7:14" ht="11.25" customHeight="1" x14ac:dyDescent="0.3">
      <c r="G2211" s="470"/>
      <c r="H2211" s="470">
        <v>2204</v>
      </c>
      <c r="I2211" s="455">
        <f t="shared" ca="1" si="125"/>
        <v>-4079020834.6767879</v>
      </c>
      <c r="J2211" s="455">
        <f t="array" ref="J2211">IFERROR(INDEX('Retirement Calculator'!K:K,MATCH('Lorri 401b'!N2211,'Retirement Calculator'!A:A,0),0),0)</f>
        <v>0</v>
      </c>
      <c r="K2211" s="455">
        <f t="shared" ca="1" si="123"/>
        <v>-16995920.144486617</v>
      </c>
      <c r="L2211" s="455">
        <f t="shared" ca="1" si="124"/>
        <v>-4096016754.8212743</v>
      </c>
      <c r="M2211" s="471">
        <f t="shared" si="126"/>
        <v>0.05</v>
      </c>
      <c r="N2211" s="475">
        <f t="shared" si="127"/>
        <v>118340</v>
      </c>
    </row>
    <row r="2212" spans="7:14" ht="11.25" customHeight="1" x14ac:dyDescent="0.3">
      <c r="G2212" s="470"/>
      <c r="H2212" s="470">
        <v>2205</v>
      </c>
      <c r="I2212" s="455">
        <f t="shared" ca="1" si="125"/>
        <v>-4096016754.8212743</v>
      </c>
      <c r="J2212" s="455">
        <f t="array" ref="J2212">IFERROR(INDEX('Retirement Calculator'!K:K,MATCH('Lorri 401b'!N2212,'Retirement Calculator'!A:A,0),0),0)</f>
        <v>0</v>
      </c>
      <c r="K2212" s="455">
        <f t="shared" ca="1" si="123"/>
        <v>-17066736.478421975</v>
      </c>
      <c r="L2212" s="455">
        <f t="shared" ca="1" si="124"/>
        <v>-4113083491.2996964</v>
      </c>
      <c r="M2212" s="471">
        <f t="shared" si="126"/>
        <v>0.05</v>
      </c>
      <c r="N2212" s="475">
        <f t="shared" si="127"/>
        <v>118371</v>
      </c>
    </row>
    <row r="2213" spans="7:14" ht="11.25" customHeight="1" x14ac:dyDescent="0.3">
      <c r="G2213" s="470"/>
      <c r="H2213" s="470">
        <v>2206</v>
      </c>
      <c r="I2213" s="455">
        <f t="shared" ca="1" si="125"/>
        <v>-4113083491.2996964</v>
      </c>
      <c r="J2213" s="455">
        <f t="array" ref="J2213">IFERROR(INDEX('Retirement Calculator'!K:K,MATCH('Lorri 401b'!N2213,'Retirement Calculator'!A:A,0),0),0)</f>
        <v>0</v>
      </c>
      <c r="K2213" s="455">
        <f t="shared" ca="1" si="123"/>
        <v>-17137847.880415402</v>
      </c>
      <c r="L2213" s="455">
        <f t="shared" ca="1" si="124"/>
        <v>-4130221339.1801119</v>
      </c>
      <c r="M2213" s="471">
        <f t="shared" si="126"/>
        <v>0.05</v>
      </c>
      <c r="N2213" s="475">
        <f t="shared" si="127"/>
        <v>118400</v>
      </c>
    </row>
    <row r="2214" spans="7:14" ht="11.25" customHeight="1" x14ac:dyDescent="0.3">
      <c r="G2214" s="470"/>
      <c r="H2214" s="470">
        <v>2207</v>
      </c>
      <c r="I2214" s="455">
        <f t="shared" ca="1" si="125"/>
        <v>-4130221339.1801119</v>
      </c>
      <c r="J2214" s="455">
        <f t="array" ref="J2214">IFERROR(INDEX('Retirement Calculator'!K:K,MATCH('Lorri 401b'!N2214,'Retirement Calculator'!A:A,0),0),0)</f>
        <v>0</v>
      </c>
      <c r="K2214" s="455">
        <f t="shared" ca="1" si="123"/>
        <v>-17209255.579917129</v>
      </c>
      <c r="L2214" s="455">
        <f t="shared" ca="1" si="124"/>
        <v>-4147430594.7600288</v>
      </c>
      <c r="M2214" s="471">
        <f t="shared" si="126"/>
        <v>0.05</v>
      </c>
      <c r="N2214" s="475">
        <f t="shared" si="127"/>
        <v>118431</v>
      </c>
    </row>
    <row r="2215" spans="7:14" ht="11.25" customHeight="1" x14ac:dyDescent="0.3">
      <c r="G2215" s="470"/>
      <c r="H2215" s="470">
        <v>2208</v>
      </c>
      <c r="I2215" s="455">
        <f t="shared" ca="1" si="125"/>
        <v>-4147430594.7600288</v>
      </c>
      <c r="J2215" s="455">
        <f t="array" ref="J2215">IFERROR(INDEX('Retirement Calculator'!K:K,MATCH('Lorri 401b'!N2215,'Retirement Calculator'!A:A,0),0),0)</f>
        <v>0</v>
      </c>
      <c r="K2215" s="455">
        <f t="shared" ca="1" si="123"/>
        <v>-17280960.811500121</v>
      </c>
      <c r="L2215" s="455">
        <f t="shared" ca="1" si="124"/>
        <v>-4164711555.5715289</v>
      </c>
      <c r="M2215" s="471">
        <f t="shared" si="126"/>
        <v>0.05</v>
      </c>
      <c r="N2215" s="475">
        <f t="shared" si="127"/>
        <v>118461</v>
      </c>
    </row>
    <row r="2216" spans="7:14" ht="11.25" customHeight="1" x14ac:dyDescent="0.3">
      <c r="G2216" s="470"/>
      <c r="H2216" s="470">
        <v>2209</v>
      </c>
      <c r="I2216" s="455">
        <f t="shared" ca="1" si="125"/>
        <v>-4164711555.5715289</v>
      </c>
      <c r="J2216" s="455">
        <f t="array" ref="J2216">IFERROR(INDEX('Retirement Calculator'!K:K,MATCH('Lorri 401b'!N2216,'Retirement Calculator'!A:A,0),0),0)</f>
        <v>0</v>
      </c>
      <c r="K2216" s="455">
        <f t="shared" ca="1" si="123"/>
        <v>-17352964.814881369</v>
      </c>
      <c r="L2216" s="455">
        <f t="shared" ca="1" si="124"/>
        <v>-4182064520.3864102</v>
      </c>
      <c r="M2216" s="471">
        <f t="shared" si="126"/>
        <v>0.05</v>
      </c>
      <c r="N2216" s="475">
        <f t="shared" si="127"/>
        <v>118492</v>
      </c>
    </row>
    <row r="2217" spans="7:14" ht="11.25" customHeight="1" x14ac:dyDescent="0.3">
      <c r="G2217" s="470"/>
      <c r="H2217" s="470">
        <v>2210</v>
      </c>
      <c r="I2217" s="455">
        <f t="shared" ca="1" si="125"/>
        <v>-4182064520.3864102</v>
      </c>
      <c r="J2217" s="455">
        <f t="array" ref="J2217">IFERROR(INDEX('Retirement Calculator'!K:K,MATCH('Lorri 401b'!N2217,'Retirement Calculator'!A:A,0),0),0)</f>
        <v>0</v>
      </c>
      <c r="K2217" s="455">
        <f t="shared" ca="1" si="123"/>
        <v>-17425268.834943376</v>
      </c>
      <c r="L2217" s="455">
        <f t="shared" ca="1" si="124"/>
        <v>-4199489789.2213535</v>
      </c>
      <c r="M2217" s="471">
        <f t="shared" si="126"/>
        <v>0.05</v>
      </c>
      <c r="N2217" s="475">
        <f t="shared" si="127"/>
        <v>118522</v>
      </c>
    </row>
    <row r="2218" spans="7:14" ht="11.25" customHeight="1" x14ac:dyDescent="0.3">
      <c r="G2218" s="470"/>
      <c r="H2218" s="470">
        <v>2211</v>
      </c>
      <c r="I2218" s="455">
        <f t="shared" ca="1" si="125"/>
        <v>-4199489789.2213535</v>
      </c>
      <c r="J2218" s="455">
        <f t="array" ref="J2218">IFERROR(INDEX('Retirement Calculator'!K:K,MATCH('Lorri 401b'!N2218,'Retirement Calculator'!A:A,0),0),0)</f>
        <v>0</v>
      </c>
      <c r="K2218" s="455">
        <f t="shared" ca="1" si="123"/>
        <v>-17497874.121755641</v>
      </c>
      <c r="L2218" s="455">
        <f t="shared" ca="1" si="124"/>
        <v>-4216987663.3431091</v>
      </c>
      <c r="M2218" s="471">
        <f t="shared" si="126"/>
        <v>0.05</v>
      </c>
      <c r="N2218" s="475">
        <f t="shared" si="127"/>
        <v>118553</v>
      </c>
    </row>
    <row r="2219" spans="7:14" ht="11.25" customHeight="1" x14ac:dyDescent="0.3">
      <c r="G2219" s="470"/>
      <c r="H2219" s="470">
        <v>2212</v>
      </c>
      <c r="I2219" s="455">
        <f t="shared" ca="1" si="125"/>
        <v>-4216987663.3431091</v>
      </c>
      <c r="J2219" s="455">
        <f t="array" ref="J2219">IFERROR(INDEX('Retirement Calculator'!K:K,MATCH('Lorri 401b'!N2219,'Retirement Calculator'!A:A,0),0),0)</f>
        <v>0</v>
      </c>
      <c r="K2219" s="455">
        <f t="shared" ca="1" si="123"/>
        <v>-17570781.930596288</v>
      </c>
      <c r="L2219" s="455">
        <f t="shared" ca="1" si="124"/>
        <v>-4234558445.2737055</v>
      </c>
      <c r="M2219" s="471">
        <f t="shared" si="126"/>
        <v>0.05</v>
      </c>
      <c r="N2219" s="475">
        <f t="shared" si="127"/>
        <v>118584</v>
      </c>
    </row>
    <row r="2220" spans="7:14" ht="11.25" customHeight="1" x14ac:dyDescent="0.3">
      <c r="G2220" s="470"/>
      <c r="H2220" s="470">
        <v>2213</v>
      </c>
      <c r="I2220" s="455">
        <f t="shared" ca="1" si="125"/>
        <v>-4234558445.2737055</v>
      </c>
      <c r="J2220" s="455">
        <f t="array" ref="J2220">IFERROR(INDEX('Retirement Calculator'!K:K,MATCH('Lorri 401b'!N2220,'Retirement Calculator'!A:A,0),0),0)</f>
        <v>0</v>
      </c>
      <c r="K2220" s="455">
        <f t="shared" ca="1" si="123"/>
        <v>-17643993.52197377</v>
      </c>
      <c r="L2220" s="455">
        <f t="shared" ca="1" si="124"/>
        <v>-4252202438.7956791</v>
      </c>
      <c r="M2220" s="471">
        <f t="shared" si="126"/>
        <v>0.05</v>
      </c>
      <c r="N2220" s="475">
        <f t="shared" si="127"/>
        <v>118614</v>
      </c>
    </row>
    <row r="2221" spans="7:14" ht="11.25" customHeight="1" x14ac:dyDescent="0.3">
      <c r="G2221" s="470"/>
      <c r="H2221" s="470">
        <v>2214</v>
      </c>
      <c r="I2221" s="455">
        <f t="shared" ca="1" si="125"/>
        <v>-4252202438.7956791</v>
      </c>
      <c r="J2221" s="455">
        <f t="array" ref="J2221">IFERROR(INDEX('Retirement Calculator'!K:K,MATCH('Lorri 401b'!N2221,'Retirement Calculator'!A:A,0),0),0)</f>
        <v>0</v>
      </c>
      <c r="K2221" s="455">
        <f t="shared" ca="1" si="123"/>
        <v>-17717510.161648665</v>
      </c>
      <c r="L2221" s="455">
        <f t="shared" ca="1" si="124"/>
        <v>-4269919948.9573278</v>
      </c>
      <c r="M2221" s="471">
        <f t="shared" si="126"/>
        <v>0.05</v>
      </c>
      <c r="N2221" s="475">
        <f t="shared" si="127"/>
        <v>118645</v>
      </c>
    </row>
    <row r="2222" spans="7:14" ht="11.25" customHeight="1" x14ac:dyDescent="0.3">
      <c r="G2222" s="470"/>
      <c r="H2222" s="470">
        <v>2215</v>
      </c>
      <c r="I2222" s="455">
        <f t="shared" ca="1" si="125"/>
        <v>-4269919948.9573278</v>
      </c>
      <c r="J2222" s="455">
        <f t="array" ref="J2222">IFERROR(INDEX('Retirement Calculator'!K:K,MATCH('Lorri 401b'!N2222,'Retirement Calculator'!A:A,0),0),0)</f>
        <v>0</v>
      </c>
      <c r="K2222" s="455">
        <f t="shared" ca="1" si="123"/>
        <v>-17791333.120655533</v>
      </c>
      <c r="L2222" s="455">
        <f t="shared" ca="1" si="124"/>
        <v>-4287711282.0779834</v>
      </c>
      <c r="M2222" s="471">
        <f t="shared" si="126"/>
        <v>0.05</v>
      </c>
      <c r="N2222" s="475">
        <f t="shared" si="127"/>
        <v>118675</v>
      </c>
    </row>
    <row r="2223" spans="7:14" ht="11.25" customHeight="1" x14ac:dyDescent="0.3">
      <c r="G2223" s="470"/>
      <c r="H2223" s="470">
        <v>2216</v>
      </c>
      <c r="I2223" s="455">
        <f t="shared" ca="1" si="125"/>
        <v>-4287711282.0779834</v>
      </c>
      <c r="J2223" s="455">
        <f t="array" ref="J2223">IFERROR(INDEX('Retirement Calculator'!K:K,MATCH('Lorri 401b'!N2223,'Retirement Calculator'!A:A,0),0),0)</f>
        <v>0</v>
      </c>
      <c r="K2223" s="455">
        <f t="shared" ca="1" si="123"/>
        <v>-17865463.675324928</v>
      </c>
      <c r="L2223" s="455">
        <f t="shared" ca="1" si="124"/>
        <v>-4305576745.7533083</v>
      </c>
      <c r="M2223" s="471">
        <f t="shared" si="126"/>
        <v>0.05</v>
      </c>
      <c r="N2223" s="475">
        <f t="shared" si="127"/>
        <v>118706</v>
      </c>
    </row>
    <row r="2224" spans="7:14" ht="11.25" customHeight="1" x14ac:dyDescent="0.3">
      <c r="G2224" s="470"/>
      <c r="H2224" s="470">
        <v>2217</v>
      </c>
      <c r="I2224" s="455">
        <f t="shared" ca="1" si="125"/>
        <v>-4305576745.7533083</v>
      </c>
      <c r="J2224" s="455">
        <f t="array" ref="J2224">IFERROR(INDEX('Retirement Calculator'!K:K,MATCH('Lorri 401b'!N2224,'Retirement Calculator'!A:A,0),0),0)</f>
        <v>0</v>
      </c>
      <c r="K2224" s="455">
        <f t="shared" ca="1" si="123"/>
        <v>-17939903.107305452</v>
      </c>
      <c r="L2224" s="455">
        <f t="shared" ca="1" si="124"/>
        <v>-4323516648.8606138</v>
      </c>
      <c r="M2224" s="471">
        <f t="shared" si="126"/>
        <v>0.05</v>
      </c>
      <c r="N2224" s="475">
        <f t="shared" si="127"/>
        <v>118737</v>
      </c>
    </row>
    <row r="2225" spans="7:14" ht="11.25" customHeight="1" x14ac:dyDescent="0.3">
      <c r="G2225" s="470"/>
      <c r="H2225" s="470">
        <v>2218</v>
      </c>
      <c r="I2225" s="455">
        <f t="shared" ca="1" si="125"/>
        <v>-4323516648.8606138</v>
      </c>
      <c r="J2225" s="455">
        <f t="array" ref="J2225">IFERROR(INDEX('Retirement Calculator'!K:K,MATCH('Lorri 401b'!N2225,'Retirement Calculator'!A:A,0),0),0)</f>
        <v>0</v>
      </c>
      <c r="K2225" s="455">
        <f t="shared" ca="1" si="123"/>
        <v>-18014652.703585889</v>
      </c>
      <c r="L2225" s="455">
        <f t="shared" ca="1" si="124"/>
        <v>-4341531301.5641994</v>
      </c>
      <c r="M2225" s="471">
        <f t="shared" si="126"/>
        <v>0.05</v>
      </c>
      <c r="N2225" s="475">
        <f t="shared" si="127"/>
        <v>118765</v>
      </c>
    </row>
    <row r="2226" spans="7:14" ht="11.25" customHeight="1" x14ac:dyDescent="0.3">
      <c r="G2226" s="470"/>
      <c r="H2226" s="470">
        <v>2219</v>
      </c>
      <c r="I2226" s="455">
        <f t="shared" ca="1" si="125"/>
        <v>-4341531301.5641994</v>
      </c>
      <c r="J2226" s="455">
        <f t="array" ref="J2226">IFERROR(INDEX('Retirement Calculator'!K:K,MATCH('Lorri 401b'!N2226,'Retirement Calculator'!A:A,0),0),0)</f>
        <v>0</v>
      </c>
      <c r="K2226" s="455">
        <f t="shared" ca="1" si="123"/>
        <v>-18089713.756517496</v>
      </c>
      <c r="L2226" s="455">
        <f t="shared" ca="1" si="124"/>
        <v>-4359621015.3207169</v>
      </c>
      <c r="M2226" s="471">
        <f t="shared" si="126"/>
        <v>0.05</v>
      </c>
      <c r="N2226" s="475">
        <f t="shared" si="127"/>
        <v>118796</v>
      </c>
    </row>
    <row r="2227" spans="7:14" ht="11.25" customHeight="1" x14ac:dyDescent="0.3">
      <c r="G2227" s="470"/>
      <c r="H2227" s="470">
        <v>2220</v>
      </c>
      <c r="I2227" s="455">
        <f t="shared" ca="1" si="125"/>
        <v>-4359621015.3207169</v>
      </c>
      <c r="J2227" s="455">
        <f t="array" ref="J2227">IFERROR(INDEX('Retirement Calculator'!K:K,MATCH('Lorri 401b'!N2227,'Retirement Calculator'!A:A,0),0),0)</f>
        <v>0</v>
      </c>
      <c r="K2227" s="455">
        <f t="shared" ca="1" si="123"/>
        <v>-18165087.563836321</v>
      </c>
      <c r="L2227" s="455">
        <f t="shared" ca="1" si="124"/>
        <v>-4377786102.884553</v>
      </c>
      <c r="M2227" s="471">
        <f t="shared" si="126"/>
        <v>0.05</v>
      </c>
      <c r="N2227" s="475">
        <f t="shared" si="127"/>
        <v>118826</v>
      </c>
    </row>
    <row r="2228" spans="7:14" ht="11.25" customHeight="1" x14ac:dyDescent="0.3">
      <c r="G2228" s="470"/>
      <c r="H2228" s="470">
        <v>2221</v>
      </c>
      <c r="I2228" s="455">
        <f t="shared" ca="1" si="125"/>
        <v>-4377786102.884553</v>
      </c>
      <c r="J2228" s="455">
        <f t="array" ref="J2228">IFERROR(INDEX('Retirement Calculator'!K:K,MATCH('Lorri 401b'!N2228,'Retirement Calculator'!A:A,0),0),0)</f>
        <v>0</v>
      </c>
      <c r="K2228" s="455">
        <f t="shared" ca="1" si="123"/>
        <v>-18240775.428685635</v>
      </c>
      <c r="L2228" s="455">
        <f t="shared" ca="1" si="124"/>
        <v>-4396026878.3132381</v>
      </c>
      <c r="M2228" s="471">
        <f t="shared" si="126"/>
        <v>0.05</v>
      </c>
      <c r="N2228" s="475">
        <f t="shared" si="127"/>
        <v>118857</v>
      </c>
    </row>
    <row r="2229" spans="7:14" ht="11.25" customHeight="1" x14ac:dyDescent="0.3">
      <c r="G2229" s="470"/>
      <c r="H2229" s="470">
        <v>2222</v>
      </c>
      <c r="I2229" s="455">
        <f t="shared" ca="1" si="125"/>
        <v>-4396026878.3132381</v>
      </c>
      <c r="J2229" s="455">
        <f t="array" ref="J2229">IFERROR(INDEX('Retirement Calculator'!K:K,MATCH('Lorri 401b'!N2229,'Retirement Calculator'!A:A,0),0),0)</f>
        <v>0</v>
      </c>
      <c r="K2229" s="455">
        <f t="shared" ca="1" si="123"/>
        <v>-18316778.659638491</v>
      </c>
      <c r="L2229" s="455">
        <f t="shared" ca="1" si="124"/>
        <v>-4414343656.9728765</v>
      </c>
      <c r="M2229" s="471">
        <f t="shared" si="126"/>
        <v>0.05</v>
      </c>
      <c r="N2229" s="475">
        <f t="shared" si="127"/>
        <v>118887</v>
      </c>
    </row>
    <row r="2230" spans="7:14" ht="11.25" customHeight="1" x14ac:dyDescent="0.3">
      <c r="G2230" s="470"/>
      <c r="H2230" s="470">
        <v>2223</v>
      </c>
      <c r="I2230" s="455">
        <f t="shared" ca="1" si="125"/>
        <v>-4414343656.9728765</v>
      </c>
      <c r="J2230" s="455">
        <f t="array" ref="J2230">IFERROR(INDEX('Retirement Calculator'!K:K,MATCH('Lorri 401b'!N2230,'Retirement Calculator'!A:A,0),0),0)</f>
        <v>0</v>
      </c>
      <c r="K2230" s="455">
        <f t="shared" ca="1" si="123"/>
        <v>-18393098.570720319</v>
      </c>
      <c r="L2230" s="455">
        <f t="shared" ca="1" si="124"/>
        <v>-4432736755.5435972</v>
      </c>
      <c r="M2230" s="471">
        <f t="shared" si="126"/>
        <v>0.05</v>
      </c>
      <c r="N2230" s="475">
        <f t="shared" si="127"/>
        <v>118918</v>
      </c>
    </row>
    <row r="2231" spans="7:14" ht="11.25" customHeight="1" x14ac:dyDescent="0.3">
      <c r="G2231" s="470"/>
      <c r="H2231" s="470">
        <v>2224</v>
      </c>
      <c r="I2231" s="455">
        <f t="shared" ca="1" si="125"/>
        <v>-4432736755.5435972</v>
      </c>
      <c r="J2231" s="455">
        <f t="array" ref="J2231">IFERROR(INDEX('Retirement Calculator'!K:K,MATCH('Lorri 401b'!N2231,'Retirement Calculator'!A:A,0),0),0)</f>
        <v>0</v>
      </c>
      <c r="K2231" s="455">
        <f t="shared" ca="1" si="123"/>
        <v>-18469736.481431656</v>
      </c>
      <c r="L2231" s="455">
        <f t="shared" ca="1" si="124"/>
        <v>-4451206492.0250292</v>
      </c>
      <c r="M2231" s="471">
        <f t="shared" si="126"/>
        <v>0.05</v>
      </c>
      <c r="N2231" s="475">
        <f t="shared" si="127"/>
        <v>118949</v>
      </c>
    </row>
    <row r="2232" spans="7:14" ht="11.25" customHeight="1" x14ac:dyDescent="0.3">
      <c r="G2232" s="470"/>
      <c r="H2232" s="470">
        <v>2225</v>
      </c>
      <c r="I2232" s="455">
        <f t="shared" ca="1" si="125"/>
        <v>-4451206492.0250292</v>
      </c>
      <c r="J2232" s="455">
        <f t="array" ref="J2232">IFERROR(INDEX('Retirement Calculator'!K:K,MATCH('Lorri 401b'!N2232,'Retirement Calculator'!A:A,0),0),0)</f>
        <v>0</v>
      </c>
      <c r="K2232" s="455">
        <f t="shared" ca="1" si="123"/>
        <v>-18546693.716770954</v>
      </c>
      <c r="L2232" s="455">
        <f t="shared" ca="1" si="124"/>
        <v>-4469753185.7418003</v>
      </c>
      <c r="M2232" s="471">
        <f t="shared" si="126"/>
        <v>0.05</v>
      </c>
      <c r="N2232" s="475">
        <f t="shared" si="127"/>
        <v>118979</v>
      </c>
    </row>
    <row r="2233" spans="7:14" ht="11.25" customHeight="1" x14ac:dyDescent="0.3">
      <c r="G2233" s="470"/>
      <c r="H2233" s="470">
        <v>2226</v>
      </c>
      <c r="I2233" s="455">
        <f t="shared" ca="1" si="125"/>
        <v>-4469753185.7418003</v>
      </c>
      <c r="J2233" s="455">
        <f t="array" ref="J2233">IFERROR(INDEX('Retirement Calculator'!K:K,MATCH('Lorri 401b'!N2233,'Retirement Calculator'!A:A,0),0),0)</f>
        <v>0</v>
      </c>
      <c r="K2233" s="455">
        <f t="shared" ca="1" si="123"/>
        <v>-18623971.6072575</v>
      </c>
      <c r="L2233" s="455">
        <f t="shared" ca="1" si="124"/>
        <v>-4488377157.3490582</v>
      </c>
      <c r="M2233" s="471">
        <f t="shared" si="126"/>
        <v>0.05</v>
      </c>
      <c r="N2233" s="475">
        <f t="shared" si="127"/>
        <v>119010</v>
      </c>
    </row>
    <row r="2234" spans="7:14" ht="11.25" customHeight="1" x14ac:dyDescent="0.3">
      <c r="G2234" s="470"/>
      <c r="H2234" s="470">
        <v>2227</v>
      </c>
      <c r="I2234" s="455">
        <f t="shared" ca="1" si="125"/>
        <v>-4488377157.3490582</v>
      </c>
      <c r="J2234" s="455">
        <f t="array" ref="J2234">IFERROR(INDEX('Retirement Calculator'!K:K,MATCH('Lorri 401b'!N2234,'Retirement Calculator'!A:A,0),0),0)</f>
        <v>0</v>
      </c>
      <c r="K2234" s="455">
        <f t="shared" ca="1" si="123"/>
        <v>-18701571.48895441</v>
      </c>
      <c r="L2234" s="455">
        <f t="shared" ca="1" si="124"/>
        <v>-4507078728.8380127</v>
      </c>
      <c r="M2234" s="471">
        <f t="shared" si="126"/>
        <v>0.05</v>
      </c>
      <c r="N2234" s="475">
        <f t="shared" si="127"/>
        <v>119040</v>
      </c>
    </row>
    <row r="2235" spans="7:14" ht="11.25" customHeight="1" x14ac:dyDescent="0.3">
      <c r="G2235" s="470"/>
      <c r="H2235" s="470">
        <v>2228</v>
      </c>
      <c r="I2235" s="455">
        <f t="shared" ca="1" si="125"/>
        <v>-4507078728.8380127</v>
      </c>
      <c r="J2235" s="455">
        <f t="array" ref="J2235">IFERROR(INDEX('Retirement Calculator'!K:K,MATCH('Lorri 401b'!N2235,'Retirement Calculator'!A:A,0),0),0)</f>
        <v>0</v>
      </c>
      <c r="K2235" s="455">
        <f t="shared" ca="1" si="123"/>
        <v>-18779494.703491718</v>
      </c>
      <c r="L2235" s="455">
        <f t="shared" ca="1" si="124"/>
        <v>-4525858223.5415049</v>
      </c>
      <c r="M2235" s="471">
        <f t="shared" si="126"/>
        <v>0.05</v>
      </c>
      <c r="N2235" s="475">
        <f t="shared" si="127"/>
        <v>119071</v>
      </c>
    </row>
    <row r="2236" spans="7:14" ht="11.25" customHeight="1" x14ac:dyDescent="0.3">
      <c r="G2236" s="470"/>
      <c r="H2236" s="470">
        <v>2229</v>
      </c>
      <c r="I2236" s="455">
        <f t="shared" ca="1" si="125"/>
        <v>-4525858223.5415049</v>
      </c>
      <c r="J2236" s="455">
        <f t="array" ref="J2236">IFERROR(INDEX('Retirement Calculator'!K:K,MATCH('Lorri 401b'!N2236,'Retirement Calculator'!A:A,0),0),0)</f>
        <v>0</v>
      </c>
      <c r="K2236" s="455">
        <f t="shared" ca="1" si="123"/>
        <v>-18857742.598089602</v>
      </c>
      <c r="L2236" s="455">
        <f t="shared" ca="1" si="124"/>
        <v>-4544715966.1395941</v>
      </c>
      <c r="M2236" s="471">
        <f t="shared" si="126"/>
        <v>0.05</v>
      </c>
      <c r="N2236" s="475">
        <f t="shared" si="127"/>
        <v>119102</v>
      </c>
    </row>
    <row r="2237" spans="7:14" ht="11.25" customHeight="1" x14ac:dyDescent="0.3">
      <c r="G2237" s="470"/>
      <c r="H2237" s="470">
        <v>2230</v>
      </c>
      <c r="I2237" s="455">
        <f t="shared" ca="1" si="125"/>
        <v>-4544715966.1395941</v>
      </c>
      <c r="J2237" s="455">
        <f t="array" ref="J2237">IFERROR(INDEX('Retirement Calculator'!K:K,MATCH('Lorri 401b'!N2237,'Retirement Calculator'!A:A,0),0),0)</f>
        <v>0</v>
      </c>
      <c r="K2237" s="455">
        <f t="shared" ca="1" si="123"/>
        <v>-18936316.525581643</v>
      </c>
      <c r="L2237" s="455">
        <f t="shared" ca="1" si="124"/>
        <v>-4563652282.6651754</v>
      </c>
      <c r="M2237" s="471">
        <f t="shared" si="126"/>
        <v>0.05</v>
      </c>
      <c r="N2237" s="475">
        <f t="shared" si="127"/>
        <v>119130</v>
      </c>
    </row>
    <row r="2238" spans="7:14" ht="11.25" customHeight="1" x14ac:dyDescent="0.3">
      <c r="G2238" s="470"/>
      <c r="H2238" s="470">
        <v>2231</v>
      </c>
      <c r="I2238" s="455">
        <f t="shared" ca="1" si="125"/>
        <v>-4563652282.6651754</v>
      </c>
      <c r="J2238" s="455">
        <f t="array" ref="J2238">IFERROR(INDEX('Retirement Calculator'!K:K,MATCH('Lorri 401b'!N2238,'Retirement Calculator'!A:A,0),0),0)</f>
        <v>0</v>
      </c>
      <c r="K2238" s="455">
        <f t="shared" ca="1" si="123"/>
        <v>-19015217.844438232</v>
      </c>
      <c r="L2238" s="455">
        <f t="shared" ca="1" si="124"/>
        <v>-4582667500.509614</v>
      </c>
      <c r="M2238" s="471">
        <f t="shared" si="126"/>
        <v>0.05</v>
      </c>
      <c r="N2238" s="475">
        <f t="shared" si="127"/>
        <v>119161</v>
      </c>
    </row>
    <row r="2239" spans="7:14" ht="11.25" customHeight="1" x14ac:dyDescent="0.3">
      <c r="G2239" s="470"/>
      <c r="H2239" s="470">
        <v>2232</v>
      </c>
      <c r="I2239" s="455">
        <f t="shared" ca="1" si="125"/>
        <v>-4582667500.509614</v>
      </c>
      <c r="J2239" s="455">
        <f t="array" ref="J2239">IFERROR(INDEX('Retirement Calculator'!K:K,MATCH('Lorri 401b'!N2239,'Retirement Calculator'!A:A,0),0),0)</f>
        <v>0</v>
      </c>
      <c r="K2239" s="455">
        <f t="shared" ca="1" si="123"/>
        <v>-19094447.918790057</v>
      </c>
      <c r="L2239" s="455">
        <f t="shared" ca="1" si="124"/>
        <v>-4601761948.4284039</v>
      </c>
      <c r="M2239" s="471">
        <f t="shared" si="126"/>
        <v>0.05</v>
      </c>
      <c r="N2239" s="475">
        <f t="shared" si="127"/>
        <v>119191</v>
      </c>
    </row>
    <row r="2240" spans="7:14" ht="11.25" customHeight="1" x14ac:dyDescent="0.3">
      <c r="G2240" s="470"/>
      <c r="H2240" s="470">
        <v>2233</v>
      </c>
      <c r="I2240" s="455">
        <f t="shared" ca="1" si="125"/>
        <v>-4601761948.4284039</v>
      </c>
      <c r="J2240" s="455">
        <f t="array" ref="J2240">IFERROR(INDEX('Retirement Calculator'!K:K,MATCH('Lorri 401b'!N2240,'Retirement Calculator'!A:A,0),0),0)</f>
        <v>0</v>
      </c>
      <c r="K2240" s="455">
        <f t="shared" ca="1" si="123"/>
        <v>-19174008.118451681</v>
      </c>
      <c r="L2240" s="455">
        <f t="shared" ca="1" si="124"/>
        <v>-4620935956.5468559</v>
      </c>
      <c r="M2240" s="471">
        <f t="shared" si="126"/>
        <v>0.05</v>
      </c>
      <c r="N2240" s="475">
        <f t="shared" si="127"/>
        <v>119222</v>
      </c>
    </row>
    <row r="2241" spans="7:14" ht="11.25" customHeight="1" x14ac:dyDescent="0.3">
      <c r="G2241" s="470"/>
      <c r="H2241" s="470">
        <v>2234</v>
      </c>
      <c r="I2241" s="455">
        <f t="shared" ca="1" si="125"/>
        <v>-4620935956.5468559</v>
      </c>
      <c r="J2241" s="455">
        <f t="array" ref="J2241">IFERROR(INDEX('Retirement Calculator'!K:K,MATCH('Lorri 401b'!N2241,'Retirement Calculator'!A:A,0),0),0)</f>
        <v>0</v>
      </c>
      <c r="K2241" s="455">
        <f t="shared" ca="1" si="123"/>
        <v>-19253899.818945233</v>
      </c>
      <c r="L2241" s="455">
        <f t="shared" ca="1" si="124"/>
        <v>-4640189856.3658009</v>
      </c>
      <c r="M2241" s="471">
        <f t="shared" si="126"/>
        <v>0.05</v>
      </c>
      <c r="N2241" s="475">
        <f t="shared" si="127"/>
        <v>119252</v>
      </c>
    </row>
    <row r="2242" spans="7:14" ht="11.25" customHeight="1" x14ac:dyDescent="0.3">
      <c r="G2242" s="470"/>
      <c r="H2242" s="470">
        <v>2235</v>
      </c>
      <c r="I2242" s="455">
        <f t="shared" ca="1" si="125"/>
        <v>-4640189856.3658009</v>
      </c>
      <c r="J2242" s="455">
        <f t="array" ref="J2242">IFERROR(INDEX('Retirement Calculator'!K:K,MATCH('Lorri 401b'!N2242,'Retirement Calculator'!A:A,0),0),0)</f>
        <v>0</v>
      </c>
      <c r="K2242" s="455">
        <f t="shared" ca="1" si="123"/>
        <v>-19334124.401524171</v>
      </c>
      <c r="L2242" s="455">
        <f t="shared" ca="1" si="124"/>
        <v>-4659523980.7673254</v>
      </c>
      <c r="M2242" s="471">
        <f t="shared" si="126"/>
        <v>0.05</v>
      </c>
      <c r="N2242" s="475">
        <f t="shared" si="127"/>
        <v>119283</v>
      </c>
    </row>
    <row r="2243" spans="7:14" ht="11.25" customHeight="1" x14ac:dyDescent="0.3">
      <c r="G2243" s="470"/>
      <c r="H2243" s="470">
        <v>2236</v>
      </c>
      <c r="I2243" s="455">
        <f t="shared" ca="1" si="125"/>
        <v>-4659523980.7673254</v>
      </c>
      <c r="J2243" s="455">
        <f t="array" ref="J2243">IFERROR(INDEX('Retirement Calculator'!K:K,MATCH('Lorri 401b'!N2243,'Retirement Calculator'!A:A,0),0),0)</f>
        <v>0</v>
      </c>
      <c r="K2243" s="455">
        <f t="shared" ca="1" si="123"/>
        <v>-19414683.253197189</v>
      </c>
      <c r="L2243" s="455">
        <f t="shared" ca="1" si="124"/>
        <v>-4678938664.0205221</v>
      </c>
      <c r="M2243" s="471">
        <f t="shared" si="126"/>
        <v>0.05</v>
      </c>
      <c r="N2243" s="475">
        <f t="shared" si="127"/>
        <v>119314</v>
      </c>
    </row>
    <row r="2244" spans="7:14" ht="11.25" customHeight="1" x14ac:dyDescent="0.3">
      <c r="G2244" s="470"/>
      <c r="H2244" s="470">
        <v>2237</v>
      </c>
      <c r="I2244" s="455">
        <f t="shared" ca="1" si="125"/>
        <v>-4678938664.0205221</v>
      </c>
      <c r="J2244" s="455">
        <f t="array" ref="J2244">IFERROR(INDEX('Retirement Calculator'!K:K,MATCH('Lorri 401b'!N2244,'Retirement Calculator'!A:A,0),0),0)</f>
        <v>0</v>
      </c>
      <c r="K2244" s="455">
        <f t="shared" ca="1" si="123"/>
        <v>-19495577.766752176</v>
      </c>
      <c r="L2244" s="455">
        <f t="shared" ca="1" si="124"/>
        <v>-4698434241.7872744</v>
      </c>
      <c r="M2244" s="471">
        <f t="shared" si="126"/>
        <v>0.05</v>
      </c>
      <c r="N2244" s="475">
        <f t="shared" si="127"/>
        <v>119344</v>
      </c>
    </row>
    <row r="2245" spans="7:14" ht="11.25" customHeight="1" x14ac:dyDescent="0.3">
      <c r="G2245" s="470"/>
      <c r="H2245" s="470">
        <v>2238</v>
      </c>
      <c r="I2245" s="455">
        <f t="shared" ca="1" si="125"/>
        <v>-4698434241.7872744</v>
      </c>
      <c r="J2245" s="455">
        <f t="array" ref="J2245">IFERROR(INDEX('Retirement Calculator'!K:K,MATCH('Lorri 401b'!N2245,'Retirement Calculator'!A:A,0),0),0)</f>
        <v>0</v>
      </c>
      <c r="K2245" s="455">
        <f t="shared" ca="1" si="123"/>
        <v>-19576809.34078031</v>
      </c>
      <c r="L2245" s="455">
        <f t="shared" ca="1" si="124"/>
        <v>-4718011051.1280546</v>
      </c>
      <c r="M2245" s="471">
        <f t="shared" si="126"/>
        <v>0.05</v>
      </c>
      <c r="N2245" s="475">
        <f t="shared" si="127"/>
        <v>119375</v>
      </c>
    </row>
    <row r="2246" spans="7:14" ht="11.25" customHeight="1" x14ac:dyDescent="0.3">
      <c r="G2246" s="470"/>
      <c r="H2246" s="470">
        <v>2239</v>
      </c>
      <c r="I2246" s="455">
        <f t="shared" ca="1" si="125"/>
        <v>-4718011051.1280546</v>
      </c>
      <c r="J2246" s="455">
        <f t="array" ref="J2246">IFERROR(INDEX('Retirement Calculator'!K:K,MATCH('Lorri 401b'!N2246,'Retirement Calculator'!A:A,0),0),0)</f>
        <v>0</v>
      </c>
      <c r="K2246" s="455">
        <f t="shared" ca="1" si="123"/>
        <v>-19658379.379700229</v>
      </c>
      <c r="L2246" s="455">
        <f t="shared" ca="1" si="124"/>
        <v>-4737669430.5077553</v>
      </c>
      <c r="M2246" s="471">
        <f t="shared" si="126"/>
        <v>0.05</v>
      </c>
      <c r="N2246" s="475">
        <f t="shared" si="127"/>
        <v>119405</v>
      </c>
    </row>
    <row r="2247" spans="7:14" ht="11.25" customHeight="1" x14ac:dyDescent="0.3">
      <c r="G2247" s="470"/>
      <c r="H2247" s="470">
        <v>2240</v>
      </c>
      <c r="I2247" s="455">
        <f t="shared" ca="1" si="125"/>
        <v>-4737669430.5077553</v>
      </c>
      <c r="J2247" s="455">
        <f t="array" ref="J2247">IFERROR(INDEX('Retirement Calculator'!K:K,MATCH('Lorri 401b'!N2247,'Retirement Calculator'!A:A,0),0),0)</f>
        <v>0</v>
      </c>
      <c r="K2247" s="455">
        <f t="shared" ca="1" si="123"/>
        <v>-19740289.293782312</v>
      </c>
      <c r="L2247" s="455">
        <f t="shared" ca="1" si="124"/>
        <v>-4757409719.8015375</v>
      </c>
      <c r="M2247" s="471">
        <f t="shared" si="126"/>
        <v>0.05</v>
      </c>
      <c r="N2247" s="475">
        <f t="shared" si="127"/>
        <v>119436</v>
      </c>
    </row>
    <row r="2248" spans="7:14" ht="11.25" customHeight="1" x14ac:dyDescent="0.3">
      <c r="G2248" s="470"/>
      <c r="H2248" s="470">
        <v>2241</v>
      </c>
      <c r="I2248" s="455">
        <f t="shared" ca="1" si="125"/>
        <v>-4757409719.8015375</v>
      </c>
      <c r="J2248" s="455">
        <f t="array" ref="J2248">IFERROR(INDEX('Retirement Calculator'!K:K,MATCH('Lorri 401b'!N2248,'Retirement Calculator'!A:A,0),0),0)</f>
        <v>0</v>
      </c>
      <c r="K2248" s="455">
        <f t="shared" ca="1" si="123"/>
        <v>-19822540.499173071</v>
      </c>
      <c r="L2248" s="455">
        <f t="shared" ca="1" si="124"/>
        <v>-4777232260.3007107</v>
      </c>
      <c r="M2248" s="471">
        <f t="shared" si="126"/>
        <v>0.05</v>
      </c>
      <c r="N2248" s="475">
        <f t="shared" si="127"/>
        <v>119467</v>
      </c>
    </row>
    <row r="2249" spans="7:14" ht="11.25" customHeight="1" x14ac:dyDescent="0.3">
      <c r="G2249" s="470"/>
      <c r="H2249" s="470">
        <v>2242</v>
      </c>
      <c r="I2249" s="455">
        <f t="shared" ca="1" si="125"/>
        <v>-4777232260.3007107</v>
      </c>
      <c r="J2249" s="455">
        <f t="array" ref="J2249">IFERROR(INDEX('Retirement Calculator'!K:K,MATCH('Lorri 401b'!N2249,'Retirement Calculator'!A:A,0),0),0)</f>
        <v>0</v>
      </c>
      <c r="K2249" s="455">
        <f t="shared" ca="1" si="123"/>
        <v>-19905134.417919628</v>
      </c>
      <c r="L2249" s="455">
        <f t="shared" ca="1" si="124"/>
        <v>-4797137394.7186298</v>
      </c>
      <c r="M2249" s="471">
        <f t="shared" si="126"/>
        <v>0.05</v>
      </c>
      <c r="N2249" s="475">
        <f t="shared" si="127"/>
        <v>119495</v>
      </c>
    </row>
    <row r="2250" spans="7:14" ht="11.25" customHeight="1" x14ac:dyDescent="0.3">
      <c r="G2250" s="470"/>
      <c r="H2250" s="470">
        <v>2243</v>
      </c>
      <c r="I2250" s="455">
        <f t="shared" ca="1" si="125"/>
        <v>-4797137394.7186298</v>
      </c>
      <c r="J2250" s="455">
        <f t="array" ref="J2250">IFERROR(INDEX('Retirement Calculator'!K:K,MATCH('Lorri 401b'!N2250,'Retirement Calculator'!A:A,0),0),0)</f>
        <v>0</v>
      </c>
      <c r="K2250" s="455">
        <f t="shared" ca="1" si="123"/>
        <v>-19988072.477994289</v>
      </c>
      <c r="L2250" s="455">
        <f t="shared" ca="1" si="124"/>
        <v>-4817125467.1966238</v>
      </c>
      <c r="M2250" s="471">
        <f t="shared" si="126"/>
        <v>0.05</v>
      </c>
      <c r="N2250" s="475">
        <f t="shared" si="127"/>
        <v>119526</v>
      </c>
    </row>
    <row r="2251" spans="7:14" ht="11.25" customHeight="1" x14ac:dyDescent="0.3">
      <c r="G2251" s="470"/>
      <c r="H2251" s="470">
        <v>2244</v>
      </c>
      <c r="I2251" s="455">
        <f t="shared" ca="1" si="125"/>
        <v>-4817125467.1966238</v>
      </c>
      <c r="J2251" s="455">
        <f t="array" ref="J2251">IFERROR(INDEX('Retirement Calculator'!K:K,MATCH('Lorri 401b'!N2251,'Retirement Calculator'!A:A,0),0),0)</f>
        <v>0</v>
      </c>
      <c r="K2251" s="455">
        <f t="shared" ca="1" si="123"/>
        <v>-20071356.113319267</v>
      </c>
      <c r="L2251" s="455">
        <f t="shared" ca="1" si="124"/>
        <v>-4837196823.3099432</v>
      </c>
      <c r="M2251" s="471">
        <f t="shared" si="126"/>
        <v>0.05</v>
      </c>
      <c r="N2251" s="475">
        <f t="shared" si="127"/>
        <v>119556</v>
      </c>
    </row>
    <row r="2252" spans="7:14" ht="11.25" customHeight="1" x14ac:dyDescent="0.3">
      <c r="G2252" s="470"/>
      <c r="H2252" s="470">
        <v>2245</v>
      </c>
      <c r="I2252" s="455">
        <f t="shared" ca="1" si="125"/>
        <v>-4837196823.3099432</v>
      </c>
      <c r="J2252" s="455">
        <f t="array" ref="J2252">IFERROR(INDEX('Retirement Calculator'!K:K,MATCH('Lorri 401b'!N2252,'Retirement Calculator'!A:A,0),0),0)</f>
        <v>0</v>
      </c>
      <c r="K2252" s="455">
        <f t="shared" ca="1" si="123"/>
        <v>-20154986.763791431</v>
      </c>
      <c r="L2252" s="455">
        <f t="shared" ca="1" si="124"/>
        <v>-4857351810.0737343</v>
      </c>
      <c r="M2252" s="471">
        <f t="shared" si="126"/>
        <v>0.05</v>
      </c>
      <c r="N2252" s="475">
        <f t="shared" si="127"/>
        <v>119587</v>
      </c>
    </row>
    <row r="2253" spans="7:14" ht="11.25" customHeight="1" x14ac:dyDescent="0.3">
      <c r="G2253" s="470"/>
      <c r="H2253" s="470">
        <v>2246</v>
      </c>
      <c r="I2253" s="455">
        <f t="shared" ca="1" si="125"/>
        <v>-4857351810.0737343</v>
      </c>
      <c r="J2253" s="455">
        <f t="array" ref="J2253">IFERROR(INDEX('Retirement Calculator'!K:K,MATCH('Lorri 401b'!N2253,'Retirement Calculator'!A:A,0),0),0)</f>
        <v>0</v>
      </c>
      <c r="K2253" s="455">
        <f t="shared" ca="1" si="123"/>
        <v>-20238965.875307225</v>
      </c>
      <c r="L2253" s="455">
        <f t="shared" ca="1" si="124"/>
        <v>-4877590775.9490414</v>
      </c>
      <c r="M2253" s="471">
        <f t="shared" si="126"/>
        <v>0.05</v>
      </c>
      <c r="N2253" s="475">
        <f t="shared" si="127"/>
        <v>119617</v>
      </c>
    </row>
    <row r="2254" spans="7:14" ht="11.25" customHeight="1" x14ac:dyDescent="0.3">
      <c r="G2254" s="470"/>
      <c r="H2254" s="470">
        <v>2247</v>
      </c>
      <c r="I2254" s="455">
        <f t="shared" ca="1" si="125"/>
        <v>-4877590775.9490414</v>
      </c>
      <c r="J2254" s="455">
        <f t="array" ref="J2254">IFERROR(INDEX('Retirement Calculator'!K:K,MATCH('Lorri 401b'!N2254,'Retirement Calculator'!A:A,0),0),0)</f>
        <v>0</v>
      </c>
      <c r="K2254" s="455">
        <f t="shared" ca="1" si="123"/>
        <v>-20323294.899787672</v>
      </c>
      <c r="L2254" s="455">
        <f t="shared" ca="1" si="124"/>
        <v>-4897914070.8488293</v>
      </c>
      <c r="M2254" s="471">
        <f t="shared" si="126"/>
        <v>0.05</v>
      </c>
      <c r="N2254" s="475">
        <f t="shared" si="127"/>
        <v>119648</v>
      </c>
    </row>
    <row r="2255" spans="7:14" ht="11.25" customHeight="1" x14ac:dyDescent="0.3">
      <c r="G2255" s="470"/>
      <c r="H2255" s="470">
        <v>2248</v>
      </c>
      <c r="I2255" s="455">
        <f t="shared" ca="1" si="125"/>
        <v>-4897914070.8488293</v>
      </c>
      <c r="J2255" s="455">
        <f t="array" ref="J2255">IFERROR(INDEX('Retirement Calculator'!K:K,MATCH('Lorri 401b'!N2255,'Retirement Calculator'!A:A,0),0),0)</f>
        <v>0</v>
      </c>
      <c r="K2255" s="455">
        <f t="shared" ca="1" si="123"/>
        <v>-20407975.295203455</v>
      </c>
      <c r="L2255" s="455">
        <f t="shared" ca="1" si="124"/>
        <v>-4918322046.1440325</v>
      </c>
      <c r="M2255" s="471">
        <f t="shared" si="126"/>
        <v>0.05</v>
      </c>
      <c r="N2255" s="475">
        <f t="shared" si="127"/>
        <v>119679</v>
      </c>
    </row>
    <row r="2256" spans="7:14" ht="11.25" customHeight="1" x14ac:dyDescent="0.3">
      <c r="G2256" s="470"/>
      <c r="H2256" s="470">
        <v>2249</v>
      </c>
      <c r="I2256" s="455">
        <f t="shared" ca="1" si="125"/>
        <v>-4918322046.1440325</v>
      </c>
      <c r="J2256" s="455">
        <f t="array" ref="J2256">IFERROR(INDEX('Retirement Calculator'!K:K,MATCH('Lorri 401b'!N2256,'Retirement Calculator'!A:A,0),0),0)</f>
        <v>0</v>
      </c>
      <c r="K2256" s="455">
        <f t="shared" ca="1" si="123"/>
        <v>-20493008.525600135</v>
      </c>
      <c r="L2256" s="455">
        <f t="shared" ca="1" si="124"/>
        <v>-4938815054.6696329</v>
      </c>
      <c r="M2256" s="471">
        <f t="shared" si="126"/>
        <v>0.05</v>
      </c>
      <c r="N2256" s="475">
        <f t="shared" si="127"/>
        <v>119709</v>
      </c>
    </row>
    <row r="2257" spans="7:14" ht="11.25" customHeight="1" x14ac:dyDescent="0.3">
      <c r="G2257" s="470"/>
      <c r="H2257" s="470">
        <v>2250</v>
      </c>
      <c r="I2257" s="455">
        <f t="shared" ca="1" si="125"/>
        <v>-4938815054.6696329</v>
      </c>
      <c r="J2257" s="455">
        <f t="array" ref="J2257">IFERROR(INDEX('Retirement Calculator'!K:K,MATCH('Lorri 401b'!N2257,'Retirement Calculator'!A:A,0),0),0)</f>
        <v>0</v>
      </c>
      <c r="K2257" s="455">
        <f t="shared" ca="1" si="123"/>
        <v>-20578396.061123472</v>
      </c>
      <c r="L2257" s="455">
        <f t="shared" ca="1" si="124"/>
        <v>-4959393450.7307568</v>
      </c>
      <c r="M2257" s="471">
        <f t="shared" si="126"/>
        <v>0.05</v>
      </c>
      <c r="N2257" s="475">
        <f t="shared" si="127"/>
        <v>119740</v>
      </c>
    </row>
    <row r="2258" spans="7:14" ht="11.25" customHeight="1" x14ac:dyDescent="0.3">
      <c r="G2258" s="470"/>
      <c r="H2258" s="470">
        <v>2251</v>
      </c>
      <c r="I2258" s="455">
        <f t="shared" ca="1" si="125"/>
        <v>-4959393450.7307568</v>
      </c>
      <c r="J2258" s="455">
        <f t="array" ref="J2258">IFERROR(INDEX('Retirement Calculator'!K:K,MATCH('Lorri 401b'!N2258,'Retirement Calculator'!A:A,0),0),0)</f>
        <v>0</v>
      </c>
      <c r="K2258" s="455">
        <f t="shared" ca="1" si="123"/>
        <v>-20664139.378044821</v>
      </c>
      <c r="L2258" s="455">
        <f t="shared" ca="1" si="124"/>
        <v>-4980057590.1088018</v>
      </c>
      <c r="M2258" s="471">
        <f t="shared" si="126"/>
        <v>0.05</v>
      </c>
      <c r="N2258" s="475">
        <f t="shared" si="127"/>
        <v>119770</v>
      </c>
    </row>
    <row r="2259" spans="7:14" ht="11.25" customHeight="1" x14ac:dyDescent="0.3">
      <c r="G2259" s="470"/>
      <c r="H2259" s="470">
        <v>2252</v>
      </c>
      <c r="I2259" s="455">
        <f t="shared" ca="1" si="125"/>
        <v>-4980057590.1088018</v>
      </c>
      <c r="J2259" s="455">
        <f t="array" ref="J2259">IFERROR(INDEX('Retirement Calculator'!K:K,MATCH('Lorri 401b'!N2259,'Retirement Calculator'!A:A,0),0),0)</f>
        <v>0</v>
      </c>
      <c r="K2259" s="455">
        <f t="shared" ca="1" si="123"/>
        <v>-20750239.958786674</v>
      </c>
      <c r="L2259" s="455">
        <f t="shared" ca="1" si="124"/>
        <v>-5000807830.0675888</v>
      </c>
      <c r="M2259" s="471">
        <f t="shared" si="126"/>
        <v>0.05</v>
      </c>
      <c r="N2259" s="475">
        <f t="shared" si="127"/>
        <v>119801</v>
      </c>
    </row>
    <row r="2260" spans="7:14" ht="11.25" customHeight="1" x14ac:dyDescent="0.3">
      <c r="G2260" s="470"/>
      <c r="H2260" s="470">
        <v>2253</v>
      </c>
      <c r="I2260" s="455">
        <f t="shared" ca="1" si="125"/>
        <v>-5000807830.0675888</v>
      </c>
      <c r="J2260" s="455">
        <f t="array" ref="J2260">IFERROR(INDEX('Retirement Calculator'!K:K,MATCH('Lorri 401b'!N2260,'Retirement Calculator'!A:A,0),0),0)</f>
        <v>0</v>
      </c>
      <c r="K2260" s="455">
        <f t="shared" ca="1" si="123"/>
        <v>-20836699.291948285</v>
      </c>
      <c r="L2260" s="455">
        <f t="shared" ca="1" si="124"/>
        <v>-5021644529.3595371</v>
      </c>
      <c r="M2260" s="471">
        <f t="shared" si="126"/>
        <v>0.05</v>
      </c>
      <c r="N2260" s="475">
        <f t="shared" si="127"/>
        <v>119832</v>
      </c>
    </row>
    <row r="2261" spans="7:14" ht="11.25" customHeight="1" x14ac:dyDescent="0.3">
      <c r="G2261" s="470"/>
      <c r="H2261" s="470">
        <v>2254</v>
      </c>
      <c r="I2261" s="455">
        <f t="shared" ca="1" si="125"/>
        <v>-5021644529.3595371</v>
      </c>
      <c r="J2261" s="455">
        <f t="array" ref="J2261">IFERROR(INDEX('Retirement Calculator'!K:K,MATCH('Lorri 401b'!N2261,'Retirement Calculator'!A:A,0),0),0)</f>
        <v>0</v>
      </c>
      <c r="K2261" s="455">
        <f t="shared" ca="1" si="123"/>
        <v>-20923518.872331403</v>
      </c>
      <c r="L2261" s="455">
        <f t="shared" ca="1" si="124"/>
        <v>-5042568048.2318687</v>
      </c>
      <c r="M2261" s="471">
        <f t="shared" si="126"/>
        <v>0.05</v>
      </c>
      <c r="N2261" s="475">
        <f t="shared" si="127"/>
        <v>119861</v>
      </c>
    </row>
    <row r="2262" spans="7:14" ht="11.25" customHeight="1" x14ac:dyDescent="0.3">
      <c r="G2262" s="470"/>
      <c r="H2262" s="470">
        <v>2255</v>
      </c>
      <c r="I2262" s="455">
        <f t="shared" ca="1" si="125"/>
        <v>-5042568048.2318687</v>
      </c>
      <c r="J2262" s="455">
        <f t="array" ref="J2262">IFERROR(INDEX('Retirement Calculator'!K:K,MATCH('Lorri 401b'!N2262,'Retirement Calculator'!A:A,0),0),0)</f>
        <v>0</v>
      </c>
      <c r="K2262" s="455">
        <f t="shared" ca="1" si="123"/>
        <v>-21010700.20096612</v>
      </c>
      <c r="L2262" s="455">
        <f t="shared" ca="1" si="124"/>
        <v>-5063578748.4328346</v>
      </c>
      <c r="M2262" s="471">
        <f t="shared" si="126"/>
        <v>0.05</v>
      </c>
      <c r="N2262" s="475">
        <f t="shared" si="127"/>
        <v>119892</v>
      </c>
    </row>
    <row r="2263" spans="7:14" ht="11.25" customHeight="1" x14ac:dyDescent="0.3">
      <c r="G2263" s="470"/>
      <c r="H2263" s="470">
        <v>2256</v>
      </c>
      <c r="I2263" s="455">
        <f t="shared" ca="1" si="125"/>
        <v>-5063578748.4328346</v>
      </c>
      <c r="J2263" s="455">
        <f t="array" ref="J2263">IFERROR(INDEX('Retirement Calculator'!K:K,MATCH('Lorri 401b'!N2263,'Retirement Calculator'!A:A,0),0),0)</f>
        <v>0</v>
      </c>
      <c r="K2263" s="455">
        <f t="shared" ca="1" si="123"/>
        <v>-21098244.785136811</v>
      </c>
      <c r="L2263" s="455">
        <f t="shared" ca="1" si="124"/>
        <v>-5084676993.2179718</v>
      </c>
      <c r="M2263" s="471">
        <f t="shared" si="126"/>
        <v>0.05</v>
      </c>
      <c r="N2263" s="475">
        <f t="shared" si="127"/>
        <v>119922</v>
      </c>
    </row>
    <row r="2264" spans="7:14" ht="11.25" customHeight="1" x14ac:dyDescent="0.3">
      <c r="G2264" s="470"/>
      <c r="H2264" s="470">
        <v>2257</v>
      </c>
      <c r="I2264" s="455">
        <f t="shared" ca="1" si="125"/>
        <v>-5084676993.2179718</v>
      </c>
      <c r="J2264" s="455">
        <f t="array" ref="J2264">IFERROR(INDEX('Retirement Calculator'!K:K,MATCH('Lorri 401b'!N2264,'Retirement Calculator'!A:A,0),0),0)</f>
        <v>0</v>
      </c>
      <c r="K2264" s="455">
        <f t="shared" ca="1" si="123"/>
        <v>-21186154.138408214</v>
      </c>
      <c r="L2264" s="455">
        <f t="shared" ca="1" si="124"/>
        <v>-5105863147.3563805</v>
      </c>
      <c r="M2264" s="471">
        <f t="shared" si="126"/>
        <v>0.05</v>
      </c>
      <c r="N2264" s="475">
        <f t="shared" si="127"/>
        <v>119953</v>
      </c>
    </row>
    <row r="2265" spans="7:14" ht="11.25" customHeight="1" x14ac:dyDescent="0.3">
      <c r="G2265" s="470"/>
      <c r="H2265" s="470">
        <v>2258</v>
      </c>
      <c r="I2265" s="455">
        <f t="shared" ca="1" si="125"/>
        <v>-5105863147.3563805</v>
      </c>
      <c r="J2265" s="455">
        <f t="array" ref="J2265">IFERROR(INDEX('Retirement Calculator'!K:K,MATCH('Lorri 401b'!N2265,'Retirement Calculator'!A:A,0),0),0)</f>
        <v>0</v>
      </c>
      <c r="K2265" s="455">
        <f t="shared" ca="1" si="123"/>
        <v>-21274429.780651584</v>
      </c>
      <c r="L2265" s="455">
        <f t="shared" ca="1" si="124"/>
        <v>-5127137577.1370325</v>
      </c>
      <c r="M2265" s="471">
        <f t="shared" si="126"/>
        <v>0.05</v>
      </c>
      <c r="N2265" s="475">
        <f t="shared" si="127"/>
        <v>119983</v>
      </c>
    </row>
    <row r="2266" spans="7:14" ht="11.25" customHeight="1" x14ac:dyDescent="0.3">
      <c r="G2266" s="470"/>
      <c r="H2266" s="470">
        <v>2259</v>
      </c>
      <c r="I2266" s="455">
        <f t="shared" ca="1" si="125"/>
        <v>-5127137577.1370325</v>
      </c>
      <c r="J2266" s="455">
        <f t="array" ref="J2266">IFERROR(INDEX('Retirement Calculator'!K:K,MATCH('Lorri 401b'!N2266,'Retirement Calculator'!A:A,0),0),0)</f>
        <v>0</v>
      </c>
      <c r="K2266" s="455">
        <f t="shared" ca="1" si="123"/>
        <v>-21363073.238070969</v>
      </c>
      <c r="L2266" s="455">
        <f t="shared" ca="1" si="124"/>
        <v>-5148500650.375104</v>
      </c>
      <c r="M2266" s="471">
        <f t="shared" si="126"/>
        <v>0.05</v>
      </c>
      <c r="N2266" s="475">
        <f t="shared" si="127"/>
        <v>120014</v>
      </c>
    </row>
    <row r="2267" spans="7:14" ht="11.25" customHeight="1" x14ac:dyDescent="0.3">
      <c r="G2267" s="470"/>
      <c r="H2267" s="470">
        <v>2260</v>
      </c>
      <c r="I2267" s="455">
        <f t="shared" ca="1" si="125"/>
        <v>-5148500650.375104</v>
      </c>
      <c r="J2267" s="455">
        <f t="array" ref="J2267">IFERROR(INDEX('Retirement Calculator'!K:K,MATCH('Lorri 401b'!N2267,'Retirement Calculator'!A:A,0),0),0)</f>
        <v>0</v>
      </c>
      <c r="K2267" s="455">
        <f t="shared" ca="1" si="123"/>
        <v>-21452086.043229599</v>
      </c>
      <c r="L2267" s="455">
        <f t="shared" ca="1" si="124"/>
        <v>-5169952736.418334</v>
      </c>
      <c r="M2267" s="471">
        <f t="shared" si="126"/>
        <v>0.05</v>
      </c>
      <c r="N2267" s="475">
        <f t="shared" si="127"/>
        <v>120045</v>
      </c>
    </row>
    <row r="2268" spans="7:14" ht="11.25" customHeight="1" x14ac:dyDescent="0.3">
      <c r="G2268" s="470"/>
      <c r="H2268" s="470">
        <v>2261</v>
      </c>
      <c r="I2268" s="455">
        <f t="shared" ca="1" si="125"/>
        <v>-5169952736.418334</v>
      </c>
      <c r="J2268" s="455">
        <f t="array" ref="J2268">IFERROR(INDEX('Retirement Calculator'!K:K,MATCH('Lorri 401b'!N2268,'Retirement Calculator'!A:A,0),0),0)</f>
        <v>0</v>
      </c>
      <c r="K2268" s="455">
        <f t="shared" ca="1" si="123"/>
        <v>-21541469.73507639</v>
      </c>
      <c r="L2268" s="455">
        <f t="shared" ca="1" si="124"/>
        <v>-5191494206.15341</v>
      </c>
      <c r="M2268" s="471">
        <f t="shared" si="126"/>
        <v>0.05</v>
      </c>
      <c r="N2268" s="475">
        <f t="shared" si="127"/>
        <v>120075</v>
      </c>
    </row>
    <row r="2269" spans="7:14" ht="11.25" customHeight="1" x14ac:dyDescent="0.3">
      <c r="G2269" s="470"/>
      <c r="H2269" s="470">
        <v>2262</v>
      </c>
      <c r="I2269" s="455">
        <f t="shared" ca="1" si="125"/>
        <v>-5191494206.15341</v>
      </c>
      <c r="J2269" s="455">
        <f t="array" ref="J2269">IFERROR(INDEX('Retirement Calculator'!K:K,MATCH('Lorri 401b'!N2269,'Retirement Calculator'!A:A,0),0),0)</f>
        <v>0</v>
      </c>
      <c r="K2269" s="455">
        <f t="shared" ca="1" si="123"/>
        <v>-21631225.858972542</v>
      </c>
      <c r="L2269" s="455">
        <f t="shared" ca="1" si="124"/>
        <v>-5213125432.0123825</v>
      </c>
      <c r="M2269" s="471">
        <f t="shared" si="126"/>
        <v>0.05</v>
      </c>
      <c r="N2269" s="475">
        <f t="shared" si="127"/>
        <v>120106</v>
      </c>
    </row>
    <row r="2270" spans="7:14" ht="11.25" customHeight="1" x14ac:dyDescent="0.3">
      <c r="G2270" s="470"/>
      <c r="H2270" s="470">
        <v>2263</v>
      </c>
      <c r="I2270" s="455">
        <f t="shared" ca="1" si="125"/>
        <v>-5213125432.0123825</v>
      </c>
      <c r="J2270" s="455">
        <f t="array" ref="J2270">IFERROR(INDEX('Retirement Calculator'!K:K,MATCH('Lorri 401b'!N2270,'Retirement Calculator'!A:A,0),0),0)</f>
        <v>0</v>
      </c>
      <c r="K2270" s="455">
        <f t="shared" ca="1" si="123"/>
        <v>-21721355.96671826</v>
      </c>
      <c r="L2270" s="455">
        <f t="shared" ca="1" si="124"/>
        <v>-5234846787.9791012</v>
      </c>
      <c r="M2270" s="471">
        <f t="shared" si="126"/>
        <v>0.05</v>
      </c>
      <c r="N2270" s="475">
        <f t="shared" si="127"/>
        <v>120136</v>
      </c>
    </row>
    <row r="2271" spans="7:14" ht="11.25" customHeight="1" x14ac:dyDescent="0.3">
      <c r="G2271" s="470"/>
      <c r="H2271" s="470">
        <v>2264</v>
      </c>
      <c r="I2271" s="455">
        <f t="shared" ca="1" si="125"/>
        <v>-5234846787.9791012</v>
      </c>
      <c r="J2271" s="455">
        <f t="array" ref="J2271">IFERROR(INDEX('Retirement Calculator'!K:K,MATCH('Lorri 401b'!N2271,'Retirement Calculator'!A:A,0),0),0)</f>
        <v>0</v>
      </c>
      <c r="K2271" s="455">
        <f t="shared" ca="1" si="123"/>
        <v>-21811861.616579589</v>
      </c>
      <c r="L2271" s="455">
        <f t="shared" ca="1" si="124"/>
        <v>-5256658649.5956812</v>
      </c>
      <c r="M2271" s="471">
        <f t="shared" si="126"/>
        <v>0.05</v>
      </c>
      <c r="N2271" s="475">
        <f t="shared" si="127"/>
        <v>120167</v>
      </c>
    </row>
    <row r="2272" spans="7:14" ht="11.25" customHeight="1" x14ac:dyDescent="0.3">
      <c r="G2272" s="470"/>
      <c r="H2272" s="470">
        <v>2265</v>
      </c>
      <c r="I2272" s="455">
        <f t="shared" ca="1" si="125"/>
        <v>-5256658649.5956812</v>
      </c>
      <c r="J2272" s="455">
        <f t="array" ref="J2272">IFERROR(INDEX('Retirement Calculator'!K:K,MATCH('Lorri 401b'!N2272,'Retirement Calculator'!A:A,0),0),0)</f>
        <v>0</v>
      </c>
      <c r="K2272" s="455">
        <f t="shared" ca="1" si="123"/>
        <v>-21902744.373315338</v>
      </c>
      <c r="L2272" s="455">
        <f t="shared" ca="1" si="124"/>
        <v>-5278561393.968997</v>
      </c>
      <c r="M2272" s="471">
        <f t="shared" si="126"/>
        <v>0.05</v>
      </c>
      <c r="N2272" s="475">
        <f t="shared" si="127"/>
        <v>120198</v>
      </c>
    </row>
    <row r="2273" spans="7:14" ht="11.25" customHeight="1" x14ac:dyDescent="0.3">
      <c r="G2273" s="470"/>
      <c r="H2273" s="470">
        <v>2266</v>
      </c>
      <c r="I2273" s="455">
        <f t="shared" ca="1" si="125"/>
        <v>-5278561393.968997</v>
      </c>
      <c r="J2273" s="455">
        <f t="array" ref="J2273">IFERROR(INDEX('Retirement Calculator'!K:K,MATCH('Lorri 401b'!N2273,'Retirement Calculator'!A:A,0),0),0)</f>
        <v>0</v>
      </c>
      <c r="K2273" s="455">
        <f t="shared" ca="1" si="123"/>
        <v>-21994005.808204155</v>
      </c>
      <c r="L2273" s="455">
        <f t="shared" ca="1" si="124"/>
        <v>-5300555399.7772007</v>
      </c>
      <c r="M2273" s="471">
        <f t="shared" si="126"/>
        <v>0.05</v>
      </c>
      <c r="N2273" s="475">
        <f t="shared" si="127"/>
        <v>120226</v>
      </c>
    </row>
    <row r="2274" spans="7:14" ht="11.25" customHeight="1" x14ac:dyDescent="0.3">
      <c r="G2274" s="470"/>
      <c r="H2274" s="470">
        <v>2267</v>
      </c>
      <c r="I2274" s="455">
        <f t="shared" ca="1" si="125"/>
        <v>-5300555399.7772007</v>
      </c>
      <c r="J2274" s="455">
        <f t="array" ref="J2274">IFERROR(INDEX('Retirement Calculator'!K:K,MATCH('Lorri 401b'!N2274,'Retirement Calculator'!A:A,0),0),0)</f>
        <v>0</v>
      </c>
      <c r="K2274" s="455">
        <f t="shared" ca="1" si="123"/>
        <v>-22085647.499071669</v>
      </c>
      <c r="L2274" s="455">
        <f t="shared" ca="1" si="124"/>
        <v>-5322641047.2762728</v>
      </c>
      <c r="M2274" s="471">
        <f t="shared" si="126"/>
        <v>0.05</v>
      </c>
      <c r="N2274" s="475">
        <f t="shared" si="127"/>
        <v>120257</v>
      </c>
    </row>
    <row r="2275" spans="7:14" ht="11.25" customHeight="1" x14ac:dyDescent="0.3">
      <c r="G2275" s="470"/>
      <c r="H2275" s="470">
        <v>2268</v>
      </c>
      <c r="I2275" s="455">
        <f t="shared" ca="1" si="125"/>
        <v>-5322641047.2762728</v>
      </c>
      <c r="J2275" s="455">
        <f t="array" ref="J2275">IFERROR(INDEX('Retirement Calculator'!K:K,MATCH('Lorri 401b'!N2275,'Retirement Calculator'!A:A,0),0),0)</f>
        <v>0</v>
      </c>
      <c r="K2275" s="455">
        <f t="shared" ca="1" si="123"/>
        <v>-22177671.030317802</v>
      </c>
      <c r="L2275" s="455">
        <f t="shared" ca="1" si="124"/>
        <v>-5344818718.306591</v>
      </c>
      <c r="M2275" s="471">
        <f t="shared" si="126"/>
        <v>0.05</v>
      </c>
      <c r="N2275" s="475">
        <f t="shared" si="127"/>
        <v>120287</v>
      </c>
    </row>
    <row r="2276" spans="7:14" ht="11.25" customHeight="1" x14ac:dyDescent="0.3">
      <c r="G2276" s="470"/>
      <c r="H2276" s="470">
        <v>2269</v>
      </c>
      <c r="I2276" s="455">
        <f t="shared" ca="1" si="125"/>
        <v>-5344818718.306591</v>
      </c>
      <c r="J2276" s="455">
        <f t="array" ref="J2276">IFERROR(INDEX('Retirement Calculator'!K:K,MATCH('Lorri 401b'!N2276,'Retirement Calculator'!A:A,0),0),0)</f>
        <v>0</v>
      </c>
      <c r="K2276" s="455">
        <f t="shared" ca="1" si="123"/>
        <v>-22270077.992944129</v>
      </c>
      <c r="L2276" s="455">
        <f t="shared" ca="1" si="124"/>
        <v>-5367088796.2995348</v>
      </c>
      <c r="M2276" s="471">
        <f t="shared" si="126"/>
        <v>0.05</v>
      </c>
      <c r="N2276" s="475">
        <f t="shared" si="127"/>
        <v>120318</v>
      </c>
    </row>
    <row r="2277" spans="7:14" ht="11.25" customHeight="1" x14ac:dyDescent="0.3">
      <c r="G2277" s="470"/>
      <c r="H2277" s="470">
        <v>2270</v>
      </c>
      <c r="I2277" s="455">
        <f t="shared" ca="1" si="125"/>
        <v>-5367088796.2995348</v>
      </c>
      <c r="J2277" s="455">
        <f t="array" ref="J2277">IFERROR(INDEX('Retirement Calculator'!K:K,MATCH('Lorri 401b'!N2277,'Retirement Calculator'!A:A,0),0),0)</f>
        <v>0</v>
      </c>
      <c r="K2277" s="455">
        <f t="shared" ca="1" si="123"/>
        <v>-22362869.984581396</v>
      </c>
      <c r="L2277" s="455">
        <f t="shared" ca="1" si="124"/>
        <v>-5389451666.2841158</v>
      </c>
      <c r="M2277" s="471">
        <f t="shared" si="126"/>
        <v>0.05</v>
      </c>
      <c r="N2277" s="475">
        <f t="shared" si="127"/>
        <v>120348</v>
      </c>
    </row>
    <row r="2278" spans="7:14" ht="11.25" customHeight="1" x14ac:dyDescent="0.3">
      <c r="G2278" s="470"/>
      <c r="H2278" s="470">
        <v>2271</v>
      </c>
      <c r="I2278" s="455">
        <f t="shared" ca="1" si="125"/>
        <v>-5389451666.2841158</v>
      </c>
      <c r="J2278" s="455">
        <f t="array" ref="J2278">IFERROR(INDEX('Retirement Calculator'!K:K,MATCH('Lorri 401b'!N2278,'Retirement Calculator'!A:A,0),0),0)</f>
        <v>0</v>
      </c>
      <c r="K2278" s="455">
        <f t="shared" ca="1" si="123"/>
        <v>-22456048.60951715</v>
      </c>
      <c r="L2278" s="455">
        <f t="shared" ca="1" si="124"/>
        <v>-5411907714.8936329</v>
      </c>
      <c r="M2278" s="471">
        <f t="shared" si="126"/>
        <v>0.05</v>
      </c>
      <c r="N2278" s="475">
        <f t="shared" si="127"/>
        <v>120379</v>
      </c>
    </row>
    <row r="2279" spans="7:14" ht="11.25" customHeight="1" x14ac:dyDescent="0.3">
      <c r="G2279" s="470"/>
      <c r="H2279" s="470">
        <v>2272</v>
      </c>
      <c r="I2279" s="455">
        <f t="shared" ca="1" si="125"/>
        <v>-5411907714.8936329</v>
      </c>
      <c r="J2279" s="455">
        <f t="array" ref="J2279">IFERROR(INDEX('Retirement Calculator'!K:K,MATCH('Lorri 401b'!N2279,'Retirement Calculator'!A:A,0),0),0)</f>
        <v>0</v>
      </c>
      <c r="K2279" s="455">
        <f t="shared" ca="1" si="123"/>
        <v>-22549615.47872347</v>
      </c>
      <c r="L2279" s="455">
        <f t="shared" ca="1" si="124"/>
        <v>-5434457330.3723564</v>
      </c>
      <c r="M2279" s="471">
        <f t="shared" si="126"/>
        <v>0.05</v>
      </c>
      <c r="N2279" s="475">
        <f t="shared" si="127"/>
        <v>120410</v>
      </c>
    </row>
    <row r="2280" spans="7:14" ht="11.25" customHeight="1" x14ac:dyDescent="0.3">
      <c r="G2280" s="470"/>
      <c r="H2280" s="470">
        <v>2273</v>
      </c>
      <c r="I2280" s="455">
        <f t="shared" ca="1" si="125"/>
        <v>-5434457330.3723564</v>
      </c>
      <c r="J2280" s="455">
        <f t="array" ref="J2280">IFERROR(INDEX('Retirement Calculator'!K:K,MATCH('Lorri 401b'!N2280,'Retirement Calculator'!A:A,0),0),0)</f>
        <v>0</v>
      </c>
      <c r="K2280" s="455">
        <f t="shared" ca="1" si="123"/>
        <v>-22643572.209884819</v>
      </c>
      <c r="L2280" s="455">
        <f t="shared" ca="1" si="124"/>
        <v>-5457100902.5822411</v>
      </c>
      <c r="M2280" s="471">
        <f t="shared" si="126"/>
        <v>0.05</v>
      </c>
      <c r="N2280" s="475">
        <f t="shared" si="127"/>
        <v>120440</v>
      </c>
    </row>
    <row r="2281" spans="7:14" ht="11.25" customHeight="1" x14ac:dyDescent="0.3">
      <c r="G2281" s="470"/>
      <c r="H2281" s="470">
        <v>2274</v>
      </c>
      <c r="I2281" s="455">
        <f t="shared" ca="1" si="125"/>
        <v>-5457100902.5822411</v>
      </c>
      <c r="J2281" s="455">
        <f t="array" ref="J2281">IFERROR(INDEX('Retirement Calculator'!K:K,MATCH('Lorri 401b'!N2281,'Retirement Calculator'!A:A,0),0),0)</f>
        <v>0</v>
      </c>
      <c r="K2281" s="455">
        <f t="shared" ca="1" si="123"/>
        <v>-22737920.427426003</v>
      </c>
      <c r="L2281" s="455">
        <f t="shared" ca="1" si="124"/>
        <v>-5479838823.0096674</v>
      </c>
      <c r="M2281" s="471">
        <f t="shared" si="126"/>
        <v>0.05</v>
      </c>
      <c r="N2281" s="475">
        <f t="shared" si="127"/>
        <v>120471</v>
      </c>
    </row>
    <row r="2282" spans="7:14" ht="11.25" customHeight="1" x14ac:dyDescent="0.3">
      <c r="G2282" s="470"/>
      <c r="H2282" s="470">
        <v>2275</v>
      </c>
      <c r="I2282" s="455">
        <f t="shared" ca="1" si="125"/>
        <v>-5479838823.0096674</v>
      </c>
      <c r="J2282" s="455">
        <f t="array" ref="J2282">IFERROR(INDEX('Retirement Calculator'!K:K,MATCH('Lorri 401b'!N2282,'Retirement Calculator'!A:A,0),0),0)</f>
        <v>0</v>
      </c>
      <c r="K2282" s="455">
        <f t="shared" ca="1" si="123"/>
        <v>-22832661.762540281</v>
      </c>
      <c r="L2282" s="455">
        <f t="shared" ca="1" si="124"/>
        <v>-5502671484.7722073</v>
      </c>
      <c r="M2282" s="471">
        <f t="shared" si="126"/>
        <v>0.05</v>
      </c>
      <c r="N2282" s="475">
        <f t="shared" si="127"/>
        <v>120501</v>
      </c>
    </row>
    <row r="2283" spans="7:14" ht="11.25" customHeight="1" x14ac:dyDescent="0.3">
      <c r="G2283" s="470"/>
      <c r="H2283" s="470">
        <v>2276</v>
      </c>
      <c r="I2283" s="455">
        <f t="shared" ca="1" si="125"/>
        <v>-5502671484.7722073</v>
      </c>
      <c r="J2283" s="455">
        <f t="array" ref="J2283">IFERROR(INDEX('Retirement Calculator'!K:K,MATCH('Lorri 401b'!N2283,'Retirement Calculator'!A:A,0),0),0)</f>
        <v>0</v>
      </c>
      <c r="K2283" s="455">
        <f t="shared" ca="1" si="123"/>
        <v>-22927797.853217531</v>
      </c>
      <c r="L2283" s="455">
        <f t="shared" ca="1" si="124"/>
        <v>-5525599282.6254244</v>
      </c>
      <c r="M2283" s="471">
        <f t="shared" si="126"/>
        <v>0.05</v>
      </c>
      <c r="N2283" s="475">
        <f t="shared" si="127"/>
        <v>120532</v>
      </c>
    </row>
    <row r="2284" spans="7:14" ht="11.25" customHeight="1" x14ac:dyDescent="0.3">
      <c r="G2284" s="470"/>
      <c r="H2284" s="470">
        <v>2277</v>
      </c>
      <c r="I2284" s="455">
        <f t="shared" ca="1" si="125"/>
        <v>-5525599282.6254244</v>
      </c>
      <c r="J2284" s="455">
        <f t="array" ref="J2284">IFERROR(INDEX('Retirement Calculator'!K:K,MATCH('Lorri 401b'!N2284,'Retirement Calculator'!A:A,0),0),0)</f>
        <v>0</v>
      </c>
      <c r="K2284" s="455">
        <f t="shared" ca="1" si="123"/>
        <v>-23023330.344272602</v>
      </c>
      <c r="L2284" s="455">
        <f t="shared" ca="1" si="124"/>
        <v>-5548622612.969697</v>
      </c>
      <c r="M2284" s="471">
        <f t="shared" si="126"/>
        <v>0.05</v>
      </c>
      <c r="N2284" s="475">
        <f t="shared" si="127"/>
        <v>120563</v>
      </c>
    </row>
    <row r="2285" spans="7:14" ht="11.25" customHeight="1" x14ac:dyDescent="0.3">
      <c r="G2285" s="470"/>
      <c r="H2285" s="470">
        <v>2278</v>
      </c>
      <c r="I2285" s="455">
        <f t="shared" ca="1" si="125"/>
        <v>-5548622612.969697</v>
      </c>
      <c r="J2285" s="455">
        <f t="array" ref="J2285">IFERROR(INDEX('Retirement Calculator'!K:K,MATCH('Lorri 401b'!N2285,'Retirement Calculator'!A:A,0),0),0)</f>
        <v>0</v>
      </c>
      <c r="K2285" s="455">
        <f t="shared" ca="1" si="123"/>
        <v>-23119260.887373738</v>
      </c>
      <c r="L2285" s="455">
        <f t="shared" ca="1" si="124"/>
        <v>-5571741873.8570709</v>
      </c>
      <c r="M2285" s="471">
        <f t="shared" si="126"/>
        <v>0.05</v>
      </c>
      <c r="N2285" s="475">
        <f t="shared" si="127"/>
        <v>120591</v>
      </c>
    </row>
    <row r="2286" spans="7:14" ht="11.25" customHeight="1" x14ac:dyDescent="0.3">
      <c r="G2286" s="470"/>
      <c r="H2286" s="470">
        <v>2279</v>
      </c>
      <c r="I2286" s="455">
        <f t="shared" ca="1" si="125"/>
        <v>-5571741873.8570709</v>
      </c>
      <c r="J2286" s="455">
        <f t="array" ref="J2286">IFERROR(INDEX('Retirement Calculator'!K:K,MATCH('Lorri 401b'!N2286,'Retirement Calculator'!A:A,0),0),0)</f>
        <v>0</v>
      </c>
      <c r="K2286" s="455">
        <f t="shared" ca="1" si="123"/>
        <v>-23215591.14107113</v>
      </c>
      <c r="L2286" s="455">
        <f t="shared" ca="1" si="124"/>
        <v>-5594957464.9981422</v>
      </c>
      <c r="M2286" s="471">
        <f t="shared" si="126"/>
        <v>0.05</v>
      </c>
      <c r="N2286" s="475">
        <f t="shared" si="127"/>
        <v>120622</v>
      </c>
    </row>
    <row r="2287" spans="7:14" ht="11.25" customHeight="1" x14ac:dyDescent="0.3">
      <c r="G2287" s="470"/>
      <c r="H2287" s="470">
        <v>2280</v>
      </c>
      <c r="I2287" s="455">
        <f t="shared" ca="1" si="125"/>
        <v>-5594957464.9981422</v>
      </c>
      <c r="J2287" s="455">
        <f t="array" ref="J2287">IFERROR(INDEX('Retirement Calculator'!K:K,MATCH('Lorri 401b'!N2287,'Retirement Calculator'!A:A,0),0),0)</f>
        <v>0</v>
      </c>
      <c r="K2287" s="455">
        <f t="shared" ca="1" si="123"/>
        <v>-23312322.770825591</v>
      </c>
      <c r="L2287" s="455">
        <f t="shared" ca="1" si="124"/>
        <v>-5618269787.7689676</v>
      </c>
      <c r="M2287" s="471">
        <f t="shared" si="126"/>
        <v>0.05</v>
      </c>
      <c r="N2287" s="475">
        <f t="shared" si="127"/>
        <v>120652</v>
      </c>
    </row>
    <row r="2288" spans="7:14" ht="11.25" customHeight="1" x14ac:dyDescent="0.3">
      <c r="G2288" s="470"/>
      <c r="H2288" s="470">
        <v>2281</v>
      </c>
      <c r="I2288" s="455">
        <f t="shared" ca="1" si="125"/>
        <v>-5618269787.7689676</v>
      </c>
      <c r="J2288" s="455">
        <f t="array" ref="J2288">IFERROR(INDEX('Retirement Calculator'!K:K,MATCH('Lorri 401b'!N2288,'Retirement Calculator'!A:A,0),0),0)</f>
        <v>0</v>
      </c>
      <c r="K2288" s="455">
        <f t="shared" ca="1" si="123"/>
        <v>-23409457.449037366</v>
      </c>
      <c r="L2288" s="455">
        <f t="shared" ca="1" si="124"/>
        <v>-5641679245.2180052</v>
      </c>
      <c r="M2288" s="471">
        <f t="shared" si="126"/>
        <v>0.05</v>
      </c>
      <c r="N2288" s="475">
        <f t="shared" si="127"/>
        <v>120683</v>
      </c>
    </row>
    <row r="2289" spans="7:14" ht="11.25" customHeight="1" x14ac:dyDescent="0.3">
      <c r="G2289" s="470"/>
      <c r="H2289" s="470">
        <v>2282</v>
      </c>
      <c r="I2289" s="455">
        <f t="shared" ca="1" si="125"/>
        <v>-5641679245.2180052</v>
      </c>
      <c r="J2289" s="455">
        <f t="array" ref="J2289">IFERROR(INDEX('Retirement Calculator'!K:K,MATCH('Lorri 401b'!N2289,'Retirement Calculator'!A:A,0),0),0)</f>
        <v>0</v>
      </c>
      <c r="K2289" s="455">
        <f t="shared" ca="1" si="123"/>
        <v>-23506996.85507502</v>
      </c>
      <c r="L2289" s="455">
        <f t="shared" ca="1" si="124"/>
        <v>-5665186242.0730801</v>
      </c>
      <c r="M2289" s="471">
        <f t="shared" si="126"/>
        <v>0.05</v>
      </c>
      <c r="N2289" s="475">
        <f t="shared" si="127"/>
        <v>120713</v>
      </c>
    </row>
    <row r="2290" spans="7:14" ht="11.25" customHeight="1" x14ac:dyDescent="0.3">
      <c r="G2290" s="470"/>
      <c r="H2290" s="470">
        <v>2283</v>
      </c>
      <c r="I2290" s="455">
        <f t="shared" ca="1" si="125"/>
        <v>-5665186242.0730801</v>
      </c>
      <c r="J2290" s="455">
        <f t="array" ref="J2290">IFERROR(INDEX('Retirement Calculator'!K:K,MATCH('Lorri 401b'!N2290,'Retirement Calculator'!A:A,0),0),0)</f>
        <v>0</v>
      </c>
      <c r="K2290" s="455">
        <f t="shared" ca="1" si="123"/>
        <v>-23604942.675304499</v>
      </c>
      <c r="L2290" s="455">
        <f t="shared" ca="1" si="124"/>
        <v>-5688791184.7483845</v>
      </c>
      <c r="M2290" s="471">
        <f t="shared" si="126"/>
        <v>0.05</v>
      </c>
      <c r="N2290" s="475">
        <f t="shared" si="127"/>
        <v>120744</v>
      </c>
    </row>
    <row r="2291" spans="7:14" ht="11.25" customHeight="1" x14ac:dyDescent="0.3">
      <c r="G2291" s="470"/>
      <c r="H2291" s="470">
        <v>2284</v>
      </c>
      <c r="I2291" s="455">
        <f t="shared" ca="1" si="125"/>
        <v>-5688791184.7483845</v>
      </c>
      <c r="J2291" s="455">
        <f t="array" ref="J2291">IFERROR(INDEX('Retirement Calculator'!K:K,MATCH('Lorri 401b'!N2291,'Retirement Calculator'!A:A,0),0),0)</f>
        <v>0</v>
      </c>
      <c r="K2291" s="455">
        <f t="shared" ca="1" si="123"/>
        <v>-23703296.603118267</v>
      </c>
      <c r="L2291" s="455">
        <f t="shared" ca="1" si="124"/>
        <v>-5712494481.3515024</v>
      </c>
      <c r="M2291" s="471">
        <f t="shared" si="126"/>
        <v>0.05</v>
      </c>
      <c r="N2291" s="475">
        <f t="shared" si="127"/>
        <v>120775</v>
      </c>
    </row>
    <row r="2292" spans="7:14" ht="11.25" customHeight="1" x14ac:dyDescent="0.3">
      <c r="G2292" s="470"/>
      <c r="H2292" s="470">
        <v>2285</v>
      </c>
      <c r="I2292" s="455">
        <f t="shared" ca="1" si="125"/>
        <v>-5712494481.3515024</v>
      </c>
      <c r="J2292" s="455">
        <f t="array" ref="J2292">IFERROR(INDEX('Retirement Calculator'!K:K,MATCH('Lorri 401b'!N2292,'Retirement Calculator'!A:A,0),0),0)</f>
        <v>0</v>
      </c>
      <c r="K2292" s="455">
        <f t="shared" ca="1" si="123"/>
        <v>-23802060.338964593</v>
      </c>
      <c r="L2292" s="455">
        <f t="shared" ca="1" si="124"/>
        <v>-5736296541.6904669</v>
      </c>
      <c r="M2292" s="471">
        <f t="shared" si="126"/>
        <v>0.05</v>
      </c>
      <c r="N2292" s="475">
        <f t="shared" si="127"/>
        <v>120805</v>
      </c>
    </row>
    <row r="2293" spans="7:14" ht="11.25" customHeight="1" x14ac:dyDescent="0.3">
      <c r="G2293" s="470"/>
      <c r="H2293" s="470">
        <v>2286</v>
      </c>
      <c r="I2293" s="455">
        <f t="shared" ca="1" si="125"/>
        <v>-5736296541.6904669</v>
      </c>
      <c r="J2293" s="455">
        <f t="array" ref="J2293">IFERROR(INDEX('Retirement Calculator'!K:K,MATCH('Lorri 401b'!N2293,'Retirement Calculator'!A:A,0),0),0)</f>
        <v>0</v>
      </c>
      <c r="K2293" s="455">
        <f t="shared" ca="1" si="123"/>
        <v>-23901235.590376943</v>
      </c>
      <c r="L2293" s="455">
        <f t="shared" ca="1" si="124"/>
        <v>-5760197777.2808437</v>
      </c>
      <c r="M2293" s="471">
        <f t="shared" si="126"/>
        <v>0.05</v>
      </c>
      <c r="N2293" s="475">
        <f t="shared" si="127"/>
        <v>120836</v>
      </c>
    </row>
    <row r="2294" spans="7:14" ht="11.25" customHeight="1" x14ac:dyDescent="0.3">
      <c r="G2294" s="470"/>
      <c r="H2294" s="470">
        <v>2287</v>
      </c>
      <c r="I2294" s="455">
        <f t="shared" ca="1" si="125"/>
        <v>-5760197777.2808437</v>
      </c>
      <c r="J2294" s="455">
        <f t="array" ref="J2294">IFERROR(INDEX('Retirement Calculator'!K:K,MATCH('Lorri 401b'!N2294,'Retirement Calculator'!A:A,0),0),0)</f>
        <v>0</v>
      </c>
      <c r="K2294" s="455">
        <f t="shared" ca="1" si="123"/>
        <v>-24000824.072003514</v>
      </c>
      <c r="L2294" s="455">
        <f t="shared" ca="1" si="124"/>
        <v>-5784198601.3528471</v>
      </c>
      <c r="M2294" s="471">
        <f t="shared" si="126"/>
        <v>0.05</v>
      </c>
      <c r="N2294" s="475">
        <f t="shared" si="127"/>
        <v>120866</v>
      </c>
    </row>
    <row r="2295" spans="7:14" ht="11.25" customHeight="1" x14ac:dyDescent="0.3">
      <c r="G2295" s="470"/>
      <c r="H2295" s="470">
        <v>2288</v>
      </c>
      <c r="I2295" s="455">
        <f t="shared" ca="1" si="125"/>
        <v>-5784198601.3528471</v>
      </c>
      <c r="J2295" s="455">
        <f t="array" ref="J2295">IFERROR(INDEX('Retirement Calculator'!K:K,MATCH('Lorri 401b'!N2295,'Retirement Calculator'!A:A,0),0),0)</f>
        <v>0</v>
      </c>
      <c r="K2295" s="455">
        <f t="shared" ca="1" si="123"/>
        <v>-24100827.505636863</v>
      </c>
      <c r="L2295" s="455">
        <f t="shared" ca="1" si="124"/>
        <v>-5808299428.8584843</v>
      </c>
      <c r="M2295" s="471">
        <f t="shared" si="126"/>
        <v>0.05</v>
      </c>
      <c r="N2295" s="475">
        <f t="shared" si="127"/>
        <v>120897</v>
      </c>
    </row>
    <row r="2296" spans="7:14" ht="11.25" customHeight="1" x14ac:dyDescent="0.3">
      <c r="G2296" s="470"/>
      <c r="H2296" s="470">
        <v>2289</v>
      </c>
      <c r="I2296" s="455">
        <f t="shared" ca="1" si="125"/>
        <v>-5808299428.8584843</v>
      </c>
      <c r="J2296" s="455">
        <f t="array" ref="J2296">IFERROR(INDEX('Retirement Calculator'!K:K,MATCH('Lorri 401b'!N2296,'Retirement Calculator'!A:A,0),0),0)</f>
        <v>0</v>
      </c>
      <c r="K2296" s="455">
        <f t="shared" ca="1" si="123"/>
        <v>-24201247.620243683</v>
      </c>
      <c r="L2296" s="455">
        <f t="shared" ca="1" si="124"/>
        <v>-5832500676.4787283</v>
      </c>
      <c r="M2296" s="471">
        <f t="shared" si="126"/>
        <v>0.05</v>
      </c>
      <c r="N2296" s="475">
        <f t="shared" si="127"/>
        <v>120928</v>
      </c>
    </row>
    <row r="2297" spans="7:14" ht="11.25" customHeight="1" x14ac:dyDescent="0.3">
      <c r="G2297" s="470"/>
      <c r="H2297" s="470">
        <v>2290</v>
      </c>
      <c r="I2297" s="455">
        <f t="shared" ca="1" si="125"/>
        <v>-5832500676.4787283</v>
      </c>
      <c r="J2297" s="455">
        <f t="array" ref="J2297">IFERROR(INDEX('Retirement Calculator'!K:K,MATCH('Lorri 401b'!N2297,'Retirement Calculator'!A:A,0),0),0)</f>
        <v>0</v>
      </c>
      <c r="K2297" s="455">
        <f t="shared" ca="1" si="123"/>
        <v>-24302086.151994701</v>
      </c>
      <c r="L2297" s="455">
        <f t="shared" ca="1" si="124"/>
        <v>-5856802762.630723</v>
      </c>
      <c r="M2297" s="471">
        <f t="shared" si="126"/>
        <v>0.05</v>
      </c>
      <c r="N2297" s="475">
        <f t="shared" si="127"/>
        <v>120956</v>
      </c>
    </row>
    <row r="2298" spans="7:14" ht="11.25" customHeight="1" x14ac:dyDescent="0.3">
      <c r="G2298" s="470"/>
      <c r="H2298" s="470">
        <v>2291</v>
      </c>
      <c r="I2298" s="455">
        <f t="shared" ca="1" si="125"/>
        <v>-5856802762.630723</v>
      </c>
      <c r="J2298" s="455">
        <f t="array" ref="J2298">IFERROR(INDEX('Retirement Calculator'!K:K,MATCH('Lorri 401b'!N2298,'Retirement Calculator'!A:A,0),0),0)</f>
        <v>0</v>
      </c>
      <c r="K2298" s="455">
        <f t="shared" ca="1" si="123"/>
        <v>-24403344.844294678</v>
      </c>
      <c r="L2298" s="455">
        <f t="shared" ca="1" si="124"/>
        <v>-5881206107.4750175</v>
      </c>
      <c r="M2298" s="471">
        <f t="shared" si="126"/>
        <v>0.05</v>
      </c>
      <c r="N2298" s="475">
        <f t="shared" si="127"/>
        <v>120987</v>
      </c>
    </row>
    <row r="2299" spans="7:14" ht="11.25" customHeight="1" x14ac:dyDescent="0.3">
      <c r="G2299" s="470"/>
      <c r="H2299" s="470">
        <v>2292</v>
      </c>
      <c r="I2299" s="455">
        <f t="shared" ca="1" si="125"/>
        <v>-5881206107.4750175</v>
      </c>
      <c r="J2299" s="455">
        <f t="array" ref="J2299">IFERROR(INDEX('Retirement Calculator'!K:K,MATCH('Lorri 401b'!N2299,'Retirement Calculator'!A:A,0),0),0)</f>
        <v>0</v>
      </c>
      <c r="K2299" s="455">
        <f t="shared" ca="1" si="123"/>
        <v>-24505025.447812572</v>
      </c>
      <c r="L2299" s="455">
        <f t="shared" ca="1" si="124"/>
        <v>-5905711132.9228306</v>
      </c>
      <c r="M2299" s="471">
        <f t="shared" si="126"/>
        <v>0.05</v>
      </c>
      <c r="N2299" s="475">
        <f t="shared" si="127"/>
        <v>121017</v>
      </c>
    </row>
    <row r="2300" spans="7:14" ht="11.25" customHeight="1" x14ac:dyDescent="0.3">
      <c r="G2300" s="470"/>
      <c r="H2300" s="470">
        <v>2293</v>
      </c>
      <c r="I2300" s="455">
        <f t="shared" ca="1" si="125"/>
        <v>-5905711132.9228306</v>
      </c>
      <c r="J2300" s="455">
        <f t="array" ref="J2300">IFERROR(INDEX('Retirement Calculator'!K:K,MATCH('Lorri 401b'!N2300,'Retirement Calculator'!A:A,0),0),0)</f>
        <v>0</v>
      </c>
      <c r="K2300" s="455">
        <f t="shared" ca="1" si="123"/>
        <v>-24607129.720511794</v>
      </c>
      <c r="L2300" s="455">
        <f t="shared" ca="1" si="124"/>
        <v>-5930318262.643342</v>
      </c>
      <c r="M2300" s="471">
        <f t="shared" si="126"/>
        <v>0.05</v>
      </c>
      <c r="N2300" s="475">
        <f t="shared" si="127"/>
        <v>121048</v>
      </c>
    </row>
    <row r="2301" spans="7:14" ht="11.25" customHeight="1" x14ac:dyDescent="0.3">
      <c r="G2301" s="470"/>
      <c r="H2301" s="470">
        <v>2294</v>
      </c>
      <c r="I2301" s="455">
        <f t="shared" ca="1" si="125"/>
        <v>-5930318262.643342</v>
      </c>
      <c r="J2301" s="455">
        <f t="array" ref="J2301">IFERROR(INDEX('Retirement Calculator'!K:K,MATCH('Lorri 401b'!N2301,'Retirement Calculator'!A:A,0),0),0)</f>
        <v>0</v>
      </c>
      <c r="K2301" s="455">
        <f t="shared" ca="1" si="123"/>
        <v>-24709659.427680593</v>
      </c>
      <c r="L2301" s="455">
        <f t="shared" ca="1" si="124"/>
        <v>-5955027922.071023</v>
      </c>
      <c r="M2301" s="471">
        <f t="shared" si="126"/>
        <v>0.05</v>
      </c>
      <c r="N2301" s="475">
        <f t="shared" si="127"/>
        <v>121078</v>
      </c>
    </row>
    <row r="2302" spans="7:14" ht="11.25" customHeight="1" x14ac:dyDescent="0.3">
      <c r="G2302" s="470"/>
      <c r="H2302" s="470">
        <v>2295</v>
      </c>
      <c r="I2302" s="455">
        <f t="shared" ca="1" si="125"/>
        <v>-5955027922.071023</v>
      </c>
      <c r="J2302" s="455">
        <f t="array" ref="J2302">IFERROR(INDEX('Retirement Calculator'!K:K,MATCH('Lorri 401b'!N2302,'Retirement Calculator'!A:A,0),0),0)</f>
        <v>0</v>
      </c>
      <c r="K2302" s="455">
        <f t="shared" ca="1" si="123"/>
        <v>-24812616.341962595</v>
      </c>
      <c r="L2302" s="455">
        <f t="shared" ca="1" si="124"/>
        <v>-5979840538.4129858</v>
      </c>
      <c r="M2302" s="471">
        <f t="shared" si="126"/>
        <v>0.05</v>
      </c>
      <c r="N2302" s="475">
        <f t="shared" si="127"/>
        <v>121109</v>
      </c>
    </row>
    <row r="2303" spans="7:14" ht="11.25" customHeight="1" x14ac:dyDescent="0.3">
      <c r="G2303" s="470"/>
      <c r="H2303" s="470">
        <v>2296</v>
      </c>
      <c r="I2303" s="455">
        <f t="shared" ca="1" si="125"/>
        <v>-5979840538.4129858</v>
      </c>
      <c r="J2303" s="455">
        <f t="array" ref="J2303">IFERROR(INDEX('Retirement Calculator'!K:K,MATCH('Lorri 401b'!N2303,'Retirement Calculator'!A:A,0),0),0)</f>
        <v>0</v>
      </c>
      <c r="K2303" s="455">
        <f t="shared" ref="K2303:K2557" ca="1" si="128">IPMT(M2303/12,1,12,-I2303+J2303,,0)</f>
        <v>-24916002.243387442</v>
      </c>
      <c r="L2303" s="455">
        <f t="shared" ref="L2303:L2557" ca="1" si="129">I2303-J2303+K2303</f>
        <v>-6004756540.656373</v>
      </c>
      <c r="M2303" s="471">
        <f t="shared" si="126"/>
        <v>0.05</v>
      </c>
      <c r="N2303" s="475">
        <f t="shared" si="127"/>
        <v>121140</v>
      </c>
    </row>
    <row r="2304" spans="7:14" ht="11.25" customHeight="1" x14ac:dyDescent="0.3">
      <c r="G2304" s="470"/>
      <c r="H2304" s="470">
        <v>2297</v>
      </c>
      <c r="I2304" s="455">
        <f t="shared" ref="I2304:I2558" ca="1" si="130">L2303</f>
        <v>-6004756540.656373</v>
      </c>
      <c r="J2304" s="455">
        <f t="array" ref="J2304">IFERROR(INDEX('Retirement Calculator'!K:K,MATCH('Lorri 401b'!N2304,'Retirement Calculator'!A:A,0),0),0)</f>
        <v>0</v>
      </c>
      <c r="K2304" s="455">
        <f t="shared" ca="1" si="128"/>
        <v>-25019818.919401553</v>
      </c>
      <c r="L2304" s="455">
        <f t="shared" ca="1" si="129"/>
        <v>-6029776359.5757742</v>
      </c>
      <c r="M2304" s="471">
        <f t="shared" ref="M2304:M2558" si="131">M2303</f>
        <v>0.05</v>
      </c>
      <c r="N2304" s="475">
        <f t="shared" ref="N2304:N2558" si="132">EDATE(N2303,1)</f>
        <v>121170</v>
      </c>
    </row>
    <row r="2305" spans="7:14" ht="11.25" customHeight="1" x14ac:dyDescent="0.3">
      <c r="G2305" s="470"/>
      <c r="H2305" s="470">
        <v>2298</v>
      </c>
      <c r="I2305" s="455">
        <f t="shared" ca="1" si="130"/>
        <v>-6029776359.5757742</v>
      </c>
      <c r="J2305" s="455">
        <f t="array" ref="J2305">IFERROR(INDEX('Retirement Calculator'!K:K,MATCH('Lorri 401b'!N2305,'Retirement Calculator'!A:A,0),0),0)</f>
        <v>0</v>
      </c>
      <c r="K2305" s="455">
        <f t="shared" ca="1" si="128"/>
        <v>-25124068.164899059</v>
      </c>
      <c r="L2305" s="455">
        <f t="shared" ca="1" si="129"/>
        <v>-6054900427.7406731</v>
      </c>
      <c r="M2305" s="471">
        <f t="shared" si="131"/>
        <v>0.05</v>
      </c>
      <c r="N2305" s="475">
        <f t="shared" si="132"/>
        <v>121201</v>
      </c>
    </row>
    <row r="2306" spans="7:14" ht="11.25" customHeight="1" x14ac:dyDescent="0.3">
      <c r="G2306" s="470"/>
      <c r="H2306" s="470">
        <v>2299</v>
      </c>
      <c r="I2306" s="455">
        <f t="shared" ca="1" si="130"/>
        <v>-6054900427.7406731</v>
      </c>
      <c r="J2306" s="455">
        <f t="array" ref="J2306">IFERROR(INDEX('Retirement Calculator'!K:K,MATCH('Lorri 401b'!N2306,'Retirement Calculator'!A:A,0),0),0)</f>
        <v>0</v>
      </c>
      <c r="K2306" s="455">
        <f t="shared" ca="1" si="128"/>
        <v>-25228751.782252803</v>
      </c>
      <c r="L2306" s="455">
        <f t="shared" ca="1" si="129"/>
        <v>-6080129179.5229263</v>
      </c>
      <c r="M2306" s="471">
        <f t="shared" si="131"/>
        <v>0.05</v>
      </c>
      <c r="N2306" s="475">
        <f t="shared" si="132"/>
        <v>121231</v>
      </c>
    </row>
    <row r="2307" spans="7:14" ht="11.25" customHeight="1" x14ac:dyDescent="0.3">
      <c r="G2307" s="470"/>
      <c r="H2307" s="470">
        <v>2300</v>
      </c>
      <c r="I2307" s="455">
        <f t="shared" ca="1" si="130"/>
        <v>-6080129179.5229263</v>
      </c>
      <c r="J2307" s="455">
        <f t="array" ref="J2307">IFERROR(INDEX('Retirement Calculator'!K:K,MATCH('Lorri 401b'!N2307,'Retirement Calculator'!A:A,0),0),0)</f>
        <v>0</v>
      </c>
      <c r="K2307" s="455">
        <f t="shared" ca="1" si="128"/>
        <v>-25333871.581345525</v>
      </c>
      <c r="L2307" s="455">
        <f t="shared" ca="1" si="129"/>
        <v>-6105463051.1042719</v>
      </c>
      <c r="M2307" s="471">
        <f t="shared" si="131"/>
        <v>0.05</v>
      </c>
      <c r="N2307" s="475">
        <f t="shared" si="132"/>
        <v>121262</v>
      </c>
    </row>
    <row r="2308" spans="7:14" ht="11.25" customHeight="1" x14ac:dyDescent="0.3">
      <c r="G2308" s="470"/>
      <c r="H2308" s="470">
        <v>2301</v>
      </c>
      <c r="I2308" s="455">
        <f t="shared" ca="1" si="130"/>
        <v>-6105463051.1042719</v>
      </c>
      <c r="J2308" s="455">
        <f t="array" ref="J2308">IFERROR(INDEX('Retirement Calculator'!K:K,MATCH('Lorri 401b'!N2308,'Retirement Calculator'!A:A,0),0),0)</f>
        <v>0</v>
      </c>
      <c r="K2308" s="455">
        <f t="shared" ca="1" si="128"/>
        <v>-25439429.379601132</v>
      </c>
      <c r="L2308" s="455">
        <f t="shared" ca="1" si="129"/>
        <v>-6130902480.4838734</v>
      </c>
      <c r="M2308" s="471">
        <f t="shared" si="131"/>
        <v>0.05</v>
      </c>
      <c r="N2308" s="475">
        <f t="shared" si="132"/>
        <v>121293</v>
      </c>
    </row>
    <row r="2309" spans="7:14" ht="11.25" customHeight="1" x14ac:dyDescent="0.3">
      <c r="G2309" s="470"/>
      <c r="H2309" s="470">
        <v>2302</v>
      </c>
      <c r="I2309" s="455">
        <f t="shared" ca="1" si="130"/>
        <v>-6130902480.4838734</v>
      </c>
      <c r="J2309" s="455">
        <f t="array" ref="J2309">IFERROR(INDEX('Retirement Calculator'!K:K,MATCH('Lorri 401b'!N2309,'Retirement Calculator'!A:A,0),0),0)</f>
        <v>0</v>
      </c>
      <c r="K2309" s="455">
        <f t="shared" ca="1" si="128"/>
        <v>-25545427.002016138</v>
      </c>
      <c r="L2309" s="455">
        <f t="shared" ca="1" si="129"/>
        <v>-6156447907.4858894</v>
      </c>
      <c r="M2309" s="471">
        <f t="shared" si="131"/>
        <v>0.05</v>
      </c>
      <c r="N2309" s="475">
        <f t="shared" si="132"/>
        <v>121322</v>
      </c>
    </row>
    <row r="2310" spans="7:14" ht="11.25" customHeight="1" x14ac:dyDescent="0.3">
      <c r="G2310" s="470"/>
      <c r="H2310" s="470">
        <v>2303</v>
      </c>
      <c r="I2310" s="455">
        <f t="shared" ca="1" si="130"/>
        <v>-6156447907.4858894</v>
      </c>
      <c r="J2310" s="455">
        <f t="array" ref="J2310">IFERROR(INDEX('Retirement Calculator'!K:K,MATCH('Lorri 401b'!N2310,'Retirement Calculator'!A:A,0),0),0)</f>
        <v>0</v>
      </c>
      <c r="K2310" s="455">
        <f t="shared" ca="1" si="128"/>
        <v>-25651866.281191207</v>
      </c>
      <c r="L2310" s="455">
        <f t="shared" ca="1" si="129"/>
        <v>-6182099773.7670803</v>
      </c>
      <c r="M2310" s="471">
        <f t="shared" si="131"/>
        <v>0.05</v>
      </c>
      <c r="N2310" s="475">
        <f t="shared" si="132"/>
        <v>121353</v>
      </c>
    </row>
    <row r="2311" spans="7:14" ht="11.25" customHeight="1" x14ac:dyDescent="0.3">
      <c r="G2311" s="470"/>
      <c r="H2311" s="470">
        <v>2304</v>
      </c>
      <c r="I2311" s="455">
        <f t="shared" ca="1" si="130"/>
        <v>-6182099773.7670803</v>
      </c>
      <c r="J2311" s="455">
        <f t="array" ref="J2311">IFERROR(INDEX('Retirement Calculator'!K:K,MATCH('Lorri 401b'!N2311,'Retirement Calculator'!A:A,0),0),0)</f>
        <v>0</v>
      </c>
      <c r="K2311" s="455">
        <f t="shared" ca="1" si="128"/>
        <v>-25758749.057362836</v>
      </c>
      <c r="L2311" s="455">
        <f t="shared" ca="1" si="129"/>
        <v>-6207858522.8244429</v>
      </c>
      <c r="M2311" s="471">
        <f t="shared" si="131"/>
        <v>0.05</v>
      </c>
      <c r="N2311" s="475">
        <f t="shared" si="132"/>
        <v>121383</v>
      </c>
    </row>
    <row r="2312" spans="7:14" ht="11.25" customHeight="1" x14ac:dyDescent="0.3">
      <c r="G2312" s="470"/>
      <c r="H2312" s="470">
        <v>2305</v>
      </c>
      <c r="I2312" s="455">
        <f t="shared" ca="1" si="130"/>
        <v>-6207858522.8244429</v>
      </c>
      <c r="J2312" s="455">
        <f t="array" ref="J2312">IFERROR(INDEX('Retirement Calculator'!K:K,MATCH('Lorri 401b'!N2312,'Retirement Calculator'!A:A,0),0),0)</f>
        <v>0</v>
      </c>
      <c r="K2312" s="455">
        <f t="shared" ca="1" si="128"/>
        <v>-25866077.178435177</v>
      </c>
      <c r="L2312" s="455">
        <f t="shared" ca="1" si="129"/>
        <v>-6233724600.0028782</v>
      </c>
      <c r="M2312" s="471">
        <f t="shared" si="131"/>
        <v>0.05</v>
      </c>
      <c r="N2312" s="475">
        <f t="shared" si="132"/>
        <v>121414</v>
      </c>
    </row>
    <row r="2313" spans="7:14" ht="11.25" customHeight="1" x14ac:dyDescent="0.3">
      <c r="G2313" s="470"/>
      <c r="H2313" s="470">
        <v>2306</v>
      </c>
      <c r="I2313" s="455">
        <f t="shared" ca="1" si="130"/>
        <v>-6233724600.0028782</v>
      </c>
      <c r="J2313" s="455">
        <f t="array" ref="J2313">IFERROR(INDEX('Retirement Calculator'!K:K,MATCH('Lorri 401b'!N2313,'Retirement Calculator'!A:A,0),0),0)</f>
        <v>0</v>
      </c>
      <c r="K2313" s="455">
        <f t="shared" ca="1" si="128"/>
        <v>-25973852.500011992</v>
      </c>
      <c r="L2313" s="455">
        <f t="shared" ca="1" si="129"/>
        <v>-6259698452.5028906</v>
      </c>
      <c r="M2313" s="471">
        <f t="shared" si="131"/>
        <v>0.05</v>
      </c>
      <c r="N2313" s="475">
        <f t="shared" si="132"/>
        <v>121444</v>
      </c>
    </row>
    <row r="2314" spans="7:14" ht="11.25" customHeight="1" x14ac:dyDescent="0.3">
      <c r="G2314" s="470"/>
      <c r="H2314" s="470">
        <v>2307</v>
      </c>
      <c r="I2314" s="455">
        <f t="shared" ca="1" si="130"/>
        <v>-6259698452.5028906</v>
      </c>
      <c r="J2314" s="455">
        <f t="array" ref="J2314">IFERROR(INDEX('Retirement Calculator'!K:K,MATCH('Lorri 401b'!N2314,'Retirement Calculator'!A:A,0),0),0)</f>
        <v>0</v>
      </c>
      <c r="K2314" s="455">
        <f t="shared" ca="1" si="128"/>
        <v>-26082076.885428712</v>
      </c>
      <c r="L2314" s="455">
        <f t="shared" ca="1" si="129"/>
        <v>-6285780529.388319</v>
      </c>
      <c r="M2314" s="471">
        <f t="shared" si="131"/>
        <v>0.05</v>
      </c>
      <c r="N2314" s="475">
        <f t="shared" si="132"/>
        <v>121475</v>
      </c>
    </row>
    <row r="2315" spans="7:14" ht="11.25" customHeight="1" x14ac:dyDescent="0.3">
      <c r="G2315" s="470"/>
      <c r="H2315" s="470">
        <v>2308</v>
      </c>
      <c r="I2315" s="455">
        <f t="shared" ca="1" si="130"/>
        <v>-6285780529.388319</v>
      </c>
      <c r="J2315" s="455">
        <f t="array" ref="J2315">IFERROR(INDEX('Retirement Calculator'!K:K,MATCH('Lorri 401b'!N2315,'Retirement Calculator'!A:A,0),0),0)</f>
        <v>0</v>
      </c>
      <c r="K2315" s="455">
        <f t="shared" ca="1" si="128"/>
        <v>-26190752.205784664</v>
      </c>
      <c r="L2315" s="455">
        <f t="shared" ca="1" si="129"/>
        <v>-6311971281.5941038</v>
      </c>
      <c r="M2315" s="471">
        <f t="shared" si="131"/>
        <v>0.05</v>
      </c>
      <c r="N2315" s="475">
        <f t="shared" si="132"/>
        <v>121506</v>
      </c>
    </row>
    <row r="2316" spans="7:14" ht="11.25" customHeight="1" x14ac:dyDescent="0.3">
      <c r="G2316" s="470"/>
      <c r="H2316" s="470">
        <v>2309</v>
      </c>
      <c r="I2316" s="455">
        <f t="shared" ca="1" si="130"/>
        <v>-6311971281.5941038</v>
      </c>
      <c r="J2316" s="455">
        <f t="array" ref="J2316">IFERROR(INDEX('Retirement Calculator'!K:K,MATCH('Lorri 401b'!N2316,'Retirement Calculator'!A:A,0),0),0)</f>
        <v>0</v>
      </c>
      <c r="K2316" s="455">
        <f t="shared" ca="1" si="128"/>
        <v>-26299880.339975432</v>
      </c>
      <c r="L2316" s="455">
        <f t="shared" ca="1" si="129"/>
        <v>-6338271161.9340792</v>
      </c>
      <c r="M2316" s="471">
        <f t="shared" si="131"/>
        <v>0.05</v>
      </c>
      <c r="N2316" s="475">
        <f t="shared" si="132"/>
        <v>121536</v>
      </c>
    </row>
    <row r="2317" spans="7:14" ht="11.25" customHeight="1" x14ac:dyDescent="0.3">
      <c r="G2317" s="470"/>
      <c r="H2317" s="470">
        <v>2310</v>
      </c>
      <c r="I2317" s="455">
        <f t="shared" ca="1" si="130"/>
        <v>-6338271161.9340792</v>
      </c>
      <c r="J2317" s="455">
        <f t="array" ref="J2317">IFERROR(INDEX('Retirement Calculator'!K:K,MATCH('Lorri 401b'!N2317,'Retirement Calculator'!A:A,0),0),0)</f>
        <v>0</v>
      </c>
      <c r="K2317" s="455">
        <f t="shared" ca="1" si="128"/>
        <v>-26409463.174725331</v>
      </c>
      <c r="L2317" s="455">
        <f t="shared" ca="1" si="129"/>
        <v>-6364680625.1088047</v>
      </c>
      <c r="M2317" s="471">
        <f t="shared" si="131"/>
        <v>0.05</v>
      </c>
      <c r="N2317" s="475">
        <f t="shared" si="132"/>
        <v>121567</v>
      </c>
    </row>
    <row r="2318" spans="7:14" ht="11.25" customHeight="1" x14ac:dyDescent="0.3">
      <c r="G2318" s="470"/>
      <c r="H2318" s="470">
        <v>2311</v>
      </c>
      <c r="I2318" s="455">
        <f t="shared" ca="1" si="130"/>
        <v>-6364680625.1088047</v>
      </c>
      <c r="J2318" s="455">
        <f t="array" ref="J2318">IFERROR(INDEX('Retirement Calculator'!K:K,MATCH('Lorri 401b'!N2318,'Retirement Calculator'!A:A,0),0),0)</f>
        <v>0</v>
      </c>
      <c r="K2318" s="455">
        <f t="shared" ca="1" si="128"/>
        <v>-26519502.604620021</v>
      </c>
      <c r="L2318" s="455">
        <f t="shared" ca="1" si="129"/>
        <v>-6391200127.7134247</v>
      </c>
      <c r="M2318" s="471">
        <f t="shared" si="131"/>
        <v>0.05</v>
      </c>
      <c r="N2318" s="475">
        <f t="shared" si="132"/>
        <v>121597</v>
      </c>
    </row>
    <row r="2319" spans="7:14" ht="11.25" customHeight="1" x14ac:dyDescent="0.3">
      <c r="G2319" s="470"/>
      <c r="H2319" s="470">
        <v>2312</v>
      </c>
      <c r="I2319" s="455">
        <f t="shared" ca="1" si="130"/>
        <v>-6391200127.7134247</v>
      </c>
      <c r="J2319" s="455">
        <f t="array" ref="J2319">IFERROR(INDEX('Retirement Calculator'!K:K,MATCH('Lorri 401b'!N2319,'Retirement Calculator'!A:A,0),0),0)</f>
        <v>0</v>
      </c>
      <c r="K2319" s="455">
        <f t="shared" ca="1" si="128"/>
        <v>-26630000.532139268</v>
      </c>
      <c r="L2319" s="455">
        <f t="shared" ca="1" si="129"/>
        <v>-6417830128.2455635</v>
      </c>
      <c r="M2319" s="471">
        <f t="shared" si="131"/>
        <v>0.05</v>
      </c>
      <c r="N2319" s="475">
        <f t="shared" si="132"/>
        <v>121628</v>
      </c>
    </row>
    <row r="2320" spans="7:14" ht="11.25" customHeight="1" x14ac:dyDescent="0.3">
      <c r="G2320" s="470"/>
      <c r="H2320" s="470">
        <v>2313</v>
      </c>
      <c r="I2320" s="455">
        <f t="shared" ca="1" si="130"/>
        <v>-6417830128.2455635</v>
      </c>
      <c r="J2320" s="455">
        <f t="array" ref="J2320">IFERROR(INDEX('Retirement Calculator'!K:K,MATCH('Lorri 401b'!N2320,'Retirement Calculator'!A:A,0),0),0)</f>
        <v>0</v>
      </c>
      <c r="K2320" s="455">
        <f t="shared" ca="1" si="128"/>
        <v>-26740958.867689848</v>
      </c>
      <c r="L2320" s="455">
        <f t="shared" ca="1" si="129"/>
        <v>-6444571087.1132536</v>
      </c>
      <c r="M2320" s="471">
        <f t="shared" si="131"/>
        <v>0.05</v>
      </c>
      <c r="N2320" s="475">
        <f t="shared" si="132"/>
        <v>121659</v>
      </c>
    </row>
    <row r="2321" spans="7:14" ht="11.25" customHeight="1" x14ac:dyDescent="0.3">
      <c r="G2321" s="470"/>
      <c r="H2321" s="470">
        <v>2314</v>
      </c>
      <c r="I2321" s="455">
        <f t="shared" ca="1" si="130"/>
        <v>-6444571087.1132536</v>
      </c>
      <c r="J2321" s="455">
        <f t="array" ref="J2321">IFERROR(INDEX('Retirement Calculator'!K:K,MATCH('Lorri 401b'!N2321,'Retirement Calculator'!A:A,0),0),0)</f>
        <v>0</v>
      </c>
      <c r="K2321" s="455">
        <f t="shared" ca="1" si="128"/>
        <v>-26852379.529638555</v>
      </c>
      <c r="L2321" s="455">
        <f t="shared" ca="1" si="129"/>
        <v>-6471423466.6428919</v>
      </c>
      <c r="M2321" s="471">
        <f t="shared" si="131"/>
        <v>0.05</v>
      </c>
      <c r="N2321" s="475">
        <f t="shared" si="132"/>
        <v>121687</v>
      </c>
    </row>
    <row r="2322" spans="7:14" ht="11.25" customHeight="1" x14ac:dyDescent="0.3">
      <c r="G2322" s="470"/>
      <c r="H2322" s="470">
        <v>2315</v>
      </c>
      <c r="I2322" s="455">
        <f t="shared" ca="1" si="130"/>
        <v>-6471423466.6428919</v>
      </c>
      <c r="J2322" s="455">
        <f t="array" ref="J2322">IFERROR(INDEX('Retirement Calculator'!K:K,MATCH('Lorri 401b'!N2322,'Retirement Calculator'!A:A,0),0),0)</f>
        <v>0</v>
      </c>
      <c r="K2322" s="455">
        <f t="shared" ca="1" si="128"/>
        <v>-26964264.444345381</v>
      </c>
      <c r="L2322" s="455">
        <f t="shared" ca="1" si="129"/>
        <v>-6498387731.0872374</v>
      </c>
      <c r="M2322" s="471">
        <f t="shared" si="131"/>
        <v>0.05</v>
      </c>
      <c r="N2322" s="475">
        <f t="shared" si="132"/>
        <v>121718</v>
      </c>
    </row>
    <row r="2323" spans="7:14" ht="11.25" customHeight="1" x14ac:dyDescent="0.3">
      <c r="G2323" s="470"/>
      <c r="H2323" s="470">
        <v>2316</v>
      </c>
      <c r="I2323" s="455">
        <f t="shared" ca="1" si="130"/>
        <v>-6498387731.0872374</v>
      </c>
      <c r="J2323" s="455">
        <f t="array" ref="J2323">IFERROR(INDEX('Retirement Calculator'!K:K,MATCH('Lorri 401b'!N2323,'Retirement Calculator'!A:A,0),0),0)</f>
        <v>0</v>
      </c>
      <c r="K2323" s="455">
        <f t="shared" ca="1" si="128"/>
        <v>-27076615.546196822</v>
      </c>
      <c r="L2323" s="455">
        <f t="shared" ca="1" si="129"/>
        <v>-6525464346.6334343</v>
      </c>
      <c r="M2323" s="471">
        <f t="shared" si="131"/>
        <v>0.05</v>
      </c>
      <c r="N2323" s="475">
        <f t="shared" si="132"/>
        <v>121748</v>
      </c>
    </row>
    <row r="2324" spans="7:14" ht="11.25" customHeight="1" x14ac:dyDescent="0.3">
      <c r="G2324" s="470"/>
      <c r="H2324" s="470">
        <v>2317</v>
      </c>
      <c r="I2324" s="455">
        <f t="shared" ca="1" si="130"/>
        <v>-6525464346.6334343</v>
      </c>
      <c r="J2324" s="455">
        <f t="array" ref="J2324">IFERROR(INDEX('Retirement Calculator'!K:K,MATCH('Lorri 401b'!N2324,'Retirement Calculator'!A:A,0),0),0)</f>
        <v>0</v>
      </c>
      <c r="K2324" s="455">
        <f t="shared" ca="1" si="128"/>
        <v>-27189434.777639311</v>
      </c>
      <c r="L2324" s="455">
        <f t="shared" ca="1" si="129"/>
        <v>-6552653781.4110737</v>
      </c>
      <c r="M2324" s="471">
        <f t="shared" si="131"/>
        <v>0.05</v>
      </c>
      <c r="N2324" s="475">
        <f t="shared" si="132"/>
        <v>121779</v>
      </c>
    </row>
    <row r="2325" spans="7:14" ht="11.25" customHeight="1" x14ac:dyDescent="0.3">
      <c r="G2325" s="470"/>
      <c r="H2325" s="470">
        <v>2318</v>
      </c>
      <c r="I2325" s="455">
        <f t="shared" ca="1" si="130"/>
        <v>-6552653781.4110737</v>
      </c>
      <c r="J2325" s="455">
        <f t="array" ref="J2325">IFERROR(INDEX('Retirement Calculator'!K:K,MATCH('Lorri 401b'!N2325,'Retirement Calculator'!A:A,0),0),0)</f>
        <v>0</v>
      </c>
      <c r="K2325" s="455">
        <f t="shared" ca="1" si="128"/>
        <v>-27302724.089212805</v>
      </c>
      <c r="L2325" s="455">
        <f t="shared" ca="1" si="129"/>
        <v>-6579956505.5002861</v>
      </c>
      <c r="M2325" s="471">
        <f t="shared" si="131"/>
        <v>0.05</v>
      </c>
      <c r="N2325" s="475">
        <f t="shared" si="132"/>
        <v>121809</v>
      </c>
    </row>
    <row r="2326" spans="7:14" ht="11.25" customHeight="1" x14ac:dyDescent="0.3">
      <c r="G2326" s="470"/>
      <c r="H2326" s="470">
        <v>2319</v>
      </c>
      <c r="I2326" s="455">
        <f t="shared" ca="1" si="130"/>
        <v>-6579956505.5002861</v>
      </c>
      <c r="J2326" s="455">
        <f t="array" ref="J2326">IFERROR(INDEX('Retirement Calculator'!K:K,MATCH('Lorri 401b'!N2326,'Retirement Calculator'!A:A,0),0),0)</f>
        <v>0</v>
      </c>
      <c r="K2326" s="455">
        <f t="shared" ca="1" si="128"/>
        <v>-27416485.439584523</v>
      </c>
      <c r="L2326" s="455">
        <f t="shared" ca="1" si="129"/>
        <v>-6607372990.9398708</v>
      </c>
      <c r="M2326" s="471">
        <f t="shared" si="131"/>
        <v>0.05</v>
      </c>
      <c r="N2326" s="475">
        <f t="shared" si="132"/>
        <v>121840</v>
      </c>
    </row>
    <row r="2327" spans="7:14" ht="11.25" customHeight="1" x14ac:dyDescent="0.3">
      <c r="G2327" s="470"/>
      <c r="H2327" s="470">
        <v>2320</v>
      </c>
      <c r="I2327" s="455">
        <f t="shared" ca="1" si="130"/>
        <v>-6607372990.9398708</v>
      </c>
      <c r="J2327" s="455">
        <f t="array" ref="J2327">IFERROR(INDEX('Retirement Calculator'!K:K,MATCH('Lorri 401b'!N2327,'Retirement Calculator'!A:A,0),0),0)</f>
        <v>0</v>
      </c>
      <c r="K2327" s="455">
        <f t="shared" ca="1" si="128"/>
        <v>-27530720.795582794</v>
      </c>
      <c r="L2327" s="455">
        <f t="shared" ca="1" si="129"/>
        <v>-6634903711.7354536</v>
      </c>
      <c r="M2327" s="471">
        <f t="shared" si="131"/>
        <v>0.05</v>
      </c>
      <c r="N2327" s="475">
        <f t="shared" si="132"/>
        <v>121871</v>
      </c>
    </row>
    <row r="2328" spans="7:14" ht="11.25" customHeight="1" x14ac:dyDescent="0.3">
      <c r="G2328" s="470"/>
      <c r="H2328" s="470">
        <v>2321</v>
      </c>
      <c r="I2328" s="455">
        <f t="shared" ca="1" si="130"/>
        <v>-6634903711.7354536</v>
      </c>
      <c r="J2328" s="455">
        <f t="array" ref="J2328">IFERROR(INDEX('Retirement Calculator'!K:K,MATCH('Lorri 401b'!N2328,'Retirement Calculator'!A:A,0),0),0)</f>
        <v>0</v>
      </c>
      <c r="K2328" s="455">
        <f t="shared" ca="1" si="128"/>
        <v>-27645432.132231057</v>
      </c>
      <c r="L2328" s="455">
        <f t="shared" ca="1" si="129"/>
        <v>-6662549143.8676844</v>
      </c>
      <c r="M2328" s="471">
        <f t="shared" si="131"/>
        <v>0.05</v>
      </c>
      <c r="N2328" s="475">
        <f t="shared" si="132"/>
        <v>121901</v>
      </c>
    </row>
    <row r="2329" spans="7:14" ht="11.25" customHeight="1" x14ac:dyDescent="0.3">
      <c r="G2329" s="470"/>
      <c r="H2329" s="470">
        <v>2322</v>
      </c>
      <c r="I2329" s="455">
        <f t="shared" ca="1" si="130"/>
        <v>-6662549143.8676844</v>
      </c>
      <c r="J2329" s="455">
        <f t="array" ref="J2329">IFERROR(INDEX('Retirement Calculator'!K:K,MATCH('Lorri 401b'!N2329,'Retirement Calculator'!A:A,0),0),0)</f>
        <v>0</v>
      </c>
      <c r="K2329" s="455">
        <f t="shared" ca="1" si="128"/>
        <v>-27760621.432782017</v>
      </c>
      <c r="L2329" s="455">
        <f t="shared" ca="1" si="129"/>
        <v>-6690309765.3004665</v>
      </c>
      <c r="M2329" s="471">
        <f t="shared" si="131"/>
        <v>0.05</v>
      </c>
      <c r="N2329" s="475">
        <f t="shared" si="132"/>
        <v>121932</v>
      </c>
    </row>
    <row r="2330" spans="7:14" ht="11.25" customHeight="1" x14ac:dyDescent="0.3">
      <c r="G2330" s="470"/>
      <c r="H2330" s="470">
        <v>2323</v>
      </c>
      <c r="I2330" s="455">
        <f t="shared" ca="1" si="130"/>
        <v>-6690309765.3004665</v>
      </c>
      <c r="J2330" s="455">
        <f t="array" ref="J2330">IFERROR(INDEX('Retirement Calculator'!K:K,MATCH('Lorri 401b'!N2330,'Retirement Calculator'!A:A,0),0),0)</f>
        <v>0</v>
      </c>
      <c r="K2330" s="455">
        <f t="shared" ca="1" si="128"/>
        <v>-27876290.688751943</v>
      </c>
      <c r="L2330" s="455">
        <f t="shared" ca="1" si="129"/>
        <v>-6718186055.9892187</v>
      </c>
      <c r="M2330" s="471">
        <f t="shared" si="131"/>
        <v>0.05</v>
      </c>
      <c r="N2330" s="475">
        <f t="shared" si="132"/>
        <v>121962</v>
      </c>
    </row>
    <row r="2331" spans="7:14" ht="11.25" customHeight="1" x14ac:dyDescent="0.3">
      <c r="G2331" s="470"/>
      <c r="H2331" s="470">
        <v>2324</v>
      </c>
      <c r="I2331" s="455">
        <f t="shared" ca="1" si="130"/>
        <v>-6718186055.9892187</v>
      </c>
      <c r="J2331" s="455">
        <f t="array" ref="J2331">IFERROR(INDEX('Retirement Calculator'!K:K,MATCH('Lorri 401b'!N2331,'Retirement Calculator'!A:A,0),0),0)</f>
        <v>0</v>
      </c>
      <c r="K2331" s="455">
        <f t="shared" ca="1" si="128"/>
        <v>-27992441.899955079</v>
      </c>
      <c r="L2331" s="455">
        <f t="shared" ca="1" si="129"/>
        <v>-6746178497.8891735</v>
      </c>
      <c r="M2331" s="471">
        <f t="shared" si="131"/>
        <v>0.05</v>
      </c>
      <c r="N2331" s="475">
        <f t="shared" si="132"/>
        <v>121993</v>
      </c>
    </row>
    <row r="2332" spans="7:14" ht="11.25" customHeight="1" x14ac:dyDescent="0.3">
      <c r="G2332" s="470"/>
      <c r="H2332" s="470">
        <v>2325</v>
      </c>
      <c r="I2332" s="455">
        <f t="shared" ca="1" si="130"/>
        <v>-6746178497.8891735</v>
      </c>
      <c r="J2332" s="455">
        <f t="array" ref="J2332">IFERROR(INDEX('Retirement Calculator'!K:K,MATCH('Lorri 401b'!N2332,'Retirement Calculator'!A:A,0),0),0)</f>
        <v>0</v>
      </c>
      <c r="K2332" s="455">
        <f t="shared" ca="1" si="128"/>
        <v>-28109077.07453822</v>
      </c>
      <c r="L2332" s="455">
        <f t="shared" ca="1" si="129"/>
        <v>-6774287574.9637117</v>
      </c>
      <c r="M2332" s="471">
        <f t="shared" si="131"/>
        <v>0.05</v>
      </c>
      <c r="N2332" s="475">
        <f t="shared" si="132"/>
        <v>122024</v>
      </c>
    </row>
    <row r="2333" spans="7:14" ht="11.25" customHeight="1" x14ac:dyDescent="0.3">
      <c r="G2333" s="470"/>
      <c r="H2333" s="470">
        <v>2326</v>
      </c>
      <c r="I2333" s="455">
        <f t="shared" ca="1" si="130"/>
        <v>-6774287574.9637117</v>
      </c>
      <c r="J2333" s="455">
        <f t="array" ref="J2333">IFERROR(INDEX('Retirement Calculator'!K:K,MATCH('Lorri 401b'!N2333,'Retirement Calculator'!A:A,0),0),0)</f>
        <v>0</v>
      </c>
      <c r="K2333" s="455">
        <f t="shared" ca="1" si="128"/>
        <v>-28226198.229015466</v>
      </c>
      <c r="L2333" s="455">
        <f t="shared" ca="1" si="129"/>
        <v>-6802513773.1927271</v>
      </c>
      <c r="M2333" s="471">
        <f t="shared" si="131"/>
        <v>0.05</v>
      </c>
      <c r="N2333" s="475">
        <f t="shared" si="132"/>
        <v>122052</v>
      </c>
    </row>
    <row r="2334" spans="7:14" ht="11.25" customHeight="1" x14ac:dyDescent="0.3">
      <c r="G2334" s="470"/>
      <c r="H2334" s="470">
        <v>2327</v>
      </c>
      <c r="I2334" s="455">
        <f t="shared" ca="1" si="130"/>
        <v>-6802513773.1927271</v>
      </c>
      <c r="J2334" s="455">
        <f t="array" ref="J2334">IFERROR(INDEX('Retirement Calculator'!K:K,MATCH('Lorri 401b'!N2334,'Retirement Calculator'!A:A,0),0),0)</f>
        <v>0</v>
      </c>
      <c r="K2334" s="455">
        <f t="shared" ca="1" si="128"/>
        <v>-28343807.388303034</v>
      </c>
      <c r="L2334" s="455">
        <f t="shared" ca="1" si="129"/>
        <v>-6830857580.5810299</v>
      </c>
      <c r="M2334" s="471">
        <f t="shared" si="131"/>
        <v>0.05</v>
      </c>
      <c r="N2334" s="475">
        <f t="shared" si="132"/>
        <v>122083</v>
      </c>
    </row>
    <row r="2335" spans="7:14" ht="11.25" customHeight="1" x14ac:dyDescent="0.3">
      <c r="G2335" s="470"/>
      <c r="H2335" s="470">
        <v>2328</v>
      </c>
      <c r="I2335" s="455">
        <f t="shared" ca="1" si="130"/>
        <v>-6830857580.5810299</v>
      </c>
      <c r="J2335" s="455">
        <f t="array" ref="J2335">IFERROR(INDEX('Retirement Calculator'!K:K,MATCH('Lorri 401b'!N2335,'Retirement Calculator'!A:A,0),0),0)</f>
        <v>0</v>
      </c>
      <c r="K2335" s="455">
        <f t="shared" ca="1" si="128"/>
        <v>-28461906.58575429</v>
      </c>
      <c r="L2335" s="455">
        <f t="shared" ca="1" si="129"/>
        <v>-6859319487.1667843</v>
      </c>
      <c r="M2335" s="471">
        <f t="shared" si="131"/>
        <v>0.05</v>
      </c>
      <c r="N2335" s="475">
        <f t="shared" si="132"/>
        <v>122113</v>
      </c>
    </row>
    <row r="2336" spans="7:14" ht="11.25" customHeight="1" x14ac:dyDescent="0.3">
      <c r="G2336" s="470"/>
      <c r="H2336" s="470">
        <v>2329</v>
      </c>
      <c r="I2336" s="455">
        <f t="shared" ca="1" si="130"/>
        <v>-6859319487.1667843</v>
      </c>
      <c r="J2336" s="455">
        <f t="array" ref="J2336">IFERROR(INDEX('Retirement Calculator'!K:K,MATCH('Lorri 401b'!N2336,'Retirement Calculator'!A:A,0),0),0)</f>
        <v>0</v>
      </c>
      <c r="K2336" s="455">
        <f t="shared" ca="1" si="128"/>
        <v>-28580497.863194935</v>
      </c>
      <c r="L2336" s="455">
        <f t="shared" ca="1" si="129"/>
        <v>-6887899985.0299788</v>
      </c>
      <c r="M2336" s="471">
        <f t="shared" si="131"/>
        <v>0.05</v>
      </c>
      <c r="N2336" s="475">
        <f t="shared" si="132"/>
        <v>122144</v>
      </c>
    </row>
    <row r="2337" spans="7:14" ht="11.25" customHeight="1" x14ac:dyDescent="0.3">
      <c r="G2337" s="470"/>
      <c r="H2337" s="470">
        <v>2330</v>
      </c>
      <c r="I2337" s="455">
        <f t="shared" ca="1" si="130"/>
        <v>-6887899985.0299788</v>
      </c>
      <c r="J2337" s="455">
        <f t="array" ref="J2337">IFERROR(INDEX('Retirement Calculator'!K:K,MATCH('Lorri 401b'!N2337,'Retirement Calculator'!A:A,0),0),0)</f>
        <v>0</v>
      </c>
      <c r="K2337" s="455">
        <f t="shared" ca="1" si="128"/>
        <v>-28699583.270958241</v>
      </c>
      <c r="L2337" s="455">
        <f t="shared" ca="1" si="129"/>
        <v>-6916599568.3009367</v>
      </c>
      <c r="M2337" s="471">
        <f t="shared" si="131"/>
        <v>0.05</v>
      </c>
      <c r="N2337" s="475">
        <f t="shared" si="132"/>
        <v>122174</v>
      </c>
    </row>
    <row r="2338" spans="7:14" ht="11.25" customHeight="1" x14ac:dyDescent="0.3">
      <c r="G2338" s="470"/>
      <c r="H2338" s="470">
        <v>2331</v>
      </c>
      <c r="I2338" s="455">
        <f t="shared" ca="1" si="130"/>
        <v>-6916599568.3009367</v>
      </c>
      <c r="J2338" s="455">
        <f t="array" ref="J2338">IFERROR(INDEX('Retirement Calculator'!K:K,MATCH('Lorri 401b'!N2338,'Retirement Calculator'!A:A,0),0),0)</f>
        <v>0</v>
      </c>
      <c r="K2338" s="455">
        <f t="shared" ca="1" si="128"/>
        <v>-28819164.867920566</v>
      </c>
      <c r="L2338" s="455">
        <f t="shared" ca="1" si="129"/>
        <v>-6945418733.1688576</v>
      </c>
      <c r="M2338" s="471">
        <f t="shared" si="131"/>
        <v>0.05</v>
      </c>
      <c r="N2338" s="475">
        <f t="shared" si="132"/>
        <v>122205</v>
      </c>
    </row>
    <row r="2339" spans="7:14" ht="11.25" customHeight="1" x14ac:dyDescent="0.3">
      <c r="G2339" s="470"/>
      <c r="H2339" s="470">
        <v>2332</v>
      </c>
      <c r="I2339" s="455">
        <f t="shared" ca="1" si="130"/>
        <v>-6945418733.1688576</v>
      </c>
      <c r="J2339" s="455">
        <f t="array" ref="J2339">IFERROR(INDEX('Retirement Calculator'!K:K,MATCH('Lorri 401b'!N2339,'Retirement Calculator'!A:A,0),0),0)</f>
        <v>0</v>
      </c>
      <c r="K2339" s="455">
        <f t="shared" ca="1" si="128"/>
        <v>-28939244.721536905</v>
      </c>
      <c r="L2339" s="455">
        <f t="shared" ca="1" si="129"/>
        <v>-6974357977.8903942</v>
      </c>
      <c r="M2339" s="471">
        <f t="shared" si="131"/>
        <v>0.05</v>
      </c>
      <c r="N2339" s="475">
        <f t="shared" si="132"/>
        <v>122236</v>
      </c>
    </row>
    <row r="2340" spans="7:14" ht="11.25" customHeight="1" x14ac:dyDescent="0.3">
      <c r="G2340" s="470"/>
      <c r="H2340" s="470">
        <v>2333</v>
      </c>
      <c r="I2340" s="455">
        <f t="shared" ca="1" si="130"/>
        <v>-6974357977.8903942</v>
      </c>
      <c r="J2340" s="455">
        <f t="array" ref="J2340">IFERROR(INDEX('Retirement Calculator'!K:K,MATCH('Lorri 401b'!N2340,'Retirement Calculator'!A:A,0),0),0)</f>
        <v>0</v>
      </c>
      <c r="K2340" s="455">
        <f t="shared" ca="1" si="128"/>
        <v>-29059824.907876644</v>
      </c>
      <c r="L2340" s="455">
        <f t="shared" ca="1" si="129"/>
        <v>-7003417802.7982712</v>
      </c>
      <c r="M2340" s="471">
        <f t="shared" si="131"/>
        <v>0.05</v>
      </c>
      <c r="N2340" s="475">
        <f t="shared" si="132"/>
        <v>122266</v>
      </c>
    </row>
    <row r="2341" spans="7:14" ht="11.25" customHeight="1" x14ac:dyDescent="0.3">
      <c r="G2341" s="470"/>
      <c r="H2341" s="470">
        <v>2334</v>
      </c>
      <c r="I2341" s="455">
        <f t="shared" ca="1" si="130"/>
        <v>-7003417802.7982712</v>
      </c>
      <c r="J2341" s="455">
        <f t="array" ref="J2341">IFERROR(INDEX('Retirement Calculator'!K:K,MATCH('Lorri 401b'!N2341,'Retirement Calculator'!A:A,0),0),0)</f>
        <v>0</v>
      </c>
      <c r="K2341" s="455">
        <f t="shared" ca="1" si="128"/>
        <v>-29180907.511659462</v>
      </c>
      <c r="L2341" s="455">
        <f t="shared" ca="1" si="129"/>
        <v>-7032598710.3099308</v>
      </c>
      <c r="M2341" s="471">
        <f t="shared" si="131"/>
        <v>0.05</v>
      </c>
      <c r="N2341" s="475">
        <f t="shared" si="132"/>
        <v>122297</v>
      </c>
    </row>
    <row r="2342" spans="7:14" ht="11.25" customHeight="1" x14ac:dyDescent="0.3">
      <c r="G2342" s="470"/>
      <c r="H2342" s="470">
        <v>2335</v>
      </c>
      <c r="I2342" s="455">
        <f t="shared" ca="1" si="130"/>
        <v>-7032598710.3099308</v>
      </c>
      <c r="J2342" s="455">
        <f t="array" ref="J2342">IFERROR(INDEX('Retirement Calculator'!K:K,MATCH('Lorri 401b'!N2342,'Retirement Calculator'!A:A,0),0),0)</f>
        <v>0</v>
      </c>
      <c r="K2342" s="455">
        <f t="shared" ca="1" si="128"/>
        <v>-29302494.626291383</v>
      </c>
      <c r="L2342" s="455">
        <f t="shared" ca="1" si="129"/>
        <v>-7061901204.9362221</v>
      </c>
      <c r="M2342" s="471">
        <f t="shared" si="131"/>
        <v>0.05</v>
      </c>
      <c r="N2342" s="475">
        <f t="shared" si="132"/>
        <v>122327</v>
      </c>
    </row>
    <row r="2343" spans="7:14" ht="11.25" customHeight="1" x14ac:dyDescent="0.3">
      <c r="G2343" s="470"/>
      <c r="H2343" s="470">
        <v>2336</v>
      </c>
      <c r="I2343" s="455">
        <f t="shared" ca="1" si="130"/>
        <v>-7061901204.9362221</v>
      </c>
      <c r="J2343" s="455">
        <f t="array" ref="J2343">IFERROR(INDEX('Retirement Calculator'!K:K,MATCH('Lorri 401b'!N2343,'Retirement Calculator'!A:A,0),0),0)</f>
        <v>0</v>
      </c>
      <c r="K2343" s="455">
        <f t="shared" ca="1" si="128"/>
        <v>-29424588.353900924</v>
      </c>
      <c r="L2343" s="455">
        <f t="shared" ca="1" si="129"/>
        <v>-7091325793.290123</v>
      </c>
      <c r="M2343" s="471">
        <f t="shared" si="131"/>
        <v>0.05</v>
      </c>
      <c r="N2343" s="475">
        <f t="shared" si="132"/>
        <v>122358</v>
      </c>
    </row>
    <row r="2344" spans="7:14" ht="11.25" customHeight="1" x14ac:dyDescent="0.3">
      <c r="G2344" s="470"/>
      <c r="H2344" s="470">
        <v>2337</v>
      </c>
      <c r="I2344" s="455">
        <f t="shared" ca="1" si="130"/>
        <v>-7091325793.290123</v>
      </c>
      <c r="J2344" s="455">
        <f t="array" ref="J2344">IFERROR(INDEX('Retirement Calculator'!K:K,MATCH('Lorri 401b'!N2344,'Retirement Calculator'!A:A,0),0),0)</f>
        <v>0</v>
      </c>
      <c r="K2344" s="455">
        <f t="shared" ca="1" si="128"/>
        <v>-29547190.805375513</v>
      </c>
      <c r="L2344" s="455">
        <f t="shared" ca="1" si="129"/>
        <v>-7120872984.0954981</v>
      </c>
      <c r="M2344" s="471">
        <f t="shared" si="131"/>
        <v>0.05</v>
      </c>
      <c r="N2344" s="475">
        <f t="shared" si="132"/>
        <v>122389</v>
      </c>
    </row>
    <row r="2345" spans="7:14" ht="11.25" customHeight="1" x14ac:dyDescent="0.3">
      <c r="G2345" s="470"/>
      <c r="H2345" s="470">
        <v>2338</v>
      </c>
      <c r="I2345" s="455">
        <f t="shared" ca="1" si="130"/>
        <v>-7120872984.0954981</v>
      </c>
      <c r="J2345" s="455">
        <f t="array" ref="J2345">IFERROR(INDEX('Retirement Calculator'!K:K,MATCH('Lorri 401b'!N2345,'Retirement Calculator'!A:A,0),0),0)</f>
        <v>0</v>
      </c>
      <c r="K2345" s="455">
        <f t="shared" ca="1" si="128"/>
        <v>-29670304.100397911</v>
      </c>
      <c r="L2345" s="455">
        <f t="shared" ca="1" si="129"/>
        <v>-7150543288.1958961</v>
      </c>
      <c r="M2345" s="471">
        <f t="shared" si="131"/>
        <v>0.05</v>
      </c>
      <c r="N2345" s="475">
        <f t="shared" si="132"/>
        <v>122417</v>
      </c>
    </row>
    <row r="2346" spans="7:14" ht="11.25" customHeight="1" x14ac:dyDescent="0.3">
      <c r="G2346" s="470"/>
      <c r="H2346" s="470">
        <v>2339</v>
      </c>
      <c r="I2346" s="455">
        <f t="shared" ca="1" si="130"/>
        <v>-7150543288.1958961</v>
      </c>
      <c r="J2346" s="455">
        <f t="array" ref="J2346">IFERROR(INDEX('Retirement Calculator'!K:K,MATCH('Lorri 401b'!N2346,'Retirement Calculator'!A:A,0),0),0)</f>
        <v>0</v>
      </c>
      <c r="K2346" s="455">
        <f t="shared" ca="1" si="128"/>
        <v>-29793930.367482901</v>
      </c>
      <c r="L2346" s="455">
        <f t="shared" ca="1" si="129"/>
        <v>-7180337218.5633793</v>
      </c>
      <c r="M2346" s="471">
        <f t="shared" si="131"/>
        <v>0.05</v>
      </c>
      <c r="N2346" s="475">
        <f t="shared" si="132"/>
        <v>122448</v>
      </c>
    </row>
    <row r="2347" spans="7:14" ht="11.25" customHeight="1" x14ac:dyDescent="0.3">
      <c r="G2347" s="470"/>
      <c r="H2347" s="470">
        <v>2340</v>
      </c>
      <c r="I2347" s="455">
        <f t="shared" ca="1" si="130"/>
        <v>-7180337218.5633793</v>
      </c>
      <c r="J2347" s="455">
        <f t="array" ref="J2347">IFERROR(INDEX('Retirement Calculator'!K:K,MATCH('Lorri 401b'!N2347,'Retirement Calculator'!A:A,0),0),0)</f>
        <v>0</v>
      </c>
      <c r="K2347" s="455">
        <f t="shared" ca="1" si="128"/>
        <v>-29918071.744014084</v>
      </c>
      <c r="L2347" s="455">
        <f t="shared" ca="1" si="129"/>
        <v>-7210255290.3073931</v>
      </c>
      <c r="M2347" s="471">
        <f t="shared" si="131"/>
        <v>0.05</v>
      </c>
      <c r="N2347" s="475">
        <f t="shared" si="132"/>
        <v>122478</v>
      </c>
    </row>
    <row r="2348" spans="7:14" ht="11.25" customHeight="1" x14ac:dyDescent="0.3">
      <c r="G2348" s="470"/>
      <c r="H2348" s="470">
        <v>2341</v>
      </c>
      <c r="I2348" s="455">
        <f t="shared" ca="1" si="130"/>
        <v>-7210255290.3073931</v>
      </c>
      <c r="J2348" s="455">
        <f t="array" ref="J2348">IFERROR(INDEX('Retirement Calculator'!K:K,MATCH('Lorri 401b'!N2348,'Retirement Calculator'!A:A,0),0),0)</f>
        <v>0</v>
      </c>
      <c r="K2348" s="455">
        <f t="shared" ca="1" si="128"/>
        <v>-30042730.3762808</v>
      </c>
      <c r="L2348" s="455">
        <f t="shared" ca="1" si="129"/>
        <v>-7240298020.6836739</v>
      </c>
      <c r="M2348" s="471">
        <f t="shared" si="131"/>
        <v>0.05</v>
      </c>
      <c r="N2348" s="475">
        <f t="shared" si="132"/>
        <v>122509</v>
      </c>
    </row>
    <row r="2349" spans="7:14" ht="11.25" customHeight="1" x14ac:dyDescent="0.3">
      <c r="G2349" s="470"/>
      <c r="H2349" s="470">
        <v>2342</v>
      </c>
      <c r="I2349" s="455">
        <f t="shared" ca="1" si="130"/>
        <v>-7240298020.6836739</v>
      </c>
      <c r="J2349" s="455">
        <f t="array" ref="J2349">IFERROR(INDEX('Retirement Calculator'!K:K,MATCH('Lorri 401b'!N2349,'Retirement Calculator'!A:A,0),0),0)</f>
        <v>0</v>
      </c>
      <c r="K2349" s="455">
        <f t="shared" ca="1" si="128"/>
        <v>-30167908.419515308</v>
      </c>
      <c r="L2349" s="455">
        <f t="shared" ca="1" si="129"/>
        <v>-7270465929.1031895</v>
      </c>
      <c r="M2349" s="471">
        <f t="shared" si="131"/>
        <v>0.05</v>
      </c>
      <c r="N2349" s="475">
        <f t="shared" si="132"/>
        <v>122539</v>
      </c>
    </row>
    <row r="2350" spans="7:14" ht="11.25" customHeight="1" x14ac:dyDescent="0.3">
      <c r="G2350" s="470"/>
      <c r="H2350" s="470">
        <v>2343</v>
      </c>
      <c r="I2350" s="455">
        <f t="shared" ca="1" si="130"/>
        <v>-7270465929.1031895</v>
      </c>
      <c r="J2350" s="455">
        <f t="array" ref="J2350">IFERROR(INDEX('Retirement Calculator'!K:K,MATCH('Lorri 401b'!N2350,'Retirement Calculator'!A:A,0),0),0)</f>
        <v>0</v>
      </c>
      <c r="K2350" s="455">
        <f t="shared" ca="1" si="128"/>
        <v>-30293608.037929956</v>
      </c>
      <c r="L2350" s="455">
        <f t="shared" ca="1" si="129"/>
        <v>-7300759537.141119</v>
      </c>
      <c r="M2350" s="471">
        <f t="shared" si="131"/>
        <v>0.05</v>
      </c>
      <c r="N2350" s="475">
        <f t="shared" si="132"/>
        <v>122570</v>
      </c>
    </row>
    <row r="2351" spans="7:14" ht="11.25" customHeight="1" x14ac:dyDescent="0.3">
      <c r="G2351" s="470"/>
      <c r="H2351" s="470">
        <v>2344</v>
      </c>
      <c r="I2351" s="455">
        <f t="shared" ca="1" si="130"/>
        <v>-7300759537.141119</v>
      </c>
      <c r="J2351" s="455">
        <f t="array" ref="J2351">IFERROR(INDEX('Retirement Calculator'!K:K,MATCH('Lorri 401b'!N2351,'Retirement Calculator'!A:A,0),0),0)</f>
        <v>0</v>
      </c>
      <c r="K2351" s="455">
        <f t="shared" ca="1" si="128"/>
        <v>-30419831.404754661</v>
      </c>
      <c r="L2351" s="455">
        <f t="shared" ca="1" si="129"/>
        <v>-7331179368.5458736</v>
      </c>
      <c r="M2351" s="471">
        <f t="shared" si="131"/>
        <v>0.05</v>
      </c>
      <c r="N2351" s="475">
        <f t="shared" si="132"/>
        <v>122601</v>
      </c>
    </row>
    <row r="2352" spans="7:14" ht="11.25" customHeight="1" x14ac:dyDescent="0.3">
      <c r="G2352" s="470"/>
      <c r="H2352" s="470">
        <v>2345</v>
      </c>
      <c r="I2352" s="455">
        <f t="shared" ca="1" si="130"/>
        <v>-7331179368.5458736</v>
      </c>
      <c r="J2352" s="455">
        <f t="array" ref="J2352">IFERROR(INDEX('Retirement Calculator'!K:K,MATCH('Lorri 401b'!N2352,'Retirement Calculator'!A:A,0),0),0)</f>
        <v>0</v>
      </c>
      <c r="K2352" s="455">
        <f t="shared" ca="1" si="128"/>
        <v>-30546580.702274472</v>
      </c>
      <c r="L2352" s="455">
        <f t="shared" ca="1" si="129"/>
        <v>-7361725949.248148</v>
      </c>
      <c r="M2352" s="471">
        <f t="shared" si="131"/>
        <v>0.05</v>
      </c>
      <c r="N2352" s="475">
        <f t="shared" si="132"/>
        <v>122631</v>
      </c>
    </row>
    <row r="2353" spans="7:14" ht="11.25" customHeight="1" x14ac:dyDescent="0.3">
      <c r="G2353" s="470"/>
      <c r="H2353" s="470">
        <v>2346</v>
      </c>
      <c r="I2353" s="455">
        <f t="shared" ca="1" si="130"/>
        <v>-7361725949.248148</v>
      </c>
      <c r="J2353" s="455">
        <f t="array" ref="J2353">IFERROR(INDEX('Retirement Calculator'!K:K,MATCH('Lorri 401b'!N2353,'Retirement Calculator'!A:A,0),0),0)</f>
        <v>0</v>
      </c>
      <c r="K2353" s="455">
        <f t="shared" ca="1" si="128"/>
        <v>-30673858.121867284</v>
      </c>
      <c r="L2353" s="455">
        <f t="shared" ca="1" si="129"/>
        <v>-7392399807.3700151</v>
      </c>
      <c r="M2353" s="471">
        <f t="shared" si="131"/>
        <v>0.05</v>
      </c>
      <c r="N2353" s="475">
        <f t="shared" si="132"/>
        <v>122662</v>
      </c>
    </row>
    <row r="2354" spans="7:14" ht="11.25" customHeight="1" x14ac:dyDescent="0.3">
      <c r="G2354" s="470"/>
      <c r="H2354" s="470">
        <v>2347</v>
      </c>
      <c r="I2354" s="455">
        <f t="shared" ca="1" si="130"/>
        <v>-7392399807.3700151</v>
      </c>
      <c r="J2354" s="455">
        <f t="array" ref="J2354">IFERROR(INDEX('Retirement Calculator'!K:K,MATCH('Lorri 401b'!N2354,'Retirement Calculator'!A:A,0),0),0)</f>
        <v>0</v>
      </c>
      <c r="K2354" s="455">
        <f t="shared" ca="1" si="128"/>
        <v>-30801665.864041731</v>
      </c>
      <c r="L2354" s="455">
        <f t="shared" ca="1" si="129"/>
        <v>-7423201473.2340565</v>
      </c>
      <c r="M2354" s="471">
        <f t="shared" si="131"/>
        <v>0.05</v>
      </c>
      <c r="N2354" s="475">
        <f t="shared" si="132"/>
        <v>122692</v>
      </c>
    </row>
    <row r="2355" spans="7:14" ht="11.25" customHeight="1" x14ac:dyDescent="0.3">
      <c r="G2355" s="470"/>
      <c r="H2355" s="470">
        <v>2348</v>
      </c>
      <c r="I2355" s="455">
        <f t="shared" ca="1" si="130"/>
        <v>-7423201473.2340565</v>
      </c>
      <c r="J2355" s="455">
        <f t="array" ref="J2355">IFERROR(INDEX('Retirement Calculator'!K:K,MATCH('Lorri 401b'!N2355,'Retirement Calculator'!A:A,0),0),0)</f>
        <v>0</v>
      </c>
      <c r="K2355" s="455">
        <f t="shared" ca="1" si="128"/>
        <v>-30930006.138475236</v>
      </c>
      <c r="L2355" s="455">
        <f t="shared" ca="1" si="129"/>
        <v>-7454131479.3725319</v>
      </c>
      <c r="M2355" s="471">
        <f t="shared" si="131"/>
        <v>0.05</v>
      </c>
      <c r="N2355" s="475">
        <f t="shared" si="132"/>
        <v>122723</v>
      </c>
    </row>
    <row r="2356" spans="7:14" ht="11.25" customHeight="1" x14ac:dyDescent="0.3">
      <c r="G2356" s="470"/>
      <c r="H2356" s="470">
        <v>2349</v>
      </c>
      <c r="I2356" s="455">
        <f t="shared" ca="1" si="130"/>
        <v>-7454131479.3725319</v>
      </c>
      <c r="J2356" s="455">
        <f t="array" ref="J2356">IFERROR(INDEX('Retirement Calculator'!K:K,MATCH('Lorri 401b'!N2356,'Retirement Calculator'!A:A,0),0),0)</f>
        <v>0</v>
      </c>
      <c r="K2356" s="455">
        <f t="shared" ca="1" si="128"/>
        <v>-31058881.164052214</v>
      </c>
      <c r="L2356" s="455">
        <f t="shared" ca="1" si="129"/>
        <v>-7485190360.5365839</v>
      </c>
      <c r="M2356" s="471">
        <f t="shared" si="131"/>
        <v>0.05</v>
      </c>
      <c r="N2356" s="475">
        <f t="shared" si="132"/>
        <v>122754</v>
      </c>
    </row>
    <row r="2357" spans="7:14" ht="11.25" customHeight="1" x14ac:dyDescent="0.3">
      <c r="G2357" s="470"/>
      <c r="H2357" s="470">
        <v>2350</v>
      </c>
      <c r="I2357" s="455">
        <f t="shared" ca="1" si="130"/>
        <v>-7485190360.5365839</v>
      </c>
      <c r="J2357" s="455">
        <f t="array" ref="J2357">IFERROR(INDEX('Retirement Calculator'!K:K,MATCH('Lorri 401b'!N2357,'Retirement Calculator'!A:A,0),0),0)</f>
        <v>0</v>
      </c>
      <c r="K2357" s="455">
        <f t="shared" ca="1" si="128"/>
        <v>-31188293.168902431</v>
      </c>
      <c r="L2357" s="455">
        <f t="shared" ca="1" si="129"/>
        <v>-7516378653.7054863</v>
      </c>
      <c r="M2357" s="471">
        <f t="shared" si="131"/>
        <v>0.05</v>
      </c>
      <c r="N2357" s="475">
        <f t="shared" si="132"/>
        <v>122783</v>
      </c>
    </row>
    <row r="2358" spans="7:14" ht="11.25" customHeight="1" x14ac:dyDescent="0.3">
      <c r="G2358" s="470"/>
      <c r="H2358" s="470">
        <v>2351</v>
      </c>
      <c r="I2358" s="455">
        <f t="shared" ca="1" si="130"/>
        <v>-7516378653.7054863</v>
      </c>
      <c r="J2358" s="455">
        <f t="array" ref="J2358">IFERROR(INDEX('Retirement Calculator'!K:K,MATCH('Lorri 401b'!N2358,'Retirement Calculator'!A:A,0),0),0)</f>
        <v>0</v>
      </c>
      <c r="K2358" s="455">
        <f t="shared" ca="1" si="128"/>
        <v>-31318244.390439525</v>
      </c>
      <c r="L2358" s="455">
        <f t="shared" ca="1" si="129"/>
        <v>-7547696898.0959263</v>
      </c>
      <c r="M2358" s="471">
        <f t="shared" si="131"/>
        <v>0.05</v>
      </c>
      <c r="N2358" s="475">
        <f t="shared" si="132"/>
        <v>122814</v>
      </c>
    </row>
    <row r="2359" spans="7:14" ht="11.25" customHeight="1" x14ac:dyDescent="0.3">
      <c r="G2359" s="470"/>
      <c r="H2359" s="470">
        <v>2352</v>
      </c>
      <c r="I2359" s="455">
        <f t="shared" ca="1" si="130"/>
        <v>-7547696898.0959263</v>
      </c>
      <c r="J2359" s="455">
        <f t="array" ref="J2359">IFERROR(INDEX('Retirement Calculator'!K:K,MATCH('Lorri 401b'!N2359,'Retirement Calculator'!A:A,0),0),0)</f>
        <v>0</v>
      </c>
      <c r="K2359" s="455">
        <f t="shared" ca="1" si="128"/>
        <v>-31448737.075399689</v>
      </c>
      <c r="L2359" s="455">
        <f t="shared" ca="1" si="129"/>
        <v>-7579145635.1713257</v>
      </c>
      <c r="M2359" s="471">
        <f t="shared" si="131"/>
        <v>0.05</v>
      </c>
      <c r="N2359" s="475">
        <f t="shared" si="132"/>
        <v>122844</v>
      </c>
    </row>
    <row r="2360" spans="7:14" ht="11.25" customHeight="1" x14ac:dyDescent="0.3">
      <c r="G2360" s="470"/>
      <c r="H2360" s="470">
        <v>2353</v>
      </c>
      <c r="I2360" s="455">
        <f t="shared" ca="1" si="130"/>
        <v>-7579145635.1713257</v>
      </c>
      <c r="J2360" s="455">
        <f t="array" ref="J2360">IFERROR(INDEX('Retirement Calculator'!K:K,MATCH('Lorri 401b'!N2360,'Retirement Calculator'!A:A,0),0),0)</f>
        <v>0</v>
      </c>
      <c r="K2360" s="455">
        <f t="shared" ca="1" si="128"/>
        <v>-31579773.479880523</v>
      </c>
      <c r="L2360" s="455">
        <f t="shared" ca="1" si="129"/>
        <v>-7610725408.651206</v>
      </c>
      <c r="M2360" s="471">
        <f t="shared" si="131"/>
        <v>0.05</v>
      </c>
      <c r="N2360" s="475">
        <f t="shared" si="132"/>
        <v>122875</v>
      </c>
    </row>
    <row r="2361" spans="7:14" ht="11.25" customHeight="1" x14ac:dyDescent="0.3">
      <c r="G2361" s="470"/>
      <c r="H2361" s="470">
        <v>2354</v>
      </c>
      <c r="I2361" s="455">
        <f t="shared" ca="1" si="130"/>
        <v>-7610725408.651206</v>
      </c>
      <c r="J2361" s="455">
        <f t="array" ref="J2361">IFERROR(INDEX('Retirement Calculator'!K:K,MATCH('Lorri 401b'!N2361,'Retirement Calculator'!A:A,0),0),0)</f>
        <v>0</v>
      </c>
      <c r="K2361" s="455">
        <f t="shared" ca="1" si="128"/>
        <v>-31711355.869380023</v>
      </c>
      <c r="L2361" s="455">
        <f t="shared" ca="1" si="129"/>
        <v>-7642436764.520586</v>
      </c>
      <c r="M2361" s="471">
        <f t="shared" si="131"/>
        <v>0.05</v>
      </c>
      <c r="N2361" s="475">
        <f t="shared" si="132"/>
        <v>122905</v>
      </c>
    </row>
    <row r="2362" spans="7:14" ht="11.25" customHeight="1" x14ac:dyDescent="0.3">
      <c r="G2362" s="470"/>
      <c r="H2362" s="470">
        <v>2355</v>
      </c>
      <c r="I2362" s="455">
        <f t="shared" ca="1" si="130"/>
        <v>-7642436764.520586</v>
      </c>
      <c r="J2362" s="455">
        <f t="array" ref="J2362">IFERROR(INDEX('Retirement Calculator'!K:K,MATCH('Lorri 401b'!N2362,'Retirement Calculator'!A:A,0),0),0)</f>
        <v>0</v>
      </c>
      <c r="K2362" s="455">
        <f t="shared" ca="1" si="128"/>
        <v>-31843486.518835776</v>
      </c>
      <c r="L2362" s="455">
        <f t="shared" ca="1" si="129"/>
        <v>-7674280251.039422</v>
      </c>
      <c r="M2362" s="471">
        <f t="shared" si="131"/>
        <v>0.05</v>
      </c>
      <c r="N2362" s="475">
        <f t="shared" si="132"/>
        <v>122936</v>
      </c>
    </row>
    <row r="2363" spans="7:14" ht="11.25" customHeight="1" x14ac:dyDescent="0.3">
      <c r="G2363" s="470"/>
      <c r="H2363" s="470">
        <v>2356</v>
      </c>
      <c r="I2363" s="455">
        <f t="shared" ca="1" si="130"/>
        <v>-7674280251.039422</v>
      </c>
      <c r="J2363" s="455">
        <f t="array" ref="J2363">IFERROR(INDEX('Retirement Calculator'!K:K,MATCH('Lorri 401b'!N2363,'Retirement Calculator'!A:A,0),0),0)</f>
        <v>0</v>
      </c>
      <c r="K2363" s="455">
        <f t="shared" ca="1" si="128"/>
        <v>-31976167.712664258</v>
      </c>
      <c r="L2363" s="455">
        <f t="shared" ca="1" si="129"/>
        <v>-7706256418.7520866</v>
      </c>
      <c r="M2363" s="471">
        <f t="shared" si="131"/>
        <v>0.05</v>
      </c>
      <c r="N2363" s="475">
        <f t="shared" si="132"/>
        <v>122967</v>
      </c>
    </row>
    <row r="2364" spans="7:14" ht="11.25" customHeight="1" x14ac:dyDescent="0.3">
      <c r="G2364" s="470"/>
      <c r="H2364" s="470">
        <v>2357</v>
      </c>
      <c r="I2364" s="455">
        <f t="shared" ca="1" si="130"/>
        <v>-7706256418.7520866</v>
      </c>
      <c r="J2364" s="455">
        <f t="array" ref="J2364">IFERROR(INDEX('Retirement Calculator'!K:K,MATCH('Lorri 401b'!N2364,'Retirement Calculator'!A:A,0),0),0)</f>
        <v>0</v>
      </c>
      <c r="K2364" s="455">
        <f t="shared" ca="1" si="128"/>
        <v>-32109401.744800359</v>
      </c>
      <c r="L2364" s="455">
        <f t="shared" ca="1" si="129"/>
        <v>-7738365820.4968872</v>
      </c>
      <c r="M2364" s="471">
        <f t="shared" si="131"/>
        <v>0.05</v>
      </c>
      <c r="N2364" s="475">
        <f t="shared" si="132"/>
        <v>122997</v>
      </c>
    </row>
    <row r="2365" spans="7:14" ht="11.25" customHeight="1" x14ac:dyDescent="0.3">
      <c r="G2365" s="470"/>
      <c r="H2365" s="470">
        <v>2358</v>
      </c>
      <c r="I2365" s="455">
        <f t="shared" ca="1" si="130"/>
        <v>-7738365820.4968872</v>
      </c>
      <c r="J2365" s="455">
        <f t="array" ref="J2365">IFERROR(INDEX('Retirement Calculator'!K:K,MATCH('Lorri 401b'!N2365,'Retirement Calculator'!A:A,0),0),0)</f>
        <v>0</v>
      </c>
      <c r="K2365" s="455">
        <f t="shared" ca="1" si="128"/>
        <v>-32243190.918737024</v>
      </c>
      <c r="L2365" s="455">
        <f t="shared" ca="1" si="129"/>
        <v>-7770609011.4156246</v>
      </c>
      <c r="M2365" s="471">
        <f t="shared" si="131"/>
        <v>0.05</v>
      </c>
      <c r="N2365" s="475">
        <f t="shared" si="132"/>
        <v>123028</v>
      </c>
    </row>
    <row r="2366" spans="7:14" ht="11.25" customHeight="1" x14ac:dyDescent="0.3">
      <c r="G2366" s="470"/>
      <c r="H2366" s="470">
        <v>2359</v>
      </c>
      <c r="I2366" s="455">
        <f t="shared" ca="1" si="130"/>
        <v>-7770609011.4156246</v>
      </c>
      <c r="J2366" s="455">
        <f t="array" ref="J2366">IFERROR(INDEX('Retirement Calculator'!K:K,MATCH('Lorri 401b'!N2366,'Retirement Calculator'!A:A,0),0),0)</f>
        <v>0</v>
      </c>
      <c r="K2366" s="455">
        <f t="shared" ca="1" si="128"/>
        <v>-32377537.547565099</v>
      </c>
      <c r="L2366" s="455">
        <f t="shared" ca="1" si="129"/>
        <v>-7802986548.9631901</v>
      </c>
      <c r="M2366" s="471">
        <f t="shared" si="131"/>
        <v>0.05</v>
      </c>
      <c r="N2366" s="475">
        <f t="shared" si="132"/>
        <v>123058</v>
      </c>
    </row>
    <row r="2367" spans="7:14" ht="11.25" customHeight="1" x14ac:dyDescent="0.3">
      <c r="G2367" s="470"/>
      <c r="H2367" s="470">
        <v>2360</v>
      </c>
      <c r="I2367" s="455">
        <f t="shared" ca="1" si="130"/>
        <v>-7802986548.9631901</v>
      </c>
      <c r="J2367" s="455">
        <f t="array" ref="J2367">IFERROR(INDEX('Retirement Calculator'!K:K,MATCH('Lorri 401b'!N2367,'Retirement Calculator'!A:A,0),0),0)</f>
        <v>0</v>
      </c>
      <c r="K2367" s="455">
        <f t="shared" ca="1" si="128"/>
        <v>-32512443.954013292</v>
      </c>
      <c r="L2367" s="455">
        <f t="shared" ca="1" si="129"/>
        <v>-7835498992.9172029</v>
      </c>
      <c r="M2367" s="471">
        <f t="shared" si="131"/>
        <v>0.05</v>
      </c>
      <c r="N2367" s="475">
        <f t="shared" si="132"/>
        <v>123089</v>
      </c>
    </row>
    <row r="2368" spans="7:14" ht="11.25" customHeight="1" x14ac:dyDescent="0.3">
      <c r="G2368" s="470"/>
      <c r="H2368" s="470">
        <v>2361</v>
      </c>
      <c r="I2368" s="455">
        <f t="shared" ca="1" si="130"/>
        <v>-7835498992.9172029</v>
      </c>
      <c r="J2368" s="455">
        <f t="array" ref="J2368">IFERROR(INDEX('Retirement Calculator'!K:K,MATCH('Lorri 401b'!N2368,'Retirement Calculator'!A:A,0),0),0)</f>
        <v>0</v>
      </c>
      <c r="K2368" s="455">
        <f t="shared" ca="1" si="128"/>
        <v>-32647912.470488343</v>
      </c>
      <c r="L2368" s="455">
        <f t="shared" ca="1" si="129"/>
        <v>-7868146905.3876915</v>
      </c>
      <c r="M2368" s="471">
        <f t="shared" si="131"/>
        <v>0.05</v>
      </c>
      <c r="N2368" s="475">
        <f t="shared" si="132"/>
        <v>123120</v>
      </c>
    </row>
    <row r="2369" spans="7:14" ht="11.25" customHeight="1" x14ac:dyDescent="0.3">
      <c r="G2369" s="470"/>
      <c r="H2369" s="470">
        <v>2362</v>
      </c>
      <c r="I2369" s="455">
        <f t="shared" ca="1" si="130"/>
        <v>-7868146905.3876915</v>
      </c>
      <c r="J2369" s="455">
        <f t="array" ref="J2369">IFERROR(INDEX('Retirement Calculator'!K:K,MATCH('Lorri 401b'!N2369,'Retirement Calculator'!A:A,0),0),0)</f>
        <v>0</v>
      </c>
      <c r="K2369" s="455">
        <f t="shared" ca="1" si="128"/>
        <v>-32783945.439115386</v>
      </c>
      <c r="L2369" s="455">
        <f t="shared" ca="1" si="129"/>
        <v>-7900930850.826807</v>
      </c>
      <c r="M2369" s="471">
        <f t="shared" si="131"/>
        <v>0.05</v>
      </c>
      <c r="N2369" s="475">
        <f t="shared" si="132"/>
        <v>123148</v>
      </c>
    </row>
    <row r="2370" spans="7:14" ht="11.25" customHeight="1" x14ac:dyDescent="0.3">
      <c r="G2370" s="470"/>
      <c r="H2370" s="470">
        <v>2363</v>
      </c>
      <c r="I2370" s="455">
        <f t="shared" ca="1" si="130"/>
        <v>-7900930850.826807</v>
      </c>
      <c r="J2370" s="455">
        <f t="array" ref="J2370">IFERROR(INDEX('Retirement Calculator'!K:K,MATCH('Lorri 401b'!N2370,'Retirement Calculator'!A:A,0),0),0)</f>
        <v>0</v>
      </c>
      <c r="K2370" s="455">
        <f t="shared" ca="1" si="128"/>
        <v>-32920545.211778361</v>
      </c>
      <c r="L2370" s="455">
        <f t="shared" ca="1" si="129"/>
        <v>-7933851396.0385857</v>
      </c>
      <c r="M2370" s="471">
        <f t="shared" si="131"/>
        <v>0.05</v>
      </c>
      <c r="N2370" s="475">
        <f t="shared" si="132"/>
        <v>123179</v>
      </c>
    </row>
    <row r="2371" spans="7:14" ht="11.25" customHeight="1" x14ac:dyDescent="0.3">
      <c r="G2371" s="470"/>
      <c r="H2371" s="470">
        <v>2364</v>
      </c>
      <c r="I2371" s="455">
        <f t="shared" ca="1" si="130"/>
        <v>-7933851396.0385857</v>
      </c>
      <c r="J2371" s="455">
        <f t="array" ref="J2371">IFERROR(INDEX('Retirement Calculator'!K:K,MATCH('Lorri 401b'!N2371,'Retirement Calculator'!A:A,0),0),0)</f>
        <v>0</v>
      </c>
      <c r="K2371" s="455">
        <f t="shared" ca="1" si="128"/>
        <v>-33057714.150160775</v>
      </c>
      <c r="L2371" s="455">
        <f t="shared" ca="1" si="129"/>
        <v>-7966909110.1887465</v>
      </c>
      <c r="M2371" s="471">
        <f t="shared" si="131"/>
        <v>0.05</v>
      </c>
      <c r="N2371" s="475">
        <f t="shared" si="132"/>
        <v>123209</v>
      </c>
    </row>
    <row r="2372" spans="7:14" ht="11.25" customHeight="1" x14ac:dyDescent="0.3">
      <c r="G2372" s="470"/>
      <c r="H2372" s="470">
        <v>2365</v>
      </c>
      <c r="I2372" s="455">
        <f t="shared" ca="1" si="130"/>
        <v>-7966909110.1887465</v>
      </c>
      <c r="J2372" s="455">
        <f t="array" ref="J2372">IFERROR(INDEX('Retirement Calculator'!K:K,MATCH('Lorri 401b'!N2372,'Retirement Calculator'!A:A,0),0),0)</f>
        <v>0</v>
      </c>
      <c r="K2372" s="455">
        <f t="shared" ca="1" si="128"/>
        <v>-33195454.625786442</v>
      </c>
      <c r="L2372" s="455">
        <f t="shared" ca="1" si="129"/>
        <v>-8000104564.8145332</v>
      </c>
      <c r="M2372" s="471">
        <f t="shared" si="131"/>
        <v>0.05</v>
      </c>
      <c r="N2372" s="475">
        <f t="shared" si="132"/>
        <v>123240</v>
      </c>
    </row>
    <row r="2373" spans="7:14" ht="11.25" customHeight="1" x14ac:dyDescent="0.3">
      <c r="G2373" s="470"/>
      <c r="H2373" s="470">
        <v>2366</v>
      </c>
      <c r="I2373" s="455">
        <f t="shared" ca="1" si="130"/>
        <v>-8000104564.8145332</v>
      </c>
      <c r="J2373" s="455">
        <f t="array" ref="J2373">IFERROR(INDEX('Retirement Calculator'!K:K,MATCH('Lorri 401b'!N2373,'Retirement Calculator'!A:A,0),0),0)</f>
        <v>0</v>
      </c>
      <c r="K2373" s="455">
        <f t="shared" ca="1" si="128"/>
        <v>-33333769.020060554</v>
      </c>
      <c r="L2373" s="455">
        <f t="shared" ca="1" si="129"/>
        <v>-8033438333.8345938</v>
      </c>
      <c r="M2373" s="471">
        <f t="shared" si="131"/>
        <v>0.05</v>
      </c>
      <c r="N2373" s="475">
        <f t="shared" si="132"/>
        <v>123270</v>
      </c>
    </row>
    <row r="2374" spans="7:14" ht="11.25" customHeight="1" x14ac:dyDescent="0.3">
      <c r="G2374" s="470"/>
      <c r="H2374" s="470">
        <v>2367</v>
      </c>
      <c r="I2374" s="455">
        <f t="shared" ca="1" si="130"/>
        <v>-8033438333.8345938</v>
      </c>
      <c r="J2374" s="455">
        <f t="array" ref="J2374">IFERROR(INDEX('Retirement Calculator'!K:K,MATCH('Lorri 401b'!N2374,'Retirement Calculator'!A:A,0),0),0)</f>
        <v>0</v>
      </c>
      <c r="K2374" s="455">
        <f t="shared" ca="1" si="128"/>
        <v>-33472659.724310808</v>
      </c>
      <c r="L2374" s="455">
        <f t="shared" ca="1" si="129"/>
        <v>-8066910993.5589046</v>
      </c>
      <c r="M2374" s="471">
        <f t="shared" si="131"/>
        <v>0.05</v>
      </c>
      <c r="N2374" s="475">
        <f t="shared" si="132"/>
        <v>123301</v>
      </c>
    </row>
    <row r="2375" spans="7:14" ht="11.25" customHeight="1" x14ac:dyDescent="0.3">
      <c r="G2375" s="470"/>
      <c r="H2375" s="470">
        <v>2368</v>
      </c>
      <c r="I2375" s="455">
        <f t="shared" ca="1" si="130"/>
        <v>-8066910993.5589046</v>
      </c>
      <c r="J2375" s="455">
        <f t="array" ref="J2375">IFERROR(INDEX('Retirement Calculator'!K:K,MATCH('Lorri 401b'!N2375,'Retirement Calculator'!A:A,0),0),0)</f>
        <v>0</v>
      </c>
      <c r="K2375" s="455">
        <f t="shared" ca="1" si="128"/>
        <v>-33612129.139828771</v>
      </c>
      <c r="L2375" s="455">
        <f t="shared" ca="1" si="129"/>
        <v>-8100523122.6987333</v>
      </c>
      <c r="M2375" s="471">
        <f t="shared" si="131"/>
        <v>0.05</v>
      </c>
      <c r="N2375" s="475">
        <f t="shared" si="132"/>
        <v>123332</v>
      </c>
    </row>
    <row r="2376" spans="7:14" ht="11.25" customHeight="1" x14ac:dyDescent="0.3">
      <c r="G2376" s="470"/>
      <c r="H2376" s="470">
        <v>2369</v>
      </c>
      <c r="I2376" s="455">
        <f t="shared" ca="1" si="130"/>
        <v>-8100523122.6987333</v>
      </c>
      <c r="J2376" s="455">
        <f t="array" ref="J2376">IFERROR(INDEX('Retirement Calculator'!K:K,MATCH('Lorri 401b'!N2376,'Retirement Calculator'!A:A,0),0),0)</f>
        <v>0</v>
      </c>
      <c r="K2376" s="455">
        <f t="shared" ca="1" si="128"/>
        <v>-33752179.677911386</v>
      </c>
      <c r="L2376" s="455">
        <f t="shared" ca="1" si="129"/>
        <v>-8134275302.3766451</v>
      </c>
      <c r="M2376" s="471">
        <f t="shared" si="131"/>
        <v>0.05</v>
      </c>
      <c r="N2376" s="475">
        <f t="shared" si="132"/>
        <v>123362</v>
      </c>
    </row>
    <row r="2377" spans="7:14" ht="11.25" customHeight="1" x14ac:dyDescent="0.3">
      <c r="G2377" s="470"/>
      <c r="H2377" s="470">
        <v>2370</v>
      </c>
      <c r="I2377" s="455">
        <f t="shared" ca="1" si="130"/>
        <v>-8134275302.3766451</v>
      </c>
      <c r="J2377" s="455">
        <f t="array" ref="J2377">IFERROR(INDEX('Retirement Calculator'!K:K,MATCH('Lorri 401b'!N2377,'Retirement Calculator'!A:A,0),0),0)</f>
        <v>0</v>
      </c>
      <c r="K2377" s="455">
        <f t="shared" ca="1" si="128"/>
        <v>-33892813.759902686</v>
      </c>
      <c r="L2377" s="455">
        <f t="shared" ca="1" si="129"/>
        <v>-8168168116.136548</v>
      </c>
      <c r="M2377" s="471">
        <f t="shared" si="131"/>
        <v>0.05</v>
      </c>
      <c r="N2377" s="475">
        <f t="shared" si="132"/>
        <v>123393</v>
      </c>
    </row>
    <row r="2378" spans="7:14" ht="11.25" customHeight="1" x14ac:dyDescent="0.3">
      <c r="G2378" s="470"/>
      <c r="H2378" s="470">
        <v>2371</v>
      </c>
      <c r="I2378" s="455">
        <f t="shared" ca="1" si="130"/>
        <v>-8168168116.136548</v>
      </c>
      <c r="J2378" s="455">
        <f t="array" ref="J2378">IFERROR(INDEX('Retirement Calculator'!K:K,MATCH('Lorri 401b'!N2378,'Retirement Calculator'!A:A,0),0),0)</f>
        <v>0</v>
      </c>
      <c r="K2378" s="455">
        <f t="shared" ca="1" si="128"/>
        <v>-34034033.817235619</v>
      </c>
      <c r="L2378" s="455">
        <f t="shared" ca="1" si="129"/>
        <v>-8202202149.953784</v>
      </c>
      <c r="M2378" s="471">
        <f t="shared" si="131"/>
        <v>0.05</v>
      </c>
      <c r="N2378" s="475">
        <f t="shared" si="132"/>
        <v>123423</v>
      </c>
    </row>
    <row r="2379" spans="7:14" ht="11.25" customHeight="1" x14ac:dyDescent="0.3">
      <c r="G2379" s="470"/>
      <c r="H2379" s="470">
        <v>2372</v>
      </c>
      <c r="I2379" s="455">
        <f t="shared" ca="1" si="130"/>
        <v>-8202202149.953784</v>
      </c>
      <c r="J2379" s="455">
        <f t="array" ref="J2379">IFERROR(INDEX('Retirement Calculator'!K:K,MATCH('Lorri 401b'!N2379,'Retirement Calculator'!A:A,0),0),0)</f>
        <v>0</v>
      </c>
      <c r="K2379" s="455">
        <f t="shared" ca="1" si="128"/>
        <v>-34175842.291474104</v>
      </c>
      <c r="L2379" s="455">
        <f t="shared" ca="1" si="129"/>
        <v>-8236377992.2452583</v>
      </c>
      <c r="M2379" s="471">
        <f t="shared" si="131"/>
        <v>0.05</v>
      </c>
      <c r="N2379" s="475">
        <f t="shared" si="132"/>
        <v>123454</v>
      </c>
    </row>
    <row r="2380" spans="7:14" ht="11.25" customHeight="1" x14ac:dyDescent="0.3">
      <c r="G2380" s="470"/>
      <c r="H2380" s="470">
        <v>2373</v>
      </c>
      <c r="I2380" s="455">
        <f t="shared" ca="1" si="130"/>
        <v>-8236377992.2452583</v>
      </c>
      <c r="J2380" s="455">
        <f t="array" ref="J2380">IFERROR(INDEX('Retirement Calculator'!K:K,MATCH('Lorri 401b'!N2380,'Retirement Calculator'!A:A,0),0),0)</f>
        <v>0</v>
      </c>
      <c r="K2380" s="455">
        <f t="shared" ca="1" si="128"/>
        <v>-34318241.63435524</v>
      </c>
      <c r="L2380" s="455">
        <f t="shared" ca="1" si="129"/>
        <v>-8270696233.8796139</v>
      </c>
      <c r="M2380" s="471">
        <f t="shared" si="131"/>
        <v>0.05</v>
      </c>
      <c r="N2380" s="475">
        <f t="shared" si="132"/>
        <v>123485</v>
      </c>
    </row>
    <row r="2381" spans="7:14" ht="11.25" customHeight="1" x14ac:dyDescent="0.3">
      <c r="G2381" s="470"/>
      <c r="H2381" s="470">
        <v>2374</v>
      </c>
      <c r="I2381" s="455">
        <f t="shared" ca="1" si="130"/>
        <v>-8270696233.8796139</v>
      </c>
      <c r="J2381" s="455">
        <f t="array" ref="J2381">IFERROR(INDEX('Retirement Calculator'!K:K,MATCH('Lorri 401b'!N2381,'Retirement Calculator'!A:A,0),0),0)</f>
        <v>0</v>
      </c>
      <c r="K2381" s="455">
        <f t="shared" ca="1" si="128"/>
        <v>-34461234.307831727</v>
      </c>
      <c r="L2381" s="455">
        <f t="shared" ca="1" si="129"/>
        <v>-8305157468.1874456</v>
      </c>
      <c r="M2381" s="471">
        <f t="shared" si="131"/>
        <v>0.05</v>
      </c>
      <c r="N2381" s="475">
        <f t="shared" si="132"/>
        <v>123513</v>
      </c>
    </row>
    <row r="2382" spans="7:14" ht="11.25" customHeight="1" x14ac:dyDescent="0.3">
      <c r="G2382" s="470"/>
      <c r="H2382" s="470">
        <v>2375</v>
      </c>
      <c r="I2382" s="455">
        <f t="shared" ca="1" si="130"/>
        <v>-8305157468.1874456</v>
      </c>
      <c r="J2382" s="455">
        <f t="array" ref="J2382">IFERROR(INDEX('Retirement Calculator'!K:K,MATCH('Lorri 401b'!N2382,'Retirement Calculator'!A:A,0),0),0)</f>
        <v>0</v>
      </c>
      <c r="K2382" s="455">
        <f t="shared" ca="1" si="128"/>
        <v>-34604822.784114353</v>
      </c>
      <c r="L2382" s="455">
        <f t="shared" ca="1" si="129"/>
        <v>-8339762290.9715595</v>
      </c>
      <c r="M2382" s="471">
        <f t="shared" si="131"/>
        <v>0.05</v>
      </c>
      <c r="N2382" s="475">
        <f t="shared" si="132"/>
        <v>123544</v>
      </c>
    </row>
    <row r="2383" spans="7:14" ht="11.25" customHeight="1" x14ac:dyDescent="0.3">
      <c r="G2383" s="470"/>
      <c r="H2383" s="470">
        <v>2376</v>
      </c>
      <c r="I2383" s="455">
        <f t="shared" ca="1" si="130"/>
        <v>-8339762290.9715595</v>
      </c>
      <c r="J2383" s="455">
        <f t="array" ref="J2383">IFERROR(INDEX('Retirement Calculator'!K:K,MATCH('Lorri 401b'!N2383,'Retirement Calculator'!A:A,0),0),0)</f>
        <v>0</v>
      </c>
      <c r="K2383" s="455">
        <f t="shared" ca="1" si="128"/>
        <v>-34749009.545714833</v>
      </c>
      <c r="L2383" s="455">
        <f t="shared" ca="1" si="129"/>
        <v>-8374511300.5172739</v>
      </c>
      <c r="M2383" s="471">
        <f t="shared" si="131"/>
        <v>0.05</v>
      </c>
      <c r="N2383" s="475">
        <f t="shared" si="132"/>
        <v>123574</v>
      </c>
    </row>
    <row r="2384" spans="7:14" ht="11.25" customHeight="1" x14ac:dyDescent="0.3">
      <c r="G2384" s="470"/>
      <c r="H2384" s="470">
        <v>2377</v>
      </c>
      <c r="I2384" s="455">
        <f t="shared" ca="1" si="130"/>
        <v>-8374511300.5172739</v>
      </c>
      <c r="J2384" s="455">
        <f t="array" ref="J2384">IFERROR(INDEX('Retirement Calculator'!K:K,MATCH('Lorri 401b'!N2384,'Retirement Calculator'!A:A,0),0),0)</f>
        <v>0</v>
      </c>
      <c r="K2384" s="455">
        <f t="shared" ca="1" si="128"/>
        <v>-34893797.085488647</v>
      </c>
      <c r="L2384" s="455">
        <f t="shared" ca="1" si="129"/>
        <v>-8409405097.6027622</v>
      </c>
      <c r="M2384" s="471">
        <f t="shared" si="131"/>
        <v>0.05</v>
      </c>
      <c r="N2384" s="475">
        <f t="shared" si="132"/>
        <v>123605</v>
      </c>
    </row>
    <row r="2385" spans="7:14" ht="11.25" customHeight="1" x14ac:dyDescent="0.3">
      <c r="G2385" s="470"/>
      <c r="H2385" s="470">
        <v>2378</v>
      </c>
      <c r="I2385" s="455">
        <f t="shared" ca="1" si="130"/>
        <v>-8409405097.6027622</v>
      </c>
      <c r="J2385" s="455">
        <f t="array" ref="J2385">IFERROR(INDEX('Retirement Calculator'!K:K,MATCH('Lorri 401b'!N2385,'Retirement Calculator'!A:A,0),0),0)</f>
        <v>0</v>
      </c>
      <c r="K2385" s="455">
        <f t="shared" ca="1" si="128"/>
        <v>-35039187.906678177</v>
      </c>
      <c r="L2385" s="455">
        <f t="shared" ca="1" si="129"/>
        <v>-8444444285.5094404</v>
      </c>
      <c r="M2385" s="471">
        <f t="shared" si="131"/>
        <v>0.05</v>
      </c>
      <c r="N2385" s="475">
        <f t="shared" si="132"/>
        <v>123635</v>
      </c>
    </row>
    <row r="2386" spans="7:14" ht="11.25" customHeight="1" x14ac:dyDescent="0.3">
      <c r="G2386" s="470"/>
      <c r="H2386" s="470">
        <v>2379</v>
      </c>
      <c r="I2386" s="455">
        <f t="shared" ca="1" si="130"/>
        <v>-8444444285.5094404</v>
      </c>
      <c r="J2386" s="455">
        <f t="array" ref="J2386">IFERROR(INDEX('Retirement Calculator'!K:K,MATCH('Lorri 401b'!N2386,'Retirement Calculator'!A:A,0),0),0)</f>
        <v>0</v>
      </c>
      <c r="K2386" s="455">
        <f t="shared" ca="1" si="128"/>
        <v>-35185184.522955999</v>
      </c>
      <c r="L2386" s="455">
        <f t="shared" ca="1" si="129"/>
        <v>-8479629470.0323963</v>
      </c>
      <c r="M2386" s="471">
        <f t="shared" si="131"/>
        <v>0.05</v>
      </c>
      <c r="N2386" s="475">
        <f t="shared" si="132"/>
        <v>123666</v>
      </c>
    </row>
    <row r="2387" spans="7:14" ht="11.25" customHeight="1" x14ac:dyDescent="0.3">
      <c r="G2387" s="470"/>
      <c r="H2387" s="470">
        <v>2380</v>
      </c>
      <c r="I2387" s="455">
        <f t="shared" ca="1" si="130"/>
        <v>-8479629470.0323963</v>
      </c>
      <c r="J2387" s="455">
        <f t="array" ref="J2387">IFERROR(INDEX('Retirement Calculator'!K:K,MATCH('Lorri 401b'!N2387,'Retirement Calculator'!A:A,0),0),0)</f>
        <v>0</v>
      </c>
      <c r="K2387" s="455">
        <f t="shared" ca="1" si="128"/>
        <v>-35331789.458468318</v>
      </c>
      <c r="L2387" s="455">
        <f t="shared" ca="1" si="129"/>
        <v>-8514961259.4908648</v>
      </c>
      <c r="M2387" s="471">
        <f t="shared" si="131"/>
        <v>0.05</v>
      </c>
      <c r="N2387" s="475">
        <f t="shared" si="132"/>
        <v>123697</v>
      </c>
    </row>
    <row r="2388" spans="7:14" ht="11.25" customHeight="1" x14ac:dyDescent="0.3">
      <c r="G2388" s="470"/>
      <c r="H2388" s="470">
        <v>2381</v>
      </c>
      <c r="I2388" s="455">
        <f t="shared" ca="1" si="130"/>
        <v>-8514961259.4908648</v>
      </c>
      <c r="J2388" s="455">
        <f t="array" ref="J2388">IFERROR(INDEX('Retirement Calculator'!K:K,MATCH('Lorri 401b'!N2388,'Retirement Calculator'!A:A,0),0),0)</f>
        <v>0</v>
      </c>
      <c r="K2388" s="455">
        <f t="shared" ca="1" si="128"/>
        <v>-35479005.247878604</v>
      </c>
      <c r="L2388" s="455">
        <f t="shared" ca="1" si="129"/>
        <v>-8550440264.7387438</v>
      </c>
      <c r="M2388" s="471">
        <f t="shared" si="131"/>
        <v>0.05</v>
      </c>
      <c r="N2388" s="475">
        <f t="shared" si="132"/>
        <v>123727</v>
      </c>
    </row>
    <row r="2389" spans="7:14" ht="11.25" customHeight="1" x14ac:dyDescent="0.3">
      <c r="G2389" s="470"/>
      <c r="H2389" s="470">
        <v>2382</v>
      </c>
      <c r="I2389" s="455">
        <f t="shared" ca="1" si="130"/>
        <v>-8550440264.7387438</v>
      </c>
      <c r="J2389" s="455">
        <f t="array" ref="J2389">IFERROR(INDEX('Retirement Calculator'!K:K,MATCH('Lorri 401b'!N2389,'Retirement Calculator'!A:A,0),0),0)</f>
        <v>0</v>
      </c>
      <c r="K2389" s="455">
        <f t="shared" ca="1" si="128"/>
        <v>-35626834.436411433</v>
      </c>
      <c r="L2389" s="455">
        <f t="shared" ca="1" si="129"/>
        <v>-8586067099.1751556</v>
      </c>
      <c r="M2389" s="471">
        <f t="shared" si="131"/>
        <v>0.05</v>
      </c>
      <c r="N2389" s="475">
        <f t="shared" si="132"/>
        <v>123758</v>
      </c>
    </row>
    <row r="2390" spans="7:14" ht="11.25" customHeight="1" x14ac:dyDescent="0.3">
      <c r="G2390" s="470"/>
      <c r="H2390" s="470">
        <v>2383</v>
      </c>
      <c r="I2390" s="455">
        <f t="shared" ca="1" si="130"/>
        <v>-8586067099.1751556</v>
      </c>
      <c r="J2390" s="455">
        <f t="array" ref="J2390">IFERROR(INDEX('Retirement Calculator'!K:K,MATCH('Lorri 401b'!N2390,'Retirement Calculator'!A:A,0),0),0)</f>
        <v>0</v>
      </c>
      <c r="K2390" s="455">
        <f t="shared" ca="1" si="128"/>
        <v>-35775279.57989648</v>
      </c>
      <c r="L2390" s="455">
        <f t="shared" ca="1" si="129"/>
        <v>-8621842378.7550526</v>
      </c>
      <c r="M2390" s="471">
        <f t="shared" si="131"/>
        <v>0.05</v>
      </c>
      <c r="N2390" s="475">
        <f t="shared" si="132"/>
        <v>123788</v>
      </c>
    </row>
    <row r="2391" spans="7:14" ht="11.25" customHeight="1" x14ac:dyDescent="0.3">
      <c r="G2391" s="470"/>
      <c r="H2391" s="470">
        <v>2384</v>
      </c>
      <c r="I2391" s="455">
        <f t="shared" ca="1" si="130"/>
        <v>-8621842378.7550526</v>
      </c>
      <c r="J2391" s="455">
        <f t="array" ref="J2391">IFERROR(INDEX('Retirement Calculator'!K:K,MATCH('Lorri 401b'!N2391,'Retirement Calculator'!A:A,0),0),0)</f>
        <v>0</v>
      </c>
      <c r="K2391" s="455">
        <f t="shared" ca="1" si="128"/>
        <v>-35924343.24481272</v>
      </c>
      <c r="L2391" s="455">
        <f t="shared" ca="1" si="129"/>
        <v>-8657766721.9998646</v>
      </c>
      <c r="M2391" s="471">
        <f t="shared" si="131"/>
        <v>0.05</v>
      </c>
      <c r="N2391" s="475">
        <f t="shared" si="132"/>
        <v>123819</v>
      </c>
    </row>
    <row r="2392" spans="7:14" ht="11.25" customHeight="1" x14ac:dyDescent="0.3">
      <c r="G2392" s="470"/>
      <c r="H2392" s="470">
        <v>2385</v>
      </c>
      <c r="I2392" s="455">
        <f t="shared" ca="1" si="130"/>
        <v>-8657766721.9998646</v>
      </c>
      <c r="J2392" s="455">
        <f t="array" ref="J2392">IFERROR(INDEX('Retirement Calculator'!K:K,MATCH('Lorri 401b'!N2392,'Retirement Calculator'!A:A,0),0),0)</f>
        <v>0</v>
      </c>
      <c r="K2392" s="455">
        <f t="shared" ca="1" si="128"/>
        <v>-36074028.008332767</v>
      </c>
      <c r="L2392" s="455">
        <f t="shared" ca="1" si="129"/>
        <v>-8693840750.0081978</v>
      </c>
      <c r="M2392" s="471">
        <f t="shared" si="131"/>
        <v>0.05</v>
      </c>
      <c r="N2392" s="475">
        <f t="shared" si="132"/>
        <v>123850</v>
      </c>
    </row>
    <row r="2393" spans="7:14" ht="11.25" customHeight="1" x14ac:dyDescent="0.3">
      <c r="G2393" s="470"/>
      <c r="H2393" s="470">
        <v>2386</v>
      </c>
      <c r="I2393" s="455">
        <f t="shared" ca="1" si="130"/>
        <v>-8693840750.0081978</v>
      </c>
      <c r="J2393" s="455">
        <f t="array" ref="J2393">IFERROR(INDEX('Retirement Calculator'!K:K,MATCH('Lorri 401b'!N2393,'Retirement Calculator'!A:A,0),0),0)</f>
        <v>0</v>
      </c>
      <c r="K2393" s="455">
        <f t="shared" ca="1" si="128"/>
        <v>-36224336.458367489</v>
      </c>
      <c r="L2393" s="455">
        <f t="shared" ca="1" si="129"/>
        <v>-8730065086.4665661</v>
      </c>
      <c r="M2393" s="471">
        <f t="shared" si="131"/>
        <v>0.05</v>
      </c>
      <c r="N2393" s="475">
        <f t="shared" si="132"/>
        <v>123878</v>
      </c>
    </row>
    <row r="2394" spans="7:14" ht="11.25" customHeight="1" x14ac:dyDescent="0.3">
      <c r="G2394" s="470"/>
      <c r="H2394" s="470">
        <v>2387</v>
      </c>
      <c r="I2394" s="455">
        <f t="shared" ca="1" si="130"/>
        <v>-8730065086.4665661</v>
      </c>
      <c r="J2394" s="455">
        <f t="array" ref="J2394">IFERROR(INDEX('Retirement Calculator'!K:K,MATCH('Lorri 401b'!N2394,'Retirement Calculator'!A:A,0),0),0)</f>
        <v>0</v>
      </c>
      <c r="K2394" s="455">
        <f t="shared" ca="1" si="128"/>
        <v>-36375271.193610691</v>
      </c>
      <c r="L2394" s="455">
        <f t="shared" ca="1" si="129"/>
        <v>-8766440357.6601772</v>
      </c>
      <c r="M2394" s="471">
        <f t="shared" si="131"/>
        <v>0.05</v>
      </c>
      <c r="N2394" s="475">
        <f t="shared" si="132"/>
        <v>123909</v>
      </c>
    </row>
    <row r="2395" spans="7:14" ht="11.25" customHeight="1" x14ac:dyDescent="0.3">
      <c r="G2395" s="470"/>
      <c r="H2395" s="470">
        <v>2388</v>
      </c>
      <c r="I2395" s="455">
        <f t="shared" ca="1" si="130"/>
        <v>-8766440357.6601772</v>
      </c>
      <c r="J2395" s="455">
        <f t="array" ref="J2395">IFERROR(INDEX('Retirement Calculator'!K:K,MATCH('Lorri 401b'!N2395,'Retirement Calculator'!A:A,0),0),0)</f>
        <v>0</v>
      </c>
      <c r="K2395" s="455">
        <f t="shared" ca="1" si="128"/>
        <v>-36526834.823584072</v>
      </c>
      <c r="L2395" s="455">
        <f t="shared" ca="1" si="129"/>
        <v>-8802967192.4837608</v>
      </c>
      <c r="M2395" s="471">
        <f t="shared" si="131"/>
        <v>0.05</v>
      </c>
      <c r="N2395" s="475">
        <f t="shared" si="132"/>
        <v>123939</v>
      </c>
    </row>
    <row r="2396" spans="7:14" ht="11.25" customHeight="1" x14ac:dyDescent="0.3">
      <c r="G2396" s="470"/>
      <c r="H2396" s="470">
        <v>2389</v>
      </c>
      <c r="I2396" s="455">
        <f t="shared" ca="1" si="130"/>
        <v>-8802967192.4837608</v>
      </c>
      <c r="J2396" s="455">
        <f t="array" ref="J2396">IFERROR(INDEX('Retirement Calculator'!K:K,MATCH('Lorri 401b'!N2396,'Retirement Calculator'!A:A,0),0),0)</f>
        <v>0</v>
      </c>
      <c r="K2396" s="455">
        <f t="shared" ca="1" si="128"/>
        <v>-36679029.968682334</v>
      </c>
      <c r="L2396" s="455">
        <f t="shared" ca="1" si="129"/>
        <v>-8839646222.4524441</v>
      </c>
      <c r="M2396" s="471">
        <f t="shared" si="131"/>
        <v>0.05</v>
      </c>
      <c r="N2396" s="475">
        <f t="shared" si="132"/>
        <v>123970</v>
      </c>
    </row>
    <row r="2397" spans="7:14" ht="11.25" customHeight="1" x14ac:dyDescent="0.3">
      <c r="G2397" s="470"/>
      <c r="H2397" s="470">
        <v>2390</v>
      </c>
      <c r="I2397" s="455">
        <f t="shared" ca="1" si="130"/>
        <v>-8839646222.4524441</v>
      </c>
      <c r="J2397" s="455">
        <f t="array" ref="J2397">IFERROR(INDEX('Retirement Calculator'!K:K,MATCH('Lorri 401b'!N2397,'Retirement Calculator'!A:A,0),0),0)</f>
        <v>0</v>
      </c>
      <c r="K2397" s="455">
        <f t="shared" ca="1" si="128"/>
        <v>-36831859.260218516</v>
      </c>
      <c r="L2397" s="455">
        <f t="shared" ca="1" si="129"/>
        <v>-8876478081.7126617</v>
      </c>
      <c r="M2397" s="471">
        <f t="shared" si="131"/>
        <v>0.05</v>
      </c>
      <c r="N2397" s="475">
        <f t="shared" si="132"/>
        <v>124000</v>
      </c>
    </row>
    <row r="2398" spans="7:14" ht="11.25" customHeight="1" x14ac:dyDescent="0.3">
      <c r="G2398" s="470"/>
      <c r="H2398" s="470">
        <v>2391</v>
      </c>
      <c r="I2398" s="455">
        <f t="shared" ca="1" si="130"/>
        <v>-8876478081.7126617</v>
      </c>
      <c r="J2398" s="455">
        <f t="array" ref="J2398">IFERROR(INDEX('Retirement Calculator'!K:K,MATCH('Lorri 401b'!N2398,'Retirement Calculator'!A:A,0),0),0)</f>
        <v>0</v>
      </c>
      <c r="K2398" s="455">
        <f t="shared" ca="1" si="128"/>
        <v>-36985325.34046942</v>
      </c>
      <c r="L2398" s="455">
        <f t="shared" ca="1" si="129"/>
        <v>-8913463407.0531311</v>
      </c>
      <c r="M2398" s="471">
        <f t="shared" si="131"/>
        <v>0.05</v>
      </c>
      <c r="N2398" s="475">
        <f t="shared" si="132"/>
        <v>124031</v>
      </c>
    </row>
    <row r="2399" spans="7:14" ht="11.25" customHeight="1" x14ac:dyDescent="0.3">
      <c r="G2399" s="470"/>
      <c r="H2399" s="470">
        <v>2392</v>
      </c>
      <c r="I2399" s="455">
        <f t="shared" ca="1" si="130"/>
        <v>-8913463407.0531311</v>
      </c>
      <c r="J2399" s="455">
        <f t="array" ref="J2399">IFERROR(INDEX('Retirement Calculator'!K:K,MATCH('Lorri 401b'!N2399,'Retirement Calculator'!A:A,0),0),0)</f>
        <v>0</v>
      </c>
      <c r="K2399" s="455">
        <f t="shared" ca="1" si="128"/>
        <v>-37139430.862721376</v>
      </c>
      <c r="L2399" s="455">
        <f t="shared" ca="1" si="129"/>
        <v>-8950602837.9158516</v>
      </c>
      <c r="M2399" s="471">
        <f t="shared" si="131"/>
        <v>0.05</v>
      </c>
      <c r="N2399" s="475">
        <f t="shared" si="132"/>
        <v>124062</v>
      </c>
    </row>
    <row r="2400" spans="7:14" ht="11.25" customHeight="1" x14ac:dyDescent="0.3">
      <c r="G2400" s="470"/>
      <c r="H2400" s="470">
        <v>2393</v>
      </c>
      <c r="I2400" s="455">
        <f t="shared" ca="1" si="130"/>
        <v>-8950602837.9158516</v>
      </c>
      <c r="J2400" s="455">
        <f t="array" ref="J2400">IFERROR(INDEX('Retirement Calculator'!K:K,MATCH('Lorri 401b'!N2400,'Retirement Calculator'!A:A,0),0),0)</f>
        <v>0</v>
      </c>
      <c r="K2400" s="455">
        <f t="shared" ca="1" si="128"/>
        <v>-37294178.49131605</v>
      </c>
      <c r="L2400" s="455">
        <f t="shared" ca="1" si="129"/>
        <v>-8987897016.4071674</v>
      </c>
      <c r="M2400" s="471">
        <f t="shared" si="131"/>
        <v>0.05</v>
      </c>
      <c r="N2400" s="475">
        <f t="shared" si="132"/>
        <v>124092</v>
      </c>
    </row>
    <row r="2401" spans="7:14" ht="11.25" customHeight="1" x14ac:dyDescent="0.3">
      <c r="G2401" s="470"/>
      <c r="H2401" s="470">
        <v>2394</v>
      </c>
      <c r="I2401" s="455">
        <f t="shared" ca="1" si="130"/>
        <v>-8987897016.4071674</v>
      </c>
      <c r="J2401" s="455">
        <f t="array" ref="J2401">IFERROR(INDEX('Retirement Calculator'!K:K,MATCH('Lorri 401b'!N2401,'Retirement Calculator'!A:A,0),0),0)</f>
        <v>0</v>
      </c>
      <c r="K2401" s="455">
        <f t="shared" ca="1" si="128"/>
        <v>-37449570.901696533</v>
      </c>
      <c r="L2401" s="455">
        <f t="shared" ca="1" si="129"/>
        <v>-9025346587.3088646</v>
      </c>
      <c r="M2401" s="471">
        <f t="shared" si="131"/>
        <v>0.05</v>
      </c>
      <c r="N2401" s="475">
        <f t="shared" si="132"/>
        <v>124123</v>
      </c>
    </row>
    <row r="2402" spans="7:14" ht="11.25" customHeight="1" x14ac:dyDescent="0.3">
      <c r="G2402" s="470"/>
      <c r="H2402" s="470">
        <v>2395</v>
      </c>
      <c r="I2402" s="455">
        <f t="shared" ca="1" si="130"/>
        <v>-9025346587.3088646</v>
      </c>
      <c r="J2402" s="455">
        <f t="array" ref="J2402">IFERROR(INDEX('Retirement Calculator'!K:K,MATCH('Lorri 401b'!N2402,'Retirement Calculator'!A:A,0),0),0)</f>
        <v>0</v>
      </c>
      <c r="K2402" s="455">
        <f t="shared" ca="1" si="128"/>
        <v>-37605610.7804536</v>
      </c>
      <c r="L2402" s="455">
        <f t="shared" ca="1" si="129"/>
        <v>-9062952198.0893173</v>
      </c>
      <c r="M2402" s="471">
        <f t="shared" si="131"/>
        <v>0.05</v>
      </c>
      <c r="N2402" s="475">
        <f t="shared" si="132"/>
        <v>124153</v>
      </c>
    </row>
    <row r="2403" spans="7:14" ht="11.25" customHeight="1" x14ac:dyDescent="0.3">
      <c r="G2403" s="470"/>
      <c r="H2403" s="470">
        <v>2396</v>
      </c>
      <c r="I2403" s="455">
        <f t="shared" ca="1" si="130"/>
        <v>-9062952198.0893173</v>
      </c>
      <c r="J2403" s="455">
        <f t="array" ref="J2403">IFERROR(INDEX('Retirement Calculator'!K:K,MATCH('Lorri 401b'!N2403,'Retirement Calculator'!A:A,0),0),0)</f>
        <v>0</v>
      </c>
      <c r="K2403" s="455">
        <f t="shared" ca="1" si="128"/>
        <v>-37762300.825372152</v>
      </c>
      <c r="L2403" s="455">
        <f t="shared" ca="1" si="129"/>
        <v>-9100714498.91469</v>
      </c>
      <c r="M2403" s="471">
        <f t="shared" si="131"/>
        <v>0.05</v>
      </c>
      <c r="N2403" s="475">
        <f t="shared" si="132"/>
        <v>124184</v>
      </c>
    </row>
    <row r="2404" spans="7:14" ht="11.25" customHeight="1" x14ac:dyDescent="0.3">
      <c r="G2404" s="470"/>
      <c r="H2404" s="470">
        <v>2397</v>
      </c>
      <c r="I2404" s="455">
        <f t="shared" ca="1" si="130"/>
        <v>-9100714498.91469</v>
      </c>
      <c r="J2404" s="455">
        <f t="array" ref="J2404">IFERROR(INDEX('Retirement Calculator'!K:K,MATCH('Lorri 401b'!N2404,'Retirement Calculator'!A:A,0),0),0)</f>
        <v>0</v>
      </c>
      <c r="K2404" s="455">
        <f t="shared" ca="1" si="128"/>
        <v>-37919643.745477878</v>
      </c>
      <c r="L2404" s="455">
        <f t="shared" ca="1" si="129"/>
        <v>-9138634142.6601677</v>
      </c>
      <c r="M2404" s="471">
        <f t="shared" si="131"/>
        <v>0.05</v>
      </c>
      <c r="N2404" s="475">
        <f t="shared" si="132"/>
        <v>124215</v>
      </c>
    </row>
    <row r="2405" spans="7:14" ht="11.25" customHeight="1" x14ac:dyDescent="0.3">
      <c r="G2405" s="470"/>
      <c r="H2405" s="470">
        <v>2398</v>
      </c>
      <c r="I2405" s="455">
        <f t="shared" ca="1" si="130"/>
        <v>-9138634142.6601677</v>
      </c>
      <c r="J2405" s="455">
        <f t="array" ref="J2405">IFERROR(INDEX('Retirement Calculator'!K:K,MATCH('Lorri 401b'!N2405,'Retirement Calculator'!A:A,0),0),0)</f>
        <v>0</v>
      </c>
      <c r="K2405" s="455">
        <f t="shared" ca="1" si="128"/>
        <v>-38077642.261084035</v>
      </c>
      <c r="L2405" s="455">
        <f t="shared" ca="1" si="129"/>
        <v>-9176711784.9212513</v>
      </c>
      <c r="M2405" s="471">
        <f t="shared" si="131"/>
        <v>0.05</v>
      </c>
      <c r="N2405" s="475">
        <f t="shared" si="132"/>
        <v>124244</v>
      </c>
    </row>
    <row r="2406" spans="7:14" ht="11.25" customHeight="1" x14ac:dyDescent="0.3">
      <c r="G2406" s="470"/>
      <c r="H2406" s="470">
        <v>2399</v>
      </c>
      <c r="I2406" s="455">
        <f t="shared" ca="1" si="130"/>
        <v>-9176711784.9212513</v>
      </c>
      <c r="J2406" s="455">
        <f t="array" ref="J2406">IFERROR(INDEX('Retirement Calculator'!K:K,MATCH('Lorri 401b'!N2406,'Retirement Calculator'!A:A,0),0),0)</f>
        <v>0</v>
      </c>
      <c r="K2406" s="455">
        <f t="shared" ca="1" si="128"/>
        <v>-38236299.103838548</v>
      </c>
      <c r="L2406" s="455">
        <f t="shared" ca="1" si="129"/>
        <v>-9214948084.0250893</v>
      </c>
      <c r="M2406" s="471">
        <f t="shared" si="131"/>
        <v>0.05</v>
      </c>
      <c r="N2406" s="475">
        <f t="shared" si="132"/>
        <v>124275</v>
      </c>
    </row>
    <row r="2407" spans="7:14" ht="11.25" customHeight="1" x14ac:dyDescent="0.3">
      <c r="G2407" s="470"/>
      <c r="H2407" s="470">
        <v>2400</v>
      </c>
      <c r="I2407" s="455">
        <f t="shared" ca="1" si="130"/>
        <v>-9214948084.0250893</v>
      </c>
      <c r="J2407" s="455">
        <f t="array" ref="J2407">IFERROR(INDEX('Retirement Calculator'!K:K,MATCH('Lorri 401b'!N2407,'Retirement Calculator'!A:A,0),0),0)</f>
        <v>0</v>
      </c>
      <c r="K2407" s="455">
        <f t="shared" ca="1" si="128"/>
        <v>-38395617.016771205</v>
      </c>
      <c r="L2407" s="455">
        <f t="shared" ca="1" si="129"/>
        <v>-9253343701.0418606</v>
      </c>
      <c r="M2407" s="471">
        <f t="shared" si="131"/>
        <v>0.05</v>
      </c>
      <c r="N2407" s="475">
        <f t="shared" si="132"/>
        <v>124305</v>
      </c>
    </row>
    <row r="2408" spans="7:14" ht="11.25" customHeight="1" x14ac:dyDescent="0.3">
      <c r="G2408" s="470"/>
      <c r="H2408" s="470">
        <v>2401</v>
      </c>
      <c r="I2408" s="455">
        <f t="shared" ca="1" si="130"/>
        <v>-9253343701.0418606</v>
      </c>
      <c r="J2408" s="455">
        <f t="array" ref="J2408">IFERROR(INDEX('Retirement Calculator'!K:K,MATCH('Lorri 401b'!N2408,'Retirement Calculator'!A:A,0),0),0)</f>
        <v>0</v>
      </c>
      <c r="K2408" s="455">
        <f t="shared" ca="1" si="128"/>
        <v>-38555598.754341088</v>
      </c>
      <c r="L2408" s="455">
        <f t="shared" ca="1" si="129"/>
        <v>-9291899299.7962017</v>
      </c>
      <c r="M2408" s="471">
        <f t="shared" si="131"/>
        <v>0.05</v>
      </c>
      <c r="N2408" s="475">
        <f t="shared" si="132"/>
        <v>124336</v>
      </c>
    </row>
    <row r="2409" spans="7:14" ht="11.25" customHeight="1" x14ac:dyDescent="0.3">
      <c r="G2409" s="470"/>
      <c r="H2409" s="470">
        <v>2402</v>
      </c>
      <c r="I2409" s="455">
        <f t="shared" ca="1" si="130"/>
        <v>-9291899299.7962017</v>
      </c>
      <c r="J2409" s="455">
        <f t="array" ref="J2409">IFERROR(INDEX('Retirement Calculator'!K:K,MATCH('Lorri 401b'!N2409,'Retirement Calculator'!A:A,0),0),0)</f>
        <v>0</v>
      </c>
      <c r="K2409" s="455">
        <f t="shared" ca="1" si="128"/>
        <v>-38716247.082484171</v>
      </c>
      <c r="L2409" s="455">
        <f t="shared" ca="1" si="129"/>
        <v>-9330615546.878685</v>
      </c>
      <c r="M2409" s="471">
        <f t="shared" si="131"/>
        <v>0.05</v>
      </c>
      <c r="N2409" s="475">
        <f t="shared" si="132"/>
        <v>124366</v>
      </c>
    </row>
    <row r="2410" spans="7:14" ht="11.25" customHeight="1" x14ac:dyDescent="0.3">
      <c r="G2410" s="470"/>
      <c r="H2410" s="470">
        <v>2403</v>
      </c>
      <c r="I2410" s="455">
        <f t="shared" ca="1" si="130"/>
        <v>-9330615546.878685</v>
      </c>
      <c r="J2410" s="455">
        <f t="array" ref="J2410">IFERROR(INDEX('Retirement Calculator'!K:K,MATCH('Lorri 401b'!N2410,'Retirement Calculator'!A:A,0),0),0)</f>
        <v>0</v>
      </c>
      <c r="K2410" s="455">
        <f t="shared" ca="1" si="128"/>
        <v>-38877564.778661184</v>
      </c>
      <c r="L2410" s="455">
        <f t="shared" ca="1" si="129"/>
        <v>-9369493111.6573467</v>
      </c>
      <c r="M2410" s="471">
        <f t="shared" si="131"/>
        <v>0.05</v>
      </c>
      <c r="N2410" s="475">
        <f t="shared" si="132"/>
        <v>124397</v>
      </c>
    </row>
    <row r="2411" spans="7:14" ht="11.25" customHeight="1" x14ac:dyDescent="0.3">
      <c r="G2411" s="470"/>
      <c r="H2411" s="470">
        <v>2404</v>
      </c>
      <c r="I2411" s="455">
        <f t="shared" ca="1" si="130"/>
        <v>-9369493111.6573467</v>
      </c>
      <c r="J2411" s="455">
        <f t="array" ref="J2411">IFERROR(INDEX('Retirement Calculator'!K:K,MATCH('Lorri 401b'!N2411,'Retirement Calculator'!A:A,0),0),0)</f>
        <v>0</v>
      </c>
      <c r="K2411" s="455">
        <f t="shared" ca="1" si="128"/>
        <v>-39039554.631905608</v>
      </c>
      <c r="L2411" s="455">
        <f t="shared" ca="1" si="129"/>
        <v>-9408532666.2892532</v>
      </c>
      <c r="M2411" s="471">
        <f t="shared" si="131"/>
        <v>0.05</v>
      </c>
      <c r="N2411" s="475">
        <f t="shared" si="132"/>
        <v>124428</v>
      </c>
    </row>
    <row r="2412" spans="7:14" ht="11.25" customHeight="1" x14ac:dyDescent="0.3">
      <c r="G2412" s="470"/>
      <c r="H2412" s="470">
        <v>2405</v>
      </c>
      <c r="I2412" s="455">
        <f t="shared" ca="1" si="130"/>
        <v>-9408532666.2892532</v>
      </c>
      <c r="J2412" s="455">
        <f t="array" ref="J2412">IFERROR(INDEX('Retirement Calculator'!K:K,MATCH('Lorri 401b'!N2412,'Retirement Calculator'!A:A,0),0),0)</f>
        <v>0</v>
      </c>
      <c r="K2412" s="455">
        <f t="shared" ca="1" si="128"/>
        <v>-39202219.442871891</v>
      </c>
      <c r="L2412" s="455">
        <f t="shared" ca="1" si="129"/>
        <v>-9447734885.7321243</v>
      </c>
      <c r="M2412" s="471">
        <f t="shared" si="131"/>
        <v>0.05</v>
      </c>
      <c r="N2412" s="475">
        <f t="shared" si="132"/>
        <v>124458</v>
      </c>
    </row>
    <row r="2413" spans="7:14" ht="11.25" customHeight="1" x14ac:dyDescent="0.3">
      <c r="G2413" s="470"/>
      <c r="H2413" s="470">
        <v>2406</v>
      </c>
      <c r="I2413" s="455">
        <f t="shared" ca="1" si="130"/>
        <v>-9447734885.7321243</v>
      </c>
      <c r="J2413" s="455">
        <f t="array" ref="J2413">IFERROR(INDEX('Retirement Calculator'!K:K,MATCH('Lorri 401b'!N2413,'Retirement Calculator'!A:A,0),0),0)</f>
        <v>0</v>
      </c>
      <c r="K2413" s="455">
        <f t="shared" ca="1" si="128"/>
        <v>-39365562.023883849</v>
      </c>
      <c r="L2413" s="455">
        <f t="shared" ca="1" si="129"/>
        <v>-9487100447.7560081</v>
      </c>
      <c r="M2413" s="471">
        <f t="shared" si="131"/>
        <v>0.05</v>
      </c>
      <c r="N2413" s="475">
        <f t="shared" si="132"/>
        <v>124489</v>
      </c>
    </row>
    <row r="2414" spans="7:14" ht="11.25" customHeight="1" x14ac:dyDescent="0.3">
      <c r="G2414" s="470"/>
      <c r="H2414" s="470">
        <v>2407</v>
      </c>
      <c r="I2414" s="455">
        <f t="shared" ca="1" si="130"/>
        <v>-9487100447.7560081</v>
      </c>
      <c r="J2414" s="455">
        <f t="array" ref="J2414">IFERROR(INDEX('Retirement Calculator'!K:K,MATCH('Lorri 401b'!N2414,'Retirement Calculator'!A:A,0),0),0)</f>
        <v>0</v>
      </c>
      <c r="K2414" s="455">
        <f t="shared" ca="1" si="128"/>
        <v>-39529585.198983364</v>
      </c>
      <c r="L2414" s="455">
        <f t="shared" ca="1" si="129"/>
        <v>-9526630032.9549923</v>
      </c>
      <c r="M2414" s="471">
        <f t="shared" si="131"/>
        <v>0.05</v>
      </c>
      <c r="N2414" s="475">
        <f t="shared" si="132"/>
        <v>124519</v>
      </c>
    </row>
    <row r="2415" spans="7:14" ht="11.25" customHeight="1" x14ac:dyDescent="0.3">
      <c r="G2415" s="470"/>
      <c r="H2415" s="470">
        <v>2408</v>
      </c>
      <c r="I2415" s="455">
        <f t="shared" ca="1" si="130"/>
        <v>-9526630032.9549923</v>
      </c>
      <c r="J2415" s="455">
        <f t="array" ref="J2415">IFERROR(INDEX('Retirement Calculator'!K:K,MATCH('Lorri 401b'!N2415,'Retirement Calculator'!A:A,0),0),0)</f>
        <v>0</v>
      </c>
      <c r="K2415" s="455">
        <f t="shared" ca="1" si="128"/>
        <v>-39694291.803979136</v>
      </c>
      <c r="L2415" s="455">
        <f t="shared" ca="1" si="129"/>
        <v>-9566324324.7589722</v>
      </c>
      <c r="M2415" s="471">
        <f t="shared" si="131"/>
        <v>0.05</v>
      </c>
      <c r="N2415" s="475">
        <f t="shared" si="132"/>
        <v>124550</v>
      </c>
    </row>
    <row r="2416" spans="7:14" ht="11.25" customHeight="1" x14ac:dyDescent="0.3">
      <c r="G2416" s="470"/>
      <c r="H2416" s="470">
        <v>2409</v>
      </c>
      <c r="I2416" s="455">
        <f t="shared" ca="1" si="130"/>
        <v>-9566324324.7589722</v>
      </c>
      <c r="J2416" s="455">
        <f t="array" ref="J2416">IFERROR(INDEX('Retirement Calculator'!K:K,MATCH('Lorri 401b'!N2416,'Retirement Calculator'!A:A,0),0),0)</f>
        <v>0</v>
      </c>
      <c r="K2416" s="455">
        <f t="shared" ca="1" si="128"/>
        <v>-39859684.686495714</v>
      </c>
      <c r="L2416" s="455">
        <f t="shared" ca="1" si="129"/>
        <v>-9606184009.445467</v>
      </c>
      <c r="M2416" s="471">
        <f t="shared" si="131"/>
        <v>0.05</v>
      </c>
      <c r="N2416" s="475">
        <f t="shared" si="132"/>
        <v>124581</v>
      </c>
    </row>
    <row r="2417" spans="7:14" ht="11.25" customHeight="1" x14ac:dyDescent="0.3">
      <c r="G2417" s="470"/>
      <c r="H2417" s="470">
        <v>2410</v>
      </c>
      <c r="I2417" s="455">
        <f t="shared" ca="1" si="130"/>
        <v>-9606184009.445467</v>
      </c>
      <c r="J2417" s="455">
        <f t="array" ref="J2417">IFERROR(INDEX('Retirement Calculator'!K:K,MATCH('Lorri 401b'!N2417,'Retirement Calculator'!A:A,0),0),0)</f>
        <v>0</v>
      </c>
      <c r="K2417" s="455">
        <f t="shared" ca="1" si="128"/>
        <v>-40025766.706022777</v>
      </c>
      <c r="L2417" s="455">
        <f t="shared" ca="1" si="129"/>
        <v>-9646209776.1514893</v>
      </c>
      <c r="M2417" s="471">
        <f t="shared" si="131"/>
        <v>0.05</v>
      </c>
      <c r="N2417" s="475">
        <f t="shared" si="132"/>
        <v>124609</v>
      </c>
    </row>
    <row r="2418" spans="7:14" ht="11.25" customHeight="1" x14ac:dyDescent="0.3">
      <c r="G2418" s="470"/>
      <c r="H2418" s="470">
        <v>2411</v>
      </c>
      <c r="I2418" s="455">
        <f t="shared" ca="1" si="130"/>
        <v>-9646209776.1514893</v>
      </c>
      <c r="J2418" s="455">
        <f t="array" ref="J2418">IFERROR(INDEX('Retirement Calculator'!K:K,MATCH('Lorri 401b'!N2418,'Retirement Calculator'!A:A,0),0),0)</f>
        <v>0</v>
      </c>
      <c r="K2418" s="455">
        <f t="shared" ca="1" si="128"/>
        <v>-40192540.73396454</v>
      </c>
      <c r="L2418" s="455">
        <f t="shared" ca="1" si="129"/>
        <v>-9686402316.8854542</v>
      </c>
      <c r="M2418" s="471">
        <f t="shared" si="131"/>
        <v>0.05</v>
      </c>
      <c r="N2418" s="475">
        <f t="shared" si="132"/>
        <v>124640</v>
      </c>
    </row>
    <row r="2419" spans="7:14" ht="11.25" customHeight="1" x14ac:dyDescent="0.3">
      <c r="G2419" s="470"/>
      <c r="H2419" s="470">
        <v>2412</v>
      </c>
      <c r="I2419" s="455">
        <f t="shared" ca="1" si="130"/>
        <v>-9686402316.8854542</v>
      </c>
      <c r="J2419" s="455">
        <f t="array" ref="J2419">IFERROR(INDEX('Retirement Calculator'!K:K,MATCH('Lorri 401b'!N2419,'Retirement Calculator'!A:A,0),0),0)</f>
        <v>0</v>
      </c>
      <c r="K2419" s="455">
        <f t="shared" ca="1" si="128"/>
        <v>-40360009.653689392</v>
      </c>
      <c r="L2419" s="455">
        <f t="shared" ca="1" si="129"/>
        <v>-9726762326.5391445</v>
      </c>
      <c r="M2419" s="471">
        <f t="shared" si="131"/>
        <v>0.05</v>
      </c>
      <c r="N2419" s="475">
        <f t="shared" si="132"/>
        <v>124670</v>
      </c>
    </row>
    <row r="2420" spans="7:14" ht="11.25" customHeight="1" x14ac:dyDescent="0.3">
      <c r="G2420" s="470"/>
      <c r="H2420" s="470">
        <v>2413</v>
      </c>
      <c r="I2420" s="455">
        <f t="shared" ca="1" si="130"/>
        <v>-9726762326.5391445</v>
      </c>
      <c r="J2420" s="455">
        <f t="array" ref="J2420">IFERROR(INDEX('Retirement Calculator'!K:K,MATCH('Lorri 401b'!N2420,'Retirement Calculator'!A:A,0),0),0)</f>
        <v>0</v>
      </c>
      <c r="K2420" s="455">
        <f t="shared" ca="1" si="128"/>
        <v>-40528176.360579766</v>
      </c>
      <c r="L2420" s="455">
        <f t="shared" ca="1" si="129"/>
        <v>-9767290502.899725</v>
      </c>
      <c r="M2420" s="471">
        <f t="shared" si="131"/>
        <v>0.05</v>
      </c>
      <c r="N2420" s="475">
        <f t="shared" si="132"/>
        <v>124701</v>
      </c>
    </row>
    <row r="2421" spans="7:14" ht="11.25" customHeight="1" x14ac:dyDescent="0.3">
      <c r="G2421" s="470"/>
      <c r="H2421" s="470">
        <v>2414</v>
      </c>
      <c r="I2421" s="455">
        <f t="shared" ca="1" si="130"/>
        <v>-9767290502.899725</v>
      </c>
      <c r="J2421" s="455">
        <f t="array" ref="J2421">IFERROR(INDEX('Retirement Calculator'!K:K,MATCH('Lorri 401b'!N2421,'Retirement Calculator'!A:A,0),0),0)</f>
        <v>0</v>
      </c>
      <c r="K2421" s="455">
        <f t="shared" ca="1" si="128"/>
        <v>-40697043.762082189</v>
      </c>
      <c r="L2421" s="455">
        <f t="shared" ca="1" si="129"/>
        <v>-9807987546.661808</v>
      </c>
      <c r="M2421" s="471">
        <f t="shared" si="131"/>
        <v>0.05</v>
      </c>
      <c r="N2421" s="475">
        <f t="shared" si="132"/>
        <v>124731</v>
      </c>
    </row>
    <row r="2422" spans="7:14" ht="11.25" customHeight="1" x14ac:dyDescent="0.3">
      <c r="G2422" s="470"/>
      <c r="H2422" s="470">
        <v>2415</v>
      </c>
      <c r="I2422" s="455">
        <f t="shared" ca="1" si="130"/>
        <v>-9807987546.661808</v>
      </c>
      <c r="J2422" s="455">
        <f t="array" ref="J2422">IFERROR(INDEX('Retirement Calculator'!K:K,MATCH('Lorri 401b'!N2422,'Retirement Calculator'!A:A,0),0),0)</f>
        <v>0</v>
      </c>
      <c r="K2422" s="455">
        <f t="shared" ca="1" si="128"/>
        <v>-40866614.777757533</v>
      </c>
      <c r="L2422" s="455">
        <f t="shared" ca="1" si="129"/>
        <v>-9848854161.4395657</v>
      </c>
      <c r="M2422" s="471">
        <f t="shared" si="131"/>
        <v>0.05</v>
      </c>
      <c r="N2422" s="475">
        <f t="shared" si="132"/>
        <v>124762</v>
      </c>
    </row>
    <row r="2423" spans="7:14" ht="11.25" customHeight="1" x14ac:dyDescent="0.3">
      <c r="G2423" s="470"/>
      <c r="H2423" s="470">
        <v>2416</v>
      </c>
      <c r="I2423" s="455">
        <f t="shared" ca="1" si="130"/>
        <v>-9848854161.4395657</v>
      </c>
      <c r="J2423" s="455">
        <f t="array" ref="J2423">IFERROR(INDEX('Retirement Calculator'!K:K,MATCH('Lorri 401b'!N2423,'Retirement Calculator'!A:A,0),0),0)</f>
        <v>0</v>
      </c>
      <c r="K2423" s="455">
        <f t="shared" ca="1" si="128"/>
        <v>-41036892.339331523</v>
      </c>
      <c r="L2423" s="455">
        <f t="shared" ca="1" si="129"/>
        <v>-9889891053.7788963</v>
      </c>
      <c r="M2423" s="471">
        <f t="shared" si="131"/>
        <v>0.05</v>
      </c>
      <c r="N2423" s="475">
        <f t="shared" si="132"/>
        <v>124793</v>
      </c>
    </row>
    <row r="2424" spans="7:14" ht="11.25" customHeight="1" x14ac:dyDescent="0.3">
      <c r="G2424" s="470"/>
      <c r="H2424" s="470">
        <v>2417</v>
      </c>
      <c r="I2424" s="455">
        <f t="shared" ca="1" si="130"/>
        <v>-9889891053.7788963</v>
      </c>
      <c r="J2424" s="455">
        <f t="array" ref="J2424">IFERROR(INDEX('Retirement Calculator'!K:K,MATCH('Lorri 401b'!N2424,'Retirement Calculator'!A:A,0),0),0)</f>
        <v>0</v>
      </c>
      <c r="K2424" s="455">
        <f t="shared" ca="1" si="128"/>
        <v>-41207879.390745401</v>
      </c>
      <c r="L2424" s="455">
        <f t="shared" ca="1" si="129"/>
        <v>-9931098933.1696415</v>
      </c>
      <c r="M2424" s="471">
        <f t="shared" si="131"/>
        <v>0.05</v>
      </c>
      <c r="N2424" s="475">
        <f t="shared" si="132"/>
        <v>124823</v>
      </c>
    </row>
    <row r="2425" spans="7:14" ht="11.25" customHeight="1" x14ac:dyDescent="0.3">
      <c r="G2425" s="470"/>
      <c r="H2425" s="470">
        <v>2418</v>
      </c>
      <c r="I2425" s="455">
        <f t="shared" ca="1" si="130"/>
        <v>-9931098933.1696415</v>
      </c>
      <c r="J2425" s="455">
        <f t="array" ref="J2425">IFERROR(INDEX('Retirement Calculator'!K:K,MATCH('Lorri 401b'!N2425,'Retirement Calculator'!A:A,0),0),0)</f>
        <v>0</v>
      </c>
      <c r="K2425" s="455">
        <f t="shared" ca="1" si="128"/>
        <v>-41379578.88820684</v>
      </c>
      <c r="L2425" s="455">
        <f t="shared" ca="1" si="129"/>
        <v>-9972478512.057848</v>
      </c>
      <c r="M2425" s="471">
        <f t="shared" si="131"/>
        <v>0.05</v>
      </c>
      <c r="N2425" s="475">
        <f t="shared" si="132"/>
        <v>124854</v>
      </c>
    </row>
    <row r="2426" spans="7:14" ht="11.25" customHeight="1" x14ac:dyDescent="0.3">
      <c r="G2426" s="470"/>
      <c r="H2426" s="470">
        <v>2419</v>
      </c>
      <c r="I2426" s="455">
        <f t="shared" ca="1" si="130"/>
        <v>-9972478512.057848</v>
      </c>
      <c r="J2426" s="455">
        <f t="array" ref="J2426">IFERROR(INDEX('Retirement Calculator'!K:K,MATCH('Lorri 401b'!N2426,'Retirement Calculator'!A:A,0),0),0)</f>
        <v>0</v>
      </c>
      <c r="K2426" s="455">
        <f t="shared" ca="1" si="128"/>
        <v>-41551993.800241031</v>
      </c>
      <c r="L2426" s="455">
        <f t="shared" ca="1" si="129"/>
        <v>-10014030505.858089</v>
      </c>
      <c r="M2426" s="471">
        <f t="shared" si="131"/>
        <v>0.05</v>
      </c>
      <c r="N2426" s="475">
        <f t="shared" si="132"/>
        <v>124884</v>
      </c>
    </row>
    <row r="2427" spans="7:14" ht="11.25" customHeight="1" x14ac:dyDescent="0.3">
      <c r="G2427" s="470"/>
      <c r="H2427" s="470">
        <v>2420</v>
      </c>
      <c r="I2427" s="455">
        <f t="shared" ca="1" si="130"/>
        <v>-10014030505.858089</v>
      </c>
      <c r="J2427" s="455">
        <f t="array" ref="J2427">IFERROR(INDEX('Retirement Calculator'!K:K,MATCH('Lorri 401b'!N2427,'Retirement Calculator'!A:A,0),0),0)</f>
        <v>0</v>
      </c>
      <c r="K2427" s="455">
        <f t="shared" ca="1" si="128"/>
        <v>-41725127.107742041</v>
      </c>
      <c r="L2427" s="455">
        <f t="shared" ca="1" si="129"/>
        <v>-10055755632.965832</v>
      </c>
      <c r="M2427" s="471">
        <f t="shared" si="131"/>
        <v>0.05</v>
      </c>
      <c r="N2427" s="475">
        <f t="shared" si="132"/>
        <v>124915</v>
      </c>
    </row>
    <row r="2428" spans="7:14" ht="11.25" customHeight="1" x14ac:dyDescent="0.3">
      <c r="G2428" s="470"/>
      <c r="H2428" s="470">
        <v>2421</v>
      </c>
      <c r="I2428" s="455">
        <f t="shared" ca="1" si="130"/>
        <v>-10055755632.965832</v>
      </c>
      <c r="J2428" s="455">
        <f t="array" ref="J2428">IFERROR(INDEX('Retirement Calculator'!K:K,MATCH('Lorri 401b'!N2428,'Retirement Calculator'!A:A,0),0),0)</f>
        <v>0</v>
      </c>
      <c r="K2428" s="455">
        <f t="shared" ca="1" si="128"/>
        <v>-41898981.804024301</v>
      </c>
      <c r="L2428" s="455">
        <f t="shared" ca="1" si="129"/>
        <v>-10097654614.769855</v>
      </c>
      <c r="M2428" s="471">
        <f t="shared" si="131"/>
        <v>0.05</v>
      </c>
      <c r="N2428" s="475">
        <f t="shared" si="132"/>
        <v>124946</v>
      </c>
    </row>
    <row r="2429" spans="7:14" ht="11.25" customHeight="1" x14ac:dyDescent="0.3">
      <c r="G2429" s="470"/>
      <c r="H2429" s="470">
        <v>2422</v>
      </c>
      <c r="I2429" s="455">
        <f t="shared" ca="1" si="130"/>
        <v>-10097654614.769855</v>
      </c>
      <c r="J2429" s="455">
        <f t="array" ref="J2429">IFERROR(INDEX('Retirement Calculator'!K:K,MATCH('Lorri 401b'!N2429,'Retirement Calculator'!A:A,0),0),0)</f>
        <v>0</v>
      </c>
      <c r="K2429" s="455">
        <f t="shared" ca="1" si="128"/>
        <v>-42073560.894874394</v>
      </c>
      <c r="L2429" s="455">
        <f t="shared" ca="1" si="129"/>
        <v>-10139728175.66473</v>
      </c>
      <c r="M2429" s="471">
        <f t="shared" si="131"/>
        <v>0.05</v>
      </c>
      <c r="N2429" s="475">
        <f t="shared" si="132"/>
        <v>124974</v>
      </c>
    </row>
    <row r="2430" spans="7:14" ht="11.25" customHeight="1" x14ac:dyDescent="0.3">
      <c r="G2430" s="470"/>
      <c r="H2430" s="470">
        <v>2423</v>
      </c>
      <c r="I2430" s="455">
        <f t="shared" ca="1" si="130"/>
        <v>-10139728175.66473</v>
      </c>
      <c r="J2430" s="455">
        <f t="array" ref="J2430">IFERROR(INDEX('Retirement Calculator'!K:K,MATCH('Lorri 401b'!N2430,'Retirement Calculator'!A:A,0),0),0)</f>
        <v>0</v>
      </c>
      <c r="K2430" s="455">
        <f t="shared" ca="1" si="128"/>
        <v>-42248867.398603044</v>
      </c>
      <c r="L2430" s="455">
        <f t="shared" ca="1" si="129"/>
        <v>-10181977043.063334</v>
      </c>
      <c r="M2430" s="471">
        <f t="shared" si="131"/>
        <v>0.05</v>
      </c>
      <c r="N2430" s="475">
        <f t="shared" si="132"/>
        <v>125005</v>
      </c>
    </row>
    <row r="2431" spans="7:14" ht="11.25" customHeight="1" x14ac:dyDescent="0.3">
      <c r="G2431" s="470"/>
      <c r="H2431" s="470">
        <v>2424</v>
      </c>
      <c r="I2431" s="455">
        <f t="shared" ca="1" si="130"/>
        <v>-10181977043.063334</v>
      </c>
      <c r="J2431" s="455">
        <f t="array" ref="J2431">IFERROR(INDEX('Retirement Calculator'!K:K,MATCH('Lorri 401b'!N2431,'Retirement Calculator'!A:A,0),0),0)</f>
        <v>0</v>
      </c>
      <c r="K2431" s="455">
        <f t="shared" ca="1" si="128"/>
        <v>-42424904.346097223</v>
      </c>
      <c r="L2431" s="455">
        <f t="shared" ca="1" si="129"/>
        <v>-10224401947.409431</v>
      </c>
      <c r="M2431" s="471">
        <f t="shared" si="131"/>
        <v>0.05</v>
      </c>
      <c r="N2431" s="475">
        <f t="shared" si="132"/>
        <v>125035</v>
      </c>
    </row>
    <row r="2432" spans="7:14" ht="11.25" customHeight="1" x14ac:dyDescent="0.3">
      <c r="G2432" s="470"/>
      <c r="H2432" s="470">
        <v>2425</v>
      </c>
      <c r="I2432" s="455">
        <f t="shared" ca="1" si="130"/>
        <v>-10224401947.409431</v>
      </c>
      <c r="J2432" s="455">
        <f t="array" ref="J2432">IFERROR(INDEX('Retirement Calculator'!K:K,MATCH('Lorri 401b'!N2432,'Retirement Calculator'!A:A,0),0),0)</f>
        <v>0</v>
      </c>
      <c r="K2432" s="455">
        <f t="shared" ca="1" si="128"/>
        <v>-42601674.780872628</v>
      </c>
      <c r="L2432" s="455">
        <f t="shared" ca="1" si="129"/>
        <v>-10267003622.190304</v>
      </c>
      <c r="M2432" s="471">
        <f t="shared" si="131"/>
        <v>0.05</v>
      </c>
      <c r="N2432" s="475">
        <f t="shared" si="132"/>
        <v>125066</v>
      </c>
    </row>
    <row r="2433" spans="7:14" ht="11.25" customHeight="1" x14ac:dyDescent="0.3">
      <c r="G2433" s="470"/>
      <c r="H2433" s="470">
        <v>2426</v>
      </c>
      <c r="I2433" s="455">
        <f t="shared" ca="1" si="130"/>
        <v>-10267003622.190304</v>
      </c>
      <c r="J2433" s="455">
        <f t="array" ref="J2433">IFERROR(INDEX('Retirement Calculator'!K:K,MATCH('Lorri 401b'!N2433,'Retirement Calculator'!A:A,0),0),0)</f>
        <v>0</v>
      </c>
      <c r="K2433" s="455">
        <f t="shared" ca="1" si="128"/>
        <v>-42779181.759126268</v>
      </c>
      <c r="L2433" s="455">
        <f t="shared" ca="1" si="129"/>
        <v>-10309782803.94943</v>
      </c>
      <c r="M2433" s="471">
        <f t="shared" si="131"/>
        <v>0.05</v>
      </c>
      <c r="N2433" s="475">
        <f t="shared" si="132"/>
        <v>125096</v>
      </c>
    </row>
    <row r="2434" spans="7:14" ht="11.25" customHeight="1" x14ac:dyDescent="0.3">
      <c r="G2434" s="470"/>
      <c r="H2434" s="470">
        <v>2427</v>
      </c>
      <c r="I2434" s="455">
        <f t="shared" ca="1" si="130"/>
        <v>-10309782803.94943</v>
      </c>
      <c r="J2434" s="455">
        <f t="array" ref="J2434">IFERROR(INDEX('Retirement Calculator'!K:K,MATCH('Lorri 401b'!N2434,'Retirement Calculator'!A:A,0),0),0)</f>
        <v>0</v>
      </c>
      <c r="K2434" s="455">
        <f t="shared" ca="1" si="128"/>
        <v>-42957428.349789292</v>
      </c>
      <c r="L2434" s="455">
        <f t="shared" ca="1" si="129"/>
        <v>-10352740232.299219</v>
      </c>
      <c r="M2434" s="471">
        <f t="shared" si="131"/>
        <v>0.05</v>
      </c>
      <c r="N2434" s="475">
        <f t="shared" si="132"/>
        <v>125127</v>
      </c>
    </row>
    <row r="2435" spans="7:14" ht="11.25" customHeight="1" x14ac:dyDescent="0.3">
      <c r="G2435" s="470"/>
      <c r="H2435" s="470">
        <v>2428</v>
      </c>
      <c r="I2435" s="455">
        <f t="shared" ca="1" si="130"/>
        <v>-10352740232.299219</v>
      </c>
      <c r="J2435" s="455">
        <f t="array" ref="J2435">IFERROR(INDEX('Retirement Calculator'!K:K,MATCH('Lorri 401b'!N2435,'Retirement Calculator'!A:A,0),0),0)</f>
        <v>0</v>
      </c>
      <c r="K2435" s="455">
        <f t="shared" ca="1" si="128"/>
        <v>-43136417.634580076</v>
      </c>
      <c r="L2435" s="455">
        <f t="shared" ca="1" si="129"/>
        <v>-10395876649.9338</v>
      </c>
      <c r="M2435" s="471">
        <f t="shared" si="131"/>
        <v>0.05</v>
      </c>
      <c r="N2435" s="475">
        <f t="shared" si="132"/>
        <v>125158</v>
      </c>
    </row>
    <row r="2436" spans="7:14" ht="11.25" customHeight="1" x14ac:dyDescent="0.3">
      <c r="G2436" s="470"/>
      <c r="H2436" s="470">
        <v>2429</v>
      </c>
      <c r="I2436" s="455">
        <f t="shared" ca="1" si="130"/>
        <v>-10395876649.9338</v>
      </c>
      <c r="J2436" s="455">
        <f t="array" ref="J2436">IFERROR(INDEX('Retirement Calculator'!K:K,MATCH('Lorri 401b'!N2436,'Retirement Calculator'!A:A,0),0),0)</f>
        <v>0</v>
      </c>
      <c r="K2436" s="455">
        <f t="shared" ca="1" si="128"/>
        <v>-43316152.7080575</v>
      </c>
      <c r="L2436" s="455">
        <f t="shared" ca="1" si="129"/>
        <v>-10439192802.641857</v>
      </c>
      <c r="M2436" s="471">
        <f t="shared" si="131"/>
        <v>0.05</v>
      </c>
      <c r="N2436" s="475">
        <f t="shared" si="132"/>
        <v>125188</v>
      </c>
    </row>
    <row r="2437" spans="7:14" ht="11.25" customHeight="1" x14ac:dyDescent="0.3">
      <c r="G2437" s="470"/>
      <c r="H2437" s="470">
        <v>2430</v>
      </c>
      <c r="I2437" s="455">
        <f t="shared" ca="1" si="130"/>
        <v>-10439192802.641857</v>
      </c>
      <c r="J2437" s="455">
        <f t="array" ref="J2437">IFERROR(INDEX('Retirement Calculator'!K:K,MATCH('Lorri 401b'!N2437,'Retirement Calculator'!A:A,0),0),0)</f>
        <v>0</v>
      </c>
      <c r="K2437" s="455">
        <f t="shared" ca="1" si="128"/>
        <v>-43496636.677674405</v>
      </c>
      <c r="L2437" s="455">
        <f t="shared" ca="1" si="129"/>
        <v>-10482689439.319532</v>
      </c>
      <c r="M2437" s="471">
        <f t="shared" si="131"/>
        <v>0.05</v>
      </c>
      <c r="N2437" s="475">
        <f t="shared" si="132"/>
        <v>125219</v>
      </c>
    </row>
    <row r="2438" spans="7:14" ht="11.25" customHeight="1" x14ac:dyDescent="0.3">
      <c r="G2438" s="470"/>
      <c r="H2438" s="470">
        <v>2431</v>
      </c>
      <c r="I2438" s="455">
        <f t="shared" ca="1" si="130"/>
        <v>-10482689439.319532</v>
      </c>
      <c r="J2438" s="455">
        <f t="array" ref="J2438">IFERROR(INDEX('Retirement Calculator'!K:K,MATCH('Lorri 401b'!N2438,'Retirement Calculator'!A:A,0),0),0)</f>
        <v>0</v>
      </c>
      <c r="K2438" s="455">
        <f t="shared" ca="1" si="128"/>
        <v>-43677872.663831383</v>
      </c>
      <c r="L2438" s="455">
        <f t="shared" ca="1" si="129"/>
        <v>-10526367311.983364</v>
      </c>
      <c r="M2438" s="471">
        <f t="shared" si="131"/>
        <v>0.05</v>
      </c>
      <c r="N2438" s="475">
        <f t="shared" si="132"/>
        <v>125249</v>
      </c>
    </row>
    <row r="2439" spans="7:14" ht="11.25" customHeight="1" x14ac:dyDescent="0.3">
      <c r="G2439" s="470"/>
      <c r="H2439" s="470">
        <v>2432</v>
      </c>
      <c r="I2439" s="455">
        <f t="shared" ca="1" si="130"/>
        <v>-10526367311.983364</v>
      </c>
      <c r="J2439" s="455">
        <f t="array" ref="J2439">IFERROR(INDEX('Retirement Calculator'!K:K,MATCH('Lorri 401b'!N2439,'Retirement Calculator'!A:A,0),0),0)</f>
        <v>0</v>
      </c>
      <c r="K2439" s="455">
        <f t="shared" ca="1" si="128"/>
        <v>-43859863.799930684</v>
      </c>
      <c r="L2439" s="455">
        <f t="shared" ca="1" si="129"/>
        <v>-10570227175.783295</v>
      </c>
      <c r="M2439" s="471">
        <f t="shared" si="131"/>
        <v>0.05</v>
      </c>
      <c r="N2439" s="475">
        <f t="shared" si="132"/>
        <v>125280</v>
      </c>
    </row>
    <row r="2440" spans="7:14" ht="11.25" customHeight="1" x14ac:dyDescent="0.3">
      <c r="G2440" s="470"/>
      <c r="H2440" s="470">
        <v>2433</v>
      </c>
      <c r="I2440" s="455">
        <f t="shared" ca="1" si="130"/>
        <v>-10570227175.783295</v>
      </c>
      <c r="J2440" s="455">
        <f t="array" ref="J2440">IFERROR(INDEX('Retirement Calculator'!K:K,MATCH('Lorri 401b'!N2440,'Retirement Calculator'!A:A,0),0),0)</f>
        <v>0</v>
      </c>
      <c r="K2440" s="455">
        <f t="shared" ca="1" si="128"/>
        <v>-44042613.232430391</v>
      </c>
      <c r="L2440" s="455">
        <f t="shared" ca="1" si="129"/>
        <v>-10614269789.015724</v>
      </c>
      <c r="M2440" s="471">
        <f t="shared" si="131"/>
        <v>0.05</v>
      </c>
      <c r="N2440" s="475">
        <f t="shared" si="132"/>
        <v>125311</v>
      </c>
    </row>
    <row r="2441" spans="7:14" ht="11.25" customHeight="1" x14ac:dyDescent="0.3">
      <c r="G2441" s="470"/>
      <c r="H2441" s="470">
        <v>2434</v>
      </c>
      <c r="I2441" s="455">
        <f t="shared" ca="1" si="130"/>
        <v>-10614269789.015724</v>
      </c>
      <c r="J2441" s="455">
        <f t="array" ref="J2441">IFERROR(INDEX('Retirement Calculator'!K:K,MATCH('Lorri 401b'!N2441,'Retirement Calculator'!A:A,0),0),0)</f>
        <v>0</v>
      </c>
      <c r="K2441" s="455">
        <f t="shared" ca="1" si="128"/>
        <v>-44226124.12089885</v>
      </c>
      <c r="L2441" s="455">
        <f t="shared" ca="1" si="129"/>
        <v>-10658495913.136623</v>
      </c>
      <c r="M2441" s="471">
        <f t="shared" si="131"/>
        <v>0.05</v>
      </c>
      <c r="N2441" s="475">
        <f t="shared" si="132"/>
        <v>125339</v>
      </c>
    </row>
    <row r="2442" spans="7:14" ht="11.25" customHeight="1" x14ac:dyDescent="0.3">
      <c r="G2442" s="470"/>
      <c r="H2442" s="470">
        <v>2435</v>
      </c>
      <c r="I2442" s="455">
        <f t="shared" ca="1" si="130"/>
        <v>-10658495913.136623</v>
      </c>
      <c r="J2442" s="455">
        <f t="array" ref="J2442">IFERROR(INDEX('Retirement Calculator'!K:K,MATCH('Lorri 401b'!N2442,'Retirement Calculator'!A:A,0),0),0)</f>
        <v>0</v>
      </c>
      <c r="K2442" s="455">
        <f t="shared" ca="1" si="128"/>
        <v>-44410399.638069265</v>
      </c>
      <c r="L2442" s="455">
        <f t="shared" ca="1" si="129"/>
        <v>-10702906312.774693</v>
      </c>
      <c r="M2442" s="471">
        <f t="shared" si="131"/>
        <v>0.05</v>
      </c>
      <c r="N2442" s="475">
        <f t="shared" si="132"/>
        <v>125370</v>
      </c>
    </row>
    <row r="2443" spans="7:14" ht="11.25" customHeight="1" x14ac:dyDescent="0.3">
      <c r="G2443" s="470"/>
      <c r="H2443" s="470">
        <v>2436</v>
      </c>
      <c r="I2443" s="455">
        <f t="shared" ca="1" si="130"/>
        <v>-10702906312.774693</v>
      </c>
      <c r="J2443" s="455">
        <f t="array" ref="J2443">IFERROR(INDEX('Retirement Calculator'!K:K,MATCH('Lorri 401b'!N2443,'Retirement Calculator'!A:A,0),0),0)</f>
        <v>0</v>
      </c>
      <c r="K2443" s="455">
        <f t="shared" ca="1" si="128"/>
        <v>-44595442.969894551</v>
      </c>
      <c r="L2443" s="455">
        <f t="shared" ca="1" si="129"/>
        <v>-10747501755.744587</v>
      </c>
      <c r="M2443" s="471">
        <f t="shared" si="131"/>
        <v>0.05</v>
      </c>
      <c r="N2443" s="475">
        <f t="shared" si="132"/>
        <v>125400</v>
      </c>
    </row>
    <row r="2444" spans="7:14" ht="11.25" customHeight="1" x14ac:dyDescent="0.3">
      <c r="G2444" s="470"/>
      <c r="H2444" s="470">
        <v>2437</v>
      </c>
      <c r="I2444" s="455">
        <f t="shared" ca="1" si="130"/>
        <v>-10747501755.744587</v>
      </c>
      <c r="J2444" s="455">
        <f t="array" ref="J2444">IFERROR(INDEX('Retirement Calculator'!K:K,MATCH('Lorri 401b'!N2444,'Retirement Calculator'!A:A,0),0),0)</f>
        <v>0</v>
      </c>
      <c r="K2444" s="455">
        <f t="shared" ca="1" si="128"/>
        <v>-44781257.315602444</v>
      </c>
      <c r="L2444" s="455">
        <f t="shared" ca="1" si="129"/>
        <v>-10792283013.06019</v>
      </c>
      <c r="M2444" s="471">
        <f t="shared" si="131"/>
        <v>0.05</v>
      </c>
      <c r="N2444" s="475">
        <f t="shared" si="132"/>
        <v>125431</v>
      </c>
    </row>
    <row r="2445" spans="7:14" ht="11.25" customHeight="1" x14ac:dyDescent="0.3">
      <c r="G2445" s="470"/>
      <c r="H2445" s="470">
        <v>2438</v>
      </c>
      <c r="I2445" s="455">
        <f t="shared" ca="1" si="130"/>
        <v>-10792283013.06019</v>
      </c>
      <c r="J2445" s="455">
        <f t="array" ref="J2445">IFERROR(INDEX('Retirement Calculator'!K:K,MATCH('Lorri 401b'!N2445,'Retirement Calculator'!A:A,0),0),0)</f>
        <v>0</v>
      </c>
      <c r="K2445" s="455">
        <f t="shared" ca="1" si="128"/>
        <v>-44967845.88775079</v>
      </c>
      <c r="L2445" s="455">
        <f t="shared" ca="1" si="129"/>
        <v>-10837250858.947941</v>
      </c>
      <c r="M2445" s="471">
        <f t="shared" si="131"/>
        <v>0.05</v>
      </c>
      <c r="N2445" s="475">
        <f t="shared" si="132"/>
        <v>125461</v>
      </c>
    </row>
    <row r="2446" spans="7:14" ht="11.25" customHeight="1" x14ac:dyDescent="0.3">
      <c r="G2446" s="470"/>
      <c r="H2446" s="470">
        <v>2439</v>
      </c>
      <c r="I2446" s="455">
        <f t="shared" ca="1" si="130"/>
        <v>-10837250858.947941</v>
      </c>
      <c r="J2446" s="455">
        <f t="array" ref="J2446">IFERROR(INDEX('Retirement Calculator'!K:K,MATCH('Lorri 401b'!N2446,'Retirement Calculator'!A:A,0),0),0)</f>
        <v>0</v>
      </c>
      <c r="K2446" s="455">
        <f t="shared" ca="1" si="128"/>
        <v>-45155211.912283085</v>
      </c>
      <c r="L2446" s="455">
        <f t="shared" ca="1" si="129"/>
        <v>-10882406070.860224</v>
      </c>
      <c r="M2446" s="471">
        <f t="shared" si="131"/>
        <v>0.05</v>
      </c>
      <c r="N2446" s="475">
        <f t="shared" si="132"/>
        <v>125492</v>
      </c>
    </row>
    <row r="2447" spans="7:14" ht="11.25" customHeight="1" x14ac:dyDescent="0.3">
      <c r="G2447" s="470"/>
      <c r="H2447" s="470">
        <v>2440</v>
      </c>
      <c r="I2447" s="455">
        <f t="shared" ca="1" si="130"/>
        <v>-10882406070.860224</v>
      </c>
      <c r="J2447" s="455">
        <f t="array" ref="J2447">IFERROR(INDEX('Retirement Calculator'!K:K,MATCH('Lorri 401b'!N2447,'Retirement Calculator'!A:A,0),0),0)</f>
        <v>0</v>
      </c>
      <c r="K2447" s="455">
        <f t="shared" ca="1" si="128"/>
        <v>-45343358.628584266</v>
      </c>
      <c r="L2447" s="455">
        <f t="shared" ca="1" si="129"/>
        <v>-10927749429.488808</v>
      </c>
      <c r="M2447" s="471">
        <f t="shared" si="131"/>
        <v>0.05</v>
      </c>
      <c r="N2447" s="475">
        <f t="shared" si="132"/>
        <v>125523</v>
      </c>
    </row>
    <row r="2448" spans="7:14" ht="11.25" customHeight="1" x14ac:dyDescent="0.3">
      <c r="G2448" s="470"/>
      <c r="H2448" s="470">
        <v>2441</v>
      </c>
      <c r="I2448" s="455">
        <f t="shared" ca="1" si="130"/>
        <v>-10927749429.488808</v>
      </c>
      <c r="J2448" s="455">
        <f t="array" ref="J2448">IFERROR(INDEX('Retirement Calculator'!K:K,MATCH('Lorri 401b'!N2448,'Retirement Calculator'!A:A,0),0),0)</f>
        <v>0</v>
      </c>
      <c r="K2448" s="455">
        <f t="shared" ca="1" si="128"/>
        <v>-45532289.2895367</v>
      </c>
      <c r="L2448" s="455">
        <f t="shared" ca="1" si="129"/>
        <v>-10973281718.778345</v>
      </c>
      <c r="M2448" s="471">
        <f t="shared" si="131"/>
        <v>0.05</v>
      </c>
      <c r="N2448" s="475">
        <f t="shared" si="132"/>
        <v>125553</v>
      </c>
    </row>
    <row r="2449" spans="7:14" ht="11.25" customHeight="1" x14ac:dyDescent="0.3">
      <c r="G2449" s="470"/>
      <c r="H2449" s="470">
        <v>2442</v>
      </c>
      <c r="I2449" s="455">
        <f t="shared" ca="1" si="130"/>
        <v>-10973281718.778345</v>
      </c>
      <c r="J2449" s="455">
        <f t="array" ref="J2449">IFERROR(INDEX('Retirement Calculator'!K:K,MATCH('Lorri 401b'!N2449,'Retirement Calculator'!A:A,0),0),0)</f>
        <v>0</v>
      </c>
      <c r="K2449" s="455">
        <f t="shared" ca="1" si="128"/>
        <v>-45722007.161576435</v>
      </c>
      <c r="L2449" s="455">
        <f t="shared" ca="1" si="129"/>
        <v>-11019003725.939922</v>
      </c>
      <c r="M2449" s="471">
        <f t="shared" si="131"/>
        <v>0.05</v>
      </c>
      <c r="N2449" s="475">
        <f t="shared" si="132"/>
        <v>125584</v>
      </c>
    </row>
    <row r="2450" spans="7:14" ht="11.25" customHeight="1" x14ac:dyDescent="0.3">
      <c r="G2450" s="470"/>
      <c r="H2450" s="470">
        <v>2443</v>
      </c>
      <c r="I2450" s="455">
        <f t="shared" ca="1" si="130"/>
        <v>-11019003725.939922</v>
      </c>
      <c r="J2450" s="455">
        <f t="array" ref="J2450">IFERROR(INDEX('Retirement Calculator'!K:K,MATCH('Lorri 401b'!N2450,'Retirement Calculator'!A:A,0),0),0)</f>
        <v>0</v>
      </c>
      <c r="K2450" s="455">
        <f t="shared" ca="1" si="128"/>
        <v>-45912515.524749674</v>
      </c>
      <c r="L2450" s="455">
        <f t="shared" ca="1" si="129"/>
        <v>-11064916241.464672</v>
      </c>
      <c r="M2450" s="471">
        <f t="shared" si="131"/>
        <v>0.05</v>
      </c>
      <c r="N2450" s="475">
        <f t="shared" si="132"/>
        <v>125614</v>
      </c>
    </row>
    <row r="2451" spans="7:14" ht="11.25" customHeight="1" x14ac:dyDescent="0.3">
      <c r="G2451" s="470"/>
      <c r="H2451" s="470">
        <v>2444</v>
      </c>
      <c r="I2451" s="455">
        <f t="shared" ca="1" si="130"/>
        <v>-11064916241.464672</v>
      </c>
      <c r="J2451" s="455">
        <f t="array" ref="J2451">IFERROR(INDEX('Retirement Calculator'!K:K,MATCH('Lorri 401b'!N2451,'Retirement Calculator'!A:A,0),0),0)</f>
        <v>0</v>
      </c>
      <c r="K2451" s="455">
        <f t="shared" ca="1" si="128"/>
        <v>-46103817.672769465</v>
      </c>
      <c r="L2451" s="455">
        <f t="shared" ca="1" si="129"/>
        <v>-11111020059.137442</v>
      </c>
      <c r="M2451" s="471">
        <f t="shared" si="131"/>
        <v>0.05</v>
      </c>
      <c r="N2451" s="475">
        <f t="shared" si="132"/>
        <v>125645</v>
      </c>
    </row>
    <row r="2452" spans="7:14" ht="11.25" customHeight="1" x14ac:dyDescent="0.3">
      <c r="G2452" s="470"/>
      <c r="H2452" s="470">
        <v>2445</v>
      </c>
      <c r="I2452" s="455">
        <f t="shared" ca="1" si="130"/>
        <v>-11111020059.137442</v>
      </c>
      <c r="J2452" s="455">
        <f t="array" ref="J2452">IFERROR(INDEX('Retirement Calculator'!K:K,MATCH('Lorri 401b'!N2452,'Retirement Calculator'!A:A,0),0),0)</f>
        <v>0</v>
      </c>
      <c r="K2452" s="455">
        <f t="shared" ca="1" si="128"/>
        <v>-46295916.913072675</v>
      </c>
      <c r="L2452" s="455">
        <f t="shared" ca="1" si="129"/>
        <v>-11157315976.050514</v>
      </c>
      <c r="M2452" s="471">
        <f t="shared" si="131"/>
        <v>0.05</v>
      </c>
      <c r="N2452" s="475">
        <f t="shared" si="132"/>
        <v>125676</v>
      </c>
    </row>
    <row r="2453" spans="7:14" ht="11.25" customHeight="1" x14ac:dyDescent="0.3">
      <c r="G2453" s="470"/>
      <c r="H2453" s="470">
        <v>2446</v>
      </c>
      <c r="I2453" s="455">
        <f t="shared" ca="1" si="130"/>
        <v>-11157315976.050514</v>
      </c>
      <c r="J2453" s="455">
        <f t="array" ref="J2453">IFERROR(INDEX('Retirement Calculator'!K:K,MATCH('Lorri 401b'!N2453,'Retirement Calculator'!A:A,0),0),0)</f>
        <v>0</v>
      </c>
      <c r="K2453" s="455">
        <f t="shared" ca="1" si="128"/>
        <v>-46488816.566877142</v>
      </c>
      <c r="L2453" s="455">
        <f t="shared" ca="1" si="129"/>
        <v>-11203804792.617392</v>
      </c>
      <c r="M2453" s="471">
        <f t="shared" si="131"/>
        <v>0.05</v>
      </c>
      <c r="N2453" s="475">
        <f t="shared" si="132"/>
        <v>125705</v>
      </c>
    </row>
    <row r="2454" spans="7:14" ht="11.25" customHeight="1" x14ac:dyDescent="0.3">
      <c r="G2454" s="470"/>
      <c r="H2454" s="470">
        <v>2447</v>
      </c>
      <c r="I2454" s="455">
        <f t="shared" ca="1" si="130"/>
        <v>-11203804792.617392</v>
      </c>
      <c r="J2454" s="455">
        <f t="array" ref="J2454">IFERROR(INDEX('Retirement Calculator'!K:K,MATCH('Lorri 401b'!N2454,'Retirement Calculator'!A:A,0),0),0)</f>
        <v>0</v>
      </c>
      <c r="K2454" s="455">
        <f t="shared" ca="1" si="128"/>
        <v>-46682519.969239131</v>
      </c>
      <c r="L2454" s="455">
        <f t="shared" ca="1" si="129"/>
        <v>-11250487312.58663</v>
      </c>
      <c r="M2454" s="471">
        <f t="shared" si="131"/>
        <v>0.05</v>
      </c>
      <c r="N2454" s="475">
        <f t="shared" si="132"/>
        <v>125736</v>
      </c>
    </row>
    <row r="2455" spans="7:14" ht="11.25" customHeight="1" x14ac:dyDescent="0.3">
      <c r="G2455" s="470"/>
      <c r="H2455" s="470">
        <v>2448</v>
      </c>
      <c r="I2455" s="455">
        <f t="shared" ca="1" si="130"/>
        <v>-11250487312.58663</v>
      </c>
      <c r="J2455" s="455">
        <f t="array" ref="J2455">IFERROR(INDEX('Retirement Calculator'!K:K,MATCH('Lorri 401b'!N2455,'Retirement Calculator'!A:A,0),0),0)</f>
        <v>0</v>
      </c>
      <c r="K2455" s="455">
        <f t="shared" ca="1" si="128"/>
        <v>-46877030.469110958</v>
      </c>
      <c r="L2455" s="455">
        <f t="shared" ca="1" si="129"/>
        <v>-11297364343.05574</v>
      </c>
      <c r="M2455" s="471">
        <f t="shared" si="131"/>
        <v>0.05</v>
      </c>
      <c r="N2455" s="475">
        <f t="shared" si="132"/>
        <v>125766</v>
      </c>
    </row>
    <row r="2456" spans="7:14" ht="11.25" customHeight="1" x14ac:dyDescent="0.3">
      <c r="G2456" s="470"/>
      <c r="H2456" s="470">
        <v>2449</v>
      </c>
      <c r="I2456" s="455">
        <f t="shared" ca="1" si="130"/>
        <v>-11297364343.05574</v>
      </c>
      <c r="J2456" s="455">
        <f t="array" ref="J2456">IFERROR(INDEX('Retirement Calculator'!K:K,MATCH('Lorri 401b'!N2456,'Retirement Calculator'!A:A,0),0),0)</f>
        <v>0</v>
      </c>
      <c r="K2456" s="455">
        <f t="shared" ca="1" si="128"/>
        <v>-47072351.429398917</v>
      </c>
      <c r="L2456" s="455">
        <f t="shared" ca="1" si="129"/>
        <v>-11344436694.48514</v>
      </c>
      <c r="M2456" s="471">
        <f t="shared" si="131"/>
        <v>0.05</v>
      </c>
      <c r="N2456" s="475">
        <f t="shared" si="132"/>
        <v>125797</v>
      </c>
    </row>
    <row r="2457" spans="7:14" ht="11.25" customHeight="1" x14ac:dyDescent="0.3">
      <c r="G2457" s="470"/>
      <c r="H2457" s="470">
        <v>2450</v>
      </c>
      <c r="I2457" s="455">
        <f t="shared" ca="1" si="130"/>
        <v>-11344436694.48514</v>
      </c>
      <c r="J2457" s="455">
        <f t="array" ref="J2457">IFERROR(INDEX('Retirement Calculator'!K:K,MATCH('Lorri 401b'!N2457,'Retirement Calculator'!A:A,0),0),0)</f>
        <v>0</v>
      </c>
      <c r="K2457" s="455">
        <f t="shared" ca="1" si="128"/>
        <v>-47268486.227021419</v>
      </c>
      <c r="L2457" s="455">
        <f t="shared" ca="1" si="129"/>
        <v>-11391705180.712162</v>
      </c>
      <c r="M2457" s="471">
        <f t="shared" si="131"/>
        <v>0.05</v>
      </c>
      <c r="N2457" s="475">
        <f t="shared" si="132"/>
        <v>125827</v>
      </c>
    </row>
    <row r="2458" spans="7:14" ht="11.25" customHeight="1" x14ac:dyDescent="0.3">
      <c r="G2458" s="470"/>
      <c r="H2458" s="470">
        <v>2451</v>
      </c>
      <c r="I2458" s="455">
        <f t="shared" ca="1" si="130"/>
        <v>-11391705180.712162</v>
      </c>
      <c r="J2458" s="455">
        <f t="array" ref="J2458">IFERROR(INDEX('Retirement Calculator'!K:K,MATCH('Lorri 401b'!N2458,'Retirement Calculator'!A:A,0),0),0)</f>
        <v>0</v>
      </c>
      <c r="K2458" s="455">
        <f t="shared" ca="1" si="128"/>
        <v>-47465438.252967343</v>
      </c>
      <c r="L2458" s="455">
        <f t="shared" ca="1" si="129"/>
        <v>-11439170618.96513</v>
      </c>
      <c r="M2458" s="471">
        <f t="shared" si="131"/>
        <v>0.05</v>
      </c>
      <c r="N2458" s="475">
        <f t="shared" si="132"/>
        <v>125858</v>
      </c>
    </row>
    <row r="2459" spans="7:14" ht="11.25" customHeight="1" x14ac:dyDescent="0.3">
      <c r="G2459" s="470"/>
      <c r="H2459" s="470">
        <v>2452</v>
      </c>
      <c r="I2459" s="455">
        <f t="shared" ca="1" si="130"/>
        <v>-11439170618.96513</v>
      </c>
      <c r="J2459" s="455">
        <f t="array" ref="J2459">IFERROR(INDEX('Retirement Calculator'!K:K,MATCH('Lorri 401b'!N2459,'Retirement Calculator'!A:A,0),0),0)</f>
        <v>0</v>
      </c>
      <c r="K2459" s="455">
        <f t="shared" ca="1" si="128"/>
        <v>-47663210.912354708</v>
      </c>
      <c r="L2459" s="455">
        <f t="shared" ca="1" si="129"/>
        <v>-11486833829.877485</v>
      </c>
      <c r="M2459" s="471">
        <f t="shared" si="131"/>
        <v>0.05</v>
      </c>
      <c r="N2459" s="475">
        <f t="shared" si="132"/>
        <v>125889</v>
      </c>
    </row>
    <row r="2460" spans="7:14" ht="11.25" customHeight="1" x14ac:dyDescent="0.3">
      <c r="G2460" s="470"/>
      <c r="H2460" s="470">
        <v>2453</v>
      </c>
      <c r="I2460" s="455">
        <f t="shared" ca="1" si="130"/>
        <v>-11486833829.877485</v>
      </c>
      <c r="J2460" s="455">
        <f t="array" ref="J2460">IFERROR(INDEX('Retirement Calculator'!K:K,MATCH('Lorri 401b'!N2460,'Retirement Calculator'!A:A,0),0),0)</f>
        <v>0</v>
      </c>
      <c r="K2460" s="455">
        <f t="shared" ca="1" si="128"/>
        <v>-47861807.624489523</v>
      </c>
      <c r="L2460" s="455">
        <f t="shared" ca="1" si="129"/>
        <v>-11534695637.501974</v>
      </c>
      <c r="M2460" s="471">
        <f t="shared" si="131"/>
        <v>0.05</v>
      </c>
      <c r="N2460" s="475">
        <f t="shared" si="132"/>
        <v>125919</v>
      </c>
    </row>
    <row r="2461" spans="7:14" ht="11.25" customHeight="1" x14ac:dyDescent="0.3">
      <c r="G2461" s="470"/>
      <c r="H2461" s="470">
        <v>2454</v>
      </c>
      <c r="I2461" s="455">
        <f t="shared" ca="1" si="130"/>
        <v>-11534695637.501974</v>
      </c>
      <c r="J2461" s="455">
        <f t="array" ref="J2461">IFERROR(INDEX('Retirement Calculator'!K:K,MATCH('Lorri 401b'!N2461,'Retirement Calculator'!A:A,0),0),0)</f>
        <v>0</v>
      </c>
      <c r="K2461" s="455">
        <f t="shared" ca="1" si="128"/>
        <v>-48061231.82292489</v>
      </c>
      <c r="L2461" s="455">
        <f t="shared" ca="1" si="129"/>
        <v>-11582756869.3249</v>
      </c>
      <c r="M2461" s="471">
        <f t="shared" si="131"/>
        <v>0.05</v>
      </c>
      <c r="N2461" s="475">
        <f t="shared" si="132"/>
        <v>125950</v>
      </c>
    </row>
    <row r="2462" spans="7:14" ht="11.25" customHeight="1" x14ac:dyDescent="0.3">
      <c r="G2462" s="470"/>
      <c r="H2462" s="470">
        <v>2455</v>
      </c>
      <c r="I2462" s="455">
        <f t="shared" ca="1" si="130"/>
        <v>-11582756869.3249</v>
      </c>
      <c r="J2462" s="455">
        <f t="array" ref="J2462">IFERROR(INDEX('Retirement Calculator'!K:K,MATCH('Lorri 401b'!N2462,'Retirement Calculator'!A:A,0),0),0)</f>
        <v>0</v>
      </c>
      <c r="K2462" s="455">
        <f t="shared" ca="1" si="128"/>
        <v>-48261486.955520414</v>
      </c>
      <c r="L2462" s="455">
        <f t="shared" ca="1" si="129"/>
        <v>-11631018356.28042</v>
      </c>
      <c r="M2462" s="471">
        <f t="shared" si="131"/>
        <v>0.05</v>
      </c>
      <c r="N2462" s="475">
        <f t="shared" si="132"/>
        <v>125980</v>
      </c>
    </row>
    <row r="2463" spans="7:14" ht="11.25" customHeight="1" x14ac:dyDescent="0.3">
      <c r="G2463" s="470"/>
      <c r="H2463" s="470">
        <v>2456</v>
      </c>
      <c r="I2463" s="455">
        <f t="shared" ca="1" si="130"/>
        <v>-11631018356.28042</v>
      </c>
      <c r="J2463" s="455">
        <f t="array" ref="J2463">IFERROR(INDEX('Retirement Calculator'!K:K,MATCH('Lorri 401b'!N2463,'Retirement Calculator'!A:A,0),0),0)</f>
        <v>0</v>
      </c>
      <c r="K2463" s="455">
        <f t="shared" ca="1" si="128"/>
        <v>-48462576.484501749</v>
      </c>
      <c r="L2463" s="455">
        <f t="shared" ca="1" si="129"/>
        <v>-11679480932.764921</v>
      </c>
      <c r="M2463" s="471">
        <f t="shared" si="131"/>
        <v>0.05</v>
      </c>
      <c r="N2463" s="475">
        <f t="shared" si="132"/>
        <v>126011</v>
      </c>
    </row>
    <row r="2464" spans="7:14" ht="11.25" customHeight="1" x14ac:dyDescent="0.3">
      <c r="G2464" s="470"/>
      <c r="H2464" s="470">
        <v>2457</v>
      </c>
      <c r="I2464" s="455">
        <f t="shared" ca="1" si="130"/>
        <v>-11679480932.764921</v>
      </c>
      <c r="J2464" s="455">
        <f t="array" ref="J2464">IFERROR(INDEX('Retirement Calculator'!K:K,MATCH('Lorri 401b'!N2464,'Retirement Calculator'!A:A,0),0),0)</f>
        <v>0</v>
      </c>
      <c r="K2464" s="455">
        <f t="shared" ca="1" si="128"/>
        <v>-48664503.886520505</v>
      </c>
      <c r="L2464" s="455">
        <f t="shared" ca="1" si="129"/>
        <v>-11728145436.651442</v>
      </c>
      <c r="M2464" s="471">
        <f t="shared" si="131"/>
        <v>0.05</v>
      </c>
      <c r="N2464" s="475">
        <f t="shared" si="132"/>
        <v>126042</v>
      </c>
    </row>
    <row r="2465" spans="7:14" ht="11.25" customHeight="1" x14ac:dyDescent="0.3">
      <c r="G2465" s="470"/>
      <c r="H2465" s="470">
        <v>2458</v>
      </c>
      <c r="I2465" s="455">
        <f t="shared" ca="1" si="130"/>
        <v>-11728145436.651442</v>
      </c>
      <c r="J2465" s="455">
        <f t="array" ref="J2465">IFERROR(INDEX('Retirement Calculator'!K:K,MATCH('Lorri 401b'!N2465,'Retirement Calculator'!A:A,0),0),0)</f>
        <v>0</v>
      </c>
      <c r="K2465" s="455">
        <f t="shared" ca="1" si="128"/>
        <v>-48867272.652714342</v>
      </c>
      <c r="L2465" s="455">
        <f t="shared" ca="1" si="129"/>
        <v>-11777012709.304155</v>
      </c>
      <c r="M2465" s="471">
        <f t="shared" si="131"/>
        <v>0.05</v>
      </c>
      <c r="N2465" s="475">
        <f t="shared" si="132"/>
        <v>126070</v>
      </c>
    </row>
    <row r="2466" spans="7:14" ht="11.25" customHeight="1" x14ac:dyDescent="0.3">
      <c r="G2466" s="470"/>
      <c r="H2466" s="470">
        <v>2459</v>
      </c>
      <c r="I2466" s="455">
        <f t="shared" ca="1" si="130"/>
        <v>-11777012709.304155</v>
      </c>
      <c r="J2466" s="455">
        <f t="array" ref="J2466">IFERROR(INDEX('Retirement Calculator'!K:K,MATCH('Lorri 401b'!N2466,'Retirement Calculator'!A:A,0),0),0)</f>
        <v>0</v>
      </c>
      <c r="K2466" s="455">
        <f t="shared" ca="1" si="128"/>
        <v>-49070886.288767315</v>
      </c>
      <c r="L2466" s="455">
        <f t="shared" ca="1" si="129"/>
        <v>-11826083595.592922</v>
      </c>
      <c r="M2466" s="471">
        <f t="shared" si="131"/>
        <v>0.05</v>
      </c>
      <c r="N2466" s="475">
        <f t="shared" si="132"/>
        <v>126101</v>
      </c>
    </row>
    <row r="2467" spans="7:14" ht="11.25" customHeight="1" x14ac:dyDescent="0.3">
      <c r="G2467" s="470"/>
      <c r="H2467" s="470">
        <v>2460</v>
      </c>
      <c r="I2467" s="455">
        <f t="shared" ca="1" si="130"/>
        <v>-11826083595.592922</v>
      </c>
      <c r="J2467" s="455">
        <f t="array" ref="J2467">IFERROR(INDEX('Retirement Calculator'!K:K,MATCH('Lorri 401b'!N2467,'Retirement Calculator'!A:A,0),0),0)</f>
        <v>0</v>
      </c>
      <c r="K2467" s="455">
        <f t="shared" ca="1" si="128"/>
        <v>-49275348.314970508</v>
      </c>
      <c r="L2467" s="455">
        <f t="shared" ca="1" si="129"/>
        <v>-11875358943.907892</v>
      </c>
      <c r="M2467" s="471">
        <f t="shared" si="131"/>
        <v>0.05</v>
      </c>
      <c r="N2467" s="475">
        <f t="shared" si="132"/>
        <v>126131</v>
      </c>
    </row>
    <row r="2468" spans="7:14" ht="11.25" customHeight="1" x14ac:dyDescent="0.3">
      <c r="G2468" s="470"/>
      <c r="H2468" s="470">
        <v>2461</v>
      </c>
      <c r="I2468" s="455">
        <f t="shared" ca="1" si="130"/>
        <v>-11875358943.907892</v>
      </c>
      <c r="J2468" s="455">
        <f t="array" ref="J2468">IFERROR(INDEX('Retirement Calculator'!K:K,MATCH('Lorri 401b'!N2468,'Retirement Calculator'!A:A,0),0),0)</f>
        <v>0</v>
      </c>
      <c r="K2468" s="455">
        <f t="shared" ca="1" si="128"/>
        <v>-49480662.266282886</v>
      </c>
      <c r="L2468" s="455">
        <f t="shared" ca="1" si="129"/>
        <v>-11924839606.174175</v>
      </c>
      <c r="M2468" s="471">
        <f t="shared" si="131"/>
        <v>0.05</v>
      </c>
      <c r="N2468" s="475">
        <f t="shared" si="132"/>
        <v>126162</v>
      </c>
    </row>
    <row r="2469" spans="7:14" ht="11.25" customHeight="1" x14ac:dyDescent="0.3">
      <c r="G2469" s="470"/>
      <c r="H2469" s="470">
        <v>2462</v>
      </c>
      <c r="I2469" s="455">
        <f t="shared" ca="1" si="130"/>
        <v>-11924839606.174175</v>
      </c>
      <c r="J2469" s="455">
        <f t="array" ref="J2469">IFERROR(INDEX('Retirement Calculator'!K:K,MATCH('Lorri 401b'!N2469,'Retirement Calculator'!A:A,0),0),0)</f>
        <v>0</v>
      </c>
      <c r="K2469" s="455">
        <f t="shared" ca="1" si="128"/>
        <v>-49686831.692392394</v>
      </c>
      <c r="L2469" s="455">
        <f t="shared" ca="1" si="129"/>
        <v>-11974526437.866568</v>
      </c>
      <c r="M2469" s="471">
        <f t="shared" si="131"/>
        <v>0.05</v>
      </c>
      <c r="N2469" s="475">
        <f t="shared" si="132"/>
        <v>126192</v>
      </c>
    </row>
    <row r="2470" spans="7:14" ht="11.25" customHeight="1" x14ac:dyDescent="0.3">
      <c r="G2470" s="470"/>
      <c r="H2470" s="470">
        <v>2463</v>
      </c>
      <c r="I2470" s="455">
        <f t="shared" ca="1" si="130"/>
        <v>-11974526437.866568</v>
      </c>
      <c r="J2470" s="455">
        <f t="array" ref="J2470">IFERROR(INDEX('Retirement Calculator'!K:K,MATCH('Lorri 401b'!N2470,'Retirement Calculator'!A:A,0),0),0)</f>
        <v>0</v>
      </c>
      <c r="K2470" s="455">
        <f t="shared" ca="1" si="128"/>
        <v>-49893860.157777362</v>
      </c>
      <c r="L2470" s="455">
        <f t="shared" ca="1" si="129"/>
        <v>-12024420298.024345</v>
      </c>
      <c r="M2470" s="471">
        <f t="shared" si="131"/>
        <v>0.05</v>
      </c>
      <c r="N2470" s="475">
        <f t="shared" si="132"/>
        <v>126223</v>
      </c>
    </row>
    <row r="2471" spans="7:14" ht="11.25" customHeight="1" x14ac:dyDescent="0.3">
      <c r="G2471" s="470"/>
      <c r="H2471" s="470">
        <v>2464</v>
      </c>
      <c r="I2471" s="455">
        <f t="shared" ca="1" si="130"/>
        <v>-12024420298.024345</v>
      </c>
      <c r="J2471" s="455">
        <f t="array" ref="J2471">IFERROR(INDEX('Retirement Calculator'!K:K,MATCH('Lorri 401b'!N2471,'Retirement Calculator'!A:A,0),0),0)</f>
        <v>0</v>
      </c>
      <c r="K2471" s="455">
        <f t="shared" ca="1" si="128"/>
        <v>-50101751.241768107</v>
      </c>
      <c r="L2471" s="455">
        <f t="shared" ca="1" si="129"/>
        <v>-12074522049.266113</v>
      </c>
      <c r="M2471" s="471">
        <f t="shared" si="131"/>
        <v>0.05</v>
      </c>
      <c r="N2471" s="475">
        <f t="shared" si="132"/>
        <v>126254</v>
      </c>
    </row>
    <row r="2472" spans="7:14" ht="11.25" customHeight="1" x14ac:dyDescent="0.3">
      <c r="G2472" s="470"/>
      <c r="H2472" s="470">
        <v>2465</v>
      </c>
      <c r="I2472" s="455">
        <f t="shared" ca="1" si="130"/>
        <v>-12074522049.266113</v>
      </c>
      <c r="J2472" s="455">
        <f t="array" ref="J2472">IFERROR(INDEX('Retirement Calculator'!K:K,MATCH('Lorri 401b'!N2472,'Retirement Calculator'!A:A,0),0),0)</f>
        <v>0</v>
      </c>
      <c r="K2472" s="455">
        <f t="shared" ca="1" si="128"/>
        <v>-50310508.538608804</v>
      </c>
      <c r="L2472" s="455">
        <f t="shared" ca="1" si="129"/>
        <v>-12124832557.804722</v>
      </c>
      <c r="M2472" s="471">
        <f t="shared" si="131"/>
        <v>0.05</v>
      </c>
      <c r="N2472" s="475">
        <f t="shared" si="132"/>
        <v>126284</v>
      </c>
    </row>
    <row r="2473" spans="7:14" ht="11.25" customHeight="1" x14ac:dyDescent="0.3">
      <c r="G2473" s="470"/>
      <c r="H2473" s="470">
        <v>2466</v>
      </c>
      <c r="I2473" s="455">
        <f t="shared" ca="1" si="130"/>
        <v>-12124832557.804722</v>
      </c>
      <c r="J2473" s="455">
        <f t="array" ref="J2473">IFERROR(INDEX('Retirement Calculator'!K:K,MATCH('Lorri 401b'!N2473,'Retirement Calculator'!A:A,0),0),0)</f>
        <v>0</v>
      </c>
      <c r="K2473" s="455">
        <f t="shared" ca="1" si="128"/>
        <v>-50520135.657519676</v>
      </c>
      <c r="L2473" s="455">
        <f t="shared" ca="1" si="129"/>
        <v>-12175352693.462242</v>
      </c>
      <c r="M2473" s="471">
        <f t="shared" si="131"/>
        <v>0.05</v>
      </c>
      <c r="N2473" s="475">
        <f t="shared" si="132"/>
        <v>126315</v>
      </c>
    </row>
    <row r="2474" spans="7:14" ht="11.25" customHeight="1" x14ac:dyDescent="0.3">
      <c r="G2474" s="470"/>
      <c r="H2474" s="470">
        <v>2467</v>
      </c>
      <c r="I2474" s="455">
        <f t="shared" ca="1" si="130"/>
        <v>-12175352693.462242</v>
      </c>
      <c r="J2474" s="455">
        <f t="array" ref="J2474">IFERROR(INDEX('Retirement Calculator'!K:K,MATCH('Lorri 401b'!N2474,'Retirement Calculator'!A:A,0),0),0)</f>
        <v>0</v>
      </c>
      <c r="K2474" s="455">
        <f t="shared" ca="1" si="128"/>
        <v>-50730636.222759344</v>
      </c>
      <c r="L2474" s="455">
        <f t="shared" ca="1" si="129"/>
        <v>-12226083329.685001</v>
      </c>
      <c r="M2474" s="471">
        <f t="shared" si="131"/>
        <v>0.05</v>
      </c>
      <c r="N2474" s="475">
        <f t="shared" si="132"/>
        <v>126345</v>
      </c>
    </row>
    <row r="2475" spans="7:14" ht="11.25" customHeight="1" x14ac:dyDescent="0.3">
      <c r="G2475" s="470"/>
      <c r="H2475" s="470">
        <v>2468</v>
      </c>
      <c r="I2475" s="455">
        <f t="shared" ca="1" si="130"/>
        <v>-12226083329.685001</v>
      </c>
      <c r="J2475" s="455">
        <f t="array" ref="J2475">IFERROR(INDEX('Retirement Calculator'!K:K,MATCH('Lorri 401b'!N2475,'Retirement Calculator'!A:A,0),0),0)</f>
        <v>0</v>
      </c>
      <c r="K2475" s="455">
        <f t="shared" ca="1" si="128"/>
        <v>-50942013.873687506</v>
      </c>
      <c r="L2475" s="455">
        <f t="shared" ca="1" si="129"/>
        <v>-12277025343.558689</v>
      </c>
      <c r="M2475" s="471">
        <f t="shared" si="131"/>
        <v>0.05</v>
      </c>
      <c r="N2475" s="475">
        <f t="shared" si="132"/>
        <v>126376</v>
      </c>
    </row>
    <row r="2476" spans="7:14" ht="11.25" customHeight="1" x14ac:dyDescent="0.3">
      <c r="G2476" s="470"/>
      <c r="H2476" s="470">
        <v>2469</v>
      </c>
      <c r="I2476" s="455">
        <f t="shared" ca="1" si="130"/>
        <v>-12277025343.558689</v>
      </c>
      <c r="J2476" s="455">
        <f t="array" ref="J2476">IFERROR(INDEX('Retirement Calculator'!K:K,MATCH('Lorri 401b'!N2476,'Retirement Calculator'!A:A,0),0),0)</f>
        <v>0</v>
      </c>
      <c r="K2476" s="455">
        <f t="shared" ca="1" si="128"/>
        <v>-51154272.26482787</v>
      </c>
      <c r="L2476" s="455">
        <f t="shared" ca="1" si="129"/>
        <v>-12328179615.823517</v>
      </c>
      <c r="M2476" s="471">
        <f t="shared" si="131"/>
        <v>0.05</v>
      </c>
      <c r="N2476" s="475">
        <f t="shared" si="132"/>
        <v>126407</v>
      </c>
    </row>
    <row r="2477" spans="7:14" ht="11.25" customHeight="1" x14ac:dyDescent="0.3">
      <c r="G2477" s="470"/>
      <c r="H2477" s="470">
        <v>2470</v>
      </c>
      <c r="I2477" s="455">
        <f t="shared" ca="1" si="130"/>
        <v>-12328179615.823517</v>
      </c>
      <c r="J2477" s="455">
        <f t="array" ref="J2477">IFERROR(INDEX('Retirement Calculator'!K:K,MATCH('Lorri 401b'!N2477,'Retirement Calculator'!A:A,0),0),0)</f>
        <v>0</v>
      </c>
      <c r="K2477" s="455">
        <f t="shared" ca="1" si="128"/>
        <v>-51367415.06593132</v>
      </c>
      <c r="L2477" s="455">
        <f t="shared" ca="1" si="129"/>
        <v>-12379547030.889448</v>
      </c>
      <c r="M2477" s="471">
        <f t="shared" si="131"/>
        <v>0.05</v>
      </c>
      <c r="N2477" s="475">
        <f t="shared" si="132"/>
        <v>126435</v>
      </c>
    </row>
    <row r="2478" spans="7:14" ht="11.25" customHeight="1" x14ac:dyDescent="0.3">
      <c r="G2478" s="470"/>
      <c r="H2478" s="470">
        <v>2471</v>
      </c>
      <c r="I2478" s="455">
        <f t="shared" ca="1" si="130"/>
        <v>-12379547030.889448</v>
      </c>
      <c r="J2478" s="455">
        <f t="array" ref="J2478">IFERROR(INDEX('Retirement Calculator'!K:K,MATCH('Lorri 401b'!N2478,'Retirement Calculator'!A:A,0),0),0)</f>
        <v>0</v>
      </c>
      <c r="K2478" s="455">
        <f t="shared" ca="1" si="128"/>
        <v>-51581445.962039366</v>
      </c>
      <c r="L2478" s="455">
        <f t="shared" ca="1" si="129"/>
        <v>-12431128476.851488</v>
      </c>
      <c r="M2478" s="471">
        <f t="shared" si="131"/>
        <v>0.05</v>
      </c>
      <c r="N2478" s="475">
        <f t="shared" si="132"/>
        <v>126466</v>
      </c>
    </row>
    <row r="2479" spans="7:14" ht="11.25" customHeight="1" x14ac:dyDescent="0.3">
      <c r="G2479" s="470"/>
      <c r="H2479" s="470">
        <v>2472</v>
      </c>
      <c r="I2479" s="455">
        <f t="shared" ca="1" si="130"/>
        <v>-12431128476.851488</v>
      </c>
      <c r="J2479" s="455">
        <f t="array" ref="J2479">IFERROR(INDEX('Retirement Calculator'!K:K,MATCH('Lorri 401b'!N2479,'Retirement Calculator'!A:A,0),0),0)</f>
        <v>0</v>
      </c>
      <c r="K2479" s="455">
        <f t="shared" ca="1" si="128"/>
        <v>-51796368.653547868</v>
      </c>
      <c r="L2479" s="455">
        <f t="shared" ca="1" si="129"/>
        <v>-12482924845.505035</v>
      </c>
      <c r="M2479" s="471">
        <f t="shared" si="131"/>
        <v>0.05</v>
      </c>
      <c r="N2479" s="475">
        <f t="shared" si="132"/>
        <v>126496</v>
      </c>
    </row>
    <row r="2480" spans="7:14" ht="11.25" customHeight="1" x14ac:dyDescent="0.3">
      <c r="G2480" s="470"/>
      <c r="H2480" s="470">
        <v>2473</v>
      </c>
      <c r="I2480" s="455">
        <f t="shared" ca="1" si="130"/>
        <v>-12482924845.505035</v>
      </c>
      <c r="J2480" s="455">
        <f t="array" ref="J2480">IFERROR(INDEX('Retirement Calculator'!K:K,MATCH('Lorri 401b'!N2480,'Retirement Calculator'!A:A,0),0),0)</f>
        <v>0</v>
      </c>
      <c r="K2480" s="455">
        <f t="shared" ca="1" si="128"/>
        <v>-52012186.856270984</v>
      </c>
      <c r="L2480" s="455">
        <f t="shared" ca="1" si="129"/>
        <v>-12534937032.361307</v>
      </c>
      <c r="M2480" s="471">
        <f t="shared" si="131"/>
        <v>0.05</v>
      </c>
      <c r="N2480" s="475">
        <f t="shared" si="132"/>
        <v>126527</v>
      </c>
    </row>
    <row r="2481" spans="7:14" ht="11.25" customHeight="1" x14ac:dyDescent="0.3">
      <c r="G2481" s="470"/>
      <c r="H2481" s="470">
        <v>2474</v>
      </c>
      <c r="I2481" s="455">
        <f t="shared" ca="1" si="130"/>
        <v>-12534937032.361307</v>
      </c>
      <c r="J2481" s="455">
        <f t="array" ref="J2481">IFERROR(INDEX('Retirement Calculator'!K:K,MATCH('Lorri 401b'!N2481,'Retirement Calculator'!A:A,0),0),0)</f>
        <v>0</v>
      </c>
      <c r="K2481" s="455">
        <f t="shared" ca="1" si="128"/>
        <v>-52228904.301505446</v>
      </c>
      <c r="L2481" s="455">
        <f t="shared" ca="1" si="129"/>
        <v>-12587165936.662813</v>
      </c>
      <c r="M2481" s="471">
        <f t="shared" si="131"/>
        <v>0.05</v>
      </c>
      <c r="N2481" s="475">
        <f t="shared" si="132"/>
        <v>126557</v>
      </c>
    </row>
    <row r="2482" spans="7:14" ht="11.25" customHeight="1" x14ac:dyDescent="0.3">
      <c r="G2482" s="470"/>
      <c r="H2482" s="470">
        <v>2475</v>
      </c>
      <c r="I2482" s="455">
        <f t="shared" ca="1" si="130"/>
        <v>-12587165936.662813</v>
      </c>
      <c r="J2482" s="455">
        <f t="array" ref="J2482">IFERROR(INDEX('Retirement Calculator'!K:K,MATCH('Lorri 401b'!N2482,'Retirement Calculator'!A:A,0),0),0)</f>
        <v>0</v>
      </c>
      <c r="K2482" s="455">
        <f t="shared" ca="1" si="128"/>
        <v>-52446524.736095056</v>
      </c>
      <c r="L2482" s="455">
        <f t="shared" ca="1" si="129"/>
        <v>-12639612461.398909</v>
      </c>
      <c r="M2482" s="471">
        <f t="shared" si="131"/>
        <v>0.05</v>
      </c>
      <c r="N2482" s="475">
        <f t="shared" si="132"/>
        <v>126588</v>
      </c>
    </row>
    <row r="2483" spans="7:14" ht="11.25" customHeight="1" x14ac:dyDescent="0.3">
      <c r="G2483" s="470"/>
      <c r="H2483" s="470">
        <v>2476</v>
      </c>
      <c r="I2483" s="455">
        <f t="shared" ca="1" si="130"/>
        <v>-12639612461.398909</v>
      </c>
      <c r="J2483" s="455">
        <f t="array" ref="J2483">IFERROR(INDEX('Retirement Calculator'!K:K,MATCH('Lorri 401b'!N2483,'Retirement Calculator'!A:A,0),0),0)</f>
        <v>0</v>
      </c>
      <c r="K2483" s="455">
        <f t="shared" ca="1" si="128"/>
        <v>-52665051.922495455</v>
      </c>
      <c r="L2483" s="455">
        <f t="shared" ca="1" si="129"/>
        <v>-12692277513.321404</v>
      </c>
      <c r="M2483" s="471">
        <f t="shared" si="131"/>
        <v>0.05</v>
      </c>
      <c r="N2483" s="475">
        <f t="shared" si="132"/>
        <v>126619</v>
      </c>
    </row>
    <row r="2484" spans="7:14" ht="11.25" customHeight="1" x14ac:dyDescent="0.3">
      <c r="G2484" s="470"/>
      <c r="H2484" s="470">
        <v>2477</v>
      </c>
      <c r="I2484" s="455">
        <f t="shared" ca="1" si="130"/>
        <v>-12692277513.321404</v>
      </c>
      <c r="J2484" s="455">
        <f t="array" ref="J2484">IFERROR(INDEX('Retirement Calculator'!K:K,MATCH('Lorri 401b'!N2484,'Retirement Calculator'!A:A,0),0),0)</f>
        <v>0</v>
      </c>
      <c r="K2484" s="455">
        <f t="shared" ca="1" si="128"/>
        <v>-52884489.638839178</v>
      </c>
      <c r="L2484" s="455">
        <f t="shared" ca="1" si="129"/>
        <v>-12745162002.960243</v>
      </c>
      <c r="M2484" s="471">
        <f t="shared" si="131"/>
        <v>0.05</v>
      </c>
      <c r="N2484" s="475">
        <f t="shared" si="132"/>
        <v>126649</v>
      </c>
    </row>
    <row r="2485" spans="7:14" ht="11.25" customHeight="1" x14ac:dyDescent="0.3">
      <c r="G2485" s="470"/>
      <c r="H2485" s="470">
        <v>2478</v>
      </c>
      <c r="I2485" s="455">
        <f t="shared" ca="1" si="130"/>
        <v>-12745162002.960243</v>
      </c>
      <c r="J2485" s="455">
        <f t="array" ref="J2485">IFERROR(INDEX('Retirement Calculator'!K:K,MATCH('Lorri 401b'!N2485,'Retirement Calculator'!A:A,0),0),0)</f>
        <v>0</v>
      </c>
      <c r="K2485" s="455">
        <f t="shared" ca="1" si="128"/>
        <v>-53104841.679001011</v>
      </c>
      <c r="L2485" s="455">
        <f t="shared" ca="1" si="129"/>
        <v>-12798266844.639244</v>
      </c>
      <c r="M2485" s="471">
        <f t="shared" si="131"/>
        <v>0.05</v>
      </c>
      <c r="N2485" s="475">
        <f t="shared" si="132"/>
        <v>126680</v>
      </c>
    </row>
    <row r="2486" spans="7:14" ht="11.25" customHeight="1" x14ac:dyDescent="0.3">
      <c r="G2486" s="470"/>
      <c r="H2486" s="470">
        <v>2479</v>
      </c>
      <c r="I2486" s="455">
        <f t="shared" ca="1" si="130"/>
        <v>-12798266844.639244</v>
      </c>
      <c r="J2486" s="455">
        <f t="array" ref="J2486">IFERROR(INDEX('Retirement Calculator'!K:K,MATCH('Lorri 401b'!N2486,'Retirement Calculator'!A:A,0),0),0)</f>
        <v>0</v>
      </c>
      <c r="K2486" s="455">
        <f t="shared" ca="1" si="128"/>
        <v>-53326111.852663517</v>
      </c>
      <c r="L2486" s="455">
        <f t="shared" ca="1" si="129"/>
        <v>-12851592956.491907</v>
      </c>
      <c r="M2486" s="471">
        <f t="shared" si="131"/>
        <v>0.05</v>
      </c>
      <c r="N2486" s="475">
        <f t="shared" si="132"/>
        <v>126710</v>
      </c>
    </row>
    <row r="2487" spans="7:14" ht="11.25" customHeight="1" x14ac:dyDescent="0.3">
      <c r="G2487" s="470"/>
      <c r="H2487" s="470">
        <v>2480</v>
      </c>
      <c r="I2487" s="455">
        <f t="shared" ca="1" si="130"/>
        <v>-12851592956.491907</v>
      </c>
      <c r="J2487" s="455">
        <f t="array" ref="J2487">IFERROR(INDEX('Retirement Calculator'!K:K,MATCH('Lorri 401b'!N2487,'Retirement Calculator'!A:A,0),0),0)</f>
        <v>0</v>
      </c>
      <c r="K2487" s="455">
        <f t="shared" ca="1" si="128"/>
        <v>-53548303.985382944</v>
      </c>
      <c r="L2487" s="455">
        <f t="shared" ca="1" si="129"/>
        <v>-12905141260.477289</v>
      </c>
      <c r="M2487" s="471">
        <f t="shared" si="131"/>
        <v>0.05</v>
      </c>
      <c r="N2487" s="475">
        <f t="shared" si="132"/>
        <v>126741</v>
      </c>
    </row>
    <row r="2488" spans="7:14" ht="11.25" customHeight="1" x14ac:dyDescent="0.3">
      <c r="G2488" s="470"/>
      <c r="H2488" s="470">
        <v>2481</v>
      </c>
      <c r="I2488" s="455">
        <f t="shared" ca="1" si="130"/>
        <v>-12905141260.477289</v>
      </c>
      <c r="J2488" s="455">
        <f t="array" ref="J2488">IFERROR(INDEX('Retirement Calculator'!K:K,MATCH('Lorri 401b'!N2488,'Retirement Calculator'!A:A,0),0),0)</f>
        <v>0</v>
      </c>
      <c r="K2488" s="455">
        <f t="shared" ca="1" si="128"/>
        <v>-53771421.918655373</v>
      </c>
      <c r="L2488" s="455">
        <f t="shared" ca="1" si="129"/>
        <v>-12958912682.395945</v>
      </c>
      <c r="M2488" s="471">
        <f t="shared" si="131"/>
        <v>0.05</v>
      </c>
      <c r="N2488" s="475">
        <f t="shared" si="132"/>
        <v>126772</v>
      </c>
    </row>
    <row r="2489" spans="7:14" ht="11.25" customHeight="1" x14ac:dyDescent="0.3">
      <c r="G2489" s="470"/>
      <c r="H2489" s="470">
        <v>2482</v>
      </c>
      <c r="I2489" s="455">
        <f t="shared" ca="1" si="130"/>
        <v>-12958912682.395945</v>
      </c>
      <c r="J2489" s="455">
        <f t="array" ref="J2489">IFERROR(INDEX('Retirement Calculator'!K:K,MATCH('Lorri 401b'!N2489,'Retirement Calculator'!A:A,0),0),0)</f>
        <v>0</v>
      </c>
      <c r="K2489" s="455">
        <f t="shared" ca="1" si="128"/>
        <v>-53995469.5099831</v>
      </c>
      <c r="L2489" s="455">
        <f t="shared" ca="1" si="129"/>
        <v>-13012908151.905928</v>
      </c>
      <c r="M2489" s="471">
        <f t="shared" si="131"/>
        <v>0.05</v>
      </c>
      <c r="N2489" s="475">
        <f t="shared" si="132"/>
        <v>126800</v>
      </c>
    </row>
    <row r="2490" spans="7:14" ht="11.25" customHeight="1" x14ac:dyDescent="0.3">
      <c r="G2490" s="470"/>
      <c r="H2490" s="470">
        <v>2483</v>
      </c>
      <c r="I2490" s="455">
        <f t="shared" ca="1" si="130"/>
        <v>-13012908151.905928</v>
      </c>
      <c r="J2490" s="455">
        <f t="array" ref="J2490">IFERROR(INDEX('Retirement Calculator'!K:K,MATCH('Lorri 401b'!N2490,'Retirement Calculator'!A:A,0),0),0)</f>
        <v>0</v>
      </c>
      <c r="K2490" s="455">
        <f t="shared" ca="1" si="128"/>
        <v>-54220450.632941365</v>
      </c>
      <c r="L2490" s="455">
        <f t="shared" ca="1" si="129"/>
        <v>-13067128602.53887</v>
      </c>
      <c r="M2490" s="471">
        <f t="shared" si="131"/>
        <v>0.05</v>
      </c>
      <c r="N2490" s="475">
        <f t="shared" si="132"/>
        <v>126831</v>
      </c>
    </row>
    <row r="2491" spans="7:14" ht="11.25" customHeight="1" x14ac:dyDescent="0.3">
      <c r="G2491" s="470"/>
      <c r="H2491" s="470">
        <v>2484</v>
      </c>
      <c r="I2491" s="455">
        <f t="shared" ca="1" si="130"/>
        <v>-13067128602.53887</v>
      </c>
      <c r="J2491" s="455">
        <f t="array" ref="J2491">IFERROR(INDEX('Retirement Calculator'!K:K,MATCH('Lorri 401b'!N2491,'Retirement Calculator'!A:A,0),0),0)</f>
        <v>0</v>
      </c>
      <c r="K2491" s="455">
        <f t="shared" ca="1" si="128"/>
        <v>-54446369.177245289</v>
      </c>
      <c r="L2491" s="455">
        <f t="shared" ca="1" si="129"/>
        <v>-13121574971.716116</v>
      </c>
      <c r="M2491" s="471">
        <f t="shared" si="131"/>
        <v>0.05</v>
      </c>
      <c r="N2491" s="475">
        <f t="shared" si="132"/>
        <v>126861</v>
      </c>
    </row>
    <row r="2492" spans="7:14" ht="11.25" customHeight="1" x14ac:dyDescent="0.3">
      <c r="G2492" s="470"/>
      <c r="H2492" s="470">
        <v>2485</v>
      </c>
      <c r="I2492" s="455">
        <f t="shared" ca="1" si="130"/>
        <v>-13121574971.716116</v>
      </c>
      <c r="J2492" s="455">
        <f t="array" ref="J2492">IFERROR(INDEX('Retirement Calculator'!K:K,MATCH('Lorri 401b'!N2492,'Retirement Calculator'!A:A,0),0),0)</f>
        <v>0</v>
      </c>
      <c r="K2492" s="455">
        <f t="shared" ca="1" si="128"/>
        <v>-54673229.04881715</v>
      </c>
      <c r="L2492" s="455">
        <f t="shared" ca="1" si="129"/>
        <v>-13176248200.764933</v>
      </c>
      <c r="M2492" s="471">
        <f t="shared" si="131"/>
        <v>0.05</v>
      </c>
      <c r="N2492" s="475">
        <f t="shared" si="132"/>
        <v>126892</v>
      </c>
    </row>
    <row r="2493" spans="7:14" ht="11.25" customHeight="1" x14ac:dyDescent="0.3">
      <c r="G2493" s="470"/>
      <c r="H2493" s="470">
        <v>2486</v>
      </c>
      <c r="I2493" s="455">
        <f t="shared" ca="1" si="130"/>
        <v>-13176248200.764933</v>
      </c>
      <c r="J2493" s="455">
        <f t="array" ref="J2493">IFERROR(INDEX('Retirement Calculator'!K:K,MATCH('Lorri 401b'!N2493,'Retirement Calculator'!A:A,0),0),0)</f>
        <v>0</v>
      </c>
      <c r="K2493" s="455">
        <f t="shared" ca="1" si="128"/>
        <v>-54901034.169853888</v>
      </c>
      <c r="L2493" s="455">
        <f t="shared" ca="1" si="129"/>
        <v>-13231149234.934786</v>
      </c>
      <c r="M2493" s="471">
        <f t="shared" si="131"/>
        <v>0.05</v>
      </c>
      <c r="N2493" s="475">
        <f t="shared" si="132"/>
        <v>126922</v>
      </c>
    </row>
    <row r="2494" spans="7:14" ht="11.25" customHeight="1" x14ac:dyDescent="0.3">
      <c r="G2494" s="470"/>
      <c r="H2494" s="470">
        <v>2487</v>
      </c>
      <c r="I2494" s="455">
        <f t="shared" ca="1" si="130"/>
        <v>-13231149234.934786</v>
      </c>
      <c r="J2494" s="455">
        <f t="array" ref="J2494">IFERROR(INDEX('Retirement Calculator'!K:K,MATCH('Lorri 401b'!N2494,'Retirement Calculator'!A:A,0),0),0)</f>
        <v>0</v>
      </c>
      <c r="K2494" s="455">
        <f t="shared" ca="1" si="128"/>
        <v>-55129788.478894942</v>
      </c>
      <c r="L2494" s="455">
        <f t="shared" ca="1" si="129"/>
        <v>-13286279023.413681</v>
      </c>
      <c r="M2494" s="471">
        <f t="shared" si="131"/>
        <v>0.05</v>
      </c>
      <c r="N2494" s="475">
        <f t="shared" si="132"/>
        <v>126953</v>
      </c>
    </row>
    <row r="2495" spans="7:14" ht="11.25" customHeight="1" x14ac:dyDescent="0.3">
      <c r="G2495" s="470"/>
      <c r="H2495" s="470">
        <v>2488</v>
      </c>
      <c r="I2495" s="455">
        <f t="shared" ca="1" si="130"/>
        <v>-13286279023.413681</v>
      </c>
      <c r="J2495" s="455">
        <f t="array" ref="J2495">IFERROR(INDEX('Retirement Calculator'!K:K,MATCH('Lorri 401b'!N2495,'Retirement Calculator'!A:A,0),0),0)</f>
        <v>0</v>
      </c>
      <c r="K2495" s="455">
        <f t="shared" ca="1" si="128"/>
        <v>-55359495.930890337</v>
      </c>
      <c r="L2495" s="455">
        <f t="shared" ca="1" si="129"/>
        <v>-13341638519.344572</v>
      </c>
      <c r="M2495" s="471">
        <f t="shared" si="131"/>
        <v>0.05</v>
      </c>
      <c r="N2495" s="475">
        <f t="shared" si="132"/>
        <v>126984</v>
      </c>
    </row>
    <row r="2496" spans="7:14" ht="11.25" customHeight="1" x14ac:dyDescent="0.3">
      <c r="G2496" s="470"/>
      <c r="H2496" s="470">
        <v>2489</v>
      </c>
      <c r="I2496" s="455">
        <f t="shared" ca="1" si="130"/>
        <v>-13341638519.344572</v>
      </c>
      <c r="J2496" s="455">
        <f t="array" ref="J2496">IFERROR(INDEX('Retirement Calculator'!K:K,MATCH('Lorri 401b'!N2496,'Retirement Calculator'!A:A,0),0),0)</f>
        <v>0</v>
      </c>
      <c r="K2496" s="455">
        <f t="shared" ca="1" si="128"/>
        <v>-55590160.497269049</v>
      </c>
      <c r="L2496" s="455">
        <f t="shared" ca="1" si="129"/>
        <v>-13397228679.841841</v>
      </c>
      <c r="M2496" s="471">
        <f t="shared" si="131"/>
        <v>0.05</v>
      </c>
      <c r="N2496" s="475">
        <f t="shared" si="132"/>
        <v>127014</v>
      </c>
    </row>
    <row r="2497" spans="7:14" ht="11.25" customHeight="1" x14ac:dyDescent="0.3">
      <c r="G2497" s="470"/>
      <c r="H2497" s="470">
        <v>2490</v>
      </c>
      <c r="I2497" s="455">
        <f t="shared" ca="1" si="130"/>
        <v>-13397228679.841841</v>
      </c>
      <c r="J2497" s="455">
        <f t="array" ref="J2497">IFERROR(INDEX('Retirement Calculator'!K:K,MATCH('Lorri 401b'!N2497,'Retirement Calculator'!A:A,0),0),0)</f>
        <v>0</v>
      </c>
      <c r="K2497" s="455">
        <f t="shared" ca="1" si="128"/>
        <v>-55821786.16600766</v>
      </c>
      <c r="L2497" s="455">
        <f t="shared" ca="1" si="129"/>
        <v>-13453050466.007849</v>
      </c>
      <c r="M2497" s="471">
        <f t="shared" si="131"/>
        <v>0.05</v>
      </c>
      <c r="N2497" s="475">
        <f t="shared" si="132"/>
        <v>127045</v>
      </c>
    </row>
    <row r="2498" spans="7:14" ht="11.25" customHeight="1" x14ac:dyDescent="0.3">
      <c r="G2498" s="470"/>
      <c r="H2498" s="470">
        <v>2491</v>
      </c>
      <c r="I2498" s="455">
        <f t="shared" ca="1" si="130"/>
        <v>-13453050466.007849</v>
      </c>
      <c r="J2498" s="455">
        <f t="array" ref="J2498">IFERROR(INDEX('Retirement Calculator'!K:K,MATCH('Lorri 401b'!N2498,'Retirement Calculator'!A:A,0),0),0)</f>
        <v>0</v>
      </c>
      <c r="K2498" s="455">
        <f t="shared" ca="1" si="128"/>
        <v>-56054376.941699371</v>
      </c>
      <c r="L2498" s="455">
        <f t="shared" ca="1" si="129"/>
        <v>-13509104842.949549</v>
      </c>
      <c r="M2498" s="471">
        <f t="shared" si="131"/>
        <v>0.05</v>
      </c>
      <c r="N2498" s="475">
        <f t="shared" si="132"/>
        <v>127075</v>
      </c>
    </row>
    <row r="2499" spans="7:14" ht="11.25" customHeight="1" x14ac:dyDescent="0.3">
      <c r="G2499" s="470"/>
      <c r="H2499" s="470">
        <v>2492</v>
      </c>
      <c r="I2499" s="455">
        <f t="shared" ca="1" si="130"/>
        <v>-13509104842.949549</v>
      </c>
      <c r="J2499" s="455">
        <f t="array" ref="J2499">IFERROR(INDEX('Retirement Calculator'!K:K,MATCH('Lorri 401b'!N2499,'Retirement Calculator'!A:A,0),0),0)</f>
        <v>0</v>
      </c>
      <c r="K2499" s="455">
        <f t="shared" ca="1" si="128"/>
        <v>-56287936.845623128</v>
      </c>
      <c r="L2499" s="455">
        <f t="shared" ca="1" si="129"/>
        <v>-13565392779.795172</v>
      </c>
      <c r="M2499" s="471">
        <f t="shared" si="131"/>
        <v>0.05</v>
      </c>
      <c r="N2499" s="475">
        <f t="shared" si="132"/>
        <v>127106</v>
      </c>
    </row>
    <row r="2500" spans="7:14" ht="11.25" customHeight="1" x14ac:dyDescent="0.3">
      <c r="G2500" s="470"/>
      <c r="H2500" s="470">
        <v>2493</v>
      </c>
      <c r="I2500" s="455">
        <f t="shared" ca="1" si="130"/>
        <v>-13565392779.795172</v>
      </c>
      <c r="J2500" s="455">
        <f t="array" ref="J2500">IFERROR(INDEX('Retirement Calculator'!K:K,MATCH('Lorri 401b'!N2500,'Retirement Calculator'!A:A,0),0),0)</f>
        <v>0</v>
      </c>
      <c r="K2500" s="455">
        <f t="shared" ca="1" si="128"/>
        <v>-56522469.915813215</v>
      </c>
      <c r="L2500" s="455">
        <f t="shared" ca="1" si="129"/>
        <v>-13621915249.710985</v>
      </c>
      <c r="M2500" s="471">
        <f t="shared" si="131"/>
        <v>0.05</v>
      </c>
      <c r="N2500" s="475">
        <f t="shared" si="132"/>
        <v>127137</v>
      </c>
    </row>
    <row r="2501" spans="7:14" ht="11.25" customHeight="1" x14ac:dyDescent="0.3">
      <c r="G2501" s="470"/>
      <c r="H2501" s="470">
        <v>2494</v>
      </c>
      <c r="I2501" s="455">
        <f t="shared" ca="1" si="130"/>
        <v>-13621915249.710985</v>
      </c>
      <c r="J2501" s="455">
        <f t="array" ref="J2501">IFERROR(INDEX('Retirement Calculator'!K:K,MATCH('Lorri 401b'!N2501,'Retirement Calculator'!A:A,0),0),0)</f>
        <v>0</v>
      </c>
      <c r="K2501" s="455">
        <f t="shared" ca="1" si="128"/>
        <v>-56757980.207129113</v>
      </c>
      <c r="L2501" s="455">
        <f t="shared" ca="1" si="129"/>
        <v>-13678673229.918114</v>
      </c>
      <c r="M2501" s="471">
        <f t="shared" si="131"/>
        <v>0.05</v>
      </c>
      <c r="N2501" s="475">
        <f t="shared" si="132"/>
        <v>127166</v>
      </c>
    </row>
    <row r="2502" spans="7:14" ht="11.25" customHeight="1" x14ac:dyDescent="0.3">
      <c r="G2502" s="470"/>
      <c r="H2502" s="470">
        <v>2495</v>
      </c>
      <c r="I2502" s="455">
        <f t="shared" ca="1" si="130"/>
        <v>-13678673229.918114</v>
      </c>
      <c r="J2502" s="455">
        <f t="array" ref="J2502">IFERROR(INDEX('Retirement Calculator'!K:K,MATCH('Lorri 401b'!N2502,'Retirement Calculator'!A:A,0),0),0)</f>
        <v>0</v>
      </c>
      <c r="K2502" s="455">
        <f t="shared" ca="1" si="128"/>
        <v>-56994471.791325472</v>
      </c>
      <c r="L2502" s="455">
        <f t="shared" ca="1" si="129"/>
        <v>-13735667701.709438</v>
      </c>
      <c r="M2502" s="471">
        <f t="shared" si="131"/>
        <v>0.05</v>
      </c>
      <c r="N2502" s="475">
        <f t="shared" si="132"/>
        <v>127197</v>
      </c>
    </row>
    <row r="2503" spans="7:14" ht="11.25" customHeight="1" x14ac:dyDescent="0.3">
      <c r="G2503" s="470"/>
      <c r="H2503" s="470">
        <v>2496</v>
      </c>
      <c r="I2503" s="455">
        <f t="shared" ca="1" si="130"/>
        <v>-13735667701.709438</v>
      </c>
      <c r="J2503" s="455">
        <f t="array" ref="J2503">IFERROR(INDEX('Retirement Calculator'!K:K,MATCH('Lorri 401b'!N2503,'Retirement Calculator'!A:A,0),0),0)</f>
        <v>0</v>
      </c>
      <c r="K2503" s="455">
        <f t="shared" ca="1" si="128"/>
        <v>-57231948.757122658</v>
      </c>
      <c r="L2503" s="455">
        <f t="shared" ca="1" si="129"/>
        <v>-13792899650.46656</v>
      </c>
      <c r="M2503" s="471">
        <f t="shared" si="131"/>
        <v>0.05</v>
      </c>
      <c r="N2503" s="475">
        <f t="shared" si="132"/>
        <v>127227</v>
      </c>
    </row>
    <row r="2504" spans="7:14" ht="11.25" customHeight="1" x14ac:dyDescent="0.3">
      <c r="G2504" s="470"/>
      <c r="H2504" s="470">
        <v>2497</v>
      </c>
      <c r="I2504" s="455">
        <f t="shared" ca="1" si="130"/>
        <v>-13792899650.46656</v>
      </c>
      <c r="J2504" s="455">
        <f t="array" ref="J2504">IFERROR(INDEX('Retirement Calculator'!K:K,MATCH('Lorri 401b'!N2504,'Retirement Calculator'!A:A,0),0),0)</f>
        <v>0</v>
      </c>
      <c r="K2504" s="455">
        <f t="shared" ca="1" si="128"/>
        <v>-57470415.210277334</v>
      </c>
      <c r="L2504" s="455">
        <f t="shared" ca="1" si="129"/>
        <v>-13850370065.676838</v>
      </c>
      <c r="M2504" s="471">
        <f t="shared" si="131"/>
        <v>0.05</v>
      </c>
      <c r="N2504" s="475">
        <f t="shared" si="132"/>
        <v>127258</v>
      </c>
    </row>
    <row r="2505" spans="7:14" ht="11.25" customHeight="1" x14ac:dyDescent="0.3">
      <c r="G2505" s="470"/>
      <c r="H2505" s="470">
        <v>2498</v>
      </c>
      <c r="I2505" s="455">
        <f t="shared" ca="1" si="130"/>
        <v>-13850370065.676838</v>
      </c>
      <c r="J2505" s="455">
        <f t="array" ref="J2505">IFERROR(INDEX('Retirement Calculator'!K:K,MATCH('Lorri 401b'!N2505,'Retirement Calculator'!A:A,0),0),0)</f>
        <v>0</v>
      </c>
      <c r="K2505" s="455">
        <f t="shared" ca="1" si="128"/>
        <v>-57709875.273653492</v>
      </c>
      <c r="L2505" s="455">
        <f t="shared" ca="1" si="129"/>
        <v>-13908079940.950491</v>
      </c>
      <c r="M2505" s="471">
        <f t="shared" si="131"/>
        <v>0.05</v>
      </c>
      <c r="N2505" s="475">
        <f t="shared" si="132"/>
        <v>127288</v>
      </c>
    </row>
    <row r="2506" spans="7:14" ht="11.25" customHeight="1" x14ac:dyDescent="0.3">
      <c r="G2506" s="470"/>
      <c r="H2506" s="470">
        <v>2499</v>
      </c>
      <c r="I2506" s="455">
        <f t="shared" ca="1" si="130"/>
        <v>-13908079940.950491</v>
      </c>
      <c r="J2506" s="455">
        <f t="array" ref="J2506">IFERROR(INDEX('Retirement Calculator'!K:K,MATCH('Lorri 401b'!N2506,'Retirement Calculator'!A:A,0),0),0)</f>
        <v>0</v>
      </c>
      <c r="K2506" s="455">
        <f t="shared" ca="1" si="128"/>
        <v>-57950333.087293714</v>
      </c>
      <c r="L2506" s="455">
        <f t="shared" ca="1" si="129"/>
        <v>-13966030274.037785</v>
      </c>
      <c r="M2506" s="471">
        <f t="shared" si="131"/>
        <v>0.05</v>
      </c>
      <c r="N2506" s="475">
        <f t="shared" si="132"/>
        <v>127319</v>
      </c>
    </row>
    <row r="2507" spans="7:14" ht="11.25" customHeight="1" x14ac:dyDescent="0.3">
      <c r="G2507" s="470"/>
      <c r="H2507" s="470">
        <v>2500</v>
      </c>
      <c r="I2507" s="455">
        <f t="shared" ca="1" si="130"/>
        <v>-13966030274.037785</v>
      </c>
      <c r="J2507" s="455">
        <f t="array" ref="J2507">IFERROR(INDEX('Retirement Calculator'!K:K,MATCH('Lorri 401b'!N2507,'Retirement Calculator'!A:A,0),0),0)</f>
        <v>0</v>
      </c>
      <c r="K2507" s="455">
        <f t="shared" ca="1" si="128"/>
        <v>-58191792.808490761</v>
      </c>
      <c r="L2507" s="455">
        <f t="shared" ca="1" si="129"/>
        <v>-14024222066.846275</v>
      </c>
      <c r="M2507" s="471">
        <f t="shared" si="131"/>
        <v>0.05</v>
      </c>
      <c r="N2507" s="475">
        <f t="shared" si="132"/>
        <v>127350</v>
      </c>
    </row>
    <row r="2508" spans="7:14" ht="11.25" customHeight="1" x14ac:dyDescent="0.3">
      <c r="G2508" s="470"/>
      <c r="H2508" s="470">
        <v>2501</v>
      </c>
      <c r="I2508" s="455">
        <f t="shared" ca="1" si="130"/>
        <v>-14024222066.846275</v>
      </c>
      <c r="J2508" s="455">
        <f t="array" ref="J2508">IFERROR(INDEX('Retirement Calculator'!K:K,MATCH('Lorri 401b'!N2508,'Retirement Calculator'!A:A,0),0),0)</f>
        <v>0</v>
      </c>
      <c r="K2508" s="455">
        <f t="shared" ca="1" si="128"/>
        <v>-58434258.611859486</v>
      </c>
      <c r="L2508" s="455">
        <f t="shared" ca="1" si="129"/>
        <v>-14082656325.458136</v>
      </c>
      <c r="M2508" s="471">
        <f t="shared" si="131"/>
        <v>0.05</v>
      </c>
      <c r="N2508" s="475">
        <f t="shared" si="132"/>
        <v>127380</v>
      </c>
    </row>
    <row r="2509" spans="7:14" ht="11.25" customHeight="1" x14ac:dyDescent="0.3">
      <c r="G2509" s="470"/>
      <c r="H2509" s="470">
        <v>2502</v>
      </c>
      <c r="I2509" s="455">
        <f t="shared" ca="1" si="130"/>
        <v>-14082656325.458136</v>
      </c>
      <c r="J2509" s="455">
        <f t="array" ref="J2509">IFERROR(INDEX('Retirement Calculator'!K:K,MATCH('Lorri 401b'!N2509,'Retirement Calculator'!A:A,0),0),0)</f>
        <v>0</v>
      </c>
      <c r="K2509" s="455">
        <f t="shared" ca="1" si="128"/>
        <v>-58677734.689408891</v>
      </c>
      <c r="L2509" s="455">
        <f t="shared" ca="1" si="129"/>
        <v>-14141334060.147545</v>
      </c>
      <c r="M2509" s="471">
        <f t="shared" si="131"/>
        <v>0.05</v>
      </c>
      <c r="N2509" s="475">
        <f t="shared" si="132"/>
        <v>127411</v>
      </c>
    </row>
    <row r="2510" spans="7:14" ht="11.25" customHeight="1" x14ac:dyDescent="0.3">
      <c r="G2510" s="470"/>
      <c r="H2510" s="470">
        <v>2503</v>
      </c>
      <c r="I2510" s="455">
        <f t="shared" ca="1" si="130"/>
        <v>-14141334060.147545</v>
      </c>
      <c r="J2510" s="455">
        <f t="array" ref="J2510">IFERROR(INDEX('Retirement Calculator'!K:K,MATCH('Lorri 401b'!N2510,'Retirement Calculator'!A:A,0),0),0)</f>
        <v>0</v>
      </c>
      <c r="K2510" s="455">
        <f t="shared" ca="1" si="128"/>
        <v>-58922225.25061477</v>
      </c>
      <c r="L2510" s="455">
        <f t="shared" ca="1" si="129"/>
        <v>-14200256285.398159</v>
      </c>
      <c r="M2510" s="471">
        <f t="shared" si="131"/>
        <v>0.05</v>
      </c>
      <c r="N2510" s="475">
        <f t="shared" si="132"/>
        <v>127441</v>
      </c>
    </row>
    <row r="2511" spans="7:14" ht="11.25" customHeight="1" x14ac:dyDescent="0.3">
      <c r="G2511" s="470"/>
      <c r="H2511" s="470">
        <v>2504</v>
      </c>
      <c r="I2511" s="455">
        <f t="shared" ca="1" si="130"/>
        <v>-14200256285.398159</v>
      </c>
      <c r="J2511" s="455">
        <f t="array" ref="J2511">IFERROR(INDEX('Retirement Calculator'!K:K,MATCH('Lorri 401b'!N2511,'Retirement Calculator'!A:A,0),0),0)</f>
        <v>0</v>
      </c>
      <c r="K2511" s="455">
        <f t="shared" ca="1" si="128"/>
        <v>-59167734.522492334</v>
      </c>
      <c r="L2511" s="455">
        <f t="shared" ca="1" si="129"/>
        <v>-14259424019.92065</v>
      </c>
      <c r="M2511" s="471">
        <f t="shared" si="131"/>
        <v>0.05</v>
      </c>
      <c r="N2511" s="475">
        <f t="shared" si="132"/>
        <v>127472</v>
      </c>
    </row>
    <row r="2512" spans="7:14" ht="11.25" customHeight="1" x14ac:dyDescent="0.3">
      <c r="G2512" s="470"/>
      <c r="H2512" s="470">
        <v>2505</v>
      </c>
      <c r="I2512" s="455">
        <f t="shared" ca="1" si="130"/>
        <v>-14259424019.92065</v>
      </c>
      <c r="J2512" s="455">
        <f t="array" ref="J2512">IFERROR(INDEX('Retirement Calculator'!K:K,MATCH('Lorri 401b'!N2512,'Retirement Calculator'!A:A,0),0),0)</f>
        <v>0</v>
      </c>
      <c r="K2512" s="455">
        <f t="shared" ca="1" si="128"/>
        <v>-59414266.749669373</v>
      </c>
      <c r="L2512" s="455">
        <f t="shared" ca="1" si="129"/>
        <v>-14318838286.670321</v>
      </c>
      <c r="M2512" s="471">
        <f t="shared" si="131"/>
        <v>0.05</v>
      </c>
      <c r="N2512" s="475">
        <f t="shared" si="132"/>
        <v>127503</v>
      </c>
    </row>
    <row r="2513" spans="7:14" ht="11.25" customHeight="1" x14ac:dyDescent="0.3">
      <c r="G2513" s="470"/>
      <c r="H2513" s="470">
        <v>2506</v>
      </c>
      <c r="I2513" s="455">
        <f t="shared" ca="1" si="130"/>
        <v>-14318838286.670321</v>
      </c>
      <c r="J2513" s="455">
        <f t="array" ref="J2513">IFERROR(INDEX('Retirement Calculator'!K:K,MATCH('Lorri 401b'!N2513,'Retirement Calculator'!A:A,0),0),0)</f>
        <v>0</v>
      </c>
      <c r="K2513" s="455">
        <f t="shared" ca="1" si="128"/>
        <v>-59661826.194459662</v>
      </c>
      <c r="L2513" s="455">
        <f t="shared" ca="1" si="129"/>
        <v>-14378500112.86478</v>
      </c>
      <c r="M2513" s="471">
        <f t="shared" si="131"/>
        <v>0.05</v>
      </c>
      <c r="N2513" s="475">
        <f t="shared" si="132"/>
        <v>127531</v>
      </c>
    </row>
    <row r="2514" spans="7:14" ht="11.25" customHeight="1" x14ac:dyDescent="0.3">
      <c r="G2514" s="470"/>
      <c r="H2514" s="470">
        <v>2507</v>
      </c>
      <c r="I2514" s="455">
        <f t="shared" ca="1" si="130"/>
        <v>-14378500112.86478</v>
      </c>
      <c r="J2514" s="455">
        <f t="array" ref="J2514">IFERROR(INDEX('Retirement Calculator'!K:K,MATCH('Lorri 401b'!N2514,'Retirement Calculator'!A:A,0),0),0)</f>
        <v>0</v>
      </c>
      <c r="K2514" s="455">
        <f t="shared" ca="1" si="128"/>
        <v>-59910417.136936583</v>
      </c>
      <c r="L2514" s="455">
        <f t="shared" ca="1" si="129"/>
        <v>-14438410530.001717</v>
      </c>
      <c r="M2514" s="471">
        <f t="shared" si="131"/>
        <v>0.05</v>
      </c>
      <c r="N2514" s="475">
        <f t="shared" si="132"/>
        <v>127562</v>
      </c>
    </row>
    <row r="2515" spans="7:14" ht="11.25" customHeight="1" x14ac:dyDescent="0.3">
      <c r="G2515" s="470"/>
      <c r="H2515" s="470">
        <v>2508</v>
      </c>
      <c r="I2515" s="455">
        <f t="shared" ca="1" si="130"/>
        <v>-14438410530.001717</v>
      </c>
      <c r="J2515" s="455">
        <f t="array" ref="J2515">IFERROR(INDEX('Retirement Calculator'!K:K,MATCH('Lorri 401b'!N2515,'Retirement Calculator'!A:A,0),0),0)</f>
        <v>0</v>
      </c>
      <c r="K2515" s="455">
        <f t="shared" ca="1" si="128"/>
        <v>-60160043.875007153</v>
      </c>
      <c r="L2515" s="455">
        <f t="shared" ca="1" si="129"/>
        <v>-14498570573.876724</v>
      </c>
      <c r="M2515" s="471">
        <f t="shared" si="131"/>
        <v>0.05</v>
      </c>
      <c r="N2515" s="475">
        <f t="shared" si="132"/>
        <v>127592</v>
      </c>
    </row>
    <row r="2516" spans="7:14" ht="11.25" customHeight="1" x14ac:dyDescent="0.3">
      <c r="G2516" s="470"/>
      <c r="H2516" s="470">
        <v>2509</v>
      </c>
      <c r="I2516" s="455">
        <f t="shared" ca="1" si="130"/>
        <v>-14498570573.876724</v>
      </c>
      <c r="J2516" s="455">
        <f t="array" ref="J2516">IFERROR(INDEX('Retirement Calculator'!K:K,MATCH('Lorri 401b'!N2516,'Retirement Calculator'!A:A,0),0),0)</f>
        <v>0</v>
      </c>
      <c r="K2516" s="455">
        <f t="shared" ca="1" si="128"/>
        <v>-60410710.724486351</v>
      </c>
      <c r="L2516" s="455">
        <f t="shared" ca="1" si="129"/>
        <v>-14558981284.601212</v>
      </c>
      <c r="M2516" s="471">
        <f t="shared" si="131"/>
        <v>0.05</v>
      </c>
      <c r="N2516" s="475">
        <f t="shared" si="132"/>
        <v>127623</v>
      </c>
    </row>
    <row r="2517" spans="7:14" ht="11.25" customHeight="1" x14ac:dyDescent="0.3">
      <c r="G2517" s="470"/>
      <c r="H2517" s="470">
        <v>2510</v>
      </c>
      <c r="I2517" s="455">
        <f t="shared" ca="1" si="130"/>
        <v>-14558981284.601212</v>
      </c>
      <c r="J2517" s="455">
        <f t="array" ref="J2517">IFERROR(INDEX('Retirement Calculator'!K:K,MATCH('Lorri 401b'!N2517,'Retirement Calculator'!A:A,0),0),0)</f>
        <v>0</v>
      </c>
      <c r="K2517" s="455">
        <f t="shared" ca="1" si="128"/>
        <v>-60662422.019171715</v>
      </c>
      <c r="L2517" s="455">
        <f t="shared" ca="1" si="129"/>
        <v>-14619643706.620384</v>
      </c>
      <c r="M2517" s="471">
        <f t="shared" si="131"/>
        <v>0.05</v>
      </c>
      <c r="N2517" s="475">
        <f t="shared" si="132"/>
        <v>127653</v>
      </c>
    </row>
    <row r="2518" spans="7:14" ht="11.25" customHeight="1" x14ac:dyDescent="0.3">
      <c r="G2518" s="470"/>
      <c r="H2518" s="470">
        <v>2511</v>
      </c>
      <c r="I2518" s="455">
        <f t="shared" ca="1" si="130"/>
        <v>-14619643706.620384</v>
      </c>
      <c r="J2518" s="455">
        <f t="array" ref="J2518">IFERROR(INDEX('Retirement Calculator'!K:K,MATCH('Lorri 401b'!N2518,'Retirement Calculator'!A:A,0),0),0)</f>
        <v>0</v>
      </c>
      <c r="K2518" s="455">
        <f t="shared" ca="1" si="128"/>
        <v>-60915182.110918261</v>
      </c>
      <c r="L2518" s="455">
        <f t="shared" ca="1" si="129"/>
        <v>-14680558888.731302</v>
      </c>
      <c r="M2518" s="471">
        <f t="shared" si="131"/>
        <v>0.05</v>
      </c>
      <c r="N2518" s="475">
        <f t="shared" si="132"/>
        <v>127684</v>
      </c>
    </row>
    <row r="2519" spans="7:14" ht="11.25" customHeight="1" x14ac:dyDescent="0.3">
      <c r="G2519" s="470"/>
      <c r="H2519" s="470">
        <v>2512</v>
      </c>
      <c r="I2519" s="455">
        <f t="shared" ca="1" si="130"/>
        <v>-14680558888.731302</v>
      </c>
      <c r="J2519" s="455">
        <f t="array" ref="J2519">IFERROR(INDEX('Retirement Calculator'!K:K,MATCH('Lorri 401b'!N2519,'Retirement Calculator'!A:A,0),0),0)</f>
        <v>0</v>
      </c>
      <c r="K2519" s="455">
        <f t="shared" ca="1" si="128"/>
        <v>-61168995.369713761</v>
      </c>
      <c r="L2519" s="455">
        <f t="shared" ca="1" si="129"/>
        <v>-14741727884.101015</v>
      </c>
      <c r="M2519" s="471">
        <f t="shared" si="131"/>
        <v>0.05</v>
      </c>
      <c r="N2519" s="475">
        <f t="shared" si="132"/>
        <v>127715</v>
      </c>
    </row>
    <row r="2520" spans="7:14" ht="11.25" customHeight="1" x14ac:dyDescent="0.3">
      <c r="G2520" s="470"/>
      <c r="H2520" s="470">
        <v>2513</v>
      </c>
      <c r="I2520" s="455">
        <f t="shared" ca="1" si="130"/>
        <v>-14741727884.101015</v>
      </c>
      <c r="J2520" s="455">
        <f t="array" ref="J2520">IFERROR(INDEX('Retirement Calculator'!K:K,MATCH('Lorri 401b'!N2520,'Retirement Calculator'!A:A,0),0),0)</f>
        <v>0</v>
      </c>
      <c r="K2520" s="455">
        <f t="shared" ca="1" si="128"/>
        <v>-61423866.183754228</v>
      </c>
      <c r="L2520" s="455">
        <f t="shared" ca="1" si="129"/>
        <v>-14803151750.284769</v>
      </c>
      <c r="M2520" s="471">
        <f t="shared" si="131"/>
        <v>0.05</v>
      </c>
      <c r="N2520" s="475">
        <f t="shared" si="132"/>
        <v>127745</v>
      </c>
    </row>
    <row r="2521" spans="7:14" ht="11.25" customHeight="1" x14ac:dyDescent="0.3">
      <c r="G2521" s="470"/>
      <c r="H2521" s="470">
        <v>2514</v>
      </c>
      <c r="I2521" s="455">
        <f t="shared" ca="1" si="130"/>
        <v>-14803151750.284769</v>
      </c>
      <c r="J2521" s="455">
        <f t="array" ref="J2521">IFERROR(INDEX('Retirement Calculator'!K:K,MATCH('Lorri 401b'!N2521,'Retirement Calculator'!A:A,0),0),0)</f>
        <v>0</v>
      </c>
      <c r="K2521" s="455">
        <f t="shared" ca="1" si="128"/>
        <v>-61679798.959519871</v>
      </c>
      <c r="L2521" s="455">
        <f t="shared" ca="1" si="129"/>
        <v>-14864831549.244289</v>
      </c>
      <c r="M2521" s="471">
        <f t="shared" si="131"/>
        <v>0.05</v>
      </c>
      <c r="N2521" s="475">
        <f t="shared" si="132"/>
        <v>127776</v>
      </c>
    </row>
    <row r="2522" spans="7:14" ht="11.25" customHeight="1" x14ac:dyDescent="0.3">
      <c r="G2522" s="470"/>
      <c r="H2522" s="470">
        <v>2515</v>
      </c>
      <c r="I2522" s="455">
        <f t="shared" ca="1" si="130"/>
        <v>-14864831549.244289</v>
      </c>
      <c r="J2522" s="455">
        <f t="array" ref="J2522">IFERROR(INDEX('Retirement Calculator'!K:K,MATCH('Lorri 401b'!N2522,'Retirement Calculator'!A:A,0),0),0)</f>
        <v>0</v>
      </c>
      <c r="K2522" s="455">
        <f t="shared" ca="1" si="128"/>
        <v>-61936798.121851206</v>
      </c>
      <c r="L2522" s="455">
        <f t="shared" ca="1" si="129"/>
        <v>-14926768347.36614</v>
      </c>
      <c r="M2522" s="471">
        <f t="shared" si="131"/>
        <v>0.05</v>
      </c>
      <c r="N2522" s="475">
        <f t="shared" si="132"/>
        <v>127806</v>
      </c>
    </row>
    <row r="2523" spans="7:14" ht="11.25" customHeight="1" x14ac:dyDescent="0.3">
      <c r="G2523" s="470"/>
      <c r="H2523" s="470">
        <v>2516</v>
      </c>
      <c r="I2523" s="455">
        <f t="shared" ca="1" si="130"/>
        <v>-14926768347.36614</v>
      </c>
      <c r="J2523" s="455">
        <f t="array" ref="J2523">IFERROR(INDEX('Retirement Calculator'!K:K,MATCH('Lorri 401b'!N2523,'Retirement Calculator'!A:A,0),0),0)</f>
        <v>0</v>
      </c>
      <c r="K2523" s="455">
        <f t="shared" ca="1" si="128"/>
        <v>-62194868.114025593</v>
      </c>
      <c r="L2523" s="455">
        <f t="shared" ca="1" si="129"/>
        <v>-14988963215.480165</v>
      </c>
      <c r="M2523" s="471">
        <f t="shared" si="131"/>
        <v>0.05</v>
      </c>
      <c r="N2523" s="475">
        <f t="shared" si="132"/>
        <v>127837</v>
      </c>
    </row>
    <row r="2524" spans="7:14" ht="11.25" customHeight="1" x14ac:dyDescent="0.3">
      <c r="G2524" s="470"/>
      <c r="H2524" s="470">
        <v>2517</v>
      </c>
      <c r="I2524" s="455">
        <f t="shared" ca="1" si="130"/>
        <v>-14988963215.480165</v>
      </c>
      <c r="J2524" s="455">
        <f t="array" ref="J2524">IFERROR(INDEX('Retirement Calculator'!K:K,MATCH('Lorri 401b'!N2524,'Retirement Calculator'!A:A,0),0),0)</f>
        <v>0</v>
      </c>
      <c r="K2524" s="455">
        <f t="shared" ca="1" si="128"/>
        <v>-62454013.39783401</v>
      </c>
      <c r="L2524" s="455">
        <f t="shared" ca="1" si="129"/>
        <v>-15051417228.878</v>
      </c>
      <c r="M2524" s="471">
        <f t="shared" si="131"/>
        <v>0.05</v>
      </c>
      <c r="N2524" s="475">
        <f t="shared" si="132"/>
        <v>127868</v>
      </c>
    </row>
    <row r="2525" spans="7:14" ht="11.25" customHeight="1" x14ac:dyDescent="0.3">
      <c r="G2525" s="470"/>
      <c r="H2525" s="470">
        <v>2518</v>
      </c>
      <c r="I2525" s="455">
        <f t="shared" ca="1" si="130"/>
        <v>-15051417228.878</v>
      </c>
      <c r="J2525" s="455">
        <f t="array" ref="J2525">IFERROR(INDEX('Retirement Calculator'!K:K,MATCH('Lorri 401b'!N2525,'Retirement Calculator'!A:A,0),0),0)</f>
        <v>0</v>
      </c>
      <c r="K2525" s="455">
        <f t="shared" ca="1" si="128"/>
        <v>-62714238.453658335</v>
      </c>
      <c r="L2525" s="455">
        <f t="shared" ca="1" si="129"/>
        <v>-15114131467.331659</v>
      </c>
      <c r="M2525" s="471">
        <f t="shared" si="131"/>
        <v>0.05</v>
      </c>
      <c r="N2525" s="475">
        <f t="shared" si="132"/>
        <v>127896</v>
      </c>
    </row>
    <row r="2526" spans="7:14" ht="11.25" customHeight="1" x14ac:dyDescent="0.3">
      <c r="G2526" s="470"/>
      <c r="H2526" s="470">
        <v>2519</v>
      </c>
      <c r="I2526" s="455">
        <f t="shared" ca="1" si="130"/>
        <v>-15114131467.331659</v>
      </c>
      <c r="J2526" s="455">
        <f t="array" ref="J2526">IFERROR(INDEX('Retirement Calculator'!K:K,MATCH('Lorri 401b'!N2526,'Retirement Calculator'!A:A,0),0),0)</f>
        <v>0</v>
      </c>
      <c r="K2526" s="455">
        <f t="shared" ca="1" si="128"/>
        <v>-62975547.78054858</v>
      </c>
      <c r="L2526" s="455">
        <f t="shared" ca="1" si="129"/>
        <v>-15177107015.112207</v>
      </c>
      <c r="M2526" s="471">
        <f t="shared" si="131"/>
        <v>0.05</v>
      </c>
      <c r="N2526" s="475">
        <f t="shared" si="132"/>
        <v>127927</v>
      </c>
    </row>
    <row r="2527" spans="7:14" ht="11.25" customHeight="1" x14ac:dyDescent="0.3">
      <c r="G2527" s="470"/>
      <c r="H2527" s="470">
        <v>2520</v>
      </c>
      <c r="I2527" s="455">
        <f t="shared" ca="1" si="130"/>
        <v>-15177107015.112207</v>
      </c>
      <c r="J2527" s="455">
        <f t="array" ref="J2527">IFERROR(INDEX('Retirement Calculator'!K:K,MATCH('Lorri 401b'!N2527,'Retirement Calculator'!A:A,0),0),0)</f>
        <v>0</v>
      </c>
      <c r="K2527" s="455">
        <f t="shared" ca="1" si="128"/>
        <v>-63237945.89630086</v>
      </c>
      <c r="L2527" s="455">
        <f t="shared" ca="1" si="129"/>
        <v>-15240344961.008509</v>
      </c>
      <c r="M2527" s="471">
        <f t="shared" si="131"/>
        <v>0.05</v>
      </c>
      <c r="N2527" s="475">
        <f t="shared" si="132"/>
        <v>127957</v>
      </c>
    </row>
    <row r="2528" spans="7:14" ht="11.25" customHeight="1" x14ac:dyDescent="0.3">
      <c r="G2528" s="470"/>
      <c r="H2528" s="470">
        <v>2521</v>
      </c>
      <c r="I2528" s="455">
        <f t="shared" ca="1" si="130"/>
        <v>-15240344961.008509</v>
      </c>
      <c r="J2528" s="455">
        <f t="array" ref="J2528">IFERROR(INDEX('Retirement Calculator'!K:K,MATCH('Lorri 401b'!N2528,'Retirement Calculator'!A:A,0),0),0)</f>
        <v>0</v>
      </c>
      <c r="K2528" s="455">
        <f t="shared" ca="1" si="128"/>
        <v>-63501437.337535448</v>
      </c>
      <c r="L2528" s="455">
        <f t="shared" ca="1" si="129"/>
        <v>-15303846398.346045</v>
      </c>
      <c r="M2528" s="471">
        <f t="shared" si="131"/>
        <v>0.05</v>
      </c>
      <c r="N2528" s="475">
        <f t="shared" si="132"/>
        <v>127988</v>
      </c>
    </row>
    <row r="2529" spans="7:14" ht="11.25" customHeight="1" x14ac:dyDescent="0.3">
      <c r="G2529" s="470"/>
      <c r="H2529" s="470">
        <v>2522</v>
      </c>
      <c r="I2529" s="455">
        <f t="shared" ca="1" si="130"/>
        <v>-15303846398.346045</v>
      </c>
      <c r="J2529" s="455">
        <f t="array" ref="J2529">IFERROR(INDEX('Retirement Calculator'!K:K,MATCH('Lorri 401b'!N2529,'Retirement Calculator'!A:A,0),0),0)</f>
        <v>0</v>
      </c>
      <c r="K2529" s="455">
        <f t="shared" ca="1" si="128"/>
        <v>-63766026.659775183</v>
      </c>
      <c r="L2529" s="455">
        <f t="shared" ca="1" si="129"/>
        <v>-15367612425.005819</v>
      </c>
      <c r="M2529" s="471">
        <f t="shared" si="131"/>
        <v>0.05</v>
      </c>
      <c r="N2529" s="475">
        <f t="shared" si="132"/>
        <v>128018</v>
      </c>
    </row>
    <row r="2530" spans="7:14" ht="11.25" customHeight="1" x14ac:dyDescent="0.3">
      <c r="G2530" s="470"/>
      <c r="H2530" s="470">
        <v>2523</v>
      </c>
      <c r="I2530" s="455">
        <f t="shared" ca="1" si="130"/>
        <v>-15367612425.005819</v>
      </c>
      <c r="J2530" s="455">
        <f t="array" ref="J2530">IFERROR(INDEX('Retirement Calculator'!K:K,MATCH('Lorri 401b'!N2530,'Retirement Calculator'!A:A,0),0),0)</f>
        <v>0</v>
      </c>
      <c r="K2530" s="455">
        <f t="shared" ca="1" si="128"/>
        <v>-64031718.437524244</v>
      </c>
      <c r="L2530" s="455">
        <f t="shared" ca="1" si="129"/>
        <v>-15431644143.443344</v>
      </c>
      <c r="M2530" s="471">
        <f t="shared" si="131"/>
        <v>0.05</v>
      </c>
      <c r="N2530" s="475">
        <f t="shared" si="132"/>
        <v>128049</v>
      </c>
    </row>
    <row r="2531" spans="7:14" ht="11.25" customHeight="1" x14ac:dyDescent="0.3">
      <c r="G2531" s="470"/>
      <c r="H2531" s="470">
        <v>2524</v>
      </c>
      <c r="I2531" s="455">
        <f t="shared" ca="1" si="130"/>
        <v>-15431644143.443344</v>
      </c>
      <c r="J2531" s="455">
        <f t="array" ref="J2531">IFERROR(INDEX('Retirement Calculator'!K:K,MATCH('Lorri 401b'!N2531,'Retirement Calculator'!A:A,0),0),0)</f>
        <v>0</v>
      </c>
      <c r="K2531" s="455">
        <f t="shared" ca="1" si="128"/>
        <v>-64298517.264347263</v>
      </c>
      <c r="L2531" s="455">
        <f t="shared" ca="1" si="129"/>
        <v>-15495942660.707691</v>
      </c>
      <c r="M2531" s="471">
        <f t="shared" si="131"/>
        <v>0.05</v>
      </c>
      <c r="N2531" s="475">
        <f t="shared" si="132"/>
        <v>128080</v>
      </c>
    </row>
    <row r="2532" spans="7:14" ht="11.25" customHeight="1" x14ac:dyDescent="0.3">
      <c r="G2532" s="470"/>
      <c r="H2532" s="470">
        <v>2525</v>
      </c>
      <c r="I2532" s="455">
        <f t="shared" ca="1" si="130"/>
        <v>-15495942660.707691</v>
      </c>
      <c r="J2532" s="455">
        <f t="array" ref="J2532">IFERROR(INDEX('Retirement Calculator'!K:K,MATCH('Lorri 401b'!N2532,'Retirement Calculator'!A:A,0),0),0)</f>
        <v>0</v>
      </c>
      <c r="K2532" s="455">
        <f t="shared" ca="1" si="128"/>
        <v>-64566427.752948701</v>
      </c>
      <c r="L2532" s="455">
        <f t="shared" ca="1" si="129"/>
        <v>-15560509088.46064</v>
      </c>
      <c r="M2532" s="471">
        <f t="shared" si="131"/>
        <v>0.05</v>
      </c>
      <c r="N2532" s="475">
        <f t="shared" si="132"/>
        <v>128110</v>
      </c>
    </row>
    <row r="2533" spans="7:14" ht="11.25" customHeight="1" x14ac:dyDescent="0.3">
      <c r="G2533" s="470"/>
      <c r="H2533" s="470">
        <v>2526</v>
      </c>
      <c r="I2533" s="455">
        <f t="shared" ca="1" si="130"/>
        <v>-15560509088.46064</v>
      </c>
      <c r="J2533" s="455">
        <f t="array" ref="J2533">IFERROR(INDEX('Retirement Calculator'!K:K,MATCH('Lorri 401b'!N2533,'Retirement Calculator'!A:A,0),0),0)</f>
        <v>0</v>
      </c>
      <c r="K2533" s="455">
        <f t="shared" ca="1" si="128"/>
        <v>-64835454.535252668</v>
      </c>
      <c r="L2533" s="455">
        <f t="shared" ca="1" si="129"/>
        <v>-15625344542.995893</v>
      </c>
      <c r="M2533" s="471">
        <f t="shared" si="131"/>
        <v>0.05</v>
      </c>
      <c r="N2533" s="475">
        <f t="shared" si="132"/>
        <v>128141</v>
      </c>
    </row>
    <row r="2534" spans="7:14" ht="11.25" customHeight="1" x14ac:dyDescent="0.3">
      <c r="G2534" s="470"/>
      <c r="H2534" s="470">
        <v>2527</v>
      </c>
      <c r="I2534" s="455">
        <f t="shared" ca="1" si="130"/>
        <v>-15625344542.995893</v>
      </c>
      <c r="J2534" s="455">
        <f t="array" ref="J2534">IFERROR(INDEX('Retirement Calculator'!K:K,MATCH('Lorri 401b'!N2534,'Retirement Calculator'!A:A,0),0),0)</f>
        <v>0</v>
      </c>
      <c r="K2534" s="455">
        <f t="shared" ca="1" si="128"/>
        <v>-65105602.262482889</v>
      </c>
      <c r="L2534" s="455">
        <f t="shared" ca="1" si="129"/>
        <v>-15690450145.258377</v>
      </c>
      <c r="M2534" s="471">
        <f t="shared" si="131"/>
        <v>0.05</v>
      </c>
      <c r="N2534" s="475">
        <f t="shared" si="132"/>
        <v>128171</v>
      </c>
    </row>
    <row r="2535" spans="7:14" ht="11.25" customHeight="1" x14ac:dyDescent="0.3">
      <c r="G2535" s="470"/>
      <c r="H2535" s="470">
        <v>2528</v>
      </c>
      <c r="I2535" s="455">
        <f t="shared" ca="1" si="130"/>
        <v>-15690450145.258377</v>
      </c>
      <c r="J2535" s="455">
        <f t="array" ref="J2535">IFERROR(INDEX('Retirement Calculator'!K:K,MATCH('Lorri 401b'!N2535,'Retirement Calculator'!A:A,0),0),0)</f>
        <v>0</v>
      </c>
      <c r="K2535" s="455">
        <f t="shared" ca="1" si="128"/>
        <v>-65376875.605243236</v>
      </c>
      <c r="L2535" s="455">
        <f t="shared" ca="1" si="129"/>
        <v>-15755827020.863621</v>
      </c>
      <c r="M2535" s="471">
        <f t="shared" si="131"/>
        <v>0.05</v>
      </c>
      <c r="N2535" s="475">
        <f t="shared" si="132"/>
        <v>128202</v>
      </c>
    </row>
    <row r="2536" spans="7:14" ht="11.25" customHeight="1" x14ac:dyDescent="0.3">
      <c r="G2536" s="470"/>
      <c r="H2536" s="470">
        <v>2529</v>
      </c>
      <c r="I2536" s="455">
        <f t="shared" ca="1" si="130"/>
        <v>-15755827020.863621</v>
      </c>
      <c r="J2536" s="455">
        <f t="array" ref="J2536">IFERROR(INDEX('Retirement Calculator'!K:K,MATCH('Lorri 401b'!N2536,'Retirement Calculator'!A:A,0),0),0)</f>
        <v>0</v>
      </c>
      <c r="K2536" s="455">
        <f t="shared" ca="1" si="128"/>
        <v>-65649279.253598422</v>
      </c>
      <c r="L2536" s="455">
        <f t="shared" ca="1" si="129"/>
        <v>-15821476300.11722</v>
      </c>
      <c r="M2536" s="471">
        <f t="shared" si="131"/>
        <v>0.05</v>
      </c>
      <c r="N2536" s="475">
        <f t="shared" si="132"/>
        <v>128233</v>
      </c>
    </row>
    <row r="2537" spans="7:14" ht="11.25" customHeight="1" x14ac:dyDescent="0.3">
      <c r="G2537" s="470"/>
      <c r="H2537" s="470">
        <v>2530</v>
      </c>
      <c r="I2537" s="455">
        <f t="shared" ca="1" si="130"/>
        <v>-15821476300.11722</v>
      </c>
      <c r="J2537" s="455">
        <f t="array" ref="J2537">IFERROR(INDEX('Retirement Calculator'!K:K,MATCH('Lorri 401b'!N2537,'Retirement Calculator'!A:A,0),0),0)</f>
        <v>0</v>
      </c>
      <c r="K2537" s="455">
        <f t="shared" ca="1" si="128"/>
        <v>-65922817.91715508</v>
      </c>
      <c r="L2537" s="455">
        <f t="shared" ca="1" si="129"/>
        <v>-15887399118.034374</v>
      </c>
      <c r="M2537" s="471">
        <f t="shared" si="131"/>
        <v>0.05</v>
      </c>
      <c r="N2537" s="475">
        <f t="shared" si="132"/>
        <v>128261</v>
      </c>
    </row>
    <row r="2538" spans="7:14" ht="11.25" customHeight="1" x14ac:dyDescent="0.3">
      <c r="G2538" s="470"/>
      <c r="H2538" s="470">
        <v>2531</v>
      </c>
      <c r="I2538" s="455">
        <f t="shared" ca="1" si="130"/>
        <v>-15887399118.034374</v>
      </c>
      <c r="J2538" s="455">
        <f t="array" ref="J2538">IFERROR(INDEX('Retirement Calculator'!K:K,MATCH('Lorri 401b'!N2538,'Retirement Calculator'!A:A,0),0),0)</f>
        <v>0</v>
      </c>
      <c r="K2538" s="455">
        <f t="shared" ca="1" si="128"/>
        <v>-66197496.325143225</v>
      </c>
      <c r="L2538" s="455">
        <f t="shared" ca="1" si="129"/>
        <v>-15953596614.359518</v>
      </c>
      <c r="M2538" s="471">
        <f t="shared" si="131"/>
        <v>0.05</v>
      </c>
      <c r="N2538" s="475">
        <f t="shared" si="132"/>
        <v>128292</v>
      </c>
    </row>
    <row r="2539" spans="7:14" ht="11.25" customHeight="1" x14ac:dyDescent="0.3">
      <c r="G2539" s="470"/>
      <c r="H2539" s="470">
        <v>2532</v>
      </c>
      <c r="I2539" s="455">
        <f t="shared" ca="1" si="130"/>
        <v>-15953596614.359518</v>
      </c>
      <c r="J2539" s="455">
        <f t="array" ref="J2539">IFERROR(INDEX('Retirement Calculator'!K:K,MATCH('Lorri 401b'!N2539,'Retirement Calculator'!A:A,0),0),0)</f>
        <v>0</v>
      </c>
      <c r="K2539" s="455">
        <f t="shared" ca="1" si="128"/>
        <v>-66473319.226497985</v>
      </c>
      <c r="L2539" s="455">
        <f t="shared" ca="1" si="129"/>
        <v>-16020069933.586016</v>
      </c>
      <c r="M2539" s="471">
        <f t="shared" si="131"/>
        <v>0.05</v>
      </c>
      <c r="N2539" s="475">
        <f t="shared" si="132"/>
        <v>128322</v>
      </c>
    </row>
    <row r="2540" spans="7:14" ht="11.25" customHeight="1" x14ac:dyDescent="0.3">
      <c r="G2540" s="470"/>
      <c r="H2540" s="470">
        <v>2533</v>
      </c>
      <c r="I2540" s="455">
        <f t="shared" ca="1" si="130"/>
        <v>-16020069933.586016</v>
      </c>
      <c r="J2540" s="455">
        <f t="array" ref="J2540">IFERROR(INDEX('Retirement Calculator'!K:K,MATCH('Lorri 401b'!N2540,'Retirement Calculator'!A:A,0),0),0)</f>
        <v>0</v>
      </c>
      <c r="K2540" s="455">
        <f t="shared" ca="1" si="128"/>
        <v>-66750291.389941722</v>
      </c>
      <c r="L2540" s="455">
        <f t="shared" ca="1" si="129"/>
        <v>-16086820224.975958</v>
      </c>
      <c r="M2540" s="471">
        <f t="shared" si="131"/>
        <v>0.05</v>
      </c>
      <c r="N2540" s="475">
        <f t="shared" si="132"/>
        <v>128353</v>
      </c>
    </row>
    <row r="2541" spans="7:14" ht="11.25" customHeight="1" x14ac:dyDescent="0.3">
      <c r="G2541" s="470"/>
      <c r="H2541" s="470">
        <v>2534</v>
      </c>
      <c r="I2541" s="455">
        <f t="shared" ca="1" si="130"/>
        <v>-16086820224.975958</v>
      </c>
      <c r="J2541" s="455">
        <f t="array" ref="J2541">IFERROR(INDEX('Retirement Calculator'!K:K,MATCH('Lorri 401b'!N2541,'Retirement Calculator'!A:A,0),0),0)</f>
        <v>0</v>
      </c>
      <c r="K2541" s="455">
        <f t="shared" ca="1" si="128"/>
        <v>-67028417.604066491</v>
      </c>
      <c r="L2541" s="455">
        <f t="shared" ca="1" si="129"/>
        <v>-16153848642.580025</v>
      </c>
      <c r="M2541" s="471">
        <f t="shared" si="131"/>
        <v>0.05</v>
      </c>
      <c r="N2541" s="475">
        <f t="shared" si="132"/>
        <v>128383</v>
      </c>
    </row>
    <row r="2542" spans="7:14" ht="11.25" customHeight="1" x14ac:dyDescent="0.3">
      <c r="G2542" s="470"/>
      <c r="H2542" s="470">
        <v>2535</v>
      </c>
      <c r="I2542" s="455">
        <f t="shared" ca="1" si="130"/>
        <v>-16153848642.580025</v>
      </c>
      <c r="J2542" s="455">
        <f t="array" ref="J2542">IFERROR(INDEX('Retirement Calculator'!K:K,MATCH('Lorri 401b'!N2542,'Retirement Calculator'!A:A,0),0),0)</f>
        <v>0</v>
      </c>
      <c r="K2542" s="455">
        <f t="shared" ca="1" si="128"/>
        <v>-67307702.677416772</v>
      </c>
      <c r="L2542" s="455">
        <f t="shared" ca="1" si="129"/>
        <v>-16221156345.257441</v>
      </c>
      <c r="M2542" s="471">
        <f t="shared" si="131"/>
        <v>0.05</v>
      </c>
      <c r="N2542" s="475">
        <f t="shared" si="132"/>
        <v>128414</v>
      </c>
    </row>
    <row r="2543" spans="7:14" ht="11.25" customHeight="1" x14ac:dyDescent="0.3">
      <c r="G2543" s="470"/>
      <c r="H2543" s="470">
        <v>2536</v>
      </c>
      <c r="I2543" s="455">
        <f t="shared" ca="1" si="130"/>
        <v>-16221156345.257441</v>
      </c>
      <c r="J2543" s="455">
        <f t="array" ref="J2543">IFERROR(INDEX('Retirement Calculator'!K:K,MATCH('Lorri 401b'!N2543,'Retirement Calculator'!A:A,0),0),0)</f>
        <v>0</v>
      </c>
      <c r="K2543" s="455">
        <f t="shared" ca="1" si="128"/>
        <v>-67588151.43857266</v>
      </c>
      <c r="L2543" s="455">
        <f t="shared" ca="1" si="129"/>
        <v>-16288744496.696012</v>
      </c>
      <c r="M2543" s="471">
        <f t="shared" si="131"/>
        <v>0.05</v>
      </c>
      <c r="N2543" s="475">
        <f t="shared" si="132"/>
        <v>128445</v>
      </c>
    </row>
    <row r="2544" spans="7:14" ht="11.25" customHeight="1" x14ac:dyDescent="0.3">
      <c r="G2544" s="470"/>
      <c r="H2544" s="470">
        <v>2537</v>
      </c>
      <c r="I2544" s="455">
        <f t="shared" ca="1" si="130"/>
        <v>-16288744496.696012</v>
      </c>
      <c r="J2544" s="455">
        <f t="array" ref="J2544">IFERROR(INDEX('Retirement Calculator'!K:K,MATCH('Lorri 401b'!N2544,'Retirement Calculator'!A:A,0),0),0)</f>
        <v>0</v>
      </c>
      <c r="K2544" s="455">
        <f t="shared" ca="1" si="128"/>
        <v>-67869768.736233383</v>
      </c>
      <c r="L2544" s="455">
        <f t="shared" ca="1" si="129"/>
        <v>-16356614265.432245</v>
      </c>
      <c r="M2544" s="471">
        <f t="shared" si="131"/>
        <v>0.05</v>
      </c>
      <c r="N2544" s="475">
        <f t="shared" si="132"/>
        <v>128475</v>
      </c>
    </row>
    <row r="2545" spans="7:14" ht="11.25" customHeight="1" x14ac:dyDescent="0.3">
      <c r="G2545" s="470"/>
      <c r="H2545" s="470">
        <v>2538</v>
      </c>
      <c r="I2545" s="455">
        <f t="shared" ca="1" si="130"/>
        <v>-16356614265.432245</v>
      </c>
      <c r="J2545" s="455">
        <f t="array" ref="J2545">IFERROR(INDEX('Retirement Calculator'!K:K,MATCH('Lorri 401b'!N2545,'Retirement Calculator'!A:A,0),0),0)</f>
        <v>0</v>
      </c>
      <c r="K2545" s="455">
        <f t="shared" ca="1" si="128"/>
        <v>-68152559.439301014</v>
      </c>
      <c r="L2545" s="455">
        <f t="shared" ca="1" si="129"/>
        <v>-16424766824.871546</v>
      </c>
      <c r="M2545" s="471">
        <f t="shared" si="131"/>
        <v>0.05</v>
      </c>
      <c r="N2545" s="475">
        <f t="shared" si="132"/>
        <v>128506</v>
      </c>
    </row>
    <row r="2546" spans="7:14" ht="11.25" customHeight="1" x14ac:dyDescent="0.3">
      <c r="G2546" s="470"/>
      <c r="H2546" s="470">
        <v>2539</v>
      </c>
      <c r="I2546" s="455">
        <f t="shared" ca="1" si="130"/>
        <v>-16424766824.871546</v>
      </c>
      <c r="J2546" s="455">
        <f t="array" ref="J2546">IFERROR(INDEX('Retirement Calculator'!K:K,MATCH('Lorri 401b'!N2546,'Retirement Calculator'!A:A,0),0),0)</f>
        <v>0</v>
      </c>
      <c r="K2546" s="455">
        <f t="shared" ca="1" si="128"/>
        <v>-68436528.436964765</v>
      </c>
      <c r="L2546" s="455">
        <f t="shared" ca="1" si="129"/>
        <v>-16493203353.30851</v>
      </c>
      <c r="M2546" s="471">
        <f t="shared" si="131"/>
        <v>0.05</v>
      </c>
      <c r="N2546" s="475">
        <f t="shared" si="132"/>
        <v>128536</v>
      </c>
    </row>
    <row r="2547" spans="7:14" ht="11.25" customHeight="1" x14ac:dyDescent="0.3">
      <c r="G2547" s="470"/>
      <c r="H2547" s="470">
        <v>2540</v>
      </c>
      <c r="I2547" s="455">
        <f t="shared" ca="1" si="130"/>
        <v>-16493203353.30851</v>
      </c>
      <c r="J2547" s="455">
        <f t="array" ref="J2547">IFERROR(INDEX('Retirement Calculator'!K:K,MATCH('Lorri 401b'!N2547,'Retirement Calculator'!A:A,0),0),0)</f>
        <v>0</v>
      </c>
      <c r="K2547" s="455">
        <f t="shared" ca="1" si="128"/>
        <v>-68721680.638785452</v>
      </c>
      <c r="L2547" s="455">
        <f t="shared" ca="1" si="129"/>
        <v>-16561925033.947296</v>
      </c>
      <c r="M2547" s="471">
        <f t="shared" si="131"/>
        <v>0.05</v>
      </c>
      <c r="N2547" s="475">
        <f t="shared" si="132"/>
        <v>128567</v>
      </c>
    </row>
    <row r="2548" spans="7:14" ht="11.25" customHeight="1" x14ac:dyDescent="0.3">
      <c r="G2548" s="470"/>
      <c r="H2548" s="470">
        <v>2541</v>
      </c>
      <c r="I2548" s="455">
        <f t="shared" ca="1" si="130"/>
        <v>-16561925033.947296</v>
      </c>
      <c r="J2548" s="455">
        <f t="array" ref="J2548">IFERROR(INDEX('Retirement Calculator'!K:K,MATCH('Lorri 401b'!N2548,'Retirement Calculator'!A:A,0),0),0)</f>
        <v>0</v>
      </c>
      <c r="K2548" s="455">
        <f t="shared" ca="1" si="128"/>
        <v>-69008020.974780396</v>
      </c>
      <c r="L2548" s="455">
        <f t="shared" ca="1" si="129"/>
        <v>-16630933054.922077</v>
      </c>
      <c r="M2548" s="471">
        <f t="shared" si="131"/>
        <v>0.05</v>
      </c>
      <c r="N2548" s="475">
        <f t="shared" si="132"/>
        <v>128598</v>
      </c>
    </row>
    <row r="2549" spans="7:14" ht="11.25" customHeight="1" x14ac:dyDescent="0.3">
      <c r="G2549" s="470"/>
      <c r="H2549" s="470">
        <v>2542</v>
      </c>
      <c r="I2549" s="455">
        <f t="shared" ca="1" si="130"/>
        <v>-16630933054.922077</v>
      </c>
      <c r="J2549" s="455">
        <f t="array" ref="J2549">IFERROR(INDEX('Retirement Calculator'!K:K,MATCH('Lorri 401b'!N2549,'Retirement Calculator'!A:A,0),0),0)</f>
        <v>0</v>
      </c>
      <c r="K2549" s="455">
        <f t="shared" ca="1" si="128"/>
        <v>-69295554.395508647</v>
      </c>
      <c r="L2549" s="455">
        <f t="shared" ca="1" si="129"/>
        <v>-16700228609.317585</v>
      </c>
      <c r="M2549" s="471">
        <f t="shared" si="131"/>
        <v>0.05</v>
      </c>
      <c r="N2549" s="475">
        <f t="shared" si="132"/>
        <v>128627</v>
      </c>
    </row>
    <row r="2550" spans="7:14" ht="11.25" customHeight="1" x14ac:dyDescent="0.3">
      <c r="G2550" s="470"/>
      <c r="H2550" s="470">
        <v>2543</v>
      </c>
      <c r="I2550" s="455">
        <f t="shared" ca="1" si="130"/>
        <v>-16700228609.317585</v>
      </c>
      <c r="J2550" s="455">
        <f t="array" ref="J2550">IFERROR(INDEX('Retirement Calculator'!K:K,MATCH('Lorri 401b'!N2550,'Retirement Calculator'!A:A,0),0),0)</f>
        <v>0</v>
      </c>
      <c r="K2550" s="455">
        <f t="shared" ca="1" si="128"/>
        <v>-69584285.872156605</v>
      </c>
      <c r="L2550" s="455">
        <f t="shared" ca="1" si="129"/>
        <v>-16769812895.189741</v>
      </c>
      <c r="M2550" s="471">
        <f t="shared" si="131"/>
        <v>0.05</v>
      </c>
      <c r="N2550" s="475">
        <f t="shared" si="132"/>
        <v>128658</v>
      </c>
    </row>
    <row r="2551" spans="7:14" ht="11.25" customHeight="1" x14ac:dyDescent="0.3">
      <c r="G2551" s="470"/>
      <c r="H2551" s="470">
        <v>2544</v>
      </c>
      <c r="I2551" s="455">
        <f t="shared" ca="1" si="130"/>
        <v>-16769812895.189741</v>
      </c>
      <c r="J2551" s="455">
        <f t="array" ref="J2551">IFERROR(INDEX('Retirement Calculator'!K:K,MATCH('Lorri 401b'!N2551,'Retirement Calculator'!A:A,0),0),0)</f>
        <v>0</v>
      </c>
      <c r="K2551" s="455">
        <f t="shared" ca="1" si="128"/>
        <v>-69874220.396623924</v>
      </c>
      <c r="L2551" s="455">
        <f t="shared" ca="1" si="129"/>
        <v>-16839687115.586365</v>
      </c>
      <c r="M2551" s="471">
        <f t="shared" si="131"/>
        <v>0.05</v>
      </c>
      <c r="N2551" s="475">
        <f t="shared" si="132"/>
        <v>128688</v>
      </c>
    </row>
    <row r="2552" spans="7:14" ht="11.25" customHeight="1" x14ac:dyDescent="0.3">
      <c r="G2552" s="470"/>
      <c r="H2552" s="470">
        <v>2545</v>
      </c>
      <c r="I2552" s="455">
        <f t="shared" ca="1" si="130"/>
        <v>-16839687115.586365</v>
      </c>
      <c r="J2552" s="455">
        <f t="array" ref="J2552">IFERROR(INDEX('Retirement Calculator'!K:K,MATCH('Lorri 401b'!N2552,'Retirement Calculator'!A:A,0),0),0)</f>
        <v>0</v>
      </c>
      <c r="K2552" s="455">
        <f t="shared" ca="1" si="128"/>
        <v>-70165362.981609851</v>
      </c>
      <c r="L2552" s="455">
        <f t="shared" ca="1" si="129"/>
        <v>-16909852478.567974</v>
      </c>
      <c r="M2552" s="471">
        <f t="shared" si="131"/>
        <v>0.05</v>
      </c>
      <c r="N2552" s="475">
        <f t="shared" si="132"/>
        <v>128719</v>
      </c>
    </row>
    <row r="2553" spans="7:14" ht="11.25" customHeight="1" x14ac:dyDescent="0.3">
      <c r="G2553" s="470"/>
      <c r="H2553" s="470">
        <v>2546</v>
      </c>
      <c r="I2553" s="455">
        <f t="shared" ca="1" si="130"/>
        <v>-16909852478.567974</v>
      </c>
      <c r="J2553" s="455">
        <f t="array" ref="J2553">IFERROR(INDEX('Retirement Calculator'!K:K,MATCH('Lorri 401b'!N2553,'Retirement Calculator'!A:A,0),0),0)</f>
        <v>0</v>
      </c>
      <c r="K2553" s="455">
        <f t="shared" ca="1" si="128"/>
        <v>-70457718.660699889</v>
      </c>
      <c r="L2553" s="455">
        <f t="shared" ca="1" si="129"/>
        <v>-16980310197.228674</v>
      </c>
      <c r="M2553" s="471">
        <f t="shared" si="131"/>
        <v>0.05</v>
      </c>
      <c r="N2553" s="475">
        <f t="shared" si="132"/>
        <v>128749</v>
      </c>
    </row>
    <row r="2554" spans="7:14" ht="11.25" customHeight="1" x14ac:dyDescent="0.3">
      <c r="G2554" s="470"/>
      <c r="H2554" s="470">
        <v>2547</v>
      </c>
      <c r="I2554" s="455">
        <f t="shared" ca="1" si="130"/>
        <v>-16980310197.228674</v>
      </c>
      <c r="J2554" s="455">
        <f t="array" ref="J2554">IFERROR(INDEX('Retirement Calculator'!K:K,MATCH('Lorri 401b'!N2554,'Retirement Calculator'!A:A,0),0),0)</f>
        <v>0</v>
      </c>
      <c r="K2554" s="455">
        <f t="shared" ca="1" si="128"/>
        <v>-70751292.488452807</v>
      </c>
      <c r="L2554" s="455">
        <f t="shared" ca="1" si="129"/>
        <v>-17051061489.717127</v>
      </c>
      <c r="M2554" s="471">
        <f t="shared" si="131"/>
        <v>0.05</v>
      </c>
      <c r="N2554" s="475">
        <f t="shared" si="132"/>
        <v>128780</v>
      </c>
    </row>
    <row r="2555" spans="7:14" ht="11.25" customHeight="1" x14ac:dyDescent="0.3">
      <c r="G2555" s="470"/>
      <c r="H2555" s="470">
        <v>2548</v>
      </c>
      <c r="I2555" s="455">
        <f t="shared" ca="1" si="130"/>
        <v>-17051061489.717127</v>
      </c>
      <c r="J2555" s="455">
        <f t="array" ref="J2555">IFERROR(INDEX('Retirement Calculator'!K:K,MATCH('Lorri 401b'!N2555,'Retirement Calculator'!A:A,0),0),0)</f>
        <v>0</v>
      </c>
      <c r="K2555" s="455">
        <f t="shared" ca="1" si="128"/>
        <v>-71046089.540488034</v>
      </c>
      <c r="L2555" s="455">
        <f t="shared" ca="1" si="129"/>
        <v>-17122107579.257614</v>
      </c>
      <c r="M2555" s="471">
        <f t="shared" si="131"/>
        <v>0.05</v>
      </c>
      <c r="N2555" s="475">
        <f t="shared" si="132"/>
        <v>128811</v>
      </c>
    </row>
    <row r="2556" spans="7:14" ht="11.25" customHeight="1" x14ac:dyDescent="0.3">
      <c r="G2556" s="470"/>
      <c r="H2556" s="470">
        <v>2549</v>
      </c>
      <c r="I2556" s="455">
        <f t="shared" ca="1" si="130"/>
        <v>-17122107579.257614</v>
      </c>
      <c r="J2556" s="455">
        <f t="array" ref="J2556">IFERROR(INDEX('Retirement Calculator'!K:K,MATCH('Lorri 401b'!N2556,'Retirement Calculator'!A:A,0),0),0)</f>
        <v>0</v>
      </c>
      <c r="K2556" s="455">
        <f t="shared" ca="1" si="128"/>
        <v>-71342114.913573384</v>
      </c>
      <c r="L2556" s="455">
        <f t="shared" ca="1" si="129"/>
        <v>-17193449694.171188</v>
      </c>
      <c r="M2556" s="471">
        <f t="shared" si="131"/>
        <v>0.05</v>
      </c>
      <c r="N2556" s="475">
        <f t="shared" si="132"/>
        <v>128841</v>
      </c>
    </row>
    <row r="2557" spans="7:14" ht="11.25" customHeight="1" x14ac:dyDescent="0.3">
      <c r="G2557" s="470"/>
      <c r="H2557" s="470">
        <v>2550</v>
      </c>
      <c r="I2557" s="455">
        <f t="shared" ca="1" si="130"/>
        <v>-17193449694.171188</v>
      </c>
      <c r="J2557" s="455">
        <f t="array" ref="J2557">IFERROR(INDEX('Retirement Calculator'!K:K,MATCH('Lorri 401b'!N2557,'Retirement Calculator'!A:A,0),0),0)</f>
        <v>0</v>
      </c>
      <c r="K2557" s="455">
        <f t="shared" ca="1" si="128"/>
        <v>-71639373.725713283</v>
      </c>
      <c r="L2557" s="455">
        <f t="shared" ca="1" si="129"/>
        <v>-17265089067.8969</v>
      </c>
      <c r="M2557" s="471">
        <f t="shared" si="131"/>
        <v>0.05</v>
      </c>
      <c r="N2557" s="475">
        <f t="shared" si="132"/>
        <v>128872</v>
      </c>
    </row>
    <row r="2558" spans="7:14" ht="11.25" customHeight="1" x14ac:dyDescent="0.3">
      <c r="G2558" s="470"/>
      <c r="H2558" s="470">
        <v>2551</v>
      </c>
      <c r="I2558" s="455">
        <f t="shared" ca="1" si="130"/>
        <v>-17265089067.8969</v>
      </c>
      <c r="J2558" s="455">
        <f t="array" ref="J2558">IFERROR(INDEX('Retirement Calculator'!K:K,MATCH('Lorri 401b'!N2558,'Retirement Calculator'!A:A,0),0),0)</f>
        <v>0</v>
      </c>
      <c r="K2558" s="455">
        <f t="shared" ref="K2558:K2812" ca="1" si="133">IPMT(M2558/12,1,12,-I2558+J2558,,0)</f>
        <v>-71937871.116237089</v>
      </c>
      <c r="L2558" s="455">
        <f t="shared" ref="L2558:L2812" ca="1" si="134">I2558-J2558+K2558</f>
        <v>-17337026939.013138</v>
      </c>
      <c r="M2558" s="471">
        <f t="shared" si="131"/>
        <v>0.05</v>
      </c>
      <c r="N2558" s="475">
        <f t="shared" si="132"/>
        <v>128902</v>
      </c>
    </row>
    <row r="2559" spans="7:14" ht="11.25" customHeight="1" x14ac:dyDescent="0.3">
      <c r="G2559" s="470"/>
      <c r="H2559" s="470">
        <v>2552</v>
      </c>
      <c r="I2559" s="455">
        <f t="shared" ref="I2559:I2813" ca="1" si="135">L2558</f>
        <v>-17337026939.013138</v>
      </c>
      <c r="J2559" s="455">
        <f t="array" ref="J2559">IFERROR(INDEX('Retirement Calculator'!K:K,MATCH('Lorri 401b'!N2559,'Retirement Calculator'!A:A,0),0),0)</f>
        <v>0</v>
      </c>
      <c r="K2559" s="455">
        <f t="shared" ca="1" si="133"/>
        <v>-72237612.245888069</v>
      </c>
      <c r="L2559" s="455">
        <f t="shared" ca="1" si="134"/>
        <v>-17409264551.259026</v>
      </c>
      <c r="M2559" s="471">
        <f t="shared" ref="M2559:M2813" si="136">M2558</f>
        <v>0.05</v>
      </c>
      <c r="N2559" s="475">
        <f t="shared" ref="N2559:N2813" si="137">EDATE(N2558,1)</f>
        <v>128933</v>
      </c>
    </row>
    <row r="2560" spans="7:14" ht="11.25" customHeight="1" x14ac:dyDescent="0.3">
      <c r="G2560" s="470"/>
      <c r="H2560" s="470">
        <v>2553</v>
      </c>
      <c r="I2560" s="455">
        <f t="shared" ca="1" si="135"/>
        <v>-17409264551.259026</v>
      </c>
      <c r="J2560" s="455">
        <f t="array" ref="J2560">IFERROR(INDEX('Retirement Calculator'!K:K,MATCH('Lorri 401b'!N2560,'Retirement Calculator'!A:A,0),0),0)</f>
        <v>0</v>
      </c>
      <c r="K2560" s="455">
        <f t="shared" ca="1" si="133"/>
        <v>-72538602.296912611</v>
      </c>
      <c r="L2560" s="455">
        <f t="shared" ca="1" si="134"/>
        <v>-17481803153.555939</v>
      </c>
      <c r="M2560" s="471">
        <f t="shared" si="136"/>
        <v>0.05</v>
      </c>
      <c r="N2560" s="475">
        <f t="shared" si="137"/>
        <v>128964</v>
      </c>
    </row>
    <row r="2561" spans="7:14" ht="11.25" customHeight="1" x14ac:dyDescent="0.3">
      <c r="G2561" s="470"/>
      <c r="H2561" s="470">
        <v>2554</v>
      </c>
      <c r="I2561" s="455">
        <f t="shared" ca="1" si="135"/>
        <v>-17481803153.555939</v>
      </c>
      <c r="J2561" s="455">
        <f t="array" ref="J2561">IFERROR(INDEX('Retirement Calculator'!K:K,MATCH('Lorri 401b'!N2561,'Retirement Calculator'!A:A,0),0),0)</f>
        <v>0</v>
      </c>
      <c r="K2561" s="455">
        <f t="shared" ca="1" si="133"/>
        <v>-72840846.473149747</v>
      </c>
      <c r="L2561" s="455">
        <f t="shared" ca="1" si="134"/>
        <v>-17554644000.029087</v>
      </c>
      <c r="M2561" s="471">
        <f t="shared" si="136"/>
        <v>0.05</v>
      </c>
      <c r="N2561" s="475">
        <f t="shared" si="137"/>
        <v>128992</v>
      </c>
    </row>
    <row r="2562" spans="7:14" ht="11.25" customHeight="1" x14ac:dyDescent="0.3">
      <c r="G2562" s="470"/>
      <c r="H2562" s="470">
        <v>2555</v>
      </c>
      <c r="I2562" s="455">
        <f t="shared" ca="1" si="135"/>
        <v>-17554644000.029087</v>
      </c>
      <c r="J2562" s="455">
        <f t="array" ref="J2562">IFERROR(INDEX('Retirement Calculator'!K:K,MATCH('Lorri 401b'!N2562,'Retirement Calculator'!A:A,0),0),0)</f>
        <v>0</v>
      </c>
      <c r="K2562" s="455">
        <f t="shared" ca="1" si="133"/>
        <v>-73144350.000121191</v>
      </c>
      <c r="L2562" s="455">
        <f t="shared" ca="1" si="134"/>
        <v>-17627788350.029209</v>
      </c>
      <c r="M2562" s="471">
        <f t="shared" si="136"/>
        <v>0.05</v>
      </c>
      <c r="N2562" s="475">
        <f t="shared" si="137"/>
        <v>129023</v>
      </c>
    </row>
    <row r="2563" spans="7:14" ht="11.25" customHeight="1" x14ac:dyDescent="0.3">
      <c r="G2563" s="470"/>
      <c r="H2563" s="470">
        <v>2556</v>
      </c>
      <c r="I2563" s="455">
        <f t="shared" ca="1" si="135"/>
        <v>-17627788350.029209</v>
      </c>
      <c r="J2563" s="455">
        <f t="array" ref="J2563">IFERROR(INDEX('Retirement Calculator'!K:K,MATCH('Lorri 401b'!N2563,'Retirement Calculator'!A:A,0),0),0)</f>
        <v>0</v>
      </c>
      <c r="K2563" s="455">
        <f t="shared" ca="1" si="133"/>
        <v>-73449118.125121698</v>
      </c>
      <c r="L2563" s="455">
        <f t="shared" ca="1" si="134"/>
        <v>-17701237468.154331</v>
      </c>
      <c r="M2563" s="471">
        <f t="shared" si="136"/>
        <v>0.05</v>
      </c>
      <c r="N2563" s="475">
        <f t="shared" si="137"/>
        <v>129053</v>
      </c>
    </row>
    <row r="2564" spans="7:14" ht="11.25" customHeight="1" x14ac:dyDescent="0.3">
      <c r="G2564" s="470"/>
      <c r="H2564" s="470">
        <v>2557</v>
      </c>
      <c r="I2564" s="455">
        <f t="shared" ca="1" si="135"/>
        <v>-17701237468.154331</v>
      </c>
      <c r="J2564" s="455">
        <f t="array" ref="J2564">IFERROR(INDEX('Retirement Calculator'!K:K,MATCH('Lorri 401b'!N2564,'Retirement Calculator'!A:A,0),0),0)</f>
        <v>0</v>
      </c>
      <c r="K2564" s="455">
        <f t="shared" ca="1" si="133"/>
        <v>-73755156.117309719</v>
      </c>
      <c r="L2564" s="455">
        <f t="shared" ca="1" si="134"/>
        <v>-17774992624.271641</v>
      </c>
      <c r="M2564" s="471">
        <f t="shared" si="136"/>
        <v>0.05</v>
      </c>
      <c r="N2564" s="475">
        <f t="shared" si="137"/>
        <v>129084</v>
      </c>
    </row>
    <row r="2565" spans="7:14" ht="11.25" customHeight="1" x14ac:dyDescent="0.3">
      <c r="G2565" s="470"/>
      <c r="H2565" s="470">
        <v>2558</v>
      </c>
      <c r="I2565" s="455">
        <f t="shared" ca="1" si="135"/>
        <v>-17774992624.271641</v>
      </c>
      <c r="J2565" s="455">
        <f t="array" ref="J2565">IFERROR(INDEX('Retirement Calculator'!K:K,MATCH('Lorri 401b'!N2565,'Retirement Calculator'!A:A,0),0),0)</f>
        <v>0</v>
      </c>
      <c r="K2565" s="455">
        <f t="shared" ca="1" si="133"/>
        <v>-74062469.267798498</v>
      </c>
      <c r="L2565" s="455">
        <f t="shared" ca="1" si="134"/>
        <v>-17849055093.53944</v>
      </c>
      <c r="M2565" s="471">
        <f t="shared" si="136"/>
        <v>0.05</v>
      </c>
      <c r="N2565" s="475">
        <f t="shared" si="137"/>
        <v>129114</v>
      </c>
    </row>
    <row r="2566" spans="7:14" ht="11.25" customHeight="1" x14ac:dyDescent="0.3">
      <c r="G2566" s="470"/>
      <c r="H2566" s="470">
        <v>2559</v>
      </c>
      <c r="I2566" s="455">
        <f t="shared" ca="1" si="135"/>
        <v>-17849055093.53944</v>
      </c>
      <c r="J2566" s="455">
        <f t="array" ref="J2566">IFERROR(INDEX('Retirement Calculator'!K:K,MATCH('Lorri 401b'!N2566,'Retirement Calculator'!A:A,0),0),0)</f>
        <v>0</v>
      </c>
      <c r="K2566" s="455">
        <f t="shared" ca="1" si="133"/>
        <v>-74371062.889747664</v>
      </c>
      <c r="L2566" s="455">
        <f t="shared" ca="1" si="134"/>
        <v>-17923426156.429188</v>
      </c>
      <c r="M2566" s="471">
        <f t="shared" si="136"/>
        <v>0.05</v>
      </c>
      <c r="N2566" s="475">
        <f t="shared" si="137"/>
        <v>129145</v>
      </c>
    </row>
    <row r="2567" spans="7:14" ht="11.25" customHeight="1" x14ac:dyDescent="0.3">
      <c r="G2567" s="470"/>
      <c r="H2567" s="470">
        <v>2560</v>
      </c>
      <c r="I2567" s="455">
        <f t="shared" ca="1" si="135"/>
        <v>-17923426156.429188</v>
      </c>
      <c r="J2567" s="455">
        <f t="array" ref="J2567">IFERROR(INDEX('Retirement Calculator'!K:K,MATCH('Lorri 401b'!N2567,'Retirement Calculator'!A:A,0),0),0)</f>
        <v>0</v>
      </c>
      <c r="K2567" s="455">
        <f t="shared" ca="1" si="133"/>
        <v>-74680942.318454951</v>
      </c>
      <c r="L2567" s="455">
        <f t="shared" ca="1" si="134"/>
        <v>-17998107098.747643</v>
      </c>
      <c r="M2567" s="471">
        <f t="shared" si="136"/>
        <v>0.05</v>
      </c>
      <c r="N2567" s="475">
        <f t="shared" si="137"/>
        <v>129176</v>
      </c>
    </row>
    <row r="2568" spans="7:14" ht="11.25" customHeight="1" x14ac:dyDescent="0.3">
      <c r="G2568" s="470"/>
      <c r="H2568" s="470">
        <v>2561</v>
      </c>
      <c r="I2568" s="455">
        <f t="shared" ca="1" si="135"/>
        <v>-17998107098.747643</v>
      </c>
      <c r="J2568" s="455">
        <f t="array" ref="J2568">IFERROR(INDEX('Retirement Calculator'!K:K,MATCH('Lorri 401b'!N2568,'Retirement Calculator'!A:A,0),0),0)</f>
        <v>0</v>
      </c>
      <c r="K2568" s="455">
        <f t="shared" ca="1" si="133"/>
        <v>-74992112.911448509</v>
      </c>
      <c r="L2568" s="455">
        <f t="shared" ca="1" si="134"/>
        <v>-18073099211.659092</v>
      </c>
      <c r="M2568" s="471">
        <f t="shared" si="136"/>
        <v>0.05</v>
      </c>
      <c r="N2568" s="475">
        <f t="shared" si="137"/>
        <v>129206</v>
      </c>
    </row>
    <row r="2569" spans="7:14" ht="11.25" customHeight="1" x14ac:dyDescent="0.3">
      <c r="G2569" s="470"/>
      <c r="H2569" s="470">
        <v>2562</v>
      </c>
      <c r="I2569" s="455">
        <f t="shared" ca="1" si="135"/>
        <v>-18073099211.659092</v>
      </c>
      <c r="J2569" s="455">
        <f t="array" ref="J2569">IFERROR(INDEX('Retirement Calculator'!K:K,MATCH('Lorri 401b'!N2569,'Retirement Calculator'!A:A,0),0),0)</f>
        <v>0</v>
      </c>
      <c r="K2569" s="455">
        <f t="shared" ca="1" si="133"/>
        <v>-75304580.048579544</v>
      </c>
      <c r="L2569" s="455">
        <f t="shared" ca="1" si="134"/>
        <v>-18148403791.707672</v>
      </c>
      <c r="M2569" s="471">
        <f t="shared" si="136"/>
        <v>0.05</v>
      </c>
      <c r="N2569" s="475">
        <f t="shared" si="137"/>
        <v>129237</v>
      </c>
    </row>
    <row r="2570" spans="7:14" ht="11.25" customHeight="1" x14ac:dyDescent="0.3">
      <c r="G2570" s="470"/>
      <c r="H2570" s="470">
        <v>2563</v>
      </c>
      <c r="I2570" s="455">
        <f t="shared" ca="1" si="135"/>
        <v>-18148403791.707672</v>
      </c>
      <c r="J2570" s="455">
        <f t="array" ref="J2570">IFERROR(INDEX('Retirement Calculator'!K:K,MATCH('Lorri 401b'!N2570,'Retirement Calculator'!A:A,0),0),0)</f>
        <v>0</v>
      </c>
      <c r="K2570" s="455">
        <f t="shared" ca="1" si="133"/>
        <v>-75618349.132115304</v>
      </c>
      <c r="L2570" s="455">
        <f t="shared" ca="1" si="134"/>
        <v>-18224022140.839787</v>
      </c>
      <c r="M2570" s="471">
        <f t="shared" si="136"/>
        <v>0.05</v>
      </c>
      <c r="N2570" s="475">
        <f t="shared" si="137"/>
        <v>129267</v>
      </c>
    </row>
    <row r="2571" spans="7:14" ht="11.25" customHeight="1" x14ac:dyDescent="0.3">
      <c r="G2571" s="470"/>
      <c r="H2571" s="470">
        <v>2564</v>
      </c>
      <c r="I2571" s="455">
        <f t="shared" ca="1" si="135"/>
        <v>-18224022140.839787</v>
      </c>
      <c r="J2571" s="455">
        <f t="array" ref="J2571">IFERROR(INDEX('Retirement Calculator'!K:K,MATCH('Lorri 401b'!N2571,'Retirement Calculator'!A:A,0),0),0)</f>
        <v>0</v>
      </c>
      <c r="K2571" s="455">
        <f t="shared" ca="1" si="133"/>
        <v>-75933425.586832449</v>
      </c>
      <c r="L2571" s="455">
        <f t="shared" ca="1" si="134"/>
        <v>-18299955566.42662</v>
      </c>
      <c r="M2571" s="471">
        <f t="shared" si="136"/>
        <v>0.05</v>
      </c>
      <c r="N2571" s="475">
        <f t="shared" si="137"/>
        <v>129298</v>
      </c>
    </row>
    <row r="2572" spans="7:14" ht="11.25" customHeight="1" x14ac:dyDescent="0.3">
      <c r="G2572" s="470"/>
      <c r="H2572" s="470">
        <v>2565</v>
      </c>
      <c r="I2572" s="455">
        <f t="shared" ca="1" si="135"/>
        <v>-18299955566.42662</v>
      </c>
      <c r="J2572" s="455">
        <f t="array" ref="J2572">IFERROR(INDEX('Retirement Calculator'!K:K,MATCH('Lorri 401b'!N2572,'Retirement Calculator'!A:A,0),0),0)</f>
        <v>0</v>
      </c>
      <c r="K2572" s="455">
        <f t="shared" ca="1" si="133"/>
        <v>-76249814.860110924</v>
      </c>
      <c r="L2572" s="455">
        <f t="shared" ca="1" si="134"/>
        <v>-18376205381.286732</v>
      </c>
      <c r="M2572" s="471">
        <f t="shared" si="136"/>
        <v>0.05</v>
      </c>
      <c r="N2572" s="475">
        <f t="shared" si="137"/>
        <v>129329</v>
      </c>
    </row>
    <row r="2573" spans="7:14" ht="11.25" customHeight="1" x14ac:dyDescent="0.3">
      <c r="G2573" s="470"/>
      <c r="H2573" s="470">
        <v>2566</v>
      </c>
      <c r="I2573" s="455">
        <f t="shared" ca="1" si="135"/>
        <v>-18376205381.286732</v>
      </c>
      <c r="J2573" s="455">
        <f t="array" ref="J2573">IFERROR(INDEX('Retirement Calculator'!K:K,MATCH('Lorri 401b'!N2573,'Retirement Calculator'!A:A,0),0),0)</f>
        <v>0</v>
      </c>
      <c r="K2573" s="455">
        <f t="shared" ca="1" si="133"/>
        <v>-76567522.42202805</v>
      </c>
      <c r="L2573" s="455">
        <f t="shared" ca="1" si="134"/>
        <v>-18452772903.708759</v>
      </c>
      <c r="M2573" s="471">
        <f t="shared" si="136"/>
        <v>0.05</v>
      </c>
      <c r="N2573" s="475">
        <f t="shared" si="137"/>
        <v>129357</v>
      </c>
    </row>
    <row r="2574" spans="7:14" ht="11.25" customHeight="1" x14ac:dyDescent="0.3">
      <c r="G2574" s="470"/>
      <c r="H2574" s="470">
        <v>2567</v>
      </c>
      <c r="I2574" s="455">
        <f t="shared" ca="1" si="135"/>
        <v>-18452772903.708759</v>
      </c>
      <c r="J2574" s="455">
        <f t="array" ref="J2574">IFERROR(INDEX('Retirement Calculator'!K:K,MATCH('Lorri 401b'!N2574,'Retirement Calculator'!A:A,0),0),0)</f>
        <v>0</v>
      </c>
      <c r="K2574" s="455">
        <f t="shared" ca="1" si="133"/>
        <v>-76886553.76545316</v>
      </c>
      <c r="L2574" s="455">
        <f t="shared" ca="1" si="134"/>
        <v>-18529659457.474213</v>
      </c>
      <c r="M2574" s="471">
        <f t="shared" si="136"/>
        <v>0.05</v>
      </c>
      <c r="N2574" s="475">
        <f t="shared" si="137"/>
        <v>129388</v>
      </c>
    </row>
    <row r="2575" spans="7:14" ht="11.25" customHeight="1" x14ac:dyDescent="0.3">
      <c r="G2575" s="470"/>
      <c r="H2575" s="470">
        <v>2568</v>
      </c>
      <c r="I2575" s="455">
        <f t="shared" ca="1" si="135"/>
        <v>-18529659457.474213</v>
      </c>
      <c r="J2575" s="455">
        <f t="array" ref="J2575">IFERROR(INDEX('Retirement Calculator'!K:K,MATCH('Lorri 401b'!N2575,'Retirement Calculator'!A:A,0),0),0)</f>
        <v>0</v>
      </c>
      <c r="K2575" s="455">
        <f t="shared" ca="1" si="133"/>
        <v>-77206914.406142548</v>
      </c>
      <c r="L2575" s="455">
        <f t="shared" ca="1" si="134"/>
        <v>-18606866371.880356</v>
      </c>
      <c r="M2575" s="471">
        <f t="shared" si="136"/>
        <v>0.05</v>
      </c>
      <c r="N2575" s="475">
        <f t="shared" si="137"/>
        <v>129418</v>
      </c>
    </row>
    <row r="2576" spans="7:14" ht="11.25" customHeight="1" x14ac:dyDescent="0.3">
      <c r="G2576" s="470"/>
      <c r="H2576" s="470">
        <v>2569</v>
      </c>
      <c r="I2576" s="455">
        <f t="shared" ca="1" si="135"/>
        <v>-18606866371.880356</v>
      </c>
      <c r="J2576" s="455">
        <f t="array" ref="J2576">IFERROR(INDEX('Retirement Calculator'!K:K,MATCH('Lorri 401b'!N2576,'Retirement Calculator'!A:A,0),0),0)</f>
        <v>0</v>
      </c>
      <c r="K2576" s="455">
        <f t="shared" ca="1" si="133"/>
        <v>-77528609.882834822</v>
      </c>
      <c r="L2576" s="455">
        <f t="shared" ca="1" si="134"/>
        <v>-18684394981.763191</v>
      </c>
      <c r="M2576" s="471">
        <f t="shared" si="136"/>
        <v>0.05</v>
      </c>
      <c r="N2576" s="475">
        <f t="shared" si="137"/>
        <v>129449</v>
      </c>
    </row>
    <row r="2577" spans="7:14" ht="11.25" customHeight="1" x14ac:dyDescent="0.3">
      <c r="G2577" s="470"/>
      <c r="H2577" s="470">
        <v>2570</v>
      </c>
      <c r="I2577" s="455">
        <f t="shared" ca="1" si="135"/>
        <v>-18684394981.763191</v>
      </c>
      <c r="J2577" s="455">
        <f t="array" ref="J2577">IFERROR(INDEX('Retirement Calculator'!K:K,MATCH('Lorri 401b'!N2577,'Retirement Calculator'!A:A,0),0),0)</f>
        <v>0</v>
      </c>
      <c r="K2577" s="455">
        <f t="shared" ca="1" si="133"/>
        <v>-77851645.75734663</v>
      </c>
      <c r="L2577" s="455">
        <f t="shared" ca="1" si="134"/>
        <v>-18762246627.520538</v>
      </c>
      <c r="M2577" s="471">
        <f t="shared" si="136"/>
        <v>0.05</v>
      </c>
      <c r="N2577" s="475">
        <f t="shared" si="137"/>
        <v>129479</v>
      </c>
    </row>
    <row r="2578" spans="7:14" ht="11.25" customHeight="1" x14ac:dyDescent="0.3">
      <c r="G2578" s="470"/>
      <c r="H2578" s="470">
        <v>2571</v>
      </c>
      <c r="I2578" s="455">
        <f t="shared" ca="1" si="135"/>
        <v>-18762246627.520538</v>
      </c>
      <c r="J2578" s="455">
        <f t="array" ref="J2578">IFERROR(INDEX('Retirement Calculator'!K:K,MATCH('Lorri 401b'!N2578,'Retirement Calculator'!A:A,0),0),0)</f>
        <v>0</v>
      </c>
      <c r="K2578" s="455">
        <f t="shared" ca="1" si="133"/>
        <v>-78176027.614668906</v>
      </c>
      <c r="L2578" s="455">
        <f t="shared" ca="1" si="134"/>
        <v>-18840422655.135208</v>
      </c>
      <c r="M2578" s="471">
        <f t="shared" si="136"/>
        <v>0.05</v>
      </c>
      <c r="N2578" s="475">
        <f t="shared" si="137"/>
        <v>129510</v>
      </c>
    </row>
    <row r="2579" spans="7:14" ht="11.25" customHeight="1" x14ac:dyDescent="0.3">
      <c r="G2579" s="470"/>
      <c r="H2579" s="470">
        <v>2572</v>
      </c>
      <c r="I2579" s="455">
        <f t="shared" ca="1" si="135"/>
        <v>-18840422655.135208</v>
      </c>
      <c r="J2579" s="455">
        <f t="array" ref="J2579">IFERROR(INDEX('Retirement Calculator'!K:K,MATCH('Lorri 401b'!N2579,'Retirement Calculator'!A:A,0),0),0)</f>
        <v>0</v>
      </c>
      <c r="K2579" s="455">
        <f t="shared" ca="1" si="133"/>
        <v>-78501761.063063368</v>
      </c>
      <c r="L2579" s="455">
        <f t="shared" ca="1" si="134"/>
        <v>-18918924416.198273</v>
      </c>
      <c r="M2579" s="471">
        <f t="shared" si="136"/>
        <v>0.05</v>
      </c>
      <c r="N2579" s="475">
        <f t="shared" si="137"/>
        <v>129541</v>
      </c>
    </row>
    <row r="2580" spans="7:14" ht="11.25" customHeight="1" x14ac:dyDescent="0.3">
      <c r="G2580" s="470"/>
      <c r="H2580" s="470">
        <v>2573</v>
      </c>
      <c r="I2580" s="455">
        <f t="shared" ca="1" si="135"/>
        <v>-18918924416.198273</v>
      </c>
      <c r="J2580" s="455">
        <f t="array" ref="J2580">IFERROR(INDEX('Retirement Calculator'!K:K,MATCH('Lorri 401b'!N2580,'Retirement Calculator'!A:A,0),0),0)</f>
        <v>0</v>
      </c>
      <c r="K2580" s="455">
        <f t="shared" ca="1" si="133"/>
        <v>-78828851.73415947</v>
      </c>
      <c r="L2580" s="455">
        <f t="shared" ca="1" si="134"/>
        <v>-18997753267.932434</v>
      </c>
      <c r="M2580" s="471">
        <f t="shared" si="136"/>
        <v>0.05</v>
      </c>
      <c r="N2580" s="475">
        <f t="shared" si="137"/>
        <v>129571</v>
      </c>
    </row>
    <row r="2581" spans="7:14" ht="11.25" customHeight="1" x14ac:dyDescent="0.3">
      <c r="G2581" s="470"/>
      <c r="H2581" s="470">
        <v>2574</v>
      </c>
      <c r="I2581" s="455">
        <f t="shared" ca="1" si="135"/>
        <v>-18997753267.932434</v>
      </c>
      <c r="J2581" s="455">
        <f t="array" ref="J2581">IFERROR(INDEX('Retirement Calculator'!K:K,MATCH('Lorri 401b'!N2581,'Retirement Calculator'!A:A,0),0),0)</f>
        <v>0</v>
      </c>
      <c r="K2581" s="455">
        <f t="shared" ca="1" si="133"/>
        <v>-79157305.283051804</v>
      </c>
      <c r="L2581" s="455">
        <f t="shared" ca="1" si="134"/>
        <v>-19076910573.215485</v>
      </c>
      <c r="M2581" s="471">
        <f t="shared" si="136"/>
        <v>0.05</v>
      </c>
      <c r="N2581" s="475">
        <f t="shared" si="137"/>
        <v>129602</v>
      </c>
    </row>
    <row r="2582" spans="7:14" ht="11.25" customHeight="1" x14ac:dyDescent="0.3">
      <c r="G2582" s="470"/>
      <c r="H2582" s="470">
        <v>2575</v>
      </c>
      <c r="I2582" s="455">
        <f t="shared" ca="1" si="135"/>
        <v>-19076910573.215485</v>
      </c>
      <c r="J2582" s="455">
        <f t="array" ref="J2582">IFERROR(INDEX('Retirement Calculator'!K:K,MATCH('Lorri 401b'!N2582,'Retirement Calculator'!A:A,0),0),0)</f>
        <v>0</v>
      </c>
      <c r="K2582" s="455">
        <f t="shared" ca="1" si="133"/>
        <v>-79487127.388397858</v>
      </c>
      <c r="L2582" s="455">
        <f t="shared" ca="1" si="134"/>
        <v>-19156397700.603882</v>
      </c>
      <c r="M2582" s="471">
        <f t="shared" si="136"/>
        <v>0.05</v>
      </c>
      <c r="N2582" s="475">
        <f t="shared" si="137"/>
        <v>129632</v>
      </c>
    </row>
    <row r="2583" spans="7:14" ht="11.25" customHeight="1" x14ac:dyDescent="0.3">
      <c r="G2583" s="470"/>
      <c r="H2583" s="470">
        <v>2576</v>
      </c>
      <c r="I2583" s="455">
        <f t="shared" ca="1" si="135"/>
        <v>-19156397700.603882</v>
      </c>
      <c r="J2583" s="455">
        <f t="array" ref="J2583">IFERROR(INDEX('Retirement Calculator'!K:K,MATCH('Lorri 401b'!N2583,'Retirement Calculator'!A:A,0),0),0)</f>
        <v>0</v>
      </c>
      <c r="K2583" s="455">
        <f t="shared" ca="1" si="133"/>
        <v>-79818323.75251618</v>
      </c>
      <c r="L2583" s="455">
        <f t="shared" ca="1" si="134"/>
        <v>-19236216024.3564</v>
      </c>
      <c r="M2583" s="471">
        <f t="shared" si="136"/>
        <v>0.05</v>
      </c>
      <c r="N2583" s="475">
        <f t="shared" si="137"/>
        <v>129663</v>
      </c>
    </row>
    <row r="2584" spans="7:14" ht="11.25" customHeight="1" x14ac:dyDescent="0.3">
      <c r="G2584" s="470"/>
      <c r="H2584" s="470">
        <v>2577</v>
      </c>
      <c r="I2584" s="455">
        <f t="shared" ca="1" si="135"/>
        <v>-19236216024.3564</v>
      </c>
      <c r="J2584" s="455">
        <f t="array" ref="J2584">IFERROR(INDEX('Retirement Calculator'!K:K,MATCH('Lorri 401b'!N2584,'Retirement Calculator'!A:A,0),0),0)</f>
        <v>0</v>
      </c>
      <c r="K2584" s="455">
        <f t="shared" ca="1" si="133"/>
        <v>-80150900.101484999</v>
      </c>
      <c r="L2584" s="455">
        <f t="shared" ca="1" si="134"/>
        <v>-19316366924.457886</v>
      </c>
      <c r="M2584" s="471">
        <f t="shared" si="136"/>
        <v>0.05</v>
      </c>
      <c r="N2584" s="475">
        <f t="shared" si="137"/>
        <v>129694</v>
      </c>
    </row>
    <row r="2585" spans="7:14" ht="11.25" customHeight="1" x14ac:dyDescent="0.3">
      <c r="G2585" s="470"/>
      <c r="H2585" s="470">
        <v>2578</v>
      </c>
      <c r="I2585" s="455">
        <f t="shared" ca="1" si="135"/>
        <v>-19316366924.457886</v>
      </c>
      <c r="J2585" s="455">
        <f t="array" ref="J2585">IFERROR(INDEX('Retirement Calculator'!K:K,MATCH('Lorri 401b'!N2585,'Retirement Calculator'!A:A,0),0),0)</f>
        <v>0</v>
      </c>
      <c r="K2585" s="455">
        <f t="shared" ca="1" si="133"/>
        <v>-80484862.185241193</v>
      </c>
      <c r="L2585" s="455">
        <f t="shared" ca="1" si="134"/>
        <v>-19396851786.643127</v>
      </c>
      <c r="M2585" s="471">
        <f t="shared" si="136"/>
        <v>0.05</v>
      </c>
      <c r="N2585" s="475">
        <f t="shared" si="137"/>
        <v>129722</v>
      </c>
    </row>
    <row r="2586" spans="7:14" ht="11.25" customHeight="1" x14ac:dyDescent="0.3">
      <c r="G2586" s="470"/>
      <c r="H2586" s="470">
        <v>2579</v>
      </c>
      <c r="I2586" s="455">
        <f t="shared" ca="1" si="135"/>
        <v>-19396851786.643127</v>
      </c>
      <c r="J2586" s="455">
        <f t="array" ref="J2586">IFERROR(INDEX('Retirement Calculator'!K:K,MATCH('Lorri 401b'!N2586,'Retirement Calculator'!A:A,0),0),0)</f>
        <v>0</v>
      </c>
      <c r="K2586" s="455">
        <f t="shared" ca="1" si="133"/>
        <v>-80820215.777679697</v>
      </c>
      <c r="L2586" s="455">
        <f t="shared" ca="1" si="134"/>
        <v>-19477672002.420807</v>
      </c>
      <c r="M2586" s="471">
        <f t="shared" si="136"/>
        <v>0.05</v>
      </c>
      <c r="N2586" s="475">
        <f t="shared" si="137"/>
        <v>129753</v>
      </c>
    </row>
    <row r="2587" spans="7:14" ht="11.25" customHeight="1" x14ac:dyDescent="0.3">
      <c r="G2587" s="470"/>
      <c r="H2587" s="470">
        <v>2580</v>
      </c>
      <c r="I2587" s="455">
        <f t="shared" ca="1" si="135"/>
        <v>-19477672002.420807</v>
      </c>
      <c r="J2587" s="455">
        <f t="array" ref="J2587">IFERROR(INDEX('Retirement Calculator'!K:K,MATCH('Lorri 401b'!N2587,'Retirement Calculator'!A:A,0),0),0)</f>
        <v>0</v>
      </c>
      <c r="K2587" s="455">
        <f t="shared" ca="1" si="133"/>
        <v>-81156966.676753357</v>
      </c>
      <c r="L2587" s="455">
        <f t="shared" ca="1" si="134"/>
        <v>-19558828969.097561</v>
      </c>
      <c r="M2587" s="471">
        <f t="shared" si="136"/>
        <v>0.05</v>
      </c>
      <c r="N2587" s="475">
        <f t="shared" si="137"/>
        <v>129783</v>
      </c>
    </row>
    <row r="2588" spans="7:14" ht="11.25" customHeight="1" x14ac:dyDescent="0.3">
      <c r="G2588" s="470"/>
      <c r="H2588" s="470">
        <v>2581</v>
      </c>
      <c r="I2588" s="455">
        <f t="shared" ca="1" si="135"/>
        <v>-19558828969.097561</v>
      </c>
      <c r="J2588" s="455">
        <f t="array" ref="J2588">IFERROR(INDEX('Retirement Calculator'!K:K,MATCH('Lorri 401b'!N2588,'Retirement Calculator'!A:A,0),0),0)</f>
        <v>0</v>
      </c>
      <c r="K2588" s="455">
        <f t="shared" ca="1" si="133"/>
        <v>-81495120.704573169</v>
      </c>
      <c r="L2588" s="455">
        <f t="shared" ca="1" si="134"/>
        <v>-19640324089.802135</v>
      </c>
      <c r="M2588" s="471">
        <f t="shared" si="136"/>
        <v>0.05</v>
      </c>
      <c r="N2588" s="475">
        <f t="shared" si="137"/>
        <v>129814</v>
      </c>
    </row>
    <row r="2589" spans="7:14" ht="11.25" customHeight="1" x14ac:dyDescent="0.3">
      <c r="G2589" s="470"/>
      <c r="H2589" s="470">
        <v>2582</v>
      </c>
      <c r="I2589" s="455">
        <f t="shared" ca="1" si="135"/>
        <v>-19640324089.802135</v>
      </c>
      <c r="J2589" s="455">
        <f t="array" ref="J2589">IFERROR(INDEX('Retirement Calculator'!K:K,MATCH('Lorri 401b'!N2589,'Retirement Calculator'!A:A,0),0),0)</f>
        <v>0</v>
      </c>
      <c r="K2589" s="455">
        <f t="shared" ca="1" si="133"/>
        <v>-81834683.707508892</v>
      </c>
      <c r="L2589" s="455">
        <f t="shared" ca="1" si="134"/>
        <v>-19722158773.509644</v>
      </c>
      <c r="M2589" s="471">
        <f t="shared" si="136"/>
        <v>0.05</v>
      </c>
      <c r="N2589" s="475">
        <f t="shared" si="137"/>
        <v>129844</v>
      </c>
    </row>
    <row r="2590" spans="7:14" ht="11.25" customHeight="1" x14ac:dyDescent="0.3">
      <c r="G2590" s="470"/>
      <c r="H2590" s="470">
        <v>2583</v>
      </c>
      <c r="I2590" s="455">
        <f t="shared" ca="1" si="135"/>
        <v>-19722158773.509644</v>
      </c>
      <c r="J2590" s="455">
        <f t="array" ref="J2590">IFERROR(INDEX('Retirement Calculator'!K:K,MATCH('Lorri 401b'!N2590,'Retirement Calculator'!A:A,0),0),0)</f>
        <v>0</v>
      </c>
      <c r="K2590" s="455">
        <f t="shared" ca="1" si="133"/>
        <v>-82175661.556290179</v>
      </c>
      <c r="L2590" s="455">
        <f t="shared" ca="1" si="134"/>
        <v>-19804334435.065933</v>
      </c>
      <c r="M2590" s="471">
        <f t="shared" si="136"/>
        <v>0.05</v>
      </c>
      <c r="N2590" s="475">
        <f t="shared" si="137"/>
        <v>129875</v>
      </c>
    </row>
    <row r="2591" spans="7:14" ht="11.25" customHeight="1" x14ac:dyDescent="0.3">
      <c r="G2591" s="470"/>
      <c r="H2591" s="470">
        <v>2584</v>
      </c>
      <c r="I2591" s="455">
        <f t="shared" ca="1" si="135"/>
        <v>-19804334435.065933</v>
      </c>
      <c r="J2591" s="455">
        <f t="array" ref="J2591">IFERROR(INDEX('Retirement Calculator'!K:K,MATCH('Lorri 401b'!N2591,'Retirement Calculator'!A:A,0),0),0)</f>
        <v>0</v>
      </c>
      <c r="K2591" s="455">
        <f t="shared" ca="1" si="133"/>
        <v>-82518060.146108061</v>
      </c>
      <c r="L2591" s="455">
        <f t="shared" ca="1" si="134"/>
        <v>-19886852495.21204</v>
      </c>
      <c r="M2591" s="471">
        <f t="shared" si="136"/>
        <v>0.05</v>
      </c>
      <c r="N2591" s="475">
        <f t="shared" si="137"/>
        <v>129906</v>
      </c>
    </row>
    <row r="2592" spans="7:14" ht="11.25" customHeight="1" x14ac:dyDescent="0.3">
      <c r="G2592" s="470"/>
      <c r="H2592" s="470">
        <v>2585</v>
      </c>
      <c r="I2592" s="455">
        <f t="shared" ca="1" si="135"/>
        <v>-19886852495.21204</v>
      </c>
      <c r="J2592" s="455">
        <f t="array" ref="J2592">IFERROR(INDEX('Retirement Calculator'!K:K,MATCH('Lorri 401b'!N2592,'Retirement Calculator'!A:A,0),0),0)</f>
        <v>0</v>
      </c>
      <c r="K2592" s="455">
        <f t="shared" ca="1" si="133"/>
        <v>-82861885.396716833</v>
      </c>
      <c r="L2592" s="455">
        <f t="shared" ca="1" si="134"/>
        <v>-19969714380.608757</v>
      </c>
      <c r="M2592" s="471">
        <f t="shared" si="136"/>
        <v>0.05</v>
      </c>
      <c r="N2592" s="475">
        <f t="shared" si="137"/>
        <v>129936</v>
      </c>
    </row>
    <row r="2593" spans="7:14" ht="11.25" customHeight="1" x14ac:dyDescent="0.3">
      <c r="G2593" s="470"/>
      <c r="H2593" s="470">
        <v>2586</v>
      </c>
      <c r="I2593" s="455">
        <f t="shared" ca="1" si="135"/>
        <v>-19969714380.608757</v>
      </c>
      <c r="J2593" s="455">
        <f t="array" ref="J2593">IFERROR(INDEX('Retirement Calculator'!K:K,MATCH('Lorri 401b'!N2593,'Retirement Calculator'!A:A,0),0),0)</f>
        <v>0</v>
      </c>
      <c r="K2593" s="455">
        <f t="shared" ca="1" si="133"/>
        <v>-83207143.252536491</v>
      </c>
      <c r="L2593" s="455">
        <f t="shared" ca="1" si="134"/>
        <v>-20052921523.861294</v>
      </c>
      <c r="M2593" s="471">
        <f t="shared" si="136"/>
        <v>0.05</v>
      </c>
      <c r="N2593" s="475">
        <f t="shared" si="137"/>
        <v>129967</v>
      </c>
    </row>
    <row r="2594" spans="7:14" ht="11.25" customHeight="1" x14ac:dyDescent="0.3">
      <c r="G2594" s="470"/>
      <c r="H2594" s="470">
        <v>2587</v>
      </c>
      <c r="I2594" s="455">
        <f t="shared" ca="1" si="135"/>
        <v>-20052921523.861294</v>
      </c>
      <c r="J2594" s="455">
        <f t="array" ref="J2594">IFERROR(INDEX('Retirement Calculator'!K:K,MATCH('Lorri 401b'!N2594,'Retirement Calculator'!A:A,0),0),0)</f>
        <v>0</v>
      </c>
      <c r="K2594" s="455">
        <f t="shared" ca="1" si="133"/>
        <v>-83553839.682755396</v>
      </c>
      <c r="L2594" s="455">
        <f t="shared" ca="1" si="134"/>
        <v>-20136475363.544048</v>
      </c>
      <c r="M2594" s="471">
        <f t="shared" si="136"/>
        <v>0.05</v>
      </c>
      <c r="N2594" s="475">
        <f t="shared" si="137"/>
        <v>129997</v>
      </c>
    </row>
    <row r="2595" spans="7:14" ht="11.25" customHeight="1" x14ac:dyDescent="0.3">
      <c r="G2595" s="470"/>
      <c r="H2595" s="470">
        <v>2588</v>
      </c>
      <c r="I2595" s="455">
        <f t="shared" ca="1" si="135"/>
        <v>-20136475363.544048</v>
      </c>
      <c r="J2595" s="455">
        <f t="array" ref="J2595">IFERROR(INDEX('Retirement Calculator'!K:K,MATCH('Lorri 401b'!N2595,'Retirement Calculator'!A:A,0),0),0)</f>
        <v>0</v>
      </c>
      <c r="K2595" s="455">
        <f t="shared" ca="1" si="133"/>
        <v>-83901980.681433529</v>
      </c>
      <c r="L2595" s="455">
        <f t="shared" ca="1" si="134"/>
        <v>-20220377344.225483</v>
      </c>
      <c r="M2595" s="471">
        <f t="shared" si="136"/>
        <v>0.05</v>
      </c>
      <c r="N2595" s="475">
        <f t="shared" si="137"/>
        <v>130028</v>
      </c>
    </row>
    <row r="2596" spans="7:14" ht="11.25" customHeight="1" x14ac:dyDescent="0.3">
      <c r="G2596" s="470"/>
      <c r="H2596" s="470">
        <v>2589</v>
      </c>
      <c r="I2596" s="455">
        <f t="shared" ca="1" si="135"/>
        <v>-20220377344.225483</v>
      </c>
      <c r="J2596" s="455">
        <f t="array" ref="J2596">IFERROR(INDEX('Retirement Calculator'!K:K,MATCH('Lorri 401b'!N2596,'Retirement Calculator'!A:A,0),0),0)</f>
        <v>0</v>
      </c>
      <c r="K2596" s="455">
        <f t="shared" ca="1" si="133"/>
        <v>-84251572.267606184</v>
      </c>
      <c r="L2596" s="455">
        <f t="shared" ca="1" si="134"/>
        <v>-20304628916.493088</v>
      </c>
      <c r="M2596" s="471">
        <f t="shared" si="136"/>
        <v>0.05</v>
      </c>
      <c r="N2596" s="475">
        <f t="shared" si="137"/>
        <v>130059</v>
      </c>
    </row>
    <row r="2597" spans="7:14" ht="11.25" customHeight="1" x14ac:dyDescent="0.3">
      <c r="G2597" s="470"/>
      <c r="H2597" s="470">
        <v>2590</v>
      </c>
      <c r="I2597" s="455">
        <f t="shared" ca="1" si="135"/>
        <v>-20304628916.493088</v>
      </c>
      <c r="J2597" s="455">
        <f t="array" ref="J2597">IFERROR(INDEX('Retirement Calculator'!K:K,MATCH('Lorri 401b'!N2597,'Retirement Calculator'!A:A,0),0),0)</f>
        <v>0</v>
      </c>
      <c r="K2597" s="455">
        <f t="shared" ca="1" si="133"/>
        <v>-84602620.485387862</v>
      </c>
      <c r="L2597" s="455">
        <f t="shared" ca="1" si="134"/>
        <v>-20389231536.978477</v>
      </c>
      <c r="M2597" s="471">
        <f t="shared" si="136"/>
        <v>0.05</v>
      </c>
      <c r="N2597" s="475">
        <f t="shared" si="137"/>
        <v>130088</v>
      </c>
    </row>
    <row r="2598" spans="7:14" ht="11.25" customHeight="1" x14ac:dyDescent="0.3">
      <c r="G2598" s="470"/>
      <c r="H2598" s="470">
        <v>2591</v>
      </c>
      <c r="I2598" s="455">
        <f t="shared" ca="1" si="135"/>
        <v>-20389231536.978477</v>
      </c>
      <c r="J2598" s="455">
        <f t="array" ref="J2598">IFERROR(INDEX('Retirement Calculator'!K:K,MATCH('Lorri 401b'!N2598,'Retirement Calculator'!A:A,0),0),0)</f>
        <v>0</v>
      </c>
      <c r="K2598" s="455">
        <f t="shared" ca="1" si="133"/>
        <v>-84955131.404076993</v>
      </c>
      <c r="L2598" s="455">
        <f t="shared" ca="1" si="134"/>
        <v>-20474186668.382553</v>
      </c>
      <c r="M2598" s="471">
        <f t="shared" si="136"/>
        <v>0.05</v>
      </c>
      <c r="N2598" s="475">
        <f t="shared" si="137"/>
        <v>130119</v>
      </c>
    </row>
    <row r="2599" spans="7:14" ht="11.25" customHeight="1" x14ac:dyDescent="0.3">
      <c r="G2599" s="470"/>
      <c r="H2599" s="470">
        <v>2592</v>
      </c>
      <c r="I2599" s="455">
        <f t="shared" ca="1" si="135"/>
        <v>-20474186668.382553</v>
      </c>
      <c r="J2599" s="455">
        <f t="array" ref="J2599">IFERROR(INDEX('Retirement Calculator'!K:K,MATCH('Lorri 401b'!N2599,'Retirement Calculator'!A:A,0),0),0)</f>
        <v>0</v>
      </c>
      <c r="K2599" s="455">
        <f t="shared" ca="1" si="133"/>
        <v>-85309111.118260637</v>
      </c>
      <c r="L2599" s="455">
        <f t="shared" ca="1" si="134"/>
        <v>-20559495779.500813</v>
      </c>
      <c r="M2599" s="471">
        <f t="shared" si="136"/>
        <v>0.05</v>
      </c>
      <c r="N2599" s="475">
        <f t="shared" si="137"/>
        <v>130149</v>
      </c>
    </row>
    <row r="2600" spans="7:14" ht="11.25" customHeight="1" x14ac:dyDescent="0.3">
      <c r="G2600" s="470"/>
      <c r="H2600" s="470">
        <v>2593</v>
      </c>
      <c r="I2600" s="455">
        <f t="shared" ca="1" si="135"/>
        <v>-20559495779.500813</v>
      </c>
      <c r="J2600" s="455">
        <f t="array" ref="J2600">IFERROR(INDEX('Retirement Calculator'!K:K,MATCH('Lorri 401b'!N2600,'Retirement Calculator'!A:A,0),0),0)</f>
        <v>0</v>
      </c>
      <c r="K2600" s="455">
        <f t="shared" ca="1" si="133"/>
        <v>-85664565.747920051</v>
      </c>
      <c r="L2600" s="455">
        <f t="shared" ca="1" si="134"/>
        <v>-20645160345.248734</v>
      </c>
      <c r="M2600" s="471">
        <f t="shared" si="136"/>
        <v>0.05</v>
      </c>
      <c r="N2600" s="475">
        <f t="shared" si="137"/>
        <v>130180</v>
      </c>
    </row>
    <row r="2601" spans="7:14" ht="11.25" customHeight="1" x14ac:dyDescent="0.3">
      <c r="G2601" s="470"/>
      <c r="H2601" s="470">
        <v>2594</v>
      </c>
      <c r="I2601" s="455">
        <f t="shared" ca="1" si="135"/>
        <v>-20645160345.248734</v>
      </c>
      <c r="J2601" s="455">
        <f t="array" ref="J2601">IFERROR(INDEX('Retirement Calculator'!K:K,MATCH('Lorri 401b'!N2601,'Retirement Calculator'!A:A,0),0),0)</f>
        <v>0</v>
      </c>
      <c r="K2601" s="455">
        <f t="shared" ca="1" si="133"/>
        <v>-86021501.438536391</v>
      </c>
      <c r="L2601" s="455">
        <f t="shared" ca="1" si="134"/>
        <v>-20731181846.687271</v>
      </c>
      <c r="M2601" s="471">
        <f t="shared" si="136"/>
        <v>0.05</v>
      </c>
      <c r="N2601" s="475">
        <f t="shared" si="137"/>
        <v>130210</v>
      </c>
    </row>
    <row r="2602" spans="7:14" ht="11.25" customHeight="1" x14ac:dyDescent="0.3">
      <c r="G2602" s="470"/>
      <c r="H2602" s="470">
        <v>2595</v>
      </c>
      <c r="I2602" s="455">
        <f t="shared" ca="1" si="135"/>
        <v>-20731181846.687271</v>
      </c>
      <c r="J2602" s="455">
        <f t="array" ref="J2602">IFERROR(INDEX('Retirement Calculator'!K:K,MATCH('Lorri 401b'!N2602,'Retirement Calculator'!A:A,0),0),0)</f>
        <v>0</v>
      </c>
      <c r="K2602" s="455">
        <f t="shared" ca="1" si="133"/>
        <v>-86379924.361196965</v>
      </c>
      <c r="L2602" s="455">
        <f t="shared" ca="1" si="134"/>
        <v>-20817561771.04847</v>
      </c>
      <c r="M2602" s="471">
        <f t="shared" si="136"/>
        <v>0.05</v>
      </c>
      <c r="N2602" s="475">
        <f t="shared" si="137"/>
        <v>130241</v>
      </c>
    </row>
    <row r="2603" spans="7:14" ht="11.25" customHeight="1" x14ac:dyDescent="0.3">
      <c r="G2603" s="470"/>
      <c r="H2603" s="470">
        <v>2596</v>
      </c>
      <c r="I2603" s="455">
        <f t="shared" ca="1" si="135"/>
        <v>-20817561771.04847</v>
      </c>
      <c r="J2603" s="455">
        <f t="array" ref="J2603">IFERROR(INDEX('Retirement Calculator'!K:K,MATCH('Lorri 401b'!N2603,'Retirement Calculator'!A:A,0),0),0)</f>
        <v>0</v>
      </c>
      <c r="K2603" s="455">
        <f t="shared" ca="1" si="133"/>
        <v>-86739840.712701961</v>
      </c>
      <c r="L2603" s="455">
        <f t="shared" ca="1" si="134"/>
        <v>-20904301611.761173</v>
      </c>
      <c r="M2603" s="471">
        <f t="shared" si="136"/>
        <v>0.05</v>
      </c>
      <c r="N2603" s="475">
        <f t="shared" si="137"/>
        <v>130272</v>
      </c>
    </row>
    <row r="2604" spans="7:14" ht="11.25" customHeight="1" x14ac:dyDescent="0.3">
      <c r="G2604" s="470"/>
      <c r="H2604" s="470">
        <v>2597</v>
      </c>
      <c r="I2604" s="455">
        <f t="shared" ca="1" si="135"/>
        <v>-20904301611.761173</v>
      </c>
      <c r="J2604" s="455">
        <f t="array" ref="J2604">IFERROR(INDEX('Retirement Calculator'!K:K,MATCH('Lorri 401b'!N2604,'Retirement Calculator'!A:A,0),0),0)</f>
        <v>0</v>
      </c>
      <c r="K2604" s="455">
        <f t="shared" ca="1" si="133"/>
        <v>-87101256.715671554</v>
      </c>
      <c r="L2604" s="455">
        <f t="shared" ca="1" si="134"/>
        <v>-20991402868.476845</v>
      </c>
      <c r="M2604" s="471">
        <f t="shared" si="136"/>
        <v>0.05</v>
      </c>
      <c r="N2604" s="475">
        <f t="shared" si="137"/>
        <v>130302</v>
      </c>
    </row>
    <row r="2605" spans="7:14" ht="11.25" customHeight="1" x14ac:dyDescent="0.3">
      <c r="G2605" s="470"/>
      <c r="H2605" s="470">
        <v>2598</v>
      </c>
      <c r="I2605" s="455">
        <f t="shared" ca="1" si="135"/>
        <v>-20991402868.476845</v>
      </c>
      <c r="J2605" s="455">
        <f t="array" ref="J2605">IFERROR(INDEX('Retirement Calculator'!K:K,MATCH('Lorri 401b'!N2605,'Retirement Calculator'!A:A,0),0),0)</f>
        <v>0</v>
      </c>
      <c r="K2605" s="455">
        <f t="shared" ca="1" si="133"/>
        <v>-87464178.618653521</v>
      </c>
      <c r="L2605" s="455">
        <f t="shared" ca="1" si="134"/>
        <v>-21078867047.095497</v>
      </c>
      <c r="M2605" s="471">
        <f t="shared" si="136"/>
        <v>0.05</v>
      </c>
      <c r="N2605" s="475">
        <f t="shared" si="137"/>
        <v>130333</v>
      </c>
    </row>
    <row r="2606" spans="7:14" ht="11.25" customHeight="1" x14ac:dyDescent="0.3">
      <c r="G2606" s="470"/>
      <c r="H2606" s="470">
        <v>2599</v>
      </c>
      <c r="I2606" s="455">
        <f t="shared" ca="1" si="135"/>
        <v>-21078867047.095497</v>
      </c>
      <c r="J2606" s="455">
        <f t="array" ref="J2606">IFERROR(INDEX('Retirement Calculator'!K:K,MATCH('Lorri 401b'!N2606,'Retirement Calculator'!A:A,0),0),0)</f>
        <v>0</v>
      </c>
      <c r="K2606" s="455">
        <f t="shared" ca="1" si="133"/>
        <v>-87828612.696231231</v>
      </c>
      <c r="L2606" s="455">
        <f t="shared" ca="1" si="134"/>
        <v>-21166695659.791729</v>
      </c>
      <c r="M2606" s="471">
        <f t="shared" si="136"/>
        <v>0.05</v>
      </c>
      <c r="N2606" s="475">
        <f t="shared" si="137"/>
        <v>130363</v>
      </c>
    </row>
    <row r="2607" spans="7:14" ht="11.25" customHeight="1" x14ac:dyDescent="0.3">
      <c r="G2607" s="470"/>
      <c r="H2607" s="470">
        <v>2600</v>
      </c>
      <c r="I2607" s="455">
        <f t="shared" ca="1" si="135"/>
        <v>-21166695659.791729</v>
      </c>
      <c r="J2607" s="455">
        <f t="array" ref="J2607">IFERROR(INDEX('Retirement Calculator'!K:K,MATCH('Lorri 401b'!N2607,'Retirement Calculator'!A:A,0),0),0)</f>
        <v>0</v>
      </c>
      <c r="K2607" s="455">
        <f t="shared" ca="1" si="133"/>
        <v>-88194565.249132201</v>
      </c>
      <c r="L2607" s="455">
        <f t="shared" ca="1" si="134"/>
        <v>-21254890225.040863</v>
      </c>
      <c r="M2607" s="471">
        <f t="shared" si="136"/>
        <v>0.05</v>
      </c>
      <c r="N2607" s="475">
        <f t="shared" si="137"/>
        <v>130394</v>
      </c>
    </row>
    <row r="2608" spans="7:14" ht="11.25" customHeight="1" x14ac:dyDescent="0.3">
      <c r="G2608" s="470"/>
      <c r="H2608" s="470">
        <v>2601</v>
      </c>
      <c r="I2608" s="455">
        <f t="shared" ca="1" si="135"/>
        <v>-21254890225.040863</v>
      </c>
      <c r="J2608" s="455">
        <f t="array" ref="J2608">IFERROR(INDEX('Retirement Calculator'!K:K,MATCH('Lorri 401b'!N2608,'Retirement Calculator'!A:A,0),0),0)</f>
        <v>0</v>
      </c>
      <c r="K2608" s="455">
        <f t="shared" ca="1" si="133"/>
        <v>-88562042.604336932</v>
      </c>
      <c r="L2608" s="455">
        <f t="shared" ca="1" si="134"/>
        <v>-21343452267.645199</v>
      </c>
      <c r="M2608" s="471">
        <f t="shared" si="136"/>
        <v>0.05</v>
      </c>
      <c r="N2608" s="475">
        <f t="shared" si="137"/>
        <v>130425</v>
      </c>
    </row>
    <row r="2609" spans="7:14" ht="11.25" customHeight="1" x14ac:dyDescent="0.3">
      <c r="G2609" s="470"/>
      <c r="H2609" s="470">
        <v>2602</v>
      </c>
      <c r="I2609" s="455">
        <f t="shared" ca="1" si="135"/>
        <v>-21343452267.645199</v>
      </c>
      <c r="J2609" s="455">
        <f t="array" ref="J2609">IFERROR(INDEX('Retirement Calculator'!K:K,MATCH('Lorri 401b'!N2609,'Retirement Calculator'!A:A,0),0),0)</f>
        <v>0</v>
      </c>
      <c r="K2609" s="455">
        <f t="shared" ca="1" si="133"/>
        <v>-88931051.11518833</v>
      </c>
      <c r="L2609" s="455">
        <f t="shared" ca="1" si="134"/>
        <v>-21432383318.760387</v>
      </c>
      <c r="M2609" s="471">
        <f t="shared" si="136"/>
        <v>0.05</v>
      </c>
      <c r="N2609" s="475">
        <f t="shared" si="137"/>
        <v>130453</v>
      </c>
    </row>
    <row r="2610" spans="7:14" ht="11.25" customHeight="1" x14ac:dyDescent="0.3">
      <c r="G2610" s="470"/>
      <c r="H2610" s="470">
        <v>2603</v>
      </c>
      <c r="I2610" s="455">
        <f t="shared" ca="1" si="135"/>
        <v>-21432383318.760387</v>
      </c>
      <c r="J2610" s="455">
        <f t="array" ref="J2610">IFERROR(INDEX('Retirement Calculator'!K:K,MATCH('Lorri 401b'!N2610,'Retirement Calculator'!A:A,0),0),0)</f>
        <v>0</v>
      </c>
      <c r="K2610" s="455">
        <f t="shared" ca="1" si="133"/>
        <v>-89301597.161501616</v>
      </c>
      <c r="L2610" s="455">
        <f t="shared" ca="1" si="134"/>
        <v>-21521684915.92189</v>
      </c>
      <c r="M2610" s="471">
        <f t="shared" si="136"/>
        <v>0.05</v>
      </c>
      <c r="N2610" s="475">
        <f t="shared" si="137"/>
        <v>130484</v>
      </c>
    </row>
    <row r="2611" spans="7:14" ht="11.25" customHeight="1" x14ac:dyDescent="0.3">
      <c r="G2611" s="470"/>
      <c r="H2611" s="470">
        <v>2604</v>
      </c>
      <c r="I2611" s="455">
        <f t="shared" ca="1" si="135"/>
        <v>-21521684915.92189</v>
      </c>
      <c r="J2611" s="455">
        <f t="array" ref="J2611">IFERROR(INDEX('Retirement Calculator'!K:K,MATCH('Lorri 401b'!N2611,'Retirement Calculator'!A:A,0),0),0)</f>
        <v>0</v>
      </c>
      <c r="K2611" s="455">
        <f t="shared" ca="1" si="133"/>
        <v>-89673687.149674535</v>
      </c>
      <c r="L2611" s="455">
        <f t="shared" ca="1" si="134"/>
        <v>-21611358603.071564</v>
      </c>
      <c r="M2611" s="471">
        <f t="shared" si="136"/>
        <v>0.05</v>
      </c>
      <c r="N2611" s="475">
        <f t="shared" si="137"/>
        <v>130514</v>
      </c>
    </row>
    <row r="2612" spans="7:14" ht="11.25" customHeight="1" x14ac:dyDescent="0.3">
      <c r="G2612" s="470"/>
      <c r="H2612" s="470">
        <v>2605</v>
      </c>
      <c r="I2612" s="455">
        <f t="shared" ca="1" si="135"/>
        <v>-21611358603.071564</v>
      </c>
      <c r="J2612" s="455">
        <f t="array" ref="J2612">IFERROR(INDEX('Retirement Calculator'!K:K,MATCH('Lorri 401b'!N2612,'Retirement Calculator'!A:A,0),0),0)</f>
        <v>0</v>
      </c>
      <c r="K2612" s="455">
        <f t="shared" ca="1" si="133"/>
        <v>-90047327.512798175</v>
      </c>
      <c r="L2612" s="455">
        <f t="shared" ca="1" si="134"/>
        <v>-21701405930.584362</v>
      </c>
      <c r="M2612" s="471">
        <f t="shared" si="136"/>
        <v>0.05</v>
      </c>
      <c r="N2612" s="475">
        <f t="shared" si="137"/>
        <v>130545</v>
      </c>
    </row>
    <row r="2613" spans="7:14" ht="11.25" customHeight="1" x14ac:dyDescent="0.3">
      <c r="G2613" s="470"/>
      <c r="H2613" s="470">
        <v>2606</v>
      </c>
      <c r="I2613" s="455">
        <f t="shared" ca="1" si="135"/>
        <v>-21701405930.584362</v>
      </c>
      <c r="J2613" s="455">
        <f t="array" ref="J2613">IFERROR(INDEX('Retirement Calculator'!K:K,MATCH('Lorri 401b'!N2613,'Retirement Calculator'!A:A,0),0),0)</f>
        <v>0</v>
      </c>
      <c r="K2613" s="455">
        <f t="shared" ca="1" si="133"/>
        <v>-90422524.710768178</v>
      </c>
      <c r="L2613" s="455">
        <f t="shared" ca="1" si="134"/>
        <v>-21791828455.295132</v>
      </c>
      <c r="M2613" s="471">
        <f t="shared" si="136"/>
        <v>0.05</v>
      </c>
      <c r="N2613" s="475">
        <f t="shared" si="137"/>
        <v>130575</v>
      </c>
    </row>
    <row r="2614" spans="7:14" ht="11.25" customHeight="1" x14ac:dyDescent="0.3">
      <c r="G2614" s="470"/>
      <c r="H2614" s="470">
        <v>2607</v>
      </c>
      <c r="I2614" s="455">
        <f t="shared" ca="1" si="135"/>
        <v>-21791828455.295132</v>
      </c>
      <c r="J2614" s="455">
        <f t="array" ref="J2614">IFERROR(INDEX('Retirement Calculator'!K:K,MATCH('Lorri 401b'!N2614,'Retirement Calculator'!A:A,0),0),0)</f>
        <v>0</v>
      </c>
      <c r="K2614" s="455">
        <f t="shared" ca="1" si="133"/>
        <v>-90799285.230396375</v>
      </c>
      <c r="L2614" s="455">
        <f t="shared" ca="1" si="134"/>
        <v>-21882627740.525528</v>
      </c>
      <c r="M2614" s="471">
        <f t="shared" si="136"/>
        <v>0.05</v>
      </c>
      <c r="N2614" s="475">
        <f t="shared" si="137"/>
        <v>130606</v>
      </c>
    </row>
    <row r="2615" spans="7:14" ht="11.25" customHeight="1" x14ac:dyDescent="0.3">
      <c r="G2615" s="470"/>
      <c r="H2615" s="470">
        <v>2608</v>
      </c>
      <c r="I2615" s="455">
        <f t="shared" ca="1" si="135"/>
        <v>-21882627740.525528</v>
      </c>
      <c r="J2615" s="455">
        <f t="array" ref="J2615">IFERROR(INDEX('Retirement Calculator'!K:K,MATCH('Lorri 401b'!N2615,'Retirement Calculator'!A:A,0),0),0)</f>
        <v>0</v>
      </c>
      <c r="K2615" s="455">
        <f t="shared" ca="1" si="133"/>
        <v>-91177615.585523039</v>
      </c>
      <c r="L2615" s="455">
        <f t="shared" ca="1" si="134"/>
        <v>-21973805356.11105</v>
      </c>
      <c r="M2615" s="471">
        <f t="shared" si="136"/>
        <v>0.05</v>
      </c>
      <c r="N2615" s="475">
        <f t="shared" si="137"/>
        <v>130637</v>
      </c>
    </row>
    <row r="2616" spans="7:14" ht="11.25" customHeight="1" x14ac:dyDescent="0.3">
      <c r="G2616" s="470"/>
      <c r="H2616" s="470">
        <v>2609</v>
      </c>
      <c r="I2616" s="455">
        <f t="shared" ca="1" si="135"/>
        <v>-21973805356.11105</v>
      </c>
      <c r="J2616" s="455">
        <f t="array" ref="J2616">IFERROR(INDEX('Retirement Calculator'!K:K,MATCH('Lorri 401b'!N2616,'Retirement Calculator'!A:A,0),0),0)</f>
        <v>0</v>
      </c>
      <c r="K2616" s="455">
        <f t="shared" ca="1" si="133"/>
        <v>-91557522.317129374</v>
      </c>
      <c r="L2616" s="455">
        <f t="shared" ca="1" si="134"/>
        <v>-22065362878.428181</v>
      </c>
      <c r="M2616" s="471">
        <f t="shared" si="136"/>
        <v>0.05</v>
      </c>
      <c r="N2616" s="475">
        <f t="shared" si="137"/>
        <v>130667</v>
      </c>
    </row>
    <row r="2617" spans="7:14" ht="11.25" customHeight="1" x14ac:dyDescent="0.3">
      <c r="G2617" s="470"/>
      <c r="H2617" s="470">
        <v>2610</v>
      </c>
      <c r="I2617" s="455">
        <f t="shared" ca="1" si="135"/>
        <v>-22065362878.428181</v>
      </c>
      <c r="J2617" s="455">
        <f t="array" ref="J2617">IFERROR(INDEX('Retirement Calculator'!K:K,MATCH('Lorri 401b'!N2617,'Retirement Calculator'!A:A,0),0),0)</f>
        <v>0</v>
      </c>
      <c r="K2617" s="455">
        <f t="shared" ca="1" si="133"/>
        <v>-91939011.993450746</v>
      </c>
      <c r="L2617" s="455">
        <f t="shared" ca="1" si="134"/>
        <v>-22157301890.421631</v>
      </c>
      <c r="M2617" s="471">
        <f t="shared" si="136"/>
        <v>0.05</v>
      </c>
      <c r="N2617" s="475">
        <f t="shared" si="137"/>
        <v>130698</v>
      </c>
    </row>
    <row r="2618" spans="7:14" ht="11.25" customHeight="1" x14ac:dyDescent="0.3">
      <c r="G2618" s="470"/>
      <c r="H2618" s="470">
        <v>2611</v>
      </c>
      <c r="I2618" s="455">
        <f t="shared" ca="1" si="135"/>
        <v>-22157301890.421631</v>
      </c>
      <c r="J2618" s="455">
        <f t="array" ref="J2618">IFERROR(INDEX('Retirement Calculator'!K:K,MATCH('Lorri 401b'!N2618,'Retirement Calculator'!A:A,0),0),0)</f>
        <v>0</v>
      </c>
      <c r="K2618" s="455">
        <f t="shared" ca="1" si="133"/>
        <v>-92322091.210090131</v>
      </c>
      <c r="L2618" s="455">
        <f t="shared" ca="1" si="134"/>
        <v>-22249623981.631721</v>
      </c>
      <c r="M2618" s="471">
        <f t="shared" si="136"/>
        <v>0.05</v>
      </c>
      <c r="N2618" s="475">
        <f t="shared" si="137"/>
        <v>130728</v>
      </c>
    </row>
    <row r="2619" spans="7:14" ht="11.25" customHeight="1" x14ac:dyDescent="0.3">
      <c r="G2619" s="470"/>
      <c r="H2619" s="470">
        <v>2612</v>
      </c>
      <c r="I2619" s="455">
        <f t="shared" ca="1" si="135"/>
        <v>-22249623981.631721</v>
      </c>
      <c r="J2619" s="455">
        <f t="array" ref="J2619">IFERROR(INDEX('Retirement Calculator'!K:K,MATCH('Lorri 401b'!N2619,'Retirement Calculator'!A:A,0),0),0)</f>
        <v>0</v>
      </c>
      <c r="K2619" s="455">
        <f t="shared" ca="1" si="133"/>
        <v>-92706766.590132177</v>
      </c>
      <c r="L2619" s="455">
        <f t="shared" ca="1" si="134"/>
        <v>-22342330748.221855</v>
      </c>
      <c r="M2619" s="471">
        <f t="shared" si="136"/>
        <v>0.05</v>
      </c>
      <c r="N2619" s="475">
        <f t="shared" si="137"/>
        <v>130759</v>
      </c>
    </row>
    <row r="2620" spans="7:14" ht="11.25" customHeight="1" x14ac:dyDescent="0.3">
      <c r="G2620" s="470"/>
      <c r="H2620" s="470">
        <v>2613</v>
      </c>
      <c r="I2620" s="455">
        <f t="shared" ca="1" si="135"/>
        <v>-22342330748.221855</v>
      </c>
      <c r="J2620" s="455">
        <f t="array" ref="J2620">IFERROR(INDEX('Retirement Calculator'!K:K,MATCH('Lorri 401b'!N2620,'Retirement Calculator'!A:A,0),0),0)</f>
        <v>0</v>
      </c>
      <c r="K2620" s="455">
        <f t="shared" ca="1" si="133"/>
        <v>-93093044.784257725</v>
      </c>
      <c r="L2620" s="455">
        <f t="shared" ca="1" si="134"/>
        <v>-22435423793.006111</v>
      </c>
      <c r="M2620" s="471">
        <f t="shared" si="136"/>
        <v>0.05</v>
      </c>
      <c r="N2620" s="475">
        <f t="shared" si="137"/>
        <v>130790</v>
      </c>
    </row>
    <row r="2621" spans="7:14" ht="11.25" customHeight="1" x14ac:dyDescent="0.3">
      <c r="G2621" s="470"/>
      <c r="H2621" s="470">
        <v>2614</v>
      </c>
      <c r="I2621" s="455">
        <f t="shared" ca="1" si="135"/>
        <v>-22435423793.006111</v>
      </c>
      <c r="J2621" s="455">
        <f t="array" ref="J2621">IFERROR(INDEX('Retirement Calculator'!K:K,MATCH('Lorri 401b'!N2621,'Retirement Calculator'!A:A,0),0),0)</f>
        <v>0</v>
      </c>
      <c r="K2621" s="455">
        <f t="shared" ca="1" si="133"/>
        <v>-93480932.470858797</v>
      </c>
      <c r="L2621" s="455">
        <f t="shared" ca="1" si="134"/>
        <v>-22528904725.476971</v>
      </c>
      <c r="M2621" s="471">
        <f t="shared" si="136"/>
        <v>0.05</v>
      </c>
      <c r="N2621" s="475">
        <f t="shared" si="137"/>
        <v>130818</v>
      </c>
    </row>
    <row r="2622" spans="7:14" ht="11.25" customHeight="1" x14ac:dyDescent="0.3">
      <c r="G2622" s="470"/>
      <c r="H2622" s="470">
        <v>2615</v>
      </c>
      <c r="I2622" s="455">
        <f t="shared" ca="1" si="135"/>
        <v>-22528904725.476971</v>
      </c>
      <c r="J2622" s="455">
        <f t="array" ref="J2622">IFERROR(INDEX('Retirement Calculator'!K:K,MATCH('Lorri 401b'!N2622,'Retirement Calculator'!A:A,0),0),0)</f>
        <v>0</v>
      </c>
      <c r="K2622" s="455">
        <f t="shared" ca="1" si="133"/>
        <v>-93870436.35615404</v>
      </c>
      <c r="L2622" s="455">
        <f t="shared" ca="1" si="134"/>
        <v>-22622775161.833126</v>
      </c>
      <c r="M2622" s="471">
        <f t="shared" si="136"/>
        <v>0.05</v>
      </c>
      <c r="N2622" s="475">
        <f t="shared" si="137"/>
        <v>130849</v>
      </c>
    </row>
    <row r="2623" spans="7:14" ht="11.25" customHeight="1" x14ac:dyDescent="0.3">
      <c r="G2623" s="470"/>
      <c r="H2623" s="470">
        <v>2616</v>
      </c>
      <c r="I2623" s="455">
        <f t="shared" ca="1" si="135"/>
        <v>-22622775161.833126</v>
      </c>
      <c r="J2623" s="455">
        <f t="array" ref="J2623">IFERROR(INDEX('Retirement Calculator'!K:K,MATCH('Lorri 401b'!N2623,'Retirement Calculator'!A:A,0),0),0)</f>
        <v>0</v>
      </c>
      <c r="K2623" s="455">
        <f t="shared" ca="1" si="133"/>
        <v>-94261563.174304694</v>
      </c>
      <c r="L2623" s="455">
        <f t="shared" ca="1" si="134"/>
        <v>-22717036725.007431</v>
      </c>
      <c r="M2623" s="471">
        <f t="shared" si="136"/>
        <v>0.05</v>
      </c>
      <c r="N2623" s="475">
        <f t="shared" si="137"/>
        <v>130879</v>
      </c>
    </row>
    <row r="2624" spans="7:14" ht="11.25" customHeight="1" x14ac:dyDescent="0.3">
      <c r="G2624" s="470"/>
      <c r="H2624" s="470">
        <v>2617</v>
      </c>
      <c r="I2624" s="455">
        <f t="shared" ca="1" si="135"/>
        <v>-22717036725.007431</v>
      </c>
      <c r="J2624" s="455">
        <f t="array" ref="J2624">IFERROR(INDEX('Retirement Calculator'!K:K,MATCH('Lorri 401b'!N2624,'Retirement Calculator'!A:A,0),0),0)</f>
        <v>0</v>
      </c>
      <c r="K2624" s="455">
        <f t="shared" ca="1" si="133"/>
        <v>-94654319.687530965</v>
      </c>
      <c r="L2624" s="455">
        <f t="shared" ca="1" si="134"/>
        <v>-22811691044.694962</v>
      </c>
      <c r="M2624" s="471">
        <f t="shared" si="136"/>
        <v>0.05</v>
      </c>
      <c r="N2624" s="475">
        <f t="shared" si="137"/>
        <v>130910</v>
      </c>
    </row>
    <row r="2625" spans="7:14" ht="11.25" customHeight="1" x14ac:dyDescent="0.3">
      <c r="G2625" s="470"/>
      <c r="H2625" s="470">
        <v>2618</v>
      </c>
      <c r="I2625" s="455">
        <f t="shared" ca="1" si="135"/>
        <v>-22811691044.694962</v>
      </c>
      <c r="J2625" s="455">
        <f t="array" ref="J2625">IFERROR(INDEX('Retirement Calculator'!K:K,MATCH('Lorri 401b'!N2625,'Retirement Calculator'!A:A,0),0),0)</f>
        <v>0</v>
      </c>
      <c r="K2625" s="455">
        <f t="shared" ca="1" si="133"/>
        <v>-95048712.686229005</v>
      </c>
      <c r="L2625" s="455">
        <f t="shared" ca="1" si="134"/>
        <v>-22906739757.381191</v>
      </c>
      <c r="M2625" s="471">
        <f t="shared" si="136"/>
        <v>0.05</v>
      </c>
      <c r="N2625" s="475">
        <f t="shared" si="137"/>
        <v>130940</v>
      </c>
    </row>
    <row r="2626" spans="7:14" ht="11.25" customHeight="1" x14ac:dyDescent="0.3">
      <c r="G2626" s="470"/>
      <c r="H2626" s="470">
        <v>2619</v>
      </c>
      <c r="I2626" s="455">
        <f t="shared" ca="1" si="135"/>
        <v>-22906739757.381191</v>
      </c>
      <c r="J2626" s="455">
        <f t="array" ref="J2626">IFERROR(INDEX('Retirement Calculator'!K:K,MATCH('Lorri 401b'!N2626,'Retirement Calculator'!A:A,0),0),0)</f>
        <v>0</v>
      </c>
      <c r="K2626" s="455">
        <f t="shared" ca="1" si="133"/>
        <v>-95444748.989088297</v>
      </c>
      <c r="L2626" s="455">
        <f t="shared" ca="1" si="134"/>
        <v>-23002184506.370281</v>
      </c>
      <c r="M2626" s="471">
        <f t="shared" si="136"/>
        <v>0.05</v>
      </c>
      <c r="N2626" s="475">
        <f t="shared" si="137"/>
        <v>130971</v>
      </c>
    </row>
    <row r="2627" spans="7:14" ht="11.25" customHeight="1" x14ac:dyDescent="0.3">
      <c r="G2627" s="470"/>
      <c r="H2627" s="470">
        <v>2620</v>
      </c>
      <c r="I2627" s="455">
        <f t="shared" ca="1" si="135"/>
        <v>-23002184506.370281</v>
      </c>
      <c r="J2627" s="455">
        <f t="array" ref="J2627">IFERROR(INDEX('Retirement Calculator'!K:K,MATCH('Lorri 401b'!N2627,'Retirement Calculator'!A:A,0),0),0)</f>
        <v>0</v>
      </c>
      <c r="K2627" s="455">
        <f t="shared" ca="1" si="133"/>
        <v>-95842435.443209499</v>
      </c>
      <c r="L2627" s="455">
        <f t="shared" ca="1" si="134"/>
        <v>-23098026941.813492</v>
      </c>
      <c r="M2627" s="471">
        <f t="shared" si="136"/>
        <v>0.05</v>
      </c>
      <c r="N2627" s="475">
        <f t="shared" si="137"/>
        <v>131002</v>
      </c>
    </row>
    <row r="2628" spans="7:14" ht="11.25" customHeight="1" x14ac:dyDescent="0.3">
      <c r="G2628" s="470"/>
      <c r="H2628" s="470">
        <v>2621</v>
      </c>
      <c r="I2628" s="455">
        <f t="shared" ca="1" si="135"/>
        <v>-23098026941.813492</v>
      </c>
      <c r="J2628" s="455">
        <f t="array" ref="J2628">IFERROR(INDEX('Retirement Calculator'!K:K,MATCH('Lorri 401b'!N2628,'Retirement Calculator'!A:A,0),0),0)</f>
        <v>0</v>
      </c>
      <c r="K2628" s="455">
        <f t="shared" ca="1" si="133"/>
        <v>-96241778.924222887</v>
      </c>
      <c r="L2628" s="455">
        <f t="shared" ca="1" si="134"/>
        <v>-23194268720.737713</v>
      </c>
      <c r="M2628" s="471">
        <f t="shared" si="136"/>
        <v>0.05</v>
      </c>
      <c r="N2628" s="475">
        <f t="shared" si="137"/>
        <v>131032</v>
      </c>
    </row>
    <row r="2629" spans="7:14" ht="11.25" customHeight="1" x14ac:dyDescent="0.3">
      <c r="G2629" s="470"/>
      <c r="H2629" s="470">
        <v>2622</v>
      </c>
      <c r="I2629" s="455">
        <f t="shared" ca="1" si="135"/>
        <v>-23194268720.737713</v>
      </c>
      <c r="J2629" s="455">
        <f t="array" ref="J2629">IFERROR(INDEX('Retirement Calculator'!K:K,MATCH('Lorri 401b'!N2629,'Retirement Calculator'!A:A,0),0),0)</f>
        <v>0</v>
      </c>
      <c r="K2629" s="455">
        <f t="shared" ca="1" si="133"/>
        <v>-96642786.33640714</v>
      </c>
      <c r="L2629" s="455">
        <f t="shared" ca="1" si="134"/>
        <v>-23290911507.07412</v>
      </c>
      <c r="M2629" s="471">
        <f t="shared" si="136"/>
        <v>0.05</v>
      </c>
      <c r="N2629" s="475">
        <f t="shared" si="137"/>
        <v>131063</v>
      </c>
    </row>
    <row r="2630" spans="7:14" ht="11.25" customHeight="1" x14ac:dyDescent="0.3">
      <c r="G2630" s="470"/>
      <c r="H2630" s="470">
        <v>2623</v>
      </c>
      <c r="I2630" s="455">
        <f t="shared" ca="1" si="135"/>
        <v>-23290911507.07412</v>
      </c>
      <c r="J2630" s="455">
        <f t="array" ref="J2630">IFERROR(INDEX('Retirement Calculator'!K:K,MATCH('Lorri 401b'!N2630,'Retirement Calculator'!A:A,0),0),0)</f>
        <v>0</v>
      </c>
      <c r="K2630" s="455">
        <f t="shared" ca="1" si="133"/>
        <v>-97045464.612808824</v>
      </c>
      <c r="L2630" s="455">
        <f t="shared" ca="1" si="134"/>
        <v>-23387956971.686928</v>
      </c>
      <c r="M2630" s="471">
        <f t="shared" si="136"/>
        <v>0.05</v>
      </c>
      <c r="N2630" s="475">
        <f t="shared" si="137"/>
        <v>131093</v>
      </c>
    </row>
    <row r="2631" spans="7:14" ht="11.25" customHeight="1" x14ac:dyDescent="0.3">
      <c r="G2631" s="470"/>
      <c r="H2631" s="470">
        <v>2624</v>
      </c>
      <c r="I2631" s="455">
        <f t="shared" ca="1" si="135"/>
        <v>-23387956971.686928</v>
      </c>
      <c r="J2631" s="455">
        <f t="array" ref="J2631">IFERROR(INDEX('Retirement Calculator'!K:K,MATCH('Lorri 401b'!N2631,'Retirement Calculator'!A:A,0),0),0)</f>
        <v>0</v>
      </c>
      <c r="K2631" s="455">
        <f t="shared" ca="1" si="133"/>
        <v>-97449820.715362191</v>
      </c>
      <c r="L2631" s="455">
        <f t="shared" ca="1" si="134"/>
        <v>-23485406792.40229</v>
      </c>
      <c r="M2631" s="471">
        <f t="shared" si="136"/>
        <v>0.05</v>
      </c>
      <c r="N2631" s="475">
        <f t="shared" si="137"/>
        <v>131124</v>
      </c>
    </row>
    <row r="2632" spans="7:14" ht="11.25" customHeight="1" x14ac:dyDescent="0.3">
      <c r="G2632" s="470"/>
      <c r="H2632" s="470">
        <v>2625</v>
      </c>
      <c r="I2632" s="455">
        <f t="shared" ca="1" si="135"/>
        <v>-23485406792.40229</v>
      </c>
      <c r="J2632" s="455">
        <f t="array" ref="J2632">IFERROR(INDEX('Retirement Calculator'!K:K,MATCH('Lorri 401b'!N2632,'Retirement Calculator'!A:A,0),0),0)</f>
        <v>0</v>
      </c>
      <c r="K2632" s="455">
        <f t="shared" ca="1" si="133"/>
        <v>-97855861.635009542</v>
      </c>
      <c r="L2632" s="455">
        <f t="shared" ca="1" si="134"/>
        <v>-23583262654.0373</v>
      </c>
      <c r="M2632" s="471">
        <f t="shared" si="136"/>
        <v>0.05</v>
      </c>
      <c r="N2632" s="475">
        <f t="shared" si="137"/>
        <v>131155</v>
      </c>
    </row>
    <row r="2633" spans="7:14" ht="11.25" customHeight="1" x14ac:dyDescent="0.3">
      <c r="G2633" s="470"/>
      <c r="H2633" s="470">
        <v>2626</v>
      </c>
      <c r="I2633" s="455">
        <f t="shared" ca="1" si="135"/>
        <v>-23583262654.0373</v>
      </c>
      <c r="J2633" s="455">
        <f t="array" ref="J2633">IFERROR(INDEX('Retirement Calculator'!K:K,MATCH('Lorri 401b'!N2633,'Retirement Calculator'!A:A,0),0),0)</f>
        <v>0</v>
      </c>
      <c r="K2633" s="455">
        <f t="shared" ca="1" si="133"/>
        <v>-98263594.391822085</v>
      </c>
      <c r="L2633" s="455">
        <f t="shared" ca="1" si="134"/>
        <v>-23681526248.429123</v>
      </c>
      <c r="M2633" s="471">
        <f t="shared" si="136"/>
        <v>0.05</v>
      </c>
      <c r="N2633" s="475">
        <f t="shared" si="137"/>
        <v>131183</v>
      </c>
    </row>
    <row r="2634" spans="7:14" ht="11.25" customHeight="1" x14ac:dyDescent="0.3">
      <c r="G2634" s="470"/>
      <c r="H2634" s="470">
        <v>2627</v>
      </c>
      <c r="I2634" s="455">
        <f t="shared" ca="1" si="135"/>
        <v>-23681526248.429123</v>
      </c>
      <c r="J2634" s="455">
        <f t="array" ref="J2634">IFERROR(INDEX('Retirement Calculator'!K:K,MATCH('Lorri 401b'!N2634,'Retirement Calculator'!A:A,0),0),0)</f>
        <v>0</v>
      </c>
      <c r="K2634" s="455">
        <f t="shared" ca="1" si="133"/>
        <v>-98673026.035121351</v>
      </c>
      <c r="L2634" s="455">
        <f t="shared" ca="1" si="134"/>
        <v>-23780199274.464245</v>
      </c>
      <c r="M2634" s="471">
        <f t="shared" si="136"/>
        <v>0.05</v>
      </c>
      <c r="N2634" s="475">
        <f t="shared" si="137"/>
        <v>131214</v>
      </c>
    </row>
    <row r="2635" spans="7:14" ht="11.25" customHeight="1" x14ac:dyDescent="0.3">
      <c r="G2635" s="470"/>
      <c r="H2635" s="470">
        <v>2628</v>
      </c>
      <c r="I2635" s="455">
        <f t="shared" ca="1" si="135"/>
        <v>-23780199274.464245</v>
      </c>
      <c r="J2635" s="455">
        <f t="array" ref="J2635">IFERROR(INDEX('Retirement Calculator'!K:K,MATCH('Lorri 401b'!N2635,'Retirement Calculator'!A:A,0),0),0)</f>
        <v>0</v>
      </c>
      <c r="K2635" s="455">
        <f t="shared" ca="1" si="133"/>
        <v>-99084163.643601015</v>
      </c>
      <c r="L2635" s="455">
        <f t="shared" ca="1" si="134"/>
        <v>-23879283438.107845</v>
      </c>
      <c r="M2635" s="471">
        <f t="shared" si="136"/>
        <v>0.05</v>
      </c>
      <c r="N2635" s="475">
        <f t="shared" si="137"/>
        <v>131244</v>
      </c>
    </row>
    <row r="2636" spans="7:14" ht="11.25" customHeight="1" x14ac:dyDescent="0.3">
      <c r="G2636" s="470"/>
      <c r="H2636" s="470">
        <v>2629</v>
      </c>
      <c r="I2636" s="455">
        <f t="shared" ca="1" si="135"/>
        <v>-23879283438.107845</v>
      </c>
      <c r="J2636" s="455">
        <f t="array" ref="J2636">IFERROR(INDEX('Retirement Calculator'!K:K,MATCH('Lorri 401b'!N2636,'Retirement Calculator'!A:A,0),0),0)</f>
        <v>0</v>
      </c>
      <c r="K2636" s="455">
        <f t="shared" ca="1" si="133"/>
        <v>-99497014.325449347</v>
      </c>
      <c r="L2636" s="455">
        <f t="shared" ca="1" si="134"/>
        <v>-23978780452.433296</v>
      </c>
      <c r="M2636" s="471">
        <f t="shared" si="136"/>
        <v>0.05</v>
      </c>
      <c r="N2636" s="475">
        <f t="shared" si="137"/>
        <v>131275</v>
      </c>
    </row>
    <row r="2637" spans="7:14" ht="11.25" customHeight="1" x14ac:dyDescent="0.3">
      <c r="G2637" s="470"/>
      <c r="H2637" s="470">
        <v>2630</v>
      </c>
      <c r="I2637" s="455">
        <f t="shared" ca="1" si="135"/>
        <v>-23978780452.433296</v>
      </c>
      <c r="J2637" s="455">
        <f t="array" ref="J2637">IFERROR(INDEX('Retirement Calculator'!K:K,MATCH('Lorri 401b'!N2637,'Retirement Calculator'!A:A,0),0),0)</f>
        <v>0</v>
      </c>
      <c r="K2637" s="455">
        <f t="shared" ca="1" si="133"/>
        <v>-99911585.218472064</v>
      </c>
      <c r="L2637" s="455">
        <f t="shared" ca="1" si="134"/>
        <v>-24078692037.651768</v>
      </c>
      <c r="M2637" s="471">
        <f t="shared" si="136"/>
        <v>0.05</v>
      </c>
      <c r="N2637" s="475">
        <f t="shared" si="137"/>
        <v>131305</v>
      </c>
    </row>
    <row r="2638" spans="7:14" ht="11.25" customHeight="1" x14ac:dyDescent="0.3">
      <c r="G2638" s="470"/>
      <c r="H2638" s="470">
        <v>2631</v>
      </c>
      <c r="I2638" s="455">
        <f t="shared" ca="1" si="135"/>
        <v>-24078692037.651768</v>
      </c>
      <c r="J2638" s="455">
        <f t="array" ref="J2638">IFERROR(INDEX('Retirement Calculator'!K:K,MATCH('Lorri 401b'!N2638,'Retirement Calculator'!A:A,0),0),0)</f>
        <v>0</v>
      </c>
      <c r="K2638" s="455">
        <f t="shared" ca="1" si="133"/>
        <v>-100327883.4902157</v>
      </c>
      <c r="L2638" s="455">
        <f t="shared" ca="1" si="134"/>
        <v>-24179019921.141983</v>
      </c>
      <c r="M2638" s="471">
        <f t="shared" si="136"/>
        <v>0.05</v>
      </c>
      <c r="N2638" s="475">
        <f t="shared" si="137"/>
        <v>131336</v>
      </c>
    </row>
    <row r="2639" spans="7:14" ht="11.25" customHeight="1" x14ac:dyDescent="0.3">
      <c r="G2639" s="470"/>
      <c r="H2639" s="470">
        <v>2632</v>
      </c>
      <c r="I2639" s="455">
        <f t="shared" ca="1" si="135"/>
        <v>-24179019921.141983</v>
      </c>
      <c r="J2639" s="455">
        <f t="array" ref="J2639">IFERROR(INDEX('Retirement Calculator'!K:K,MATCH('Lorri 401b'!N2639,'Retirement Calculator'!A:A,0),0),0)</f>
        <v>0</v>
      </c>
      <c r="K2639" s="455">
        <f t="shared" ca="1" si="133"/>
        <v>-100745916.3380916</v>
      </c>
      <c r="L2639" s="455">
        <f t="shared" ca="1" si="134"/>
        <v>-24279765837.480076</v>
      </c>
      <c r="M2639" s="471">
        <f t="shared" si="136"/>
        <v>0.05</v>
      </c>
      <c r="N2639" s="475">
        <f t="shared" si="137"/>
        <v>131367</v>
      </c>
    </row>
    <row r="2640" spans="7:14" ht="11.25" customHeight="1" x14ac:dyDescent="0.3">
      <c r="G2640" s="470"/>
      <c r="H2640" s="470">
        <v>2633</v>
      </c>
      <c r="I2640" s="455">
        <f t="shared" ca="1" si="135"/>
        <v>-24279765837.480076</v>
      </c>
      <c r="J2640" s="455">
        <f t="array" ref="J2640">IFERROR(INDEX('Retirement Calculator'!K:K,MATCH('Lorri 401b'!N2640,'Retirement Calculator'!A:A,0),0),0)</f>
        <v>0</v>
      </c>
      <c r="K2640" s="455">
        <f t="shared" ca="1" si="133"/>
        <v>-101165690.98950031</v>
      </c>
      <c r="L2640" s="455">
        <f t="shared" ca="1" si="134"/>
        <v>-24380931528.469578</v>
      </c>
      <c r="M2640" s="471">
        <f t="shared" si="136"/>
        <v>0.05</v>
      </c>
      <c r="N2640" s="475">
        <f t="shared" si="137"/>
        <v>131397</v>
      </c>
    </row>
    <row r="2641" spans="7:14" ht="11.25" customHeight="1" x14ac:dyDescent="0.3">
      <c r="G2641" s="470"/>
      <c r="H2641" s="470">
        <v>2634</v>
      </c>
      <c r="I2641" s="455">
        <f t="shared" ca="1" si="135"/>
        <v>-24380931528.469578</v>
      </c>
      <c r="J2641" s="455">
        <f t="array" ref="J2641">IFERROR(INDEX('Retirement Calculator'!K:K,MATCH('Lorri 401b'!N2641,'Retirement Calculator'!A:A,0),0),0)</f>
        <v>0</v>
      </c>
      <c r="K2641" s="455">
        <f t="shared" ca="1" si="133"/>
        <v>-101587214.70195657</v>
      </c>
      <c r="L2641" s="455">
        <f t="shared" ca="1" si="134"/>
        <v>-24482518743.171535</v>
      </c>
      <c r="M2641" s="471">
        <f t="shared" si="136"/>
        <v>0.05</v>
      </c>
      <c r="N2641" s="475">
        <f t="shared" si="137"/>
        <v>131428</v>
      </c>
    </row>
    <row r="2642" spans="7:14" ht="11.25" customHeight="1" x14ac:dyDescent="0.3">
      <c r="G2642" s="470"/>
      <c r="H2642" s="470">
        <v>2635</v>
      </c>
      <c r="I2642" s="455">
        <f t="shared" ca="1" si="135"/>
        <v>-24482518743.171535</v>
      </c>
      <c r="J2642" s="455">
        <f t="array" ref="J2642">IFERROR(INDEX('Retirement Calculator'!K:K,MATCH('Lorri 401b'!N2642,'Retirement Calculator'!A:A,0),0),0)</f>
        <v>0</v>
      </c>
      <c r="K2642" s="455">
        <f t="shared" ca="1" si="133"/>
        <v>-102010494.76321474</v>
      </c>
      <c r="L2642" s="455">
        <f t="shared" ca="1" si="134"/>
        <v>-24584529237.93475</v>
      </c>
      <c r="M2642" s="471">
        <f t="shared" si="136"/>
        <v>0.05</v>
      </c>
      <c r="N2642" s="475">
        <f t="shared" si="137"/>
        <v>131458</v>
      </c>
    </row>
    <row r="2643" spans="7:14" ht="11.25" customHeight="1" x14ac:dyDescent="0.3">
      <c r="G2643" s="470"/>
      <c r="H2643" s="470">
        <v>2636</v>
      </c>
      <c r="I2643" s="455">
        <f t="shared" ca="1" si="135"/>
        <v>-24584529237.93475</v>
      </c>
      <c r="J2643" s="455">
        <f t="array" ref="J2643">IFERROR(INDEX('Retirement Calculator'!K:K,MATCH('Lorri 401b'!N2643,'Retirement Calculator'!A:A,0),0),0)</f>
        <v>0</v>
      </c>
      <c r="K2643" s="455">
        <f t="shared" ca="1" si="133"/>
        <v>-102435538.49139479</v>
      </c>
      <c r="L2643" s="455">
        <f t="shared" ca="1" si="134"/>
        <v>-24686964776.426144</v>
      </c>
      <c r="M2643" s="471">
        <f t="shared" si="136"/>
        <v>0.05</v>
      </c>
      <c r="N2643" s="475">
        <f t="shared" si="137"/>
        <v>131489</v>
      </c>
    </row>
    <row r="2644" spans="7:14" ht="11.25" customHeight="1" x14ac:dyDescent="0.3">
      <c r="G2644" s="470"/>
      <c r="H2644" s="470">
        <v>2637</v>
      </c>
      <c r="I2644" s="455">
        <f t="shared" ca="1" si="135"/>
        <v>-24686964776.426144</v>
      </c>
      <c r="J2644" s="455">
        <f t="array" ref="J2644">IFERROR(INDEX('Retirement Calculator'!K:K,MATCH('Lorri 401b'!N2644,'Retirement Calculator'!A:A,0),0),0)</f>
        <v>0</v>
      </c>
      <c r="K2644" s="455">
        <f t="shared" ca="1" si="133"/>
        <v>-102862353.23510893</v>
      </c>
      <c r="L2644" s="455">
        <f t="shared" ca="1" si="134"/>
        <v>-24789827129.661251</v>
      </c>
      <c r="M2644" s="471">
        <f t="shared" si="136"/>
        <v>0.05</v>
      </c>
      <c r="N2644" s="475">
        <f t="shared" si="137"/>
        <v>131520</v>
      </c>
    </row>
    <row r="2645" spans="7:14" ht="11.25" customHeight="1" x14ac:dyDescent="0.3">
      <c r="G2645" s="470"/>
      <c r="H2645" s="470">
        <v>2638</v>
      </c>
      <c r="I2645" s="455">
        <f t="shared" ca="1" si="135"/>
        <v>-24789827129.661251</v>
      </c>
      <c r="J2645" s="455">
        <f t="array" ref="J2645">IFERROR(INDEX('Retirement Calculator'!K:K,MATCH('Lorri 401b'!N2645,'Retirement Calculator'!A:A,0),0),0)</f>
        <v>0</v>
      </c>
      <c r="K2645" s="455">
        <f t="shared" ca="1" si="133"/>
        <v>-103290946.37358855</v>
      </c>
      <c r="L2645" s="455">
        <f t="shared" ca="1" si="134"/>
        <v>-24893118076.03484</v>
      </c>
      <c r="M2645" s="471">
        <f t="shared" si="136"/>
        <v>0.05</v>
      </c>
      <c r="N2645" s="475">
        <f t="shared" si="137"/>
        <v>131549</v>
      </c>
    </row>
    <row r="2646" spans="7:14" ht="11.25" customHeight="1" x14ac:dyDescent="0.3">
      <c r="G2646" s="470"/>
      <c r="H2646" s="470">
        <v>2639</v>
      </c>
      <c r="I2646" s="455">
        <f t="shared" ca="1" si="135"/>
        <v>-24893118076.03484</v>
      </c>
      <c r="J2646" s="455">
        <f t="array" ref="J2646">IFERROR(INDEX('Retirement Calculator'!K:K,MATCH('Lorri 401b'!N2646,'Retirement Calculator'!A:A,0),0),0)</f>
        <v>0</v>
      </c>
      <c r="K2646" s="455">
        <f t="shared" ca="1" si="133"/>
        <v>-103721325.31681183</v>
      </c>
      <c r="L2646" s="455">
        <f t="shared" ca="1" si="134"/>
        <v>-24996839401.35165</v>
      </c>
      <c r="M2646" s="471">
        <f t="shared" si="136"/>
        <v>0.05</v>
      </c>
      <c r="N2646" s="475">
        <f t="shared" si="137"/>
        <v>131580</v>
      </c>
    </row>
    <row r="2647" spans="7:14" ht="11.25" customHeight="1" x14ac:dyDescent="0.3">
      <c r="G2647" s="470"/>
      <c r="H2647" s="470">
        <v>2640</v>
      </c>
      <c r="I2647" s="455">
        <f t="shared" ca="1" si="135"/>
        <v>-24996839401.35165</v>
      </c>
      <c r="J2647" s="455">
        <f t="array" ref="J2647">IFERROR(INDEX('Retirement Calculator'!K:K,MATCH('Lorri 401b'!N2647,'Retirement Calculator'!A:A,0),0),0)</f>
        <v>0</v>
      </c>
      <c r="K2647" s="455">
        <f t="shared" ca="1" si="133"/>
        <v>-104153497.50563188</v>
      </c>
      <c r="L2647" s="455">
        <f t="shared" ca="1" si="134"/>
        <v>-25100992898.857281</v>
      </c>
      <c r="M2647" s="471">
        <f t="shared" si="136"/>
        <v>0.05</v>
      </c>
      <c r="N2647" s="475">
        <f t="shared" si="137"/>
        <v>131610</v>
      </c>
    </row>
    <row r="2648" spans="7:14" ht="11.25" customHeight="1" x14ac:dyDescent="0.3">
      <c r="G2648" s="470"/>
      <c r="H2648" s="470">
        <v>2641</v>
      </c>
      <c r="I2648" s="455">
        <f t="shared" ca="1" si="135"/>
        <v>-25100992898.857281</v>
      </c>
      <c r="J2648" s="455">
        <f t="array" ref="J2648">IFERROR(INDEX('Retirement Calculator'!K:K,MATCH('Lorri 401b'!N2648,'Retirement Calculator'!A:A,0),0),0)</f>
        <v>0</v>
      </c>
      <c r="K2648" s="455">
        <f t="shared" ca="1" si="133"/>
        <v>-104587470.41190533</v>
      </c>
      <c r="L2648" s="455">
        <f t="shared" ca="1" si="134"/>
        <v>-25205580369.269188</v>
      </c>
      <c r="M2648" s="471">
        <f t="shared" si="136"/>
        <v>0.05</v>
      </c>
      <c r="N2648" s="475">
        <f t="shared" si="137"/>
        <v>131641</v>
      </c>
    </row>
    <row r="2649" spans="7:14" ht="11.25" customHeight="1" x14ac:dyDescent="0.3">
      <c r="G2649" s="470"/>
      <c r="H2649" s="470">
        <v>2642</v>
      </c>
      <c r="I2649" s="455">
        <f t="shared" ca="1" si="135"/>
        <v>-25205580369.269188</v>
      </c>
      <c r="J2649" s="455">
        <f t="array" ref="J2649">IFERROR(INDEX('Retirement Calculator'!K:K,MATCH('Lorri 401b'!N2649,'Retirement Calculator'!A:A,0),0),0)</f>
        <v>0</v>
      </c>
      <c r="K2649" s="455">
        <f t="shared" ca="1" si="133"/>
        <v>-105023251.53862162</v>
      </c>
      <c r="L2649" s="455">
        <f t="shared" ca="1" si="134"/>
        <v>-25310603620.807808</v>
      </c>
      <c r="M2649" s="471">
        <f t="shared" si="136"/>
        <v>0.05</v>
      </c>
      <c r="N2649" s="475">
        <f t="shared" si="137"/>
        <v>131671</v>
      </c>
    </row>
    <row r="2650" spans="7:14" ht="11.25" customHeight="1" x14ac:dyDescent="0.3">
      <c r="G2650" s="470"/>
      <c r="H2650" s="470">
        <v>2643</v>
      </c>
      <c r="I2650" s="455">
        <f t="shared" ca="1" si="135"/>
        <v>-25310603620.807808</v>
      </c>
      <c r="J2650" s="455">
        <f t="array" ref="J2650">IFERROR(INDEX('Retirement Calculator'!K:K,MATCH('Lorri 401b'!N2650,'Retirement Calculator'!A:A,0),0),0)</f>
        <v>0</v>
      </c>
      <c r="K2650" s="455">
        <f t="shared" ca="1" si="133"/>
        <v>-105460848.42003253</v>
      </c>
      <c r="L2650" s="455">
        <f t="shared" ca="1" si="134"/>
        <v>-25416064469.22784</v>
      </c>
      <c r="M2650" s="471">
        <f t="shared" si="136"/>
        <v>0.05</v>
      </c>
      <c r="N2650" s="475">
        <f t="shared" si="137"/>
        <v>131702</v>
      </c>
    </row>
    <row r="2651" spans="7:14" ht="11.25" customHeight="1" x14ac:dyDescent="0.3">
      <c r="G2651" s="470"/>
      <c r="H2651" s="470">
        <v>2644</v>
      </c>
      <c r="I2651" s="455">
        <f t="shared" ca="1" si="135"/>
        <v>-25416064469.22784</v>
      </c>
      <c r="J2651" s="455">
        <f t="array" ref="J2651">IFERROR(INDEX('Retirement Calculator'!K:K,MATCH('Lorri 401b'!N2651,'Retirement Calculator'!A:A,0),0),0)</f>
        <v>0</v>
      </c>
      <c r="K2651" s="455">
        <f t="shared" ca="1" si="133"/>
        <v>-105900268.62178266</v>
      </c>
      <c r="L2651" s="455">
        <f t="shared" ca="1" si="134"/>
        <v>-25521964737.849625</v>
      </c>
      <c r="M2651" s="471">
        <f t="shared" si="136"/>
        <v>0.05</v>
      </c>
      <c r="N2651" s="475">
        <f t="shared" si="137"/>
        <v>131733</v>
      </c>
    </row>
    <row r="2652" spans="7:14" ht="11.25" customHeight="1" x14ac:dyDescent="0.3">
      <c r="G2652" s="470"/>
      <c r="H2652" s="470">
        <v>2645</v>
      </c>
      <c r="I2652" s="455">
        <f t="shared" ca="1" si="135"/>
        <v>-25521964737.849625</v>
      </c>
      <c r="J2652" s="455">
        <f t="array" ref="J2652">IFERROR(INDEX('Retirement Calculator'!K:K,MATCH('Lorri 401b'!N2652,'Retirement Calculator'!A:A,0),0),0)</f>
        <v>0</v>
      </c>
      <c r="K2652" s="455">
        <f t="shared" ca="1" si="133"/>
        <v>-106341519.7410401</v>
      </c>
      <c r="L2652" s="455">
        <f t="shared" ca="1" si="134"/>
        <v>-25628306257.590664</v>
      </c>
      <c r="M2652" s="471">
        <f t="shared" si="136"/>
        <v>0.05</v>
      </c>
      <c r="N2652" s="475">
        <f t="shared" si="137"/>
        <v>131763</v>
      </c>
    </row>
    <row r="2653" spans="7:14" ht="11.25" customHeight="1" x14ac:dyDescent="0.3">
      <c r="G2653" s="470"/>
      <c r="H2653" s="470">
        <v>2646</v>
      </c>
      <c r="I2653" s="455">
        <f t="shared" ca="1" si="135"/>
        <v>-25628306257.590664</v>
      </c>
      <c r="J2653" s="455">
        <f t="array" ref="J2653">IFERROR(INDEX('Retirement Calculator'!K:K,MATCH('Lorri 401b'!N2653,'Retirement Calculator'!A:A,0),0),0)</f>
        <v>0</v>
      </c>
      <c r="K2653" s="455">
        <f t="shared" ca="1" si="133"/>
        <v>-106784609.40662776</v>
      </c>
      <c r="L2653" s="455">
        <f t="shared" ca="1" si="134"/>
        <v>-25735090866.997292</v>
      </c>
      <c r="M2653" s="471">
        <f t="shared" si="136"/>
        <v>0.05</v>
      </c>
      <c r="N2653" s="475">
        <f t="shared" si="137"/>
        <v>131794</v>
      </c>
    </row>
    <row r="2654" spans="7:14" ht="11.25" customHeight="1" x14ac:dyDescent="0.3">
      <c r="G2654" s="470"/>
      <c r="H2654" s="470">
        <v>2647</v>
      </c>
      <c r="I2654" s="455">
        <f t="shared" ca="1" si="135"/>
        <v>-25735090866.997292</v>
      </c>
      <c r="J2654" s="455">
        <f t="array" ref="J2654">IFERROR(INDEX('Retirement Calculator'!K:K,MATCH('Lorri 401b'!N2654,'Retirement Calculator'!A:A,0),0),0)</f>
        <v>0</v>
      </c>
      <c r="K2654" s="455">
        <f t="shared" ca="1" si="133"/>
        <v>-107229545.27915537</v>
      </c>
      <c r="L2654" s="455">
        <f t="shared" ca="1" si="134"/>
        <v>-25842320412.276447</v>
      </c>
      <c r="M2654" s="471">
        <f t="shared" si="136"/>
        <v>0.05</v>
      </c>
      <c r="N2654" s="475">
        <f t="shared" si="137"/>
        <v>131824</v>
      </c>
    </row>
    <row r="2655" spans="7:14" ht="11.25" customHeight="1" x14ac:dyDescent="0.3">
      <c r="G2655" s="470"/>
      <c r="H2655" s="470">
        <v>2648</v>
      </c>
      <c r="I2655" s="455">
        <f t="shared" ca="1" si="135"/>
        <v>-25842320412.276447</v>
      </c>
      <c r="J2655" s="455">
        <f t="array" ref="J2655">IFERROR(INDEX('Retirement Calculator'!K:K,MATCH('Lorri 401b'!N2655,'Retirement Calculator'!A:A,0),0),0)</f>
        <v>0</v>
      </c>
      <c r="K2655" s="455">
        <f t="shared" ca="1" si="133"/>
        <v>-107676335.05115186</v>
      </c>
      <c r="L2655" s="455">
        <f t="shared" ca="1" si="134"/>
        <v>-25949996747.327599</v>
      </c>
      <c r="M2655" s="471">
        <f t="shared" si="136"/>
        <v>0.05</v>
      </c>
      <c r="N2655" s="475">
        <f t="shared" si="137"/>
        <v>131855</v>
      </c>
    </row>
    <row r="2656" spans="7:14" ht="11.25" customHeight="1" x14ac:dyDescent="0.3">
      <c r="G2656" s="470"/>
      <c r="H2656" s="470">
        <v>2649</v>
      </c>
      <c r="I2656" s="455">
        <f t="shared" ca="1" si="135"/>
        <v>-25949996747.327599</v>
      </c>
      <c r="J2656" s="455">
        <f t="array" ref="J2656">IFERROR(INDEX('Retirement Calculator'!K:K,MATCH('Lorri 401b'!N2656,'Retirement Calculator'!A:A,0),0),0)</f>
        <v>0</v>
      </c>
      <c r="K2656" s="455">
        <f t="shared" ca="1" si="133"/>
        <v>-108124986.44719833</v>
      </c>
      <c r="L2656" s="455">
        <f t="shared" ca="1" si="134"/>
        <v>-26058121733.774796</v>
      </c>
      <c r="M2656" s="471">
        <f t="shared" si="136"/>
        <v>0.05</v>
      </c>
      <c r="N2656" s="475">
        <f t="shared" si="137"/>
        <v>131886</v>
      </c>
    </row>
    <row r="2657" spans="7:14" ht="11.25" customHeight="1" x14ac:dyDescent="0.3">
      <c r="G2657" s="470"/>
      <c r="H2657" s="470">
        <v>2650</v>
      </c>
      <c r="I2657" s="455">
        <f t="shared" ca="1" si="135"/>
        <v>-26058121733.774796</v>
      </c>
      <c r="J2657" s="455">
        <f t="array" ref="J2657">IFERROR(INDEX('Retirement Calculator'!K:K,MATCH('Lorri 401b'!N2657,'Retirement Calculator'!A:A,0),0),0)</f>
        <v>0</v>
      </c>
      <c r="K2657" s="455">
        <f t="shared" ca="1" si="133"/>
        <v>-108575507.22406165</v>
      </c>
      <c r="L2657" s="455">
        <f t="shared" ca="1" si="134"/>
        <v>-26166697240.998856</v>
      </c>
      <c r="M2657" s="471">
        <f t="shared" si="136"/>
        <v>0.05</v>
      </c>
      <c r="N2657" s="475">
        <f t="shared" si="137"/>
        <v>131914</v>
      </c>
    </row>
    <row r="2658" spans="7:14" ht="11.25" customHeight="1" x14ac:dyDescent="0.3">
      <c r="G2658" s="470"/>
      <c r="H2658" s="470">
        <v>2651</v>
      </c>
      <c r="I2658" s="455">
        <f t="shared" ca="1" si="135"/>
        <v>-26166697240.998856</v>
      </c>
      <c r="J2658" s="455">
        <f t="array" ref="J2658">IFERROR(INDEX('Retirement Calculator'!K:K,MATCH('Lorri 401b'!N2658,'Retirement Calculator'!A:A,0),0),0)</f>
        <v>0</v>
      </c>
      <c r="K2658" s="455">
        <f t="shared" ca="1" si="133"/>
        <v>-109027905.17082857</v>
      </c>
      <c r="L2658" s="455">
        <f t="shared" ca="1" si="134"/>
        <v>-26275725146.169685</v>
      </c>
      <c r="M2658" s="471">
        <f t="shared" si="136"/>
        <v>0.05</v>
      </c>
      <c r="N2658" s="475">
        <f t="shared" si="137"/>
        <v>131945</v>
      </c>
    </row>
    <row r="2659" spans="7:14" ht="11.25" customHeight="1" x14ac:dyDescent="0.3">
      <c r="G2659" s="470"/>
      <c r="H2659" s="470">
        <v>2652</v>
      </c>
      <c r="I2659" s="455">
        <f t="shared" ca="1" si="135"/>
        <v>-26275725146.169685</v>
      </c>
      <c r="J2659" s="455">
        <f t="array" ref="J2659">IFERROR(INDEX('Retirement Calculator'!K:K,MATCH('Lorri 401b'!N2659,'Retirement Calculator'!A:A,0),0),0)</f>
        <v>0</v>
      </c>
      <c r="K2659" s="455">
        <f t="shared" ca="1" si="133"/>
        <v>-109482188.10904035</v>
      </c>
      <c r="L2659" s="455">
        <f t="shared" ca="1" si="134"/>
        <v>-26385207334.278725</v>
      </c>
      <c r="M2659" s="471">
        <f t="shared" si="136"/>
        <v>0.05</v>
      </c>
      <c r="N2659" s="475">
        <f t="shared" si="137"/>
        <v>131975</v>
      </c>
    </row>
    <row r="2660" spans="7:14" ht="11.25" customHeight="1" x14ac:dyDescent="0.3">
      <c r="G2660" s="470"/>
      <c r="H2660" s="470">
        <v>2653</v>
      </c>
      <c r="I2660" s="455">
        <f t="shared" ca="1" si="135"/>
        <v>-26385207334.278725</v>
      </c>
      <c r="J2660" s="455">
        <f t="array" ref="J2660">IFERROR(INDEX('Retirement Calculator'!K:K,MATCH('Lorri 401b'!N2660,'Retirement Calculator'!A:A,0),0),0)</f>
        <v>0</v>
      </c>
      <c r="K2660" s="455">
        <f t="shared" ca="1" si="133"/>
        <v>-109938363.89282802</v>
      </c>
      <c r="L2660" s="455">
        <f t="shared" ca="1" si="134"/>
        <v>-26495145698.171555</v>
      </c>
      <c r="M2660" s="471">
        <f t="shared" si="136"/>
        <v>0.05</v>
      </c>
      <c r="N2660" s="475">
        <f t="shared" si="137"/>
        <v>132006</v>
      </c>
    </row>
    <row r="2661" spans="7:14" ht="11.25" customHeight="1" x14ac:dyDescent="0.3">
      <c r="G2661" s="470"/>
      <c r="H2661" s="470">
        <v>2654</v>
      </c>
      <c r="I2661" s="455">
        <f t="shared" ca="1" si="135"/>
        <v>-26495145698.171555</v>
      </c>
      <c r="J2661" s="455">
        <f t="array" ref="J2661">IFERROR(INDEX('Retirement Calculator'!K:K,MATCH('Lorri 401b'!N2661,'Retirement Calculator'!A:A,0),0),0)</f>
        <v>0</v>
      </c>
      <c r="K2661" s="455">
        <f t="shared" ca="1" si="133"/>
        <v>-110396440.40904814</v>
      </c>
      <c r="L2661" s="455">
        <f t="shared" ca="1" si="134"/>
        <v>-26605542138.580605</v>
      </c>
      <c r="M2661" s="471">
        <f t="shared" si="136"/>
        <v>0.05</v>
      </c>
      <c r="N2661" s="475">
        <f t="shared" si="137"/>
        <v>132036</v>
      </c>
    </row>
    <row r="2662" spans="7:14" ht="11.25" customHeight="1" x14ac:dyDescent="0.3">
      <c r="G2662" s="470"/>
      <c r="H2662" s="470">
        <v>2655</v>
      </c>
      <c r="I2662" s="455">
        <f t="shared" ca="1" si="135"/>
        <v>-26605542138.580605</v>
      </c>
      <c r="J2662" s="455">
        <f t="array" ref="J2662">IFERROR(INDEX('Retirement Calculator'!K:K,MATCH('Lorri 401b'!N2662,'Retirement Calculator'!A:A,0),0),0)</f>
        <v>0</v>
      </c>
      <c r="K2662" s="455">
        <f t="shared" ca="1" si="133"/>
        <v>-110856425.57741918</v>
      </c>
      <c r="L2662" s="455">
        <f t="shared" ca="1" si="134"/>
        <v>-26716398564.158024</v>
      </c>
      <c r="M2662" s="471">
        <f t="shared" si="136"/>
        <v>0.05</v>
      </c>
      <c r="N2662" s="475">
        <f t="shared" si="137"/>
        <v>132067</v>
      </c>
    </row>
    <row r="2663" spans="7:14" ht="11.25" customHeight="1" x14ac:dyDescent="0.3">
      <c r="G2663" s="470"/>
      <c r="H2663" s="470">
        <v>2656</v>
      </c>
      <c r="I2663" s="455">
        <f t="shared" ca="1" si="135"/>
        <v>-26716398564.158024</v>
      </c>
      <c r="J2663" s="455">
        <f t="array" ref="J2663">IFERROR(INDEX('Retirement Calculator'!K:K,MATCH('Lorri 401b'!N2663,'Retirement Calculator'!A:A,0),0),0)</f>
        <v>0</v>
      </c>
      <c r="K2663" s="455">
        <f t="shared" ca="1" si="133"/>
        <v>-111318327.35065843</v>
      </c>
      <c r="L2663" s="455">
        <f t="shared" ca="1" si="134"/>
        <v>-26827716891.508682</v>
      </c>
      <c r="M2663" s="471">
        <f t="shared" si="136"/>
        <v>0.05</v>
      </c>
      <c r="N2663" s="475">
        <f t="shared" si="137"/>
        <v>132098</v>
      </c>
    </row>
    <row r="2664" spans="7:14" ht="11.25" customHeight="1" x14ac:dyDescent="0.3">
      <c r="G2664" s="470"/>
      <c r="H2664" s="470">
        <v>2657</v>
      </c>
      <c r="I2664" s="455">
        <f t="shared" ca="1" si="135"/>
        <v>-26827716891.508682</v>
      </c>
      <c r="J2664" s="455">
        <f t="array" ref="J2664">IFERROR(INDEX('Retirement Calculator'!K:K,MATCH('Lorri 401b'!N2664,'Retirement Calculator'!A:A,0),0),0)</f>
        <v>0</v>
      </c>
      <c r="K2664" s="455">
        <f t="shared" ca="1" si="133"/>
        <v>-111782153.7146195</v>
      </c>
      <c r="L2664" s="455">
        <f t="shared" ca="1" si="134"/>
        <v>-26939499045.223301</v>
      </c>
      <c r="M2664" s="471">
        <f t="shared" si="136"/>
        <v>0.05</v>
      </c>
      <c r="N2664" s="475">
        <f t="shared" si="137"/>
        <v>132128</v>
      </c>
    </row>
    <row r="2665" spans="7:14" ht="11.25" customHeight="1" x14ac:dyDescent="0.3">
      <c r="G2665" s="470"/>
      <c r="H2665" s="470">
        <v>2658</v>
      </c>
      <c r="I2665" s="455">
        <f t="shared" ca="1" si="135"/>
        <v>-26939499045.223301</v>
      </c>
      <c r="J2665" s="455">
        <f t="array" ref="J2665">IFERROR(INDEX('Retirement Calculator'!K:K,MATCH('Lorri 401b'!N2665,'Retirement Calculator'!A:A,0),0),0)</f>
        <v>0</v>
      </c>
      <c r="K2665" s="455">
        <f t="shared" ca="1" si="133"/>
        <v>-112247912.68843041</v>
      </c>
      <c r="L2665" s="455">
        <f t="shared" ca="1" si="134"/>
        <v>-27051746957.911732</v>
      </c>
      <c r="M2665" s="471">
        <f t="shared" si="136"/>
        <v>0.05</v>
      </c>
      <c r="N2665" s="475">
        <f t="shared" si="137"/>
        <v>132159</v>
      </c>
    </row>
    <row r="2666" spans="7:14" ht="11.25" customHeight="1" x14ac:dyDescent="0.3">
      <c r="G2666" s="470"/>
      <c r="H2666" s="470">
        <v>2659</v>
      </c>
      <c r="I2666" s="455">
        <f t="shared" ca="1" si="135"/>
        <v>-27051746957.911732</v>
      </c>
      <c r="J2666" s="455">
        <f t="array" ref="J2666">IFERROR(INDEX('Retirement Calculator'!K:K,MATCH('Lorri 401b'!N2666,'Retirement Calculator'!A:A,0),0),0)</f>
        <v>0</v>
      </c>
      <c r="K2666" s="455">
        <f t="shared" ca="1" si="133"/>
        <v>-112715612.32463221</v>
      </c>
      <c r="L2666" s="455">
        <f t="shared" ca="1" si="134"/>
        <v>-27164462570.236362</v>
      </c>
      <c r="M2666" s="471">
        <f t="shared" si="136"/>
        <v>0.05</v>
      </c>
      <c r="N2666" s="475">
        <f t="shared" si="137"/>
        <v>132189</v>
      </c>
    </row>
    <row r="2667" spans="7:14" ht="11.25" customHeight="1" x14ac:dyDescent="0.3">
      <c r="G2667" s="470"/>
      <c r="H2667" s="470">
        <v>2660</v>
      </c>
      <c r="I2667" s="455">
        <f t="shared" ca="1" si="135"/>
        <v>-27164462570.236362</v>
      </c>
      <c r="J2667" s="455">
        <f t="array" ref="J2667">IFERROR(INDEX('Retirement Calculator'!K:K,MATCH('Lorri 401b'!N2667,'Retirement Calculator'!A:A,0),0),0)</f>
        <v>0</v>
      </c>
      <c r="K2667" s="455">
        <f t="shared" ca="1" si="133"/>
        <v>-113185260.70931819</v>
      </c>
      <c r="L2667" s="455">
        <f t="shared" ca="1" si="134"/>
        <v>-27277647830.945683</v>
      </c>
      <c r="M2667" s="471">
        <f t="shared" si="136"/>
        <v>0.05</v>
      </c>
      <c r="N2667" s="475">
        <f t="shared" si="137"/>
        <v>132220</v>
      </c>
    </row>
    <row r="2668" spans="7:14" ht="11.25" customHeight="1" x14ac:dyDescent="0.3">
      <c r="G2668" s="470"/>
      <c r="H2668" s="470">
        <v>2661</v>
      </c>
      <c r="I2668" s="455">
        <f t="shared" ca="1" si="135"/>
        <v>-27277647830.945683</v>
      </c>
      <c r="J2668" s="455">
        <f t="array" ref="J2668">IFERROR(INDEX('Retirement Calculator'!K:K,MATCH('Lorri 401b'!N2668,'Retirement Calculator'!A:A,0),0),0)</f>
        <v>0</v>
      </c>
      <c r="K2668" s="455">
        <f t="shared" ca="1" si="133"/>
        <v>-113656865.96227367</v>
      </c>
      <c r="L2668" s="455">
        <f t="shared" ca="1" si="134"/>
        <v>-27391304696.907955</v>
      </c>
      <c r="M2668" s="471">
        <f t="shared" si="136"/>
        <v>0.05</v>
      </c>
      <c r="N2668" s="475">
        <f t="shared" si="137"/>
        <v>132251</v>
      </c>
    </row>
    <row r="2669" spans="7:14" ht="11.25" customHeight="1" x14ac:dyDescent="0.3">
      <c r="G2669" s="470"/>
      <c r="H2669" s="470">
        <v>2662</v>
      </c>
      <c r="I2669" s="455">
        <f t="shared" ca="1" si="135"/>
        <v>-27391304696.907955</v>
      </c>
      <c r="J2669" s="455">
        <f t="array" ref="J2669">IFERROR(INDEX('Retirement Calculator'!K:K,MATCH('Lorri 401b'!N2669,'Retirement Calculator'!A:A,0),0),0)</f>
        <v>0</v>
      </c>
      <c r="K2669" s="455">
        <f t="shared" ca="1" si="133"/>
        <v>-114130436.23711646</v>
      </c>
      <c r="L2669" s="455">
        <f t="shared" ca="1" si="134"/>
        <v>-27505435133.145073</v>
      </c>
      <c r="M2669" s="471">
        <f t="shared" si="136"/>
        <v>0.05</v>
      </c>
      <c r="N2669" s="475">
        <f t="shared" si="137"/>
        <v>132279</v>
      </c>
    </row>
    <row r="2670" spans="7:14" ht="11.25" customHeight="1" x14ac:dyDescent="0.3">
      <c r="G2670" s="470"/>
      <c r="H2670" s="470">
        <v>2663</v>
      </c>
      <c r="I2670" s="455">
        <f t="shared" ca="1" si="135"/>
        <v>-27505435133.145073</v>
      </c>
      <c r="J2670" s="455">
        <f t="array" ref="J2670">IFERROR(INDEX('Retirement Calculator'!K:K,MATCH('Lorri 401b'!N2670,'Retirement Calculator'!A:A,0),0),0)</f>
        <v>0</v>
      </c>
      <c r="K2670" s="455">
        <f t="shared" ca="1" si="133"/>
        <v>-114605979.72143778</v>
      </c>
      <c r="L2670" s="455">
        <f t="shared" ca="1" si="134"/>
        <v>-27620041112.866512</v>
      </c>
      <c r="M2670" s="471">
        <f t="shared" si="136"/>
        <v>0.05</v>
      </c>
      <c r="N2670" s="475">
        <f t="shared" si="137"/>
        <v>132310</v>
      </c>
    </row>
    <row r="2671" spans="7:14" ht="11.25" customHeight="1" x14ac:dyDescent="0.3">
      <c r="G2671" s="470"/>
      <c r="H2671" s="470">
        <v>2664</v>
      </c>
      <c r="I2671" s="455">
        <f t="shared" ca="1" si="135"/>
        <v>-27620041112.866512</v>
      </c>
      <c r="J2671" s="455">
        <f t="array" ref="J2671">IFERROR(INDEX('Retirement Calculator'!K:K,MATCH('Lorri 401b'!N2671,'Retirement Calculator'!A:A,0),0),0)</f>
        <v>0</v>
      </c>
      <c r="K2671" s="455">
        <f t="shared" ca="1" si="133"/>
        <v>-115083504.6369438</v>
      </c>
      <c r="L2671" s="455">
        <f t="shared" ca="1" si="134"/>
        <v>-27735124617.503456</v>
      </c>
      <c r="M2671" s="471">
        <f t="shared" si="136"/>
        <v>0.05</v>
      </c>
      <c r="N2671" s="475">
        <f t="shared" si="137"/>
        <v>132340</v>
      </c>
    </row>
    <row r="2672" spans="7:14" ht="11.25" customHeight="1" x14ac:dyDescent="0.3">
      <c r="G2672" s="470"/>
      <c r="H2672" s="470">
        <v>2665</v>
      </c>
      <c r="I2672" s="455">
        <f t="shared" ca="1" si="135"/>
        <v>-27735124617.503456</v>
      </c>
      <c r="J2672" s="455">
        <f t="array" ref="J2672">IFERROR(INDEX('Retirement Calculator'!K:K,MATCH('Lorri 401b'!N2672,'Retirement Calculator'!A:A,0),0),0)</f>
        <v>0</v>
      </c>
      <c r="K2672" s="455">
        <f t="shared" ca="1" si="133"/>
        <v>-115563019.23959772</v>
      </c>
      <c r="L2672" s="455">
        <f t="shared" ca="1" si="134"/>
        <v>-27850687636.743053</v>
      </c>
      <c r="M2672" s="471">
        <f t="shared" si="136"/>
        <v>0.05</v>
      </c>
      <c r="N2672" s="475">
        <f t="shared" si="137"/>
        <v>132371</v>
      </c>
    </row>
    <row r="2673" spans="7:14" ht="11.25" customHeight="1" x14ac:dyDescent="0.3">
      <c r="G2673" s="470"/>
      <c r="H2673" s="470">
        <v>2666</v>
      </c>
      <c r="I2673" s="455">
        <f t="shared" ca="1" si="135"/>
        <v>-27850687636.743053</v>
      </c>
      <c r="J2673" s="455">
        <f t="array" ref="J2673">IFERROR(INDEX('Retirement Calculator'!K:K,MATCH('Lorri 401b'!N2673,'Retirement Calculator'!A:A,0),0),0)</f>
        <v>0</v>
      </c>
      <c r="K2673" s="455">
        <f t="shared" ca="1" si="133"/>
        <v>-116044531.81976272</v>
      </c>
      <c r="L2673" s="455">
        <f t="shared" ca="1" si="134"/>
        <v>-27966732168.562817</v>
      </c>
      <c r="M2673" s="471">
        <f t="shared" si="136"/>
        <v>0.05</v>
      </c>
      <c r="N2673" s="475">
        <f t="shared" si="137"/>
        <v>132401</v>
      </c>
    </row>
    <row r="2674" spans="7:14" ht="11.25" customHeight="1" x14ac:dyDescent="0.3">
      <c r="G2674" s="470"/>
      <c r="H2674" s="470">
        <v>2667</v>
      </c>
      <c r="I2674" s="455">
        <f t="shared" ca="1" si="135"/>
        <v>-27966732168.562817</v>
      </c>
      <c r="J2674" s="455">
        <f t="array" ref="J2674">IFERROR(INDEX('Retirement Calculator'!K:K,MATCH('Lorri 401b'!N2674,'Retirement Calculator'!A:A,0),0),0)</f>
        <v>0</v>
      </c>
      <c r="K2674" s="455">
        <f t="shared" ca="1" si="133"/>
        <v>-116528050.70234506</v>
      </c>
      <c r="L2674" s="455">
        <f t="shared" ca="1" si="134"/>
        <v>-28083260219.265163</v>
      </c>
      <c r="M2674" s="471">
        <f t="shared" si="136"/>
        <v>0.05</v>
      </c>
      <c r="N2674" s="475">
        <f t="shared" si="137"/>
        <v>132432</v>
      </c>
    </row>
    <row r="2675" spans="7:14" ht="11.25" customHeight="1" x14ac:dyDescent="0.3">
      <c r="G2675" s="470"/>
      <c r="H2675" s="470">
        <v>2668</v>
      </c>
      <c r="I2675" s="455">
        <f t="shared" ca="1" si="135"/>
        <v>-28083260219.265163</v>
      </c>
      <c r="J2675" s="455">
        <f t="array" ref="J2675">IFERROR(INDEX('Retirement Calculator'!K:K,MATCH('Lorri 401b'!N2675,'Retirement Calculator'!A:A,0),0),0)</f>
        <v>0</v>
      </c>
      <c r="K2675" s="455">
        <f t="shared" ca="1" si="133"/>
        <v>-117013584.24693817</v>
      </c>
      <c r="L2675" s="455">
        <f t="shared" ca="1" si="134"/>
        <v>-28200273803.5121</v>
      </c>
      <c r="M2675" s="471">
        <f t="shared" si="136"/>
        <v>0.05</v>
      </c>
      <c r="N2675" s="475">
        <f t="shared" si="137"/>
        <v>132463</v>
      </c>
    </row>
    <row r="2676" spans="7:14" ht="11.25" customHeight="1" x14ac:dyDescent="0.3">
      <c r="G2676" s="470"/>
      <c r="H2676" s="470">
        <v>2669</v>
      </c>
      <c r="I2676" s="455">
        <f t="shared" ca="1" si="135"/>
        <v>-28200273803.5121</v>
      </c>
      <c r="J2676" s="455">
        <f t="array" ref="J2676">IFERROR(INDEX('Retirement Calculator'!K:K,MATCH('Lorri 401b'!N2676,'Retirement Calculator'!A:A,0),0),0)</f>
        <v>0</v>
      </c>
      <c r="K2676" s="455">
        <f t="shared" ca="1" si="133"/>
        <v>-117501140.84796707</v>
      </c>
      <c r="L2676" s="455">
        <f t="shared" ca="1" si="134"/>
        <v>-28317774944.360065</v>
      </c>
      <c r="M2676" s="471">
        <f t="shared" si="136"/>
        <v>0.05</v>
      </c>
      <c r="N2676" s="475">
        <f t="shared" si="137"/>
        <v>132493</v>
      </c>
    </row>
    <row r="2677" spans="7:14" ht="11.25" customHeight="1" x14ac:dyDescent="0.3">
      <c r="G2677" s="470"/>
      <c r="H2677" s="470">
        <v>2670</v>
      </c>
      <c r="I2677" s="455">
        <f t="shared" ca="1" si="135"/>
        <v>-28317774944.360065</v>
      </c>
      <c r="J2677" s="455">
        <f t="array" ref="J2677">IFERROR(INDEX('Retirement Calculator'!K:K,MATCH('Lorri 401b'!N2677,'Retirement Calculator'!A:A,0),0),0)</f>
        <v>0</v>
      </c>
      <c r="K2677" s="455">
        <f t="shared" ca="1" si="133"/>
        <v>-117990728.9348336</v>
      </c>
      <c r="L2677" s="455">
        <f t="shared" ca="1" si="134"/>
        <v>-28435765673.294899</v>
      </c>
      <c r="M2677" s="471">
        <f t="shared" si="136"/>
        <v>0.05</v>
      </c>
      <c r="N2677" s="475">
        <f t="shared" si="137"/>
        <v>132524</v>
      </c>
    </row>
    <row r="2678" spans="7:14" ht="11.25" customHeight="1" x14ac:dyDescent="0.3">
      <c r="G2678" s="470"/>
      <c r="H2678" s="470">
        <v>2671</v>
      </c>
      <c r="I2678" s="455">
        <f t="shared" ca="1" si="135"/>
        <v>-28435765673.294899</v>
      </c>
      <c r="J2678" s="455">
        <f t="array" ref="J2678">IFERROR(INDEX('Retirement Calculator'!K:K,MATCH('Lorri 401b'!N2678,'Retirement Calculator'!A:A,0),0),0)</f>
        <v>0</v>
      </c>
      <c r="K2678" s="455">
        <f t="shared" ca="1" si="133"/>
        <v>-118482356.97206208</v>
      </c>
      <c r="L2678" s="455">
        <f t="shared" ca="1" si="134"/>
        <v>-28554248030.26696</v>
      </c>
      <c r="M2678" s="471">
        <f t="shared" si="136"/>
        <v>0.05</v>
      </c>
      <c r="N2678" s="475">
        <f t="shared" si="137"/>
        <v>132554</v>
      </c>
    </row>
    <row r="2679" spans="7:14" ht="11.25" customHeight="1" x14ac:dyDescent="0.3">
      <c r="G2679" s="470"/>
      <c r="H2679" s="470">
        <v>2672</v>
      </c>
      <c r="I2679" s="455">
        <f t="shared" ca="1" si="135"/>
        <v>-28554248030.26696</v>
      </c>
      <c r="J2679" s="455">
        <f t="array" ref="J2679">IFERROR(INDEX('Retirement Calculator'!K:K,MATCH('Lorri 401b'!N2679,'Retirement Calculator'!A:A,0),0),0)</f>
        <v>0</v>
      </c>
      <c r="K2679" s="455">
        <f t="shared" ca="1" si="133"/>
        <v>-118976033.45944567</v>
      </c>
      <c r="L2679" s="455">
        <f t="shared" ca="1" si="134"/>
        <v>-28673224063.726406</v>
      </c>
      <c r="M2679" s="471">
        <f t="shared" si="136"/>
        <v>0.05</v>
      </c>
      <c r="N2679" s="475">
        <f t="shared" si="137"/>
        <v>132585</v>
      </c>
    </row>
    <row r="2680" spans="7:14" ht="11.25" customHeight="1" x14ac:dyDescent="0.3">
      <c r="G2680" s="470"/>
      <c r="H2680" s="470">
        <v>2673</v>
      </c>
      <c r="I2680" s="455">
        <f t="shared" ca="1" si="135"/>
        <v>-28673224063.726406</v>
      </c>
      <c r="J2680" s="455">
        <f t="array" ref="J2680">IFERROR(INDEX('Retirement Calculator'!K:K,MATCH('Lorri 401b'!N2680,'Retirement Calculator'!A:A,0),0),0)</f>
        <v>0</v>
      </c>
      <c r="K2680" s="455">
        <f t="shared" ca="1" si="133"/>
        <v>-119471766.93219334</v>
      </c>
      <c r="L2680" s="455">
        <f t="shared" ca="1" si="134"/>
        <v>-28792695830.6586</v>
      </c>
      <c r="M2680" s="471">
        <f t="shared" si="136"/>
        <v>0.05</v>
      </c>
      <c r="N2680" s="475">
        <f t="shared" si="137"/>
        <v>132616</v>
      </c>
    </row>
    <row r="2681" spans="7:14" ht="11.25" customHeight="1" x14ac:dyDescent="0.3">
      <c r="G2681" s="470"/>
      <c r="H2681" s="470">
        <v>2674</v>
      </c>
      <c r="I2681" s="455">
        <f t="shared" ca="1" si="135"/>
        <v>-28792695830.6586</v>
      </c>
      <c r="J2681" s="455">
        <f t="array" ref="J2681">IFERROR(INDEX('Retirement Calculator'!K:K,MATCH('Lorri 401b'!N2681,'Retirement Calculator'!A:A,0),0),0)</f>
        <v>0</v>
      </c>
      <c r="K2681" s="455">
        <f t="shared" ca="1" si="133"/>
        <v>-119969565.9610775</v>
      </c>
      <c r="L2681" s="455">
        <f t="shared" ca="1" si="134"/>
        <v>-28912665396.619678</v>
      </c>
      <c r="M2681" s="471">
        <f t="shared" si="136"/>
        <v>0.05</v>
      </c>
      <c r="N2681" s="475">
        <f t="shared" si="137"/>
        <v>132644</v>
      </c>
    </row>
    <row r="2682" spans="7:14" ht="11.25" customHeight="1" x14ac:dyDescent="0.3">
      <c r="G2682" s="470"/>
      <c r="H2682" s="470">
        <v>2675</v>
      </c>
      <c r="I2682" s="455">
        <f t="shared" ca="1" si="135"/>
        <v>-28912665396.619678</v>
      </c>
      <c r="J2682" s="455">
        <f t="array" ref="J2682">IFERROR(INDEX('Retirement Calculator'!K:K,MATCH('Lorri 401b'!N2682,'Retirement Calculator'!A:A,0),0),0)</f>
        <v>0</v>
      </c>
      <c r="K2682" s="455">
        <f t="shared" ca="1" si="133"/>
        <v>-120469439.15258199</v>
      </c>
      <c r="L2682" s="455">
        <f t="shared" ca="1" si="134"/>
        <v>-29033134835.772259</v>
      </c>
      <c r="M2682" s="471">
        <f t="shared" si="136"/>
        <v>0.05</v>
      </c>
      <c r="N2682" s="475">
        <f t="shared" si="137"/>
        <v>132675</v>
      </c>
    </row>
    <row r="2683" spans="7:14" ht="11.25" customHeight="1" x14ac:dyDescent="0.3">
      <c r="G2683" s="470"/>
      <c r="H2683" s="470">
        <v>2676</v>
      </c>
      <c r="I2683" s="455">
        <f t="shared" ca="1" si="135"/>
        <v>-29033134835.772259</v>
      </c>
      <c r="J2683" s="455">
        <f t="array" ref="J2683">IFERROR(INDEX('Retirement Calculator'!K:K,MATCH('Lorri 401b'!N2683,'Retirement Calculator'!A:A,0),0),0)</f>
        <v>0</v>
      </c>
      <c r="K2683" s="455">
        <f t="shared" ca="1" si="133"/>
        <v>-120971395.14905107</v>
      </c>
      <c r="L2683" s="455">
        <f t="shared" ca="1" si="134"/>
        <v>-29154106230.92131</v>
      </c>
      <c r="M2683" s="471">
        <f t="shared" si="136"/>
        <v>0.05</v>
      </c>
      <c r="N2683" s="475">
        <f t="shared" si="137"/>
        <v>132705</v>
      </c>
    </row>
    <row r="2684" spans="7:14" ht="11.25" customHeight="1" x14ac:dyDescent="0.3">
      <c r="G2684" s="470"/>
      <c r="H2684" s="470">
        <v>2677</v>
      </c>
      <c r="I2684" s="455">
        <f t="shared" ca="1" si="135"/>
        <v>-29154106230.92131</v>
      </c>
      <c r="J2684" s="455">
        <f t="array" ref="J2684">IFERROR(INDEX('Retirement Calculator'!K:K,MATCH('Lorri 401b'!N2684,'Retirement Calculator'!A:A,0),0),0)</f>
        <v>0</v>
      </c>
      <c r="K2684" s="455">
        <f t="shared" ca="1" si="133"/>
        <v>-121475442.62883881</v>
      </c>
      <c r="L2684" s="455">
        <f t="shared" ca="1" si="134"/>
        <v>-29275581673.550148</v>
      </c>
      <c r="M2684" s="471">
        <f t="shared" si="136"/>
        <v>0.05</v>
      </c>
      <c r="N2684" s="475">
        <f t="shared" si="137"/>
        <v>132736</v>
      </c>
    </row>
    <row r="2685" spans="7:14" ht="11.25" customHeight="1" x14ac:dyDescent="0.3">
      <c r="G2685" s="470"/>
      <c r="H2685" s="470">
        <v>2678</v>
      </c>
      <c r="I2685" s="455">
        <f t="shared" ca="1" si="135"/>
        <v>-29275581673.550148</v>
      </c>
      <c r="J2685" s="455">
        <f t="array" ref="J2685">IFERROR(INDEX('Retirement Calculator'!K:K,MATCH('Lorri 401b'!N2685,'Retirement Calculator'!A:A,0),0),0)</f>
        <v>0</v>
      </c>
      <c r="K2685" s="455">
        <f t="shared" ca="1" si="133"/>
        <v>-121981590.30645895</v>
      </c>
      <c r="L2685" s="455">
        <f t="shared" ca="1" si="134"/>
        <v>-29397563263.856606</v>
      </c>
      <c r="M2685" s="471">
        <f t="shared" si="136"/>
        <v>0.05</v>
      </c>
      <c r="N2685" s="475">
        <f t="shared" si="137"/>
        <v>132766</v>
      </c>
    </row>
    <row r="2686" spans="7:14" ht="11.25" customHeight="1" x14ac:dyDescent="0.3">
      <c r="G2686" s="470"/>
      <c r="H2686" s="470">
        <v>2679</v>
      </c>
      <c r="I2686" s="455">
        <f t="shared" ca="1" si="135"/>
        <v>-29397563263.856606</v>
      </c>
      <c r="J2686" s="455">
        <f t="array" ref="J2686">IFERROR(INDEX('Retirement Calculator'!K:K,MATCH('Lorri 401b'!N2686,'Retirement Calculator'!A:A,0),0),0)</f>
        <v>0</v>
      </c>
      <c r="K2686" s="455">
        <f t="shared" ca="1" si="133"/>
        <v>-122489846.93273586</v>
      </c>
      <c r="L2686" s="455">
        <f t="shared" ca="1" si="134"/>
        <v>-29520053110.789341</v>
      </c>
      <c r="M2686" s="471">
        <f t="shared" si="136"/>
        <v>0.05</v>
      </c>
      <c r="N2686" s="475">
        <f t="shared" si="137"/>
        <v>132797</v>
      </c>
    </row>
    <row r="2687" spans="7:14" ht="11.25" customHeight="1" x14ac:dyDescent="0.3">
      <c r="G2687" s="470"/>
      <c r="H2687" s="470">
        <v>2680</v>
      </c>
      <c r="I2687" s="455">
        <f t="shared" ca="1" si="135"/>
        <v>-29520053110.789341</v>
      </c>
      <c r="J2687" s="455">
        <f t="array" ref="J2687">IFERROR(INDEX('Retirement Calculator'!K:K,MATCH('Lorri 401b'!N2687,'Retirement Calculator'!A:A,0),0),0)</f>
        <v>0</v>
      </c>
      <c r="K2687" s="455">
        <f t="shared" ca="1" si="133"/>
        <v>-123000221.2949556</v>
      </c>
      <c r="L2687" s="455">
        <f t="shared" ca="1" si="134"/>
        <v>-29643053332.084297</v>
      </c>
      <c r="M2687" s="471">
        <f t="shared" si="136"/>
        <v>0.05</v>
      </c>
      <c r="N2687" s="475">
        <f t="shared" si="137"/>
        <v>132828</v>
      </c>
    </row>
    <row r="2688" spans="7:14" ht="11.25" customHeight="1" x14ac:dyDescent="0.3">
      <c r="G2688" s="470"/>
      <c r="H2688" s="470">
        <v>2681</v>
      </c>
      <c r="I2688" s="455">
        <f t="shared" ca="1" si="135"/>
        <v>-29643053332.084297</v>
      </c>
      <c r="J2688" s="455">
        <f t="array" ref="J2688">IFERROR(INDEX('Retirement Calculator'!K:K,MATCH('Lorri 401b'!N2688,'Retirement Calculator'!A:A,0),0),0)</f>
        <v>0</v>
      </c>
      <c r="K2688" s="455">
        <f t="shared" ca="1" si="133"/>
        <v>-123512722.2170179</v>
      </c>
      <c r="L2688" s="455">
        <f t="shared" ca="1" si="134"/>
        <v>-29766566054.301315</v>
      </c>
      <c r="M2688" s="471">
        <f t="shared" si="136"/>
        <v>0.05</v>
      </c>
      <c r="N2688" s="475">
        <f t="shared" si="137"/>
        <v>132858</v>
      </c>
    </row>
    <row r="2689" spans="7:14" ht="11.25" customHeight="1" x14ac:dyDescent="0.3">
      <c r="G2689" s="470"/>
      <c r="H2689" s="470">
        <v>2682</v>
      </c>
      <c r="I2689" s="455">
        <f t="shared" ca="1" si="135"/>
        <v>-29766566054.301315</v>
      </c>
      <c r="J2689" s="455">
        <f t="array" ref="J2689">IFERROR(INDEX('Retirement Calculator'!K:K,MATCH('Lorri 401b'!N2689,'Retirement Calculator'!A:A,0),0),0)</f>
        <v>0</v>
      </c>
      <c r="K2689" s="455">
        <f t="shared" ca="1" si="133"/>
        <v>-124027358.5595888</v>
      </c>
      <c r="L2689" s="455">
        <f t="shared" ca="1" si="134"/>
        <v>-29890593412.860905</v>
      </c>
      <c r="M2689" s="471">
        <f t="shared" si="136"/>
        <v>0.05</v>
      </c>
      <c r="N2689" s="475">
        <f t="shared" si="137"/>
        <v>132889</v>
      </c>
    </row>
    <row r="2690" spans="7:14" ht="11.25" customHeight="1" x14ac:dyDescent="0.3">
      <c r="G2690" s="470"/>
      <c r="H2690" s="470">
        <v>2683</v>
      </c>
      <c r="I2690" s="455">
        <f t="shared" ca="1" si="135"/>
        <v>-29890593412.860905</v>
      </c>
      <c r="J2690" s="455">
        <f t="array" ref="J2690">IFERROR(INDEX('Retirement Calculator'!K:K,MATCH('Lorri 401b'!N2690,'Retirement Calculator'!A:A,0),0),0)</f>
        <v>0</v>
      </c>
      <c r="K2690" s="455">
        <f t="shared" ca="1" si="133"/>
        <v>-124544139.22025377</v>
      </c>
      <c r="L2690" s="455">
        <f t="shared" ca="1" si="134"/>
        <v>-30015137552.081158</v>
      </c>
      <c r="M2690" s="471">
        <f t="shared" si="136"/>
        <v>0.05</v>
      </c>
      <c r="N2690" s="475">
        <f t="shared" si="137"/>
        <v>132919</v>
      </c>
    </row>
    <row r="2691" spans="7:14" ht="11.25" customHeight="1" x14ac:dyDescent="0.3">
      <c r="G2691" s="470"/>
      <c r="H2691" s="470">
        <v>2684</v>
      </c>
      <c r="I2691" s="455">
        <f t="shared" ca="1" si="135"/>
        <v>-30015137552.081158</v>
      </c>
      <c r="J2691" s="455">
        <f t="array" ref="J2691">IFERROR(INDEX('Retirement Calculator'!K:K,MATCH('Lorri 401b'!N2691,'Retirement Calculator'!A:A,0),0),0)</f>
        <v>0</v>
      </c>
      <c r="K2691" s="455">
        <f t="shared" ca="1" si="133"/>
        <v>-125063073.13367148</v>
      </c>
      <c r="L2691" s="455">
        <f t="shared" ca="1" si="134"/>
        <v>-30140200625.214828</v>
      </c>
      <c r="M2691" s="471">
        <f t="shared" si="136"/>
        <v>0.05</v>
      </c>
      <c r="N2691" s="475">
        <f t="shared" si="137"/>
        <v>132950</v>
      </c>
    </row>
    <row r="2692" spans="7:14" ht="11.25" customHeight="1" x14ac:dyDescent="0.3">
      <c r="G2692" s="470"/>
      <c r="H2692" s="470">
        <v>2685</v>
      </c>
      <c r="I2692" s="455">
        <f t="shared" ca="1" si="135"/>
        <v>-30140200625.214828</v>
      </c>
      <c r="J2692" s="455">
        <f t="array" ref="J2692">IFERROR(INDEX('Retirement Calculator'!K:K,MATCH('Lorri 401b'!N2692,'Retirement Calculator'!A:A,0),0),0)</f>
        <v>0</v>
      </c>
      <c r="K2692" s="455">
        <f t="shared" ca="1" si="133"/>
        <v>-125584169.27172846</v>
      </c>
      <c r="L2692" s="455">
        <f t="shared" ca="1" si="134"/>
        <v>-30265784794.486557</v>
      </c>
      <c r="M2692" s="471">
        <f t="shared" si="136"/>
        <v>0.05</v>
      </c>
      <c r="N2692" s="475">
        <f t="shared" si="137"/>
        <v>132981</v>
      </c>
    </row>
    <row r="2693" spans="7:14" ht="11.25" customHeight="1" x14ac:dyDescent="0.3">
      <c r="G2693" s="470"/>
      <c r="H2693" s="470">
        <v>2686</v>
      </c>
      <c r="I2693" s="455">
        <f t="shared" ca="1" si="135"/>
        <v>-30265784794.486557</v>
      </c>
      <c r="J2693" s="455">
        <f t="array" ref="J2693">IFERROR(INDEX('Retirement Calculator'!K:K,MATCH('Lorri 401b'!N2693,'Retirement Calculator'!A:A,0),0),0)</f>
        <v>0</v>
      </c>
      <c r="K2693" s="455">
        <f t="shared" ca="1" si="133"/>
        <v>-126107436.64369398</v>
      </c>
      <c r="L2693" s="455">
        <f t="shared" ca="1" si="134"/>
        <v>-30391892231.130253</v>
      </c>
      <c r="M2693" s="471">
        <f t="shared" si="136"/>
        <v>0.05</v>
      </c>
      <c r="N2693" s="475">
        <f t="shared" si="137"/>
        <v>133010</v>
      </c>
    </row>
    <row r="2694" spans="7:14" ht="11.25" customHeight="1" x14ac:dyDescent="0.3">
      <c r="G2694" s="470"/>
      <c r="H2694" s="470">
        <v>2687</v>
      </c>
      <c r="I2694" s="455">
        <f t="shared" ca="1" si="135"/>
        <v>-30391892231.130253</v>
      </c>
      <c r="J2694" s="455">
        <f t="array" ref="J2694">IFERROR(INDEX('Retirement Calculator'!K:K,MATCH('Lorri 401b'!N2694,'Retirement Calculator'!A:A,0),0),0)</f>
        <v>0</v>
      </c>
      <c r="K2694" s="455">
        <f t="shared" ca="1" si="133"/>
        <v>-126632884.29637606</v>
      </c>
      <c r="L2694" s="455">
        <f t="shared" ca="1" si="134"/>
        <v>-30518525115.426628</v>
      </c>
      <c r="M2694" s="471">
        <f t="shared" si="136"/>
        <v>0.05</v>
      </c>
      <c r="N2694" s="475">
        <f t="shared" si="137"/>
        <v>133041</v>
      </c>
    </row>
    <row r="2695" spans="7:14" ht="11.25" customHeight="1" x14ac:dyDescent="0.3">
      <c r="G2695" s="470"/>
      <c r="H2695" s="470">
        <v>2688</v>
      </c>
      <c r="I2695" s="455">
        <f t="shared" ca="1" si="135"/>
        <v>-30518525115.426628</v>
      </c>
      <c r="J2695" s="455">
        <f t="array" ref="J2695">IFERROR(INDEX('Retirement Calculator'!K:K,MATCH('Lorri 401b'!N2695,'Retirement Calculator'!A:A,0),0),0)</f>
        <v>0</v>
      </c>
      <c r="K2695" s="455">
        <f t="shared" ca="1" si="133"/>
        <v>-127160521.31427762</v>
      </c>
      <c r="L2695" s="455">
        <f t="shared" ca="1" si="134"/>
        <v>-30645685636.740906</v>
      </c>
      <c r="M2695" s="471">
        <f t="shared" si="136"/>
        <v>0.05</v>
      </c>
      <c r="N2695" s="475">
        <f t="shared" si="137"/>
        <v>133071</v>
      </c>
    </row>
    <row r="2696" spans="7:14" ht="11.25" customHeight="1" x14ac:dyDescent="0.3">
      <c r="G2696" s="470"/>
      <c r="H2696" s="470">
        <v>2689</v>
      </c>
      <c r="I2696" s="455">
        <f t="shared" ca="1" si="135"/>
        <v>-30645685636.740906</v>
      </c>
      <c r="J2696" s="455">
        <f t="array" ref="J2696">IFERROR(INDEX('Retirement Calculator'!K:K,MATCH('Lorri 401b'!N2696,'Retirement Calculator'!A:A,0),0),0)</f>
        <v>0</v>
      </c>
      <c r="K2696" s="455">
        <f t="shared" ca="1" si="133"/>
        <v>-127690356.81975377</v>
      </c>
      <c r="L2696" s="455">
        <f t="shared" ca="1" si="134"/>
        <v>-30773375993.560661</v>
      </c>
      <c r="M2696" s="471">
        <f t="shared" si="136"/>
        <v>0.05</v>
      </c>
      <c r="N2696" s="475">
        <f t="shared" si="137"/>
        <v>133102</v>
      </c>
    </row>
    <row r="2697" spans="7:14" ht="11.25" customHeight="1" x14ac:dyDescent="0.3">
      <c r="G2697" s="470"/>
      <c r="H2697" s="470">
        <v>2690</v>
      </c>
      <c r="I2697" s="455">
        <f t="shared" ca="1" si="135"/>
        <v>-30773375993.560661</v>
      </c>
      <c r="J2697" s="455">
        <f t="array" ref="J2697">IFERROR(INDEX('Retirement Calculator'!K:K,MATCH('Lorri 401b'!N2697,'Retirement Calculator'!A:A,0),0),0)</f>
        <v>0</v>
      </c>
      <c r="K2697" s="455">
        <f t="shared" ca="1" si="133"/>
        <v>-128222399.9731694</v>
      </c>
      <c r="L2697" s="455">
        <f t="shared" ca="1" si="134"/>
        <v>-30901598393.533833</v>
      </c>
      <c r="M2697" s="471">
        <f t="shared" si="136"/>
        <v>0.05</v>
      </c>
      <c r="N2697" s="475">
        <f t="shared" si="137"/>
        <v>133132</v>
      </c>
    </row>
    <row r="2698" spans="7:14" ht="11.25" customHeight="1" x14ac:dyDescent="0.3">
      <c r="G2698" s="470"/>
      <c r="H2698" s="470">
        <v>2691</v>
      </c>
      <c r="I2698" s="455">
        <f t="shared" ca="1" si="135"/>
        <v>-30901598393.533833</v>
      </c>
      <c r="J2698" s="455">
        <f t="array" ref="J2698">IFERROR(INDEX('Retirement Calculator'!K:K,MATCH('Lorri 401b'!N2698,'Retirement Calculator'!A:A,0),0),0)</f>
        <v>0</v>
      </c>
      <c r="K2698" s="455">
        <f t="shared" ca="1" si="133"/>
        <v>-128756659.97305763</v>
      </c>
      <c r="L2698" s="455">
        <f t="shared" ca="1" si="134"/>
        <v>-31030355053.506889</v>
      </c>
      <c r="M2698" s="471">
        <f t="shared" si="136"/>
        <v>0.05</v>
      </c>
      <c r="N2698" s="475">
        <f t="shared" si="137"/>
        <v>133163</v>
      </c>
    </row>
    <row r="2699" spans="7:14" ht="11.25" customHeight="1" x14ac:dyDescent="0.3">
      <c r="G2699" s="470"/>
      <c r="H2699" s="470">
        <v>2692</v>
      </c>
      <c r="I2699" s="455">
        <f t="shared" ca="1" si="135"/>
        <v>-31030355053.506889</v>
      </c>
      <c r="J2699" s="455">
        <f t="array" ref="J2699">IFERROR(INDEX('Retirement Calculator'!K:K,MATCH('Lorri 401b'!N2699,'Retirement Calculator'!A:A,0),0),0)</f>
        <v>0</v>
      </c>
      <c r="K2699" s="455">
        <f t="shared" ca="1" si="133"/>
        <v>-129293146.05627871</v>
      </c>
      <c r="L2699" s="455">
        <f t="shared" ca="1" si="134"/>
        <v>-31159648199.563168</v>
      </c>
      <c r="M2699" s="471">
        <f t="shared" si="136"/>
        <v>0.05</v>
      </c>
      <c r="N2699" s="475">
        <f t="shared" si="137"/>
        <v>133194</v>
      </c>
    </row>
    <row r="2700" spans="7:14" ht="11.25" customHeight="1" x14ac:dyDescent="0.3">
      <c r="G2700" s="470"/>
      <c r="H2700" s="470">
        <v>2693</v>
      </c>
      <c r="I2700" s="455">
        <f t="shared" ca="1" si="135"/>
        <v>-31159648199.563168</v>
      </c>
      <c r="J2700" s="455">
        <f t="array" ref="J2700">IFERROR(INDEX('Retirement Calculator'!K:K,MATCH('Lorri 401b'!N2700,'Retirement Calculator'!A:A,0),0),0)</f>
        <v>0</v>
      </c>
      <c r="K2700" s="455">
        <f t="shared" ca="1" si="133"/>
        <v>-129831867.49817987</v>
      </c>
      <c r="L2700" s="455">
        <f t="shared" ca="1" si="134"/>
        <v>-31289480067.061348</v>
      </c>
      <c r="M2700" s="471">
        <f t="shared" si="136"/>
        <v>0.05</v>
      </c>
      <c r="N2700" s="475">
        <f t="shared" si="137"/>
        <v>133224</v>
      </c>
    </row>
    <row r="2701" spans="7:14" ht="11.25" customHeight="1" x14ac:dyDescent="0.3">
      <c r="G2701" s="470"/>
      <c r="H2701" s="470">
        <v>2694</v>
      </c>
      <c r="I2701" s="455">
        <f t="shared" ca="1" si="135"/>
        <v>-31289480067.061348</v>
      </c>
      <c r="J2701" s="455">
        <f t="array" ref="J2701">IFERROR(INDEX('Retirement Calculator'!K:K,MATCH('Lorri 401b'!N2701,'Retirement Calculator'!A:A,0),0),0)</f>
        <v>0</v>
      </c>
      <c r="K2701" s="455">
        <f t="shared" ca="1" si="133"/>
        <v>-130372833.61275561</v>
      </c>
      <c r="L2701" s="455">
        <f t="shared" ca="1" si="134"/>
        <v>-31419852900.674103</v>
      </c>
      <c r="M2701" s="471">
        <f t="shared" si="136"/>
        <v>0.05</v>
      </c>
      <c r="N2701" s="475">
        <f t="shared" si="137"/>
        <v>133255</v>
      </c>
    </row>
    <row r="2702" spans="7:14" ht="11.25" customHeight="1" x14ac:dyDescent="0.3">
      <c r="G2702" s="470"/>
      <c r="H2702" s="470">
        <v>2695</v>
      </c>
      <c r="I2702" s="455">
        <f t="shared" ca="1" si="135"/>
        <v>-31419852900.674103</v>
      </c>
      <c r="J2702" s="455">
        <f t="array" ref="J2702">IFERROR(INDEX('Retirement Calculator'!K:K,MATCH('Lorri 401b'!N2702,'Retirement Calculator'!A:A,0),0),0)</f>
        <v>0</v>
      </c>
      <c r="K2702" s="455">
        <f t="shared" ca="1" si="133"/>
        <v>-130916053.75280878</v>
      </c>
      <c r="L2702" s="455">
        <f t="shared" ca="1" si="134"/>
        <v>-31550768954.42691</v>
      </c>
      <c r="M2702" s="471">
        <f t="shared" si="136"/>
        <v>0.05</v>
      </c>
      <c r="N2702" s="475">
        <f t="shared" si="137"/>
        <v>133285</v>
      </c>
    </row>
    <row r="2703" spans="7:14" ht="11.25" customHeight="1" x14ac:dyDescent="0.3">
      <c r="G2703" s="470"/>
      <c r="H2703" s="470">
        <v>2696</v>
      </c>
      <c r="I2703" s="455">
        <f t="shared" ca="1" si="135"/>
        <v>-31550768954.42691</v>
      </c>
      <c r="J2703" s="455">
        <f t="array" ref="J2703">IFERROR(INDEX('Retirement Calculator'!K:K,MATCH('Lorri 401b'!N2703,'Retirement Calculator'!A:A,0),0),0)</f>
        <v>0</v>
      </c>
      <c r="K2703" s="455">
        <f t="shared" ca="1" si="133"/>
        <v>-131461537.31011212</v>
      </c>
      <c r="L2703" s="455">
        <f t="shared" ca="1" si="134"/>
        <v>-31682230491.737022</v>
      </c>
      <c r="M2703" s="471">
        <f t="shared" si="136"/>
        <v>0.05</v>
      </c>
      <c r="N2703" s="475">
        <f t="shared" si="137"/>
        <v>133316</v>
      </c>
    </row>
    <row r="2704" spans="7:14" ht="11.25" customHeight="1" x14ac:dyDescent="0.3">
      <c r="G2704" s="470"/>
      <c r="H2704" s="470">
        <v>2697</v>
      </c>
      <c r="I2704" s="455">
        <f t="shared" ca="1" si="135"/>
        <v>-31682230491.737022</v>
      </c>
      <c r="J2704" s="455">
        <f t="array" ref="J2704">IFERROR(INDEX('Retirement Calculator'!K:K,MATCH('Lorri 401b'!N2704,'Retirement Calculator'!A:A,0),0),0)</f>
        <v>0</v>
      </c>
      <c r="K2704" s="455">
        <f t="shared" ca="1" si="133"/>
        <v>-132009293.71557093</v>
      </c>
      <c r="L2704" s="455">
        <f t="shared" ca="1" si="134"/>
        <v>-31814239785.452595</v>
      </c>
      <c r="M2704" s="471">
        <f t="shared" si="136"/>
        <v>0.05</v>
      </c>
      <c r="N2704" s="475">
        <f t="shared" si="137"/>
        <v>133347</v>
      </c>
    </row>
    <row r="2705" spans="7:14" ht="11.25" customHeight="1" x14ac:dyDescent="0.3">
      <c r="G2705" s="470"/>
      <c r="H2705" s="470">
        <v>2698</v>
      </c>
      <c r="I2705" s="455">
        <f t="shared" ca="1" si="135"/>
        <v>-31814239785.452595</v>
      </c>
      <c r="J2705" s="455">
        <f t="array" ref="J2705">IFERROR(INDEX('Retirement Calculator'!K:K,MATCH('Lorri 401b'!N2705,'Retirement Calculator'!A:A,0),0),0)</f>
        <v>0</v>
      </c>
      <c r="K2705" s="455">
        <f t="shared" ca="1" si="133"/>
        <v>-132559332.43938583</v>
      </c>
      <c r="L2705" s="455">
        <f t="shared" ca="1" si="134"/>
        <v>-31946799117.891979</v>
      </c>
      <c r="M2705" s="471">
        <f t="shared" si="136"/>
        <v>0.05</v>
      </c>
      <c r="N2705" s="475">
        <f t="shared" si="137"/>
        <v>133375</v>
      </c>
    </row>
    <row r="2706" spans="7:14" ht="11.25" customHeight="1" x14ac:dyDescent="0.3">
      <c r="G2706" s="470"/>
      <c r="H2706" s="470">
        <v>2699</v>
      </c>
      <c r="I2706" s="455">
        <f t="shared" ca="1" si="135"/>
        <v>-31946799117.891979</v>
      </c>
      <c r="J2706" s="455">
        <f t="array" ref="J2706">IFERROR(INDEX('Retirement Calculator'!K:K,MATCH('Lorri 401b'!N2706,'Retirement Calculator'!A:A,0),0),0)</f>
        <v>0</v>
      </c>
      <c r="K2706" s="455">
        <f t="shared" ca="1" si="133"/>
        <v>-133111662.99121659</v>
      </c>
      <c r="L2706" s="455">
        <f t="shared" ca="1" si="134"/>
        <v>-32079910780.883194</v>
      </c>
      <c r="M2706" s="471">
        <f t="shared" si="136"/>
        <v>0.05</v>
      </c>
      <c r="N2706" s="475">
        <f t="shared" si="137"/>
        <v>133406</v>
      </c>
    </row>
    <row r="2707" spans="7:14" ht="11.25" customHeight="1" x14ac:dyDescent="0.3">
      <c r="G2707" s="470"/>
      <c r="H2707" s="470">
        <v>2700</v>
      </c>
      <c r="I2707" s="455">
        <f t="shared" ca="1" si="135"/>
        <v>-32079910780.883194</v>
      </c>
      <c r="J2707" s="455">
        <f t="array" ref="J2707">IFERROR(INDEX('Retirement Calculator'!K:K,MATCH('Lorri 401b'!N2707,'Retirement Calculator'!A:A,0),0),0)</f>
        <v>0</v>
      </c>
      <c r="K2707" s="455">
        <f t="shared" ca="1" si="133"/>
        <v>-133666294.92034663</v>
      </c>
      <c r="L2707" s="455">
        <f t="shared" ca="1" si="134"/>
        <v>-32213577075.803539</v>
      </c>
      <c r="M2707" s="471">
        <f t="shared" si="136"/>
        <v>0.05</v>
      </c>
      <c r="N2707" s="475">
        <f t="shared" si="137"/>
        <v>133436</v>
      </c>
    </row>
    <row r="2708" spans="7:14" ht="11.25" customHeight="1" x14ac:dyDescent="0.3">
      <c r="G2708" s="470"/>
      <c r="H2708" s="470">
        <v>2701</v>
      </c>
      <c r="I2708" s="455">
        <f t="shared" ca="1" si="135"/>
        <v>-32213577075.803539</v>
      </c>
      <c r="J2708" s="455">
        <f t="array" ref="J2708">IFERROR(INDEX('Retirement Calculator'!K:K,MATCH('Lorri 401b'!N2708,'Retirement Calculator'!A:A,0),0),0)</f>
        <v>0</v>
      </c>
      <c r="K2708" s="455">
        <f t="shared" ca="1" si="133"/>
        <v>-134223237.81584808</v>
      </c>
      <c r="L2708" s="455">
        <f t="shared" ca="1" si="134"/>
        <v>-32347800313.619389</v>
      </c>
      <c r="M2708" s="471">
        <f t="shared" si="136"/>
        <v>0.05</v>
      </c>
      <c r="N2708" s="475">
        <f t="shared" si="137"/>
        <v>133467</v>
      </c>
    </row>
    <row r="2709" spans="7:14" ht="11.25" customHeight="1" x14ac:dyDescent="0.3">
      <c r="G2709" s="470"/>
      <c r="H2709" s="470">
        <v>2702</v>
      </c>
      <c r="I2709" s="455">
        <f t="shared" ca="1" si="135"/>
        <v>-32347800313.619389</v>
      </c>
      <c r="J2709" s="455">
        <f t="array" ref="J2709">IFERROR(INDEX('Retirement Calculator'!K:K,MATCH('Lorri 401b'!N2709,'Retirement Calculator'!A:A,0),0),0)</f>
        <v>0</v>
      </c>
      <c r="K2709" s="455">
        <f t="shared" ca="1" si="133"/>
        <v>-134782501.30674744</v>
      </c>
      <c r="L2709" s="455">
        <f t="shared" ca="1" si="134"/>
        <v>-32482582814.926136</v>
      </c>
      <c r="M2709" s="471">
        <f t="shared" si="136"/>
        <v>0.05</v>
      </c>
      <c r="N2709" s="475">
        <f t="shared" si="137"/>
        <v>133497</v>
      </c>
    </row>
    <row r="2710" spans="7:14" ht="11.25" customHeight="1" x14ac:dyDescent="0.3">
      <c r="G2710" s="470"/>
      <c r="H2710" s="470">
        <v>2703</v>
      </c>
      <c r="I2710" s="455">
        <f t="shared" ca="1" si="135"/>
        <v>-32482582814.926136</v>
      </c>
      <c r="J2710" s="455">
        <f t="array" ref="J2710">IFERROR(INDEX('Retirement Calculator'!K:K,MATCH('Lorri 401b'!N2710,'Retirement Calculator'!A:A,0),0),0)</f>
        <v>0</v>
      </c>
      <c r="K2710" s="455">
        <f t="shared" ca="1" si="133"/>
        <v>-135344095.06219223</v>
      </c>
      <c r="L2710" s="455">
        <f t="shared" ca="1" si="134"/>
        <v>-32617926909.988327</v>
      </c>
      <c r="M2710" s="471">
        <f t="shared" si="136"/>
        <v>0.05</v>
      </c>
      <c r="N2710" s="475">
        <f t="shared" si="137"/>
        <v>133528</v>
      </c>
    </row>
    <row r="2711" spans="7:14" ht="11.25" customHeight="1" x14ac:dyDescent="0.3">
      <c r="G2711" s="470"/>
      <c r="H2711" s="470">
        <v>2704</v>
      </c>
      <c r="I2711" s="455">
        <f t="shared" ca="1" si="135"/>
        <v>-32617926909.988327</v>
      </c>
      <c r="J2711" s="455">
        <f t="array" ref="J2711">IFERROR(INDEX('Retirement Calculator'!K:K,MATCH('Lorri 401b'!N2711,'Retirement Calculator'!A:A,0),0),0)</f>
        <v>0</v>
      </c>
      <c r="K2711" s="455">
        <f t="shared" ca="1" si="133"/>
        <v>-135908028.79161802</v>
      </c>
      <c r="L2711" s="455">
        <f t="shared" ca="1" si="134"/>
        <v>-32753834938.779945</v>
      </c>
      <c r="M2711" s="471">
        <f t="shared" si="136"/>
        <v>0.05</v>
      </c>
      <c r="N2711" s="475">
        <f t="shared" si="137"/>
        <v>133559</v>
      </c>
    </row>
    <row r="2712" spans="7:14" ht="11.25" customHeight="1" x14ac:dyDescent="0.3">
      <c r="G2712" s="470"/>
      <c r="H2712" s="470">
        <v>2705</v>
      </c>
      <c r="I2712" s="455">
        <f t="shared" ca="1" si="135"/>
        <v>-32753834938.779945</v>
      </c>
      <c r="J2712" s="455">
        <f t="array" ref="J2712">IFERROR(INDEX('Retirement Calculator'!K:K,MATCH('Lorri 401b'!N2712,'Retirement Calculator'!A:A,0),0),0)</f>
        <v>0</v>
      </c>
      <c r="K2712" s="455">
        <f t="shared" ca="1" si="133"/>
        <v>-136474312.24491644</v>
      </c>
      <c r="L2712" s="455">
        <f t="shared" ca="1" si="134"/>
        <v>-32890309251.02486</v>
      </c>
      <c r="M2712" s="471">
        <f t="shared" si="136"/>
        <v>0.05</v>
      </c>
      <c r="N2712" s="475">
        <f t="shared" si="137"/>
        <v>133589</v>
      </c>
    </row>
    <row r="2713" spans="7:14" ht="11.25" customHeight="1" x14ac:dyDescent="0.3">
      <c r="G2713" s="470"/>
      <c r="H2713" s="470">
        <v>2706</v>
      </c>
      <c r="I2713" s="455">
        <f t="shared" ca="1" si="135"/>
        <v>-32890309251.02486</v>
      </c>
      <c r="J2713" s="455">
        <f t="array" ref="J2713">IFERROR(INDEX('Retirement Calculator'!K:K,MATCH('Lorri 401b'!N2713,'Retirement Calculator'!A:A,0),0),0)</f>
        <v>0</v>
      </c>
      <c r="K2713" s="455">
        <f t="shared" ca="1" si="133"/>
        <v>-137042955.21260357</v>
      </c>
      <c r="L2713" s="455">
        <f t="shared" ca="1" si="134"/>
        <v>-33027352206.237465</v>
      </c>
      <c r="M2713" s="471">
        <f t="shared" si="136"/>
        <v>0.05</v>
      </c>
      <c r="N2713" s="475">
        <f t="shared" si="137"/>
        <v>133620</v>
      </c>
    </row>
    <row r="2714" spans="7:14" ht="11.25" customHeight="1" x14ac:dyDescent="0.3">
      <c r="G2714" s="470"/>
      <c r="H2714" s="470">
        <v>2707</v>
      </c>
      <c r="I2714" s="455">
        <f t="shared" ca="1" si="135"/>
        <v>-33027352206.237465</v>
      </c>
      <c r="J2714" s="455">
        <f t="array" ref="J2714">IFERROR(INDEX('Retirement Calculator'!K:K,MATCH('Lorri 401b'!N2714,'Retirement Calculator'!A:A,0),0),0)</f>
        <v>0</v>
      </c>
      <c r="K2714" s="455">
        <f t="shared" ca="1" si="133"/>
        <v>-137613967.52598944</v>
      </c>
      <c r="L2714" s="455">
        <f t="shared" ca="1" si="134"/>
        <v>-33164966173.763454</v>
      </c>
      <c r="M2714" s="471">
        <f t="shared" si="136"/>
        <v>0.05</v>
      </c>
      <c r="N2714" s="475">
        <f t="shared" si="137"/>
        <v>133650</v>
      </c>
    </row>
    <row r="2715" spans="7:14" ht="11.25" customHeight="1" x14ac:dyDescent="0.3">
      <c r="G2715" s="470"/>
      <c r="H2715" s="470">
        <v>2708</v>
      </c>
      <c r="I2715" s="455">
        <f t="shared" ca="1" si="135"/>
        <v>-33164966173.763454</v>
      </c>
      <c r="J2715" s="455">
        <f t="array" ref="J2715">IFERROR(INDEX('Retirement Calculator'!K:K,MATCH('Lorri 401b'!N2715,'Retirement Calculator'!A:A,0),0),0)</f>
        <v>0</v>
      </c>
      <c r="K2715" s="455">
        <f t="shared" ca="1" si="133"/>
        <v>-138187359.05734774</v>
      </c>
      <c r="L2715" s="455">
        <f t="shared" ca="1" si="134"/>
        <v>-33303153532.820801</v>
      </c>
      <c r="M2715" s="471">
        <f t="shared" si="136"/>
        <v>0.05</v>
      </c>
      <c r="N2715" s="475">
        <f t="shared" si="137"/>
        <v>133681</v>
      </c>
    </row>
    <row r="2716" spans="7:14" ht="11.25" customHeight="1" x14ac:dyDescent="0.3">
      <c r="G2716" s="470"/>
      <c r="H2716" s="470">
        <v>2709</v>
      </c>
      <c r="I2716" s="455">
        <f t="shared" ca="1" si="135"/>
        <v>-33303153532.820801</v>
      </c>
      <c r="J2716" s="455">
        <f t="array" ref="J2716">IFERROR(INDEX('Retirement Calculator'!K:K,MATCH('Lorri 401b'!N2716,'Retirement Calculator'!A:A,0),0),0)</f>
        <v>0</v>
      </c>
      <c r="K2716" s="455">
        <f t="shared" ca="1" si="133"/>
        <v>-138763139.72008666</v>
      </c>
      <c r="L2716" s="455">
        <f t="shared" ca="1" si="134"/>
        <v>-33441916672.540886</v>
      </c>
      <c r="M2716" s="471">
        <f t="shared" si="136"/>
        <v>0.05</v>
      </c>
      <c r="N2716" s="475">
        <f t="shared" si="137"/>
        <v>133712</v>
      </c>
    </row>
    <row r="2717" spans="7:14" ht="11.25" customHeight="1" x14ac:dyDescent="0.3">
      <c r="G2717" s="470"/>
      <c r="H2717" s="470">
        <v>2710</v>
      </c>
      <c r="I2717" s="455">
        <f t="shared" ca="1" si="135"/>
        <v>-33441916672.540886</v>
      </c>
      <c r="J2717" s="455">
        <f t="array" ref="J2717">IFERROR(INDEX('Retirement Calculator'!K:K,MATCH('Lorri 401b'!N2717,'Retirement Calculator'!A:A,0),0),0)</f>
        <v>0</v>
      </c>
      <c r="K2717" s="455">
        <f t="shared" ca="1" si="133"/>
        <v>-139341319.46892035</v>
      </c>
      <c r="L2717" s="455">
        <f t="shared" ca="1" si="134"/>
        <v>-33581257992.009808</v>
      </c>
      <c r="M2717" s="471">
        <f t="shared" si="136"/>
        <v>0.05</v>
      </c>
      <c r="N2717" s="475">
        <f t="shared" si="137"/>
        <v>133740</v>
      </c>
    </row>
    <row r="2718" spans="7:14" ht="11.25" customHeight="1" x14ac:dyDescent="0.3">
      <c r="G2718" s="470"/>
      <c r="H2718" s="470">
        <v>2711</v>
      </c>
      <c r="I2718" s="455">
        <f t="shared" ca="1" si="135"/>
        <v>-33581257992.009808</v>
      </c>
      <c r="J2718" s="455">
        <f t="array" ref="J2718">IFERROR(INDEX('Retirement Calculator'!K:K,MATCH('Lorri 401b'!N2718,'Retirement Calculator'!A:A,0),0),0)</f>
        <v>0</v>
      </c>
      <c r="K2718" s="455">
        <f t="shared" ca="1" si="133"/>
        <v>-139921908.30004084</v>
      </c>
      <c r="L2718" s="455">
        <f t="shared" ca="1" si="134"/>
        <v>-33721179900.309849</v>
      </c>
      <c r="M2718" s="471">
        <f t="shared" si="136"/>
        <v>0.05</v>
      </c>
      <c r="N2718" s="475">
        <f t="shared" si="137"/>
        <v>133771</v>
      </c>
    </row>
    <row r="2719" spans="7:14" ht="11.25" customHeight="1" x14ac:dyDescent="0.3">
      <c r="G2719" s="470"/>
      <c r="H2719" s="470">
        <v>2712</v>
      </c>
      <c r="I2719" s="455">
        <f t="shared" ca="1" si="135"/>
        <v>-33721179900.309849</v>
      </c>
      <c r="J2719" s="455">
        <f t="array" ref="J2719">IFERROR(INDEX('Retirement Calculator'!K:K,MATCH('Lorri 401b'!N2719,'Retirement Calculator'!A:A,0),0),0)</f>
        <v>0</v>
      </c>
      <c r="K2719" s="455">
        <f t="shared" ca="1" si="133"/>
        <v>-140504916.25129104</v>
      </c>
      <c r="L2719" s="455">
        <f t="shared" ca="1" si="134"/>
        <v>-33861684816.561138</v>
      </c>
      <c r="M2719" s="471">
        <f t="shared" si="136"/>
        <v>0.05</v>
      </c>
      <c r="N2719" s="475">
        <f t="shared" si="137"/>
        <v>133801</v>
      </c>
    </row>
    <row r="2720" spans="7:14" ht="11.25" customHeight="1" x14ac:dyDescent="0.3">
      <c r="G2720" s="470"/>
      <c r="H2720" s="470">
        <v>2713</v>
      </c>
      <c r="I2720" s="455">
        <f t="shared" ca="1" si="135"/>
        <v>-33861684816.561138</v>
      </c>
      <c r="J2720" s="455">
        <f t="array" ref="J2720">IFERROR(INDEX('Retirement Calculator'!K:K,MATCH('Lorri 401b'!N2720,'Retirement Calculator'!A:A,0),0),0)</f>
        <v>0</v>
      </c>
      <c r="K2720" s="455">
        <f t="shared" ca="1" si="133"/>
        <v>-141090353.40233809</v>
      </c>
      <c r="L2720" s="455">
        <f t="shared" ca="1" si="134"/>
        <v>-34002775169.963478</v>
      </c>
      <c r="M2720" s="471">
        <f t="shared" si="136"/>
        <v>0.05</v>
      </c>
      <c r="N2720" s="475">
        <f t="shared" si="137"/>
        <v>133832</v>
      </c>
    </row>
    <row r="2721" spans="7:14" ht="11.25" customHeight="1" x14ac:dyDescent="0.3">
      <c r="G2721" s="470"/>
      <c r="H2721" s="470">
        <v>2714</v>
      </c>
      <c r="I2721" s="455">
        <f t="shared" ca="1" si="135"/>
        <v>-34002775169.963478</v>
      </c>
      <c r="J2721" s="455">
        <f t="array" ref="J2721">IFERROR(INDEX('Retirement Calculator'!K:K,MATCH('Lorri 401b'!N2721,'Retirement Calculator'!A:A,0),0),0)</f>
        <v>0</v>
      </c>
      <c r="K2721" s="455">
        <f t="shared" ca="1" si="133"/>
        <v>-141678229.8748478</v>
      </c>
      <c r="L2721" s="455">
        <f t="shared" ca="1" si="134"/>
        <v>-34144453399.838326</v>
      </c>
      <c r="M2721" s="471">
        <f t="shared" si="136"/>
        <v>0.05</v>
      </c>
      <c r="N2721" s="475">
        <f t="shared" si="137"/>
        <v>133862</v>
      </c>
    </row>
    <row r="2722" spans="7:14" ht="11.25" customHeight="1" x14ac:dyDescent="0.3">
      <c r="G2722" s="470"/>
      <c r="H2722" s="470">
        <v>2715</v>
      </c>
      <c r="I2722" s="455">
        <f t="shared" ca="1" si="135"/>
        <v>-34144453399.838326</v>
      </c>
      <c r="J2722" s="455">
        <f t="array" ref="J2722">IFERROR(INDEX('Retirement Calculator'!K:K,MATCH('Lorri 401b'!N2722,'Retirement Calculator'!A:A,0),0),0)</f>
        <v>0</v>
      </c>
      <c r="K2722" s="455">
        <f t="shared" ca="1" si="133"/>
        <v>-142268555.83265969</v>
      </c>
      <c r="L2722" s="455">
        <f t="shared" ca="1" si="134"/>
        <v>-34286721955.670986</v>
      </c>
      <c r="M2722" s="471">
        <f t="shared" si="136"/>
        <v>0.05</v>
      </c>
      <c r="N2722" s="475">
        <f t="shared" si="137"/>
        <v>133893</v>
      </c>
    </row>
    <row r="2723" spans="7:14" ht="11.25" customHeight="1" x14ac:dyDescent="0.3">
      <c r="G2723" s="470"/>
      <c r="H2723" s="470">
        <v>2716</v>
      </c>
      <c r="I2723" s="455">
        <f t="shared" ca="1" si="135"/>
        <v>-34286721955.670986</v>
      </c>
      <c r="J2723" s="455">
        <f t="array" ref="J2723">IFERROR(INDEX('Retirement Calculator'!K:K,MATCH('Lorri 401b'!N2723,'Retirement Calculator'!A:A,0),0),0)</f>
        <v>0</v>
      </c>
      <c r="K2723" s="455">
        <f t="shared" ca="1" si="133"/>
        <v>-142861341.48196244</v>
      </c>
      <c r="L2723" s="455">
        <f t="shared" ca="1" si="134"/>
        <v>-34429583297.152946</v>
      </c>
      <c r="M2723" s="471">
        <f t="shared" si="136"/>
        <v>0.05</v>
      </c>
      <c r="N2723" s="475">
        <f t="shared" si="137"/>
        <v>133924</v>
      </c>
    </row>
    <row r="2724" spans="7:14" ht="11.25" customHeight="1" x14ac:dyDescent="0.3">
      <c r="G2724" s="470"/>
      <c r="H2724" s="470">
        <v>2717</v>
      </c>
      <c r="I2724" s="455">
        <f t="shared" ca="1" si="135"/>
        <v>-34429583297.152946</v>
      </c>
      <c r="J2724" s="455">
        <f t="array" ref="J2724">IFERROR(INDEX('Retirement Calculator'!K:K,MATCH('Lorri 401b'!N2724,'Retirement Calculator'!A:A,0),0),0)</f>
        <v>0</v>
      </c>
      <c r="K2724" s="455">
        <f t="shared" ca="1" si="133"/>
        <v>-143456597.07147062</v>
      </c>
      <c r="L2724" s="455">
        <f t="shared" ca="1" si="134"/>
        <v>-34573039894.224419</v>
      </c>
      <c r="M2724" s="471">
        <f t="shared" si="136"/>
        <v>0.05</v>
      </c>
      <c r="N2724" s="475">
        <f t="shared" si="137"/>
        <v>133954</v>
      </c>
    </row>
    <row r="2725" spans="7:14" ht="11.25" customHeight="1" x14ac:dyDescent="0.3">
      <c r="G2725" s="470"/>
      <c r="H2725" s="470">
        <v>2718</v>
      </c>
      <c r="I2725" s="455">
        <f t="shared" ca="1" si="135"/>
        <v>-34573039894.224419</v>
      </c>
      <c r="J2725" s="455">
        <f t="array" ref="J2725">IFERROR(INDEX('Retirement Calculator'!K:K,MATCH('Lorri 401b'!N2725,'Retirement Calculator'!A:A,0),0),0)</f>
        <v>0</v>
      </c>
      <c r="K2725" s="455">
        <f t="shared" ca="1" si="133"/>
        <v>-144054332.89260173</v>
      </c>
      <c r="L2725" s="455">
        <f t="shared" ca="1" si="134"/>
        <v>-34717094227.11702</v>
      </c>
      <c r="M2725" s="471">
        <f t="shared" si="136"/>
        <v>0.05</v>
      </c>
      <c r="N2725" s="475">
        <f t="shared" si="137"/>
        <v>133985</v>
      </c>
    </row>
    <row r="2726" spans="7:14" ht="11.25" customHeight="1" x14ac:dyDescent="0.3">
      <c r="G2726" s="470"/>
      <c r="H2726" s="470">
        <v>2719</v>
      </c>
      <c r="I2726" s="455">
        <f t="shared" ca="1" si="135"/>
        <v>-34717094227.11702</v>
      </c>
      <c r="J2726" s="455">
        <f t="array" ref="J2726">IFERROR(INDEX('Retirement Calculator'!K:K,MATCH('Lorri 401b'!N2726,'Retirement Calculator'!A:A,0),0),0)</f>
        <v>0</v>
      </c>
      <c r="K2726" s="455">
        <f t="shared" ca="1" si="133"/>
        <v>-144654559.27965423</v>
      </c>
      <c r="L2726" s="455">
        <f t="shared" ca="1" si="134"/>
        <v>-34861748786.396675</v>
      </c>
      <c r="M2726" s="471">
        <f t="shared" si="136"/>
        <v>0.05</v>
      </c>
      <c r="N2726" s="475">
        <f t="shared" si="137"/>
        <v>134015</v>
      </c>
    </row>
    <row r="2727" spans="7:14" ht="11.25" customHeight="1" x14ac:dyDescent="0.3">
      <c r="G2727" s="470"/>
      <c r="H2727" s="470">
        <v>2720</v>
      </c>
      <c r="I2727" s="455">
        <f t="shared" ca="1" si="135"/>
        <v>-34861748786.396675</v>
      </c>
      <c r="J2727" s="455">
        <f t="array" ref="J2727">IFERROR(INDEX('Retirement Calculator'!K:K,MATCH('Lorri 401b'!N2727,'Retirement Calculator'!A:A,0),0),0)</f>
        <v>0</v>
      </c>
      <c r="K2727" s="455">
        <f t="shared" ca="1" si="133"/>
        <v>-145257286.60998616</v>
      </c>
      <c r="L2727" s="455">
        <f t="shared" ca="1" si="134"/>
        <v>-35007006073.00666</v>
      </c>
      <c r="M2727" s="471">
        <f t="shared" si="136"/>
        <v>0.05</v>
      </c>
      <c r="N2727" s="475">
        <f t="shared" si="137"/>
        <v>134046</v>
      </c>
    </row>
    <row r="2728" spans="7:14" ht="11.25" customHeight="1" x14ac:dyDescent="0.3">
      <c r="G2728" s="470"/>
      <c r="H2728" s="470">
        <v>2721</v>
      </c>
      <c r="I2728" s="455">
        <f t="shared" ca="1" si="135"/>
        <v>-35007006073.00666</v>
      </c>
      <c r="J2728" s="455">
        <f t="array" ref="J2728">IFERROR(INDEX('Retirement Calculator'!K:K,MATCH('Lorri 401b'!N2728,'Retirement Calculator'!A:A,0),0),0)</f>
        <v>0</v>
      </c>
      <c r="K2728" s="455">
        <f t="shared" ca="1" si="133"/>
        <v>-145862525.30419442</v>
      </c>
      <c r="L2728" s="455">
        <f t="shared" ca="1" si="134"/>
        <v>-35152868598.310852</v>
      </c>
      <c r="M2728" s="471">
        <f t="shared" si="136"/>
        <v>0.05</v>
      </c>
      <c r="N2728" s="475">
        <f t="shared" si="137"/>
        <v>134077</v>
      </c>
    </row>
    <row r="2729" spans="7:14" ht="11.25" customHeight="1" x14ac:dyDescent="0.3">
      <c r="G2729" s="470"/>
      <c r="H2729" s="470">
        <v>2722</v>
      </c>
      <c r="I2729" s="455">
        <f t="shared" ca="1" si="135"/>
        <v>-35152868598.310852</v>
      </c>
      <c r="J2729" s="455">
        <f t="array" ref="J2729">IFERROR(INDEX('Retirement Calculator'!K:K,MATCH('Lorri 401b'!N2729,'Retirement Calculator'!A:A,0),0),0)</f>
        <v>0</v>
      </c>
      <c r="K2729" s="455">
        <f t="shared" ca="1" si="133"/>
        <v>-146470285.82629523</v>
      </c>
      <c r="L2729" s="455">
        <f t="shared" ca="1" si="134"/>
        <v>-35299338884.137146</v>
      </c>
      <c r="M2729" s="471">
        <f t="shared" si="136"/>
        <v>0.05</v>
      </c>
      <c r="N2729" s="475">
        <f t="shared" si="137"/>
        <v>134105</v>
      </c>
    </row>
    <row r="2730" spans="7:14" ht="11.25" customHeight="1" x14ac:dyDescent="0.3">
      <c r="G2730" s="470"/>
      <c r="H2730" s="470">
        <v>2723</v>
      </c>
      <c r="I2730" s="455">
        <f t="shared" ca="1" si="135"/>
        <v>-35299338884.137146</v>
      </c>
      <c r="J2730" s="455">
        <f t="array" ref="J2730">IFERROR(INDEX('Retirement Calculator'!K:K,MATCH('Lorri 401b'!N2730,'Retirement Calculator'!A:A,0),0),0)</f>
        <v>0</v>
      </c>
      <c r="K2730" s="455">
        <f t="shared" ca="1" si="133"/>
        <v>-147080578.68390477</v>
      </c>
      <c r="L2730" s="455">
        <f t="shared" ca="1" si="134"/>
        <v>-35446419462.821053</v>
      </c>
      <c r="M2730" s="471">
        <f t="shared" si="136"/>
        <v>0.05</v>
      </c>
      <c r="N2730" s="475">
        <f t="shared" si="137"/>
        <v>134136</v>
      </c>
    </row>
    <row r="2731" spans="7:14" ht="11.25" customHeight="1" x14ac:dyDescent="0.3">
      <c r="G2731" s="470"/>
      <c r="H2731" s="470">
        <v>2724</v>
      </c>
      <c r="I2731" s="455">
        <f t="shared" ca="1" si="135"/>
        <v>-35446419462.821053</v>
      </c>
      <c r="J2731" s="455">
        <f t="array" ref="J2731">IFERROR(INDEX('Retirement Calculator'!K:K,MATCH('Lorri 401b'!N2731,'Retirement Calculator'!A:A,0),0),0)</f>
        <v>0</v>
      </c>
      <c r="K2731" s="455">
        <f t="shared" ca="1" si="133"/>
        <v>-147693414.42842105</v>
      </c>
      <c r="L2731" s="455">
        <f t="shared" ca="1" si="134"/>
        <v>-35594112877.249474</v>
      </c>
      <c r="M2731" s="471">
        <f t="shared" si="136"/>
        <v>0.05</v>
      </c>
      <c r="N2731" s="475">
        <f t="shared" si="137"/>
        <v>134166</v>
      </c>
    </row>
    <row r="2732" spans="7:14" ht="11.25" customHeight="1" x14ac:dyDescent="0.3">
      <c r="G2732" s="470"/>
      <c r="H2732" s="470">
        <v>2725</v>
      </c>
      <c r="I2732" s="455">
        <f t="shared" ca="1" si="135"/>
        <v>-35594112877.249474</v>
      </c>
      <c r="J2732" s="455">
        <f t="array" ref="J2732">IFERROR(INDEX('Retirement Calculator'!K:K,MATCH('Lorri 401b'!N2732,'Retirement Calculator'!A:A,0),0),0)</f>
        <v>0</v>
      </c>
      <c r="K2732" s="455">
        <f t="shared" ca="1" si="133"/>
        <v>-148308803.65520614</v>
      </c>
      <c r="L2732" s="455">
        <f t="shared" ca="1" si="134"/>
        <v>-35742421680.904678</v>
      </c>
      <c r="M2732" s="471">
        <f t="shared" si="136"/>
        <v>0.05</v>
      </c>
      <c r="N2732" s="475">
        <f t="shared" si="137"/>
        <v>134197</v>
      </c>
    </row>
    <row r="2733" spans="7:14" ht="11.25" customHeight="1" x14ac:dyDescent="0.3">
      <c r="G2733" s="470"/>
      <c r="H2733" s="470">
        <v>2726</v>
      </c>
      <c r="I2733" s="455">
        <f t="shared" ca="1" si="135"/>
        <v>-35742421680.904678</v>
      </c>
      <c r="J2733" s="455">
        <f t="array" ref="J2733">IFERROR(INDEX('Retirement Calculator'!K:K,MATCH('Lorri 401b'!N2733,'Retirement Calculator'!A:A,0),0),0)</f>
        <v>0</v>
      </c>
      <c r="K2733" s="455">
        <f t="shared" ca="1" si="133"/>
        <v>-148926757.00376949</v>
      </c>
      <c r="L2733" s="455">
        <f t="shared" ca="1" si="134"/>
        <v>-35891348437.908447</v>
      </c>
      <c r="M2733" s="471">
        <f t="shared" si="136"/>
        <v>0.05</v>
      </c>
      <c r="N2733" s="475">
        <f t="shared" si="137"/>
        <v>134227</v>
      </c>
    </row>
    <row r="2734" spans="7:14" ht="11.25" customHeight="1" x14ac:dyDescent="0.3">
      <c r="G2734" s="470"/>
      <c r="H2734" s="470">
        <v>2727</v>
      </c>
      <c r="I2734" s="455">
        <f t="shared" ca="1" si="135"/>
        <v>-35891348437.908447</v>
      </c>
      <c r="J2734" s="455">
        <f t="array" ref="J2734">IFERROR(INDEX('Retirement Calculator'!K:K,MATCH('Lorri 401b'!N2734,'Retirement Calculator'!A:A,0),0),0)</f>
        <v>0</v>
      </c>
      <c r="K2734" s="455">
        <f t="shared" ca="1" si="133"/>
        <v>-149547285.15795186</v>
      </c>
      <c r="L2734" s="455">
        <f t="shared" ca="1" si="134"/>
        <v>-36040895723.066399</v>
      </c>
      <c r="M2734" s="471">
        <f t="shared" si="136"/>
        <v>0.05</v>
      </c>
      <c r="N2734" s="475">
        <f t="shared" si="137"/>
        <v>134258</v>
      </c>
    </row>
    <row r="2735" spans="7:14" ht="11.25" customHeight="1" x14ac:dyDescent="0.3">
      <c r="G2735" s="470"/>
      <c r="H2735" s="470">
        <v>2728</v>
      </c>
      <c r="I2735" s="455">
        <f t="shared" ca="1" si="135"/>
        <v>-36040895723.066399</v>
      </c>
      <c r="J2735" s="455">
        <f t="array" ref="J2735">IFERROR(INDEX('Retirement Calculator'!K:K,MATCH('Lorri 401b'!N2735,'Retirement Calculator'!A:A,0),0),0)</f>
        <v>0</v>
      </c>
      <c r="K2735" s="455">
        <f t="shared" ca="1" si="133"/>
        <v>-150170398.84610999</v>
      </c>
      <c r="L2735" s="455">
        <f t="shared" ca="1" si="134"/>
        <v>-36191066121.912506</v>
      </c>
      <c r="M2735" s="471">
        <f t="shared" si="136"/>
        <v>0.05</v>
      </c>
      <c r="N2735" s="475">
        <f t="shared" si="137"/>
        <v>134289</v>
      </c>
    </row>
    <row r="2736" spans="7:14" ht="11.25" customHeight="1" x14ac:dyDescent="0.3">
      <c r="G2736" s="470"/>
      <c r="H2736" s="470">
        <v>2729</v>
      </c>
      <c r="I2736" s="455">
        <f t="shared" ca="1" si="135"/>
        <v>-36191066121.912506</v>
      </c>
      <c r="J2736" s="455">
        <f t="array" ref="J2736">IFERROR(INDEX('Retirement Calculator'!K:K,MATCH('Lorri 401b'!N2736,'Retirement Calculator'!A:A,0),0),0)</f>
        <v>0</v>
      </c>
      <c r="K2736" s="455">
        <f t="shared" ca="1" si="133"/>
        <v>-150796108.8413021</v>
      </c>
      <c r="L2736" s="455">
        <f t="shared" ca="1" si="134"/>
        <v>-36341862230.753807</v>
      </c>
      <c r="M2736" s="471">
        <f t="shared" si="136"/>
        <v>0.05</v>
      </c>
      <c r="N2736" s="475">
        <f t="shared" si="137"/>
        <v>134319</v>
      </c>
    </row>
    <row r="2737" spans="7:14" ht="11.25" customHeight="1" x14ac:dyDescent="0.3">
      <c r="G2737" s="470"/>
      <c r="H2737" s="470">
        <v>2730</v>
      </c>
      <c r="I2737" s="455">
        <f t="shared" ca="1" si="135"/>
        <v>-36341862230.753807</v>
      </c>
      <c r="J2737" s="455">
        <f t="array" ref="J2737">IFERROR(INDEX('Retirement Calculator'!K:K,MATCH('Lorri 401b'!N2737,'Retirement Calculator'!A:A,0),0),0)</f>
        <v>0</v>
      </c>
      <c r="K2737" s="455">
        <f t="shared" ca="1" si="133"/>
        <v>-151424425.96147418</v>
      </c>
      <c r="L2737" s="455">
        <f t="shared" ca="1" si="134"/>
        <v>-36493286656.715279</v>
      </c>
      <c r="M2737" s="471">
        <f t="shared" si="136"/>
        <v>0.05</v>
      </c>
      <c r="N2737" s="475">
        <f t="shared" si="137"/>
        <v>134350</v>
      </c>
    </row>
    <row r="2738" spans="7:14" ht="11.25" customHeight="1" x14ac:dyDescent="0.3">
      <c r="G2738" s="470"/>
      <c r="H2738" s="470">
        <v>2731</v>
      </c>
      <c r="I2738" s="455">
        <f t="shared" ca="1" si="135"/>
        <v>-36493286656.715279</v>
      </c>
      <c r="J2738" s="455">
        <f t="array" ref="J2738">IFERROR(INDEX('Retirement Calculator'!K:K,MATCH('Lorri 401b'!N2738,'Retirement Calculator'!A:A,0),0),0)</f>
        <v>0</v>
      </c>
      <c r="K2738" s="455">
        <f t="shared" ca="1" si="133"/>
        <v>-152055361.06964698</v>
      </c>
      <c r="L2738" s="455">
        <f t="shared" ca="1" si="134"/>
        <v>-36645342017.784927</v>
      </c>
      <c r="M2738" s="471">
        <f t="shared" si="136"/>
        <v>0.05</v>
      </c>
      <c r="N2738" s="475">
        <f t="shared" si="137"/>
        <v>134380</v>
      </c>
    </row>
    <row r="2739" spans="7:14" ht="11.25" customHeight="1" x14ac:dyDescent="0.3">
      <c r="G2739" s="470"/>
      <c r="H2739" s="470">
        <v>2732</v>
      </c>
      <c r="I2739" s="455">
        <f t="shared" ca="1" si="135"/>
        <v>-36645342017.784927</v>
      </c>
      <c r="J2739" s="455">
        <f t="array" ref="J2739">IFERROR(INDEX('Retirement Calculator'!K:K,MATCH('Lorri 401b'!N2739,'Retirement Calculator'!A:A,0),0),0)</f>
        <v>0</v>
      </c>
      <c r="K2739" s="455">
        <f t="shared" ca="1" si="133"/>
        <v>-152688925.07410386</v>
      </c>
      <c r="L2739" s="455">
        <f t="shared" ca="1" si="134"/>
        <v>-36798030942.859032</v>
      </c>
      <c r="M2739" s="471">
        <f t="shared" si="136"/>
        <v>0.05</v>
      </c>
      <c r="N2739" s="475">
        <f t="shared" si="137"/>
        <v>134411</v>
      </c>
    </row>
    <row r="2740" spans="7:14" ht="11.25" customHeight="1" x14ac:dyDescent="0.3">
      <c r="G2740" s="470"/>
      <c r="H2740" s="470">
        <v>2733</v>
      </c>
      <c r="I2740" s="455">
        <f t="shared" ca="1" si="135"/>
        <v>-36798030942.859032</v>
      </c>
      <c r="J2740" s="455">
        <f t="array" ref="J2740">IFERROR(INDEX('Retirement Calculator'!K:K,MATCH('Lorri 401b'!N2740,'Retirement Calculator'!A:A,0),0),0)</f>
        <v>0</v>
      </c>
      <c r="K2740" s="455">
        <f t="shared" ca="1" si="133"/>
        <v>-153325128.9285793</v>
      </c>
      <c r="L2740" s="455">
        <f t="shared" ca="1" si="134"/>
        <v>-36951356071.787613</v>
      </c>
      <c r="M2740" s="471">
        <f t="shared" si="136"/>
        <v>0.05</v>
      </c>
      <c r="N2740" s="475">
        <f t="shared" si="137"/>
        <v>134442</v>
      </c>
    </row>
    <row r="2741" spans="7:14" ht="11.25" customHeight="1" x14ac:dyDescent="0.3">
      <c r="G2741" s="470"/>
      <c r="H2741" s="470">
        <v>2734</v>
      </c>
      <c r="I2741" s="455">
        <f t="shared" ca="1" si="135"/>
        <v>-36951356071.787613</v>
      </c>
      <c r="J2741" s="455">
        <f t="array" ref="J2741">IFERROR(INDEX('Retirement Calculator'!K:K,MATCH('Lorri 401b'!N2741,'Retirement Calculator'!A:A,0),0),0)</f>
        <v>0</v>
      </c>
      <c r="K2741" s="455">
        <f t="shared" ca="1" si="133"/>
        <v>-153963983.63244838</v>
      </c>
      <c r="L2741" s="455">
        <f t="shared" ca="1" si="134"/>
        <v>-37105320055.420059</v>
      </c>
      <c r="M2741" s="471">
        <f t="shared" si="136"/>
        <v>0.05</v>
      </c>
      <c r="N2741" s="475">
        <f t="shared" si="137"/>
        <v>134471</v>
      </c>
    </row>
    <row r="2742" spans="7:14" ht="11.25" customHeight="1" x14ac:dyDescent="0.3">
      <c r="G2742" s="470"/>
      <c r="H2742" s="470">
        <v>2735</v>
      </c>
      <c r="I2742" s="455">
        <f t="shared" ca="1" si="135"/>
        <v>-37105320055.420059</v>
      </c>
      <c r="J2742" s="455">
        <f t="array" ref="J2742">IFERROR(INDEX('Retirement Calculator'!K:K,MATCH('Lorri 401b'!N2742,'Retirement Calculator'!A:A,0),0),0)</f>
        <v>0</v>
      </c>
      <c r="K2742" s="455">
        <f t="shared" ca="1" si="133"/>
        <v>-154605500.23091692</v>
      </c>
      <c r="L2742" s="455">
        <f t="shared" ca="1" si="134"/>
        <v>-37259925555.650978</v>
      </c>
      <c r="M2742" s="471">
        <f t="shared" si="136"/>
        <v>0.05</v>
      </c>
      <c r="N2742" s="475">
        <f t="shared" si="137"/>
        <v>134502</v>
      </c>
    </row>
    <row r="2743" spans="7:14" ht="11.25" customHeight="1" x14ac:dyDescent="0.3">
      <c r="G2743" s="470"/>
      <c r="H2743" s="470">
        <v>2736</v>
      </c>
      <c r="I2743" s="455">
        <f t="shared" ca="1" si="135"/>
        <v>-37259925555.650978</v>
      </c>
      <c r="J2743" s="455">
        <f t="array" ref="J2743">IFERROR(INDEX('Retirement Calculator'!K:K,MATCH('Lorri 401b'!N2743,'Retirement Calculator'!A:A,0),0),0)</f>
        <v>0</v>
      </c>
      <c r="K2743" s="455">
        <f t="shared" ca="1" si="133"/>
        <v>-155249689.8152124</v>
      </c>
      <c r="L2743" s="455">
        <f t="shared" ca="1" si="134"/>
        <v>-37415175245.466194</v>
      </c>
      <c r="M2743" s="471">
        <f t="shared" si="136"/>
        <v>0.05</v>
      </c>
      <c r="N2743" s="475">
        <f t="shared" si="137"/>
        <v>134532</v>
      </c>
    </row>
    <row r="2744" spans="7:14" ht="11.25" customHeight="1" x14ac:dyDescent="0.3">
      <c r="G2744" s="470"/>
      <c r="H2744" s="470">
        <v>2737</v>
      </c>
      <c r="I2744" s="455">
        <f t="shared" ca="1" si="135"/>
        <v>-37415175245.466194</v>
      </c>
      <c r="J2744" s="455">
        <f t="array" ref="J2744">IFERROR(INDEX('Retirement Calculator'!K:K,MATCH('Lorri 401b'!N2744,'Retirement Calculator'!A:A,0),0),0)</f>
        <v>0</v>
      </c>
      <c r="K2744" s="455">
        <f t="shared" ca="1" si="133"/>
        <v>-155896563.5227758</v>
      </c>
      <c r="L2744" s="455">
        <f t="shared" ca="1" si="134"/>
        <v>-37571071808.988968</v>
      </c>
      <c r="M2744" s="471">
        <f t="shared" si="136"/>
        <v>0.05</v>
      </c>
      <c r="N2744" s="475">
        <f t="shared" si="137"/>
        <v>134563</v>
      </c>
    </row>
    <row r="2745" spans="7:14" ht="11.25" customHeight="1" x14ac:dyDescent="0.3">
      <c r="G2745" s="470"/>
      <c r="H2745" s="470">
        <v>2738</v>
      </c>
      <c r="I2745" s="455">
        <f t="shared" ca="1" si="135"/>
        <v>-37571071808.988968</v>
      </c>
      <c r="J2745" s="455">
        <f t="array" ref="J2745">IFERROR(INDEX('Retirement Calculator'!K:K,MATCH('Lorri 401b'!N2745,'Retirement Calculator'!A:A,0),0),0)</f>
        <v>0</v>
      </c>
      <c r="K2745" s="455">
        <f t="shared" ca="1" si="133"/>
        <v>-156546132.53745404</v>
      </c>
      <c r="L2745" s="455">
        <f t="shared" ca="1" si="134"/>
        <v>-37727617941.526421</v>
      </c>
      <c r="M2745" s="471">
        <f t="shared" si="136"/>
        <v>0.05</v>
      </c>
      <c r="N2745" s="475">
        <f t="shared" si="137"/>
        <v>134593</v>
      </c>
    </row>
    <row r="2746" spans="7:14" ht="11.25" customHeight="1" x14ac:dyDescent="0.3">
      <c r="G2746" s="470"/>
      <c r="H2746" s="470">
        <v>2739</v>
      </c>
      <c r="I2746" s="455">
        <f t="shared" ca="1" si="135"/>
        <v>-37727617941.526421</v>
      </c>
      <c r="J2746" s="455">
        <f t="array" ref="J2746">IFERROR(INDEX('Retirement Calculator'!K:K,MATCH('Lorri 401b'!N2746,'Retirement Calculator'!A:A,0),0),0)</f>
        <v>0</v>
      </c>
      <c r="K2746" s="455">
        <f t="shared" ca="1" si="133"/>
        <v>-157198408.08969343</v>
      </c>
      <c r="L2746" s="455">
        <f t="shared" ca="1" si="134"/>
        <v>-37884816349.616112</v>
      </c>
      <c r="M2746" s="471">
        <f t="shared" si="136"/>
        <v>0.05</v>
      </c>
      <c r="N2746" s="475">
        <f t="shared" si="137"/>
        <v>134624</v>
      </c>
    </row>
    <row r="2747" spans="7:14" ht="11.25" customHeight="1" x14ac:dyDescent="0.3">
      <c r="G2747" s="470"/>
      <c r="H2747" s="470">
        <v>2740</v>
      </c>
      <c r="I2747" s="455">
        <f t="shared" ca="1" si="135"/>
        <v>-37884816349.616112</v>
      </c>
      <c r="J2747" s="455">
        <f t="array" ref="J2747">IFERROR(INDEX('Retirement Calculator'!K:K,MATCH('Lorri 401b'!N2747,'Retirement Calculator'!A:A,0),0),0)</f>
        <v>0</v>
      </c>
      <c r="K2747" s="455">
        <f t="shared" ca="1" si="133"/>
        <v>-157853401.45673379</v>
      </c>
      <c r="L2747" s="455">
        <f t="shared" ca="1" si="134"/>
        <v>-38042669751.072845</v>
      </c>
      <c r="M2747" s="471">
        <f t="shared" si="136"/>
        <v>0.05</v>
      </c>
      <c r="N2747" s="475">
        <f t="shared" si="137"/>
        <v>134655</v>
      </c>
    </row>
    <row r="2748" spans="7:14" ht="11.25" customHeight="1" x14ac:dyDescent="0.3">
      <c r="G2748" s="470"/>
      <c r="H2748" s="470">
        <v>2741</v>
      </c>
      <c r="I2748" s="455">
        <f t="shared" ca="1" si="135"/>
        <v>-38042669751.072845</v>
      </c>
      <c r="J2748" s="455">
        <f t="array" ref="J2748">IFERROR(INDEX('Retirement Calculator'!K:K,MATCH('Lorri 401b'!N2748,'Retirement Calculator'!A:A,0),0),0)</f>
        <v>0</v>
      </c>
      <c r="K2748" s="455">
        <f t="shared" ca="1" si="133"/>
        <v>-158511123.96280351</v>
      </c>
      <c r="L2748" s="455">
        <f t="shared" ca="1" si="134"/>
        <v>-38201180875.035652</v>
      </c>
      <c r="M2748" s="471">
        <f t="shared" si="136"/>
        <v>0.05</v>
      </c>
      <c r="N2748" s="475">
        <f t="shared" si="137"/>
        <v>134685</v>
      </c>
    </row>
    <row r="2749" spans="7:14" ht="11.25" customHeight="1" x14ac:dyDescent="0.3">
      <c r="G2749" s="470"/>
      <c r="H2749" s="470">
        <v>2742</v>
      </c>
      <c r="I2749" s="455">
        <f t="shared" ca="1" si="135"/>
        <v>-38201180875.035652</v>
      </c>
      <c r="J2749" s="455">
        <f t="array" ref="J2749">IFERROR(INDEX('Retirement Calculator'!K:K,MATCH('Lorri 401b'!N2749,'Retirement Calculator'!A:A,0),0),0)</f>
        <v>0</v>
      </c>
      <c r="K2749" s="455">
        <f t="shared" ca="1" si="133"/>
        <v>-159171586.97931522</v>
      </c>
      <c r="L2749" s="455">
        <f t="shared" ca="1" si="134"/>
        <v>-38360352462.014969</v>
      </c>
      <c r="M2749" s="471">
        <f t="shared" si="136"/>
        <v>0.05</v>
      </c>
      <c r="N2749" s="475">
        <f t="shared" si="137"/>
        <v>134716</v>
      </c>
    </row>
    <row r="2750" spans="7:14" ht="11.25" customHeight="1" x14ac:dyDescent="0.3">
      <c r="G2750" s="470"/>
      <c r="H2750" s="470">
        <v>2743</v>
      </c>
      <c r="I2750" s="455">
        <f t="shared" ca="1" si="135"/>
        <v>-38360352462.014969</v>
      </c>
      <c r="J2750" s="455">
        <f t="array" ref="J2750">IFERROR(INDEX('Retirement Calculator'!K:K,MATCH('Lorri 401b'!N2750,'Retirement Calculator'!A:A,0),0),0)</f>
        <v>0</v>
      </c>
      <c r="K2750" s="455">
        <f t="shared" ca="1" si="133"/>
        <v>-159834801.92506236</v>
      </c>
      <c r="L2750" s="455">
        <f t="shared" ca="1" si="134"/>
        <v>-38520187263.940033</v>
      </c>
      <c r="M2750" s="471">
        <f t="shared" si="136"/>
        <v>0.05</v>
      </c>
      <c r="N2750" s="475">
        <f t="shared" si="137"/>
        <v>134746</v>
      </c>
    </row>
    <row r="2751" spans="7:14" ht="11.25" customHeight="1" x14ac:dyDescent="0.3">
      <c r="G2751" s="470"/>
      <c r="H2751" s="470">
        <v>2744</v>
      </c>
      <c r="I2751" s="455">
        <f t="shared" ca="1" si="135"/>
        <v>-38520187263.940033</v>
      </c>
      <c r="J2751" s="455">
        <f t="array" ref="J2751">IFERROR(INDEX('Retirement Calculator'!K:K,MATCH('Lorri 401b'!N2751,'Retirement Calculator'!A:A,0),0),0)</f>
        <v>0</v>
      </c>
      <c r="K2751" s="455">
        <f t="shared" ca="1" si="133"/>
        <v>-160500780.26641679</v>
      </c>
      <c r="L2751" s="455">
        <f t="shared" ca="1" si="134"/>
        <v>-38680688044.206451</v>
      </c>
      <c r="M2751" s="471">
        <f t="shared" si="136"/>
        <v>0.05</v>
      </c>
      <c r="N2751" s="475">
        <f t="shared" si="137"/>
        <v>134777</v>
      </c>
    </row>
    <row r="2752" spans="7:14" ht="11.25" customHeight="1" x14ac:dyDescent="0.3">
      <c r="G2752" s="470"/>
      <c r="H2752" s="470">
        <v>2745</v>
      </c>
      <c r="I2752" s="455">
        <f t="shared" ca="1" si="135"/>
        <v>-38680688044.206451</v>
      </c>
      <c r="J2752" s="455">
        <f t="array" ref="J2752">IFERROR(INDEX('Retirement Calculator'!K:K,MATCH('Lorri 401b'!N2752,'Retirement Calculator'!A:A,0),0),0)</f>
        <v>0</v>
      </c>
      <c r="K2752" s="455">
        <f t="shared" ca="1" si="133"/>
        <v>-161169533.51752687</v>
      </c>
      <c r="L2752" s="455">
        <f t="shared" ca="1" si="134"/>
        <v>-38841857577.723976</v>
      </c>
      <c r="M2752" s="471">
        <f t="shared" si="136"/>
        <v>0.05</v>
      </c>
      <c r="N2752" s="475">
        <f t="shared" si="137"/>
        <v>134808</v>
      </c>
    </row>
    <row r="2753" spans="7:14" ht="11.25" customHeight="1" x14ac:dyDescent="0.3">
      <c r="G2753" s="470"/>
      <c r="H2753" s="470">
        <v>2746</v>
      </c>
      <c r="I2753" s="455">
        <f t="shared" ca="1" si="135"/>
        <v>-38841857577.723976</v>
      </c>
      <c r="J2753" s="455">
        <f t="array" ref="J2753">IFERROR(INDEX('Retirement Calculator'!K:K,MATCH('Lorri 401b'!N2753,'Retirement Calculator'!A:A,0),0),0)</f>
        <v>0</v>
      </c>
      <c r="K2753" s="455">
        <f t="shared" ca="1" si="133"/>
        <v>-161841073.24051657</v>
      </c>
      <c r="L2753" s="455">
        <f t="shared" ca="1" si="134"/>
        <v>-39003698650.964493</v>
      </c>
      <c r="M2753" s="471">
        <f t="shared" si="136"/>
        <v>0.05</v>
      </c>
      <c r="N2753" s="475">
        <f t="shared" si="137"/>
        <v>134836</v>
      </c>
    </row>
    <row r="2754" spans="7:14" ht="11.25" customHeight="1" x14ac:dyDescent="0.3">
      <c r="G2754" s="470"/>
      <c r="H2754" s="470">
        <v>2747</v>
      </c>
      <c r="I2754" s="455">
        <f t="shared" ca="1" si="135"/>
        <v>-39003698650.964493</v>
      </c>
      <c r="J2754" s="455">
        <f t="array" ref="J2754">IFERROR(INDEX('Retirement Calculator'!K:K,MATCH('Lorri 401b'!N2754,'Retirement Calculator'!A:A,0),0),0)</f>
        <v>0</v>
      </c>
      <c r="K2754" s="455">
        <f t="shared" ca="1" si="133"/>
        <v>-162515411.04568538</v>
      </c>
      <c r="L2754" s="455">
        <f t="shared" ca="1" si="134"/>
        <v>-39166214062.010178</v>
      </c>
      <c r="M2754" s="471">
        <f t="shared" si="136"/>
        <v>0.05</v>
      </c>
      <c r="N2754" s="475">
        <f t="shared" si="137"/>
        <v>134867</v>
      </c>
    </row>
    <row r="2755" spans="7:14" ht="11.25" customHeight="1" x14ac:dyDescent="0.3">
      <c r="G2755" s="470"/>
      <c r="H2755" s="470">
        <v>2748</v>
      </c>
      <c r="I2755" s="455">
        <f t="shared" ca="1" si="135"/>
        <v>-39166214062.010178</v>
      </c>
      <c r="J2755" s="455">
        <f t="array" ref="J2755">IFERROR(INDEX('Retirement Calculator'!K:K,MATCH('Lorri 401b'!N2755,'Retirement Calculator'!A:A,0),0),0)</f>
        <v>0</v>
      </c>
      <c r="K2755" s="455">
        <f t="shared" ca="1" si="133"/>
        <v>-163192558.59170908</v>
      </c>
      <c r="L2755" s="455">
        <f t="shared" ca="1" si="134"/>
        <v>-39329406620.601883</v>
      </c>
      <c r="M2755" s="471">
        <f t="shared" si="136"/>
        <v>0.05</v>
      </c>
      <c r="N2755" s="475">
        <f t="shared" si="137"/>
        <v>134897</v>
      </c>
    </row>
    <row r="2756" spans="7:14" ht="11.25" customHeight="1" x14ac:dyDescent="0.3">
      <c r="G2756" s="470"/>
      <c r="H2756" s="470">
        <v>2749</v>
      </c>
      <c r="I2756" s="455">
        <f t="shared" ca="1" si="135"/>
        <v>-39329406620.601883</v>
      </c>
      <c r="J2756" s="455">
        <f t="array" ref="J2756">IFERROR(INDEX('Retirement Calculator'!K:K,MATCH('Lorri 401b'!N2756,'Retirement Calculator'!A:A,0),0),0)</f>
        <v>0</v>
      </c>
      <c r="K2756" s="455">
        <f t="shared" ca="1" si="133"/>
        <v>-163872527.58584118</v>
      </c>
      <c r="L2756" s="455">
        <f t="shared" ca="1" si="134"/>
        <v>-39493279148.187721</v>
      </c>
      <c r="M2756" s="471">
        <f t="shared" si="136"/>
        <v>0.05</v>
      </c>
      <c r="N2756" s="475">
        <f t="shared" si="137"/>
        <v>134928</v>
      </c>
    </row>
    <row r="2757" spans="7:14" ht="11.25" customHeight="1" x14ac:dyDescent="0.3">
      <c r="G2757" s="470"/>
      <c r="H2757" s="470">
        <v>2750</v>
      </c>
      <c r="I2757" s="455">
        <f t="shared" ca="1" si="135"/>
        <v>-39493279148.187721</v>
      </c>
      <c r="J2757" s="455">
        <f t="array" ref="J2757">IFERROR(INDEX('Retirement Calculator'!K:K,MATCH('Lorri 401b'!N2757,'Retirement Calculator'!A:A,0),0),0)</f>
        <v>0</v>
      </c>
      <c r="K2757" s="455">
        <f t="shared" ca="1" si="133"/>
        <v>-164555329.78411549</v>
      </c>
      <c r="L2757" s="455">
        <f t="shared" ca="1" si="134"/>
        <v>-39657834477.97184</v>
      </c>
      <c r="M2757" s="471">
        <f t="shared" si="136"/>
        <v>0.05</v>
      </c>
      <c r="N2757" s="475">
        <f t="shared" si="137"/>
        <v>134958</v>
      </c>
    </row>
    <row r="2758" spans="7:14" ht="11.25" customHeight="1" x14ac:dyDescent="0.3">
      <c r="G2758" s="470"/>
      <c r="H2758" s="470">
        <v>2751</v>
      </c>
      <c r="I2758" s="455">
        <f t="shared" ca="1" si="135"/>
        <v>-39657834477.97184</v>
      </c>
      <c r="J2758" s="455">
        <f t="array" ref="J2758">IFERROR(INDEX('Retirement Calculator'!K:K,MATCH('Lorri 401b'!N2758,'Retirement Calculator'!A:A,0),0),0)</f>
        <v>0</v>
      </c>
      <c r="K2758" s="455">
        <f t="shared" ca="1" si="133"/>
        <v>-165240976.99154934</v>
      </c>
      <c r="L2758" s="455">
        <f t="shared" ca="1" si="134"/>
        <v>-39823075454.963387</v>
      </c>
      <c r="M2758" s="471">
        <f t="shared" si="136"/>
        <v>0.05</v>
      </c>
      <c r="N2758" s="475">
        <f t="shared" si="137"/>
        <v>134989</v>
      </c>
    </row>
    <row r="2759" spans="7:14" ht="11.25" customHeight="1" x14ac:dyDescent="0.3">
      <c r="G2759" s="470"/>
      <c r="H2759" s="470">
        <v>2752</v>
      </c>
      <c r="I2759" s="455">
        <f t="shared" ca="1" si="135"/>
        <v>-39823075454.963387</v>
      </c>
      <c r="J2759" s="455">
        <f t="array" ref="J2759">IFERROR(INDEX('Retirement Calculator'!K:K,MATCH('Lorri 401b'!N2759,'Retirement Calculator'!A:A,0),0),0)</f>
        <v>0</v>
      </c>
      <c r="K2759" s="455">
        <f t="shared" ca="1" si="133"/>
        <v>-165929481.06234744</v>
      </c>
      <c r="L2759" s="455">
        <f t="shared" ca="1" si="134"/>
        <v>-39989004936.025734</v>
      </c>
      <c r="M2759" s="471">
        <f t="shared" si="136"/>
        <v>0.05</v>
      </c>
      <c r="N2759" s="475">
        <f t="shared" si="137"/>
        <v>135020</v>
      </c>
    </row>
    <row r="2760" spans="7:14" ht="11.25" customHeight="1" x14ac:dyDescent="0.3">
      <c r="G2760" s="470"/>
      <c r="H2760" s="470">
        <v>2753</v>
      </c>
      <c r="I2760" s="455">
        <f t="shared" ca="1" si="135"/>
        <v>-39989004936.025734</v>
      </c>
      <c r="J2760" s="455">
        <f t="array" ref="J2760">IFERROR(INDEX('Retirement Calculator'!K:K,MATCH('Lorri 401b'!N2760,'Retirement Calculator'!A:A,0),0),0)</f>
        <v>0</v>
      </c>
      <c r="K2760" s="455">
        <f t="shared" ca="1" si="133"/>
        <v>-166620853.90010723</v>
      </c>
      <c r="L2760" s="455">
        <f t="shared" ca="1" si="134"/>
        <v>-40155625789.925842</v>
      </c>
      <c r="M2760" s="471">
        <f t="shared" si="136"/>
        <v>0.05</v>
      </c>
      <c r="N2760" s="475">
        <f t="shared" si="137"/>
        <v>135050</v>
      </c>
    </row>
    <row r="2761" spans="7:14" ht="11.25" customHeight="1" x14ac:dyDescent="0.3">
      <c r="G2761" s="470"/>
      <c r="H2761" s="470">
        <v>2754</v>
      </c>
      <c r="I2761" s="455">
        <f t="shared" ca="1" si="135"/>
        <v>-40155625789.925842</v>
      </c>
      <c r="J2761" s="455">
        <f t="array" ref="J2761">IFERROR(INDEX('Retirement Calculator'!K:K,MATCH('Lorri 401b'!N2761,'Retirement Calculator'!A:A,0),0),0)</f>
        <v>0</v>
      </c>
      <c r="K2761" s="455">
        <f t="shared" ca="1" si="133"/>
        <v>-167315107.45802435</v>
      </c>
      <c r="L2761" s="455">
        <f t="shared" ca="1" si="134"/>
        <v>-40322940897.383865</v>
      </c>
      <c r="M2761" s="471">
        <f t="shared" si="136"/>
        <v>0.05</v>
      </c>
      <c r="N2761" s="475">
        <f t="shared" si="137"/>
        <v>135081</v>
      </c>
    </row>
    <row r="2762" spans="7:14" ht="11.25" customHeight="1" x14ac:dyDescent="0.3">
      <c r="G2762" s="470"/>
      <c r="H2762" s="470">
        <v>2755</v>
      </c>
      <c r="I2762" s="455">
        <f t="shared" ca="1" si="135"/>
        <v>-40322940897.383865</v>
      </c>
      <c r="J2762" s="455">
        <f t="array" ref="J2762">IFERROR(INDEX('Retirement Calculator'!K:K,MATCH('Lorri 401b'!N2762,'Retirement Calculator'!A:A,0),0),0)</f>
        <v>0</v>
      </c>
      <c r="K2762" s="455">
        <f t="shared" ca="1" si="133"/>
        <v>-168012253.73909944</v>
      </c>
      <c r="L2762" s="455">
        <f t="shared" ca="1" si="134"/>
        <v>-40490953151.122963</v>
      </c>
      <c r="M2762" s="471">
        <f t="shared" si="136"/>
        <v>0.05</v>
      </c>
      <c r="N2762" s="475">
        <f t="shared" si="137"/>
        <v>135111</v>
      </c>
    </row>
    <row r="2763" spans="7:14" ht="11.25" customHeight="1" x14ac:dyDescent="0.3">
      <c r="G2763" s="470"/>
      <c r="H2763" s="470">
        <v>2756</v>
      </c>
      <c r="I2763" s="455">
        <f t="shared" ca="1" si="135"/>
        <v>-40490953151.122963</v>
      </c>
      <c r="J2763" s="455">
        <f t="array" ref="J2763">IFERROR(INDEX('Retirement Calculator'!K:K,MATCH('Lorri 401b'!N2763,'Retirement Calculator'!A:A,0),0),0)</f>
        <v>0</v>
      </c>
      <c r="K2763" s="455">
        <f t="shared" ca="1" si="133"/>
        <v>-168712304.79634568</v>
      </c>
      <c r="L2763" s="455">
        <f t="shared" ca="1" si="134"/>
        <v>-40659665455.919312</v>
      </c>
      <c r="M2763" s="471">
        <f t="shared" si="136"/>
        <v>0.05</v>
      </c>
      <c r="N2763" s="475">
        <f t="shared" si="137"/>
        <v>135142</v>
      </c>
    </row>
    <row r="2764" spans="7:14" ht="11.25" customHeight="1" x14ac:dyDescent="0.3">
      <c r="G2764" s="470"/>
      <c r="H2764" s="470">
        <v>2757</v>
      </c>
      <c r="I2764" s="455">
        <f t="shared" ca="1" si="135"/>
        <v>-40659665455.919312</v>
      </c>
      <c r="J2764" s="455">
        <f t="array" ref="J2764">IFERROR(INDEX('Retirement Calculator'!K:K,MATCH('Lorri 401b'!N2764,'Retirement Calculator'!A:A,0),0),0)</f>
        <v>0</v>
      </c>
      <c r="K2764" s="455">
        <f t="shared" ca="1" si="133"/>
        <v>-169415272.73299712</v>
      </c>
      <c r="L2764" s="455">
        <f t="shared" ca="1" si="134"/>
        <v>-40829080728.652306</v>
      </c>
      <c r="M2764" s="471">
        <f t="shared" si="136"/>
        <v>0.05</v>
      </c>
      <c r="N2764" s="475">
        <f t="shared" si="137"/>
        <v>135173</v>
      </c>
    </row>
    <row r="2765" spans="7:14" ht="11.25" customHeight="1" x14ac:dyDescent="0.3">
      <c r="G2765" s="470"/>
      <c r="H2765" s="470">
        <v>2758</v>
      </c>
      <c r="I2765" s="455">
        <f t="shared" ca="1" si="135"/>
        <v>-40829080728.652306</v>
      </c>
      <c r="J2765" s="455">
        <f t="array" ref="J2765">IFERROR(INDEX('Retirement Calculator'!K:K,MATCH('Lorri 401b'!N2765,'Retirement Calculator'!A:A,0),0),0)</f>
        <v>0</v>
      </c>
      <c r="K2765" s="455">
        <f t="shared" ca="1" si="133"/>
        <v>-170121169.70271793</v>
      </c>
      <c r="L2765" s="455">
        <f t="shared" ca="1" si="134"/>
        <v>-40999201898.355026</v>
      </c>
      <c r="M2765" s="471">
        <f t="shared" si="136"/>
        <v>0.05</v>
      </c>
      <c r="N2765" s="475">
        <f t="shared" si="137"/>
        <v>135201</v>
      </c>
    </row>
    <row r="2766" spans="7:14" ht="11.25" customHeight="1" x14ac:dyDescent="0.3">
      <c r="G2766" s="470"/>
      <c r="H2766" s="470">
        <v>2759</v>
      </c>
      <c r="I2766" s="455">
        <f t="shared" ca="1" si="135"/>
        <v>-40999201898.355026</v>
      </c>
      <c r="J2766" s="455">
        <f t="array" ref="J2766">IFERROR(INDEX('Retirement Calculator'!K:K,MATCH('Lorri 401b'!N2766,'Retirement Calculator'!A:A,0),0),0)</f>
        <v>0</v>
      </c>
      <c r="K2766" s="455">
        <f t="shared" ca="1" si="133"/>
        <v>-170830007.9098126</v>
      </c>
      <c r="L2766" s="455">
        <f t="shared" ca="1" si="134"/>
        <v>-41170031906.264839</v>
      </c>
      <c r="M2766" s="471">
        <f t="shared" si="136"/>
        <v>0.05</v>
      </c>
      <c r="N2766" s="475">
        <f t="shared" si="137"/>
        <v>135232</v>
      </c>
    </row>
    <row r="2767" spans="7:14" ht="11.25" customHeight="1" x14ac:dyDescent="0.3">
      <c r="G2767" s="470"/>
      <c r="H2767" s="470">
        <v>2760</v>
      </c>
      <c r="I2767" s="455">
        <f t="shared" ca="1" si="135"/>
        <v>-41170031906.264839</v>
      </c>
      <c r="J2767" s="455">
        <f t="array" ref="J2767">IFERROR(INDEX('Retirement Calculator'!K:K,MATCH('Lorri 401b'!N2767,'Retirement Calculator'!A:A,0),0),0)</f>
        <v>0</v>
      </c>
      <c r="K2767" s="455">
        <f t="shared" ca="1" si="133"/>
        <v>-171541799.60943684</v>
      </c>
      <c r="L2767" s="455">
        <f t="shared" ca="1" si="134"/>
        <v>-41341573705.874275</v>
      </c>
      <c r="M2767" s="471">
        <f t="shared" si="136"/>
        <v>0.05</v>
      </c>
      <c r="N2767" s="475">
        <f t="shared" si="137"/>
        <v>135262</v>
      </c>
    </row>
    <row r="2768" spans="7:14" ht="11.25" customHeight="1" x14ac:dyDescent="0.3">
      <c r="G2768" s="470"/>
      <c r="H2768" s="470">
        <v>2761</v>
      </c>
      <c r="I2768" s="455">
        <f t="shared" ca="1" si="135"/>
        <v>-41341573705.874275</v>
      </c>
      <c r="J2768" s="455">
        <f t="array" ref="J2768">IFERROR(INDEX('Retirement Calculator'!K:K,MATCH('Lorri 401b'!N2768,'Retirement Calculator'!A:A,0),0),0)</f>
        <v>0</v>
      </c>
      <c r="K2768" s="455">
        <f t="shared" ca="1" si="133"/>
        <v>-172256557.10780948</v>
      </c>
      <c r="L2768" s="455">
        <f t="shared" ca="1" si="134"/>
        <v>-41513830262.982086</v>
      </c>
      <c r="M2768" s="471">
        <f t="shared" si="136"/>
        <v>0.05</v>
      </c>
      <c r="N2768" s="475">
        <f t="shared" si="137"/>
        <v>135293</v>
      </c>
    </row>
    <row r="2769" spans="7:14" ht="11.25" customHeight="1" x14ac:dyDescent="0.3">
      <c r="G2769" s="470"/>
      <c r="H2769" s="470">
        <v>2762</v>
      </c>
      <c r="I2769" s="455">
        <f t="shared" ca="1" si="135"/>
        <v>-41513830262.982086</v>
      </c>
      <c r="J2769" s="455">
        <f t="array" ref="J2769">IFERROR(INDEX('Retirement Calculator'!K:K,MATCH('Lorri 401b'!N2769,'Retirement Calculator'!A:A,0),0),0)</f>
        <v>0</v>
      </c>
      <c r="K2769" s="455">
        <f t="shared" ca="1" si="133"/>
        <v>-172974292.76242536</v>
      </c>
      <c r="L2769" s="455">
        <f t="shared" ca="1" si="134"/>
        <v>-41686804555.744514</v>
      </c>
      <c r="M2769" s="471">
        <f t="shared" si="136"/>
        <v>0.05</v>
      </c>
      <c r="N2769" s="475">
        <f t="shared" si="137"/>
        <v>135323</v>
      </c>
    </row>
    <row r="2770" spans="7:14" ht="11.25" customHeight="1" x14ac:dyDescent="0.3">
      <c r="G2770" s="470"/>
      <c r="H2770" s="470">
        <v>2763</v>
      </c>
      <c r="I2770" s="455">
        <f t="shared" ca="1" si="135"/>
        <v>-41686804555.744514</v>
      </c>
      <c r="J2770" s="455">
        <f t="array" ref="J2770">IFERROR(INDEX('Retirement Calculator'!K:K,MATCH('Lorri 401b'!N2770,'Retirement Calculator'!A:A,0),0),0)</f>
        <v>0</v>
      </c>
      <c r="K2770" s="455">
        <f t="shared" ca="1" si="133"/>
        <v>-173695018.98226881</v>
      </c>
      <c r="L2770" s="455">
        <f t="shared" ca="1" si="134"/>
        <v>-41860499574.726784</v>
      </c>
      <c r="M2770" s="471">
        <f t="shared" si="136"/>
        <v>0.05</v>
      </c>
      <c r="N2770" s="475">
        <f t="shared" si="137"/>
        <v>135354</v>
      </c>
    </row>
    <row r="2771" spans="7:14" ht="11.25" customHeight="1" x14ac:dyDescent="0.3">
      <c r="G2771" s="470"/>
      <c r="H2771" s="470">
        <v>2764</v>
      </c>
      <c r="I2771" s="455">
        <f t="shared" ca="1" si="135"/>
        <v>-41860499574.726784</v>
      </c>
      <c r="J2771" s="455">
        <f t="array" ref="J2771">IFERROR(INDEX('Retirement Calculator'!K:K,MATCH('Lorri 401b'!N2771,'Retirement Calculator'!A:A,0),0),0)</f>
        <v>0</v>
      </c>
      <c r="K2771" s="455">
        <f t="shared" ca="1" si="133"/>
        <v>-174418748.22802827</v>
      </c>
      <c r="L2771" s="455">
        <f t="shared" ca="1" si="134"/>
        <v>-42034918322.954811</v>
      </c>
      <c r="M2771" s="471">
        <f t="shared" si="136"/>
        <v>0.05</v>
      </c>
      <c r="N2771" s="475">
        <f t="shared" si="137"/>
        <v>135385</v>
      </c>
    </row>
    <row r="2772" spans="7:14" ht="11.25" customHeight="1" x14ac:dyDescent="0.3">
      <c r="G2772" s="470"/>
      <c r="H2772" s="470">
        <v>2765</v>
      </c>
      <c r="I2772" s="455">
        <f t="shared" ca="1" si="135"/>
        <v>-42034918322.954811</v>
      </c>
      <c r="J2772" s="455">
        <f t="array" ref="J2772">IFERROR(INDEX('Retirement Calculator'!K:K,MATCH('Lorri 401b'!N2772,'Retirement Calculator'!A:A,0),0),0)</f>
        <v>0</v>
      </c>
      <c r="K2772" s="455">
        <f t="shared" ca="1" si="133"/>
        <v>-175145493.0123117</v>
      </c>
      <c r="L2772" s="455">
        <f t="shared" ca="1" si="134"/>
        <v>-42210063815.967125</v>
      </c>
      <c r="M2772" s="471">
        <f t="shared" si="136"/>
        <v>0.05</v>
      </c>
      <c r="N2772" s="475">
        <f t="shared" si="137"/>
        <v>135415</v>
      </c>
    </row>
    <row r="2773" spans="7:14" ht="11.25" customHeight="1" x14ac:dyDescent="0.3">
      <c r="G2773" s="470"/>
      <c r="H2773" s="470">
        <v>2766</v>
      </c>
      <c r="I2773" s="455">
        <f t="shared" ca="1" si="135"/>
        <v>-42210063815.967125</v>
      </c>
      <c r="J2773" s="455">
        <f t="array" ref="J2773">IFERROR(INDEX('Retirement Calculator'!K:K,MATCH('Lorri 401b'!N2773,'Retirement Calculator'!A:A,0),0),0)</f>
        <v>0</v>
      </c>
      <c r="K2773" s="455">
        <f t="shared" ca="1" si="133"/>
        <v>-175875265.899863</v>
      </c>
      <c r="L2773" s="455">
        <f t="shared" ca="1" si="134"/>
        <v>-42385939081.866989</v>
      </c>
      <c r="M2773" s="471">
        <f t="shared" si="136"/>
        <v>0.05</v>
      </c>
      <c r="N2773" s="475">
        <f t="shared" si="137"/>
        <v>135446</v>
      </c>
    </row>
    <row r="2774" spans="7:14" ht="11.25" customHeight="1" x14ac:dyDescent="0.3">
      <c r="G2774" s="470"/>
      <c r="H2774" s="470">
        <v>2767</v>
      </c>
      <c r="I2774" s="455">
        <f t="shared" ca="1" si="135"/>
        <v>-42385939081.866989</v>
      </c>
      <c r="J2774" s="455">
        <f t="array" ref="J2774">IFERROR(INDEX('Retirement Calculator'!K:K,MATCH('Lorri 401b'!N2774,'Retirement Calculator'!A:A,0),0),0)</f>
        <v>0</v>
      </c>
      <c r="K2774" s="455">
        <f t="shared" ca="1" si="133"/>
        <v>-176608079.50777912</v>
      </c>
      <c r="L2774" s="455">
        <f t="shared" ca="1" si="134"/>
        <v>-42562547161.374771</v>
      </c>
      <c r="M2774" s="471">
        <f t="shared" si="136"/>
        <v>0.05</v>
      </c>
      <c r="N2774" s="475">
        <f t="shared" si="137"/>
        <v>135476</v>
      </c>
    </row>
    <row r="2775" spans="7:14" ht="11.25" customHeight="1" x14ac:dyDescent="0.3">
      <c r="G2775" s="470"/>
      <c r="H2775" s="470">
        <v>2768</v>
      </c>
      <c r="I2775" s="455">
        <f t="shared" ca="1" si="135"/>
        <v>-42562547161.374771</v>
      </c>
      <c r="J2775" s="455">
        <f t="array" ref="J2775">IFERROR(INDEX('Retirement Calculator'!K:K,MATCH('Lorri 401b'!N2775,'Retirement Calculator'!A:A,0),0),0)</f>
        <v>0</v>
      </c>
      <c r="K2775" s="455">
        <f t="shared" ca="1" si="133"/>
        <v>-177343946.50572821</v>
      </c>
      <c r="L2775" s="455">
        <f t="shared" ca="1" si="134"/>
        <v>-42739891107.880501</v>
      </c>
      <c r="M2775" s="471">
        <f t="shared" si="136"/>
        <v>0.05</v>
      </c>
      <c r="N2775" s="475">
        <f t="shared" si="137"/>
        <v>135507</v>
      </c>
    </row>
    <row r="2776" spans="7:14" ht="11.25" customHeight="1" x14ac:dyDescent="0.3">
      <c r="G2776" s="470"/>
      <c r="H2776" s="470">
        <v>2769</v>
      </c>
      <c r="I2776" s="455">
        <f t="shared" ca="1" si="135"/>
        <v>-42739891107.880501</v>
      </c>
      <c r="J2776" s="455">
        <f t="array" ref="J2776">IFERROR(INDEX('Retirement Calculator'!K:K,MATCH('Lorri 401b'!N2776,'Retirement Calculator'!A:A,0),0),0)</f>
        <v>0</v>
      </c>
      <c r="K2776" s="455">
        <f t="shared" ca="1" si="133"/>
        <v>-178082879.61616874</v>
      </c>
      <c r="L2776" s="455">
        <f t="shared" ca="1" si="134"/>
        <v>-42917973987.496666</v>
      </c>
      <c r="M2776" s="471">
        <f t="shared" si="136"/>
        <v>0.05</v>
      </c>
      <c r="N2776" s="475">
        <f t="shared" si="137"/>
        <v>135538</v>
      </c>
    </row>
    <row r="2777" spans="7:14" ht="11.25" customHeight="1" x14ac:dyDescent="0.3">
      <c r="G2777" s="470"/>
      <c r="H2777" s="470">
        <v>2770</v>
      </c>
      <c r="I2777" s="455">
        <f t="shared" ca="1" si="135"/>
        <v>-42917973987.496666</v>
      </c>
      <c r="J2777" s="455">
        <f t="array" ref="J2777">IFERROR(INDEX('Retirement Calculator'!K:K,MATCH('Lorri 401b'!N2777,'Retirement Calculator'!A:A,0),0),0)</f>
        <v>0</v>
      </c>
      <c r="K2777" s="455">
        <f t="shared" ca="1" si="133"/>
        <v>-178824891.61456943</v>
      </c>
      <c r="L2777" s="455">
        <f t="shared" ca="1" si="134"/>
        <v>-43096798879.111237</v>
      </c>
      <c r="M2777" s="471">
        <f t="shared" si="136"/>
        <v>0.05</v>
      </c>
      <c r="N2777" s="475">
        <f t="shared" si="137"/>
        <v>135566</v>
      </c>
    </row>
    <row r="2778" spans="7:14" ht="11.25" customHeight="1" x14ac:dyDescent="0.3">
      <c r="G2778" s="470"/>
      <c r="H2778" s="470">
        <v>2771</v>
      </c>
      <c r="I2778" s="455">
        <f t="shared" ca="1" si="135"/>
        <v>-43096798879.111237</v>
      </c>
      <c r="J2778" s="455">
        <f t="array" ref="J2778">IFERROR(INDEX('Retirement Calculator'!K:K,MATCH('Lorri 401b'!N2778,'Retirement Calculator'!A:A,0),0),0)</f>
        <v>0</v>
      </c>
      <c r="K2778" s="455">
        <f t="shared" ca="1" si="133"/>
        <v>-179569995.32963014</v>
      </c>
      <c r="L2778" s="455">
        <f t="shared" ca="1" si="134"/>
        <v>-43276368874.440865</v>
      </c>
      <c r="M2778" s="471">
        <f t="shared" si="136"/>
        <v>0.05</v>
      </c>
      <c r="N2778" s="475">
        <f t="shared" si="137"/>
        <v>135597</v>
      </c>
    </row>
    <row r="2779" spans="7:14" ht="11.25" customHeight="1" x14ac:dyDescent="0.3">
      <c r="G2779" s="470"/>
      <c r="H2779" s="470">
        <v>2772</v>
      </c>
      <c r="I2779" s="455">
        <f t="shared" ca="1" si="135"/>
        <v>-43276368874.440865</v>
      </c>
      <c r="J2779" s="455">
        <f t="array" ref="J2779">IFERROR(INDEX('Retirement Calculator'!K:K,MATCH('Lorri 401b'!N2779,'Retirement Calculator'!A:A,0),0),0)</f>
        <v>0</v>
      </c>
      <c r="K2779" s="455">
        <f t="shared" ca="1" si="133"/>
        <v>-180318203.64350361</v>
      </c>
      <c r="L2779" s="455">
        <f t="shared" ca="1" si="134"/>
        <v>-43456687078.084366</v>
      </c>
      <c r="M2779" s="471">
        <f t="shared" si="136"/>
        <v>0.05</v>
      </c>
      <c r="N2779" s="475">
        <f t="shared" si="137"/>
        <v>135627</v>
      </c>
    </row>
    <row r="2780" spans="7:14" ht="11.25" customHeight="1" x14ac:dyDescent="0.3">
      <c r="G2780" s="470"/>
      <c r="H2780" s="470">
        <v>2773</v>
      </c>
      <c r="I2780" s="455">
        <f t="shared" ca="1" si="135"/>
        <v>-43456687078.084366</v>
      </c>
      <c r="J2780" s="455">
        <f t="array" ref="J2780">IFERROR(INDEX('Retirement Calculator'!K:K,MATCH('Lorri 401b'!N2780,'Retirement Calculator'!A:A,0),0),0)</f>
        <v>0</v>
      </c>
      <c r="K2780" s="455">
        <f t="shared" ca="1" si="133"/>
        <v>-181069529.49201819</v>
      </c>
      <c r="L2780" s="455">
        <f t="shared" ca="1" si="134"/>
        <v>-43637756607.576385</v>
      </c>
      <c r="M2780" s="471">
        <f t="shared" si="136"/>
        <v>0.05</v>
      </c>
      <c r="N2780" s="475">
        <f t="shared" si="137"/>
        <v>135658</v>
      </c>
    </row>
    <row r="2781" spans="7:14" ht="11.25" customHeight="1" x14ac:dyDescent="0.3">
      <c r="G2781" s="470"/>
      <c r="H2781" s="470">
        <v>2774</v>
      </c>
      <c r="I2781" s="455">
        <f t="shared" ca="1" si="135"/>
        <v>-43637756607.576385</v>
      </c>
      <c r="J2781" s="455">
        <f t="array" ref="J2781">IFERROR(INDEX('Retirement Calculator'!K:K,MATCH('Lorri 401b'!N2781,'Retirement Calculator'!A:A,0),0),0)</f>
        <v>0</v>
      </c>
      <c r="K2781" s="455">
        <f t="shared" ca="1" si="133"/>
        <v>-181823985.8649016</v>
      </c>
      <c r="L2781" s="455">
        <f t="shared" ca="1" si="134"/>
        <v>-43819580593.441284</v>
      </c>
      <c r="M2781" s="471">
        <f t="shared" si="136"/>
        <v>0.05</v>
      </c>
      <c r="N2781" s="475">
        <f t="shared" si="137"/>
        <v>135688</v>
      </c>
    </row>
    <row r="2782" spans="7:14" ht="11.25" customHeight="1" x14ac:dyDescent="0.3">
      <c r="G2782" s="470"/>
      <c r="H2782" s="470">
        <v>2775</v>
      </c>
      <c r="I2782" s="455">
        <f t="shared" ca="1" si="135"/>
        <v>-43819580593.441284</v>
      </c>
      <c r="J2782" s="455">
        <f t="array" ref="J2782">IFERROR(INDEX('Retirement Calculator'!K:K,MATCH('Lorri 401b'!N2782,'Retirement Calculator'!A:A,0),0),0)</f>
        <v>0</v>
      </c>
      <c r="K2782" s="455">
        <f t="shared" ca="1" si="133"/>
        <v>-182581585.80600536</v>
      </c>
      <c r="L2782" s="455">
        <f t="shared" ca="1" si="134"/>
        <v>-44002162179.247292</v>
      </c>
      <c r="M2782" s="471">
        <f t="shared" si="136"/>
        <v>0.05</v>
      </c>
      <c r="N2782" s="475">
        <f t="shared" si="137"/>
        <v>135719</v>
      </c>
    </row>
    <row r="2783" spans="7:14" ht="11.25" customHeight="1" x14ac:dyDescent="0.3">
      <c r="G2783" s="470"/>
      <c r="H2783" s="470">
        <v>2776</v>
      </c>
      <c r="I2783" s="455">
        <f t="shared" ca="1" si="135"/>
        <v>-44002162179.247292</v>
      </c>
      <c r="J2783" s="455">
        <f t="array" ref="J2783">IFERROR(INDEX('Retirement Calculator'!K:K,MATCH('Lorri 401b'!N2783,'Retirement Calculator'!A:A,0),0),0)</f>
        <v>0</v>
      </c>
      <c r="K2783" s="455">
        <f t="shared" ca="1" si="133"/>
        <v>-183342342.41353038</v>
      </c>
      <c r="L2783" s="455">
        <f t="shared" ca="1" si="134"/>
        <v>-44185504521.66082</v>
      </c>
      <c r="M2783" s="471">
        <f t="shared" si="136"/>
        <v>0.05</v>
      </c>
      <c r="N2783" s="475">
        <f t="shared" si="137"/>
        <v>135750</v>
      </c>
    </row>
    <row r="2784" spans="7:14" ht="11.25" customHeight="1" x14ac:dyDescent="0.3">
      <c r="G2784" s="470"/>
      <c r="H2784" s="470">
        <v>2777</v>
      </c>
      <c r="I2784" s="455">
        <f t="shared" ca="1" si="135"/>
        <v>-44185504521.66082</v>
      </c>
      <c r="J2784" s="455">
        <f t="array" ref="J2784">IFERROR(INDEX('Retirement Calculator'!K:K,MATCH('Lorri 401b'!N2784,'Retirement Calculator'!A:A,0),0),0)</f>
        <v>0</v>
      </c>
      <c r="K2784" s="455">
        <f t="shared" ca="1" si="133"/>
        <v>-184106268.84025341</v>
      </c>
      <c r="L2784" s="455">
        <f t="shared" ca="1" si="134"/>
        <v>-44369610790.501076</v>
      </c>
      <c r="M2784" s="471">
        <f t="shared" si="136"/>
        <v>0.05</v>
      </c>
      <c r="N2784" s="475">
        <f t="shared" si="137"/>
        <v>135780</v>
      </c>
    </row>
    <row r="2785" spans="7:14" ht="11.25" customHeight="1" x14ac:dyDescent="0.3">
      <c r="G2785" s="470"/>
      <c r="H2785" s="470">
        <v>2778</v>
      </c>
      <c r="I2785" s="455">
        <f t="shared" ca="1" si="135"/>
        <v>-44369610790.501076</v>
      </c>
      <c r="J2785" s="455">
        <f t="array" ref="J2785">IFERROR(INDEX('Retirement Calculator'!K:K,MATCH('Lorri 401b'!N2785,'Retirement Calculator'!A:A,0),0),0)</f>
        <v>0</v>
      </c>
      <c r="K2785" s="455">
        <f t="shared" ca="1" si="133"/>
        <v>-184873378.29375449</v>
      </c>
      <c r="L2785" s="455">
        <f t="shared" ca="1" si="134"/>
        <v>-44554484168.79483</v>
      </c>
      <c r="M2785" s="471">
        <f t="shared" si="136"/>
        <v>0.05</v>
      </c>
      <c r="N2785" s="475">
        <f t="shared" si="137"/>
        <v>135811</v>
      </c>
    </row>
    <row r="2786" spans="7:14" ht="11.25" customHeight="1" x14ac:dyDescent="0.3">
      <c r="G2786" s="470"/>
      <c r="H2786" s="470">
        <v>2779</v>
      </c>
      <c r="I2786" s="455">
        <f t="shared" ca="1" si="135"/>
        <v>-44554484168.79483</v>
      </c>
      <c r="J2786" s="455">
        <f t="array" ref="J2786">IFERROR(INDEX('Retirement Calculator'!K:K,MATCH('Lorri 401b'!N2786,'Retirement Calculator'!A:A,0),0),0)</f>
        <v>0</v>
      </c>
      <c r="K2786" s="455">
        <f t="shared" ca="1" si="133"/>
        <v>-185643684.03664511</v>
      </c>
      <c r="L2786" s="455">
        <f t="shared" ca="1" si="134"/>
        <v>-44740127852.831474</v>
      </c>
      <c r="M2786" s="471">
        <f t="shared" si="136"/>
        <v>0.05</v>
      </c>
      <c r="N2786" s="475">
        <f t="shared" si="137"/>
        <v>135841</v>
      </c>
    </row>
    <row r="2787" spans="7:14" ht="11.25" customHeight="1" x14ac:dyDescent="0.3">
      <c r="G2787" s="470"/>
      <c r="H2787" s="470">
        <v>2780</v>
      </c>
      <c r="I2787" s="455">
        <f t="shared" ca="1" si="135"/>
        <v>-44740127852.831474</v>
      </c>
      <c r="J2787" s="455">
        <f t="array" ref="J2787">IFERROR(INDEX('Retirement Calculator'!K:K,MATCH('Lorri 401b'!N2787,'Retirement Calculator'!A:A,0),0),0)</f>
        <v>0</v>
      </c>
      <c r="K2787" s="455">
        <f t="shared" ca="1" si="133"/>
        <v>-186417199.38679782</v>
      </c>
      <c r="L2787" s="455">
        <f t="shared" ca="1" si="134"/>
        <v>-44926545052.218269</v>
      </c>
      <c r="M2787" s="471">
        <f t="shared" si="136"/>
        <v>0.05</v>
      </c>
      <c r="N2787" s="475">
        <f t="shared" si="137"/>
        <v>135872</v>
      </c>
    </row>
    <row r="2788" spans="7:14" ht="11.25" customHeight="1" x14ac:dyDescent="0.3">
      <c r="G2788" s="470"/>
      <c r="H2788" s="470">
        <v>2781</v>
      </c>
      <c r="I2788" s="455">
        <f t="shared" ca="1" si="135"/>
        <v>-44926545052.218269</v>
      </c>
      <c r="J2788" s="455">
        <f t="array" ref="J2788">IFERROR(INDEX('Retirement Calculator'!K:K,MATCH('Lorri 401b'!N2788,'Retirement Calculator'!A:A,0),0),0)</f>
        <v>0</v>
      </c>
      <c r="K2788" s="455">
        <f t="shared" ca="1" si="133"/>
        <v>-187193937.71757612</v>
      </c>
      <c r="L2788" s="455">
        <f t="shared" ca="1" si="134"/>
        <v>-45113738989.935844</v>
      </c>
      <c r="M2788" s="471">
        <f t="shared" si="136"/>
        <v>0.05</v>
      </c>
      <c r="N2788" s="475">
        <f t="shared" si="137"/>
        <v>135903</v>
      </c>
    </row>
    <row r="2789" spans="7:14" ht="11.25" customHeight="1" x14ac:dyDescent="0.3">
      <c r="G2789" s="470"/>
      <c r="H2789" s="470">
        <v>2782</v>
      </c>
      <c r="I2789" s="455">
        <f t="shared" ca="1" si="135"/>
        <v>-45113738989.935844</v>
      </c>
      <c r="J2789" s="455">
        <f t="array" ref="J2789">IFERROR(INDEX('Retirement Calculator'!K:K,MATCH('Lorri 401b'!N2789,'Retirement Calculator'!A:A,0),0),0)</f>
        <v>0</v>
      </c>
      <c r="K2789" s="455">
        <f t="shared" ca="1" si="133"/>
        <v>-187973912.45806602</v>
      </c>
      <c r="L2789" s="455">
        <f t="shared" ca="1" si="134"/>
        <v>-45301712902.393913</v>
      </c>
      <c r="M2789" s="471">
        <f t="shared" si="136"/>
        <v>0.05</v>
      </c>
      <c r="N2789" s="475">
        <f t="shared" si="137"/>
        <v>135932</v>
      </c>
    </row>
    <row r="2790" spans="7:14" ht="11.25" customHeight="1" x14ac:dyDescent="0.3">
      <c r="G2790" s="470"/>
      <c r="H2790" s="470">
        <v>2783</v>
      </c>
      <c r="I2790" s="455">
        <f t="shared" ca="1" si="135"/>
        <v>-45301712902.393913</v>
      </c>
      <c r="J2790" s="455">
        <f t="array" ref="J2790">IFERROR(INDEX('Retirement Calculator'!K:K,MATCH('Lorri 401b'!N2790,'Retirement Calculator'!A:A,0),0),0)</f>
        <v>0</v>
      </c>
      <c r="K2790" s="455">
        <f t="shared" ca="1" si="133"/>
        <v>-188757137.09330797</v>
      </c>
      <c r="L2790" s="455">
        <f t="shared" ca="1" si="134"/>
        <v>-45490470039.487221</v>
      </c>
      <c r="M2790" s="471">
        <f t="shared" si="136"/>
        <v>0.05</v>
      </c>
      <c r="N2790" s="475">
        <f t="shared" si="137"/>
        <v>135963</v>
      </c>
    </row>
    <row r="2791" spans="7:14" ht="11.25" customHeight="1" x14ac:dyDescent="0.3">
      <c r="G2791" s="470"/>
      <c r="H2791" s="470">
        <v>2784</v>
      </c>
      <c r="I2791" s="455">
        <f t="shared" ca="1" si="135"/>
        <v>-45490470039.487221</v>
      </c>
      <c r="J2791" s="455">
        <f t="array" ref="J2791">IFERROR(INDEX('Retirement Calculator'!K:K,MATCH('Lorri 401b'!N2791,'Retirement Calculator'!A:A,0),0),0)</f>
        <v>0</v>
      </c>
      <c r="K2791" s="455">
        <f t="shared" ca="1" si="133"/>
        <v>-189543625.1645301</v>
      </c>
      <c r="L2791" s="455">
        <f t="shared" ca="1" si="134"/>
        <v>-45680013664.651749</v>
      </c>
      <c r="M2791" s="471">
        <f t="shared" si="136"/>
        <v>0.05</v>
      </c>
      <c r="N2791" s="475">
        <f t="shared" si="137"/>
        <v>135993</v>
      </c>
    </row>
    <row r="2792" spans="7:14" ht="11.25" customHeight="1" x14ac:dyDescent="0.3">
      <c r="G2792" s="470"/>
      <c r="H2792" s="470">
        <v>2785</v>
      </c>
      <c r="I2792" s="455">
        <f t="shared" ca="1" si="135"/>
        <v>-45680013664.651749</v>
      </c>
      <c r="J2792" s="455">
        <f t="array" ref="J2792">IFERROR(INDEX('Retirement Calculator'!K:K,MATCH('Lorri 401b'!N2792,'Retirement Calculator'!A:A,0),0),0)</f>
        <v>0</v>
      </c>
      <c r="K2792" s="455">
        <f t="shared" ca="1" si="133"/>
        <v>-190333390.2693823</v>
      </c>
      <c r="L2792" s="455">
        <f t="shared" ca="1" si="134"/>
        <v>-45870347054.921127</v>
      </c>
      <c r="M2792" s="471">
        <f t="shared" si="136"/>
        <v>0.05</v>
      </c>
      <c r="N2792" s="475">
        <f t="shared" si="137"/>
        <v>136024</v>
      </c>
    </row>
    <row r="2793" spans="7:14" ht="11.25" customHeight="1" x14ac:dyDescent="0.3">
      <c r="G2793" s="470"/>
      <c r="H2793" s="470">
        <v>2786</v>
      </c>
      <c r="I2793" s="455">
        <f t="shared" ca="1" si="135"/>
        <v>-45870347054.921127</v>
      </c>
      <c r="J2793" s="455">
        <f t="array" ref="J2793">IFERROR(INDEX('Retirement Calculator'!K:K,MATCH('Lorri 401b'!N2793,'Retirement Calculator'!A:A,0),0),0)</f>
        <v>0</v>
      </c>
      <c r="K2793" s="455">
        <f t="shared" ca="1" si="133"/>
        <v>-191126446.06217137</v>
      </c>
      <c r="L2793" s="455">
        <f t="shared" ca="1" si="134"/>
        <v>-46061473500.983299</v>
      </c>
      <c r="M2793" s="471">
        <f t="shared" si="136"/>
        <v>0.05</v>
      </c>
      <c r="N2793" s="475">
        <f t="shared" si="137"/>
        <v>136054</v>
      </c>
    </row>
    <row r="2794" spans="7:14" ht="11.25" customHeight="1" x14ac:dyDescent="0.3">
      <c r="G2794" s="470"/>
      <c r="H2794" s="470">
        <v>2787</v>
      </c>
      <c r="I2794" s="455">
        <f t="shared" ca="1" si="135"/>
        <v>-46061473500.983299</v>
      </c>
      <c r="J2794" s="455">
        <f t="array" ref="J2794">IFERROR(INDEX('Retirement Calculator'!K:K,MATCH('Lorri 401b'!N2794,'Retirement Calculator'!A:A,0),0),0)</f>
        <v>0</v>
      </c>
      <c r="K2794" s="455">
        <f t="shared" ca="1" si="133"/>
        <v>-191922806.25409707</v>
      </c>
      <c r="L2794" s="455">
        <f t="shared" ca="1" si="134"/>
        <v>-46253396307.237396</v>
      </c>
      <c r="M2794" s="471">
        <f t="shared" si="136"/>
        <v>0.05</v>
      </c>
      <c r="N2794" s="475">
        <f t="shared" si="137"/>
        <v>136085</v>
      </c>
    </row>
    <row r="2795" spans="7:14" ht="11.25" customHeight="1" x14ac:dyDescent="0.3">
      <c r="G2795" s="470"/>
      <c r="H2795" s="470">
        <v>2788</v>
      </c>
      <c r="I2795" s="455">
        <f t="shared" ca="1" si="135"/>
        <v>-46253396307.237396</v>
      </c>
      <c r="J2795" s="455">
        <f t="array" ref="J2795">IFERROR(INDEX('Retirement Calculator'!K:K,MATCH('Lorri 401b'!N2795,'Retirement Calculator'!A:A,0),0),0)</f>
        <v>0</v>
      </c>
      <c r="K2795" s="455">
        <f t="shared" ca="1" si="133"/>
        <v>-192722484.61348915</v>
      </c>
      <c r="L2795" s="455">
        <f t="shared" ca="1" si="134"/>
        <v>-46446118791.850883</v>
      </c>
      <c r="M2795" s="471">
        <f t="shared" si="136"/>
        <v>0.05</v>
      </c>
      <c r="N2795" s="475">
        <f t="shared" si="137"/>
        <v>136116</v>
      </c>
    </row>
    <row r="2796" spans="7:14" ht="11.25" customHeight="1" x14ac:dyDescent="0.3">
      <c r="G2796" s="470"/>
      <c r="H2796" s="470">
        <v>2789</v>
      </c>
      <c r="I2796" s="455">
        <f t="shared" ca="1" si="135"/>
        <v>-46446118791.850883</v>
      </c>
      <c r="J2796" s="455">
        <f t="array" ref="J2796">IFERROR(INDEX('Retirement Calculator'!K:K,MATCH('Lorri 401b'!N2796,'Retirement Calculator'!A:A,0),0),0)</f>
        <v>0</v>
      </c>
      <c r="K2796" s="455">
        <f t="shared" ca="1" si="133"/>
        <v>-193525494.96604535</v>
      </c>
      <c r="L2796" s="455">
        <f t="shared" ca="1" si="134"/>
        <v>-46639644286.816925</v>
      </c>
      <c r="M2796" s="471">
        <f t="shared" si="136"/>
        <v>0.05</v>
      </c>
      <c r="N2796" s="475">
        <f t="shared" si="137"/>
        <v>136146</v>
      </c>
    </row>
    <row r="2797" spans="7:14" ht="11.25" customHeight="1" x14ac:dyDescent="0.3">
      <c r="G2797" s="470"/>
      <c r="H2797" s="470">
        <v>2790</v>
      </c>
      <c r="I2797" s="455">
        <f t="shared" ca="1" si="135"/>
        <v>-46639644286.816925</v>
      </c>
      <c r="J2797" s="455">
        <f t="array" ref="J2797">IFERROR(INDEX('Retirement Calculator'!K:K,MATCH('Lorri 401b'!N2797,'Retirement Calculator'!A:A,0),0),0)</f>
        <v>0</v>
      </c>
      <c r="K2797" s="455">
        <f t="shared" ca="1" si="133"/>
        <v>-194331851.19507051</v>
      </c>
      <c r="L2797" s="455">
        <f t="shared" ca="1" si="134"/>
        <v>-46833976138.011993</v>
      </c>
      <c r="M2797" s="471">
        <f t="shared" si="136"/>
        <v>0.05</v>
      </c>
      <c r="N2797" s="475">
        <f t="shared" si="137"/>
        <v>136177</v>
      </c>
    </row>
    <row r="2798" spans="7:14" ht="11.25" customHeight="1" x14ac:dyDescent="0.3">
      <c r="G2798" s="470"/>
      <c r="H2798" s="470">
        <v>2791</v>
      </c>
      <c r="I2798" s="455">
        <f t="shared" ca="1" si="135"/>
        <v>-46833976138.011993</v>
      </c>
      <c r="J2798" s="455">
        <f t="array" ref="J2798">IFERROR(INDEX('Retirement Calculator'!K:K,MATCH('Lorri 401b'!N2798,'Retirement Calculator'!A:A,0),0),0)</f>
        <v>0</v>
      </c>
      <c r="K2798" s="455">
        <f t="shared" ca="1" si="133"/>
        <v>-195141567.24171662</v>
      </c>
      <c r="L2798" s="455">
        <f t="shared" ca="1" si="134"/>
        <v>-47029117705.253708</v>
      </c>
      <c r="M2798" s="471">
        <f t="shared" si="136"/>
        <v>0.05</v>
      </c>
      <c r="N2798" s="475">
        <f t="shared" si="137"/>
        <v>136207</v>
      </c>
    </row>
    <row r="2799" spans="7:14" ht="11.25" customHeight="1" x14ac:dyDescent="0.3">
      <c r="G2799" s="470"/>
      <c r="H2799" s="470">
        <v>2792</v>
      </c>
      <c r="I2799" s="455">
        <f t="shared" ca="1" si="135"/>
        <v>-47029117705.253708</v>
      </c>
      <c r="J2799" s="455">
        <f t="array" ref="J2799">IFERROR(INDEX('Retirement Calculator'!K:K,MATCH('Lorri 401b'!N2799,'Retirement Calculator'!A:A,0),0),0)</f>
        <v>0</v>
      </c>
      <c r="K2799" s="455">
        <f t="shared" ca="1" si="133"/>
        <v>-195954657.10522377</v>
      </c>
      <c r="L2799" s="455">
        <f t="shared" ca="1" si="134"/>
        <v>-47225072362.358932</v>
      </c>
      <c r="M2799" s="471">
        <f t="shared" si="136"/>
        <v>0.05</v>
      </c>
      <c r="N2799" s="475">
        <f t="shared" si="137"/>
        <v>136238</v>
      </c>
    </row>
    <row r="2800" spans="7:14" ht="11.25" customHeight="1" x14ac:dyDescent="0.3">
      <c r="G2800" s="470"/>
      <c r="H2800" s="470">
        <v>2793</v>
      </c>
      <c r="I2800" s="455">
        <f t="shared" ca="1" si="135"/>
        <v>-47225072362.358932</v>
      </c>
      <c r="J2800" s="455">
        <f t="array" ref="J2800">IFERROR(INDEX('Retirement Calculator'!K:K,MATCH('Lorri 401b'!N2800,'Retirement Calculator'!A:A,0),0),0)</f>
        <v>0</v>
      </c>
      <c r="K2800" s="455">
        <f t="shared" ca="1" si="133"/>
        <v>-196771134.84316221</v>
      </c>
      <c r="L2800" s="455">
        <f t="shared" ca="1" si="134"/>
        <v>-47421843497.202095</v>
      </c>
      <c r="M2800" s="471">
        <f t="shared" si="136"/>
        <v>0.05</v>
      </c>
      <c r="N2800" s="475">
        <f t="shared" si="137"/>
        <v>136269</v>
      </c>
    </row>
    <row r="2801" spans="7:14" ht="11.25" customHeight="1" x14ac:dyDescent="0.3">
      <c r="G2801" s="470"/>
      <c r="H2801" s="470">
        <v>2794</v>
      </c>
      <c r="I2801" s="455">
        <f t="shared" ca="1" si="135"/>
        <v>-47421843497.202095</v>
      </c>
      <c r="J2801" s="455">
        <f t="array" ref="J2801">IFERROR(INDEX('Retirement Calculator'!K:K,MATCH('Lorri 401b'!N2801,'Retirement Calculator'!A:A,0),0),0)</f>
        <v>0</v>
      </c>
      <c r="K2801" s="455">
        <f t="shared" ca="1" si="133"/>
        <v>-197591014.57167539</v>
      </c>
      <c r="L2801" s="455">
        <f t="shared" ca="1" si="134"/>
        <v>-47619434511.773773</v>
      </c>
      <c r="M2801" s="471">
        <f t="shared" si="136"/>
        <v>0.05</v>
      </c>
      <c r="N2801" s="475">
        <f t="shared" si="137"/>
        <v>136297</v>
      </c>
    </row>
    <row r="2802" spans="7:14" ht="11.25" customHeight="1" x14ac:dyDescent="0.3">
      <c r="G2802" s="470"/>
      <c r="H2802" s="470">
        <v>2795</v>
      </c>
      <c r="I2802" s="455">
        <f t="shared" ca="1" si="135"/>
        <v>-47619434511.773773</v>
      </c>
      <c r="J2802" s="455">
        <f t="array" ref="J2802">IFERROR(INDEX('Retirement Calculator'!K:K,MATCH('Lorri 401b'!N2802,'Retirement Calculator'!A:A,0),0),0)</f>
        <v>0</v>
      </c>
      <c r="K2802" s="455">
        <f t="shared" ca="1" si="133"/>
        <v>-198414310.46572405</v>
      </c>
      <c r="L2802" s="455">
        <f t="shared" ca="1" si="134"/>
        <v>-47817848822.239494</v>
      </c>
      <c r="M2802" s="471">
        <f t="shared" si="136"/>
        <v>0.05</v>
      </c>
      <c r="N2802" s="475">
        <f t="shared" si="137"/>
        <v>136328</v>
      </c>
    </row>
    <row r="2803" spans="7:14" ht="11.25" customHeight="1" x14ac:dyDescent="0.3">
      <c r="G2803" s="470"/>
      <c r="H2803" s="470">
        <v>2796</v>
      </c>
      <c r="I2803" s="455">
        <f t="shared" ca="1" si="135"/>
        <v>-47817848822.239494</v>
      </c>
      <c r="J2803" s="455">
        <f t="array" ref="J2803">IFERROR(INDEX('Retirement Calculator'!K:K,MATCH('Lorri 401b'!N2803,'Retirement Calculator'!A:A,0),0),0)</f>
        <v>0</v>
      </c>
      <c r="K2803" s="455">
        <f t="shared" ca="1" si="133"/>
        <v>-199241036.75933123</v>
      </c>
      <c r="L2803" s="455">
        <f t="shared" ca="1" si="134"/>
        <v>-48017089858.998825</v>
      </c>
      <c r="M2803" s="471">
        <f t="shared" si="136"/>
        <v>0.05</v>
      </c>
      <c r="N2803" s="475">
        <f t="shared" si="137"/>
        <v>136358</v>
      </c>
    </row>
    <row r="2804" spans="7:14" ht="11.25" customHeight="1" x14ac:dyDescent="0.3">
      <c r="G2804" s="470"/>
      <c r="H2804" s="470">
        <v>2797</v>
      </c>
      <c r="I2804" s="455">
        <f t="shared" ca="1" si="135"/>
        <v>-48017089858.998825</v>
      </c>
      <c r="J2804" s="455">
        <f t="array" ref="J2804">IFERROR(INDEX('Retirement Calculator'!K:K,MATCH('Lorri 401b'!N2804,'Retirement Calculator'!A:A,0),0),0)</f>
        <v>0</v>
      </c>
      <c r="K2804" s="455">
        <f t="shared" ca="1" si="133"/>
        <v>-200071207.74582845</v>
      </c>
      <c r="L2804" s="455">
        <f t="shared" ca="1" si="134"/>
        <v>-48217161066.744652</v>
      </c>
      <c r="M2804" s="471">
        <f t="shared" si="136"/>
        <v>0.05</v>
      </c>
      <c r="N2804" s="475">
        <f t="shared" si="137"/>
        <v>136389</v>
      </c>
    </row>
    <row r="2805" spans="7:14" ht="11.25" customHeight="1" x14ac:dyDescent="0.3">
      <c r="G2805" s="470"/>
      <c r="H2805" s="470">
        <v>2798</v>
      </c>
      <c r="I2805" s="455">
        <f t="shared" ca="1" si="135"/>
        <v>-48217161066.744652</v>
      </c>
      <c r="J2805" s="455">
        <f t="array" ref="J2805">IFERROR(INDEX('Retirement Calculator'!K:K,MATCH('Lorri 401b'!N2805,'Retirement Calculator'!A:A,0),0),0)</f>
        <v>0</v>
      </c>
      <c r="K2805" s="455">
        <f t="shared" ca="1" si="133"/>
        <v>-200904837.77810273</v>
      </c>
      <c r="L2805" s="455">
        <f t="shared" ca="1" si="134"/>
        <v>-48418065904.522751</v>
      </c>
      <c r="M2805" s="471">
        <f t="shared" si="136"/>
        <v>0.05</v>
      </c>
      <c r="N2805" s="475">
        <f t="shared" si="137"/>
        <v>136419</v>
      </c>
    </row>
    <row r="2806" spans="7:14" ht="11.25" customHeight="1" x14ac:dyDescent="0.3">
      <c r="G2806" s="470"/>
      <c r="H2806" s="470">
        <v>2799</v>
      </c>
      <c r="I2806" s="455">
        <f t="shared" ca="1" si="135"/>
        <v>-48418065904.522751</v>
      </c>
      <c r="J2806" s="455">
        <f t="array" ref="J2806">IFERROR(INDEX('Retirement Calculator'!K:K,MATCH('Lorri 401b'!N2806,'Retirement Calculator'!A:A,0),0),0)</f>
        <v>0</v>
      </c>
      <c r="K2806" s="455">
        <f t="shared" ca="1" si="133"/>
        <v>-201741941.26884478</v>
      </c>
      <c r="L2806" s="455">
        <f t="shared" ca="1" si="134"/>
        <v>-48619807845.791595</v>
      </c>
      <c r="M2806" s="471">
        <f t="shared" si="136"/>
        <v>0.05</v>
      </c>
      <c r="N2806" s="475">
        <f t="shared" si="137"/>
        <v>136450</v>
      </c>
    </row>
    <row r="2807" spans="7:14" ht="11.25" customHeight="1" x14ac:dyDescent="0.3">
      <c r="G2807" s="470"/>
      <c r="H2807" s="470">
        <v>2800</v>
      </c>
      <c r="I2807" s="455">
        <f t="shared" ca="1" si="135"/>
        <v>-48619807845.791595</v>
      </c>
      <c r="J2807" s="455">
        <f t="array" ref="J2807">IFERROR(INDEX('Retirement Calculator'!K:K,MATCH('Lorri 401b'!N2807,'Retirement Calculator'!A:A,0),0),0)</f>
        <v>0</v>
      </c>
      <c r="K2807" s="455">
        <f t="shared" ca="1" si="133"/>
        <v>-202582532.69079831</v>
      </c>
      <c r="L2807" s="455">
        <f t="shared" ca="1" si="134"/>
        <v>-48822390378.482391</v>
      </c>
      <c r="M2807" s="471">
        <f t="shared" si="136"/>
        <v>0.05</v>
      </c>
      <c r="N2807" s="475">
        <f t="shared" si="137"/>
        <v>136481</v>
      </c>
    </row>
    <row r="2808" spans="7:14" ht="11.25" customHeight="1" x14ac:dyDescent="0.3">
      <c r="G2808" s="470"/>
      <c r="H2808" s="470">
        <v>2801</v>
      </c>
      <c r="I2808" s="455">
        <f t="shared" ca="1" si="135"/>
        <v>-48822390378.482391</v>
      </c>
      <c r="J2808" s="455">
        <f t="array" ref="J2808">IFERROR(INDEX('Retirement Calculator'!K:K,MATCH('Lorri 401b'!N2808,'Retirement Calculator'!A:A,0),0),0)</f>
        <v>0</v>
      </c>
      <c r="K2808" s="455">
        <f t="shared" ca="1" si="133"/>
        <v>-203426626.57700998</v>
      </c>
      <c r="L2808" s="455">
        <f t="shared" ca="1" si="134"/>
        <v>-49025817005.059402</v>
      </c>
      <c r="M2808" s="471">
        <f t="shared" si="136"/>
        <v>0.05</v>
      </c>
      <c r="N2808" s="475">
        <f t="shared" si="137"/>
        <v>136511</v>
      </c>
    </row>
    <row r="2809" spans="7:14" ht="11.25" customHeight="1" x14ac:dyDescent="0.3">
      <c r="G2809" s="470"/>
      <c r="H2809" s="470">
        <v>2802</v>
      </c>
      <c r="I2809" s="455">
        <f t="shared" ca="1" si="135"/>
        <v>-49025817005.059402</v>
      </c>
      <c r="J2809" s="455">
        <f t="array" ref="J2809">IFERROR(INDEX('Retirement Calculator'!K:K,MATCH('Lorri 401b'!N2809,'Retirement Calculator'!A:A,0),0),0)</f>
        <v>0</v>
      </c>
      <c r="K2809" s="455">
        <f t="shared" ca="1" si="133"/>
        <v>-204274237.52108085</v>
      </c>
      <c r="L2809" s="455">
        <f t="shared" ca="1" si="134"/>
        <v>-49230091242.580482</v>
      </c>
      <c r="M2809" s="471">
        <f t="shared" si="136"/>
        <v>0.05</v>
      </c>
      <c r="N2809" s="475">
        <f t="shared" si="137"/>
        <v>136542</v>
      </c>
    </row>
    <row r="2810" spans="7:14" ht="11.25" customHeight="1" x14ac:dyDescent="0.3">
      <c r="G2810" s="470"/>
      <c r="H2810" s="470">
        <v>2803</v>
      </c>
      <c r="I2810" s="455">
        <f t="shared" ca="1" si="135"/>
        <v>-49230091242.580482</v>
      </c>
      <c r="J2810" s="455">
        <f t="array" ref="J2810">IFERROR(INDEX('Retirement Calculator'!K:K,MATCH('Lorri 401b'!N2810,'Retirement Calculator'!A:A,0),0),0)</f>
        <v>0</v>
      </c>
      <c r="K2810" s="455">
        <f t="shared" ca="1" si="133"/>
        <v>-205125380.17741868</v>
      </c>
      <c r="L2810" s="455">
        <f t="shared" ca="1" si="134"/>
        <v>-49435216622.757904</v>
      </c>
      <c r="M2810" s="471">
        <f t="shared" si="136"/>
        <v>0.05</v>
      </c>
      <c r="N2810" s="475">
        <f t="shared" si="137"/>
        <v>136572</v>
      </c>
    </row>
    <row r="2811" spans="7:14" ht="11.25" customHeight="1" x14ac:dyDescent="0.3">
      <c r="G2811" s="470"/>
      <c r="H2811" s="470">
        <v>2804</v>
      </c>
      <c r="I2811" s="455">
        <f t="shared" ca="1" si="135"/>
        <v>-49435216622.757904</v>
      </c>
      <c r="J2811" s="455">
        <f t="array" ref="J2811">IFERROR(INDEX('Retirement Calculator'!K:K,MATCH('Lorri 401b'!N2811,'Retirement Calculator'!A:A,0),0),0)</f>
        <v>0</v>
      </c>
      <c r="K2811" s="455">
        <f t="shared" ca="1" si="133"/>
        <v>-205980069.26149127</v>
      </c>
      <c r="L2811" s="455">
        <f t="shared" ca="1" si="134"/>
        <v>-49641196692.019394</v>
      </c>
      <c r="M2811" s="471">
        <f t="shared" si="136"/>
        <v>0.05</v>
      </c>
      <c r="N2811" s="475">
        <f t="shared" si="137"/>
        <v>136603</v>
      </c>
    </row>
    <row r="2812" spans="7:14" ht="11.25" customHeight="1" x14ac:dyDescent="0.3">
      <c r="G2812" s="470"/>
      <c r="H2812" s="470">
        <v>2805</v>
      </c>
      <c r="I2812" s="455">
        <f t="shared" ca="1" si="135"/>
        <v>-49641196692.019394</v>
      </c>
      <c r="J2812" s="455">
        <f t="array" ref="J2812">IFERROR(INDEX('Retirement Calculator'!K:K,MATCH('Lorri 401b'!N2812,'Retirement Calculator'!A:A,0),0),0)</f>
        <v>0</v>
      </c>
      <c r="K2812" s="455">
        <f t="shared" ca="1" si="133"/>
        <v>-206838319.55008081</v>
      </c>
      <c r="L2812" s="455">
        <f t="shared" ca="1" si="134"/>
        <v>-49848035011.569473</v>
      </c>
      <c r="M2812" s="471">
        <f t="shared" si="136"/>
        <v>0.05</v>
      </c>
      <c r="N2812" s="475">
        <f t="shared" si="137"/>
        <v>136634</v>
      </c>
    </row>
    <row r="2813" spans="7:14" ht="11.25" customHeight="1" x14ac:dyDescent="0.3">
      <c r="G2813" s="470"/>
      <c r="H2813" s="470">
        <v>2806</v>
      </c>
      <c r="I2813" s="455">
        <f t="shared" ca="1" si="135"/>
        <v>-49848035011.569473</v>
      </c>
      <c r="J2813" s="455">
        <f t="array" ref="J2813">IFERROR(INDEX('Retirement Calculator'!K:K,MATCH('Lorri 401b'!N2813,'Retirement Calculator'!A:A,0),0),0)</f>
        <v>0</v>
      </c>
      <c r="K2813" s="455">
        <f t="shared" ref="K2813:K3067" ca="1" si="138">IPMT(M2813/12,1,12,-I2813+J2813,,0)</f>
        <v>-207700145.88153946</v>
      </c>
      <c r="L2813" s="455">
        <f t="shared" ref="L2813:L3067" ca="1" si="139">I2813-J2813+K2813</f>
        <v>-50055735157.451012</v>
      </c>
      <c r="M2813" s="471">
        <f t="shared" si="136"/>
        <v>0.05</v>
      </c>
      <c r="N2813" s="475">
        <f t="shared" si="137"/>
        <v>136662</v>
      </c>
    </row>
    <row r="2814" spans="7:14" ht="11.25" customHeight="1" x14ac:dyDescent="0.3">
      <c r="G2814" s="470"/>
      <c r="H2814" s="470">
        <v>2807</v>
      </c>
      <c r="I2814" s="455">
        <f t="shared" ref="I2814:I3068" ca="1" si="140">L2813</f>
        <v>-50055735157.451012</v>
      </c>
      <c r="J2814" s="455">
        <f t="array" ref="J2814">IFERROR(INDEX('Retirement Calculator'!K:K,MATCH('Lorri 401b'!N2814,'Retirement Calculator'!A:A,0),0),0)</f>
        <v>0</v>
      </c>
      <c r="K2814" s="455">
        <f t="shared" ca="1" si="138"/>
        <v>-208565563.15604588</v>
      </c>
      <c r="L2814" s="455">
        <f t="shared" ca="1" si="139"/>
        <v>-50264300720.607056</v>
      </c>
      <c r="M2814" s="471">
        <f t="shared" ref="M2814:M3068" si="141">M2813</f>
        <v>0.05</v>
      </c>
      <c r="N2814" s="475">
        <f t="shared" ref="N2814:N3068" si="142">EDATE(N2813,1)</f>
        <v>136693</v>
      </c>
    </row>
    <row r="2815" spans="7:14" ht="11.25" customHeight="1" x14ac:dyDescent="0.3">
      <c r="G2815" s="470"/>
      <c r="H2815" s="470">
        <v>2808</v>
      </c>
      <c r="I2815" s="455">
        <f t="shared" ca="1" si="140"/>
        <v>-50264300720.607056</v>
      </c>
      <c r="J2815" s="455">
        <f t="array" ref="J2815">IFERROR(INDEX('Retirement Calculator'!K:K,MATCH('Lorri 401b'!N2815,'Retirement Calculator'!A:A,0),0),0)</f>
        <v>0</v>
      </c>
      <c r="K2815" s="455">
        <f t="shared" ca="1" si="138"/>
        <v>-209434586.33586273</v>
      </c>
      <c r="L2815" s="455">
        <f t="shared" ca="1" si="139"/>
        <v>-50473735306.942917</v>
      </c>
      <c r="M2815" s="471">
        <f t="shared" si="141"/>
        <v>0.05</v>
      </c>
      <c r="N2815" s="475">
        <f t="shared" si="142"/>
        <v>136723</v>
      </c>
    </row>
    <row r="2816" spans="7:14" ht="11.25" customHeight="1" x14ac:dyDescent="0.3">
      <c r="G2816" s="470"/>
      <c r="H2816" s="470">
        <v>2809</v>
      </c>
      <c r="I2816" s="455">
        <f t="shared" ca="1" si="140"/>
        <v>-50473735306.942917</v>
      </c>
      <c r="J2816" s="455">
        <f t="array" ref="J2816">IFERROR(INDEX('Retirement Calculator'!K:K,MATCH('Lorri 401b'!N2816,'Retirement Calculator'!A:A,0),0),0)</f>
        <v>0</v>
      </c>
      <c r="K2816" s="455">
        <f t="shared" ca="1" si="138"/>
        <v>-210307230.44559547</v>
      </c>
      <c r="L2816" s="455">
        <f t="shared" ca="1" si="139"/>
        <v>-50684042537.388512</v>
      </c>
      <c r="M2816" s="471">
        <f t="shared" si="141"/>
        <v>0.05</v>
      </c>
      <c r="N2816" s="475">
        <f t="shared" si="142"/>
        <v>136754</v>
      </c>
    </row>
    <row r="2817" spans="7:14" ht="11.25" customHeight="1" x14ac:dyDescent="0.3">
      <c r="G2817" s="470"/>
      <c r="H2817" s="470">
        <v>2810</v>
      </c>
      <c r="I2817" s="455">
        <f t="shared" ca="1" si="140"/>
        <v>-50684042537.388512</v>
      </c>
      <c r="J2817" s="455">
        <f t="array" ref="J2817">IFERROR(INDEX('Retirement Calculator'!K:K,MATCH('Lorri 401b'!N2817,'Retirement Calculator'!A:A,0),0),0)</f>
        <v>0</v>
      </c>
      <c r="K2817" s="455">
        <f t="shared" ca="1" si="138"/>
        <v>-211183510.57245213</v>
      </c>
      <c r="L2817" s="455">
        <f t="shared" ca="1" si="139"/>
        <v>-50895226047.96096</v>
      </c>
      <c r="M2817" s="471">
        <f t="shared" si="141"/>
        <v>0.05</v>
      </c>
      <c r="N2817" s="475">
        <f t="shared" si="142"/>
        <v>136784</v>
      </c>
    </row>
    <row r="2818" spans="7:14" ht="11.25" customHeight="1" x14ac:dyDescent="0.3">
      <c r="G2818" s="470"/>
      <c r="H2818" s="470">
        <v>2811</v>
      </c>
      <c r="I2818" s="455">
        <f t="shared" ca="1" si="140"/>
        <v>-50895226047.96096</v>
      </c>
      <c r="J2818" s="455">
        <f t="array" ref="J2818">IFERROR(INDEX('Retirement Calculator'!K:K,MATCH('Lorri 401b'!N2818,'Retirement Calculator'!A:A,0),0),0)</f>
        <v>0</v>
      </c>
      <c r="K2818" s="455">
        <f t="shared" ca="1" si="138"/>
        <v>-212063441.86650401</v>
      </c>
      <c r="L2818" s="455">
        <f t="shared" ca="1" si="139"/>
        <v>-51107289489.827461</v>
      </c>
      <c r="M2818" s="471">
        <f t="shared" si="141"/>
        <v>0.05</v>
      </c>
      <c r="N2818" s="475">
        <f t="shared" si="142"/>
        <v>136815</v>
      </c>
    </row>
    <row r="2819" spans="7:14" ht="11.25" customHeight="1" x14ac:dyDescent="0.3">
      <c r="G2819" s="470"/>
      <c r="H2819" s="470">
        <v>2812</v>
      </c>
      <c r="I2819" s="455">
        <f t="shared" ca="1" si="140"/>
        <v>-51107289489.827461</v>
      </c>
      <c r="J2819" s="455">
        <f t="array" ref="J2819">IFERROR(INDEX('Retirement Calculator'!K:K,MATCH('Lorri 401b'!N2819,'Retirement Calculator'!A:A,0),0),0)</f>
        <v>0</v>
      </c>
      <c r="K2819" s="455">
        <f t="shared" ca="1" si="138"/>
        <v>-212947039.54094777</v>
      </c>
      <c r="L2819" s="455">
        <f t="shared" ca="1" si="139"/>
        <v>-51320236529.368408</v>
      </c>
      <c r="M2819" s="471">
        <f t="shared" si="141"/>
        <v>0.05</v>
      </c>
      <c r="N2819" s="475">
        <f t="shared" si="142"/>
        <v>136846</v>
      </c>
    </row>
    <row r="2820" spans="7:14" ht="11.25" customHeight="1" x14ac:dyDescent="0.3">
      <c r="G2820" s="470"/>
      <c r="H2820" s="470">
        <v>2813</v>
      </c>
      <c r="I2820" s="455">
        <f t="shared" ca="1" si="140"/>
        <v>-51320236529.368408</v>
      </c>
      <c r="J2820" s="455">
        <f t="array" ref="J2820">IFERROR(INDEX('Retirement Calculator'!K:K,MATCH('Lorri 401b'!N2820,'Retirement Calculator'!A:A,0),0),0)</f>
        <v>0</v>
      </c>
      <c r="K2820" s="455">
        <f t="shared" ca="1" si="138"/>
        <v>-213834318.87236837</v>
      </c>
      <c r="L2820" s="455">
        <f t="shared" ca="1" si="139"/>
        <v>-51534070848.240776</v>
      </c>
      <c r="M2820" s="471">
        <f t="shared" si="141"/>
        <v>0.05</v>
      </c>
      <c r="N2820" s="475">
        <f t="shared" si="142"/>
        <v>136876</v>
      </c>
    </row>
    <row r="2821" spans="7:14" ht="11.25" customHeight="1" x14ac:dyDescent="0.3">
      <c r="G2821" s="470"/>
      <c r="H2821" s="470">
        <v>2814</v>
      </c>
      <c r="I2821" s="455">
        <f t="shared" ca="1" si="140"/>
        <v>-51534070848.240776</v>
      </c>
      <c r="J2821" s="455">
        <f t="array" ref="J2821">IFERROR(INDEX('Retirement Calculator'!K:K,MATCH('Lorri 401b'!N2821,'Retirement Calculator'!A:A,0),0),0)</f>
        <v>0</v>
      </c>
      <c r="K2821" s="455">
        <f t="shared" ca="1" si="138"/>
        <v>-214725295.20100322</v>
      </c>
      <c r="L2821" s="455">
        <f t="shared" ca="1" si="139"/>
        <v>-51748796143.44178</v>
      </c>
      <c r="M2821" s="471">
        <f t="shared" si="141"/>
        <v>0.05</v>
      </c>
      <c r="N2821" s="475">
        <f t="shared" si="142"/>
        <v>136907</v>
      </c>
    </row>
    <row r="2822" spans="7:14" ht="11.25" customHeight="1" x14ac:dyDescent="0.3">
      <c r="G2822" s="470"/>
      <c r="H2822" s="470">
        <v>2815</v>
      </c>
      <c r="I2822" s="455">
        <f t="shared" ca="1" si="140"/>
        <v>-51748796143.44178</v>
      </c>
      <c r="J2822" s="455">
        <f t="array" ref="J2822">IFERROR(INDEX('Retirement Calculator'!K:K,MATCH('Lorri 401b'!N2822,'Retirement Calculator'!A:A,0),0),0)</f>
        <v>0</v>
      </c>
      <c r="K2822" s="455">
        <f t="shared" ca="1" si="138"/>
        <v>-215619983.93100742</v>
      </c>
      <c r="L2822" s="455">
        <f t="shared" ca="1" si="139"/>
        <v>-51964416127.372787</v>
      </c>
      <c r="M2822" s="471">
        <f t="shared" si="141"/>
        <v>0.05</v>
      </c>
      <c r="N2822" s="475">
        <f t="shared" si="142"/>
        <v>136937</v>
      </c>
    </row>
    <row r="2823" spans="7:14" ht="11.25" customHeight="1" x14ac:dyDescent="0.3">
      <c r="G2823" s="470"/>
      <c r="H2823" s="470">
        <v>2816</v>
      </c>
      <c r="I2823" s="455">
        <f t="shared" ca="1" si="140"/>
        <v>-51964416127.372787</v>
      </c>
      <c r="J2823" s="455">
        <f t="array" ref="J2823">IFERROR(INDEX('Retirement Calculator'!K:K,MATCH('Lorri 401b'!N2823,'Retirement Calculator'!A:A,0),0),0)</f>
        <v>0</v>
      </c>
      <c r="K2823" s="455">
        <f t="shared" ca="1" si="138"/>
        <v>-216518400.53071994</v>
      </c>
      <c r="L2823" s="455">
        <f t="shared" ca="1" si="139"/>
        <v>-52180934527.903511</v>
      </c>
      <c r="M2823" s="471">
        <f t="shared" si="141"/>
        <v>0.05</v>
      </c>
      <c r="N2823" s="475">
        <f t="shared" si="142"/>
        <v>136968</v>
      </c>
    </row>
    <row r="2824" spans="7:14" ht="11.25" customHeight="1" x14ac:dyDescent="0.3">
      <c r="G2824" s="470"/>
      <c r="H2824" s="470">
        <v>2817</v>
      </c>
      <c r="I2824" s="455">
        <f t="shared" ca="1" si="140"/>
        <v>-52180934527.903511</v>
      </c>
      <c r="J2824" s="455">
        <f t="array" ref="J2824">IFERROR(INDEX('Retirement Calculator'!K:K,MATCH('Lorri 401b'!N2824,'Retirement Calculator'!A:A,0),0),0)</f>
        <v>0</v>
      </c>
      <c r="K2824" s="455">
        <f t="shared" ca="1" si="138"/>
        <v>-217420560.5329313</v>
      </c>
      <c r="L2824" s="455">
        <f t="shared" ca="1" si="139"/>
        <v>-52398355088.43644</v>
      </c>
      <c r="M2824" s="471">
        <f t="shared" si="141"/>
        <v>0.05</v>
      </c>
      <c r="N2824" s="475">
        <f t="shared" si="142"/>
        <v>136999</v>
      </c>
    </row>
    <row r="2825" spans="7:14" ht="11.25" customHeight="1" x14ac:dyDescent="0.3">
      <c r="G2825" s="470"/>
      <c r="H2825" s="470">
        <v>2818</v>
      </c>
      <c r="I2825" s="455">
        <f t="shared" ca="1" si="140"/>
        <v>-52398355088.43644</v>
      </c>
      <c r="J2825" s="455">
        <f t="array" ref="J2825">IFERROR(INDEX('Retirement Calculator'!K:K,MATCH('Lorri 401b'!N2825,'Retirement Calculator'!A:A,0),0),0)</f>
        <v>0</v>
      </c>
      <c r="K2825" s="455">
        <f t="shared" ca="1" si="138"/>
        <v>-218326479.53515184</v>
      </c>
      <c r="L2825" s="455">
        <f t="shared" ca="1" si="139"/>
        <v>-52616681567.971588</v>
      </c>
      <c r="M2825" s="471">
        <f t="shared" si="141"/>
        <v>0.05</v>
      </c>
      <c r="N2825" s="475">
        <f t="shared" si="142"/>
        <v>137027</v>
      </c>
    </row>
    <row r="2826" spans="7:14" ht="11.25" customHeight="1" x14ac:dyDescent="0.3">
      <c r="G2826" s="470"/>
      <c r="H2826" s="470">
        <v>2819</v>
      </c>
      <c r="I2826" s="455">
        <f t="shared" ca="1" si="140"/>
        <v>-52616681567.971588</v>
      </c>
      <c r="J2826" s="455">
        <f t="array" ref="J2826">IFERROR(INDEX('Retirement Calculator'!K:K,MATCH('Lorri 401b'!N2826,'Retirement Calculator'!A:A,0),0),0)</f>
        <v>0</v>
      </c>
      <c r="K2826" s="455">
        <f t="shared" ca="1" si="138"/>
        <v>-219236173.19988161</v>
      </c>
      <c r="L2826" s="455">
        <f t="shared" ca="1" si="139"/>
        <v>-52835917741.171471</v>
      </c>
      <c r="M2826" s="471">
        <f t="shared" si="141"/>
        <v>0.05</v>
      </c>
      <c r="N2826" s="475">
        <f t="shared" si="142"/>
        <v>137058</v>
      </c>
    </row>
    <row r="2827" spans="7:14" ht="11.25" customHeight="1" x14ac:dyDescent="0.3">
      <c r="G2827" s="470"/>
      <c r="H2827" s="470">
        <v>2820</v>
      </c>
      <c r="I2827" s="455">
        <f t="shared" ca="1" si="140"/>
        <v>-52835917741.171471</v>
      </c>
      <c r="J2827" s="455">
        <f t="array" ref="J2827">IFERROR(INDEX('Retirement Calculator'!K:K,MATCH('Lorri 401b'!N2827,'Retirement Calculator'!A:A,0),0),0)</f>
        <v>0</v>
      </c>
      <c r="K2827" s="455">
        <f t="shared" ca="1" si="138"/>
        <v>-220149657.25488111</v>
      </c>
      <c r="L2827" s="455">
        <f t="shared" ca="1" si="139"/>
        <v>-53056067398.426353</v>
      </c>
      <c r="M2827" s="471">
        <f t="shared" si="141"/>
        <v>0.05</v>
      </c>
      <c r="N2827" s="475">
        <f t="shared" si="142"/>
        <v>137088</v>
      </c>
    </row>
    <row r="2828" spans="7:14" ht="11.25" customHeight="1" x14ac:dyDescent="0.3">
      <c r="G2828" s="470"/>
      <c r="H2828" s="470">
        <v>2821</v>
      </c>
      <c r="I2828" s="455">
        <f t="shared" ca="1" si="140"/>
        <v>-53056067398.426353</v>
      </c>
      <c r="J2828" s="455">
        <f t="array" ref="J2828">IFERROR(INDEX('Retirement Calculator'!K:K,MATCH('Lorri 401b'!N2828,'Retirement Calculator'!A:A,0),0),0)</f>
        <v>0</v>
      </c>
      <c r="K2828" s="455">
        <f t="shared" ca="1" si="138"/>
        <v>-221066947.49344313</v>
      </c>
      <c r="L2828" s="455">
        <f t="shared" ca="1" si="139"/>
        <v>-53277134345.9198</v>
      </c>
      <c r="M2828" s="471">
        <f t="shared" si="141"/>
        <v>0.05</v>
      </c>
      <c r="N2828" s="475">
        <f t="shared" si="142"/>
        <v>137119</v>
      </c>
    </row>
    <row r="2829" spans="7:14" ht="11.25" customHeight="1" x14ac:dyDescent="0.3">
      <c r="G2829" s="470"/>
      <c r="H2829" s="470">
        <v>2822</v>
      </c>
      <c r="I2829" s="455">
        <f t="shared" ca="1" si="140"/>
        <v>-53277134345.9198</v>
      </c>
      <c r="J2829" s="455">
        <f t="array" ref="J2829">IFERROR(INDEX('Retirement Calculator'!K:K,MATCH('Lorri 401b'!N2829,'Retirement Calculator'!A:A,0),0),0)</f>
        <v>0</v>
      </c>
      <c r="K2829" s="455">
        <f t="shared" ca="1" si="138"/>
        <v>-221988059.77466583</v>
      </c>
      <c r="L2829" s="455">
        <f t="shared" ca="1" si="139"/>
        <v>-53499122405.694466</v>
      </c>
      <c r="M2829" s="471">
        <f t="shared" si="141"/>
        <v>0.05</v>
      </c>
      <c r="N2829" s="475">
        <f t="shared" si="142"/>
        <v>137149</v>
      </c>
    </row>
    <row r="2830" spans="7:14" ht="11.25" customHeight="1" x14ac:dyDescent="0.3">
      <c r="G2830" s="470"/>
      <c r="H2830" s="470">
        <v>2823</v>
      </c>
      <c r="I2830" s="455">
        <f t="shared" ca="1" si="140"/>
        <v>-53499122405.694466</v>
      </c>
      <c r="J2830" s="455">
        <f t="array" ref="J2830">IFERROR(INDEX('Retirement Calculator'!K:K,MATCH('Lorri 401b'!N2830,'Retirement Calculator'!A:A,0),0),0)</f>
        <v>0</v>
      </c>
      <c r="K2830" s="455">
        <f t="shared" ca="1" si="138"/>
        <v>-222913010.02372694</v>
      </c>
      <c r="L2830" s="455">
        <f t="shared" ca="1" si="139"/>
        <v>-53722035415.718193</v>
      </c>
      <c r="M2830" s="471">
        <f t="shared" si="141"/>
        <v>0.05</v>
      </c>
      <c r="N2830" s="475">
        <f t="shared" si="142"/>
        <v>137180</v>
      </c>
    </row>
    <row r="2831" spans="7:14" ht="11.25" customHeight="1" x14ac:dyDescent="0.3">
      <c r="G2831" s="470"/>
      <c r="H2831" s="470">
        <v>2824</v>
      </c>
      <c r="I2831" s="455">
        <f t="shared" ca="1" si="140"/>
        <v>-53722035415.718193</v>
      </c>
      <c r="J2831" s="455">
        <f t="array" ref="J2831">IFERROR(INDEX('Retirement Calculator'!K:K,MATCH('Lorri 401b'!N2831,'Retirement Calculator'!A:A,0),0),0)</f>
        <v>0</v>
      </c>
      <c r="K2831" s="455">
        <f t="shared" ca="1" si="138"/>
        <v>-223841814.23215914</v>
      </c>
      <c r="L2831" s="455">
        <f t="shared" ca="1" si="139"/>
        <v>-53945877229.950356</v>
      </c>
      <c r="M2831" s="471">
        <f t="shared" si="141"/>
        <v>0.05</v>
      </c>
      <c r="N2831" s="475">
        <f t="shared" si="142"/>
        <v>137211</v>
      </c>
    </row>
    <row r="2832" spans="7:14" ht="11.25" customHeight="1" x14ac:dyDescent="0.3">
      <c r="G2832" s="470"/>
      <c r="H2832" s="470">
        <v>2825</v>
      </c>
      <c r="I2832" s="455">
        <f t="shared" ca="1" si="140"/>
        <v>-53945877229.950356</v>
      </c>
      <c r="J2832" s="455">
        <f t="array" ref="J2832">IFERROR(INDEX('Retirement Calculator'!K:K,MATCH('Lorri 401b'!N2832,'Retirement Calculator'!A:A,0),0),0)</f>
        <v>0</v>
      </c>
      <c r="K2832" s="455">
        <f t="shared" ca="1" si="138"/>
        <v>-224774488.45812649</v>
      </c>
      <c r="L2832" s="455">
        <f t="shared" ca="1" si="139"/>
        <v>-54170651718.408485</v>
      </c>
      <c r="M2832" s="471">
        <f t="shared" si="141"/>
        <v>0.05</v>
      </c>
      <c r="N2832" s="475">
        <f t="shared" si="142"/>
        <v>137241</v>
      </c>
    </row>
    <row r="2833" spans="7:14" ht="11.25" customHeight="1" x14ac:dyDescent="0.3">
      <c r="G2833" s="470"/>
      <c r="H2833" s="470">
        <v>2826</v>
      </c>
      <c r="I2833" s="455">
        <f t="shared" ca="1" si="140"/>
        <v>-54170651718.408485</v>
      </c>
      <c r="J2833" s="455">
        <f t="array" ref="J2833">IFERROR(INDEX('Retirement Calculator'!K:K,MATCH('Lorri 401b'!N2833,'Retirement Calculator'!A:A,0),0),0)</f>
        <v>0</v>
      </c>
      <c r="K2833" s="455">
        <f t="shared" ca="1" si="138"/>
        <v>-225711048.82670203</v>
      </c>
      <c r="L2833" s="455">
        <f t="shared" ca="1" si="139"/>
        <v>-54396362767.235184</v>
      </c>
      <c r="M2833" s="471">
        <f t="shared" si="141"/>
        <v>0.05</v>
      </c>
      <c r="N2833" s="475">
        <f t="shared" si="142"/>
        <v>137272</v>
      </c>
    </row>
    <row r="2834" spans="7:14" ht="11.25" customHeight="1" x14ac:dyDescent="0.3">
      <c r="G2834" s="470"/>
      <c r="H2834" s="470">
        <v>2827</v>
      </c>
      <c r="I2834" s="455">
        <f t="shared" ca="1" si="140"/>
        <v>-54396362767.235184</v>
      </c>
      <c r="J2834" s="455">
        <f t="array" ref="J2834">IFERROR(INDEX('Retirement Calculator'!K:K,MATCH('Lorri 401b'!N2834,'Retirement Calculator'!A:A,0),0),0)</f>
        <v>0</v>
      </c>
      <c r="K2834" s="455">
        <f t="shared" ca="1" si="138"/>
        <v>-226651511.53014663</v>
      </c>
      <c r="L2834" s="455">
        <f t="shared" ca="1" si="139"/>
        <v>-54623014278.765327</v>
      </c>
      <c r="M2834" s="471">
        <f t="shared" si="141"/>
        <v>0.05</v>
      </c>
      <c r="N2834" s="475">
        <f t="shared" si="142"/>
        <v>137302</v>
      </c>
    </row>
    <row r="2835" spans="7:14" ht="11.25" customHeight="1" x14ac:dyDescent="0.3">
      <c r="G2835" s="470"/>
      <c r="H2835" s="470">
        <v>2828</v>
      </c>
      <c r="I2835" s="455">
        <f t="shared" ca="1" si="140"/>
        <v>-54623014278.765327</v>
      </c>
      <c r="J2835" s="455">
        <f t="array" ref="J2835">IFERROR(INDEX('Retirement Calculator'!K:K,MATCH('Lorri 401b'!N2835,'Retirement Calculator'!A:A,0),0),0)</f>
        <v>0</v>
      </c>
      <c r="K2835" s="455">
        <f t="shared" ca="1" si="138"/>
        <v>-227595892.82818887</v>
      </c>
      <c r="L2835" s="455">
        <f t="shared" ca="1" si="139"/>
        <v>-54850610171.593513</v>
      </c>
      <c r="M2835" s="471">
        <f t="shared" si="141"/>
        <v>0.05</v>
      </c>
      <c r="N2835" s="475">
        <f t="shared" si="142"/>
        <v>137333</v>
      </c>
    </row>
    <row r="2836" spans="7:14" ht="11.25" customHeight="1" x14ac:dyDescent="0.3">
      <c r="G2836" s="470"/>
      <c r="H2836" s="470">
        <v>2829</v>
      </c>
      <c r="I2836" s="455">
        <f t="shared" ca="1" si="140"/>
        <v>-54850610171.593513</v>
      </c>
      <c r="J2836" s="455">
        <f t="array" ref="J2836">IFERROR(INDEX('Retirement Calculator'!K:K,MATCH('Lorri 401b'!N2836,'Retirement Calculator'!A:A,0),0),0)</f>
        <v>0</v>
      </c>
      <c r="K2836" s="455">
        <f t="shared" ca="1" si="138"/>
        <v>-228544209.04830635</v>
      </c>
      <c r="L2836" s="455">
        <f t="shared" ca="1" si="139"/>
        <v>-55079154380.641823</v>
      </c>
      <c r="M2836" s="471">
        <f t="shared" si="141"/>
        <v>0.05</v>
      </c>
      <c r="N2836" s="475">
        <f t="shared" si="142"/>
        <v>137364</v>
      </c>
    </row>
    <row r="2837" spans="7:14" ht="11.25" customHeight="1" x14ac:dyDescent="0.3">
      <c r="G2837" s="470"/>
      <c r="H2837" s="470">
        <v>2830</v>
      </c>
      <c r="I2837" s="455">
        <f t="shared" ca="1" si="140"/>
        <v>-55079154380.641823</v>
      </c>
      <c r="J2837" s="455">
        <f t="array" ref="J2837">IFERROR(INDEX('Retirement Calculator'!K:K,MATCH('Lorri 401b'!N2837,'Retirement Calculator'!A:A,0),0),0)</f>
        <v>0</v>
      </c>
      <c r="K2837" s="455">
        <f t="shared" ca="1" si="138"/>
        <v>-229496476.58600762</v>
      </c>
      <c r="L2837" s="455">
        <f t="shared" ca="1" si="139"/>
        <v>-55308650857.227829</v>
      </c>
      <c r="M2837" s="471">
        <f t="shared" si="141"/>
        <v>0.05</v>
      </c>
      <c r="N2837" s="475">
        <f t="shared" si="142"/>
        <v>137393</v>
      </c>
    </row>
    <row r="2838" spans="7:14" ht="11.25" customHeight="1" x14ac:dyDescent="0.3">
      <c r="G2838" s="470"/>
      <c r="H2838" s="470">
        <v>2831</v>
      </c>
      <c r="I2838" s="455">
        <f t="shared" ca="1" si="140"/>
        <v>-55308650857.227829</v>
      </c>
      <c r="J2838" s="455">
        <f t="array" ref="J2838">IFERROR(INDEX('Retirement Calculator'!K:K,MATCH('Lorri 401b'!N2838,'Retirement Calculator'!A:A,0),0),0)</f>
        <v>0</v>
      </c>
      <c r="K2838" s="455">
        <f t="shared" ca="1" si="138"/>
        <v>-230452711.90511599</v>
      </c>
      <c r="L2838" s="455">
        <f t="shared" ca="1" si="139"/>
        <v>-55539103569.132942</v>
      </c>
      <c r="M2838" s="471">
        <f t="shared" si="141"/>
        <v>0.05</v>
      </c>
      <c r="N2838" s="475">
        <f t="shared" si="142"/>
        <v>137424</v>
      </c>
    </row>
    <row r="2839" spans="7:14" ht="11.25" customHeight="1" x14ac:dyDescent="0.3">
      <c r="G2839" s="470"/>
      <c r="H2839" s="470">
        <v>2832</v>
      </c>
      <c r="I2839" s="455">
        <f t="shared" ca="1" si="140"/>
        <v>-55539103569.132942</v>
      </c>
      <c r="J2839" s="455">
        <f t="array" ref="J2839">IFERROR(INDEX('Retirement Calculator'!K:K,MATCH('Lorri 401b'!N2839,'Retirement Calculator'!A:A,0),0),0)</f>
        <v>0</v>
      </c>
      <c r="K2839" s="455">
        <f t="shared" ca="1" si="138"/>
        <v>-231412931.53805393</v>
      </c>
      <c r="L2839" s="455">
        <f t="shared" ca="1" si="139"/>
        <v>-55770516500.670998</v>
      </c>
      <c r="M2839" s="471">
        <f t="shared" si="141"/>
        <v>0.05</v>
      </c>
      <c r="N2839" s="475">
        <f t="shared" si="142"/>
        <v>137454</v>
      </c>
    </row>
    <row r="2840" spans="7:14" ht="11.25" customHeight="1" x14ac:dyDescent="0.3">
      <c r="G2840" s="470"/>
      <c r="H2840" s="470">
        <v>2833</v>
      </c>
      <c r="I2840" s="455">
        <f t="shared" ca="1" si="140"/>
        <v>-55770516500.670998</v>
      </c>
      <c r="J2840" s="455">
        <f t="array" ref="J2840">IFERROR(INDEX('Retirement Calculator'!K:K,MATCH('Lorri 401b'!N2840,'Retirement Calculator'!A:A,0),0),0)</f>
        <v>0</v>
      </c>
      <c r="K2840" s="455">
        <f t="shared" ca="1" si="138"/>
        <v>-232377152.08612913</v>
      </c>
      <c r="L2840" s="455">
        <f t="shared" ca="1" si="139"/>
        <v>-56002893652.757126</v>
      </c>
      <c r="M2840" s="471">
        <f t="shared" si="141"/>
        <v>0.05</v>
      </c>
      <c r="N2840" s="475">
        <f t="shared" si="142"/>
        <v>137485</v>
      </c>
    </row>
    <row r="2841" spans="7:14" ht="11.25" customHeight="1" x14ac:dyDescent="0.3">
      <c r="G2841" s="470"/>
      <c r="H2841" s="470">
        <v>2834</v>
      </c>
      <c r="I2841" s="455">
        <f t="shared" ca="1" si="140"/>
        <v>-56002893652.757126</v>
      </c>
      <c r="J2841" s="455">
        <f t="array" ref="J2841">IFERROR(INDEX('Retirement Calculator'!K:K,MATCH('Lorri 401b'!N2841,'Retirement Calculator'!A:A,0),0),0)</f>
        <v>0</v>
      </c>
      <c r="K2841" s="455">
        <f t="shared" ca="1" si="138"/>
        <v>-233345390.21982139</v>
      </c>
      <c r="L2841" s="455">
        <f t="shared" ca="1" si="139"/>
        <v>-56236239042.976944</v>
      </c>
      <c r="M2841" s="471">
        <f t="shared" si="141"/>
        <v>0.05</v>
      </c>
      <c r="N2841" s="475">
        <f t="shared" si="142"/>
        <v>137515</v>
      </c>
    </row>
    <row r="2842" spans="7:14" ht="11.25" customHeight="1" x14ac:dyDescent="0.3">
      <c r="G2842" s="470"/>
      <c r="H2842" s="470">
        <v>2835</v>
      </c>
      <c r="I2842" s="455">
        <f t="shared" ca="1" si="140"/>
        <v>-56236239042.976944</v>
      </c>
      <c r="J2842" s="455">
        <f t="array" ref="J2842">IFERROR(INDEX('Retirement Calculator'!K:K,MATCH('Lorri 401b'!N2842,'Retirement Calculator'!A:A,0),0),0)</f>
        <v>0</v>
      </c>
      <c r="K2842" s="455">
        <f t="shared" ca="1" si="138"/>
        <v>-234317662.67907059</v>
      </c>
      <c r="L2842" s="455">
        <f t="shared" ca="1" si="139"/>
        <v>-56470556705.656013</v>
      </c>
      <c r="M2842" s="471">
        <f t="shared" si="141"/>
        <v>0.05</v>
      </c>
      <c r="N2842" s="475">
        <f t="shared" si="142"/>
        <v>137546</v>
      </c>
    </row>
    <row r="2843" spans="7:14" ht="11.25" customHeight="1" x14ac:dyDescent="0.3">
      <c r="G2843" s="470"/>
      <c r="H2843" s="470">
        <v>2836</v>
      </c>
      <c r="I2843" s="455">
        <f t="shared" ca="1" si="140"/>
        <v>-56470556705.656013</v>
      </c>
      <c r="J2843" s="455">
        <f t="array" ref="J2843">IFERROR(INDEX('Retirement Calculator'!K:K,MATCH('Lorri 401b'!N2843,'Retirement Calculator'!A:A,0),0),0)</f>
        <v>0</v>
      </c>
      <c r="K2843" s="455">
        <f t="shared" ca="1" si="138"/>
        <v>-235293986.27356672</v>
      </c>
      <c r="L2843" s="455">
        <f t="shared" ca="1" si="139"/>
        <v>-56705850691.929581</v>
      </c>
      <c r="M2843" s="471">
        <f t="shared" si="141"/>
        <v>0.05</v>
      </c>
      <c r="N2843" s="475">
        <f t="shared" si="142"/>
        <v>137577</v>
      </c>
    </row>
    <row r="2844" spans="7:14" ht="11.25" customHeight="1" x14ac:dyDescent="0.3">
      <c r="G2844" s="470"/>
      <c r="H2844" s="470">
        <v>2837</v>
      </c>
      <c r="I2844" s="455">
        <f t="shared" ca="1" si="140"/>
        <v>-56705850691.929581</v>
      </c>
      <c r="J2844" s="455">
        <f t="array" ref="J2844">IFERROR(INDEX('Retirement Calculator'!K:K,MATCH('Lorri 401b'!N2844,'Retirement Calculator'!A:A,0),0),0)</f>
        <v>0</v>
      </c>
      <c r="K2844" s="455">
        <f t="shared" ca="1" si="138"/>
        <v>-236274377.88303992</v>
      </c>
      <c r="L2844" s="455">
        <f t="shared" ca="1" si="139"/>
        <v>-56942125069.812622</v>
      </c>
      <c r="M2844" s="471">
        <f t="shared" si="141"/>
        <v>0.05</v>
      </c>
      <c r="N2844" s="475">
        <f t="shared" si="142"/>
        <v>137607</v>
      </c>
    </row>
    <row r="2845" spans="7:14" ht="11.25" customHeight="1" x14ac:dyDescent="0.3">
      <c r="G2845" s="470"/>
      <c r="H2845" s="470">
        <v>2838</v>
      </c>
      <c r="I2845" s="455">
        <f t="shared" ca="1" si="140"/>
        <v>-56942125069.812622</v>
      </c>
      <c r="J2845" s="455">
        <f t="array" ref="J2845">IFERROR(INDEX('Retirement Calculator'!K:K,MATCH('Lorri 401b'!N2845,'Retirement Calculator'!A:A,0),0),0)</f>
        <v>0</v>
      </c>
      <c r="K2845" s="455">
        <f t="shared" ca="1" si="138"/>
        <v>-237258854.45755258</v>
      </c>
      <c r="L2845" s="455">
        <f t="shared" ca="1" si="139"/>
        <v>-57179383924.270172</v>
      </c>
      <c r="M2845" s="471">
        <f t="shared" si="141"/>
        <v>0.05</v>
      </c>
      <c r="N2845" s="475">
        <f t="shared" si="142"/>
        <v>137638</v>
      </c>
    </row>
    <row r="2846" spans="7:14" ht="11.25" customHeight="1" x14ac:dyDescent="0.3">
      <c r="G2846" s="470"/>
      <c r="H2846" s="470">
        <v>2839</v>
      </c>
      <c r="I2846" s="455">
        <f t="shared" ca="1" si="140"/>
        <v>-57179383924.270172</v>
      </c>
      <c r="J2846" s="455">
        <f t="array" ref="J2846">IFERROR(INDEX('Retirement Calculator'!K:K,MATCH('Lorri 401b'!N2846,'Retirement Calculator'!A:A,0),0),0)</f>
        <v>0</v>
      </c>
      <c r="K2846" s="455">
        <f t="shared" ca="1" si="138"/>
        <v>-238247433.01779234</v>
      </c>
      <c r="L2846" s="455">
        <f t="shared" ca="1" si="139"/>
        <v>-57417631357.287964</v>
      </c>
      <c r="M2846" s="471">
        <f t="shared" si="141"/>
        <v>0.05</v>
      </c>
      <c r="N2846" s="475">
        <f t="shared" si="142"/>
        <v>137668</v>
      </c>
    </row>
    <row r="2847" spans="7:14" ht="11.25" customHeight="1" x14ac:dyDescent="0.3">
      <c r="G2847" s="470"/>
      <c r="H2847" s="470">
        <v>2840</v>
      </c>
      <c r="I2847" s="455">
        <f t="shared" ca="1" si="140"/>
        <v>-57417631357.287964</v>
      </c>
      <c r="J2847" s="455">
        <f t="array" ref="J2847">IFERROR(INDEX('Retirement Calculator'!K:K,MATCH('Lorri 401b'!N2847,'Retirement Calculator'!A:A,0),0),0)</f>
        <v>0</v>
      </c>
      <c r="K2847" s="455">
        <f t="shared" ca="1" si="138"/>
        <v>-239240130.65536654</v>
      </c>
      <c r="L2847" s="455">
        <f t="shared" ca="1" si="139"/>
        <v>-57656871487.943329</v>
      </c>
      <c r="M2847" s="471">
        <f t="shared" si="141"/>
        <v>0.05</v>
      </c>
      <c r="N2847" s="475">
        <f t="shared" si="142"/>
        <v>137699</v>
      </c>
    </row>
    <row r="2848" spans="7:14" ht="11.25" customHeight="1" x14ac:dyDescent="0.3">
      <c r="G2848" s="470"/>
      <c r="H2848" s="470">
        <v>2841</v>
      </c>
      <c r="I2848" s="455">
        <f t="shared" ca="1" si="140"/>
        <v>-57656871487.943329</v>
      </c>
      <c r="J2848" s="455">
        <f t="array" ref="J2848">IFERROR(INDEX('Retirement Calculator'!K:K,MATCH('Lorri 401b'!N2848,'Retirement Calculator'!A:A,0),0),0)</f>
        <v>0</v>
      </c>
      <c r="K2848" s="455">
        <f t="shared" ca="1" si="138"/>
        <v>-240236964.53309721</v>
      </c>
      <c r="L2848" s="455">
        <f t="shared" ca="1" si="139"/>
        <v>-57897108452.476425</v>
      </c>
      <c r="M2848" s="471">
        <f t="shared" si="141"/>
        <v>0.05</v>
      </c>
      <c r="N2848" s="475">
        <f t="shared" si="142"/>
        <v>137730</v>
      </c>
    </row>
    <row r="2849" spans="7:14" ht="11.25" customHeight="1" x14ac:dyDescent="0.3">
      <c r="G2849" s="470"/>
      <c r="H2849" s="470">
        <v>2842</v>
      </c>
      <c r="I2849" s="455">
        <f t="shared" ca="1" si="140"/>
        <v>-57897108452.476425</v>
      </c>
      <c r="J2849" s="455">
        <f t="array" ref="J2849">IFERROR(INDEX('Retirement Calculator'!K:K,MATCH('Lorri 401b'!N2849,'Retirement Calculator'!A:A,0),0),0)</f>
        <v>0</v>
      </c>
      <c r="K2849" s="455">
        <f t="shared" ca="1" si="138"/>
        <v>-241237951.88531843</v>
      </c>
      <c r="L2849" s="455">
        <f t="shared" ca="1" si="139"/>
        <v>-58138346404.36174</v>
      </c>
      <c r="M2849" s="471">
        <f t="shared" si="141"/>
        <v>0.05</v>
      </c>
      <c r="N2849" s="475">
        <f t="shared" si="142"/>
        <v>137758</v>
      </c>
    </row>
    <row r="2850" spans="7:14" ht="11.25" customHeight="1" x14ac:dyDescent="0.3">
      <c r="G2850" s="470"/>
      <c r="H2850" s="470">
        <v>2843</v>
      </c>
      <c r="I2850" s="455">
        <f t="shared" ca="1" si="140"/>
        <v>-58138346404.36174</v>
      </c>
      <c r="J2850" s="455">
        <f t="array" ref="J2850">IFERROR(INDEX('Retirement Calculator'!K:K,MATCH('Lorri 401b'!N2850,'Retirement Calculator'!A:A,0),0),0)</f>
        <v>0</v>
      </c>
      <c r="K2850" s="455">
        <f t="shared" ca="1" si="138"/>
        <v>-242243110.0181739</v>
      </c>
      <c r="L2850" s="455">
        <f t="shared" ca="1" si="139"/>
        <v>-58380589514.379913</v>
      </c>
      <c r="M2850" s="471">
        <f t="shared" si="141"/>
        <v>0.05</v>
      </c>
      <c r="N2850" s="475">
        <f t="shared" si="142"/>
        <v>137789</v>
      </c>
    </row>
    <row r="2851" spans="7:14" ht="11.25" customHeight="1" x14ac:dyDescent="0.3">
      <c r="G2851" s="470"/>
      <c r="H2851" s="470">
        <v>2844</v>
      </c>
      <c r="I2851" s="455">
        <f t="shared" ca="1" si="140"/>
        <v>-58380589514.379913</v>
      </c>
      <c r="J2851" s="455">
        <f t="array" ref="J2851">IFERROR(INDEX('Retirement Calculator'!K:K,MATCH('Lorri 401b'!N2851,'Retirement Calculator'!A:A,0),0),0)</f>
        <v>0</v>
      </c>
      <c r="K2851" s="455">
        <f t="shared" ca="1" si="138"/>
        <v>-243252456.30991629</v>
      </c>
      <c r="L2851" s="455">
        <f t="shared" ca="1" si="139"/>
        <v>-58623841970.689827</v>
      </c>
      <c r="M2851" s="471">
        <f t="shared" si="141"/>
        <v>0.05</v>
      </c>
      <c r="N2851" s="475">
        <f t="shared" si="142"/>
        <v>137819</v>
      </c>
    </row>
    <row r="2852" spans="7:14" ht="11.25" customHeight="1" x14ac:dyDescent="0.3">
      <c r="G2852" s="470"/>
      <c r="H2852" s="470">
        <v>2845</v>
      </c>
      <c r="I2852" s="455">
        <f t="shared" ca="1" si="140"/>
        <v>-58623841970.689827</v>
      </c>
      <c r="J2852" s="455">
        <f t="array" ref="J2852">IFERROR(INDEX('Retirement Calculator'!K:K,MATCH('Lorri 401b'!N2852,'Retirement Calculator'!A:A,0),0),0)</f>
        <v>0</v>
      </c>
      <c r="K2852" s="455">
        <f t="shared" ca="1" si="138"/>
        <v>-244266008.21120763</v>
      </c>
      <c r="L2852" s="455">
        <f t="shared" ca="1" si="139"/>
        <v>-58868107978.901031</v>
      </c>
      <c r="M2852" s="471">
        <f t="shared" si="141"/>
        <v>0.05</v>
      </c>
      <c r="N2852" s="475">
        <f t="shared" si="142"/>
        <v>137850</v>
      </c>
    </row>
    <row r="2853" spans="7:14" ht="11.25" customHeight="1" x14ac:dyDescent="0.3">
      <c r="G2853" s="470"/>
      <c r="H2853" s="470">
        <v>2846</v>
      </c>
      <c r="I2853" s="455">
        <f t="shared" ca="1" si="140"/>
        <v>-58868107978.901031</v>
      </c>
      <c r="J2853" s="455">
        <f t="array" ref="J2853">IFERROR(INDEX('Retirement Calculator'!K:K,MATCH('Lorri 401b'!N2853,'Retirement Calculator'!A:A,0),0),0)</f>
        <v>0</v>
      </c>
      <c r="K2853" s="455">
        <f t="shared" ca="1" si="138"/>
        <v>-245283783.24542096</v>
      </c>
      <c r="L2853" s="455">
        <f t="shared" ca="1" si="139"/>
        <v>-59113391762.146454</v>
      </c>
      <c r="M2853" s="471">
        <f t="shared" si="141"/>
        <v>0.05</v>
      </c>
      <c r="N2853" s="475">
        <f t="shared" si="142"/>
        <v>137880</v>
      </c>
    </row>
    <row r="2854" spans="7:14" ht="11.25" customHeight="1" x14ac:dyDescent="0.3">
      <c r="G2854" s="470"/>
      <c r="H2854" s="470">
        <v>2847</v>
      </c>
      <c r="I2854" s="455">
        <f t="shared" ca="1" si="140"/>
        <v>-59113391762.146454</v>
      </c>
      <c r="J2854" s="455">
        <f t="array" ref="J2854">IFERROR(INDEX('Retirement Calculator'!K:K,MATCH('Lorri 401b'!N2854,'Retirement Calculator'!A:A,0),0),0)</f>
        <v>0</v>
      </c>
      <c r="K2854" s="455">
        <f t="shared" ca="1" si="138"/>
        <v>-246305799.00894359</v>
      </c>
      <c r="L2854" s="455">
        <f t="shared" ca="1" si="139"/>
        <v>-59359697561.155396</v>
      </c>
      <c r="M2854" s="471">
        <f t="shared" si="141"/>
        <v>0.05</v>
      </c>
      <c r="N2854" s="475">
        <f t="shared" si="142"/>
        <v>137911</v>
      </c>
    </row>
    <row r="2855" spans="7:14" ht="11.25" customHeight="1" x14ac:dyDescent="0.3">
      <c r="G2855" s="470"/>
      <c r="H2855" s="470">
        <v>2848</v>
      </c>
      <c r="I2855" s="455">
        <f t="shared" ca="1" si="140"/>
        <v>-59359697561.155396</v>
      </c>
      <c r="J2855" s="455">
        <f t="array" ref="J2855">IFERROR(INDEX('Retirement Calculator'!K:K,MATCH('Lorri 401b'!N2855,'Retirement Calculator'!A:A,0),0),0)</f>
        <v>0</v>
      </c>
      <c r="K2855" s="455">
        <f t="shared" ca="1" si="138"/>
        <v>-247332073.17148083</v>
      </c>
      <c r="L2855" s="455">
        <f t="shared" ca="1" si="139"/>
        <v>-59607029634.326874</v>
      </c>
      <c r="M2855" s="471">
        <f t="shared" si="141"/>
        <v>0.05</v>
      </c>
      <c r="N2855" s="475">
        <f t="shared" si="142"/>
        <v>137942</v>
      </c>
    </row>
    <row r="2856" spans="7:14" ht="11.25" customHeight="1" x14ac:dyDescent="0.3">
      <c r="G2856" s="470"/>
      <c r="H2856" s="470">
        <v>2849</v>
      </c>
      <c r="I2856" s="455">
        <f t="shared" ca="1" si="140"/>
        <v>-59607029634.326874</v>
      </c>
      <c r="J2856" s="455">
        <f t="array" ref="J2856">IFERROR(INDEX('Retirement Calculator'!K:K,MATCH('Lorri 401b'!N2856,'Retirement Calculator'!A:A,0),0),0)</f>
        <v>0</v>
      </c>
      <c r="K2856" s="455">
        <f t="shared" ca="1" si="138"/>
        <v>-248362623.47636193</v>
      </c>
      <c r="L2856" s="455">
        <f t="shared" ca="1" si="139"/>
        <v>-59855392257.803238</v>
      </c>
      <c r="M2856" s="471">
        <f t="shared" si="141"/>
        <v>0.05</v>
      </c>
      <c r="N2856" s="475">
        <f t="shared" si="142"/>
        <v>137972</v>
      </c>
    </row>
    <row r="2857" spans="7:14" ht="11.25" customHeight="1" x14ac:dyDescent="0.3">
      <c r="G2857" s="470"/>
      <c r="H2857" s="470">
        <v>2850</v>
      </c>
      <c r="I2857" s="455">
        <f t="shared" ca="1" si="140"/>
        <v>-59855392257.803238</v>
      </c>
      <c r="J2857" s="455">
        <f t="array" ref="J2857">IFERROR(INDEX('Retirement Calculator'!K:K,MATCH('Lorri 401b'!N2857,'Retirement Calculator'!A:A,0),0),0)</f>
        <v>0</v>
      </c>
      <c r="K2857" s="455">
        <f t="shared" ca="1" si="138"/>
        <v>-249397467.74084684</v>
      </c>
      <c r="L2857" s="455">
        <f t="shared" ca="1" si="139"/>
        <v>-60104789725.544083</v>
      </c>
      <c r="M2857" s="471">
        <f t="shared" si="141"/>
        <v>0.05</v>
      </c>
      <c r="N2857" s="475">
        <f t="shared" si="142"/>
        <v>138003</v>
      </c>
    </row>
    <row r="2858" spans="7:14" ht="11.25" customHeight="1" x14ac:dyDescent="0.3">
      <c r="G2858" s="470"/>
      <c r="H2858" s="470">
        <v>2851</v>
      </c>
      <c r="I2858" s="455">
        <f t="shared" ca="1" si="140"/>
        <v>-60104789725.544083</v>
      </c>
      <c r="J2858" s="455">
        <f t="array" ref="J2858">IFERROR(INDEX('Retirement Calculator'!K:K,MATCH('Lorri 401b'!N2858,'Retirement Calculator'!A:A,0),0),0)</f>
        <v>0</v>
      </c>
      <c r="K2858" s="455">
        <f t="shared" ca="1" si="138"/>
        <v>-250436623.85643366</v>
      </c>
      <c r="L2858" s="455">
        <f t="shared" ca="1" si="139"/>
        <v>-60355226349.400513</v>
      </c>
      <c r="M2858" s="471">
        <f t="shared" si="141"/>
        <v>0.05</v>
      </c>
      <c r="N2858" s="475">
        <f t="shared" si="142"/>
        <v>138033</v>
      </c>
    </row>
    <row r="2859" spans="7:14" ht="11.25" customHeight="1" x14ac:dyDescent="0.3">
      <c r="G2859" s="470"/>
      <c r="H2859" s="470">
        <v>2852</v>
      </c>
      <c r="I2859" s="455">
        <f t="shared" ca="1" si="140"/>
        <v>-60355226349.400513</v>
      </c>
      <c r="J2859" s="455">
        <f t="array" ref="J2859">IFERROR(INDEX('Retirement Calculator'!K:K,MATCH('Lorri 401b'!N2859,'Retirement Calculator'!A:A,0),0),0)</f>
        <v>0</v>
      </c>
      <c r="K2859" s="455">
        <f t="shared" ca="1" si="138"/>
        <v>-251480109.78916883</v>
      </c>
      <c r="L2859" s="455">
        <f t="shared" ca="1" si="139"/>
        <v>-60606706459.189682</v>
      </c>
      <c r="M2859" s="471">
        <f t="shared" si="141"/>
        <v>0.05</v>
      </c>
      <c r="N2859" s="475">
        <f t="shared" si="142"/>
        <v>138064</v>
      </c>
    </row>
    <row r="2860" spans="7:14" ht="11.25" customHeight="1" x14ac:dyDescent="0.3">
      <c r="G2860" s="470"/>
      <c r="H2860" s="470">
        <v>2853</v>
      </c>
      <c r="I2860" s="455">
        <f t="shared" ca="1" si="140"/>
        <v>-60606706459.189682</v>
      </c>
      <c r="J2860" s="455">
        <f t="array" ref="J2860">IFERROR(INDEX('Retirement Calculator'!K:K,MATCH('Lorri 401b'!N2860,'Retirement Calculator'!A:A,0),0),0)</f>
        <v>0</v>
      </c>
      <c r="K2860" s="455">
        <f t="shared" ca="1" si="138"/>
        <v>-252527943.57995698</v>
      </c>
      <c r="L2860" s="455">
        <f t="shared" ca="1" si="139"/>
        <v>-60859234402.769638</v>
      </c>
      <c r="M2860" s="471">
        <f t="shared" si="141"/>
        <v>0.05</v>
      </c>
      <c r="N2860" s="475">
        <f t="shared" si="142"/>
        <v>138095</v>
      </c>
    </row>
    <row r="2861" spans="7:14" ht="11.25" customHeight="1" x14ac:dyDescent="0.3">
      <c r="G2861" s="470"/>
      <c r="H2861" s="470">
        <v>2854</v>
      </c>
      <c r="I2861" s="455">
        <f t="shared" ca="1" si="140"/>
        <v>-60859234402.769638</v>
      </c>
      <c r="J2861" s="455">
        <f t="array" ref="J2861">IFERROR(INDEX('Retirement Calculator'!K:K,MATCH('Lorri 401b'!N2861,'Retirement Calculator'!A:A,0),0),0)</f>
        <v>0</v>
      </c>
      <c r="K2861" s="455">
        <f t="shared" ca="1" si="138"/>
        <v>-253580143.34487349</v>
      </c>
      <c r="L2861" s="455">
        <f t="shared" ca="1" si="139"/>
        <v>-61112814546.11451</v>
      </c>
      <c r="M2861" s="471">
        <f t="shared" si="141"/>
        <v>0.05</v>
      </c>
      <c r="N2861" s="475">
        <f t="shared" si="142"/>
        <v>138123</v>
      </c>
    </row>
    <row r="2862" spans="7:14" ht="11.25" customHeight="1" x14ac:dyDescent="0.3">
      <c r="G2862" s="470"/>
      <c r="H2862" s="470">
        <v>2855</v>
      </c>
      <c r="I2862" s="455">
        <f t="shared" ca="1" si="140"/>
        <v>-61112814546.11451</v>
      </c>
      <c r="J2862" s="455">
        <f t="array" ref="J2862">IFERROR(INDEX('Retirement Calculator'!K:K,MATCH('Lorri 401b'!N2862,'Retirement Calculator'!A:A,0),0),0)</f>
        <v>0</v>
      </c>
      <c r="K2862" s="455">
        <f t="shared" ca="1" si="138"/>
        <v>-254636727.27547711</v>
      </c>
      <c r="L2862" s="455">
        <f t="shared" ca="1" si="139"/>
        <v>-61367451273.389984</v>
      </c>
      <c r="M2862" s="471">
        <f t="shared" si="141"/>
        <v>0.05</v>
      </c>
      <c r="N2862" s="475">
        <f t="shared" si="142"/>
        <v>138154</v>
      </c>
    </row>
    <row r="2863" spans="7:14" ht="11.25" customHeight="1" x14ac:dyDescent="0.3">
      <c r="G2863" s="470"/>
      <c r="H2863" s="470">
        <v>2856</v>
      </c>
      <c r="I2863" s="455">
        <f t="shared" ca="1" si="140"/>
        <v>-61367451273.389984</v>
      </c>
      <c r="J2863" s="455">
        <f t="array" ref="J2863">IFERROR(INDEX('Retirement Calculator'!K:K,MATCH('Lorri 401b'!N2863,'Retirement Calculator'!A:A,0),0),0)</f>
        <v>0</v>
      </c>
      <c r="K2863" s="455">
        <f t="shared" ca="1" si="138"/>
        <v>-255697713.63912493</v>
      </c>
      <c r="L2863" s="455">
        <f t="shared" ca="1" si="139"/>
        <v>-61623148987.029106</v>
      </c>
      <c r="M2863" s="471">
        <f t="shared" si="141"/>
        <v>0.05</v>
      </c>
      <c r="N2863" s="475">
        <f t="shared" si="142"/>
        <v>138184</v>
      </c>
    </row>
    <row r="2864" spans="7:14" ht="11.25" customHeight="1" x14ac:dyDescent="0.3">
      <c r="G2864" s="470"/>
      <c r="H2864" s="470">
        <v>2857</v>
      </c>
      <c r="I2864" s="455">
        <f t="shared" ca="1" si="140"/>
        <v>-61623148987.029106</v>
      </c>
      <c r="J2864" s="455">
        <f t="array" ref="J2864">IFERROR(INDEX('Retirement Calculator'!K:K,MATCH('Lorri 401b'!N2864,'Retirement Calculator'!A:A,0),0),0)</f>
        <v>0</v>
      </c>
      <c r="K2864" s="455">
        <f t="shared" ca="1" si="138"/>
        <v>-256763120.7792879</v>
      </c>
      <c r="L2864" s="455">
        <f t="shared" ca="1" si="139"/>
        <v>-61879912107.808395</v>
      </c>
      <c r="M2864" s="471">
        <f t="shared" si="141"/>
        <v>0.05</v>
      </c>
      <c r="N2864" s="475">
        <f t="shared" si="142"/>
        <v>138215</v>
      </c>
    </row>
    <row r="2865" spans="7:14" ht="11.25" customHeight="1" x14ac:dyDescent="0.3">
      <c r="G2865" s="470"/>
      <c r="H2865" s="470">
        <v>2858</v>
      </c>
      <c r="I2865" s="455">
        <f t="shared" ca="1" si="140"/>
        <v>-61879912107.808395</v>
      </c>
      <c r="J2865" s="455">
        <f t="array" ref="J2865">IFERROR(INDEX('Retirement Calculator'!K:K,MATCH('Lorri 401b'!N2865,'Retirement Calculator'!A:A,0),0),0)</f>
        <v>0</v>
      </c>
      <c r="K2865" s="455">
        <f t="shared" ca="1" si="138"/>
        <v>-257832967.1158683</v>
      </c>
      <c r="L2865" s="455">
        <f t="shared" ca="1" si="139"/>
        <v>-62137745074.924263</v>
      </c>
      <c r="M2865" s="471">
        <f t="shared" si="141"/>
        <v>0.05</v>
      </c>
      <c r="N2865" s="475">
        <f t="shared" si="142"/>
        <v>138245</v>
      </c>
    </row>
    <row r="2866" spans="7:14" ht="11.25" customHeight="1" x14ac:dyDescent="0.3">
      <c r="G2866" s="470"/>
      <c r="H2866" s="470">
        <v>2859</v>
      </c>
      <c r="I2866" s="455">
        <f t="shared" ca="1" si="140"/>
        <v>-62137745074.924263</v>
      </c>
      <c r="J2866" s="455">
        <f t="array" ref="J2866">IFERROR(INDEX('Retirement Calculator'!K:K,MATCH('Lorri 401b'!N2866,'Retirement Calculator'!A:A,0),0),0)</f>
        <v>0</v>
      </c>
      <c r="K2866" s="455">
        <f t="shared" ca="1" si="138"/>
        <v>-258907271.14551777</v>
      </c>
      <c r="L2866" s="455">
        <f t="shared" ca="1" si="139"/>
        <v>-62396652346.069778</v>
      </c>
      <c r="M2866" s="471">
        <f t="shared" si="141"/>
        <v>0.05</v>
      </c>
      <c r="N2866" s="475">
        <f t="shared" si="142"/>
        <v>138276</v>
      </c>
    </row>
    <row r="2867" spans="7:14" ht="11.25" customHeight="1" x14ac:dyDescent="0.3">
      <c r="G2867" s="470"/>
      <c r="H2867" s="470">
        <v>2860</v>
      </c>
      <c r="I2867" s="455">
        <f t="shared" ca="1" si="140"/>
        <v>-62396652346.069778</v>
      </c>
      <c r="J2867" s="455">
        <f t="array" ref="J2867">IFERROR(INDEX('Retirement Calculator'!K:K,MATCH('Lorri 401b'!N2867,'Retirement Calculator'!A:A,0),0),0)</f>
        <v>0</v>
      </c>
      <c r="K2867" s="455">
        <f t="shared" ca="1" si="138"/>
        <v>-259986051.44195741</v>
      </c>
      <c r="L2867" s="455">
        <f t="shared" ca="1" si="139"/>
        <v>-62656638397.511734</v>
      </c>
      <c r="M2867" s="471">
        <f t="shared" si="141"/>
        <v>0.05</v>
      </c>
      <c r="N2867" s="475">
        <f t="shared" si="142"/>
        <v>138307</v>
      </c>
    </row>
    <row r="2868" spans="7:14" ht="11.25" customHeight="1" x14ac:dyDescent="0.3">
      <c r="G2868" s="470"/>
      <c r="H2868" s="470">
        <v>2861</v>
      </c>
      <c r="I2868" s="455">
        <f t="shared" ca="1" si="140"/>
        <v>-62656638397.511734</v>
      </c>
      <c r="J2868" s="455">
        <f t="array" ref="J2868">IFERROR(INDEX('Retirement Calculator'!K:K,MATCH('Lorri 401b'!N2868,'Retirement Calculator'!A:A,0),0),0)</f>
        <v>0</v>
      </c>
      <c r="K2868" s="455">
        <f t="shared" ca="1" si="138"/>
        <v>-261069326.65629888</v>
      </c>
      <c r="L2868" s="455">
        <f t="shared" ca="1" si="139"/>
        <v>-62917707724.16803</v>
      </c>
      <c r="M2868" s="471">
        <f t="shared" si="141"/>
        <v>0.05</v>
      </c>
      <c r="N2868" s="475">
        <f t="shared" si="142"/>
        <v>138337</v>
      </c>
    </row>
    <row r="2869" spans="7:14" ht="11.25" customHeight="1" x14ac:dyDescent="0.3">
      <c r="G2869" s="470"/>
      <c r="H2869" s="470">
        <v>2862</v>
      </c>
      <c r="I2869" s="455">
        <f t="shared" ca="1" si="140"/>
        <v>-62917707724.16803</v>
      </c>
      <c r="J2869" s="455">
        <f t="array" ref="J2869">IFERROR(INDEX('Retirement Calculator'!K:K,MATCH('Lorri 401b'!N2869,'Retirement Calculator'!A:A,0),0),0)</f>
        <v>0</v>
      </c>
      <c r="K2869" s="455">
        <f t="shared" ca="1" si="138"/>
        <v>-262157115.5173668</v>
      </c>
      <c r="L2869" s="455">
        <f t="shared" ca="1" si="139"/>
        <v>-63179864839.685394</v>
      </c>
      <c r="M2869" s="471">
        <f t="shared" si="141"/>
        <v>0.05</v>
      </c>
      <c r="N2869" s="475">
        <f t="shared" si="142"/>
        <v>138368</v>
      </c>
    </row>
    <row r="2870" spans="7:14" ht="11.25" customHeight="1" x14ac:dyDescent="0.3">
      <c r="G2870" s="470"/>
      <c r="H2870" s="470">
        <v>2863</v>
      </c>
      <c r="I2870" s="455">
        <f t="shared" ca="1" si="140"/>
        <v>-63179864839.685394</v>
      </c>
      <c r="J2870" s="455">
        <f t="array" ref="J2870">IFERROR(INDEX('Retirement Calculator'!K:K,MATCH('Lorri 401b'!N2870,'Retirement Calculator'!A:A,0),0),0)</f>
        <v>0</v>
      </c>
      <c r="K2870" s="455">
        <f t="shared" ca="1" si="138"/>
        <v>-263249436.83202243</v>
      </c>
      <c r="L2870" s="455">
        <f t="shared" ca="1" si="139"/>
        <v>-63443114276.517418</v>
      </c>
      <c r="M2870" s="471">
        <f t="shared" si="141"/>
        <v>0.05</v>
      </c>
      <c r="N2870" s="475">
        <f t="shared" si="142"/>
        <v>138398</v>
      </c>
    </row>
    <row r="2871" spans="7:14" ht="11.25" customHeight="1" x14ac:dyDescent="0.3">
      <c r="G2871" s="470"/>
      <c r="H2871" s="470">
        <v>2864</v>
      </c>
      <c r="I2871" s="455">
        <f t="shared" ca="1" si="140"/>
        <v>-63443114276.517418</v>
      </c>
      <c r="J2871" s="455">
        <f t="array" ref="J2871">IFERROR(INDEX('Retirement Calculator'!K:K,MATCH('Lorri 401b'!N2871,'Retirement Calculator'!A:A,0),0),0)</f>
        <v>0</v>
      </c>
      <c r="K2871" s="455">
        <f t="shared" ca="1" si="138"/>
        <v>-264346309.48548925</v>
      </c>
      <c r="L2871" s="455">
        <f t="shared" ca="1" si="139"/>
        <v>-63707460586.002907</v>
      </c>
      <c r="M2871" s="471">
        <f t="shared" si="141"/>
        <v>0.05</v>
      </c>
      <c r="N2871" s="475">
        <f t="shared" si="142"/>
        <v>138429</v>
      </c>
    </row>
    <row r="2872" spans="7:14" ht="11.25" customHeight="1" x14ac:dyDescent="0.3">
      <c r="G2872" s="470"/>
      <c r="H2872" s="470">
        <v>2865</v>
      </c>
      <c r="I2872" s="455">
        <f t="shared" ca="1" si="140"/>
        <v>-63707460586.002907</v>
      </c>
      <c r="J2872" s="455">
        <f t="array" ref="J2872">IFERROR(INDEX('Retirement Calculator'!K:K,MATCH('Lorri 401b'!N2872,'Retirement Calculator'!A:A,0),0),0)</f>
        <v>0</v>
      </c>
      <c r="K2872" s="455">
        <f t="shared" ca="1" si="138"/>
        <v>-265447752.44167876</v>
      </c>
      <c r="L2872" s="455">
        <f t="shared" ca="1" si="139"/>
        <v>-63972908338.444588</v>
      </c>
      <c r="M2872" s="471">
        <f t="shared" si="141"/>
        <v>0.05</v>
      </c>
      <c r="N2872" s="475">
        <f t="shared" si="142"/>
        <v>138460</v>
      </c>
    </row>
    <row r="2873" spans="7:14" ht="11.25" customHeight="1" x14ac:dyDescent="0.3">
      <c r="G2873" s="470"/>
      <c r="H2873" s="470">
        <v>2866</v>
      </c>
      <c r="I2873" s="455">
        <f t="shared" ca="1" si="140"/>
        <v>-63972908338.444588</v>
      </c>
      <c r="J2873" s="455">
        <f t="array" ref="J2873">IFERROR(INDEX('Retirement Calculator'!K:K,MATCH('Lorri 401b'!N2873,'Retirement Calculator'!A:A,0),0),0)</f>
        <v>0</v>
      </c>
      <c r="K2873" s="455">
        <f t="shared" ca="1" si="138"/>
        <v>-266553784.7435191</v>
      </c>
      <c r="L2873" s="455">
        <f t="shared" ca="1" si="139"/>
        <v>-64239462123.18811</v>
      </c>
      <c r="M2873" s="471">
        <f t="shared" si="141"/>
        <v>0.05</v>
      </c>
      <c r="N2873" s="475">
        <f t="shared" si="142"/>
        <v>138488</v>
      </c>
    </row>
    <row r="2874" spans="7:14" ht="11.25" customHeight="1" x14ac:dyDescent="0.3">
      <c r="G2874" s="470"/>
      <c r="H2874" s="470">
        <v>2867</v>
      </c>
      <c r="I2874" s="455">
        <f t="shared" ca="1" si="140"/>
        <v>-64239462123.18811</v>
      </c>
      <c r="J2874" s="455">
        <f t="array" ref="J2874">IFERROR(INDEX('Retirement Calculator'!K:K,MATCH('Lorri 401b'!N2874,'Retirement Calculator'!A:A,0),0),0)</f>
        <v>0</v>
      </c>
      <c r="K2874" s="455">
        <f t="shared" ca="1" si="138"/>
        <v>-267664425.51328379</v>
      </c>
      <c r="L2874" s="455">
        <f t="shared" ca="1" si="139"/>
        <v>-64507126548.701393</v>
      </c>
      <c r="M2874" s="471">
        <f t="shared" si="141"/>
        <v>0.05</v>
      </c>
      <c r="N2874" s="475">
        <f t="shared" si="142"/>
        <v>138519</v>
      </c>
    </row>
    <row r="2875" spans="7:14" ht="11.25" customHeight="1" x14ac:dyDescent="0.3">
      <c r="G2875" s="470"/>
      <c r="H2875" s="470">
        <v>2868</v>
      </c>
      <c r="I2875" s="455">
        <f t="shared" ca="1" si="140"/>
        <v>-64507126548.701393</v>
      </c>
      <c r="J2875" s="455">
        <f t="array" ref="J2875">IFERROR(INDEX('Retirement Calculator'!K:K,MATCH('Lorri 401b'!N2875,'Retirement Calculator'!A:A,0),0),0)</f>
        <v>0</v>
      </c>
      <c r="K2875" s="455">
        <f t="shared" ca="1" si="138"/>
        <v>-268779693.95292252</v>
      </c>
      <c r="L2875" s="455">
        <f t="shared" ca="1" si="139"/>
        <v>-64775906242.654312</v>
      </c>
      <c r="M2875" s="471">
        <f t="shared" si="141"/>
        <v>0.05</v>
      </c>
      <c r="N2875" s="475">
        <f t="shared" si="142"/>
        <v>138549</v>
      </c>
    </row>
    <row r="2876" spans="7:14" ht="11.25" customHeight="1" x14ac:dyDescent="0.3">
      <c r="G2876" s="470"/>
      <c r="H2876" s="470">
        <v>2869</v>
      </c>
      <c r="I2876" s="455">
        <f t="shared" ca="1" si="140"/>
        <v>-64775906242.654312</v>
      </c>
      <c r="J2876" s="455">
        <f t="array" ref="J2876">IFERROR(INDEX('Retirement Calculator'!K:K,MATCH('Lorri 401b'!N2876,'Retirement Calculator'!A:A,0),0),0)</f>
        <v>0</v>
      </c>
      <c r="K2876" s="455">
        <f t="shared" ca="1" si="138"/>
        <v>-269899609.34439296</v>
      </c>
      <c r="L2876" s="455">
        <f t="shared" ca="1" si="139"/>
        <v>-65045805851.998703</v>
      </c>
      <c r="M2876" s="471">
        <f t="shared" si="141"/>
        <v>0.05</v>
      </c>
      <c r="N2876" s="475">
        <f t="shared" si="142"/>
        <v>138580</v>
      </c>
    </row>
    <row r="2877" spans="7:14" ht="11.25" customHeight="1" x14ac:dyDescent="0.3">
      <c r="G2877" s="470"/>
      <c r="H2877" s="470">
        <v>2870</v>
      </c>
      <c r="I2877" s="455">
        <f t="shared" ca="1" si="140"/>
        <v>-65045805851.998703</v>
      </c>
      <c r="J2877" s="455">
        <f t="array" ref="J2877">IFERROR(INDEX('Retirement Calculator'!K:K,MATCH('Lorri 401b'!N2877,'Retirement Calculator'!A:A,0),0),0)</f>
        <v>0</v>
      </c>
      <c r="K2877" s="455">
        <f t="shared" ca="1" si="138"/>
        <v>-271024191.04999459</v>
      </c>
      <c r="L2877" s="455">
        <f t="shared" ca="1" si="139"/>
        <v>-65316830043.048698</v>
      </c>
      <c r="M2877" s="471">
        <f t="shared" si="141"/>
        <v>0.05</v>
      </c>
      <c r="N2877" s="475">
        <f t="shared" si="142"/>
        <v>138610</v>
      </c>
    </row>
    <row r="2878" spans="7:14" ht="11.25" customHeight="1" x14ac:dyDescent="0.3">
      <c r="G2878" s="470"/>
      <c r="H2878" s="470">
        <v>2871</v>
      </c>
      <c r="I2878" s="455">
        <f t="shared" ca="1" si="140"/>
        <v>-65316830043.048698</v>
      </c>
      <c r="J2878" s="455">
        <f t="array" ref="J2878">IFERROR(INDEX('Retirement Calculator'!K:K,MATCH('Lorri 401b'!N2878,'Retirement Calculator'!A:A,0),0),0)</f>
        <v>0</v>
      </c>
      <c r="K2878" s="455">
        <f t="shared" ca="1" si="138"/>
        <v>-272153458.51270288</v>
      </c>
      <c r="L2878" s="455">
        <f t="shared" ca="1" si="139"/>
        <v>-65588983501.561401</v>
      </c>
      <c r="M2878" s="471">
        <f t="shared" si="141"/>
        <v>0.05</v>
      </c>
      <c r="N2878" s="475">
        <f t="shared" si="142"/>
        <v>138641</v>
      </c>
    </row>
    <row r="2879" spans="7:14" ht="11.25" customHeight="1" x14ac:dyDescent="0.3">
      <c r="G2879" s="470"/>
      <c r="H2879" s="470">
        <v>2872</v>
      </c>
      <c r="I2879" s="455">
        <f t="shared" ca="1" si="140"/>
        <v>-65588983501.561401</v>
      </c>
      <c r="J2879" s="455">
        <f t="array" ref="J2879">IFERROR(INDEX('Retirement Calculator'!K:K,MATCH('Lorri 401b'!N2879,'Retirement Calculator'!A:A,0),0),0)</f>
        <v>0</v>
      </c>
      <c r="K2879" s="455">
        <f t="shared" ca="1" si="138"/>
        <v>-273287431.25650585</v>
      </c>
      <c r="L2879" s="455">
        <f t="shared" ca="1" si="139"/>
        <v>-65862270932.817909</v>
      </c>
      <c r="M2879" s="471">
        <f t="shared" si="141"/>
        <v>0.05</v>
      </c>
      <c r="N2879" s="475">
        <f t="shared" si="142"/>
        <v>138672</v>
      </c>
    </row>
    <row r="2880" spans="7:14" ht="11.25" customHeight="1" x14ac:dyDescent="0.3">
      <c r="G2880" s="470"/>
      <c r="H2880" s="470">
        <v>2873</v>
      </c>
      <c r="I2880" s="455">
        <f t="shared" ca="1" si="140"/>
        <v>-65862270932.817909</v>
      </c>
      <c r="J2880" s="455">
        <f t="array" ref="J2880">IFERROR(INDEX('Retirement Calculator'!K:K,MATCH('Lorri 401b'!N2880,'Retirement Calculator'!A:A,0),0),0)</f>
        <v>0</v>
      </c>
      <c r="K2880" s="455">
        <f t="shared" ca="1" si="138"/>
        <v>-274426128.88674128</v>
      </c>
      <c r="L2880" s="455">
        <f t="shared" ca="1" si="139"/>
        <v>-66136697061.704651</v>
      </c>
      <c r="M2880" s="471">
        <f t="shared" si="141"/>
        <v>0.05</v>
      </c>
      <c r="N2880" s="475">
        <f t="shared" si="142"/>
        <v>138702</v>
      </c>
    </row>
    <row r="2881" spans="7:14" ht="11.25" customHeight="1" x14ac:dyDescent="0.3">
      <c r="G2881" s="470"/>
      <c r="H2881" s="470">
        <v>2874</v>
      </c>
      <c r="I2881" s="455">
        <f t="shared" ca="1" si="140"/>
        <v>-66136697061.704651</v>
      </c>
      <c r="J2881" s="455">
        <f t="array" ref="J2881">IFERROR(INDEX('Retirement Calculator'!K:K,MATCH('Lorri 401b'!N2881,'Retirement Calculator'!A:A,0),0),0)</f>
        <v>0</v>
      </c>
      <c r="K2881" s="455">
        <f t="shared" ca="1" si="138"/>
        <v>-275569571.0904361</v>
      </c>
      <c r="L2881" s="455">
        <f t="shared" ca="1" si="139"/>
        <v>-66412266632.79509</v>
      </c>
      <c r="M2881" s="471">
        <f t="shared" si="141"/>
        <v>0.05</v>
      </c>
      <c r="N2881" s="475">
        <f t="shared" si="142"/>
        <v>138733</v>
      </c>
    </row>
    <row r="2882" spans="7:14" ht="11.25" customHeight="1" x14ac:dyDescent="0.3">
      <c r="G2882" s="470"/>
      <c r="H2882" s="470">
        <v>2875</v>
      </c>
      <c r="I2882" s="455">
        <f t="shared" ca="1" si="140"/>
        <v>-66412266632.79509</v>
      </c>
      <c r="J2882" s="455">
        <f t="array" ref="J2882">IFERROR(INDEX('Retirement Calculator'!K:K,MATCH('Lorri 401b'!N2882,'Retirement Calculator'!A:A,0),0),0)</f>
        <v>0</v>
      </c>
      <c r="K2882" s="455">
        <f t="shared" ca="1" si="138"/>
        <v>-276717777.63664621</v>
      </c>
      <c r="L2882" s="455">
        <f t="shared" ca="1" si="139"/>
        <v>-66688984410.431732</v>
      </c>
      <c r="M2882" s="471">
        <f t="shared" si="141"/>
        <v>0.05</v>
      </c>
      <c r="N2882" s="475">
        <f t="shared" si="142"/>
        <v>138763</v>
      </c>
    </row>
    <row r="2883" spans="7:14" ht="11.25" customHeight="1" x14ac:dyDescent="0.3">
      <c r="G2883" s="470"/>
      <c r="H2883" s="470">
        <v>2876</v>
      </c>
      <c r="I2883" s="455">
        <f t="shared" ca="1" si="140"/>
        <v>-66688984410.431732</v>
      </c>
      <c r="J2883" s="455">
        <f t="array" ref="J2883">IFERROR(INDEX('Retirement Calculator'!K:K,MATCH('Lorri 401b'!N2883,'Retirement Calculator'!A:A,0),0),0)</f>
        <v>0</v>
      </c>
      <c r="K2883" s="455">
        <f t="shared" ca="1" si="138"/>
        <v>-277870768.37679887</v>
      </c>
      <c r="L2883" s="455">
        <f t="shared" ca="1" si="139"/>
        <v>-66966855178.808533</v>
      </c>
      <c r="M2883" s="471">
        <f t="shared" si="141"/>
        <v>0.05</v>
      </c>
      <c r="N2883" s="475">
        <f t="shared" si="142"/>
        <v>138794</v>
      </c>
    </row>
    <row r="2884" spans="7:14" ht="11.25" customHeight="1" x14ac:dyDescent="0.3">
      <c r="G2884" s="470"/>
      <c r="H2884" s="470">
        <v>2877</v>
      </c>
      <c r="I2884" s="455">
        <f t="shared" ca="1" si="140"/>
        <v>-66966855178.808533</v>
      </c>
      <c r="J2884" s="455">
        <f t="array" ref="J2884">IFERROR(INDEX('Retirement Calculator'!K:K,MATCH('Lorri 401b'!N2884,'Retirement Calculator'!A:A,0),0),0)</f>
        <v>0</v>
      </c>
      <c r="K2884" s="455">
        <f t="shared" ca="1" si="138"/>
        <v>-279028563.24503553</v>
      </c>
      <c r="L2884" s="455">
        <f t="shared" ca="1" si="139"/>
        <v>-67245883742.053566</v>
      </c>
      <c r="M2884" s="471">
        <f t="shared" si="141"/>
        <v>0.05</v>
      </c>
      <c r="N2884" s="475">
        <f t="shared" si="142"/>
        <v>138825</v>
      </c>
    </row>
    <row r="2885" spans="7:14" ht="11.25" customHeight="1" x14ac:dyDescent="0.3">
      <c r="G2885" s="470"/>
      <c r="H2885" s="470">
        <v>2878</v>
      </c>
      <c r="I2885" s="455">
        <f t="shared" ca="1" si="140"/>
        <v>-67245883742.053566</v>
      </c>
      <c r="J2885" s="455">
        <f t="array" ref="J2885">IFERROR(INDEX('Retirement Calculator'!K:K,MATCH('Lorri 401b'!N2885,'Retirement Calculator'!A:A,0),0),0)</f>
        <v>0</v>
      </c>
      <c r="K2885" s="455">
        <f t="shared" ca="1" si="138"/>
        <v>-280191182.25855649</v>
      </c>
      <c r="L2885" s="455">
        <f t="shared" ca="1" si="139"/>
        <v>-67526074924.312126</v>
      </c>
      <c r="M2885" s="471">
        <f t="shared" si="141"/>
        <v>0.05</v>
      </c>
      <c r="N2885" s="475">
        <f t="shared" si="142"/>
        <v>138854</v>
      </c>
    </row>
    <row r="2886" spans="7:14" ht="11.25" customHeight="1" x14ac:dyDescent="0.3">
      <c r="G2886" s="470"/>
      <c r="H2886" s="470">
        <v>2879</v>
      </c>
      <c r="I2886" s="455">
        <f t="shared" ca="1" si="140"/>
        <v>-67526074924.312126</v>
      </c>
      <c r="J2886" s="455">
        <f t="array" ref="J2886">IFERROR(INDEX('Retirement Calculator'!K:K,MATCH('Lorri 401b'!N2886,'Retirement Calculator'!A:A,0),0),0)</f>
        <v>0</v>
      </c>
      <c r="K2886" s="455">
        <f t="shared" ca="1" si="138"/>
        <v>-281358645.51796716</v>
      </c>
      <c r="L2886" s="455">
        <f t="shared" ca="1" si="139"/>
        <v>-67807433569.830093</v>
      </c>
      <c r="M2886" s="471">
        <f t="shared" si="141"/>
        <v>0.05</v>
      </c>
      <c r="N2886" s="475">
        <f t="shared" si="142"/>
        <v>138885</v>
      </c>
    </row>
    <row r="2887" spans="7:14" ht="11.25" customHeight="1" x14ac:dyDescent="0.3">
      <c r="G2887" s="470"/>
      <c r="H2887" s="470">
        <v>2880</v>
      </c>
      <c r="I2887" s="455">
        <f t="shared" ca="1" si="140"/>
        <v>-67807433569.830093</v>
      </c>
      <c r="J2887" s="455">
        <f t="array" ref="J2887">IFERROR(INDEX('Retirement Calculator'!K:K,MATCH('Lorri 401b'!N2887,'Retirement Calculator'!A:A,0),0),0)</f>
        <v>0</v>
      </c>
      <c r="K2887" s="455">
        <f t="shared" ca="1" si="138"/>
        <v>-282530973.20762539</v>
      </c>
      <c r="L2887" s="455">
        <f t="shared" ca="1" si="139"/>
        <v>-68089964543.03772</v>
      </c>
      <c r="M2887" s="471">
        <f t="shared" si="141"/>
        <v>0.05</v>
      </c>
      <c r="N2887" s="475">
        <f t="shared" si="142"/>
        <v>138915</v>
      </c>
    </row>
    <row r="2888" spans="7:14" ht="11.25" customHeight="1" x14ac:dyDescent="0.3">
      <c r="G2888" s="470"/>
      <c r="H2888" s="470">
        <v>2881</v>
      </c>
      <c r="I2888" s="455">
        <f t="shared" ca="1" si="140"/>
        <v>-68089964543.03772</v>
      </c>
      <c r="J2888" s="455">
        <f t="array" ref="J2888">IFERROR(INDEX('Retirement Calculator'!K:K,MATCH('Lorri 401b'!N2888,'Retirement Calculator'!A:A,0),0),0)</f>
        <v>0</v>
      </c>
      <c r="K2888" s="455">
        <f t="shared" ca="1" si="138"/>
        <v>-283708185.59599048</v>
      </c>
      <c r="L2888" s="455">
        <f t="shared" ca="1" si="139"/>
        <v>-68373672728.633713</v>
      </c>
      <c r="M2888" s="471">
        <f t="shared" si="141"/>
        <v>0.05</v>
      </c>
      <c r="N2888" s="475">
        <f t="shared" si="142"/>
        <v>138946</v>
      </c>
    </row>
    <row r="2889" spans="7:14" ht="11.25" customHeight="1" x14ac:dyDescent="0.3">
      <c r="G2889" s="470"/>
      <c r="H2889" s="470">
        <v>2882</v>
      </c>
      <c r="I2889" s="455">
        <f t="shared" ca="1" si="140"/>
        <v>-68373672728.633713</v>
      </c>
      <c r="J2889" s="455">
        <f t="array" ref="J2889">IFERROR(INDEX('Retirement Calculator'!K:K,MATCH('Lorri 401b'!N2889,'Retirement Calculator'!A:A,0),0),0)</f>
        <v>0</v>
      </c>
      <c r="K2889" s="455">
        <f t="shared" ca="1" si="138"/>
        <v>-284890303.03597379</v>
      </c>
      <c r="L2889" s="455">
        <f t="shared" ca="1" si="139"/>
        <v>-68658563031.669685</v>
      </c>
      <c r="M2889" s="471">
        <f t="shared" si="141"/>
        <v>0.05</v>
      </c>
      <c r="N2889" s="475">
        <f t="shared" si="142"/>
        <v>138976</v>
      </c>
    </row>
    <row r="2890" spans="7:14" ht="11.25" customHeight="1" x14ac:dyDescent="0.3">
      <c r="G2890" s="470"/>
      <c r="H2890" s="470">
        <v>2883</v>
      </c>
      <c r="I2890" s="455">
        <f t="shared" ca="1" si="140"/>
        <v>-68658563031.669685</v>
      </c>
      <c r="J2890" s="455">
        <f t="array" ref="J2890">IFERROR(INDEX('Retirement Calculator'!K:K,MATCH('Lorri 401b'!N2890,'Retirement Calculator'!A:A,0),0),0)</f>
        <v>0</v>
      </c>
      <c r="K2890" s="455">
        <f t="shared" ca="1" si="138"/>
        <v>-286077345.96529037</v>
      </c>
      <c r="L2890" s="455">
        <f t="shared" ca="1" si="139"/>
        <v>-68944640377.634979</v>
      </c>
      <c r="M2890" s="471">
        <f t="shared" si="141"/>
        <v>0.05</v>
      </c>
      <c r="N2890" s="475">
        <f t="shared" si="142"/>
        <v>139007</v>
      </c>
    </row>
    <row r="2891" spans="7:14" ht="11.25" customHeight="1" x14ac:dyDescent="0.3">
      <c r="G2891" s="470"/>
      <c r="H2891" s="470">
        <v>2884</v>
      </c>
      <c r="I2891" s="455">
        <f t="shared" ca="1" si="140"/>
        <v>-68944640377.634979</v>
      </c>
      <c r="J2891" s="455">
        <f t="array" ref="J2891">IFERROR(INDEX('Retirement Calculator'!K:K,MATCH('Lorri 401b'!N2891,'Retirement Calculator'!A:A,0),0),0)</f>
        <v>0</v>
      </c>
      <c r="K2891" s="455">
        <f t="shared" ca="1" si="138"/>
        <v>-287269334.90681243</v>
      </c>
      <c r="L2891" s="455">
        <f t="shared" ca="1" si="139"/>
        <v>-69231909712.541794</v>
      </c>
      <c r="M2891" s="471">
        <f t="shared" si="141"/>
        <v>0.05</v>
      </c>
      <c r="N2891" s="475">
        <f t="shared" si="142"/>
        <v>139038</v>
      </c>
    </row>
    <row r="2892" spans="7:14" ht="11.25" customHeight="1" x14ac:dyDescent="0.3">
      <c r="G2892" s="470"/>
      <c r="H2892" s="470">
        <v>2885</v>
      </c>
      <c r="I2892" s="455">
        <f t="shared" ca="1" si="140"/>
        <v>-69231909712.541794</v>
      </c>
      <c r="J2892" s="455">
        <f t="array" ref="J2892">IFERROR(INDEX('Retirement Calculator'!K:K,MATCH('Lorri 401b'!N2892,'Retirement Calculator'!A:A,0),0),0)</f>
        <v>0</v>
      </c>
      <c r="K2892" s="455">
        <f t="shared" ca="1" si="138"/>
        <v>-288466290.46892416</v>
      </c>
      <c r="L2892" s="455">
        <f t="shared" ca="1" si="139"/>
        <v>-69520376003.010712</v>
      </c>
      <c r="M2892" s="471">
        <f t="shared" si="141"/>
        <v>0.05</v>
      </c>
      <c r="N2892" s="475">
        <f t="shared" si="142"/>
        <v>139068</v>
      </c>
    </row>
    <row r="2893" spans="7:14" ht="11.25" customHeight="1" x14ac:dyDescent="0.3">
      <c r="G2893" s="470"/>
      <c r="H2893" s="470">
        <v>2886</v>
      </c>
      <c r="I2893" s="455">
        <f t="shared" ca="1" si="140"/>
        <v>-69520376003.010712</v>
      </c>
      <c r="J2893" s="455">
        <f t="array" ref="J2893">IFERROR(INDEX('Retirement Calculator'!K:K,MATCH('Lorri 401b'!N2893,'Retirement Calculator'!A:A,0),0),0)</f>
        <v>0</v>
      </c>
      <c r="K2893" s="455">
        <f t="shared" ca="1" si="138"/>
        <v>-289668233.34587795</v>
      </c>
      <c r="L2893" s="455">
        <f t="shared" ca="1" si="139"/>
        <v>-69810044236.356583</v>
      </c>
      <c r="M2893" s="471">
        <f t="shared" si="141"/>
        <v>0.05</v>
      </c>
      <c r="N2893" s="475">
        <f t="shared" si="142"/>
        <v>139099</v>
      </c>
    </row>
    <row r="2894" spans="7:14" ht="11.25" customHeight="1" x14ac:dyDescent="0.3">
      <c r="G2894" s="470"/>
      <c r="H2894" s="470">
        <v>2887</v>
      </c>
      <c r="I2894" s="455">
        <f t="shared" ca="1" si="140"/>
        <v>-69810044236.356583</v>
      </c>
      <c r="J2894" s="455">
        <f t="array" ref="J2894">IFERROR(INDEX('Retirement Calculator'!K:K,MATCH('Lorri 401b'!N2894,'Retirement Calculator'!A:A,0),0),0)</f>
        <v>0</v>
      </c>
      <c r="K2894" s="455">
        <f t="shared" ca="1" si="138"/>
        <v>-290875184.31815243</v>
      </c>
      <c r="L2894" s="455">
        <f t="shared" ca="1" si="139"/>
        <v>-70100919420.674728</v>
      </c>
      <c r="M2894" s="471">
        <f t="shared" si="141"/>
        <v>0.05</v>
      </c>
      <c r="N2894" s="475">
        <f t="shared" si="142"/>
        <v>139129</v>
      </c>
    </row>
    <row r="2895" spans="7:14" ht="11.25" customHeight="1" x14ac:dyDescent="0.3">
      <c r="G2895" s="470"/>
      <c r="H2895" s="470">
        <v>2888</v>
      </c>
      <c r="I2895" s="455">
        <f t="shared" ca="1" si="140"/>
        <v>-70100919420.674728</v>
      </c>
      <c r="J2895" s="455">
        <f t="array" ref="J2895">IFERROR(INDEX('Retirement Calculator'!K:K,MATCH('Lorri 401b'!N2895,'Retirement Calculator'!A:A,0),0),0)</f>
        <v>0</v>
      </c>
      <c r="K2895" s="455">
        <f t="shared" ca="1" si="138"/>
        <v>-292087164.25281137</v>
      </c>
      <c r="L2895" s="455">
        <f t="shared" ca="1" si="139"/>
        <v>-70393006584.927536</v>
      </c>
      <c r="M2895" s="471">
        <f t="shared" si="141"/>
        <v>0.05</v>
      </c>
      <c r="N2895" s="475">
        <f t="shared" si="142"/>
        <v>139160</v>
      </c>
    </row>
    <row r="2896" spans="7:14" ht="11.25" customHeight="1" x14ac:dyDescent="0.3">
      <c r="G2896" s="470"/>
      <c r="H2896" s="470">
        <v>2889</v>
      </c>
      <c r="I2896" s="455">
        <f t="shared" ca="1" si="140"/>
        <v>-70393006584.927536</v>
      </c>
      <c r="J2896" s="455">
        <f t="array" ref="J2896">IFERROR(INDEX('Retirement Calculator'!K:K,MATCH('Lorri 401b'!N2896,'Retirement Calculator'!A:A,0),0),0)</f>
        <v>0</v>
      </c>
      <c r="K2896" s="455">
        <f t="shared" ca="1" si="138"/>
        <v>-293304194.10386473</v>
      </c>
      <c r="L2896" s="455">
        <f t="shared" ca="1" si="139"/>
        <v>-70686310779.031403</v>
      </c>
      <c r="M2896" s="471">
        <f t="shared" si="141"/>
        <v>0.05</v>
      </c>
      <c r="N2896" s="475">
        <f t="shared" si="142"/>
        <v>139191</v>
      </c>
    </row>
    <row r="2897" spans="7:14" ht="11.25" customHeight="1" x14ac:dyDescent="0.3">
      <c r="G2897" s="470"/>
      <c r="H2897" s="470">
        <v>2890</v>
      </c>
      <c r="I2897" s="455">
        <f t="shared" ca="1" si="140"/>
        <v>-70686310779.031403</v>
      </c>
      <c r="J2897" s="455">
        <f t="array" ref="J2897">IFERROR(INDEX('Retirement Calculator'!K:K,MATCH('Lorri 401b'!N2897,'Retirement Calculator'!A:A,0),0),0)</f>
        <v>0</v>
      </c>
      <c r="K2897" s="455">
        <f t="shared" ca="1" si="138"/>
        <v>-294526294.91263086</v>
      </c>
      <c r="L2897" s="455">
        <f t="shared" ca="1" si="139"/>
        <v>-70980837073.944031</v>
      </c>
      <c r="M2897" s="471">
        <f t="shared" si="141"/>
        <v>0.05</v>
      </c>
      <c r="N2897" s="475">
        <f t="shared" si="142"/>
        <v>139219</v>
      </c>
    </row>
    <row r="2898" spans="7:14" ht="11.25" customHeight="1" x14ac:dyDescent="0.3">
      <c r="G2898" s="470"/>
      <c r="H2898" s="470">
        <v>2891</v>
      </c>
      <c r="I2898" s="455">
        <f t="shared" ca="1" si="140"/>
        <v>-70980837073.944031</v>
      </c>
      <c r="J2898" s="455">
        <f t="array" ref="J2898">IFERROR(INDEX('Retirement Calculator'!K:K,MATCH('Lorri 401b'!N2898,'Retirement Calculator'!A:A,0),0),0)</f>
        <v>0</v>
      </c>
      <c r="K2898" s="455">
        <f t="shared" ca="1" si="138"/>
        <v>-295753487.8081001</v>
      </c>
      <c r="L2898" s="455">
        <f t="shared" ca="1" si="139"/>
        <v>-71276590561.752136</v>
      </c>
      <c r="M2898" s="471">
        <f t="shared" si="141"/>
        <v>0.05</v>
      </c>
      <c r="N2898" s="475">
        <f t="shared" si="142"/>
        <v>139250</v>
      </c>
    </row>
    <row r="2899" spans="7:14" ht="11.25" customHeight="1" x14ac:dyDescent="0.3">
      <c r="G2899" s="470"/>
      <c r="H2899" s="470">
        <v>2892</v>
      </c>
      <c r="I2899" s="455">
        <f t="shared" ca="1" si="140"/>
        <v>-71276590561.752136</v>
      </c>
      <c r="J2899" s="455">
        <f t="array" ref="J2899">IFERROR(INDEX('Retirement Calculator'!K:K,MATCH('Lorri 401b'!N2899,'Retirement Calculator'!A:A,0),0),0)</f>
        <v>0</v>
      </c>
      <c r="K2899" s="455">
        <f t="shared" ca="1" si="138"/>
        <v>-296985794.00730056</v>
      </c>
      <c r="L2899" s="455">
        <f t="shared" ca="1" si="139"/>
        <v>-71573576355.75943</v>
      </c>
      <c r="M2899" s="471">
        <f t="shared" si="141"/>
        <v>0.05</v>
      </c>
      <c r="N2899" s="475">
        <f t="shared" si="142"/>
        <v>139280</v>
      </c>
    </row>
    <row r="2900" spans="7:14" ht="11.25" customHeight="1" x14ac:dyDescent="0.3">
      <c r="G2900" s="470"/>
      <c r="H2900" s="470">
        <v>2893</v>
      </c>
      <c r="I2900" s="455">
        <f t="shared" ca="1" si="140"/>
        <v>-71573576355.75943</v>
      </c>
      <c r="J2900" s="455">
        <f t="array" ref="J2900">IFERROR(INDEX('Retirement Calculator'!K:K,MATCH('Lorri 401b'!N2900,'Retirement Calculator'!A:A,0),0),0)</f>
        <v>0</v>
      </c>
      <c r="K2900" s="455">
        <f t="shared" ca="1" si="138"/>
        <v>-298223234.81566429</v>
      </c>
      <c r="L2900" s="455">
        <f t="shared" ca="1" si="139"/>
        <v>-71871799590.575089</v>
      </c>
      <c r="M2900" s="471">
        <f t="shared" si="141"/>
        <v>0.05</v>
      </c>
      <c r="N2900" s="475">
        <f t="shared" si="142"/>
        <v>139311</v>
      </c>
    </row>
    <row r="2901" spans="7:14" ht="11.25" customHeight="1" x14ac:dyDescent="0.3">
      <c r="G2901" s="470"/>
      <c r="H2901" s="470">
        <v>2894</v>
      </c>
      <c r="I2901" s="455">
        <f t="shared" ca="1" si="140"/>
        <v>-71871799590.575089</v>
      </c>
      <c r="J2901" s="455">
        <f t="array" ref="J2901">IFERROR(INDEX('Retirement Calculator'!K:K,MATCH('Lorri 401b'!N2901,'Retirement Calculator'!A:A,0),0),0)</f>
        <v>0</v>
      </c>
      <c r="K2901" s="455">
        <f t="shared" ca="1" si="138"/>
        <v>-299465831.62739623</v>
      </c>
      <c r="L2901" s="455">
        <f t="shared" ca="1" si="139"/>
        <v>-72171265422.202484</v>
      </c>
      <c r="M2901" s="471">
        <f t="shared" si="141"/>
        <v>0.05</v>
      </c>
      <c r="N2901" s="475">
        <f t="shared" si="142"/>
        <v>139341</v>
      </c>
    </row>
    <row r="2902" spans="7:14" ht="11.25" customHeight="1" x14ac:dyDescent="0.3">
      <c r="G2902" s="470"/>
      <c r="H2902" s="470">
        <v>2895</v>
      </c>
      <c r="I2902" s="455">
        <f t="shared" ca="1" si="140"/>
        <v>-72171265422.202484</v>
      </c>
      <c r="J2902" s="455">
        <f t="array" ref="J2902">IFERROR(INDEX('Retirement Calculator'!K:K,MATCH('Lorri 401b'!N2902,'Retirement Calculator'!A:A,0),0),0)</f>
        <v>0</v>
      </c>
      <c r="K2902" s="455">
        <f t="shared" ca="1" si="138"/>
        <v>-300713605.92584366</v>
      </c>
      <c r="L2902" s="455">
        <f t="shared" ca="1" si="139"/>
        <v>-72471979028.128326</v>
      </c>
      <c r="M2902" s="471">
        <f t="shared" si="141"/>
        <v>0.05</v>
      </c>
      <c r="N2902" s="475">
        <f t="shared" si="142"/>
        <v>139372</v>
      </c>
    </row>
    <row r="2903" spans="7:14" ht="11.25" customHeight="1" x14ac:dyDescent="0.3">
      <c r="G2903" s="470"/>
      <c r="H2903" s="470">
        <v>2896</v>
      </c>
      <c r="I2903" s="455">
        <f t="shared" ca="1" si="140"/>
        <v>-72471979028.128326</v>
      </c>
      <c r="J2903" s="455">
        <f t="array" ref="J2903">IFERROR(INDEX('Retirement Calculator'!K:K,MATCH('Lorri 401b'!N2903,'Retirement Calculator'!A:A,0),0),0)</f>
        <v>0</v>
      </c>
      <c r="K2903" s="455">
        <f t="shared" ca="1" si="138"/>
        <v>-301966579.28386801</v>
      </c>
      <c r="L2903" s="455">
        <f t="shared" ca="1" si="139"/>
        <v>-72773945607.412201</v>
      </c>
      <c r="M2903" s="471">
        <f t="shared" si="141"/>
        <v>0.05</v>
      </c>
      <c r="N2903" s="475">
        <f t="shared" si="142"/>
        <v>139403</v>
      </c>
    </row>
    <row r="2904" spans="7:14" ht="11.25" customHeight="1" x14ac:dyDescent="0.3">
      <c r="G2904" s="470"/>
      <c r="H2904" s="470">
        <v>2897</v>
      </c>
      <c r="I2904" s="455">
        <f t="shared" ca="1" si="140"/>
        <v>-72773945607.412201</v>
      </c>
      <c r="J2904" s="455">
        <f t="array" ref="J2904">IFERROR(INDEX('Retirement Calculator'!K:K,MATCH('Lorri 401b'!N2904,'Retirement Calculator'!A:A,0),0),0)</f>
        <v>0</v>
      </c>
      <c r="K2904" s="455">
        <f t="shared" ca="1" si="138"/>
        <v>-303224773.36421752</v>
      </c>
      <c r="L2904" s="455">
        <f t="shared" ca="1" si="139"/>
        <v>-73077170380.776413</v>
      </c>
      <c r="M2904" s="471">
        <f t="shared" si="141"/>
        <v>0.05</v>
      </c>
      <c r="N2904" s="475">
        <f t="shared" si="142"/>
        <v>139433</v>
      </c>
    </row>
    <row r="2905" spans="7:14" ht="11.25" customHeight="1" x14ac:dyDescent="0.3">
      <c r="G2905" s="470"/>
      <c r="H2905" s="470">
        <v>2898</v>
      </c>
      <c r="I2905" s="455">
        <f t="shared" ca="1" si="140"/>
        <v>-73077170380.776413</v>
      </c>
      <c r="J2905" s="455">
        <f t="array" ref="J2905">IFERROR(INDEX('Retirement Calculator'!K:K,MATCH('Lorri 401b'!N2905,'Retirement Calculator'!A:A,0),0),0)</f>
        <v>0</v>
      </c>
      <c r="K2905" s="455">
        <f t="shared" ca="1" si="138"/>
        <v>-304488209.91990173</v>
      </c>
      <c r="L2905" s="455">
        <f t="shared" ca="1" si="139"/>
        <v>-73381658590.69632</v>
      </c>
      <c r="M2905" s="471">
        <f t="shared" si="141"/>
        <v>0.05</v>
      </c>
      <c r="N2905" s="475">
        <f t="shared" si="142"/>
        <v>139464</v>
      </c>
    </row>
    <row r="2906" spans="7:14" ht="11.25" customHeight="1" x14ac:dyDescent="0.3">
      <c r="G2906" s="470"/>
      <c r="H2906" s="470">
        <v>2899</v>
      </c>
      <c r="I2906" s="455">
        <f t="shared" ca="1" si="140"/>
        <v>-73381658590.69632</v>
      </c>
      <c r="J2906" s="455">
        <f t="array" ref="J2906">IFERROR(INDEX('Retirement Calculator'!K:K,MATCH('Lorri 401b'!N2906,'Retirement Calculator'!A:A,0),0),0)</f>
        <v>0</v>
      </c>
      <c r="K2906" s="455">
        <f t="shared" ca="1" si="138"/>
        <v>-305756910.794568</v>
      </c>
      <c r="L2906" s="455">
        <f t="shared" ca="1" si="139"/>
        <v>-73687415501.490891</v>
      </c>
      <c r="M2906" s="471">
        <f t="shared" si="141"/>
        <v>0.05</v>
      </c>
      <c r="N2906" s="475">
        <f t="shared" si="142"/>
        <v>139494</v>
      </c>
    </row>
    <row r="2907" spans="7:14" ht="11.25" customHeight="1" x14ac:dyDescent="0.3">
      <c r="G2907" s="470"/>
      <c r="H2907" s="470">
        <v>2900</v>
      </c>
      <c r="I2907" s="455">
        <f t="shared" ca="1" si="140"/>
        <v>-73687415501.490891</v>
      </c>
      <c r="J2907" s="455">
        <f t="array" ref="J2907">IFERROR(INDEX('Retirement Calculator'!K:K,MATCH('Lorri 401b'!N2907,'Retirement Calculator'!A:A,0),0),0)</f>
        <v>0</v>
      </c>
      <c r="K2907" s="455">
        <f t="shared" ca="1" si="138"/>
        <v>-307030897.92287868</v>
      </c>
      <c r="L2907" s="455">
        <f t="shared" ca="1" si="139"/>
        <v>-73994446399.413773</v>
      </c>
      <c r="M2907" s="471">
        <f t="shared" si="141"/>
        <v>0.05</v>
      </c>
      <c r="N2907" s="475">
        <f t="shared" si="142"/>
        <v>139525</v>
      </c>
    </row>
    <row r="2908" spans="7:14" ht="11.25" customHeight="1" x14ac:dyDescent="0.3">
      <c r="G2908" s="470"/>
      <c r="H2908" s="470">
        <v>2901</v>
      </c>
      <c r="I2908" s="455">
        <f t="shared" ca="1" si="140"/>
        <v>-73994446399.413773</v>
      </c>
      <c r="J2908" s="455">
        <f t="array" ref="J2908">IFERROR(INDEX('Retirement Calculator'!K:K,MATCH('Lorri 401b'!N2908,'Retirement Calculator'!A:A,0),0),0)</f>
        <v>0</v>
      </c>
      <c r="K2908" s="455">
        <f t="shared" ca="1" si="138"/>
        <v>-308310193.33089072</v>
      </c>
      <c r="L2908" s="455">
        <f t="shared" ca="1" si="139"/>
        <v>-74302756592.744659</v>
      </c>
      <c r="M2908" s="471">
        <f t="shared" si="141"/>
        <v>0.05</v>
      </c>
      <c r="N2908" s="475">
        <f t="shared" si="142"/>
        <v>139556</v>
      </c>
    </row>
    <row r="2909" spans="7:14" ht="11.25" customHeight="1" x14ac:dyDescent="0.3">
      <c r="G2909" s="470"/>
      <c r="H2909" s="470">
        <v>2902</v>
      </c>
      <c r="I2909" s="455">
        <f t="shared" ca="1" si="140"/>
        <v>-74302756592.744659</v>
      </c>
      <c r="J2909" s="455">
        <f t="array" ref="J2909">IFERROR(INDEX('Retirement Calculator'!K:K,MATCH('Lorri 401b'!N2909,'Retirement Calculator'!A:A,0),0),0)</f>
        <v>0</v>
      </c>
      <c r="K2909" s="455">
        <f t="shared" ca="1" si="138"/>
        <v>-309594819.1364361</v>
      </c>
      <c r="L2909" s="455">
        <f t="shared" ca="1" si="139"/>
        <v>-74612351411.881088</v>
      </c>
      <c r="M2909" s="471">
        <f t="shared" si="141"/>
        <v>0.05</v>
      </c>
      <c r="N2909" s="475">
        <f t="shared" si="142"/>
        <v>139584</v>
      </c>
    </row>
    <row r="2910" spans="7:14" ht="11.25" customHeight="1" x14ac:dyDescent="0.3">
      <c r="G2910" s="470"/>
      <c r="H2910" s="470">
        <v>2903</v>
      </c>
      <c r="I2910" s="455">
        <f t="shared" ca="1" si="140"/>
        <v>-74612351411.881088</v>
      </c>
      <c r="J2910" s="455">
        <f t="array" ref="J2910">IFERROR(INDEX('Retirement Calculator'!K:K,MATCH('Lorri 401b'!N2910,'Retirement Calculator'!A:A,0),0),0)</f>
        <v>0</v>
      </c>
      <c r="K2910" s="455">
        <f t="shared" ca="1" si="138"/>
        <v>-310884797.54950452</v>
      </c>
      <c r="L2910" s="455">
        <f t="shared" ca="1" si="139"/>
        <v>-74923236209.430588</v>
      </c>
      <c r="M2910" s="471">
        <f t="shared" si="141"/>
        <v>0.05</v>
      </c>
      <c r="N2910" s="475">
        <f t="shared" si="142"/>
        <v>139615</v>
      </c>
    </row>
    <row r="2911" spans="7:14" ht="11.25" customHeight="1" x14ac:dyDescent="0.3">
      <c r="G2911" s="470"/>
      <c r="H2911" s="470">
        <v>2904</v>
      </c>
      <c r="I2911" s="455">
        <f t="shared" ca="1" si="140"/>
        <v>-74923236209.430588</v>
      </c>
      <c r="J2911" s="455">
        <f t="array" ref="J2911">IFERROR(INDEX('Retirement Calculator'!K:K,MATCH('Lorri 401b'!N2911,'Retirement Calculator'!A:A,0),0),0)</f>
        <v>0</v>
      </c>
      <c r="K2911" s="455">
        <f t="shared" ca="1" si="138"/>
        <v>-312180150.87262744</v>
      </c>
      <c r="L2911" s="455">
        <f t="shared" ca="1" si="139"/>
        <v>-75235416360.303223</v>
      </c>
      <c r="M2911" s="471">
        <f t="shared" si="141"/>
        <v>0.05</v>
      </c>
      <c r="N2911" s="475">
        <f t="shared" si="142"/>
        <v>139645</v>
      </c>
    </row>
    <row r="2912" spans="7:14" ht="11.25" customHeight="1" x14ac:dyDescent="0.3">
      <c r="G2912" s="470"/>
      <c r="H2912" s="470">
        <v>2905</v>
      </c>
      <c r="I2912" s="455">
        <f t="shared" ca="1" si="140"/>
        <v>-75235416360.303223</v>
      </c>
      <c r="J2912" s="455">
        <f t="array" ref="J2912">IFERROR(INDEX('Retirement Calculator'!K:K,MATCH('Lorri 401b'!N2912,'Retirement Calculator'!A:A,0),0),0)</f>
        <v>0</v>
      </c>
      <c r="K2912" s="455">
        <f t="shared" ca="1" si="138"/>
        <v>-313480901.50126344</v>
      </c>
      <c r="L2912" s="455">
        <f t="shared" ca="1" si="139"/>
        <v>-75548897261.804489</v>
      </c>
      <c r="M2912" s="471">
        <f t="shared" si="141"/>
        <v>0.05</v>
      </c>
      <c r="N2912" s="475">
        <f t="shared" si="142"/>
        <v>139676</v>
      </c>
    </row>
    <row r="2913" spans="7:14" ht="11.25" customHeight="1" x14ac:dyDescent="0.3">
      <c r="G2913" s="470"/>
      <c r="H2913" s="470">
        <v>2906</v>
      </c>
      <c r="I2913" s="455">
        <f t="shared" ca="1" si="140"/>
        <v>-75548897261.804489</v>
      </c>
      <c r="J2913" s="455">
        <f t="array" ref="J2913">IFERROR(INDEX('Retirement Calculator'!K:K,MATCH('Lorri 401b'!N2913,'Retirement Calculator'!A:A,0),0),0)</f>
        <v>0</v>
      </c>
      <c r="K2913" s="455">
        <f t="shared" ca="1" si="138"/>
        <v>-314787071.9241854</v>
      </c>
      <c r="L2913" s="455">
        <f t="shared" ca="1" si="139"/>
        <v>-75863684333.728668</v>
      </c>
      <c r="M2913" s="471">
        <f t="shared" si="141"/>
        <v>0.05</v>
      </c>
      <c r="N2913" s="475">
        <f t="shared" si="142"/>
        <v>139706</v>
      </c>
    </row>
    <row r="2914" spans="7:14" ht="11.25" customHeight="1" x14ac:dyDescent="0.3">
      <c r="G2914" s="470"/>
      <c r="H2914" s="470">
        <v>2907</v>
      </c>
      <c r="I2914" s="455">
        <f t="shared" ca="1" si="140"/>
        <v>-75863684333.728668</v>
      </c>
      <c r="J2914" s="455">
        <f t="array" ref="J2914">IFERROR(INDEX('Retirement Calculator'!K:K,MATCH('Lorri 401b'!N2914,'Retirement Calculator'!A:A,0),0),0)</f>
        <v>0</v>
      </c>
      <c r="K2914" s="455">
        <f t="shared" ca="1" si="138"/>
        <v>-316098684.72386944</v>
      </c>
      <c r="L2914" s="455">
        <f t="shared" ca="1" si="139"/>
        <v>-76179783018.452545</v>
      </c>
      <c r="M2914" s="471">
        <f t="shared" si="141"/>
        <v>0.05</v>
      </c>
      <c r="N2914" s="475">
        <f t="shared" si="142"/>
        <v>139737</v>
      </c>
    </row>
    <row r="2915" spans="7:14" ht="11.25" customHeight="1" x14ac:dyDescent="0.3">
      <c r="G2915" s="470"/>
      <c r="H2915" s="470">
        <v>2908</v>
      </c>
      <c r="I2915" s="455">
        <f t="shared" ca="1" si="140"/>
        <v>-76179783018.452545</v>
      </c>
      <c r="J2915" s="455">
        <f t="array" ref="J2915">IFERROR(INDEX('Retirement Calculator'!K:K,MATCH('Lorri 401b'!N2915,'Retirement Calculator'!A:A,0),0),0)</f>
        <v>0</v>
      </c>
      <c r="K2915" s="455">
        <f t="shared" ca="1" si="138"/>
        <v>-317415762.57688558</v>
      </c>
      <c r="L2915" s="455">
        <f t="shared" ca="1" si="139"/>
        <v>-76497198781.029434</v>
      </c>
      <c r="M2915" s="471">
        <f t="shared" si="141"/>
        <v>0.05</v>
      </c>
      <c r="N2915" s="475">
        <f t="shared" si="142"/>
        <v>139768</v>
      </c>
    </row>
    <row r="2916" spans="7:14" ht="11.25" customHeight="1" x14ac:dyDescent="0.3">
      <c r="G2916" s="470"/>
      <c r="H2916" s="470">
        <v>2909</v>
      </c>
      <c r="I2916" s="455">
        <f t="shared" ca="1" si="140"/>
        <v>-76497198781.029434</v>
      </c>
      <c r="J2916" s="455">
        <f t="array" ref="J2916">IFERROR(INDEX('Retirement Calculator'!K:K,MATCH('Lorri 401b'!N2916,'Retirement Calculator'!A:A,0),0),0)</f>
        <v>0</v>
      </c>
      <c r="K2916" s="455">
        <f t="shared" ca="1" si="138"/>
        <v>-318738328.25428933</v>
      </c>
      <c r="L2916" s="455">
        <f t="shared" ca="1" si="139"/>
        <v>-76815937109.283722</v>
      </c>
      <c r="M2916" s="471">
        <f t="shared" si="141"/>
        <v>0.05</v>
      </c>
      <c r="N2916" s="475">
        <f t="shared" si="142"/>
        <v>139798</v>
      </c>
    </row>
    <row r="2917" spans="7:14" ht="11.25" customHeight="1" x14ac:dyDescent="0.3">
      <c r="G2917" s="470"/>
      <c r="H2917" s="470">
        <v>2910</v>
      </c>
      <c r="I2917" s="455">
        <f t="shared" ca="1" si="140"/>
        <v>-76815937109.283722</v>
      </c>
      <c r="J2917" s="455">
        <f t="array" ref="J2917">IFERROR(INDEX('Retirement Calculator'!K:K,MATCH('Lorri 401b'!N2917,'Retirement Calculator'!A:A,0),0),0)</f>
        <v>0</v>
      </c>
      <c r="K2917" s="455">
        <f t="shared" ca="1" si="138"/>
        <v>-320066404.62201548</v>
      </c>
      <c r="L2917" s="455">
        <f t="shared" ca="1" si="139"/>
        <v>-77136003513.905731</v>
      </c>
      <c r="M2917" s="471">
        <f t="shared" si="141"/>
        <v>0.05</v>
      </c>
      <c r="N2917" s="475">
        <f t="shared" si="142"/>
        <v>139829</v>
      </c>
    </row>
    <row r="2918" spans="7:14" ht="11.25" customHeight="1" x14ac:dyDescent="0.3">
      <c r="G2918" s="470"/>
      <c r="H2918" s="470">
        <v>2911</v>
      </c>
      <c r="I2918" s="455">
        <f t="shared" ca="1" si="140"/>
        <v>-77136003513.905731</v>
      </c>
      <c r="J2918" s="455">
        <f t="array" ref="J2918">IFERROR(INDEX('Retirement Calculator'!K:K,MATCH('Lorri 401b'!N2918,'Retirement Calculator'!A:A,0),0),0)</f>
        <v>0</v>
      </c>
      <c r="K2918" s="455">
        <f t="shared" ca="1" si="138"/>
        <v>-321400014.64127386</v>
      </c>
      <c r="L2918" s="455">
        <f t="shared" ca="1" si="139"/>
        <v>-77457403528.547012</v>
      </c>
      <c r="M2918" s="471">
        <f t="shared" si="141"/>
        <v>0.05</v>
      </c>
      <c r="N2918" s="475">
        <f t="shared" si="142"/>
        <v>139859</v>
      </c>
    </row>
    <row r="2919" spans="7:14" ht="11.25" customHeight="1" x14ac:dyDescent="0.3">
      <c r="G2919" s="470"/>
      <c r="H2919" s="470">
        <v>2912</v>
      </c>
      <c r="I2919" s="455">
        <f t="shared" ca="1" si="140"/>
        <v>-77457403528.547012</v>
      </c>
      <c r="J2919" s="455">
        <f t="array" ref="J2919">IFERROR(INDEX('Retirement Calculator'!K:K,MATCH('Lorri 401b'!N2919,'Retirement Calculator'!A:A,0),0),0)</f>
        <v>0</v>
      </c>
      <c r="K2919" s="455">
        <f t="shared" ca="1" si="138"/>
        <v>-322739181.3689459</v>
      </c>
      <c r="L2919" s="455">
        <f t="shared" ca="1" si="139"/>
        <v>-77780142709.915955</v>
      </c>
      <c r="M2919" s="471">
        <f t="shared" si="141"/>
        <v>0.05</v>
      </c>
      <c r="N2919" s="475">
        <f t="shared" si="142"/>
        <v>139890</v>
      </c>
    </row>
    <row r="2920" spans="7:14" ht="11.25" customHeight="1" x14ac:dyDescent="0.3">
      <c r="G2920" s="470"/>
      <c r="H2920" s="470">
        <v>2913</v>
      </c>
      <c r="I2920" s="455">
        <f t="shared" ca="1" si="140"/>
        <v>-77780142709.915955</v>
      </c>
      <c r="J2920" s="455">
        <f t="array" ref="J2920">IFERROR(INDEX('Retirement Calculator'!K:K,MATCH('Lorri 401b'!N2920,'Retirement Calculator'!A:A,0),0),0)</f>
        <v>0</v>
      </c>
      <c r="K2920" s="455">
        <f t="shared" ca="1" si="138"/>
        <v>-324083927.95798314</v>
      </c>
      <c r="L2920" s="455">
        <f t="shared" ca="1" si="139"/>
        <v>-78104226637.873932</v>
      </c>
      <c r="M2920" s="471">
        <f t="shared" si="141"/>
        <v>0.05</v>
      </c>
      <c r="N2920" s="475">
        <f t="shared" si="142"/>
        <v>139921</v>
      </c>
    </row>
    <row r="2921" spans="7:14" ht="11.25" customHeight="1" x14ac:dyDescent="0.3">
      <c r="G2921" s="470"/>
      <c r="H2921" s="470">
        <v>2914</v>
      </c>
      <c r="I2921" s="455">
        <f t="shared" ca="1" si="140"/>
        <v>-78104226637.873932</v>
      </c>
      <c r="J2921" s="455">
        <f t="array" ref="J2921">IFERROR(INDEX('Retirement Calculator'!K:K,MATCH('Lorri 401b'!N2921,'Retirement Calculator'!A:A,0),0),0)</f>
        <v>0</v>
      </c>
      <c r="K2921" s="455">
        <f t="shared" ca="1" si="138"/>
        <v>-325434277.65780807</v>
      </c>
      <c r="L2921" s="455">
        <f t="shared" ca="1" si="139"/>
        <v>-78429660915.531738</v>
      </c>
      <c r="M2921" s="471">
        <f t="shared" si="141"/>
        <v>0.05</v>
      </c>
      <c r="N2921" s="475">
        <f t="shared" si="142"/>
        <v>139949</v>
      </c>
    </row>
    <row r="2922" spans="7:14" ht="11.25" customHeight="1" x14ac:dyDescent="0.3">
      <c r="G2922" s="470"/>
      <c r="H2922" s="470">
        <v>2915</v>
      </c>
      <c r="I2922" s="455">
        <f t="shared" ca="1" si="140"/>
        <v>-78429660915.531738</v>
      </c>
      <c r="J2922" s="455">
        <f t="array" ref="J2922">IFERROR(INDEX('Retirement Calculator'!K:K,MATCH('Lorri 401b'!N2922,'Retirement Calculator'!A:A,0),0),0)</f>
        <v>0</v>
      </c>
      <c r="K2922" s="455">
        <f t="shared" ca="1" si="138"/>
        <v>-326790253.81471556</v>
      </c>
      <c r="L2922" s="455">
        <f t="shared" ca="1" si="139"/>
        <v>-78756451169.346451</v>
      </c>
      <c r="M2922" s="471">
        <f t="shared" si="141"/>
        <v>0.05</v>
      </c>
      <c r="N2922" s="475">
        <f t="shared" si="142"/>
        <v>139980</v>
      </c>
    </row>
    <row r="2923" spans="7:14" ht="11.25" customHeight="1" x14ac:dyDescent="0.3">
      <c r="G2923" s="470"/>
      <c r="H2923" s="470">
        <v>2916</v>
      </c>
      <c r="I2923" s="455">
        <f t="shared" ca="1" si="140"/>
        <v>-78756451169.346451</v>
      </c>
      <c r="J2923" s="455">
        <f t="array" ref="J2923">IFERROR(INDEX('Retirement Calculator'!K:K,MATCH('Lorri 401b'!N2923,'Retirement Calculator'!A:A,0),0),0)</f>
        <v>0</v>
      </c>
      <c r="K2923" s="455">
        <f t="shared" ca="1" si="138"/>
        <v>-328151879.8722769</v>
      </c>
      <c r="L2923" s="455">
        <f t="shared" ca="1" si="139"/>
        <v>-79084603049.218735</v>
      </c>
      <c r="M2923" s="471">
        <f t="shared" si="141"/>
        <v>0.05</v>
      </c>
      <c r="N2923" s="475">
        <f t="shared" si="142"/>
        <v>140010</v>
      </c>
    </row>
    <row r="2924" spans="7:14" ht="11.25" customHeight="1" x14ac:dyDescent="0.3">
      <c r="G2924" s="470"/>
      <c r="H2924" s="470">
        <v>2917</v>
      </c>
      <c r="I2924" s="455">
        <f t="shared" ca="1" si="140"/>
        <v>-79084603049.218735</v>
      </c>
      <c r="J2924" s="455">
        <f t="array" ref="J2924">IFERROR(INDEX('Retirement Calculator'!K:K,MATCH('Lorri 401b'!N2924,'Retirement Calculator'!A:A,0),0),0)</f>
        <v>0</v>
      </c>
      <c r="K2924" s="455">
        <f t="shared" ca="1" si="138"/>
        <v>-329519179.37174475</v>
      </c>
      <c r="L2924" s="455">
        <f t="shared" ca="1" si="139"/>
        <v>-79414122228.590485</v>
      </c>
      <c r="M2924" s="471">
        <f t="shared" si="141"/>
        <v>0.05</v>
      </c>
      <c r="N2924" s="475">
        <f t="shared" si="142"/>
        <v>140041</v>
      </c>
    </row>
    <row r="2925" spans="7:14" ht="11.25" customHeight="1" x14ac:dyDescent="0.3">
      <c r="G2925" s="470"/>
      <c r="H2925" s="470">
        <v>2918</v>
      </c>
      <c r="I2925" s="455">
        <f t="shared" ca="1" si="140"/>
        <v>-79414122228.590485</v>
      </c>
      <c r="J2925" s="455">
        <f t="array" ref="J2925">IFERROR(INDEX('Retirement Calculator'!K:K,MATCH('Lorri 401b'!N2925,'Retirement Calculator'!A:A,0),0),0)</f>
        <v>0</v>
      </c>
      <c r="K2925" s="455">
        <f t="shared" ca="1" si="138"/>
        <v>-330892175.95246035</v>
      </c>
      <c r="L2925" s="455">
        <f t="shared" ca="1" si="139"/>
        <v>-79745014404.542938</v>
      </c>
      <c r="M2925" s="471">
        <f t="shared" si="141"/>
        <v>0.05</v>
      </c>
      <c r="N2925" s="475">
        <f t="shared" si="142"/>
        <v>140071</v>
      </c>
    </row>
    <row r="2926" spans="7:14" ht="11.25" customHeight="1" x14ac:dyDescent="0.3">
      <c r="G2926" s="470"/>
      <c r="H2926" s="470">
        <v>2919</v>
      </c>
      <c r="I2926" s="455">
        <f t="shared" ca="1" si="140"/>
        <v>-79745014404.542938</v>
      </c>
      <c r="J2926" s="455">
        <f t="array" ref="J2926">IFERROR(INDEX('Retirement Calculator'!K:K,MATCH('Lorri 401b'!N2926,'Retirement Calculator'!A:A,0),0),0)</f>
        <v>0</v>
      </c>
      <c r="K2926" s="455">
        <f t="shared" ca="1" si="138"/>
        <v>-332270893.35226226</v>
      </c>
      <c r="L2926" s="455">
        <f t="shared" ca="1" si="139"/>
        <v>-80077285297.895203</v>
      </c>
      <c r="M2926" s="471">
        <f t="shared" si="141"/>
        <v>0.05</v>
      </c>
      <c r="N2926" s="475">
        <f t="shared" si="142"/>
        <v>140102</v>
      </c>
    </row>
    <row r="2927" spans="7:14" ht="11.25" customHeight="1" x14ac:dyDescent="0.3">
      <c r="G2927" s="470"/>
      <c r="H2927" s="470">
        <v>2920</v>
      </c>
      <c r="I2927" s="455">
        <f t="shared" ca="1" si="140"/>
        <v>-80077285297.895203</v>
      </c>
      <c r="J2927" s="455">
        <f t="array" ref="J2927">IFERROR(INDEX('Retirement Calculator'!K:K,MATCH('Lorri 401b'!N2927,'Retirement Calculator'!A:A,0),0),0)</f>
        <v>0</v>
      </c>
      <c r="K2927" s="455">
        <f t="shared" ca="1" si="138"/>
        <v>-333655355.4078967</v>
      </c>
      <c r="L2927" s="455">
        <f t="shared" ca="1" si="139"/>
        <v>-80410940653.303101</v>
      </c>
      <c r="M2927" s="471">
        <f t="shared" si="141"/>
        <v>0.05</v>
      </c>
      <c r="N2927" s="475">
        <f t="shared" si="142"/>
        <v>140133</v>
      </c>
    </row>
    <row r="2928" spans="7:14" ht="11.25" customHeight="1" x14ac:dyDescent="0.3">
      <c r="G2928" s="470"/>
      <c r="H2928" s="470">
        <v>2921</v>
      </c>
      <c r="I2928" s="455">
        <f t="shared" ca="1" si="140"/>
        <v>-80410940653.303101</v>
      </c>
      <c r="J2928" s="455">
        <f t="array" ref="J2928">IFERROR(INDEX('Retirement Calculator'!K:K,MATCH('Lorri 401b'!N2928,'Retirement Calculator'!A:A,0),0),0)</f>
        <v>0</v>
      </c>
      <c r="K2928" s="455">
        <f t="shared" ca="1" si="138"/>
        <v>-335045586.05542958</v>
      </c>
      <c r="L2928" s="455">
        <f t="shared" ca="1" si="139"/>
        <v>-80745986239.358536</v>
      </c>
      <c r="M2928" s="471">
        <f t="shared" si="141"/>
        <v>0.05</v>
      </c>
      <c r="N2928" s="475">
        <f t="shared" si="142"/>
        <v>140163</v>
      </c>
    </row>
    <row r="2929" spans="7:14" ht="11.25" customHeight="1" x14ac:dyDescent="0.3">
      <c r="G2929" s="470"/>
      <c r="H2929" s="470">
        <v>2922</v>
      </c>
      <c r="I2929" s="455">
        <f t="shared" ca="1" si="140"/>
        <v>-80745986239.358536</v>
      </c>
      <c r="J2929" s="455">
        <f t="array" ref="J2929">IFERROR(INDEX('Retirement Calculator'!K:K,MATCH('Lorri 401b'!N2929,'Retirement Calculator'!A:A,0),0),0)</f>
        <v>0</v>
      </c>
      <c r="K2929" s="455">
        <f t="shared" ca="1" si="138"/>
        <v>-336441609.33066058</v>
      </c>
      <c r="L2929" s="455">
        <f t="shared" ca="1" si="139"/>
        <v>-81082427848.689194</v>
      </c>
      <c r="M2929" s="471">
        <f t="shared" si="141"/>
        <v>0.05</v>
      </c>
      <c r="N2929" s="475">
        <f t="shared" si="142"/>
        <v>140194</v>
      </c>
    </row>
    <row r="2930" spans="7:14" ht="11.25" customHeight="1" x14ac:dyDescent="0.3">
      <c r="G2930" s="470"/>
      <c r="H2930" s="470">
        <v>2923</v>
      </c>
      <c r="I2930" s="455">
        <f t="shared" ca="1" si="140"/>
        <v>-81082427848.689194</v>
      </c>
      <c r="J2930" s="455">
        <f t="array" ref="J2930">IFERROR(INDEX('Retirement Calculator'!K:K,MATCH('Lorri 401b'!N2930,'Retirement Calculator'!A:A,0),0),0)</f>
        <v>0</v>
      </c>
      <c r="K2930" s="455">
        <f t="shared" ca="1" si="138"/>
        <v>-337843449.36953831</v>
      </c>
      <c r="L2930" s="455">
        <f t="shared" ca="1" si="139"/>
        <v>-81420271298.058731</v>
      </c>
      <c r="M2930" s="471">
        <f t="shared" si="141"/>
        <v>0.05</v>
      </c>
      <c r="N2930" s="475">
        <f t="shared" si="142"/>
        <v>140224</v>
      </c>
    </row>
    <row r="2931" spans="7:14" ht="11.25" customHeight="1" x14ac:dyDescent="0.3">
      <c r="G2931" s="470"/>
      <c r="H2931" s="470">
        <v>2924</v>
      </c>
      <c r="I2931" s="455">
        <f t="shared" ca="1" si="140"/>
        <v>-81420271298.058731</v>
      </c>
      <c r="J2931" s="455">
        <f t="array" ref="J2931">IFERROR(INDEX('Retirement Calculator'!K:K,MATCH('Lorri 401b'!N2931,'Retirement Calculator'!A:A,0),0),0)</f>
        <v>0</v>
      </c>
      <c r="K2931" s="455">
        <f t="shared" ca="1" si="138"/>
        <v>-339251130.40857804</v>
      </c>
      <c r="L2931" s="455">
        <f t="shared" ca="1" si="139"/>
        <v>-81759522428.467316</v>
      </c>
      <c r="M2931" s="471">
        <f t="shared" si="141"/>
        <v>0.05</v>
      </c>
      <c r="N2931" s="475">
        <f t="shared" si="142"/>
        <v>140255</v>
      </c>
    </row>
    <row r="2932" spans="7:14" ht="11.25" customHeight="1" x14ac:dyDescent="0.3">
      <c r="G2932" s="470"/>
      <c r="H2932" s="470">
        <v>2925</v>
      </c>
      <c r="I2932" s="455">
        <f t="shared" ca="1" si="140"/>
        <v>-81759522428.467316</v>
      </c>
      <c r="J2932" s="455">
        <f t="array" ref="J2932">IFERROR(INDEX('Retirement Calculator'!K:K,MATCH('Lorri 401b'!N2932,'Retirement Calculator'!A:A,0),0),0)</f>
        <v>0</v>
      </c>
      <c r="K2932" s="455">
        <f t="shared" ca="1" si="138"/>
        <v>-340664676.78528047</v>
      </c>
      <c r="L2932" s="455">
        <f t="shared" ca="1" si="139"/>
        <v>-82100187105.252594</v>
      </c>
      <c r="M2932" s="471">
        <f t="shared" si="141"/>
        <v>0.05</v>
      </c>
      <c r="N2932" s="475">
        <f t="shared" si="142"/>
        <v>140286</v>
      </c>
    </row>
    <row r="2933" spans="7:14" ht="11.25" customHeight="1" x14ac:dyDescent="0.3">
      <c r="G2933" s="470"/>
      <c r="H2933" s="470">
        <v>2926</v>
      </c>
      <c r="I2933" s="455">
        <f t="shared" ca="1" si="140"/>
        <v>-82100187105.252594</v>
      </c>
      <c r="J2933" s="455">
        <f t="array" ref="J2933">IFERROR(INDEX('Retirement Calculator'!K:K,MATCH('Lorri 401b'!N2933,'Retirement Calculator'!A:A,0),0),0)</f>
        <v>0</v>
      </c>
      <c r="K2933" s="455">
        <f t="shared" ca="1" si="138"/>
        <v>-342084112.9385525</v>
      </c>
      <c r="L2933" s="455">
        <f t="shared" ca="1" si="139"/>
        <v>-82442271218.191147</v>
      </c>
      <c r="M2933" s="471">
        <f t="shared" si="141"/>
        <v>0.05</v>
      </c>
      <c r="N2933" s="475">
        <f t="shared" si="142"/>
        <v>140315</v>
      </c>
    </row>
    <row r="2934" spans="7:14" ht="11.25" customHeight="1" x14ac:dyDescent="0.3">
      <c r="G2934" s="470"/>
      <c r="H2934" s="470">
        <v>2927</v>
      </c>
      <c r="I2934" s="455">
        <f t="shared" ca="1" si="140"/>
        <v>-82442271218.191147</v>
      </c>
      <c r="J2934" s="455">
        <f t="array" ref="J2934">IFERROR(INDEX('Retirement Calculator'!K:K,MATCH('Lorri 401b'!N2934,'Retirement Calculator'!A:A,0),0),0)</f>
        <v>0</v>
      </c>
      <c r="K2934" s="455">
        <f t="shared" ca="1" si="138"/>
        <v>-343509463.4091298</v>
      </c>
      <c r="L2934" s="455">
        <f t="shared" ca="1" si="139"/>
        <v>-82785780681.600281</v>
      </c>
      <c r="M2934" s="471">
        <f t="shared" si="141"/>
        <v>0.05</v>
      </c>
      <c r="N2934" s="475">
        <f t="shared" si="142"/>
        <v>140346</v>
      </c>
    </row>
    <row r="2935" spans="7:14" ht="11.25" customHeight="1" x14ac:dyDescent="0.3">
      <c r="G2935" s="470"/>
      <c r="H2935" s="470">
        <v>2928</v>
      </c>
      <c r="I2935" s="455">
        <f t="shared" ca="1" si="140"/>
        <v>-82785780681.600281</v>
      </c>
      <c r="J2935" s="455">
        <f t="array" ref="J2935">IFERROR(INDEX('Retirement Calculator'!K:K,MATCH('Lorri 401b'!N2935,'Retirement Calculator'!A:A,0),0),0)</f>
        <v>0</v>
      </c>
      <c r="K2935" s="455">
        <f t="shared" ca="1" si="138"/>
        <v>-344940752.84000117</v>
      </c>
      <c r="L2935" s="455">
        <f t="shared" ca="1" si="139"/>
        <v>-83130721434.440277</v>
      </c>
      <c r="M2935" s="471">
        <f t="shared" si="141"/>
        <v>0.05</v>
      </c>
      <c r="N2935" s="475">
        <f t="shared" si="142"/>
        <v>140376</v>
      </c>
    </row>
    <row r="2936" spans="7:14" ht="11.25" customHeight="1" x14ac:dyDescent="0.3">
      <c r="G2936" s="470"/>
      <c r="H2936" s="470">
        <v>2929</v>
      </c>
      <c r="I2936" s="455">
        <f t="shared" ca="1" si="140"/>
        <v>-83130721434.440277</v>
      </c>
      <c r="J2936" s="455">
        <f t="array" ref="J2936">IFERROR(INDEX('Retirement Calculator'!K:K,MATCH('Lorri 401b'!N2936,'Retirement Calculator'!A:A,0),0),0)</f>
        <v>0</v>
      </c>
      <c r="K2936" s="455">
        <f t="shared" ca="1" si="138"/>
        <v>-346378005.97683448</v>
      </c>
      <c r="L2936" s="455">
        <f t="shared" ca="1" si="139"/>
        <v>-83477099440.417114</v>
      </c>
      <c r="M2936" s="471">
        <f t="shared" si="141"/>
        <v>0.05</v>
      </c>
      <c r="N2936" s="475">
        <f t="shared" si="142"/>
        <v>140407</v>
      </c>
    </row>
    <row r="2937" spans="7:14" ht="11.25" customHeight="1" x14ac:dyDescent="0.3">
      <c r="G2937" s="470"/>
      <c r="H2937" s="470">
        <v>2930</v>
      </c>
      <c r="I2937" s="455">
        <f t="shared" ca="1" si="140"/>
        <v>-83477099440.417114</v>
      </c>
      <c r="J2937" s="455">
        <f t="array" ref="J2937">IFERROR(INDEX('Retirement Calculator'!K:K,MATCH('Lorri 401b'!N2937,'Retirement Calculator'!A:A,0),0),0)</f>
        <v>0</v>
      </c>
      <c r="K2937" s="455">
        <f t="shared" ca="1" si="138"/>
        <v>-347821247.66840464</v>
      </c>
      <c r="L2937" s="455">
        <f t="shared" ca="1" si="139"/>
        <v>-83824920688.085526</v>
      </c>
      <c r="M2937" s="471">
        <f t="shared" si="141"/>
        <v>0.05</v>
      </c>
      <c r="N2937" s="475">
        <f t="shared" si="142"/>
        <v>140437</v>
      </c>
    </row>
    <row r="2938" spans="7:14" ht="11.25" customHeight="1" x14ac:dyDescent="0.3">
      <c r="G2938" s="470"/>
      <c r="H2938" s="470">
        <v>2931</v>
      </c>
      <c r="I2938" s="455">
        <f t="shared" ca="1" si="140"/>
        <v>-83824920688.085526</v>
      </c>
      <c r="J2938" s="455">
        <f t="array" ref="J2938">IFERROR(INDEX('Retirement Calculator'!K:K,MATCH('Lorri 401b'!N2938,'Retirement Calculator'!A:A,0),0),0)</f>
        <v>0</v>
      </c>
      <c r="K2938" s="455">
        <f t="shared" ca="1" si="138"/>
        <v>-349270502.86702299</v>
      </c>
      <c r="L2938" s="455">
        <f t="shared" ca="1" si="139"/>
        <v>-84174191190.952545</v>
      </c>
      <c r="M2938" s="471">
        <f t="shared" si="141"/>
        <v>0.05</v>
      </c>
      <c r="N2938" s="475">
        <f t="shared" si="142"/>
        <v>140468</v>
      </c>
    </row>
    <row r="2939" spans="7:14" ht="11.25" customHeight="1" x14ac:dyDescent="0.3">
      <c r="G2939" s="470"/>
      <c r="H2939" s="470">
        <v>2932</v>
      </c>
      <c r="I2939" s="455">
        <f t="shared" ca="1" si="140"/>
        <v>-84174191190.952545</v>
      </c>
      <c r="J2939" s="455">
        <f t="array" ref="J2939">IFERROR(INDEX('Retirement Calculator'!K:K,MATCH('Lorri 401b'!N2939,'Retirement Calculator'!A:A,0),0),0)</f>
        <v>0</v>
      </c>
      <c r="K2939" s="455">
        <f t="shared" ca="1" si="138"/>
        <v>-350725796.62896895</v>
      </c>
      <c r="L2939" s="455">
        <f t="shared" ca="1" si="139"/>
        <v>-84524916987.581512</v>
      </c>
      <c r="M2939" s="471">
        <f t="shared" si="141"/>
        <v>0.05</v>
      </c>
      <c r="N2939" s="475">
        <f t="shared" si="142"/>
        <v>140499</v>
      </c>
    </row>
    <row r="2940" spans="7:14" ht="11.25" customHeight="1" x14ac:dyDescent="0.3">
      <c r="G2940" s="470"/>
      <c r="H2940" s="470">
        <v>2933</v>
      </c>
      <c r="I2940" s="455">
        <f t="shared" ca="1" si="140"/>
        <v>-84524916987.581512</v>
      </c>
      <c r="J2940" s="455">
        <f t="array" ref="J2940">IFERROR(INDEX('Retirement Calculator'!K:K,MATCH('Lorri 401b'!N2940,'Retirement Calculator'!A:A,0),0),0)</f>
        <v>0</v>
      </c>
      <c r="K2940" s="455">
        <f t="shared" ca="1" si="138"/>
        <v>-352187154.11492294</v>
      </c>
      <c r="L2940" s="455">
        <f t="shared" ca="1" si="139"/>
        <v>-84877104141.696442</v>
      </c>
      <c r="M2940" s="471">
        <f t="shared" si="141"/>
        <v>0.05</v>
      </c>
      <c r="N2940" s="475">
        <f t="shared" si="142"/>
        <v>140529</v>
      </c>
    </row>
    <row r="2941" spans="7:14" ht="11.25" customHeight="1" x14ac:dyDescent="0.3">
      <c r="G2941" s="470"/>
      <c r="H2941" s="470">
        <v>2934</v>
      </c>
      <c r="I2941" s="455">
        <f t="shared" ca="1" si="140"/>
        <v>-84877104141.696442</v>
      </c>
      <c r="J2941" s="455">
        <f t="array" ref="J2941">IFERROR(INDEX('Retirement Calculator'!K:K,MATCH('Lorri 401b'!N2941,'Retirement Calculator'!A:A,0),0),0)</f>
        <v>0</v>
      </c>
      <c r="K2941" s="455">
        <f t="shared" ca="1" si="138"/>
        <v>-353654600.59040183</v>
      </c>
      <c r="L2941" s="455">
        <f t="shared" ca="1" si="139"/>
        <v>-85230758742.28685</v>
      </c>
      <c r="M2941" s="471">
        <f t="shared" si="141"/>
        <v>0.05</v>
      </c>
      <c r="N2941" s="475">
        <f t="shared" si="142"/>
        <v>140560</v>
      </c>
    </row>
    <row r="2942" spans="7:14" ht="11.25" customHeight="1" x14ac:dyDescent="0.3">
      <c r="G2942" s="470"/>
      <c r="H2942" s="470">
        <v>2935</v>
      </c>
      <c r="I2942" s="455">
        <f t="shared" ca="1" si="140"/>
        <v>-85230758742.28685</v>
      </c>
      <c r="J2942" s="455">
        <f t="array" ref="J2942">IFERROR(INDEX('Retirement Calculator'!K:K,MATCH('Lorri 401b'!N2942,'Retirement Calculator'!A:A,0),0),0)</f>
        <v>0</v>
      </c>
      <c r="K2942" s="455">
        <f t="shared" ca="1" si="138"/>
        <v>-355128161.4261952</v>
      </c>
      <c r="L2942" s="455">
        <f t="shared" ca="1" si="139"/>
        <v>-85585886903.713043</v>
      </c>
      <c r="M2942" s="471">
        <f t="shared" si="141"/>
        <v>0.05</v>
      </c>
      <c r="N2942" s="475">
        <f t="shared" si="142"/>
        <v>140590</v>
      </c>
    </row>
    <row r="2943" spans="7:14" ht="11.25" customHeight="1" x14ac:dyDescent="0.3">
      <c r="G2943" s="470"/>
      <c r="H2943" s="470">
        <v>2936</v>
      </c>
      <c r="I2943" s="455">
        <f t="shared" ca="1" si="140"/>
        <v>-85585886903.713043</v>
      </c>
      <c r="J2943" s="455">
        <f t="array" ref="J2943">IFERROR(INDEX('Retirement Calculator'!K:K,MATCH('Lorri 401b'!N2943,'Retirement Calculator'!A:A,0),0),0)</f>
        <v>0</v>
      </c>
      <c r="K2943" s="455">
        <f t="shared" ca="1" si="138"/>
        <v>-356607862.09880435</v>
      </c>
      <c r="L2943" s="455">
        <f t="shared" ca="1" si="139"/>
        <v>-85942494765.811844</v>
      </c>
      <c r="M2943" s="471">
        <f t="shared" si="141"/>
        <v>0.05</v>
      </c>
      <c r="N2943" s="475">
        <f t="shared" si="142"/>
        <v>140621</v>
      </c>
    </row>
    <row r="2944" spans="7:14" ht="11.25" customHeight="1" x14ac:dyDescent="0.3">
      <c r="G2944" s="470"/>
      <c r="H2944" s="470">
        <v>2937</v>
      </c>
      <c r="I2944" s="455">
        <f t="shared" ca="1" si="140"/>
        <v>-85942494765.811844</v>
      </c>
      <c r="J2944" s="455">
        <f t="array" ref="J2944">IFERROR(INDEX('Retirement Calculator'!K:K,MATCH('Lorri 401b'!N2944,'Retirement Calculator'!A:A,0),0),0)</f>
        <v>0</v>
      </c>
      <c r="K2944" s="455">
        <f t="shared" ca="1" si="138"/>
        <v>-358093728.19088268</v>
      </c>
      <c r="L2944" s="455">
        <f t="shared" ca="1" si="139"/>
        <v>-86300588494.002731</v>
      </c>
      <c r="M2944" s="471">
        <f t="shared" si="141"/>
        <v>0.05</v>
      </c>
      <c r="N2944" s="475">
        <f t="shared" si="142"/>
        <v>140652</v>
      </c>
    </row>
    <row r="2945" spans="7:14" ht="11.25" customHeight="1" x14ac:dyDescent="0.3">
      <c r="G2945" s="470"/>
      <c r="H2945" s="470">
        <v>2938</v>
      </c>
      <c r="I2945" s="455">
        <f t="shared" ca="1" si="140"/>
        <v>-86300588494.002731</v>
      </c>
      <c r="J2945" s="455">
        <f t="array" ref="J2945">IFERROR(INDEX('Retirement Calculator'!K:K,MATCH('Lorri 401b'!N2945,'Retirement Calculator'!A:A,0),0),0)</f>
        <v>0</v>
      </c>
      <c r="K2945" s="455">
        <f t="shared" ca="1" si="138"/>
        <v>-359585785.39167804</v>
      </c>
      <c r="L2945" s="455">
        <f t="shared" ca="1" si="139"/>
        <v>-86660174279.394409</v>
      </c>
      <c r="M2945" s="471">
        <f t="shared" si="141"/>
        <v>0.05</v>
      </c>
      <c r="N2945" s="475">
        <f t="shared" si="142"/>
        <v>140680</v>
      </c>
    </row>
    <row r="2946" spans="7:14" ht="11.25" customHeight="1" x14ac:dyDescent="0.3">
      <c r="G2946" s="470"/>
      <c r="H2946" s="470">
        <v>2939</v>
      </c>
      <c r="I2946" s="455">
        <f t="shared" ca="1" si="140"/>
        <v>-86660174279.394409</v>
      </c>
      <c r="J2946" s="455">
        <f t="array" ref="J2946">IFERROR(INDEX('Retirement Calculator'!K:K,MATCH('Lorri 401b'!N2946,'Retirement Calculator'!A:A,0),0),0)</f>
        <v>0</v>
      </c>
      <c r="K2946" s="455">
        <f t="shared" ca="1" si="138"/>
        <v>-361084059.4974767</v>
      </c>
      <c r="L2946" s="455">
        <f t="shared" ca="1" si="139"/>
        <v>-87021258338.891891</v>
      </c>
      <c r="M2946" s="471">
        <f t="shared" si="141"/>
        <v>0.05</v>
      </c>
      <c r="N2946" s="475">
        <f t="shared" si="142"/>
        <v>140711</v>
      </c>
    </row>
    <row r="2947" spans="7:14" ht="11.25" customHeight="1" x14ac:dyDescent="0.3">
      <c r="G2947" s="470"/>
      <c r="H2947" s="470">
        <v>2940</v>
      </c>
      <c r="I2947" s="455">
        <f t="shared" ca="1" si="140"/>
        <v>-87021258338.891891</v>
      </c>
      <c r="J2947" s="455">
        <f t="array" ref="J2947">IFERROR(INDEX('Retirement Calculator'!K:K,MATCH('Lorri 401b'!N2947,'Retirement Calculator'!A:A,0),0),0)</f>
        <v>0</v>
      </c>
      <c r="K2947" s="455">
        <f t="shared" ca="1" si="138"/>
        <v>-362588576.41204953</v>
      </c>
      <c r="L2947" s="455">
        <f t="shared" ca="1" si="139"/>
        <v>-87383846915.30394</v>
      </c>
      <c r="M2947" s="471">
        <f t="shared" si="141"/>
        <v>0.05</v>
      </c>
      <c r="N2947" s="475">
        <f t="shared" si="142"/>
        <v>140741</v>
      </c>
    </row>
    <row r="2948" spans="7:14" ht="11.25" customHeight="1" x14ac:dyDescent="0.3">
      <c r="G2948" s="470"/>
      <c r="H2948" s="470">
        <v>2941</v>
      </c>
      <c r="I2948" s="455">
        <f t="shared" ca="1" si="140"/>
        <v>-87383846915.30394</v>
      </c>
      <c r="J2948" s="455">
        <f t="array" ref="J2948">IFERROR(INDEX('Retirement Calculator'!K:K,MATCH('Lorri 401b'!N2948,'Retirement Calculator'!A:A,0),0),0)</f>
        <v>0</v>
      </c>
      <c r="K2948" s="455">
        <f t="shared" ca="1" si="138"/>
        <v>-364099362.14709973</v>
      </c>
      <c r="L2948" s="455">
        <f t="shared" ca="1" si="139"/>
        <v>-87747946277.451035</v>
      </c>
      <c r="M2948" s="471">
        <f t="shared" si="141"/>
        <v>0.05</v>
      </c>
      <c r="N2948" s="475">
        <f t="shared" si="142"/>
        <v>140772</v>
      </c>
    </row>
    <row r="2949" spans="7:14" ht="11.25" customHeight="1" x14ac:dyDescent="0.3">
      <c r="G2949" s="470"/>
      <c r="H2949" s="470">
        <v>2942</v>
      </c>
      <c r="I2949" s="455">
        <f t="shared" ca="1" si="140"/>
        <v>-87747946277.451035</v>
      </c>
      <c r="J2949" s="455">
        <f t="array" ref="J2949">IFERROR(INDEX('Retirement Calculator'!K:K,MATCH('Lorri 401b'!N2949,'Retirement Calculator'!A:A,0),0),0)</f>
        <v>0</v>
      </c>
      <c r="K2949" s="455">
        <f t="shared" ca="1" si="138"/>
        <v>-365616442.82271266</v>
      </c>
      <c r="L2949" s="455">
        <f t="shared" ca="1" si="139"/>
        <v>-88113562720.273743</v>
      </c>
      <c r="M2949" s="471">
        <f t="shared" si="141"/>
        <v>0.05</v>
      </c>
      <c r="N2949" s="475">
        <f t="shared" si="142"/>
        <v>140802</v>
      </c>
    </row>
    <row r="2950" spans="7:14" ht="11.25" customHeight="1" x14ac:dyDescent="0.3">
      <c r="G2950" s="470"/>
      <c r="H2950" s="470">
        <v>2943</v>
      </c>
      <c r="I2950" s="455">
        <f t="shared" ca="1" si="140"/>
        <v>-88113562720.273743</v>
      </c>
      <c r="J2950" s="455">
        <f t="array" ref="J2950">IFERROR(INDEX('Retirement Calculator'!K:K,MATCH('Lorri 401b'!N2950,'Retirement Calculator'!A:A,0),0),0)</f>
        <v>0</v>
      </c>
      <c r="K2950" s="455">
        <f t="shared" ca="1" si="138"/>
        <v>-367139844.66780728</v>
      </c>
      <c r="L2950" s="455">
        <f t="shared" ca="1" si="139"/>
        <v>-88480702564.941544</v>
      </c>
      <c r="M2950" s="471">
        <f t="shared" si="141"/>
        <v>0.05</v>
      </c>
      <c r="N2950" s="475">
        <f t="shared" si="142"/>
        <v>140833</v>
      </c>
    </row>
    <row r="2951" spans="7:14" ht="11.25" customHeight="1" x14ac:dyDescent="0.3">
      <c r="G2951" s="470"/>
      <c r="H2951" s="470">
        <v>2944</v>
      </c>
      <c r="I2951" s="455">
        <f t="shared" ca="1" si="140"/>
        <v>-88480702564.941544</v>
      </c>
      <c r="J2951" s="455">
        <f t="array" ref="J2951">IFERROR(INDEX('Retirement Calculator'!K:K,MATCH('Lorri 401b'!N2951,'Retirement Calculator'!A:A,0),0),0)</f>
        <v>0</v>
      </c>
      <c r="K2951" s="455">
        <f t="shared" ca="1" si="138"/>
        <v>-368669594.02058977</v>
      </c>
      <c r="L2951" s="455">
        <f t="shared" ca="1" si="139"/>
        <v>-88849372158.962128</v>
      </c>
      <c r="M2951" s="471">
        <f t="shared" si="141"/>
        <v>0.05</v>
      </c>
      <c r="N2951" s="475">
        <f t="shared" si="142"/>
        <v>140864</v>
      </c>
    </row>
    <row r="2952" spans="7:14" ht="11.25" customHeight="1" x14ac:dyDescent="0.3">
      <c r="G2952" s="470"/>
      <c r="H2952" s="470">
        <v>2945</v>
      </c>
      <c r="I2952" s="455">
        <f t="shared" ca="1" si="140"/>
        <v>-88849372158.962128</v>
      </c>
      <c r="J2952" s="455">
        <f t="array" ref="J2952">IFERROR(INDEX('Retirement Calculator'!K:K,MATCH('Lorri 401b'!N2952,'Retirement Calculator'!A:A,0),0),0)</f>
        <v>0</v>
      </c>
      <c r="K2952" s="455">
        <f t="shared" ca="1" si="138"/>
        <v>-370205717.32900888</v>
      </c>
      <c r="L2952" s="455">
        <f t="shared" ca="1" si="139"/>
        <v>-89219577876.291138</v>
      </c>
      <c r="M2952" s="471">
        <f t="shared" si="141"/>
        <v>0.05</v>
      </c>
      <c r="N2952" s="475">
        <f t="shared" si="142"/>
        <v>140894</v>
      </c>
    </row>
    <row r="2953" spans="7:14" ht="11.25" customHeight="1" x14ac:dyDescent="0.3">
      <c r="G2953" s="470"/>
      <c r="H2953" s="470">
        <v>2946</v>
      </c>
      <c r="I2953" s="455">
        <f t="shared" ca="1" si="140"/>
        <v>-89219577876.291138</v>
      </c>
      <c r="J2953" s="455">
        <f t="array" ref="J2953">IFERROR(INDEX('Retirement Calculator'!K:K,MATCH('Lorri 401b'!N2953,'Retirement Calculator'!A:A,0),0),0)</f>
        <v>0</v>
      </c>
      <c r="K2953" s="455">
        <f t="shared" ca="1" si="138"/>
        <v>-371748241.15121305</v>
      </c>
      <c r="L2953" s="455">
        <f t="shared" ca="1" si="139"/>
        <v>-89591326117.442352</v>
      </c>
      <c r="M2953" s="471">
        <f t="shared" si="141"/>
        <v>0.05</v>
      </c>
      <c r="N2953" s="475">
        <f t="shared" si="142"/>
        <v>140925</v>
      </c>
    </row>
    <row r="2954" spans="7:14" ht="11.25" customHeight="1" x14ac:dyDescent="0.3">
      <c r="G2954" s="470"/>
      <c r="H2954" s="470">
        <v>2947</v>
      </c>
      <c r="I2954" s="455">
        <f t="shared" ca="1" si="140"/>
        <v>-89591326117.442352</v>
      </c>
      <c r="J2954" s="455">
        <f t="array" ref="J2954">IFERROR(INDEX('Retirement Calculator'!K:K,MATCH('Lorri 401b'!N2954,'Retirement Calculator'!A:A,0),0),0)</f>
        <v>0</v>
      </c>
      <c r="K2954" s="455">
        <f t="shared" ca="1" si="138"/>
        <v>-373297192.15600979</v>
      </c>
      <c r="L2954" s="455">
        <f t="shared" ca="1" si="139"/>
        <v>-89964623309.598358</v>
      </c>
      <c r="M2954" s="471">
        <f t="shared" si="141"/>
        <v>0.05</v>
      </c>
      <c r="N2954" s="475">
        <f t="shared" si="142"/>
        <v>140955</v>
      </c>
    </row>
    <row r="2955" spans="7:14" ht="11.25" customHeight="1" x14ac:dyDescent="0.3">
      <c r="G2955" s="470"/>
      <c r="H2955" s="470">
        <v>2948</v>
      </c>
      <c r="I2955" s="455">
        <f t="shared" ca="1" si="140"/>
        <v>-89964623309.598358</v>
      </c>
      <c r="J2955" s="455">
        <f t="array" ref="J2955">IFERROR(INDEX('Retirement Calculator'!K:K,MATCH('Lorri 401b'!N2955,'Retirement Calculator'!A:A,0),0),0)</f>
        <v>0</v>
      </c>
      <c r="K2955" s="455">
        <f t="shared" ca="1" si="138"/>
        <v>-374852597.12332648</v>
      </c>
      <c r="L2955" s="455">
        <f t="shared" ca="1" si="139"/>
        <v>-90339475906.72168</v>
      </c>
      <c r="M2955" s="471">
        <f t="shared" si="141"/>
        <v>0.05</v>
      </c>
      <c r="N2955" s="475">
        <f t="shared" si="142"/>
        <v>140986</v>
      </c>
    </row>
    <row r="2956" spans="7:14" ht="11.25" customHeight="1" x14ac:dyDescent="0.3">
      <c r="G2956" s="470"/>
      <c r="H2956" s="470">
        <v>2949</v>
      </c>
      <c r="I2956" s="455">
        <f t="shared" ca="1" si="140"/>
        <v>-90339475906.72168</v>
      </c>
      <c r="J2956" s="455">
        <f t="array" ref="J2956">IFERROR(INDEX('Retirement Calculator'!K:K,MATCH('Lorri 401b'!N2956,'Retirement Calculator'!A:A,0),0),0)</f>
        <v>0</v>
      </c>
      <c r="K2956" s="455">
        <f t="shared" ca="1" si="138"/>
        <v>-376414482.94467366</v>
      </c>
      <c r="L2956" s="455">
        <f t="shared" ca="1" si="139"/>
        <v>-90715890389.666351</v>
      </c>
      <c r="M2956" s="471">
        <f t="shared" si="141"/>
        <v>0.05</v>
      </c>
      <c r="N2956" s="475">
        <f t="shared" si="142"/>
        <v>141017</v>
      </c>
    </row>
    <row r="2957" spans="7:14" ht="11.25" customHeight="1" x14ac:dyDescent="0.3">
      <c r="G2957" s="470"/>
      <c r="H2957" s="470">
        <v>2950</v>
      </c>
      <c r="I2957" s="455">
        <f t="shared" ca="1" si="140"/>
        <v>-90715890389.666351</v>
      </c>
      <c r="J2957" s="455">
        <f t="array" ref="J2957">IFERROR(INDEX('Retirement Calculator'!K:K,MATCH('Lorri 401b'!N2957,'Retirement Calculator'!A:A,0),0),0)</f>
        <v>0</v>
      </c>
      <c r="K2957" s="455">
        <f t="shared" ca="1" si="138"/>
        <v>-377982876.62360978</v>
      </c>
      <c r="L2957" s="455">
        <f t="shared" ca="1" si="139"/>
        <v>-91093873266.289963</v>
      </c>
      <c r="M2957" s="471">
        <f t="shared" si="141"/>
        <v>0.05</v>
      </c>
      <c r="N2957" s="475">
        <f t="shared" si="142"/>
        <v>141045</v>
      </c>
    </row>
    <row r="2958" spans="7:14" ht="11.25" customHeight="1" x14ac:dyDescent="0.3">
      <c r="G2958" s="470"/>
      <c r="H2958" s="470">
        <v>2951</v>
      </c>
      <c r="I2958" s="455">
        <f t="shared" ca="1" si="140"/>
        <v>-91093873266.289963</v>
      </c>
      <c r="J2958" s="455">
        <f t="array" ref="J2958">IFERROR(INDEX('Retirement Calculator'!K:K,MATCH('Lorri 401b'!N2958,'Retirement Calculator'!A:A,0),0),0)</f>
        <v>0</v>
      </c>
      <c r="K2958" s="455">
        <f t="shared" ca="1" si="138"/>
        <v>-379557805.27620816</v>
      </c>
      <c r="L2958" s="455">
        <f t="shared" ca="1" si="139"/>
        <v>-91473431071.566177</v>
      </c>
      <c r="M2958" s="471">
        <f t="shared" si="141"/>
        <v>0.05</v>
      </c>
      <c r="N2958" s="475">
        <f t="shared" si="142"/>
        <v>141076</v>
      </c>
    </row>
    <row r="2959" spans="7:14" ht="11.25" customHeight="1" x14ac:dyDescent="0.3">
      <c r="G2959" s="470"/>
      <c r="H2959" s="470">
        <v>2952</v>
      </c>
      <c r="I2959" s="455">
        <f t="shared" ca="1" si="140"/>
        <v>-91473431071.566177</v>
      </c>
      <c r="J2959" s="455">
        <f t="array" ref="J2959">IFERROR(INDEX('Retirement Calculator'!K:K,MATCH('Lorri 401b'!N2959,'Retirement Calculator'!A:A,0),0),0)</f>
        <v>0</v>
      </c>
      <c r="K2959" s="455">
        <f t="shared" ca="1" si="138"/>
        <v>-381139296.13152575</v>
      </c>
      <c r="L2959" s="455">
        <f t="shared" ca="1" si="139"/>
        <v>-91854570367.697708</v>
      </c>
      <c r="M2959" s="471">
        <f t="shared" si="141"/>
        <v>0.05</v>
      </c>
      <c r="N2959" s="475">
        <f t="shared" si="142"/>
        <v>141106</v>
      </c>
    </row>
    <row r="2960" spans="7:14" ht="11.25" customHeight="1" x14ac:dyDescent="0.3">
      <c r="G2960" s="470"/>
      <c r="H2960" s="470">
        <v>2953</v>
      </c>
      <c r="I2960" s="455">
        <f t="shared" ca="1" si="140"/>
        <v>-91854570367.697708</v>
      </c>
      <c r="J2960" s="455">
        <f t="array" ref="J2960">IFERROR(INDEX('Retirement Calculator'!K:K,MATCH('Lorri 401b'!N2960,'Retirement Calculator'!A:A,0),0),0)</f>
        <v>0</v>
      </c>
      <c r="K2960" s="455">
        <f t="shared" ca="1" si="138"/>
        <v>-382727376.5320738</v>
      </c>
      <c r="L2960" s="455">
        <f t="shared" ca="1" si="139"/>
        <v>-92237297744.229782</v>
      </c>
      <c r="M2960" s="471">
        <f t="shared" si="141"/>
        <v>0.05</v>
      </c>
      <c r="N2960" s="475">
        <f t="shared" si="142"/>
        <v>141137</v>
      </c>
    </row>
    <row r="2961" spans="7:14" ht="11.25" customHeight="1" x14ac:dyDescent="0.3">
      <c r="G2961" s="470"/>
      <c r="H2961" s="470">
        <v>2954</v>
      </c>
      <c r="I2961" s="455">
        <f t="shared" ca="1" si="140"/>
        <v>-92237297744.229782</v>
      </c>
      <c r="J2961" s="455">
        <f t="array" ref="J2961">IFERROR(INDEX('Retirement Calculator'!K:K,MATCH('Lorri 401b'!N2961,'Retirement Calculator'!A:A,0),0),0)</f>
        <v>0</v>
      </c>
      <c r="K2961" s="455">
        <f t="shared" ca="1" si="138"/>
        <v>-384322073.93429077</v>
      </c>
      <c r="L2961" s="455">
        <f t="shared" ca="1" si="139"/>
        <v>-92621619818.164078</v>
      </c>
      <c r="M2961" s="471">
        <f t="shared" si="141"/>
        <v>0.05</v>
      </c>
      <c r="N2961" s="475">
        <f t="shared" si="142"/>
        <v>141167</v>
      </c>
    </row>
    <row r="2962" spans="7:14" ht="11.25" customHeight="1" x14ac:dyDescent="0.3">
      <c r="G2962" s="470"/>
      <c r="H2962" s="470">
        <v>2955</v>
      </c>
      <c r="I2962" s="455">
        <f t="shared" ca="1" si="140"/>
        <v>-92621619818.164078</v>
      </c>
      <c r="J2962" s="455">
        <f t="array" ref="J2962">IFERROR(INDEX('Retirement Calculator'!K:K,MATCH('Lorri 401b'!N2962,'Retirement Calculator'!A:A,0),0),0)</f>
        <v>0</v>
      </c>
      <c r="K2962" s="455">
        <f t="shared" ca="1" si="138"/>
        <v>-385923415.90901697</v>
      </c>
      <c r="L2962" s="455">
        <f t="shared" ca="1" si="139"/>
        <v>-93007543234.07309</v>
      </c>
      <c r="M2962" s="471">
        <f t="shared" si="141"/>
        <v>0.05</v>
      </c>
      <c r="N2962" s="475">
        <f t="shared" si="142"/>
        <v>141198</v>
      </c>
    </row>
    <row r="2963" spans="7:14" ht="11.25" customHeight="1" x14ac:dyDescent="0.3">
      <c r="G2963" s="470"/>
      <c r="H2963" s="470">
        <v>2956</v>
      </c>
      <c r="I2963" s="455">
        <f t="shared" ca="1" si="140"/>
        <v>-93007543234.07309</v>
      </c>
      <c r="J2963" s="455">
        <f t="array" ref="J2963">IFERROR(INDEX('Retirement Calculator'!K:K,MATCH('Lorri 401b'!N2963,'Retirement Calculator'!A:A,0),0),0)</f>
        <v>0</v>
      </c>
      <c r="K2963" s="455">
        <f t="shared" ca="1" si="138"/>
        <v>-387531430.14197123</v>
      </c>
      <c r="L2963" s="455">
        <f t="shared" ca="1" si="139"/>
        <v>-93395074664.215057</v>
      </c>
      <c r="M2963" s="471">
        <f t="shared" si="141"/>
        <v>0.05</v>
      </c>
      <c r="N2963" s="475">
        <f t="shared" si="142"/>
        <v>141229</v>
      </c>
    </row>
    <row r="2964" spans="7:14" ht="11.25" customHeight="1" x14ac:dyDescent="0.3">
      <c r="G2964" s="470"/>
      <c r="H2964" s="470">
        <v>2957</v>
      </c>
      <c r="I2964" s="455">
        <f t="shared" ca="1" si="140"/>
        <v>-93395074664.215057</v>
      </c>
      <c r="J2964" s="455">
        <f t="array" ref="J2964">IFERROR(INDEX('Retirement Calculator'!K:K,MATCH('Lorri 401b'!N2964,'Retirement Calculator'!A:A,0),0),0)</f>
        <v>0</v>
      </c>
      <c r="K2964" s="455">
        <f t="shared" ca="1" si="138"/>
        <v>-389146144.43422937</v>
      </c>
      <c r="L2964" s="455">
        <f t="shared" ca="1" si="139"/>
        <v>-93784220808.649292</v>
      </c>
      <c r="M2964" s="471">
        <f t="shared" si="141"/>
        <v>0.05</v>
      </c>
      <c r="N2964" s="475">
        <f t="shared" si="142"/>
        <v>141259</v>
      </c>
    </row>
    <row r="2965" spans="7:14" ht="11.25" customHeight="1" x14ac:dyDescent="0.3">
      <c r="G2965" s="470"/>
      <c r="H2965" s="470">
        <v>2958</v>
      </c>
      <c r="I2965" s="455">
        <f t="shared" ca="1" si="140"/>
        <v>-93784220808.649292</v>
      </c>
      <c r="J2965" s="455">
        <f t="array" ref="J2965">IFERROR(INDEX('Retirement Calculator'!K:K,MATCH('Lorri 401b'!N2965,'Retirement Calculator'!A:A,0),0),0)</f>
        <v>0</v>
      </c>
      <c r="K2965" s="455">
        <f t="shared" ca="1" si="138"/>
        <v>-390767586.70270538</v>
      </c>
      <c r="L2965" s="455">
        <f t="shared" ca="1" si="139"/>
        <v>-94174988395.35199</v>
      </c>
      <c r="M2965" s="471">
        <f t="shared" si="141"/>
        <v>0.05</v>
      </c>
      <c r="N2965" s="475">
        <f t="shared" si="142"/>
        <v>141290</v>
      </c>
    </row>
    <row r="2966" spans="7:14" ht="11.25" customHeight="1" x14ac:dyDescent="0.3">
      <c r="G2966" s="470"/>
      <c r="H2966" s="470">
        <v>2959</v>
      </c>
      <c r="I2966" s="455">
        <f t="shared" ca="1" si="140"/>
        <v>-94174988395.35199</v>
      </c>
      <c r="J2966" s="455">
        <f t="array" ref="J2966">IFERROR(INDEX('Retirement Calculator'!K:K,MATCH('Lorri 401b'!N2966,'Retirement Calculator'!A:A,0),0),0)</f>
        <v>0</v>
      </c>
      <c r="K2966" s="455">
        <f t="shared" ca="1" si="138"/>
        <v>-392395784.98063326</v>
      </c>
      <c r="L2966" s="455">
        <f t="shared" ca="1" si="139"/>
        <v>-94567384180.332626</v>
      </c>
      <c r="M2966" s="471">
        <f t="shared" si="141"/>
        <v>0.05</v>
      </c>
      <c r="N2966" s="475">
        <f t="shared" si="142"/>
        <v>141320</v>
      </c>
    </row>
    <row r="2967" spans="7:14" ht="11.25" customHeight="1" x14ac:dyDescent="0.3">
      <c r="G2967" s="470"/>
      <c r="H2967" s="470">
        <v>2960</v>
      </c>
      <c r="I2967" s="455">
        <f t="shared" ca="1" si="140"/>
        <v>-94567384180.332626</v>
      </c>
      <c r="J2967" s="455">
        <f t="array" ref="J2967">IFERROR(INDEX('Retirement Calculator'!K:K,MATCH('Lorri 401b'!N2967,'Retirement Calculator'!A:A,0),0),0)</f>
        <v>0</v>
      </c>
      <c r="K2967" s="455">
        <f t="shared" ca="1" si="138"/>
        <v>-394030767.41805261</v>
      </c>
      <c r="L2967" s="455">
        <f t="shared" ca="1" si="139"/>
        <v>-94961414947.750671</v>
      </c>
      <c r="M2967" s="471">
        <f t="shared" si="141"/>
        <v>0.05</v>
      </c>
      <c r="N2967" s="475">
        <f t="shared" si="142"/>
        <v>141351</v>
      </c>
    </row>
    <row r="2968" spans="7:14" ht="11.25" customHeight="1" x14ac:dyDescent="0.3">
      <c r="G2968" s="470"/>
      <c r="H2968" s="470">
        <v>2961</v>
      </c>
      <c r="I2968" s="455">
        <f t="shared" ca="1" si="140"/>
        <v>-94961414947.750671</v>
      </c>
      <c r="J2968" s="455">
        <f t="array" ref="J2968">IFERROR(INDEX('Retirement Calculator'!K:K,MATCH('Lorri 401b'!N2968,'Retirement Calculator'!A:A,0),0),0)</f>
        <v>0</v>
      </c>
      <c r="K2968" s="455">
        <f t="shared" ca="1" si="138"/>
        <v>-395672562.28229445</v>
      </c>
      <c r="L2968" s="455">
        <f t="shared" ca="1" si="139"/>
        <v>-95357087510.032959</v>
      </c>
      <c r="M2968" s="471">
        <f t="shared" si="141"/>
        <v>0.05</v>
      </c>
      <c r="N2968" s="475">
        <f t="shared" si="142"/>
        <v>141382</v>
      </c>
    </row>
    <row r="2969" spans="7:14" ht="11.25" customHeight="1" x14ac:dyDescent="0.3">
      <c r="G2969" s="470"/>
      <c r="H2969" s="470">
        <v>2962</v>
      </c>
      <c r="I2969" s="455">
        <f t="shared" ca="1" si="140"/>
        <v>-95357087510.032959</v>
      </c>
      <c r="J2969" s="455">
        <f t="array" ref="J2969">IFERROR(INDEX('Retirement Calculator'!K:K,MATCH('Lorri 401b'!N2969,'Retirement Calculator'!A:A,0),0),0)</f>
        <v>0</v>
      </c>
      <c r="K2969" s="455">
        <f t="shared" ca="1" si="138"/>
        <v>-397321197.95847064</v>
      </c>
      <c r="L2969" s="455">
        <f t="shared" ca="1" si="139"/>
        <v>-95754408707.991425</v>
      </c>
      <c r="M2969" s="471">
        <f t="shared" si="141"/>
        <v>0.05</v>
      </c>
      <c r="N2969" s="475">
        <f t="shared" si="142"/>
        <v>141410</v>
      </c>
    </row>
    <row r="2970" spans="7:14" ht="11.25" customHeight="1" x14ac:dyDescent="0.3">
      <c r="G2970" s="470"/>
      <c r="H2970" s="470">
        <v>2963</v>
      </c>
      <c r="I2970" s="455">
        <f t="shared" ca="1" si="140"/>
        <v>-95754408707.991425</v>
      </c>
      <c r="J2970" s="455">
        <f t="array" ref="J2970">IFERROR(INDEX('Retirement Calculator'!K:K,MATCH('Lorri 401b'!N2970,'Retirement Calculator'!A:A,0),0),0)</f>
        <v>0</v>
      </c>
      <c r="K2970" s="455">
        <f t="shared" ca="1" si="138"/>
        <v>-398976702.94996428</v>
      </c>
      <c r="L2970" s="455">
        <f t="shared" ca="1" si="139"/>
        <v>-96153385410.941391</v>
      </c>
      <c r="M2970" s="471">
        <f t="shared" si="141"/>
        <v>0.05</v>
      </c>
      <c r="N2970" s="475">
        <f t="shared" si="142"/>
        <v>141441</v>
      </c>
    </row>
    <row r="2971" spans="7:14" ht="11.25" customHeight="1" x14ac:dyDescent="0.3">
      <c r="G2971" s="470"/>
      <c r="H2971" s="470">
        <v>2964</v>
      </c>
      <c r="I2971" s="455">
        <f t="shared" ca="1" si="140"/>
        <v>-96153385410.941391</v>
      </c>
      <c r="J2971" s="455">
        <f t="array" ref="J2971">IFERROR(INDEX('Retirement Calculator'!K:K,MATCH('Lorri 401b'!N2971,'Retirement Calculator'!A:A,0),0),0)</f>
        <v>0</v>
      </c>
      <c r="K2971" s="455">
        <f t="shared" ca="1" si="138"/>
        <v>-400639105.87892246</v>
      </c>
      <c r="L2971" s="455">
        <f t="shared" ca="1" si="139"/>
        <v>-96554024516.820313</v>
      </c>
      <c r="M2971" s="471">
        <f t="shared" si="141"/>
        <v>0.05</v>
      </c>
      <c r="N2971" s="475">
        <f t="shared" si="142"/>
        <v>141471</v>
      </c>
    </row>
    <row r="2972" spans="7:14" ht="11.25" customHeight="1" x14ac:dyDescent="0.3">
      <c r="G2972" s="470"/>
      <c r="H2972" s="470">
        <v>2965</v>
      </c>
      <c r="I2972" s="455">
        <f t="shared" ca="1" si="140"/>
        <v>-96554024516.820313</v>
      </c>
      <c r="J2972" s="455">
        <f t="array" ref="J2972">IFERROR(INDEX('Retirement Calculator'!K:K,MATCH('Lorri 401b'!N2972,'Retirement Calculator'!A:A,0),0),0)</f>
        <v>0</v>
      </c>
      <c r="K2972" s="455">
        <f t="shared" ca="1" si="138"/>
        <v>-402308435.48675132</v>
      </c>
      <c r="L2972" s="455">
        <f t="shared" ca="1" si="139"/>
        <v>-96956332952.307068</v>
      </c>
      <c r="M2972" s="471">
        <f t="shared" si="141"/>
        <v>0.05</v>
      </c>
      <c r="N2972" s="475">
        <f t="shared" si="142"/>
        <v>141502</v>
      </c>
    </row>
    <row r="2973" spans="7:14" ht="11.25" customHeight="1" x14ac:dyDescent="0.3">
      <c r="G2973" s="470"/>
      <c r="H2973" s="470">
        <v>2966</v>
      </c>
      <c r="I2973" s="455">
        <f t="shared" ca="1" si="140"/>
        <v>-96956332952.307068</v>
      </c>
      <c r="J2973" s="455">
        <f t="array" ref="J2973">IFERROR(INDEX('Retirement Calculator'!K:K,MATCH('Lorri 401b'!N2973,'Retirement Calculator'!A:A,0),0),0)</f>
        <v>0</v>
      </c>
      <c r="K2973" s="455">
        <f t="shared" ca="1" si="138"/>
        <v>-403984720.6346128</v>
      </c>
      <c r="L2973" s="455">
        <f t="shared" ca="1" si="139"/>
        <v>-97360317672.941681</v>
      </c>
      <c r="M2973" s="471">
        <f t="shared" si="141"/>
        <v>0.05</v>
      </c>
      <c r="N2973" s="475">
        <f t="shared" si="142"/>
        <v>141532</v>
      </c>
    </row>
    <row r="2974" spans="7:14" ht="11.25" customHeight="1" x14ac:dyDescent="0.3">
      <c r="G2974" s="470"/>
      <c r="H2974" s="470">
        <v>2967</v>
      </c>
      <c r="I2974" s="455">
        <f t="shared" ca="1" si="140"/>
        <v>-97360317672.941681</v>
      </c>
      <c r="J2974" s="455">
        <f t="array" ref="J2974">IFERROR(INDEX('Retirement Calculator'!K:K,MATCH('Lorri 401b'!N2974,'Retirement Calculator'!A:A,0),0),0)</f>
        <v>0</v>
      </c>
      <c r="K2974" s="455">
        <f t="shared" ca="1" si="138"/>
        <v>-405667990.30392367</v>
      </c>
      <c r="L2974" s="455">
        <f t="shared" ca="1" si="139"/>
        <v>-97765985663.245605</v>
      </c>
      <c r="M2974" s="471">
        <f t="shared" si="141"/>
        <v>0.05</v>
      </c>
      <c r="N2974" s="475">
        <f t="shared" si="142"/>
        <v>141563</v>
      </c>
    </row>
    <row r="2975" spans="7:14" ht="11.25" customHeight="1" x14ac:dyDescent="0.3">
      <c r="G2975" s="470"/>
      <c r="H2975" s="470">
        <v>2968</v>
      </c>
      <c r="I2975" s="455">
        <f t="shared" ca="1" si="140"/>
        <v>-97765985663.245605</v>
      </c>
      <c r="J2975" s="455">
        <f t="array" ref="J2975">IFERROR(INDEX('Retirement Calculator'!K:K,MATCH('Lorri 401b'!N2975,'Retirement Calculator'!A:A,0),0),0)</f>
        <v>0</v>
      </c>
      <c r="K2975" s="455">
        <f t="shared" ca="1" si="138"/>
        <v>-407358273.59685671</v>
      </c>
      <c r="L2975" s="455">
        <f t="shared" ca="1" si="139"/>
        <v>-98173343936.842468</v>
      </c>
      <c r="M2975" s="471">
        <f t="shared" si="141"/>
        <v>0.05</v>
      </c>
      <c r="N2975" s="475">
        <f t="shared" si="142"/>
        <v>141594</v>
      </c>
    </row>
    <row r="2976" spans="7:14" ht="11.25" customHeight="1" x14ac:dyDescent="0.3">
      <c r="G2976" s="470"/>
      <c r="H2976" s="470">
        <v>2969</v>
      </c>
      <c r="I2976" s="455">
        <f t="shared" ca="1" si="140"/>
        <v>-98173343936.842468</v>
      </c>
      <c r="J2976" s="455">
        <f t="array" ref="J2976">IFERROR(INDEX('Retirement Calculator'!K:K,MATCH('Lorri 401b'!N2976,'Retirement Calculator'!A:A,0),0),0)</f>
        <v>0</v>
      </c>
      <c r="K2976" s="455">
        <f t="shared" ca="1" si="138"/>
        <v>-409055599.73684359</v>
      </c>
      <c r="L2976" s="455">
        <f t="shared" ca="1" si="139"/>
        <v>-98582399536.579315</v>
      </c>
      <c r="M2976" s="471">
        <f t="shared" si="141"/>
        <v>0.05</v>
      </c>
      <c r="N2976" s="475">
        <f t="shared" si="142"/>
        <v>141624</v>
      </c>
    </row>
    <row r="2977" spans="7:14" ht="11.25" customHeight="1" x14ac:dyDescent="0.3">
      <c r="G2977" s="470"/>
      <c r="H2977" s="470">
        <v>2970</v>
      </c>
      <c r="I2977" s="455">
        <f t="shared" ca="1" si="140"/>
        <v>-98582399536.579315</v>
      </c>
      <c r="J2977" s="455">
        <f t="array" ref="J2977">IFERROR(INDEX('Retirement Calculator'!K:K,MATCH('Lorri 401b'!N2977,'Retirement Calculator'!A:A,0),0),0)</f>
        <v>0</v>
      </c>
      <c r="K2977" s="455">
        <f t="shared" ca="1" si="138"/>
        <v>-410759998.06908047</v>
      </c>
      <c r="L2977" s="455">
        <f t="shared" ca="1" si="139"/>
        <v>-98993159534.648392</v>
      </c>
      <c r="M2977" s="471">
        <f t="shared" si="141"/>
        <v>0.05</v>
      </c>
      <c r="N2977" s="475">
        <f t="shared" si="142"/>
        <v>141655</v>
      </c>
    </row>
    <row r="2978" spans="7:14" ht="11.25" customHeight="1" x14ac:dyDescent="0.3">
      <c r="G2978" s="470"/>
      <c r="H2978" s="470">
        <v>2971</v>
      </c>
      <c r="I2978" s="455">
        <f t="shared" ca="1" si="140"/>
        <v>-98993159534.648392</v>
      </c>
      <c r="J2978" s="455">
        <f t="array" ref="J2978">IFERROR(INDEX('Retirement Calculator'!K:K,MATCH('Lorri 401b'!N2978,'Retirement Calculator'!A:A,0),0),0)</f>
        <v>0</v>
      </c>
      <c r="K2978" s="455">
        <f t="shared" ca="1" si="138"/>
        <v>-412471498.06103498</v>
      </c>
      <c r="L2978" s="455">
        <f t="shared" ca="1" si="139"/>
        <v>-99405631032.709427</v>
      </c>
      <c r="M2978" s="471">
        <f t="shared" si="141"/>
        <v>0.05</v>
      </c>
      <c r="N2978" s="475">
        <f t="shared" si="142"/>
        <v>141685</v>
      </c>
    </row>
    <row r="2979" spans="7:14" ht="11.25" customHeight="1" x14ac:dyDescent="0.3">
      <c r="G2979" s="470"/>
      <c r="H2979" s="470">
        <v>2972</v>
      </c>
      <c r="I2979" s="455">
        <f t="shared" ca="1" si="140"/>
        <v>-99405631032.709427</v>
      </c>
      <c r="J2979" s="455">
        <f t="array" ref="J2979">IFERROR(INDEX('Retirement Calculator'!K:K,MATCH('Lorri 401b'!N2979,'Retirement Calculator'!A:A,0),0),0)</f>
        <v>0</v>
      </c>
      <c r="K2979" s="455">
        <f t="shared" ca="1" si="138"/>
        <v>-414190129.30295593</v>
      </c>
      <c r="L2979" s="455">
        <f t="shared" ca="1" si="139"/>
        <v>-99819821162.01239</v>
      </c>
      <c r="M2979" s="471">
        <f t="shared" si="141"/>
        <v>0.05</v>
      </c>
      <c r="N2979" s="475">
        <f t="shared" si="142"/>
        <v>141716</v>
      </c>
    </row>
    <row r="2980" spans="7:14" ht="11.25" customHeight="1" x14ac:dyDescent="0.3">
      <c r="G2980" s="470"/>
      <c r="H2980" s="470">
        <v>2973</v>
      </c>
      <c r="I2980" s="455">
        <f t="shared" ca="1" si="140"/>
        <v>-99819821162.01239</v>
      </c>
      <c r="J2980" s="455">
        <f t="array" ref="J2980">IFERROR(INDEX('Retirement Calculator'!K:K,MATCH('Lorri 401b'!N2980,'Retirement Calculator'!A:A,0),0),0)</f>
        <v>0</v>
      </c>
      <c r="K2980" s="455">
        <f t="shared" ca="1" si="138"/>
        <v>-415915921.50838494</v>
      </c>
      <c r="L2980" s="455">
        <f t="shared" ca="1" si="139"/>
        <v>-100235737083.52078</v>
      </c>
      <c r="M2980" s="471">
        <f t="shared" si="141"/>
        <v>0.05</v>
      </c>
      <c r="N2980" s="475">
        <f t="shared" si="142"/>
        <v>141747</v>
      </c>
    </row>
    <row r="2981" spans="7:14" ht="11.25" customHeight="1" x14ac:dyDescent="0.3">
      <c r="G2981" s="470"/>
      <c r="H2981" s="470">
        <v>2974</v>
      </c>
      <c r="I2981" s="455">
        <f t="shared" ca="1" si="140"/>
        <v>-100235737083.52078</v>
      </c>
      <c r="J2981" s="455">
        <f t="array" ref="J2981">IFERROR(INDEX('Retirement Calculator'!K:K,MATCH('Lorri 401b'!N2981,'Retirement Calculator'!A:A,0),0),0)</f>
        <v>0</v>
      </c>
      <c r="K2981" s="455">
        <f t="shared" ca="1" si="138"/>
        <v>-417648904.5146699</v>
      </c>
      <c r="L2981" s="455">
        <f t="shared" ca="1" si="139"/>
        <v>-100653385988.03545</v>
      </c>
      <c r="M2981" s="471">
        <f t="shared" si="141"/>
        <v>0.05</v>
      </c>
      <c r="N2981" s="475">
        <f t="shared" si="142"/>
        <v>141776</v>
      </c>
    </row>
    <row r="2982" spans="7:14" ht="11.25" customHeight="1" x14ac:dyDescent="0.3">
      <c r="G2982" s="470"/>
      <c r="H2982" s="470">
        <v>2975</v>
      </c>
      <c r="I2982" s="455">
        <f t="shared" ca="1" si="140"/>
        <v>-100653385988.03545</v>
      </c>
      <c r="J2982" s="455">
        <f t="array" ref="J2982">IFERROR(INDEX('Retirement Calculator'!K:K,MATCH('Lorri 401b'!N2982,'Retirement Calculator'!A:A,0),0),0)</f>
        <v>0</v>
      </c>
      <c r="K2982" s="455">
        <f t="shared" ca="1" si="138"/>
        <v>-419389108.283481</v>
      </c>
      <c r="L2982" s="455">
        <f t="shared" ca="1" si="139"/>
        <v>-101072775096.31892</v>
      </c>
      <c r="M2982" s="471">
        <f t="shared" si="141"/>
        <v>0.05</v>
      </c>
      <c r="N2982" s="475">
        <f t="shared" si="142"/>
        <v>141807</v>
      </c>
    </row>
    <row r="2983" spans="7:14" ht="11.25" customHeight="1" x14ac:dyDescent="0.3">
      <c r="G2983" s="470"/>
      <c r="H2983" s="470">
        <v>2976</v>
      </c>
      <c r="I2983" s="455">
        <f t="shared" ca="1" si="140"/>
        <v>-101072775096.31892</v>
      </c>
      <c r="J2983" s="455">
        <f t="array" ref="J2983">IFERROR(INDEX('Retirement Calculator'!K:K,MATCH('Lorri 401b'!N2983,'Retirement Calculator'!A:A,0),0),0)</f>
        <v>0</v>
      </c>
      <c r="K2983" s="455">
        <f t="shared" ca="1" si="138"/>
        <v>-421136562.90132886</v>
      </c>
      <c r="L2983" s="455">
        <f t="shared" ca="1" si="139"/>
        <v>-101493911659.22025</v>
      </c>
      <c r="M2983" s="471">
        <f t="shared" si="141"/>
        <v>0.05</v>
      </c>
      <c r="N2983" s="475">
        <f t="shared" si="142"/>
        <v>141837</v>
      </c>
    </row>
    <row r="2984" spans="7:14" ht="11.25" customHeight="1" x14ac:dyDescent="0.3">
      <c r="G2984" s="470"/>
      <c r="H2984" s="470">
        <v>2977</v>
      </c>
      <c r="I2984" s="455">
        <f t="shared" ca="1" si="140"/>
        <v>-101493911659.22025</v>
      </c>
      <c r="J2984" s="455">
        <f t="array" ref="J2984">IFERROR(INDEX('Retirement Calculator'!K:K,MATCH('Lorri 401b'!N2984,'Retirement Calculator'!A:A,0),0),0)</f>
        <v>0</v>
      </c>
      <c r="K2984" s="455">
        <f t="shared" ca="1" si="138"/>
        <v>-422891298.58008432</v>
      </c>
      <c r="L2984" s="455">
        <f t="shared" ca="1" si="139"/>
        <v>-101916802957.80032</v>
      </c>
      <c r="M2984" s="471">
        <f t="shared" si="141"/>
        <v>0.05</v>
      </c>
      <c r="N2984" s="475">
        <f t="shared" si="142"/>
        <v>141868</v>
      </c>
    </row>
    <row r="2985" spans="7:14" ht="11.25" customHeight="1" x14ac:dyDescent="0.3">
      <c r="G2985" s="470"/>
      <c r="H2985" s="470">
        <v>2978</v>
      </c>
      <c r="I2985" s="455">
        <f t="shared" ca="1" si="140"/>
        <v>-101916802957.80032</v>
      </c>
      <c r="J2985" s="455">
        <f t="array" ref="J2985">IFERROR(INDEX('Retirement Calculator'!K:K,MATCH('Lorri 401b'!N2985,'Retirement Calculator'!A:A,0),0),0)</f>
        <v>0</v>
      </c>
      <c r="K2985" s="455">
        <f t="shared" ca="1" si="138"/>
        <v>-424653345.65750134</v>
      </c>
      <c r="L2985" s="455">
        <f t="shared" ca="1" si="139"/>
        <v>-102341456303.45782</v>
      </c>
      <c r="M2985" s="471">
        <f t="shared" si="141"/>
        <v>0.05</v>
      </c>
      <c r="N2985" s="475">
        <f t="shared" si="142"/>
        <v>141898</v>
      </c>
    </row>
    <row r="2986" spans="7:14" ht="11.25" customHeight="1" x14ac:dyDescent="0.3">
      <c r="G2986" s="470"/>
      <c r="H2986" s="470">
        <v>2979</v>
      </c>
      <c r="I2986" s="455">
        <f t="shared" ca="1" si="140"/>
        <v>-102341456303.45782</v>
      </c>
      <c r="J2986" s="455">
        <f t="array" ref="J2986">IFERROR(INDEX('Retirement Calculator'!K:K,MATCH('Lorri 401b'!N2986,'Retirement Calculator'!A:A,0),0),0)</f>
        <v>0</v>
      </c>
      <c r="K2986" s="455">
        <f t="shared" ca="1" si="138"/>
        <v>-426422734.59774095</v>
      </c>
      <c r="L2986" s="455">
        <f t="shared" ca="1" si="139"/>
        <v>-102767879038.05557</v>
      </c>
      <c r="M2986" s="471">
        <f t="shared" si="141"/>
        <v>0.05</v>
      </c>
      <c r="N2986" s="475">
        <f t="shared" si="142"/>
        <v>141929</v>
      </c>
    </row>
    <row r="2987" spans="7:14" ht="11.25" customHeight="1" x14ac:dyDescent="0.3">
      <c r="G2987" s="470"/>
      <c r="H2987" s="470">
        <v>2980</v>
      </c>
      <c r="I2987" s="455">
        <f t="shared" ca="1" si="140"/>
        <v>-102767879038.05557</v>
      </c>
      <c r="J2987" s="455">
        <f t="array" ref="J2987">IFERROR(INDEX('Retirement Calculator'!K:K,MATCH('Lorri 401b'!N2987,'Retirement Calculator'!A:A,0),0),0)</f>
        <v>0</v>
      </c>
      <c r="K2987" s="455">
        <f t="shared" ca="1" si="138"/>
        <v>-428199495.99189824</v>
      </c>
      <c r="L2987" s="455">
        <f t="shared" ca="1" si="139"/>
        <v>-103196078534.04747</v>
      </c>
      <c r="M2987" s="471">
        <f t="shared" si="141"/>
        <v>0.05</v>
      </c>
      <c r="N2987" s="475">
        <f t="shared" si="142"/>
        <v>141960</v>
      </c>
    </row>
    <row r="2988" spans="7:14" ht="11.25" customHeight="1" x14ac:dyDescent="0.3">
      <c r="G2988" s="470"/>
      <c r="H2988" s="470">
        <v>2981</v>
      </c>
      <c r="I2988" s="455">
        <f t="shared" ca="1" si="140"/>
        <v>-103196078534.04747</v>
      </c>
      <c r="J2988" s="455">
        <f t="array" ref="J2988">IFERROR(INDEX('Retirement Calculator'!K:K,MATCH('Lorri 401b'!N2988,'Retirement Calculator'!A:A,0),0),0)</f>
        <v>0</v>
      </c>
      <c r="K2988" s="455">
        <f t="shared" ca="1" si="138"/>
        <v>-429983660.55853111</v>
      </c>
      <c r="L2988" s="455">
        <f t="shared" ca="1" si="139"/>
        <v>-103626062194.606</v>
      </c>
      <c r="M2988" s="471">
        <f t="shared" si="141"/>
        <v>0.05</v>
      </c>
      <c r="N2988" s="475">
        <f t="shared" si="142"/>
        <v>141990</v>
      </c>
    </row>
    <row r="2989" spans="7:14" ht="11.25" customHeight="1" x14ac:dyDescent="0.3">
      <c r="G2989" s="470"/>
      <c r="H2989" s="470">
        <v>2982</v>
      </c>
      <c r="I2989" s="455">
        <f t="shared" ca="1" si="140"/>
        <v>-103626062194.606</v>
      </c>
      <c r="J2989" s="455">
        <f t="array" ref="J2989">IFERROR(INDEX('Retirement Calculator'!K:K,MATCH('Lorri 401b'!N2989,'Retirement Calculator'!A:A,0),0),0)</f>
        <v>0</v>
      </c>
      <c r="K2989" s="455">
        <f t="shared" ca="1" si="138"/>
        <v>-431775259.14419168</v>
      </c>
      <c r="L2989" s="455">
        <f t="shared" ca="1" si="139"/>
        <v>-104057837453.7502</v>
      </c>
      <c r="M2989" s="471">
        <f t="shared" si="141"/>
        <v>0.05</v>
      </c>
      <c r="N2989" s="475">
        <f t="shared" si="142"/>
        <v>142021</v>
      </c>
    </row>
    <row r="2990" spans="7:14" ht="11.25" customHeight="1" x14ac:dyDescent="0.3">
      <c r="G2990" s="470"/>
      <c r="H2990" s="470">
        <v>2983</v>
      </c>
      <c r="I2990" s="455">
        <f t="shared" ca="1" si="140"/>
        <v>-104057837453.7502</v>
      </c>
      <c r="J2990" s="455">
        <f t="array" ref="J2990">IFERROR(INDEX('Retirement Calculator'!K:K,MATCH('Lorri 401b'!N2990,'Retirement Calculator'!A:A,0),0),0)</f>
        <v>0</v>
      </c>
      <c r="K2990" s="455">
        <f t="shared" ca="1" si="138"/>
        <v>-433574322.72395915</v>
      </c>
      <c r="L2990" s="455">
        <f t="shared" ca="1" si="139"/>
        <v>-104491411776.47415</v>
      </c>
      <c r="M2990" s="471">
        <f t="shared" si="141"/>
        <v>0.05</v>
      </c>
      <c r="N2990" s="475">
        <f t="shared" si="142"/>
        <v>142051</v>
      </c>
    </row>
    <row r="2991" spans="7:14" ht="11.25" customHeight="1" x14ac:dyDescent="0.3">
      <c r="G2991" s="470"/>
      <c r="H2991" s="470">
        <v>2984</v>
      </c>
      <c r="I2991" s="455">
        <f t="shared" ca="1" si="140"/>
        <v>-104491411776.47415</v>
      </c>
      <c r="J2991" s="455">
        <f t="array" ref="J2991">IFERROR(INDEX('Retirement Calculator'!K:K,MATCH('Lorri 401b'!N2991,'Retirement Calculator'!A:A,0),0),0)</f>
        <v>0</v>
      </c>
      <c r="K2991" s="455">
        <f t="shared" ca="1" si="138"/>
        <v>-435380882.40197563</v>
      </c>
      <c r="L2991" s="455">
        <f t="shared" ca="1" si="139"/>
        <v>-104926792658.87613</v>
      </c>
      <c r="M2991" s="471">
        <f t="shared" si="141"/>
        <v>0.05</v>
      </c>
      <c r="N2991" s="475">
        <f t="shared" si="142"/>
        <v>142082</v>
      </c>
    </row>
    <row r="2992" spans="7:14" ht="11.25" customHeight="1" x14ac:dyDescent="0.3">
      <c r="G2992" s="470"/>
      <c r="H2992" s="470">
        <v>2985</v>
      </c>
      <c r="I2992" s="455">
        <f t="shared" ca="1" si="140"/>
        <v>-104926792658.87613</v>
      </c>
      <c r="J2992" s="455">
        <f t="array" ref="J2992">IFERROR(INDEX('Retirement Calculator'!K:K,MATCH('Lorri 401b'!N2992,'Retirement Calculator'!A:A,0),0),0)</f>
        <v>0</v>
      </c>
      <c r="K2992" s="455">
        <f t="shared" ca="1" si="138"/>
        <v>-437194969.41198385</v>
      </c>
      <c r="L2992" s="455">
        <f t="shared" ca="1" si="139"/>
        <v>-105363987628.28812</v>
      </c>
      <c r="M2992" s="471">
        <f t="shared" si="141"/>
        <v>0.05</v>
      </c>
      <c r="N2992" s="475">
        <f t="shared" si="142"/>
        <v>142113</v>
      </c>
    </row>
    <row r="2993" spans="7:14" ht="11.25" customHeight="1" x14ac:dyDescent="0.3">
      <c r="G2993" s="470"/>
      <c r="H2993" s="470">
        <v>2986</v>
      </c>
      <c r="I2993" s="455">
        <f t="shared" ca="1" si="140"/>
        <v>-105363987628.28812</v>
      </c>
      <c r="J2993" s="455">
        <f t="array" ref="J2993">IFERROR(INDEX('Retirement Calculator'!K:K,MATCH('Lorri 401b'!N2993,'Retirement Calculator'!A:A,0),0),0)</f>
        <v>0</v>
      </c>
      <c r="K2993" s="455">
        <f t="shared" ca="1" si="138"/>
        <v>-439016615.11786717</v>
      </c>
      <c r="L2993" s="455">
        <f t="shared" ca="1" si="139"/>
        <v>-105803004243.40599</v>
      </c>
      <c r="M2993" s="471">
        <f t="shared" si="141"/>
        <v>0.05</v>
      </c>
      <c r="N2993" s="475">
        <f t="shared" si="142"/>
        <v>142141</v>
      </c>
    </row>
    <row r="2994" spans="7:14" ht="11.25" customHeight="1" x14ac:dyDescent="0.3">
      <c r="G2994" s="470"/>
      <c r="H2994" s="470">
        <v>2987</v>
      </c>
      <c r="I2994" s="455">
        <f t="shared" ca="1" si="140"/>
        <v>-105803004243.40599</v>
      </c>
      <c r="J2994" s="455">
        <f t="array" ref="J2994">IFERROR(INDEX('Retirement Calculator'!K:K,MATCH('Lorri 401b'!N2994,'Retirement Calculator'!A:A,0),0),0)</f>
        <v>0</v>
      </c>
      <c r="K2994" s="455">
        <f t="shared" ca="1" si="138"/>
        <v>-440845851.01419163</v>
      </c>
      <c r="L2994" s="455">
        <f t="shared" ca="1" si="139"/>
        <v>-106243850094.42018</v>
      </c>
      <c r="M2994" s="471">
        <f t="shared" si="141"/>
        <v>0.05</v>
      </c>
      <c r="N2994" s="475">
        <f t="shared" si="142"/>
        <v>142172</v>
      </c>
    </row>
    <row r="2995" spans="7:14" ht="11.25" customHeight="1" x14ac:dyDescent="0.3">
      <c r="G2995" s="470"/>
      <c r="H2995" s="470">
        <v>2988</v>
      </c>
      <c r="I2995" s="455">
        <f t="shared" ca="1" si="140"/>
        <v>-106243850094.42018</v>
      </c>
      <c r="J2995" s="455">
        <f t="array" ref="J2995">IFERROR(INDEX('Retirement Calculator'!K:K,MATCH('Lorri 401b'!N2995,'Retirement Calculator'!A:A,0),0),0)</f>
        <v>0</v>
      </c>
      <c r="K2995" s="455">
        <f t="shared" ca="1" si="138"/>
        <v>-442682708.72675073</v>
      </c>
      <c r="L2995" s="455">
        <f t="shared" ca="1" si="139"/>
        <v>-106686532803.14693</v>
      </c>
      <c r="M2995" s="471">
        <f t="shared" si="141"/>
        <v>0.05</v>
      </c>
      <c r="N2995" s="475">
        <f t="shared" si="142"/>
        <v>142202</v>
      </c>
    </row>
    <row r="2996" spans="7:14" ht="11.25" customHeight="1" x14ac:dyDescent="0.3">
      <c r="G2996" s="470"/>
      <c r="H2996" s="470">
        <v>2989</v>
      </c>
      <c r="I2996" s="455">
        <f t="shared" ca="1" si="140"/>
        <v>-106686532803.14693</v>
      </c>
      <c r="J2996" s="455">
        <f t="array" ref="J2996">IFERROR(INDEX('Retirement Calculator'!K:K,MATCH('Lorri 401b'!N2996,'Retirement Calculator'!A:A,0),0),0)</f>
        <v>0</v>
      </c>
      <c r="K2996" s="455">
        <f t="shared" ca="1" si="138"/>
        <v>-444527220.01311219</v>
      </c>
      <c r="L2996" s="455">
        <f t="shared" ca="1" si="139"/>
        <v>-107131060023.16003</v>
      </c>
      <c r="M2996" s="471">
        <f t="shared" si="141"/>
        <v>0.05</v>
      </c>
      <c r="N2996" s="475">
        <f t="shared" si="142"/>
        <v>142233</v>
      </c>
    </row>
    <row r="2997" spans="7:14" ht="11.25" customHeight="1" x14ac:dyDescent="0.3">
      <c r="G2997" s="470"/>
      <c r="H2997" s="470">
        <v>2990</v>
      </c>
      <c r="I2997" s="455">
        <f t="shared" ca="1" si="140"/>
        <v>-107131060023.16003</v>
      </c>
      <c r="J2997" s="455">
        <f t="array" ref="J2997">IFERROR(INDEX('Retirement Calculator'!K:K,MATCH('Lorri 401b'!N2997,'Retirement Calculator'!A:A,0),0),0)</f>
        <v>0</v>
      </c>
      <c r="K2997" s="455">
        <f t="shared" ca="1" si="138"/>
        <v>-446379416.76316679</v>
      </c>
      <c r="L2997" s="455">
        <f t="shared" ca="1" si="139"/>
        <v>-107577439439.9232</v>
      </c>
      <c r="M2997" s="471">
        <f t="shared" si="141"/>
        <v>0.05</v>
      </c>
      <c r="N2997" s="475">
        <f t="shared" si="142"/>
        <v>142263</v>
      </c>
    </row>
    <row r="2998" spans="7:14" ht="11.25" customHeight="1" x14ac:dyDescent="0.3">
      <c r="G2998" s="470"/>
      <c r="H2998" s="470">
        <v>2991</v>
      </c>
      <c r="I2998" s="455">
        <f t="shared" ca="1" si="140"/>
        <v>-107577439439.9232</v>
      </c>
      <c r="J2998" s="455">
        <f t="array" ref="J2998">IFERROR(INDEX('Retirement Calculator'!K:K,MATCH('Lorri 401b'!N2998,'Retirement Calculator'!A:A,0),0),0)</f>
        <v>0</v>
      </c>
      <c r="K2998" s="455">
        <f t="shared" ca="1" si="138"/>
        <v>-448239330.99967998</v>
      </c>
      <c r="L2998" s="455">
        <f t="shared" ca="1" si="139"/>
        <v>-108025678770.92288</v>
      </c>
      <c r="M2998" s="471">
        <f t="shared" si="141"/>
        <v>0.05</v>
      </c>
      <c r="N2998" s="475">
        <f t="shared" si="142"/>
        <v>142294</v>
      </c>
    </row>
    <row r="2999" spans="7:14" ht="11.25" customHeight="1" x14ac:dyDescent="0.3">
      <c r="G2999" s="470"/>
      <c r="H2999" s="470">
        <v>2992</v>
      </c>
      <c r="I2999" s="455">
        <f t="shared" ca="1" si="140"/>
        <v>-108025678770.92288</v>
      </c>
      <c r="J2999" s="455">
        <f t="array" ref="J2999">IFERROR(INDEX('Retirement Calculator'!K:K,MATCH('Lorri 401b'!N2999,'Retirement Calculator'!A:A,0),0),0)</f>
        <v>0</v>
      </c>
      <c r="K2999" s="455">
        <f t="shared" ca="1" si="138"/>
        <v>-450106994.87884533</v>
      </c>
      <c r="L2999" s="455">
        <f t="shared" ca="1" si="139"/>
        <v>-108475785765.80173</v>
      </c>
      <c r="M2999" s="471">
        <f t="shared" si="141"/>
        <v>0.05</v>
      </c>
      <c r="N2999" s="475">
        <f t="shared" si="142"/>
        <v>142325</v>
      </c>
    </row>
    <row r="3000" spans="7:14" ht="11.25" customHeight="1" x14ac:dyDescent="0.3">
      <c r="G3000" s="470"/>
      <c r="H3000" s="470">
        <v>2993</v>
      </c>
      <c r="I3000" s="455">
        <f t="shared" ca="1" si="140"/>
        <v>-108475785765.80173</v>
      </c>
      <c r="J3000" s="455">
        <f t="array" ref="J3000">IFERROR(INDEX('Retirement Calculator'!K:K,MATCH('Lorri 401b'!N3000,'Retirement Calculator'!A:A,0),0),0)</f>
        <v>0</v>
      </c>
      <c r="K3000" s="455">
        <f t="shared" ca="1" si="138"/>
        <v>-451982440.69084054</v>
      </c>
      <c r="L3000" s="455">
        <f t="shared" ca="1" si="139"/>
        <v>-108927768206.49257</v>
      </c>
      <c r="M3000" s="471">
        <f t="shared" si="141"/>
        <v>0.05</v>
      </c>
      <c r="N3000" s="475">
        <f t="shared" si="142"/>
        <v>142355</v>
      </c>
    </row>
    <row r="3001" spans="7:14" ht="11.25" customHeight="1" x14ac:dyDescent="0.3">
      <c r="G3001" s="470"/>
      <c r="H3001" s="470">
        <v>2994</v>
      </c>
      <c r="I3001" s="455">
        <f t="shared" ca="1" si="140"/>
        <v>-108927768206.49257</v>
      </c>
      <c r="J3001" s="455">
        <f t="array" ref="J3001">IFERROR(INDEX('Retirement Calculator'!K:K,MATCH('Lorri 401b'!N3001,'Retirement Calculator'!A:A,0),0),0)</f>
        <v>0</v>
      </c>
      <c r="K3001" s="455">
        <f t="shared" ca="1" si="138"/>
        <v>-453865700.86038572</v>
      </c>
      <c r="L3001" s="455">
        <f t="shared" ca="1" si="139"/>
        <v>-109381633907.35295</v>
      </c>
      <c r="M3001" s="471">
        <f t="shared" si="141"/>
        <v>0.05</v>
      </c>
      <c r="N3001" s="475">
        <f t="shared" si="142"/>
        <v>142386</v>
      </c>
    </row>
    <row r="3002" spans="7:14" ht="11.25" customHeight="1" x14ac:dyDescent="0.3">
      <c r="G3002" s="470"/>
      <c r="H3002" s="470">
        <v>2995</v>
      </c>
      <c r="I3002" s="455">
        <f t="shared" ca="1" si="140"/>
        <v>-109381633907.35295</v>
      </c>
      <c r="J3002" s="455">
        <f t="array" ref="J3002">IFERROR(INDEX('Retirement Calculator'!K:K,MATCH('Lorri 401b'!N3002,'Retirement Calculator'!A:A,0),0),0)</f>
        <v>0</v>
      </c>
      <c r="K3002" s="455">
        <f t="shared" ca="1" si="138"/>
        <v>-455756807.94730395</v>
      </c>
      <c r="L3002" s="455">
        <f t="shared" ca="1" si="139"/>
        <v>-109837390715.30026</v>
      </c>
      <c r="M3002" s="471">
        <f t="shared" si="141"/>
        <v>0.05</v>
      </c>
      <c r="N3002" s="475">
        <f t="shared" si="142"/>
        <v>142416</v>
      </c>
    </row>
    <row r="3003" spans="7:14" ht="11.25" customHeight="1" x14ac:dyDescent="0.3">
      <c r="G3003" s="470"/>
      <c r="H3003" s="470">
        <v>2996</v>
      </c>
      <c r="I3003" s="455">
        <f t="shared" ca="1" si="140"/>
        <v>-109837390715.30026</v>
      </c>
      <c r="J3003" s="455">
        <f t="array" ref="J3003">IFERROR(INDEX('Retirement Calculator'!K:K,MATCH('Lorri 401b'!N3003,'Retirement Calculator'!A:A,0),0),0)</f>
        <v>0</v>
      </c>
      <c r="K3003" s="455">
        <f t="shared" ca="1" si="138"/>
        <v>-457655794.64708441</v>
      </c>
      <c r="L3003" s="455">
        <f t="shared" ca="1" si="139"/>
        <v>-110295046509.94734</v>
      </c>
      <c r="M3003" s="471">
        <f t="shared" si="141"/>
        <v>0.05</v>
      </c>
      <c r="N3003" s="475">
        <f t="shared" si="142"/>
        <v>142447</v>
      </c>
    </row>
    <row r="3004" spans="7:14" ht="11.25" customHeight="1" x14ac:dyDescent="0.3">
      <c r="G3004" s="470"/>
      <c r="H3004" s="470">
        <v>2997</v>
      </c>
      <c r="I3004" s="455">
        <f t="shared" ca="1" si="140"/>
        <v>-110295046509.94734</v>
      </c>
      <c r="J3004" s="455">
        <f t="array" ref="J3004">IFERROR(INDEX('Retirement Calculator'!K:K,MATCH('Lorri 401b'!N3004,'Retirement Calculator'!A:A,0),0),0)</f>
        <v>0</v>
      </c>
      <c r="K3004" s="455">
        <f t="shared" ca="1" si="138"/>
        <v>-459562693.79144716</v>
      </c>
      <c r="L3004" s="455">
        <f t="shared" ca="1" si="139"/>
        <v>-110754609203.73878</v>
      </c>
      <c r="M3004" s="471">
        <f t="shared" si="141"/>
        <v>0.05</v>
      </c>
      <c r="N3004" s="475">
        <f t="shared" si="142"/>
        <v>142478</v>
      </c>
    </row>
    <row r="3005" spans="7:14" ht="11.25" customHeight="1" x14ac:dyDescent="0.3">
      <c r="G3005" s="470"/>
      <c r="H3005" s="470">
        <v>2998</v>
      </c>
      <c r="I3005" s="455">
        <f t="shared" ca="1" si="140"/>
        <v>-110754609203.73878</v>
      </c>
      <c r="J3005" s="455">
        <f t="array" ref="J3005">IFERROR(INDEX('Retirement Calculator'!K:K,MATCH('Lorri 401b'!N3005,'Retirement Calculator'!A:A,0),0),0)</f>
        <v>0</v>
      </c>
      <c r="K3005" s="455">
        <f t="shared" ca="1" si="138"/>
        <v>-461477538.34891158</v>
      </c>
      <c r="L3005" s="455">
        <f t="shared" ca="1" si="139"/>
        <v>-111216086742.08769</v>
      </c>
      <c r="M3005" s="471">
        <f t="shared" si="141"/>
        <v>0.05</v>
      </c>
      <c r="N3005" s="475">
        <f t="shared" si="142"/>
        <v>142506</v>
      </c>
    </row>
    <row r="3006" spans="7:14" ht="11.25" customHeight="1" x14ac:dyDescent="0.3">
      <c r="G3006" s="470"/>
      <c r="H3006" s="470">
        <v>2999</v>
      </c>
      <c r="I3006" s="455">
        <f t="shared" ca="1" si="140"/>
        <v>-111216086742.08769</v>
      </c>
      <c r="J3006" s="455">
        <f t="array" ref="J3006">IFERROR(INDEX('Retirement Calculator'!K:K,MATCH('Lorri 401b'!N3006,'Retirement Calculator'!A:A,0),0),0)</f>
        <v>0</v>
      </c>
      <c r="K3006" s="455">
        <f t="shared" ca="1" si="138"/>
        <v>-463400361.42536539</v>
      </c>
      <c r="L3006" s="455">
        <f t="shared" ca="1" si="139"/>
        <v>-111679487103.51306</v>
      </c>
      <c r="M3006" s="471">
        <f t="shared" si="141"/>
        <v>0.05</v>
      </c>
      <c r="N3006" s="475">
        <f t="shared" si="142"/>
        <v>142537</v>
      </c>
    </row>
    <row r="3007" spans="7:14" ht="11.25" customHeight="1" x14ac:dyDescent="0.3">
      <c r="G3007" s="470"/>
      <c r="H3007" s="470">
        <v>3000</v>
      </c>
      <c r="I3007" s="455">
        <f t="shared" ca="1" si="140"/>
        <v>-111679487103.51306</v>
      </c>
      <c r="J3007" s="455">
        <f t="array" ref="J3007">IFERROR(INDEX('Retirement Calculator'!K:K,MATCH('Lorri 401b'!N3007,'Retirement Calculator'!A:A,0),0),0)</f>
        <v>0</v>
      </c>
      <c r="K3007" s="455">
        <f t="shared" ca="1" si="138"/>
        <v>-465331196.26463777</v>
      </c>
      <c r="L3007" s="455">
        <f t="shared" ca="1" si="139"/>
        <v>-112144818299.77769</v>
      </c>
      <c r="M3007" s="471">
        <f t="shared" si="141"/>
        <v>0.05</v>
      </c>
      <c r="N3007" s="475">
        <f t="shared" si="142"/>
        <v>142567</v>
      </c>
    </row>
    <row r="3008" spans="7:14" ht="11.25" customHeight="1" x14ac:dyDescent="0.3">
      <c r="G3008" s="470"/>
      <c r="H3008" s="470">
        <v>3001</v>
      </c>
      <c r="I3008" s="455">
        <f t="shared" ca="1" si="140"/>
        <v>-112144818299.77769</v>
      </c>
      <c r="J3008" s="455">
        <f t="array" ref="J3008">IFERROR(INDEX('Retirement Calculator'!K:K,MATCH('Lorri 401b'!N3008,'Retirement Calculator'!A:A,0),0),0)</f>
        <v>0</v>
      </c>
      <c r="K3008" s="455">
        <f t="shared" ca="1" si="138"/>
        <v>-467270076.2490738</v>
      </c>
      <c r="L3008" s="455">
        <f t="shared" ca="1" si="139"/>
        <v>-112612088376.02676</v>
      </c>
      <c r="M3008" s="471">
        <f t="shared" si="141"/>
        <v>0.05</v>
      </c>
      <c r="N3008" s="475">
        <f t="shared" si="142"/>
        <v>142598</v>
      </c>
    </row>
    <row r="3009" spans="7:14" ht="11.25" customHeight="1" x14ac:dyDescent="0.3">
      <c r="G3009" s="470"/>
      <c r="H3009" s="470">
        <v>3002</v>
      </c>
      <c r="I3009" s="455">
        <f t="shared" ca="1" si="140"/>
        <v>-112612088376.02676</v>
      </c>
      <c r="J3009" s="455">
        <f t="array" ref="J3009">IFERROR(INDEX('Retirement Calculator'!K:K,MATCH('Lorri 401b'!N3009,'Retirement Calculator'!A:A,0),0),0)</f>
        <v>0</v>
      </c>
      <c r="K3009" s="455">
        <f t="shared" ca="1" si="138"/>
        <v>-469217034.90011156</v>
      </c>
      <c r="L3009" s="455">
        <f t="shared" ca="1" si="139"/>
        <v>-113081305410.92688</v>
      </c>
      <c r="M3009" s="471">
        <f t="shared" si="141"/>
        <v>0.05</v>
      </c>
      <c r="N3009" s="475">
        <f t="shared" si="142"/>
        <v>142628</v>
      </c>
    </row>
    <row r="3010" spans="7:14" ht="11.25" customHeight="1" x14ac:dyDescent="0.3">
      <c r="G3010" s="470"/>
      <c r="H3010" s="470">
        <v>3003</v>
      </c>
      <c r="I3010" s="455">
        <f t="shared" ca="1" si="140"/>
        <v>-113081305410.92688</v>
      </c>
      <c r="J3010" s="455">
        <f t="array" ref="J3010">IFERROR(INDEX('Retirement Calculator'!K:K,MATCH('Lorri 401b'!N3010,'Retirement Calculator'!A:A,0),0),0)</f>
        <v>0</v>
      </c>
      <c r="K3010" s="455">
        <f t="shared" ca="1" si="138"/>
        <v>-471172105.87886196</v>
      </c>
      <c r="L3010" s="455">
        <f t="shared" ca="1" si="139"/>
        <v>-113552477516.80574</v>
      </c>
      <c r="M3010" s="471">
        <f t="shared" si="141"/>
        <v>0.05</v>
      </c>
      <c r="N3010" s="475">
        <f t="shared" si="142"/>
        <v>142659</v>
      </c>
    </row>
    <row r="3011" spans="7:14" ht="11.25" customHeight="1" x14ac:dyDescent="0.3">
      <c r="G3011" s="470"/>
      <c r="H3011" s="470">
        <v>3004</v>
      </c>
      <c r="I3011" s="455">
        <f t="shared" ca="1" si="140"/>
        <v>-113552477516.80574</v>
      </c>
      <c r="J3011" s="455">
        <f t="array" ref="J3011">IFERROR(INDEX('Retirement Calculator'!K:K,MATCH('Lorri 401b'!N3011,'Retirement Calculator'!A:A,0),0),0)</f>
        <v>0</v>
      </c>
      <c r="K3011" s="455">
        <f t="shared" ca="1" si="138"/>
        <v>-473135322.98669064</v>
      </c>
      <c r="L3011" s="455">
        <f t="shared" ca="1" si="139"/>
        <v>-114025612839.79243</v>
      </c>
      <c r="M3011" s="471">
        <f t="shared" si="141"/>
        <v>0.05</v>
      </c>
      <c r="N3011" s="475">
        <f t="shared" si="142"/>
        <v>142690</v>
      </c>
    </row>
    <row r="3012" spans="7:14" ht="11.25" customHeight="1" x14ac:dyDescent="0.3">
      <c r="G3012" s="470"/>
      <c r="H3012" s="470">
        <v>3005</v>
      </c>
      <c r="I3012" s="455">
        <f t="shared" ca="1" si="140"/>
        <v>-114025612839.79243</v>
      </c>
      <c r="J3012" s="455">
        <f t="array" ref="J3012">IFERROR(INDEX('Retirement Calculator'!K:K,MATCH('Lorri 401b'!N3012,'Retirement Calculator'!A:A,0),0),0)</f>
        <v>0</v>
      </c>
      <c r="K3012" s="455">
        <f t="shared" ca="1" si="138"/>
        <v>-475106720.16580182</v>
      </c>
      <c r="L3012" s="455">
        <f t="shared" ca="1" si="139"/>
        <v>-114500719559.95824</v>
      </c>
      <c r="M3012" s="471">
        <f t="shared" si="141"/>
        <v>0.05</v>
      </c>
      <c r="N3012" s="475">
        <f t="shared" si="142"/>
        <v>142720</v>
      </c>
    </row>
    <row r="3013" spans="7:14" ht="11.25" customHeight="1" x14ac:dyDescent="0.3">
      <c r="G3013" s="470"/>
      <c r="H3013" s="470">
        <v>3006</v>
      </c>
      <c r="I3013" s="455">
        <f t="shared" ca="1" si="140"/>
        <v>-114500719559.95824</v>
      </c>
      <c r="J3013" s="455">
        <f t="array" ref="J3013">IFERROR(INDEX('Retirement Calculator'!K:K,MATCH('Lorri 401b'!N3013,'Retirement Calculator'!A:A,0),0),0)</f>
        <v>0</v>
      </c>
      <c r="K3013" s="455">
        <f t="shared" ca="1" si="138"/>
        <v>-477086331.49982589</v>
      </c>
      <c r="L3013" s="455">
        <f t="shared" ca="1" si="139"/>
        <v>-114977805891.45807</v>
      </c>
      <c r="M3013" s="471">
        <f t="shared" si="141"/>
        <v>0.05</v>
      </c>
      <c r="N3013" s="475">
        <f t="shared" si="142"/>
        <v>142751</v>
      </c>
    </row>
    <row r="3014" spans="7:14" ht="11.25" customHeight="1" x14ac:dyDescent="0.3">
      <c r="G3014" s="470"/>
      <c r="H3014" s="470">
        <v>3007</v>
      </c>
      <c r="I3014" s="455">
        <f t="shared" ca="1" si="140"/>
        <v>-114977805891.45807</v>
      </c>
      <c r="J3014" s="455">
        <f t="array" ref="J3014">IFERROR(INDEX('Retirement Calculator'!K:K,MATCH('Lorri 401b'!N3014,'Retirement Calculator'!A:A,0),0),0)</f>
        <v>0</v>
      </c>
      <c r="K3014" s="455">
        <f t="shared" ca="1" si="138"/>
        <v>-479074191.2144087</v>
      </c>
      <c r="L3014" s="455">
        <f t="shared" ca="1" si="139"/>
        <v>-115456880082.67247</v>
      </c>
      <c r="M3014" s="471">
        <f t="shared" si="141"/>
        <v>0.05</v>
      </c>
      <c r="N3014" s="475">
        <f t="shared" si="142"/>
        <v>142781</v>
      </c>
    </row>
    <row r="3015" spans="7:14" ht="11.25" customHeight="1" x14ac:dyDescent="0.3">
      <c r="G3015" s="470"/>
      <c r="H3015" s="470">
        <v>3008</v>
      </c>
      <c r="I3015" s="455">
        <f t="shared" ca="1" si="140"/>
        <v>-115456880082.67247</v>
      </c>
      <c r="J3015" s="455">
        <f t="array" ref="J3015">IFERROR(INDEX('Retirement Calculator'!K:K,MATCH('Lorri 401b'!N3015,'Retirement Calculator'!A:A,0),0),0)</f>
        <v>0</v>
      </c>
      <c r="K3015" s="455">
        <f t="shared" ca="1" si="138"/>
        <v>-481070333.67780197</v>
      </c>
      <c r="L3015" s="455">
        <f t="shared" ca="1" si="139"/>
        <v>-115937950416.35027</v>
      </c>
      <c r="M3015" s="471">
        <f t="shared" si="141"/>
        <v>0.05</v>
      </c>
      <c r="N3015" s="475">
        <f t="shared" si="142"/>
        <v>142812</v>
      </c>
    </row>
    <row r="3016" spans="7:14" ht="11.25" customHeight="1" x14ac:dyDescent="0.3">
      <c r="G3016" s="470"/>
      <c r="H3016" s="470">
        <v>3009</v>
      </c>
      <c r="I3016" s="455">
        <f t="shared" ca="1" si="140"/>
        <v>-115937950416.35027</v>
      </c>
      <c r="J3016" s="455">
        <f t="array" ref="J3016">IFERROR(INDEX('Retirement Calculator'!K:K,MATCH('Lorri 401b'!N3016,'Retirement Calculator'!A:A,0),0),0)</f>
        <v>0</v>
      </c>
      <c r="K3016" s="455">
        <f t="shared" ca="1" si="138"/>
        <v>-483074793.40145946</v>
      </c>
      <c r="L3016" s="455">
        <f t="shared" ca="1" si="139"/>
        <v>-116421025209.75172</v>
      </c>
      <c r="M3016" s="471">
        <f t="shared" si="141"/>
        <v>0.05</v>
      </c>
      <c r="N3016" s="475">
        <f t="shared" si="142"/>
        <v>142843</v>
      </c>
    </row>
    <row r="3017" spans="7:14" ht="11.25" customHeight="1" x14ac:dyDescent="0.3">
      <c r="G3017" s="470"/>
      <c r="H3017" s="470">
        <v>3010</v>
      </c>
      <c r="I3017" s="455">
        <f t="shared" ca="1" si="140"/>
        <v>-116421025209.75172</v>
      </c>
      <c r="J3017" s="455">
        <f t="array" ref="J3017">IFERROR(INDEX('Retirement Calculator'!K:K,MATCH('Lorri 401b'!N3017,'Retirement Calculator'!A:A,0),0),0)</f>
        <v>0</v>
      </c>
      <c r="K3017" s="455">
        <f t="shared" ca="1" si="138"/>
        <v>-485087605.04063219</v>
      </c>
      <c r="L3017" s="455">
        <f t="shared" ca="1" si="139"/>
        <v>-116906112814.79236</v>
      </c>
      <c r="M3017" s="471">
        <f t="shared" si="141"/>
        <v>0.05</v>
      </c>
      <c r="N3017" s="475">
        <f t="shared" si="142"/>
        <v>142871</v>
      </c>
    </row>
    <row r="3018" spans="7:14" ht="11.25" customHeight="1" x14ac:dyDescent="0.3">
      <c r="G3018" s="470"/>
      <c r="H3018" s="470">
        <v>3011</v>
      </c>
      <c r="I3018" s="455">
        <f t="shared" ca="1" si="140"/>
        <v>-116906112814.79236</v>
      </c>
      <c r="J3018" s="455">
        <f t="array" ref="J3018">IFERROR(INDEX('Retirement Calculator'!K:K,MATCH('Lorri 401b'!N3018,'Retirement Calculator'!A:A,0),0),0)</f>
        <v>0</v>
      </c>
      <c r="K3018" s="455">
        <f t="shared" ca="1" si="138"/>
        <v>-487108803.39496809</v>
      </c>
      <c r="L3018" s="455">
        <f t="shared" ca="1" si="139"/>
        <v>-117393221618.18733</v>
      </c>
      <c r="M3018" s="471">
        <f t="shared" si="141"/>
        <v>0.05</v>
      </c>
      <c r="N3018" s="475">
        <f t="shared" si="142"/>
        <v>142902</v>
      </c>
    </row>
    <row r="3019" spans="7:14" ht="11.25" customHeight="1" x14ac:dyDescent="0.3">
      <c r="G3019" s="470"/>
      <c r="H3019" s="470">
        <v>3012</v>
      </c>
      <c r="I3019" s="455">
        <f t="shared" ca="1" si="140"/>
        <v>-117393221618.18733</v>
      </c>
      <c r="J3019" s="455">
        <f t="array" ref="J3019">IFERROR(INDEX('Retirement Calculator'!K:K,MATCH('Lorri 401b'!N3019,'Retirement Calculator'!A:A,0),0),0)</f>
        <v>0</v>
      </c>
      <c r="K3019" s="455">
        <f t="shared" ca="1" si="138"/>
        <v>-489138423.40911382</v>
      </c>
      <c r="L3019" s="455">
        <f t="shared" ca="1" si="139"/>
        <v>-117882360041.59645</v>
      </c>
      <c r="M3019" s="471">
        <f t="shared" si="141"/>
        <v>0.05</v>
      </c>
      <c r="N3019" s="475">
        <f t="shared" si="142"/>
        <v>142932</v>
      </c>
    </row>
    <row r="3020" spans="7:14" ht="11.25" customHeight="1" x14ac:dyDescent="0.3">
      <c r="G3020" s="470"/>
      <c r="H3020" s="470">
        <v>3013</v>
      </c>
      <c r="I3020" s="455">
        <f t="shared" ca="1" si="140"/>
        <v>-117882360041.59645</v>
      </c>
      <c r="J3020" s="455">
        <f t="array" ref="J3020">IFERROR(INDEX('Retirement Calculator'!K:K,MATCH('Lorri 401b'!N3020,'Retirement Calculator'!A:A,0),0),0)</f>
        <v>0</v>
      </c>
      <c r="K3020" s="455">
        <f t="shared" ca="1" si="138"/>
        <v>-491176500.17331845</v>
      </c>
      <c r="L3020" s="455">
        <f t="shared" ca="1" si="139"/>
        <v>-118373536541.76978</v>
      </c>
      <c r="M3020" s="471">
        <f t="shared" si="141"/>
        <v>0.05</v>
      </c>
      <c r="N3020" s="475">
        <f t="shared" si="142"/>
        <v>142963</v>
      </c>
    </row>
    <row r="3021" spans="7:14" ht="11.25" customHeight="1" x14ac:dyDescent="0.3">
      <c r="G3021" s="470"/>
      <c r="H3021" s="470">
        <v>3014</v>
      </c>
      <c r="I3021" s="455">
        <f t="shared" ca="1" si="140"/>
        <v>-118373536541.76978</v>
      </c>
      <c r="J3021" s="455">
        <f t="array" ref="J3021">IFERROR(INDEX('Retirement Calculator'!K:K,MATCH('Lorri 401b'!N3021,'Retirement Calculator'!A:A,0),0),0)</f>
        <v>0</v>
      </c>
      <c r="K3021" s="455">
        <f t="shared" ca="1" si="138"/>
        <v>-493223068.92404073</v>
      </c>
      <c r="L3021" s="455">
        <f t="shared" ca="1" si="139"/>
        <v>-118866759610.69382</v>
      </c>
      <c r="M3021" s="471">
        <f t="shared" si="141"/>
        <v>0.05</v>
      </c>
      <c r="N3021" s="475">
        <f t="shared" si="142"/>
        <v>142993</v>
      </c>
    </row>
    <row r="3022" spans="7:14" ht="11.25" customHeight="1" x14ac:dyDescent="0.3">
      <c r="G3022" s="470"/>
      <c r="H3022" s="470">
        <v>3015</v>
      </c>
      <c r="I3022" s="455">
        <f t="shared" ca="1" si="140"/>
        <v>-118866759610.69382</v>
      </c>
      <c r="J3022" s="455">
        <f t="array" ref="J3022">IFERROR(INDEX('Retirement Calculator'!K:K,MATCH('Lorri 401b'!N3022,'Retirement Calculator'!A:A,0),0),0)</f>
        <v>0</v>
      </c>
      <c r="K3022" s="455">
        <f t="shared" ca="1" si="138"/>
        <v>-495278165.04455757</v>
      </c>
      <c r="L3022" s="455">
        <f t="shared" ca="1" si="139"/>
        <v>-119362037775.73837</v>
      </c>
      <c r="M3022" s="471">
        <f t="shared" si="141"/>
        <v>0.05</v>
      </c>
      <c r="N3022" s="475">
        <f t="shared" si="142"/>
        <v>143024</v>
      </c>
    </row>
    <row r="3023" spans="7:14" ht="11.25" customHeight="1" x14ac:dyDescent="0.3">
      <c r="G3023" s="470"/>
      <c r="H3023" s="470">
        <v>3016</v>
      </c>
      <c r="I3023" s="455">
        <f t="shared" ca="1" si="140"/>
        <v>-119362037775.73837</v>
      </c>
      <c r="J3023" s="455">
        <f t="array" ref="J3023">IFERROR(INDEX('Retirement Calculator'!K:K,MATCH('Lorri 401b'!N3023,'Retirement Calculator'!A:A,0),0),0)</f>
        <v>0</v>
      </c>
      <c r="K3023" s="455">
        <f t="shared" ca="1" si="138"/>
        <v>-497341824.06557649</v>
      </c>
      <c r="L3023" s="455">
        <f t="shared" ca="1" si="139"/>
        <v>-119859379599.80396</v>
      </c>
      <c r="M3023" s="471">
        <f t="shared" si="141"/>
        <v>0.05</v>
      </c>
      <c r="N3023" s="475">
        <f t="shared" si="142"/>
        <v>143055</v>
      </c>
    </row>
    <row r="3024" spans="7:14" ht="11.25" customHeight="1" x14ac:dyDescent="0.3">
      <c r="G3024" s="470"/>
      <c r="H3024" s="470">
        <v>3017</v>
      </c>
      <c r="I3024" s="455">
        <f t="shared" ca="1" si="140"/>
        <v>-119859379599.80396</v>
      </c>
      <c r="J3024" s="455">
        <f t="array" ref="J3024">IFERROR(INDEX('Retirement Calculator'!K:K,MATCH('Lorri 401b'!N3024,'Retirement Calculator'!A:A,0),0),0)</f>
        <v>0</v>
      </c>
      <c r="K3024" s="455">
        <f t="shared" ca="1" si="138"/>
        <v>-499414081.6658498</v>
      </c>
      <c r="L3024" s="455">
        <f t="shared" ca="1" si="139"/>
        <v>-120358793681.4698</v>
      </c>
      <c r="M3024" s="471">
        <f t="shared" si="141"/>
        <v>0.05</v>
      </c>
      <c r="N3024" s="475">
        <f t="shared" si="142"/>
        <v>143085</v>
      </c>
    </row>
    <row r="3025" spans="7:14" ht="11.25" customHeight="1" x14ac:dyDescent="0.3">
      <c r="G3025" s="470"/>
      <c r="H3025" s="470">
        <v>3018</v>
      </c>
      <c r="I3025" s="455">
        <f t="shared" ca="1" si="140"/>
        <v>-120358793681.4698</v>
      </c>
      <c r="J3025" s="455">
        <f t="array" ref="J3025">IFERROR(INDEX('Retirement Calculator'!K:K,MATCH('Lorri 401b'!N3025,'Retirement Calculator'!A:A,0),0),0)</f>
        <v>0</v>
      </c>
      <c r="K3025" s="455">
        <f t="shared" ca="1" si="138"/>
        <v>-501494973.67279083</v>
      </c>
      <c r="L3025" s="455">
        <f t="shared" ca="1" si="139"/>
        <v>-120860288655.14259</v>
      </c>
      <c r="M3025" s="471">
        <f t="shared" si="141"/>
        <v>0.05</v>
      </c>
      <c r="N3025" s="475">
        <f t="shared" si="142"/>
        <v>143116</v>
      </c>
    </row>
    <row r="3026" spans="7:14" ht="11.25" customHeight="1" x14ac:dyDescent="0.3">
      <c r="G3026" s="470"/>
      <c r="H3026" s="470">
        <v>3019</v>
      </c>
      <c r="I3026" s="455">
        <f t="shared" ca="1" si="140"/>
        <v>-120860288655.14259</v>
      </c>
      <c r="J3026" s="455">
        <f t="array" ref="J3026">IFERROR(INDEX('Retirement Calculator'!K:K,MATCH('Lorri 401b'!N3026,'Retirement Calculator'!A:A,0),0),0)</f>
        <v>0</v>
      </c>
      <c r="K3026" s="455">
        <f t="shared" ca="1" si="138"/>
        <v>-503584536.06309414</v>
      </c>
      <c r="L3026" s="455">
        <f t="shared" ca="1" si="139"/>
        <v>-121363873191.20569</v>
      </c>
      <c r="M3026" s="471">
        <f t="shared" si="141"/>
        <v>0.05</v>
      </c>
      <c r="N3026" s="475">
        <f t="shared" si="142"/>
        <v>143146</v>
      </c>
    </row>
    <row r="3027" spans="7:14" ht="11.25" customHeight="1" x14ac:dyDescent="0.3">
      <c r="G3027" s="470"/>
      <c r="H3027" s="470">
        <v>3020</v>
      </c>
      <c r="I3027" s="455">
        <f t="shared" ca="1" si="140"/>
        <v>-121363873191.20569</v>
      </c>
      <c r="J3027" s="455">
        <f t="array" ref="J3027">IFERROR(INDEX('Retirement Calculator'!K:K,MATCH('Lorri 401b'!N3027,'Retirement Calculator'!A:A,0),0),0)</f>
        <v>0</v>
      </c>
      <c r="K3027" s="455">
        <f t="shared" ca="1" si="138"/>
        <v>-505682804.96335709</v>
      </c>
      <c r="L3027" s="455">
        <f t="shared" ca="1" si="139"/>
        <v>-121869555996.16905</v>
      </c>
      <c r="M3027" s="471">
        <f t="shared" si="141"/>
        <v>0.05</v>
      </c>
      <c r="N3027" s="475">
        <f t="shared" si="142"/>
        <v>143177</v>
      </c>
    </row>
    <row r="3028" spans="7:14" ht="11.25" customHeight="1" x14ac:dyDescent="0.3">
      <c r="G3028" s="470"/>
      <c r="H3028" s="470">
        <v>3021</v>
      </c>
      <c r="I3028" s="455">
        <f t="shared" ca="1" si="140"/>
        <v>-121869555996.16905</v>
      </c>
      <c r="J3028" s="455">
        <f t="array" ref="J3028">IFERROR(INDEX('Retirement Calculator'!K:K,MATCH('Lorri 401b'!N3028,'Retirement Calculator'!A:A,0),0),0)</f>
        <v>0</v>
      </c>
      <c r="K3028" s="455">
        <f t="shared" ca="1" si="138"/>
        <v>-507789816.65070444</v>
      </c>
      <c r="L3028" s="455">
        <f t="shared" ca="1" si="139"/>
        <v>-122377345812.81976</v>
      </c>
      <c r="M3028" s="471">
        <f t="shared" si="141"/>
        <v>0.05</v>
      </c>
      <c r="N3028" s="475">
        <f t="shared" si="142"/>
        <v>143208</v>
      </c>
    </row>
    <row r="3029" spans="7:14" ht="11.25" customHeight="1" x14ac:dyDescent="0.3">
      <c r="G3029" s="470"/>
      <c r="H3029" s="470">
        <v>3022</v>
      </c>
      <c r="I3029" s="455">
        <f t="shared" ca="1" si="140"/>
        <v>-122377345812.81976</v>
      </c>
      <c r="J3029" s="455">
        <f t="array" ref="J3029">IFERROR(INDEX('Retirement Calculator'!K:K,MATCH('Lorri 401b'!N3029,'Retirement Calculator'!A:A,0),0),0)</f>
        <v>0</v>
      </c>
      <c r="K3029" s="455">
        <f t="shared" ca="1" si="138"/>
        <v>-509905607.55341572</v>
      </c>
      <c r="L3029" s="455">
        <f t="shared" ca="1" si="139"/>
        <v>-122887251420.37318</v>
      </c>
      <c r="M3029" s="471">
        <f t="shared" si="141"/>
        <v>0.05</v>
      </c>
      <c r="N3029" s="475">
        <f t="shared" si="142"/>
        <v>143237</v>
      </c>
    </row>
    <row r="3030" spans="7:14" ht="11.25" customHeight="1" x14ac:dyDescent="0.3">
      <c r="G3030" s="470"/>
      <c r="H3030" s="470">
        <v>3023</v>
      </c>
      <c r="I3030" s="455">
        <f t="shared" ca="1" si="140"/>
        <v>-122887251420.37318</v>
      </c>
      <c r="J3030" s="455">
        <f t="array" ref="J3030">IFERROR(INDEX('Retirement Calculator'!K:K,MATCH('Lorri 401b'!N3030,'Retirement Calculator'!A:A,0),0),0)</f>
        <v>0</v>
      </c>
      <c r="K3030" s="455">
        <f t="shared" ca="1" si="138"/>
        <v>-512030214.25155491</v>
      </c>
      <c r="L3030" s="455">
        <f t="shared" ca="1" si="139"/>
        <v>-123399281634.62474</v>
      </c>
      <c r="M3030" s="471">
        <f t="shared" si="141"/>
        <v>0.05</v>
      </c>
      <c r="N3030" s="475">
        <f t="shared" si="142"/>
        <v>143268</v>
      </c>
    </row>
    <row r="3031" spans="7:14" ht="11.25" customHeight="1" x14ac:dyDescent="0.3">
      <c r="G3031" s="470"/>
      <c r="H3031" s="470">
        <v>3024</v>
      </c>
      <c r="I3031" s="455">
        <f t="shared" ca="1" si="140"/>
        <v>-123399281634.62474</v>
      </c>
      <c r="J3031" s="455">
        <f t="array" ref="J3031">IFERROR(INDEX('Retirement Calculator'!K:K,MATCH('Lorri 401b'!N3031,'Retirement Calculator'!A:A,0),0),0)</f>
        <v>0</v>
      </c>
      <c r="K3031" s="455">
        <f t="shared" ca="1" si="138"/>
        <v>-514163673.47760308</v>
      </c>
      <c r="L3031" s="455">
        <f t="shared" ca="1" si="139"/>
        <v>-123913445308.10234</v>
      </c>
      <c r="M3031" s="471">
        <f t="shared" si="141"/>
        <v>0.05</v>
      </c>
      <c r="N3031" s="475">
        <f t="shared" si="142"/>
        <v>143298</v>
      </c>
    </row>
    <row r="3032" spans="7:14" ht="11.25" customHeight="1" x14ac:dyDescent="0.3">
      <c r="G3032" s="470"/>
      <c r="H3032" s="470">
        <v>3025</v>
      </c>
      <c r="I3032" s="455">
        <f t="shared" ca="1" si="140"/>
        <v>-123913445308.10234</v>
      </c>
      <c r="J3032" s="455">
        <f t="array" ref="J3032">IFERROR(INDEX('Retirement Calculator'!K:K,MATCH('Lorri 401b'!N3032,'Retirement Calculator'!A:A,0),0),0)</f>
        <v>0</v>
      </c>
      <c r="K3032" s="455">
        <f t="shared" ca="1" si="138"/>
        <v>-516306022.11709309</v>
      </c>
      <c r="L3032" s="455">
        <f t="shared" ca="1" si="139"/>
        <v>-124429751330.21944</v>
      </c>
      <c r="M3032" s="471">
        <f t="shared" si="141"/>
        <v>0.05</v>
      </c>
      <c r="N3032" s="475">
        <f t="shared" si="142"/>
        <v>143329</v>
      </c>
    </row>
    <row r="3033" spans="7:14" ht="11.25" customHeight="1" x14ac:dyDescent="0.3">
      <c r="G3033" s="470"/>
      <c r="H3033" s="470">
        <v>3026</v>
      </c>
      <c r="I3033" s="455">
        <f t="shared" ca="1" si="140"/>
        <v>-124429751330.21944</v>
      </c>
      <c r="J3033" s="455">
        <f t="array" ref="J3033">IFERROR(INDEX('Retirement Calculator'!K:K,MATCH('Lorri 401b'!N3033,'Retirement Calculator'!A:A,0),0),0)</f>
        <v>0</v>
      </c>
      <c r="K3033" s="455">
        <f t="shared" ca="1" si="138"/>
        <v>-518457297.20924765</v>
      </c>
      <c r="L3033" s="455">
        <f t="shared" ca="1" si="139"/>
        <v>-124948208627.42868</v>
      </c>
      <c r="M3033" s="471">
        <f t="shared" si="141"/>
        <v>0.05</v>
      </c>
      <c r="N3033" s="475">
        <f t="shared" si="142"/>
        <v>143359</v>
      </c>
    </row>
    <row r="3034" spans="7:14" ht="11.25" customHeight="1" x14ac:dyDescent="0.3">
      <c r="G3034" s="470"/>
      <c r="H3034" s="470">
        <v>3027</v>
      </c>
      <c r="I3034" s="455">
        <f t="shared" ca="1" si="140"/>
        <v>-124948208627.42868</v>
      </c>
      <c r="J3034" s="455">
        <f t="array" ref="J3034">IFERROR(INDEX('Retirement Calculator'!K:K,MATCH('Lorri 401b'!N3034,'Retirement Calculator'!A:A,0),0),0)</f>
        <v>0</v>
      </c>
      <c r="K3034" s="455">
        <f t="shared" ca="1" si="138"/>
        <v>-520617535.9476195</v>
      </c>
      <c r="L3034" s="455">
        <f t="shared" ca="1" si="139"/>
        <v>-125468826163.3763</v>
      </c>
      <c r="M3034" s="471">
        <f t="shared" si="141"/>
        <v>0.05</v>
      </c>
      <c r="N3034" s="475">
        <f t="shared" si="142"/>
        <v>143390</v>
      </c>
    </row>
    <row r="3035" spans="7:14" ht="11.25" customHeight="1" x14ac:dyDescent="0.3">
      <c r="G3035" s="470"/>
      <c r="H3035" s="470">
        <v>3028</v>
      </c>
      <c r="I3035" s="455">
        <f t="shared" ca="1" si="140"/>
        <v>-125468826163.3763</v>
      </c>
      <c r="J3035" s="455">
        <f t="array" ref="J3035">IFERROR(INDEX('Retirement Calculator'!K:K,MATCH('Lorri 401b'!N3035,'Retirement Calculator'!A:A,0),0),0)</f>
        <v>0</v>
      </c>
      <c r="K3035" s="455">
        <f t="shared" ca="1" si="138"/>
        <v>-522786775.68073457</v>
      </c>
      <c r="L3035" s="455">
        <f t="shared" ca="1" si="139"/>
        <v>-125991612939.05704</v>
      </c>
      <c r="M3035" s="471">
        <f t="shared" si="141"/>
        <v>0.05</v>
      </c>
      <c r="N3035" s="475">
        <f t="shared" si="142"/>
        <v>143421</v>
      </c>
    </row>
    <row r="3036" spans="7:14" ht="11.25" customHeight="1" x14ac:dyDescent="0.3">
      <c r="G3036" s="470"/>
      <c r="H3036" s="470">
        <v>3029</v>
      </c>
      <c r="I3036" s="455">
        <f t="shared" ca="1" si="140"/>
        <v>-125991612939.05704</v>
      </c>
      <c r="J3036" s="455">
        <f t="array" ref="J3036">IFERROR(INDEX('Retirement Calculator'!K:K,MATCH('Lorri 401b'!N3036,'Retirement Calculator'!A:A,0),0),0)</f>
        <v>0</v>
      </c>
      <c r="K3036" s="455">
        <f t="shared" ca="1" si="138"/>
        <v>-524965053.91273773</v>
      </c>
      <c r="L3036" s="455">
        <f t="shared" ca="1" si="139"/>
        <v>-126516577992.96977</v>
      </c>
      <c r="M3036" s="471">
        <f t="shared" si="141"/>
        <v>0.05</v>
      </c>
      <c r="N3036" s="475">
        <f t="shared" si="142"/>
        <v>143451</v>
      </c>
    </row>
    <row r="3037" spans="7:14" ht="11.25" customHeight="1" x14ac:dyDescent="0.3">
      <c r="G3037" s="470"/>
      <c r="H3037" s="470">
        <v>3030</v>
      </c>
      <c r="I3037" s="455">
        <f t="shared" ca="1" si="140"/>
        <v>-126516577992.96977</v>
      </c>
      <c r="J3037" s="455">
        <f t="array" ref="J3037">IFERROR(INDEX('Retirement Calculator'!K:K,MATCH('Lorri 401b'!N3037,'Retirement Calculator'!A:A,0),0),0)</f>
        <v>0</v>
      </c>
      <c r="K3037" s="455">
        <f t="shared" ca="1" si="138"/>
        <v>-527152408.30404073</v>
      </c>
      <c r="L3037" s="455">
        <f t="shared" ca="1" si="139"/>
        <v>-127043730401.27382</v>
      </c>
      <c r="M3037" s="471">
        <f t="shared" si="141"/>
        <v>0.05</v>
      </c>
      <c r="N3037" s="475">
        <f t="shared" si="142"/>
        <v>143482</v>
      </c>
    </row>
    <row r="3038" spans="7:14" ht="11.25" customHeight="1" x14ac:dyDescent="0.3">
      <c r="G3038" s="470"/>
      <c r="H3038" s="470">
        <v>3031</v>
      </c>
      <c r="I3038" s="455">
        <f t="shared" ca="1" si="140"/>
        <v>-127043730401.27382</v>
      </c>
      <c r="J3038" s="455">
        <f t="array" ref="J3038">IFERROR(INDEX('Retirement Calculator'!K:K,MATCH('Lorri 401b'!N3038,'Retirement Calculator'!A:A,0),0),0)</f>
        <v>0</v>
      </c>
      <c r="K3038" s="455">
        <f t="shared" ca="1" si="138"/>
        <v>-529348876.6719743</v>
      </c>
      <c r="L3038" s="455">
        <f t="shared" ca="1" si="139"/>
        <v>-127573079277.9458</v>
      </c>
      <c r="M3038" s="471">
        <f t="shared" si="141"/>
        <v>0.05</v>
      </c>
      <c r="N3038" s="475">
        <f t="shared" si="142"/>
        <v>143512</v>
      </c>
    </row>
    <row r="3039" spans="7:14" ht="11.25" customHeight="1" x14ac:dyDescent="0.3">
      <c r="G3039" s="470"/>
      <c r="H3039" s="470">
        <v>3032</v>
      </c>
      <c r="I3039" s="455">
        <f t="shared" ca="1" si="140"/>
        <v>-127573079277.9458</v>
      </c>
      <c r="J3039" s="455">
        <f t="array" ref="J3039">IFERROR(INDEX('Retirement Calculator'!K:K,MATCH('Lorri 401b'!N3039,'Retirement Calculator'!A:A,0),0),0)</f>
        <v>0</v>
      </c>
      <c r="K3039" s="455">
        <f t="shared" ca="1" si="138"/>
        <v>-531554496.99144083</v>
      </c>
      <c r="L3039" s="455">
        <f t="shared" ca="1" si="139"/>
        <v>-128104633774.93724</v>
      </c>
      <c r="M3039" s="471">
        <f t="shared" si="141"/>
        <v>0.05</v>
      </c>
      <c r="N3039" s="475">
        <f t="shared" si="142"/>
        <v>143543</v>
      </c>
    </row>
    <row r="3040" spans="7:14" ht="11.25" customHeight="1" x14ac:dyDescent="0.3">
      <c r="G3040" s="470"/>
      <c r="H3040" s="470">
        <v>3033</v>
      </c>
      <c r="I3040" s="455">
        <f t="shared" ca="1" si="140"/>
        <v>-128104633774.93724</v>
      </c>
      <c r="J3040" s="455">
        <f t="array" ref="J3040">IFERROR(INDEX('Retirement Calculator'!K:K,MATCH('Lorri 401b'!N3040,'Retirement Calculator'!A:A,0),0),0)</f>
        <v>0</v>
      </c>
      <c r="K3040" s="455">
        <f t="shared" ca="1" si="138"/>
        <v>-533769307.39557183</v>
      </c>
      <c r="L3040" s="455">
        <f t="shared" ca="1" si="139"/>
        <v>-128638403082.33281</v>
      </c>
      <c r="M3040" s="471">
        <f t="shared" si="141"/>
        <v>0.05</v>
      </c>
      <c r="N3040" s="475">
        <f t="shared" si="142"/>
        <v>143574</v>
      </c>
    </row>
    <row r="3041" spans="7:14" ht="11.25" customHeight="1" x14ac:dyDescent="0.3">
      <c r="G3041" s="470"/>
      <c r="H3041" s="470">
        <v>3034</v>
      </c>
      <c r="I3041" s="455">
        <f t="shared" ca="1" si="140"/>
        <v>-128638403082.33281</v>
      </c>
      <c r="J3041" s="455">
        <f t="array" ref="J3041">IFERROR(INDEX('Retirement Calculator'!K:K,MATCH('Lorri 401b'!N3041,'Retirement Calculator'!A:A,0),0),0)</f>
        <v>0</v>
      </c>
      <c r="K3041" s="455">
        <f t="shared" ca="1" si="138"/>
        <v>-535993346.17638671</v>
      </c>
      <c r="L3041" s="455">
        <f t="shared" ca="1" si="139"/>
        <v>-129174396428.5092</v>
      </c>
      <c r="M3041" s="471">
        <f t="shared" si="141"/>
        <v>0.05</v>
      </c>
      <c r="N3041" s="475">
        <f t="shared" si="142"/>
        <v>143602</v>
      </c>
    </row>
    <row r="3042" spans="7:14" ht="11.25" customHeight="1" x14ac:dyDescent="0.3">
      <c r="G3042" s="470"/>
      <c r="H3042" s="470">
        <v>3035</v>
      </c>
      <c r="I3042" s="455">
        <f t="shared" ca="1" si="140"/>
        <v>-129174396428.5092</v>
      </c>
      <c r="J3042" s="455">
        <f t="array" ref="J3042">IFERROR(INDEX('Retirement Calculator'!K:K,MATCH('Lorri 401b'!N3042,'Retirement Calculator'!A:A,0),0),0)</f>
        <v>0</v>
      </c>
      <c r="K3042" s="455">
        <f t="shared" ca="1" si="138"/>
        <v>-538226651.78545511</v>
      </c>
      <c r="L3042" s="455">
        <f t="shared" ca="1" si="139"/>
        <v>-129712623080.29466</v>
      </c>
      <c r="M3042" s="471">
        <f t="shared" si="141"/>
        <v>0.05</v>
      </c>
      <c r="N3042" s="475">
        <f t="shared" si="142"/>
        <v>143633</v>
      </c>
    </row>
    <row r="3043" spans="7:14" ht="11.25" customHeight="1" x14ac:dyDescent="0.3">
      <c r="G3043" s="470"/>
      <c r="H3043" s="470">
        <v>3036</v>
      </c>
      <c r="I3043" s="455">
        <f t="shared" ca="1" si="140"/>
        <v>-129712623080.29466</v>
      </c>
      <c r="J3043" s="455">
        <f t="array" ref="J3043">IFERROR(INDEX('Retirement Calculator'!K:K,MATCH('Lorri 401b'!N3043,'Retirement Calculator'!A:A,0),0),0)</f>
        <v>0</v>
      </c>
      <c r="K3043" s="455">
        <f t="shared" ca="1" si="138"/>
        <v>-540469262.83456099</v>
      </c>
      <c r="L3043" s="455">
        <f t="shared" ca="1" si="139"/>
        <v>-130253092343.12923</v>
      </c>
      <c r="M3043" s="471">
        <f t="shared" si="141"/>
        <v>0.05</v>
      </c>
      <c r="N3043" s="475">
        <f t="shared" si="142"/>
        <v>143663</v>
      </c>
    </row>
    <row r="3044" spans="7:14" ht="11.25" customHeight="1" x14ac:dyDescent="0.3">
      <c r="G3044" s="470"/>
      <c r="H3044" s="470">
        <v>3037</v>
      </c>
      <c r="I3044" s="455">
        <f t="shared" ca="1" si="140"/>
        <v>-130253092343.12923</v>
      </c>
      <c r="J3044" s="455">
        <f t="array" ref="J3044">IFERROR(INDEX('Retirement Calculator'!K:K,MATCH('Lorri 401b'!N3044,'Retirement Calculator'!A:A,0),0),0)</f>
        <v>0</v>
      </c>
      <c r="K3044" s="455">
        <f t="shared" ca="1" si="138"/>
        <v>-542721218.09637177</v>
      </c>
      <c r="L3044" s="455">
        <f t="shared" ca="1" si="139"/>
        <v>-130795813561.2256</v>
      </c>
      <c r="M3044" s="471">
        <f t="shared" si="141"/>
        <v>0.05</v>
      </c>
      <c r="N3044" s="475">
        <f t="shared" si="142"/>
        <v>143694</v>
      </c>
    </row>
    <row r="3045" spans="7:14" ht="11.25" customHeight="1" x14ac:dyDescent="0.3">
      <c r="G3045" s="470"/>
      <c r="H3045" s="470">
        <v>3038</v>
      </c>
      <c r="I3045" s="455">
        <f t="shared" ca="1" si="140"/>
        <v>-130795813561.2256</v>
      </c>
      <c r="J3045" s="455">
        <f t="array" ref="J3045">IFERROR(INDEX('Retirement Calculator'!K:K,MATCH('Lorri 401b'!N3045,'Retirement Calculator'!A:A,0),0),0)</f>
        <v>0</v>
      </c>
      <c r="K3045" s="455">
        <f t="shared" ca="1" si="138"/>
        <v>-544982556.50510669</v>
      </c>
      <c r="L3045" s="455">
        <f t="shared" ca="1" si="139"/>
        <v>-131340796117.73071</v>
      </c>
      <c r="M3045" s="471">
        <f t="shared" si="141"/>
        <v>0.05</v>
      </c>
      <c r="N3045" s="475">
        <f t="shared" si="142"/>
        <v>143724</v>
      </c>
    </row>
    <row r="3046" spans="7:14" ht="11.25" customHeight="1" x14ac:dyDescent="0.3">
      <c r="G3046" s="470"/>
      <c r="H3046" s="470">
        <v>3039</v>
      </c>
      <c r="I3046" s="455">
        <f t="shared" ca="1" si="140"/>
        <v>-131340796117.73071</v>
      </c>
      <c r="J3046" s="455">
        <f t="array" ref="J3046">IFERROR(INDEX('Retirement Calculator'!K:K,MATCH('Lorri 401b'!N3046,'Retirement Calculator'!A:A,0),0),0)</f>
        <v>0</v>
      </c>
      <c r="K3046" s="455">
        <f t="shared" ca="1" si="138"/>
        <v>-547253317.1572113</v>
      </c>
      <c r="L3046" s="455">
        <f t="shared" ca="1" si="139"/>
        <v>-131888049434.88792</v>
      </c>
      <c r="M3046" s="471">
        <f t="shared" si="141"/>
        <v>0.05</v>
      </c>
      <c r="N3046" s="475">
        <f t="shared" si="142"/>
        <v>143755</v>
      </c>
    </row>
    <row r="3047" spans="7:14" ht="11.25" customHeight="1" x14ac:dyDescent="0.3">
      <c r="G3047" s="470"/>
      <c r="H3047" s="470">
        <v>3040</v>
      </c>
      <c r="I3047" s="455">
        <f t="shared" ca="1" si="140"/>
        <v>-131888049434.88792</v>
      </c>
      <c r="J3047" s="455">
        <f t="array" ref="J3047">IFERROR(INDEX('Retirement Calculator'!K:K,MATCH('Lorri 401b'!N3047,'Retirement Calculator'!A:A,0),0),0)</f>
        <v>0</v>
      </c>
      <c r="K3047" s="455">
        <f t="shared" ca="1" si="138"/>
        <v>-549533539.31203306</v>
      </c>
      <c r="L3047" s="455">
        <f t="shared" ca="1" si="139"/>
        <v>-132437582974.19995</v>
      </c>
      <c r="M3047" s="471">
        <f t="shared" si="141"/>
        <v>0.05</v>
      </c>
      <c r="N3047" s="475">
        <f t="shared" si="142"/>
        <v>143786</v>
      </c>
    </row>
    <row r="3048" spans="7:14" ht="11.25" customHeight="1" x14ac:dyDescent="0.3">
      <c r="G3048" s="470"/>
      <c r="H3048" s="470">
        <v>3041</v>
      </c>
      <c r="I3048" s="455">
        <f t="shared" ca="1" si="140"/>
        <v>-132437582974.19995</v>
      </c>
      <c r="J3048" s="455">
        <f t="array" ref="J3048">IFERROR(INDEX('Retirement Calculator'!K:K,MATCH('Lorri 401b'!N3048,'Retirement Calculator'!A:A,0),0),0)</f>
        <v>0</v>
      </c>
      <c r="K3048" s="455">
        <f t="shared" ca="1" si="138"/>
        <v>-551823262.3924998</v>
      </c>
      <c r="L3048" s="455">
        <f t="shared" ca="1" si="139"/>
        <v>-132989406236.59245</v>
      </c>
      <c r="M3048" s="471">
        <f t="shared" si="141"/>
        <v>0.05</v>
      </c>
      <c r="N3048" s="475">
        <f t="shared" si="142"/>
        <v>143816</v>
      </c>
    </row>
    <row r="3049" spans="7:14" ht="11.25" customHeight="1" x14ac:dyDescent="0.3">
      <c r="G3049" s="470"/>
      <c r="H3049" s="470">
        <v>3042</v>
      </c>
      <c r="I3049" s="455">
        <f t="shared" ca="1" si="140"/>
        <v>-132989406236.59245</v>
      </c>
      <c r="J3049" s="455">
        <f t="array" ref="J3049">IFERROR(INDEX('Retirement Calculator'!K:K,MATCH('Lorri 401b'!N3049,'Retirement Calculator'!A:A,0),0),0)</f>
        <v>0</v>
      </c>
      <c r="K3049" s="455">
        <f t="shared" ca="1" si="138"/>
        <v>-554122525.98580194</v>
      </c>
      <c r="L3049" s="455">
        <f t="shared" ca="1" si="139"/>
        <v>-133543528762.57826</v>
      </c>
      <c r="M3049" s="471">
        <f t="shared" si="141"/>
        <v>0.05</v>
      </c>
      <c r="N3049" s="475">
        <f t="shared" si="142"/>
        <v>143847</v>
      </c>
    </row>
    <row r="3050" spans="7:14" ht="11.25" customHeight="1" x14ac:dyDescent="0.3">
      <c r="G3050" s="470"/>
      <c r="H3050" s="470">
        <v>3043</v>
      </c>
      <c r="I3050" s="455">
        <f t="shared" ca="1" si="140"/>
        <v>-133543528762.57826</v>
      </c>
      <c r="J3050" s="455">
        <f t="array" ref="J3050">IFERROR(INDEX('Retirement Calculator'!K:K,MATCH('Lorri 401b'!N3050,'Retirement Calculator'!A:A,0),0),0)</f>
        <v>0</v>
      </c>
      <c r="K3050" s="455">
        <f t="shared" ca="1" si="138"/>
        <v>-556431369.84407604</v>
      </c>
      <c r="L3050" s="455">
        <f t="shared" ca="1" si="139"/>
        <v>-134099960132.42233</v>
      </c>
      <c r="M3050" s="471">
        <f t="shared" si="141"/>
        <v>0.05</v>
      </c>
      <c r="N3050" s="475">
        <f t="shared" si="142"/>
        <v>143877</v>
      </c>
    </row>
    <row r="3051" spans="7:14" ht="11.25" customHeight="1" x14ac:dyDescent="0.3">
      <c r="G3051" s="470"/>
      <c r="H3051" s="470">
        <v>3044</v>
      </c>
      <c r="I3051" s="455">
        <f t="shared" ca="1" si="140"/>
        <v>-134099960132.42233</v>
      </c>
      <c r="J3051" s="455">
        <f t="array" ref="J3051">IFERROR(INDEX('Retirement Calculator'!K:K,MATCH('Lorri 401b'!N3051,'Retirement Calculator'!A:A,0),0),0)</f>
        <v>0</v>
      </c>
      <c r="K3051" s="455">
        <f t="shared" ca="1" si="138"/>
        <v>-558749833.88509309</v>
      </c>
      <c r="L3051" s="455">
        <f t="shared" ca="1" si="139"/>
        <v>-134658709966.30742</v>
      </c>
      <c r="M3051" s="471">
        <f t="shared" si="141"/>
        <v>0.05</v>
      </c>
      <c r="N3051" s="475">
        <f t="shared" si="142"/>
        <v>143908</v>
      </c>
    </row>
    <row r="3052" spans="7:14" ht="11.25" customHeight="1" x14ac:dyDescent="0.3">
      <c r="G3052" s="470"/>
      <c r="H3052" s="470">
        <v>3045</v>
      </c>
      <c r="I3052" s="455">
        <f t="shared" ca="1" si="140"/>
        <v>-134658709966.30742</v>
      </c>
      <c r="J3052" s="455">
        <f t="array" ref="J3052">IFERROR(INDEX('Retirement Calculator'!K:K,MATCH('Lorri 401b'!N3052,'Retirement Calculator'!A:A,0),0),0)</f>
        <v>0</v>
      </c>
      <c r="K3052" s="455">
        <f t="shared" ca="1" si="138"/>
        <v>-561077958.19294763</v>
      </c>
      <c r="L3052" s="455">
        <f t="shared" ca="1" si="139"/>
        <v>-135219787924.50037</v>
      </c>
      <c r="M3052" s="471">
        <f t="shared" si="141"/>
        <v>0.05</v>
      </c>
      <c r="N3052" s="475">
        <f t="shared" si="142"/>
        <v>143939</v>
      </c>
    </row>
    <row r="3053" spans="7:14" ht="11.25" customHeight="1" x14ac:dyDescent="0.3">
      <c r="G3053" s="470"/>
      <c r="H3053" s="470">
        <v>3046</v>
      </c>
      <c r="I3053" s="455">
        <f t="shared" ca="1" si="140"/>
        <v>-135219787924.50037</v>
      </c>
      <c r="J3053" s="455">
        <f t="array" ref="J3053">IFERROR(INDEX('Retirement Calculator'!K:K,MATCH('Lorri 401b'!N3053,'Retirement Calculator'!A:A,0),0),0)</f>
        <v>0</v>
      </c>
      <c r="K3053" s="455">
        <f t="shared" ca="1" si="138"/>
        <v>-563415783.0187515</v>
      </c>
      <c r="L3053" s="455">
        <f t="shared" ca="1" si="139"/>
        <v>-135783203707.51912</v>
      </c>
      <c r="M3053" s="471">
        <f t="shared" si="141"/>
        <v>0.05</v>
      </c>
      <c r="N3053" s="475">
        <f t="shared" si="142"/>
        <v>143967</v>
      </c>
    </row>
    <row r="3054" spans="7:14" ht="11.25" customHeight="1" x14ac:dyDescent="0.3">
      <c r="G3054" s="470"/>
      <c r="H3054" s="470">
        <v>3047</v>
      </c>
      <c r="I3054" s="455">
        <f t="shared" ca="1" si="140"/>
        <v>-135783203707.51912</v>
      </c>
      <c r="J3054" s="455">
        <f t="array" ref="J3054">IFERROR(INDEX('Retirement Calculator'!K:K,MATCH('Lorri 401b'!N3054,'Retirement Calculator'!A:A,0),0),0)</f>
        <v>0</v>
      </c>
      <c r="K3054" s="455">
        <f t="shared" ca="1" si="138"/>
        <v>-565763348.78132963</v>
      </c>
      <c r="L3054" s="455">
        <f t="shared" ca="1" si="139"/>
        <v>-136348967056.30045</v>
      </c>
      <c r="M3054" s="471">
        <f t="shared" si="141"/>
        <v>0.05</v>
      </c>
      <c r="N3054" s="475">
        <f t="shared" si="142"/>
        <v>143998</v>
      </c>
    </row>
    <row r="3055" spans="7:14" ht="11.25" customHeight="1" x14ac:dyDescent="0.3">
      <c r="G3055" s="470"/>
      <c r="H3055" s="470">
        <v>3048</v>
      </c>
      <c r="I3055" s="455">
        <f t="shared" ca="1" si="140"/>
        <v>-136348967056.30045</v>
      </c>
      <c r="J3055" s="455">
        <f t="array" ref="J3055">IFERROR(INDEX('Retirement Calculator'!K:K,MATCH('Lorri 401b'!N3055,'Retirement Calculator'!A:A,0),0),0)</f>
        <v>0</v>
      </c>
      <c r="K3055" s="455">
        <f t="shared" ca="1" si="138"/>
        <v>-568120696.06791854</v>
      </c>
      <c r="L3055" s="455">
        <f t="shared" ca="1" si="139"/>
        <v>-136917087752.36836</v>
      </c>
      <c r="M3055" s="471">
        <f t="shared" si="141"/>
        <v>0.05</v>
      </c>
      <c r="N3055" s="475">
        <f t="shared" si="142"/>
        <v>144028</v>
      </c>
    </row>
    <row r="3056" spans="7:14" ht="11.25" customHeight="1" x14ac:dyDescent="0.3">
      <c r="G3056" s="470"/>
      <c r="H3056" s="470">
        <v>3049</v>
      </c>
      <c r="I3056" s="455">
        <f t="shared" ca="1" si="140"/>
        <v>-136917087752.36836</v>
      </c>
      <c r="J3056" s="455">
        <f t="array" ref="J3056">IFERROR(INDEX('Retirement Calculator'!K:K,MATCH('Lorri 401b'!N3056,'Retirement Calculator'!A:A,0),0),0)</f>
        <v>0</v>
      </c>
      <c r="K3056" s="455">
        <f t="shared" ca="1" si="138"/>
        <v>-570487865.63486814</v>
      </c>
      <c r="L3056" s="455">
        <f t="shared" ca="1" si="139"/>
        <v>-137487575618.00323</v>
      </c>
      <c r="M3056" s="471">
        <f t="shared" si="141"/>
        <v>0.05</v>
      </c>
      <c r="N3056" s="475">
        <f t="shared" si="142"/>
        <v>144059</v>
      </c>
    </row>
    <row r="3057" spans="7:14" ht="11.25" customHeight="1" x14ac:dyDescent="0.3">
      <c r="G3057" s="470"/>
      <c r="H3057" s="470">
        <v>3050</v>
      </c>
      <c r="I3057" s="455">
        <f t="shared" ca="1" si="140"/>
        <v>-137487575618.00323</v>
      </c>
      <c r="J3057" s="455">
        <f t="array" ref="J3057">IFERROR(INDEX('Retirement Calculator'!K:K,MATCH('Lorri 401b'!N3057,'Retirement Calculator'!A:A,0),0),0)</f>
        <v>0</v>
      </c>
      <c r="K3057" s="455">
        <f t="shared" ca="1" si="138"/>
        <v>-572864898.40834677</v>
      </c>
      <c r="L3057" s="455">
        <f t="shared" ca="1" si="139"/>
        <v>-138060440516.41159</v>
      </c>
      <c r="M3057" s="471">
        <f t="shared" si="141"/>
        <v>0.05</v>
      </c>
      <c r="N3057" s="475">
        <f t="shared" si="142"/>
        <v>144089</v>
      </c>
    </row>
    <row r="3058" spans="7:14" ht="11.25" customHeight="1" x14ac:dyDescent="0.3">
      <c r="G3058" s="470"/>
      <c r="H3058" s="470">
        <v>3051</v>
      </c>
      <c r="I3058" s="455">
        <f t="shared" ca="1" si="140"/>
        <v>-138060440516.41159</v>
      </c>
      <c r="J3058" s="455">
        <f t="array" ref="J3058">IFERROR(INDEX('Retirement Calculator'!K:K,MATCH('Lorri 401b'!N3058,'Retirement Calculator'!A:A,0),0),0)</f>
        <v>0</v>
      </c>
      <c r="K3058" s="455">
        <f t="shared" ca="1" si="138"/>
        <v>-575251835.48504829</v>
      </c>
      <c r="L3058" s="455">
        <f t="shared" ca="1" si="139"/>
        <v>-138635692351.89664</v>
      </c>
      <c r="M3058" s="471">
        <f t="shared" si="141"/>
        <v>0.05</v>
      </c>
      <c r="N3058" s="475">
        <f t="shared" si="142"/>
        <v>144120</v>
      </c>
    </row>
    <row r="3059" spans="7:14" ht="11.25" customHeight="1" x14ac:dyDescent="0.3">
      <c r="G3059" s="470"/>
      <c r="H3059" s="470">
        <v>3052</v>
      </c>
      <c r="I3059" s="455">
        <f t="shared" ca="1" si="140"/>
        <v>-138635692351.89664</v>
      </c>
      <c r="J3059" s="455">
        <f t="array" ref="J3059">IFERROR(INDEX('Retirement Calculator'!K:K,MATCH('Lorri 401b'!N3059,'Retirement Calculator'!A:A,0),0),0)</f>
        <v>0</v>
      </c>
      <c r="K3059" s="455">
        <f t="shared" ca="1" si="138"/>
        <v>-577648718.13290262</v>
      </c>
      <c r="L3059" s="455">
        <f t="shared" ca="1" si="139"/>
        <v>-139213341070.02954</v>
      </c>
      <c r="M3059" s="471">
        <f t="shared" si="141"/>
        <v>0.05</v>
      </c>
      <c r="N3059" s="475">
        <f t="shared" si="142"/>
        <v>144151</v>
      </c>
    </row>
    <row r="3060" spans="7:14" ht="11.25" customHeight="1" x14ac:dyDescent="0.3">
      <c r="G3060" s="470"/>
      <c r="H3060" s="470">
        <v>3053</v>
      </c>
      <c r="I3060" s="455">
        <f t="shared" ca="1" si="140"/>
        <v>-139213341070.02954</v>
      </c>
      <c r="J3060" s="455">
        <f t="array" ref="J3060">IFERROR(INDEX('Retirement Calculator'!K:K,MATCH('Lorri 401b'!N3060,'Retirement Calculator'!A:A,0),0),0)</f>
        <v>0</v>
      </c>
      <c r="K3060" s="455">
        <f t="shared" ca="1" si="138"/>
        <v>-580055587.79178977</v>
      </c>
      <c r="L3060" s="455">
        <f t="shared" ca="1" si="139"/>
        <v>-139793396657.82132</v>
      </c>
      <c r="M3060" s="471">
        <f t="shared" si="141"/>
        <v>0.05</v>
      </c>
      <c r="N3060" s="475">
        <f t="shared" si="142"/>
        <v>144181</v>
      </c>
    </row>
    <row r="3061" spans="7:14" ht="11.25" customHeight="1" x14ac:dyDescent="0.3">
      <c r="G3061" s="470"/>
      <c r="H3061" s="470">
        <v>3054</v>
      </c>
      <c r="I3061" s="455">
        <f t="shared" ca="1" si="140"/>
        <v>-139793396657.82132</v>
      </c>
      <c r="J3061" s="455">
        <f t="array" ref="J3061">IFERROR(INDEX('Retirement Calculator'!K:K,MATCH('Lorri 401b'!N3061,'Retirement Calculator'!A:A,0),0),0)</f>
        <v>0</v>
      </c>
      <c r="K3061" s="455">
        <f t="shared" ca="1" si="138"/>
        <v>-582472486.07425547</v>
      </c>
      <c r="L3061" s="455">
        <f t="shared" ca="1" si="139"/>
        <v>-140375869143.89557</v>
      </c>
      <c r="M3061" s="471">
        <f t="shared" si="141"/>
        <v>0.05</v>
      </c>
      <c r="N3061" s="475">
        <f t="shared" si="142"/>
        <v>144212</v>
      </c>
    </row>
    <row r="3062" spans="7:14" ht="11.25" customHeight="1" x14ac:dyDescent="0.3">
      <c r="G3062" s="470"/>
      <c r="H3062" s="470">
        <v>3055</v>
      </c>
      <c r="I3062" s="455">
        <f t="shared" ca="1" si="140"/>
        <v>-140375869143.89557</v>
      </c>
      <c r="J3062" s="455">
        <f t="array" ref="J3062">IFERROR(INDEX('Retirement Calculator'!K:K,MATCH('Lorri 401b'!N3062,'Retirement Calculator'!A:A,0),0),0)</f>
        <v>0</v>
      </c>
      <c r="K3062" s="455">
        <f t="shared" ca="1" si="138"/>
        <v>-584899454.76623154</v>
      </c>
      <c r="L3062" s="455">
        <f t="shared" ca="1" si="139"/>
        <v>-140960768598.6618</v>
      </c>
      <c r="M3062" s="471">
        <f t="shared" si="141"/>
        <v>0.05</v>
      </c>
      <c r="N3062" s="475">
        <f t="shared" si="142"/>
        <v>144242</v>
      </c>
    </row>
    <row r="3063" spans="7:14" ht="11.25" customHeight="1" x14ac:dyDescent="0.3">
      <c r="G3063" s="470"/>
      <c r="H3063" s="470">
        <v>3056</v>
      </c>
      <c r="I3063" s="455">
        <f t="shared" ca="1" si="140"/>
        <v>-140960768598.6618</v>
      </c>
      <c r="J3063" s="455">
        <f t="array" ref="J3063">IFERROR(INDEX('Retirement Calculator'!K:K,MATCH('Lorri 401b'!N3063,'Retirement Calculator'!A:A,0),0),0)</f>
        <v>0</v>
      </c>
      <c r="K3063" s="455">
        <f t="shared" ca="1" si="138"/>
        <v>-587336535.82775748</v>
      </c>
      <c r="L3063" s="455">
        <f t="shared" ca="1" si="139"/>
        <v>-141548105134.48956</v>
      </c>
      <c r="M3063" s="471">
        <f t="shared" si="141"/>
        <v>0.05</v>
      </c>
      <c r="N3063" s="475">
        <f t="shared" si="142"/>
        <v>144273</v>
      </c>
    </row>
    <row r="3064" spans="7:14" ht="11.25" customHeight="1" x14ac:dyDescent="0.3">
      <c r="G3064" s="470"/>
      <c r="H3064" s="470">
        <v>3057</v>
      </c>
      <c r="I3064" s="455">
        <f t="shared" ca="1" si="140"/>
        <v>-141548105134.48956</v>
      </c>
      <c r="J3064" s="455">
        <f t="array" ref="J3064">IFERROR(INDEX('Retirement Calculator'!K:K,MATCH('Lorri 401b'!N3064,'Retirement Calculator'!A:A,0),0),0)</f>
        <v>0</v>
      </c>
      <c r="K3064" s="455">
        <f t="shared" ca="1" si="138"/>
        <v>-589783771.39370656</v>
      </c>
      <c r="L3064" s="455">
        <f t="shared" ca="1" si="139"/>
        <v>-142137888905.88327</v>
      </c>
      <c r="M3064" s="471">
        <f t="shared" si="141"/>
        <v>0.05</v>
      </c>
      <c r="N3064" s="475">
        <f t="shared" si="142"/>
        <v>144304</v>
      </c>
    </row>
    <row r="3065" spans="7:14" ht="11.25" customHeight="1" x14ac:dyDescent="0.3">
      <c r="G3065" s="470"/>
      <c r="H3065" s="470">
        <v>3058</v>
      </c>
      <c r="I3065" s="455">
        <f t="shared" ca="1" si="140"/>
        <v>-142137888905.88327</v>
      </c>
      <c r="J3065" s="455">
        <f t="array" ref="J3065">IFERROR(INDEX('Retirement Calculator'!K:K,MATCH('Lorri 401b'!N3065,'Retirement Calculator'!A:A,0),0),0)</f>
        <v>0</v>
      </c>
      <c r="K3065" s="455">
        <f t="shared" ca="1" si="138"/>
        <v>-592241203.7745136</v>
      </c>
      <c r="L3065" s="455">
        <f t="shared" ca="1" si="139"/>
        <v>-142730130109.65778</v>
      </c>
      <c r="M3065" s="471">
        <f t="shared" si="141"/>
        <v>0.05</v>
      </c>
      <c r="N3065" s="475">
        <f t="shared" si="142"/>
        <v>144332</v>
      </c>
    </row>
    <row r="3066" spans="7:14" ht="11.25" customHeight="1" x14ac:dyDescent="0.3">
      <c r="G3066" s="470"/>
      <c r="H3066" s="470">
        <v>3059</v>
      </c>
      <c r="I3066" s="455">
        <f t="shared" ca="1" si="140"/>
        <v>-142730130109.65778</v>
      </c>
      <c r="J3066" s="455">
        <f t="array" ref="J3066">IFERROR(INDEX('Retirement Calculator'!K:K,MATCH('Lorri 401b'!N3066,'Retirement Calculator'!A:A,0),0),0)</f>
        <v>0</v>
      </c>
      <c r="K3066" s="455">
        <f t="shared" ca="1" si="138"/>
        <v>-594708875.45690739</v>
      </c>
      <c r="L3066" s="455">
        <f t="shared" ca="1" si="139"/>
        <v>-143324838985.11469</v>
      </c>
      <c r="M3066" s="471">
        <f t="shared" si="141"/>
        <v>0.05</v>
      </c>
      <c r="N3066" s="475">
        <f t="shared" si="142"/>
        <v>144363</v>
      </c>
    </row>
    <row r="3067" spans="7:14" ht="11.25" customHeight="1" x14ac:dyDescent="0.3">
      <c r="G3067" s="470"/>
      <c r="H3067" s="470">
        <v>3060</v>
      </c>
      <c r="I3067" s="455">
        <f t="shared" ca="1" si="140"/>
        <v>-143324838985.11469</v>
      </c>
      <c r="J3067" s="455">
        <f t="array" ref="J3067">IFERROR(INDEX('Retirement Calculator'!K:K,MATCH('Lorri 401b'!N3067,'Retirement Calculator'!A:A,0),0),0)</f>
        <v>0</v>
      </c>
      <c r="K3067" s="455">
        <f t="shared" ca="1" si="138"/>
        <v>-597186829.10464454</v>
      </c>
      <c r="L3067" s="455">
        <f t="shared" ca="1" si="139"/>
        <v>-143922025814.21933</v>
      </c>
      <c r="M3067" s="471">
        <f t="shared" si="141"/>
        <v>0.05</v>
      </c>
      <c r="N3067" s="475">
        <f t="shared" si="142"/>
        <v>144393</v>
      </c>
    </row>
    <row r="3068" spans="7:14" ht="11.25" customHeight="1" x14ac:dyDescent="0.3">
      <c r="G3068" s="470"/>
      <c r="H3068" s="470">
        <v>3061</v>
      </c>
      <c r="I3068" s="455">
        <f t="shared" ca="1" si="140"/>
        <v>-143922025814.21933</v>
      </c>
      <c r="J3068" s="455">
        <f t="array" ref="J3068">IFERROR(INDEX('Retirement Calculator'!K:K,MATCH('Lorri 401b'!N3068,'Retirement Calculator'!A:A,0),0),0)</f>
        <v>0</v>
      </c>
      <c r="K3068" s="455">
        <f t="shared" ref="K3068:K3322" ca="1" si="143">IPMT(M3068/12,1,12,-I3068+J3068,,0)</f>
        <v>-599675107.55924726</v>
      </c>
      <c r="L3068" s="455">
        <f t="shared" ref="L3068:L3322" ca="1" si="144">I3068-J3068+K3068</f>
        <v>-144521700921.77856</v>
      </c>
      <c r="M3068" s="471">
        <f t="shared" si="141"/>
        <v>0.05</v>
      </c>
      <c r="N3068" s="475">
        <f t="shared" si="142"/>
        <v>144424</v>
      </c>
    </row>
    <row r="3069" spans="7:14" ht="11.25" customHeight="1" x14ac:dyDescent="0.3">
      <c r="G3069" s="470"/>
      <c r="H3069" s="470">
        <v>3062</v>
      </c>
      <c r="I3069" s="455">
        <f t="shared" ref="I3069:I3323" ca="1" si="145">L3068</f>
        <v>-144521700921.77856</v>
      </c>
      <c r="J3069" s="455">
        <f t="array" ref="J3069">IFERROR(INDEX('Retirement Calculator'!K:K,MATCH('Lorri 401b'!N3069,'Retirement Calculator'!A:A,0),0),0)</f>
        <v>0</v>
      </c>
      <c r="K3069" s="455">
        <f t="shared" ca="1" si="143"/>
        <v>-602173753.84074402</v>
      </c>
      <c r="L3069" s="455">
        <f t="shared" ca="1" si="144"/>
        <v>-145123874675.61932</v>
      </c>
      <c r="M3069" s="471">
        <f t="shared" ref="M3069:M3323" si="146">M3068</f>
        <v>0.05</v>
      </c>
      <c r="N3069" s="475">
        <f t="shared" ref="N3069:N3323" si="147">EDATE(N3068,1)</f>
        <v>144454</v>
      </c>
    </row>
    <row r="3070" spans="7:14" ht="11.25" customHeight="1" x14ac:dyDescent="0.3">
      <c r="G3070" s="470"/>
      <c r="H3070" s="470">
        <v>3063</v>
      </c>
      <c r="I3070" s="455">
        <f t="shared" ca="1" si="145"/>
        <v>-145123874675.61932</v>
      </c>
      <c r="J3070" s="455">
        <f t="array" ref="J3070">IFERROR(INDEX('Retirement Calculator'!K:K,MATCH('Lorri 401b'!N3070,'Retirement Calculator'!A:A,0),0),0)</f>
        <v>0</v>
      </c>
      <c r="K3070" s="455">
        <f t="shared" ca="1" si="143"/>
        <v>-604682811.1484139</v>
      </c>
      <c r="L3070" s="455">
        <f t="shared" ca="1" si="144"/>
        <v>-145728557486.76773</v>
      </c>
      <c r="M3070" s="471">
        <f t="shared" si="146"/>
        <v>0.05</v>
      </c>
      <c r="N3070" s="475">
        <f t="shared" si="147"/>
        <v>144485</v>
      </c>
    </row>
    <row r="3071" spans="7:14" ht="11.25" customHeight="1" x14ac:dyDescent="0.3">
      <c r="G3071" s="470"/>
      <c r="H3071" s="470">
        <v>3064</v>
      </c>
      <c r="I3071" s="455">
        <f t="shared" ca="1" si="145"/>
        <v>-145728557486.76773</v>
      </c>
      <c r="J3071" s="455">
        <f t="array" ref="J3071">IFERROR(INDEX('Retirement Calculator'!K:K,MATCH('Lorri 401b'!N3071,'Retirement Calculator'!A:A,0),0),0)</f>
        <v>0</v>
      </c>
      <c r="K3071" s="455">
        <f t="shared" ca="1" si="143"/>
        <v>-607202322.86153221</v>
      </c>
      <c r="L3071" s="455">
        <f t="shared" ca="1" si="144"/>
        <v>-146335759809.62927</v>
      </c>
      <c r="M3071" s="471">
        <f t="shared" si="146"/>
        <v>0.05</v>
      </c>
      <c r="N3071" s="475">
        <f t="shared" si="147"/>
        <v>144516</v>
      </c>
    </row>
    <row r="3072" spans="7:14" ht="11.25" customHeight="1" x14ac:dyDescent="0.3">
      <c r="G3072" s="470"/>
      <c r="H3072" s="470">
        <v>3065</v>
      </c>
      <c r="I3072" s="455">
        <f t="shared" ca="1" si="145"/>
        <v>-146335759809.62927</v>
      </c>
      <c r="J3072" s="455">
        <f t="array" ref="J3072">IFERROR(INDEX('Retirement Calculator'!K:K,MATCH('Lorri 401b'!N3072,'Retirement Calculator'!A:A,0),0),0)</f>
        <v>0</v>
      </c>
      <c r="K3072" s="455">
        <f t="shared" ca="1" si="143"/>
        <v>-609732332.54012191</v>
      </c>
      <c r="L3072" s="455">
        <f t="shared" ca="1" si="144"/>
        <v>-146945492142.1694</v>
      </c>
      <c r="M3072" s="471">
        <f t="shared" si="146"/>
        <v>0.05</v>
      </c>
      <c r="N3072" s="475">
        <f t="shared" si="147"/>
        <v>144546</v>
      </c>
    </row>
    <row r="3073" spans="7:14" ht="11.25" customHeight="1" x14ac:dyDescent="0.3">
      <c r="G3073" s="470"/>
      <c r="H3073" s="470">
        <v>3066</v>
      </c>
      <c r="I3073" s="455">
        <f t="shared" ca="1" si="145"/>
        <v>-146945492142.1694</v>
      </c>
      <c r="J3073" s="455">
        <f t="array" ref="J3073">IFERROR(INDEX('Retirement Calculator'!K:K,MATCH('Lorri 401b'!N3073,'Retirement Calculator'!A:A,0),0),0)</f>
        <v>0</v>
      </c>
      <c r="K3073" s="455">
        <f t="shared" ca="1" si="143"/>
        <v>-612272883.92570579</v>
      </c>
      <c r="L3073" s="455">
        <f t="shared" ca="1" si="144"/>
        <v>-147557765026.09512</v>
      </c>
      <c r="M3073" s="471">
        <f t="shared" si="146"/>
        <v>0.05</v>
      </c>
      <c r="N3073" s="475">
        <f t="shared" si="147"/>
        <v>144577</v>
      </c>
    </row>
    <row r="3074" spans="7:14" ht="11.25" customHeight="1" x14ac:dyDescent="0.3">
      <c r="G3074" s="470"/>
      <c r="H3074" s="470">
        <v>3067</v>
      </c>
      <c r="I3074" s="455">
        <f t="shared" ca="1" si="145"/>
        <v>-147557765026.09512</v>
      </c>
      <c r="J3074" s="455">
        <f t="array" ref="J3074">IFERROR(INDEX('Retirement Calculator'!K:K,MATCH('Lorri 401b'!N3074,'Retirement Calculator'!A:A,0),0),0)</f>
        <v>0</v>
      </c>
      <c r="K3074" s="455">
        <f t="shared" ca="1" si="143"/>
        <v>-614824020.94206297</v>
      </c>
      <c r="L3074" s="455">
        <f t="shared" ca="1" si="144"/>
        <v>-148172589047.0372</v>
      </c>
      <c r="M3074" s="471">
        <f t="shared" si="146"/>
        <v>0.05</v>
      </c>
      <c r="N3074" s="475">
        <f t="shared" si="147"/>
        <v>144607</v>
      </c>
    </row>
    <row r="3075" spans="7:14" ht="11.25" customHeight="1" x14ac:dyDescent="0.3">
      <c r="G3075" s="470"/>
      <c r="H3075" s="470">
        <v>3068</v>
      </c>
      <c r="I3075" s="455">
        <f t="shared" ca="1" si="145"/>
        <v>-148172589047.0372</v>
      </c>
      <c r="J3075" s="455">
        <f t="array" ref="J3075">IFERROR(INDEX('Retirement Calculator'!K:K,MATCH('Lorri 401b'!N3075,'Retirement Calculator'!A:A,0),0),0)</f>
        <v>0</v>
      </c>
      <c r="K3075" s="455">
        <f t="shared" ca="1" si="143"/>
        <v>-617385787.6959883</v>
      </c>
      <c r="L3075" s="455">
        <f t="shared" ca="1" si="144"/>
        <v>-148789974834.73318</v>
      </c>
      <c r="M3075" s="471">
        <f t="shared" si="146"/>
        <v>0.05</v>
      </c>
      <c r="N3075" s="475">
        <f t="shared" si="147"/>
        <v>144638</v>
      </c>
    </row>
    <row r="3076" spans="7:14" ht="11.25" customHeight="1" x14ac:dyDescent="0.3">
      <c r="G3076" s="470"/>
      <c r="H3076" s="470">
        <v>3069</v>
      </c>
      <c r="I3076" s="455">
        <f t="shared" ca="1" si="145"/>
        <v>-148789974834.73318</v>
      </c>
      <c r="J3076" s="455">
        <f t="array" ref="J3076">IFERROR(INDEX('Retirement Calculator'!K:K,MATCH('Lorri 401b'!N3076,'Retirement Calculator'!A:A,0),0),0)</f>
        <v>0</v>
      </c>
      <c r="K3076" s="455">
        <f t="shared" ca="1" si="143"/>
        <v>-619958228.47805488</v>
      </c>
      <c r="L3076" s="455">
        <f t="shared" ca="1" si="144"/>
        <v>-149409933063.21124</v>
      </c>
      <c r="M3076" s="471">
        <f t="shared" si="146"/>
        <v>0.05</v>
      </c>
      <c r="N3076" s="475">
        <f t="shared" si="147"/>
        <v>144669</v>
      </c>
    </row>
    <row r="3077" spans="7:14" ht="11.25" customHeight="1" x14ac:dyDescent="0.3">
      <c r="G3077" s="470"/>
      <c r="H3077" s="470">
        <v>3070</v>
      </c>
      <c r="I3077" s="455">
        <f t="shared" ca="1" si="145"/>
        <v>-149409933063.21124</v>
      </c>
      <c r="J3077" s="455">
        <f t="array" ref="J3077">IFERROR(INDEX('Retirement Calculator'!K:K,MATCH('Lorri 401b'!N3077,'Retirement Calculator'!A:A,0),0),0)</f>
        <v>0</v>
      </c>
      <c r="K3077" s="455">
        <f t="shared" ca="1" si="143"/>
        <v>-622541387.76338017</v>
      </c>
      <c r="L3077" s="455">
        <f t="shared" ca="1" si="144"/>
        <v>-150032474450.97461</v>
      </c>
      <c r="M3077" s="471">
        <f t="shared" si="146"/>
        <v>0.05</v>
      </c>
      <c r="N3077" s="475">
        <f t="shared" si="147"/>
        <v>144698</v>
      </c>
    </row>
    <row r="3078" spans="7:14" ht="11.25" customHeight="1" x14ac:dyDescent="0.3">
      <c r="G3078" s="470"/>
      <c r="H3078" s="470">
        <v>3071</v>
      </c>
      <c r="I3078" s="455">
        <f t="shared" ca="1" si="145"/>
        <v>-150032474450.97461</v>
      </c>
      <c r="J3078" s="455">
        <f t="array" ref="J3078">IFERROR(INDEX('Retirement Calculator'!K:K,MATCH('Lorri 401b'!N3078,'Retirement Calculator'!A:A,0),0),0)</f>
        <v>0</v>
      </c>
      <c r="K3078" s="455">
        <f t="shared" ca="1" si="143"/>
        <v>-625135310.21239424</v>
      </c>
      <c r="L3078" s="455">
        <f t="shared" ca="1" si="144"/>
        <v>-150657609761.18701</v>
      </c>
      <c r="M3078" s="471">
        <f t="shared" si="146"/>
        <v>0.05</v>
      </c>
      <c r="N3078" s="475">
        <f t="shared" si="147"/>
        <v>144729</v>
      </c>
    </row>
    <row r="3079" spans="7:14" ht="11.25" customHeight="1" x14ac:dyDescent="0.3">
      <c r="G3079" s="470"/>
      <c r="H3079" s="470">
        <v>3072</v>
      </c>
      <c r="I3079" s="455">
        <f t="shared" ca="1" si="145"/>
        <v>-150657609761.18701</v>
      </c>
      <c r="J3079" s="455">
        <f t="array" ref="J3079">IFERROR(INDEX('Retirement Calculator'!K:K,MATCH('Lorri 401b'!N3079,'Retirement Calculator'!A:A,0),0),0)</f>
        <v>0</v>
      </c>
      <c r="K3079" s="455">
        <f t="shared" ca="1" si="143"/>
        <v>-627740040.6716125</v>
      </c>
      <c r="L3079" s="455">
        <f t="shared" ca="1" si="144"/>
        <v>-151285349801.85861</v>
      </c>
      <c r="M3079" s="471">
        <f t="shared" si="146"/>
        <v>0.05</v>
      </c>
      <c r="N3079" s="475">
        <f t="shared" si="147"/>
        <v>144759</v>
      </c>
    </row>
    <row r="3080" spans="7:14" ht="11.25" customHeight="1" x14ac:dyDescent="0.3">
      <c r="G3080" s="470"/>
      <c r="H3080" s="470">
        <v>3073</v>
      </c>
      <c r="I3080" s="455">
        <f t="shared" ca="1" si="145"/>
        <v>-151285349801.85861</v>
      </c>
      <c r="J3080" s="455">
        <f t="array" ref="J3080">IFERROR(INDEX('Retirement Calculator'!K:K,MATCH('Lorri 401b'!N3080,'Retirement Calculator'!A:A,0),0),0)</f>
        <v>0</v>
      </c>
      <c r="K3080" s="455">
        <f t="shared" ca="1" si="143"/>
        <v>-630355624.17441082</v>
      </c>
      <c r="L3080" s="455">
        <f t="shared" ca="1" si="144"/>
        <v>-151915705426.03302</v>
      </c>
      <c r="M3080" s="471">
        <f t="shared" si="146"/>
        <v>0.05</v>
      </c>
      <c r="N3080" s="475">
        <f t="shared" si="147"/>
        <v>144790</v>
      </c>
    </row>
    <row r="3081" spans="7:14" ht="11.25" customHeight="1" x14ac:dyDescent="0.3">
      <c r="G3081" s="470"/>
      <c r="H3081" s="470">
        <v>3074</v>
      </c>
      <c r="I3081" s="455">
        <f t="shared" ca="1" si="145"/>
        <v>-151915705426.03302</v>
      </c>
      <c r="J3081" s="455">
        <f t="array" ref="J3081">IFERROR(INDEX('Retirement Calculator'!K:K,MATCH('Lorri 401b'!N3081,'Retirement Calculator'!A:A,0),0),0)</f>
        <v>0</v>
      </c>
      <c r="K3081" s="455">
        <f t="shared" ca="1" si="143"/>
        <v>-632982105.94180429</v>
      </c>
      <c r="L3081" s="455">
        <f t="shared" ca="1" si="144"/>
        <v>-152548687531.97482</v>
      </c>
      <c r="M3081" s="471">
        <f t="shared" si="146"/>
        <v>0.05</v>
      </c>
      <c r="N3081" s="475">
        <f t="shared" si="147"/>
        <v>144820</v>
      </c>
    </row>
    <row r="3082" spans="7:14" ht="11.25" customHeight="1" x14ac:dyDescent="0.3">
      <c r="G3082" s="470"/>
      <c r="H3082" s="470">
        <v>3075</v>
      </c>
      <c r="I3082" s="455">
        <f t="shared" ca="1" si="145"/>
        <v>-152548687531.97482</v>
      </c>
      <c r="J3082" s="455">
        <f t="array" ref="J3082">IFERROR(INDEX('Retirement Calculator'!K:K,MATCH('Lorri 401b'!N3082,'Retirement Calculator'!A:A,0),0),0)</f>
        <v>0</v>
      </c>
      <c r="K3082" s="455">
        <f t="shared" ca="1" si="143"/>
        <v>-635619531.38322842</v>
      </c>
      <c r="L3082" s="455">
        <f t="shared" ca="1" si="144"/>
        <v>-153184307063.35806</v>
      </c>
      <c r="M3082" s="471">
        <f t="shared" si="146"/>
        <v>0.05</v>
      </c>
      <c r="N3082" s="475">
        <f t="shared" si="147"/>
        <v>144851</v>
      </c>
    </row>
    <row r="3083" spans="7:14" ht="11.25" customHeight="1" x14ac:dyDescent="0.3">
      <c r="G3083" s="470"/>
      <c r="H3083" s="470">
        <v>3076</v>
      </c>
      <c r="I3083" s="455">
        <f t="shared" ca="1" si="145"/>
        <v>-153184307063.35806</v>
      </c>
      <c r="J3083" s="455">
        <f t="array" ref="J3083">IFERROR(INDEX('Retirement Calculator'!K:K,MATCH('Lorri 401b'!N3083,'Retirement Calculator'!A:A,0),0),0)</f>
        <v>0</v>
      </c>
      <c r="K3083" s="455">
        <f t="shared" ca="1" si="143"/>
        <v>-638267946.09732521</v>
      </c>
      <c r="L3083" s="455">
        <f t="shared" ca="1" si="144"/>
        <v>-153822575009.45538</v>
      </c>
      <c r="M3083" s="471">
        <f t="shared" si="146"/>
        <v>0.05</v>
      </c>
      <c r="N3083" s="475">
        <f t="shared" si="147"/>
        <v>144882</v>
      </c>
    </row>
    <row r="3084" spans="7:14" ht="11.25" customHeight="1" x14ac:dyDescent="0.3">
      <c r="G3084" s="470"/>
      <c r="H3084" s="470">
        <v>3077</v>
      </c>
      <c r="I3084" s="455">
        <f t="shared" ca="1" si="145"/>
        <v>-153822575009.45538</v>
      </c>
      <c r="J3084" s="455">
        <f t="array" ref="J3084">IFERROR(INDEX('Retirement Calculator'!K:K,MATCH('Lorri 401b'!N3084,'Retirement Calculator'!A:A,0),0),0)</f>
        <v>0</v>
      </c>
      <c r="K3084" s="455">
        <f t="shared" ca="1" si="143"/>
        <v>-640927395.87273073</v>
      </c>
      <c r="L3084" s="455">
        <f t="shared" ca="1" si="144"/>
        <v>-154463502405.32813</v>
      </c>
      <c r="M3084" s="471">
        <f t="shared" si="146"/>
        <v>0.05</v>
      </c>
      <c r="N3084" s="475">
        <f t="shared" si="147"/>
        <v>144912</v>
      </c>
    </row>
    <row r="3085" spans="7:14" ht="11.25" customHeight="1" x14ac:dyDescent="0.3">
      <c r="G3085" s="470"/>
      <c r="H3085" s="470">
        <v>3078</v>
      </c>
      <c r="I3085" s="455">
        <f t="shared" ca="1" si="145"/>
        <v>-154463502405.32813</v>
      </c>
      <c r="J3085" s="455">
        <f t="array" ref="J3085">IFERROR(INDEX('Retirement Calculator'!K:K,MATCH('Lorri 401b'!N3085,'Retirement Calculator'!A:A,0),0),0)</f>
        <v>0</v>
      </c>
      <c r="K3085" s="455">
        <f t="shared" ca="1" si="143"/>
        <v>-643597926.68886721</v>
      </c>
      <c r="L3085" s="455">
        <f t="shared" ca="1" si="144"/>
        <v>-155107100332.017</v>
      </c>
      <c r="M3085" s="471">
        <f t="shared" si="146"/>
        <v>0.05</v>
      </c>
      <c r="N3085" s="475">
        <f t="shared" si="147"/>
        <v>144943</v>
      </c>
    </row>
    <row r="3086" spans="7:14" ht="11.25" customHeight="1" x14ac:dyDescent="0.3">
      <c r="G3086" s="470"/>
      <c r="H3086" s="470">
        <v>3079</v>
      </c>
      <c r="I3086" s="455">
        <f t="shared" ca="1" si="145"/>
        <v>-155107100332.017</v>
      </c>
      <c r="J3086" s="455">
        <f t="array" ref="J3086">IFERROR(INDEX('Retirement Calculator'!K:K,MATCH('Lorri 401b'!N3086,'Retirement Calculator'!A:A,0),0),0)</f>
        <v>0</v>
      </c>
      <c r="K3086" s="455">
        <f t="shared" ca="1" si="143"/>
        <v>-646279584.71673751</v>
      </c>
      <c r="L3086" s="455">
        <f t="shared" ca="1" si="144"/>
        <v>-155753379916.73373</v>
      </c>
      <c r="M3086" s="471">
        <f t="shared" si="146"/>
        <v>0.05</v>
      </c>
      <c r="N3086" s="475">
        <f t="shared" si="147"/>
        <v>144973</v>
      </c>
    </row>
    <row r="3087" spans="7:14" ht="11.25" customHeight="1" x14ac:dyDescent="0.3">
      <c r="G3087" s="470"/>
      <c r="H3087" s="470">
        <v>3080</v>
      </c>
      <c r="I3087" s="455">
        <f t="shared" ca="1" si="145"/>
        <v>-155753379916.73373</v>
      </c>
      <c r="J3087" s="455">
        <f t="array" ref="J3087">IFERROR(INDEX('Retirement Calculator'!K:K,MATCH('Lorri 401b'!N3087,'Retirement Calculator'!A:A,0),0),0)</f>
        <v>0</v>
      </c>
      <c r="K3087" s="455">
        <f t="shared" ca="1" si="143"/>
        <v>-648972416.31972384</v>
      </c>
      <c r="L3087" s="455">
        <f t="shared" ca="1" si="144"/>
        <v>-156402352333.05347</v>
      </c>
      <c r="M3087" s="471">
        <f t="shared" si="146"/>
        <v>0.05</v>
      </c>
      <c r="N3087" s="475">
        <f t="shared" si="147"/>
        <v>145004</v>
      </c>
    </row>
    <row r="3088" spans="7:14" ht="11.25" customHeight="1" x14ac:dyDescent="0.3">
      <c r="G3088" s="470"/>
      <c r="H3088" s="470">
        <v>3081</v>
      </c>
      <c r="I3088" s="455">
        <f t="shared" ca="1" si="145"/>
        <v>-156402352333.05347</v>
      </c>
      <c r="J3088" s="455">
        <f t="array" ref="J3088">IFERROR(INDEX('Retirement Calculator'!K:K,MATCH('Lorri 401b'!N3088,'Retirement Calculator'!A:A,0),0),0)</f>
        <v>0</v>
      </c>
      <c r="K3088" s="455">
        <f t="shared" ca="1" si="143"/>
        <v>-651676468.05438948</v>
      </c>
      <c r="L3088" s="455">
        <f t="shared" ca="1" si="144"/>
        <v>-157054028801.10785</v>
      </c>
      <c r="M3088" s="471">
        <f t="shared" si="146"/>
        <v>0.05</v>
      </c>
      <c r="N3088" s="475">
        <f t="shared" si="147"/>
        <v>145035</v>
      </c>
    </row>
    <row r="3089" spans="7:14" ht="11.25" customHeight="1" x14ac:dyDescent="0.3">
      <c r="G3089" s="470"/>
      <c r="H3089" s="470">
        <v>3082</v>
      </c>
      <c r="I3089" s="455">
        <f t="shared" ca="1" si="145"/>
        <v>-157054028801.10785</v>
      </c>
      <c r="J3089" s="455">
        <f t="array" ref="J3089">IFERROR(INDEX('Retirement Calculator'!K:K,MATCH('Lorri 401b'!N3089,'Retirement Calculator'!A:A,0),0),0)</f>
        <v>0</v>
      </c>
      <c r="K3089" s="455">
        <f t="shared" ca="1" si="143"/>
        <v>-654391786.67128265</v>
      </c>
      <c r="L3089" s="455">
        <f t="shared" ca="1" si="144"/>
        <v>-157708420587.77914</v>
      </c>
      <c r="M3089" s="471">
        <f t="shared" si="146"/>
        <v>0.05</v>
      </c>
      <c r="N3089" s="475">
        <f t="shared" si="147"/>
        <v>145063</v>
      </c>
    </row>
    <row r="3090" spans="7:14" ht="11.25" customHeight="1" x14ac:dyDescent="0.3">
      <c r="G3090" s="470"/>
      <c r="H3090" s="470">
        <v>3083</v>
      </c>
      <c r="I3090" s="455">
        <f t="shared" ca="1" si="145"/>
        <v>-157708420587.77914</v>
      </c>
      <c r="J3090" s="455">
        <f t="array" ref="J3090">IFERROR(INDEX('Retirement Calculator'!K:K,MATCH('Lorri 401b'!N3090,'Retirement Calculator'!A:A,0),0),0)</f>
        <v>0</v>
      </c>
      <c r="K3090" s="455">
        <f t="shared" ca="1" si="143"/>
        <v>-657118419.11574638</v>
      </c>
      <c r="L3090" s="455">
        <f t="shared" ca="1" si="144"/>
        <v>-158365539006.8949</v>
      </c>
      <c r="M3090" s="471">
        <f t="shared" si="146"/>
        <v>0.05</v>
      </c>
      <c r="N3090" s="475">
        <f t="shared" si="147"/>
        <v>145094</v>
      </c>
    </row>
    <row r="3091" spans="7:14" ht="11.25" customHeight="1" x14ac:dyDescent="0.3">
      <c r="G3091" s="470"/>
      <c r="H3091" s="470">
        <v>3084</v>
      </c>
      <c r="I3091" s="455">
        <f t="shared" ca="1" si="145"/>
        <v>-158365539006.8949</v>
      </c>
      <c r="J3091" s="455">
        <f t="array" ref="J3091">IFERROR(INDEX('Retirement Calculator'!K:K,MATCH('Lorri 401b'!N3091,'Retirement Calculator'!A:A,0),0),0)</f>
        <v>0</v>
      </c>
      <c r="K3091" s="455">
        <f t="shared" ca="1" si="143"/>
        <v>-659856412.52872872</v>
      </c>
      <c r="L3091" s="455">
        <f t="shared" ca="1" si="144"/>
        <v>-159025395419.42361</v>
      </c>
      <c r="M3091" s="471">
        <f t="shared" si="146"/>
        <v>0.05</v>
      </c>
      <c r="N3091" s="475">
        <f t="shared" si="147"/>
        <v>145124</v>
      </c>
    </row>
    <row r="3092" spans="7:14" ht="11.25" customHeight="1" x14ac:dyDescent="0.3">
      <c r="G3092" s="470"/>
      <c r="H3092" s="470">
        <v>3085</v>
      </c>
      <c r="I3092" s="455">
        <f t="shared" ca="1" si="145"/>
        <v>-159025395419.42361</v>
      </c>
      <c r="J3092" s="455">
        <f t="array" ref="J3092">IFERROR(INDEX('Retirement Calculator'!K:K,MATCH('Lorri 401b'!N3092,'Retirement Calculator'!A:A,0),0),0)</f>
        <v>0</v>
      </c>
      <c r="K3092" s="455">
        <f t="shared" ca="1" si="143"/>
        <v>-662605814.24759841</v>
      </c>
      <c r="L3092" s="455">
        <f t="shared" ca="1" si="144"/>
        <v>-159688001233.6712</v>
      </c>
      <c r="M3092" s="471">
        <f t="shared" si="146"/>
        <v>0.05</v>
      </c>
      <c r="N3092" s="475">
        <f t="shared" si="147"/>
        <v>145155</v>
      </c>
    </row>
    <row r="3093" spans="7:14" ht="11.25" customHeight="1" x14ac:dyDescent="0.3">
      <c r="G3093" s="470"/>
      <c r="H3093" s="470">
        <v>3086</v>
      </c>
      <c r="I3093" s="455">
        <f t="shared" ca="1" si="145"/>
        <v>-159688001233.6712</v>
      </c>
      <c r="J3093" s="455">
        <f t="array" ref="J3093">IFERROR(INDEX('Retirement Calculator'!K:K,MATCH('Lorri 401b'!N3093,'Retirement Calculator'!A:A,0),0),0)</f>
        <v>0</v>
      </c>
      <c r="K3093" s="455">
        <f t="shared" ca="1" si="143"/>
        <v>-665366671.80696332</v>
      </c>
      <c r="L3093" s="455">
        <f t="shared" ca="1" si="144"/>
        <v>-160353367905.47818</v>
      </c>
      <c r="M3093" s="471">
        <f t="shared" si="146"/>
        <v>0.05</v>
      </c>
      <c r="N3093" s="475">
        <f t="shared" si="147"/>
        <v>145185</v>
      </c>
    </row>
    <row r="3094" spans="7:14" ht="11.25" customHeight="1" x14ac:dyDescent="0.3">
      <c r="G3094" s="470"/>
      <c r="H3094" s="470">
        <v>3087</v>
      </c>
      <c r="I3094" s="455">
        <f t="shared" ca="1" si="145"/>
        <v>-160353367905.47818</v>
      </c>
      <c r="J3094" s="455">
        <f t="array" ref="J3094">IFERROR(INDEX('Retirement Calculator'!K:K,MATCH('Lorri 401b'!N3094,'Retirement Calculator'!A:A,0),0),0)</f>
        <v>0</v>
      </c>
      <c r="K3094" s="455">
        <f t="shared" ca="1" si="143"/>
        <v>-668139032.93949246</v>
      </c>
      <c r="L3094" s="455">
        <f t="shared" ca="1" si="144"/>
        <v>-161021506938.41766</v>
      </c>
      <c r="M3094" s="471">
        <f t="shared" si="146"/>
        <v>0.05</v>
      </c>
      <c r="N3094" s="475">
        <f t="shared" si="147"/>
        <v>145216</v>
      </c>
    </row>
    <row r="3095" spans="7:14" ht="11.25" customHeight="1" x14ac:dyDescent="0.3">
      <c r="G3095" s="470"/>
      <c r="H3095" s="470">
        <v>3088</v>
      </c>
      <c r="I3095" s="455">
        <f t="shared" ca="1" si="145"/>
        <v>-161021506938.41766</v>
      </c>
      <c r="J3095" s="455">
        <f t="array" ref="J3095">IFERROR(INDEX('Retirement Calculator'!K:K,MATCH('Lorri 401b'!N3095,'Retirement Calculator'!A:A,0),0),0)</f>
        <v>0</v>
      </c>
      <c r="K3095" s="455">
        <f t="shared" ca="1" si="143"/>
        <v>-670922945.57674026</v>
      </c>
      <c r="L3095" s="455">
        <f t="shared" ca="1" si="144"/>
        <v>-161692429883.99442</v>
      </c>
      <c r="M3095" s="471">
        <f t="shared" si="146"/>
        <v>0.05</v>
      </c>
      <c r="N3095" s="475">
        <f t="shared" si="147"/>
        <v>145247</v>
      </c>
    </row>
    <row r="3096" spans="7:14" ht="11.25" customHeight="1" x14ac:dyDescent="0.3">
      <c r="G3096" s="470"/>
      <c r="H3096" s="470">
        <v>3089</v>
      </c>
      <c r="I3096" s="455">
        <f t="shared" ca="1" si="145"/>
        <v>-161692429883.99442</v>
      </c>
      <c r="J3096" s="455">
        <f t="array" ref="J3096">IFERROR(INDEX('Retirement Calculator'!K:K,MATCH('Lorri 401b'!N3096,'Retirement Calculator'!A:A,0),0),0)</f>
        <v>0</v>
      </c>
      <c r="K3096" s="455">
        <f t="shared" ca="1" si="143"/>
        <v>-673718457.84997678</v>
      </c>
      <c r="L3096" s="455">
        <f t="shared" ca="1" si="144"/>
        <v>-162366148341.84439</v>
      </c>
      <c r="M3096" s="471">
        <f t="shared" si="146"/>
        <v>0.05</v>
      </c>
      <c r="N3096" s="475">
        <f t="shared" si="147"/>
        <v>145277</v>
      </c>
    </row>
    <row r="3097" spans="7:14" ht="11.25" customHeight="1" x14ac:dyDescent="0.3">
      <c r="G3097" s="470"/>
      <c r="H3097" s="470">
        <v>3090</v>
      </c>
      <c r="I3097" s="455">
        <f t="shared" ca="1" si="145"/>
        <v>-162366148341.84439</v>
      </c>
      <c r="J3097" s="455">
        <f t="array" ref="J3097">IFERROR(INDEX('Retirement Calculator'!K:K,MATCH('Lorri 401b'!N3097,'Retirement Calculator'!A:A,0),0),0)</f>
        <v>0</v>
      </c>
      <c r="K3097" s="455">
        <f t="shared" ca="1" si="143"/>
        <v>-676525618.09101832</v>
      </c>
      <c r="L3097" s="455">
        <f t="shared" ca="1" si="144"/>
        <v>-163042673959.93539</v>
      </c>
      <c r="M3097" s="471">
        <f t="shared" si="146"/>
        <v>0.05</v>
      </c>
      <c r="N3097" s="475">
        <f t="shared" si="147"/>
        <v>145308</v>
      </c>
    </row>
    <row r="3098" spans="7:14" ht="11.25" customHeight="1" x14ac:dyDescent="0.3">
      <c r="G3098" s="470"/>
      <c r="H3098" s="470">
        <v>3091</v>
      </c>
      <c r="I3098" s="455">
        <f t="shared" ca="1" si="145"/>
        <v>-163042673959.93539</v>
      </c>
      <c r="J3098" s="455">
        <f t="array" ref="J3098">IFERROR(INDEX('Retirement Calculator'!K:K,MATCH('Lorri 401b'!N3098,'Retirement Calculator'!A:A,0),0),0)</f>
        <v>0</v>
      </c>
      <c r="K3098" s="455">
        <f t="shared" ca="1" si="143"/>
        <v>-679344474.83306408</v>
      </c>
      <c r="L3098" s="455">
        <f t="shared" ca="1" si="144"/>
        <v>-163722018434.76846</v>
      </c>
      <c r="M3098" s="471">
        <f t="shared" si="146"/>
        <v>0.05</v>
      </c>
      <c r="N3098" s="475">
        <f t="shared" si="147"/>
        <v>145338</v>
      </c>
    </row>
    <row r="3099" spans="7:14" ht="11.25" customHeight="1" x14ac:dyDescent="0.3">
      <c r="G3099" s="470"/>
      <c r="H3099" s="470">
        <v>3092</v>
      </c>
      <c r="I3099" s="455">
        <f t="shared" ca="1" si="145"/>
        <v>-163722018434.76846</v>
      </c>
      <c r="J3099" s="455">
        <f t="array" ref="J3099">IFERROR(INDEX('Retirement Calculator'!K:K,MATCH('Lorri 401b'!N3099,'Retirement Calculator'!A:A,0),0),0)</f>
        <v>0</v>
      </c>
      <c r="K3099" s="455">
        <f t="shared" ca="1" si="143"/>
        <v>-682175076.81153524</v>
      </c>
      <c r="L3099" s="455">
        <f t="shared" ca="1" si="144"/>
        <v>-164404193511.57999</v>
      </c>
      <c r="M3099" s="471">
        <f t="shared" si="146"/>
        <v>0.05</v>
      </c>
      <c r="N3099" s="475">
        <f t="shared" si="147"/>
        <v>145369</v>
      </c>
    </row>
    <row r="3100" spans="7:14" ht="11.25" customHeight="1" x14ac:dyDescent="0.3">
      <c r="G3100" s="470"/>
      <c r="H3100" s="470">
        <v>3093</v>
      </c>
      <c r="I3100" s="455">
        <f t="shared" ca="1" si="145"/>
        <v>-164404193511.57999</v>
      </c>
      <c r="J3100" s="455">
        <f t="array" ref="J3100">IFERROR(INDEX('Retirement Calculator'!K:K,MATCH('Lorri 401b'!N3100,'Retirement Calculator'!A:A,0),0),0)</f>
        <v>0</v>
      </c>
      <c r="K3100" s="455">
        <f t="shared" ca="1" si="143"/>
        <v>-685017472.96491659</v>
      </c>
      <c r="L3100" s="455">
        <f t="shared" ca="1" si="144"/>
        <v>-165089210984.54489</v>
      </c>
      <c r="M3100" s="471">
        <f t="shared" si="146"/>
        <v>0.05</v>
      </c>
      <c r="N3100" s="475">
        <f t="shared" si="147"/>
        <v>145400</v>
      </c>
    </row>
    <row r="3101" spans="7:14" ht="11.25" customHeight="1" x14ac:dyDescent="0.3">
      <c r="G3101" s="470"/>
      <c r="H3101" s="470">
        <v>3094</v>
      </c>
      <c r="I3101" s="455">
        <f t="shared" ca="1" si="145"/>
        <v>-165089210984.54489</v>
      </c>
      <c r="J3101" s="455">
        <f t="array" ref="J3101">IFERROR(INDEX('Retirement Calculator'!K:K,MATCH('Lorri 401b'!N3101,'Retirement Calculator'!A:A,0),0),0)</f>
        <v>0</v>
      </c>
      <c r="K3101" s="455">
        <f t="shared" ca="1" si="143"/>
        <v>-687871712.43560374</v>
      </c>
      <c r="L3101" s="455">
        <f t="shared" ca="1" si="144"/>
        <v>-165777082696.9805</v>
      </c>
      <c r="M3101" s="471">
        <f t="shared" si="146"/>
        <v>0.05</v>
      </c>
      <c r="N3101" s="475">
        <f t="shared" si="147"/>
        <v>145428</v>
      </c>
    </row>
    <row r="3102" spans="7:14" ht="11.25" customHeight="1" x14ac:dyDescent="0.3">
      <c r="G3102" s="470"/>
      <c r="H3102" s="470">
        <v>3095</v>
      </c>
      <c r="I3102" s="455">
        <f t="shared" ca="1" si="145"/>
        <v>-165777082696.9805</v>
      </c>
      <c r="J3102" s="455">
        <f t="array" ref="J3102">IFERROR(INDEX('Retirement Calculator'!K:K,MATCH('Lorri 401b'!N3102,'Retirement Calculator'!A:A,0),0),0)</f>
        <v>0</v>
      </c>
      <c r="K3102" s="455">
        <f t="shared" ca="1" si="143"/>
        <v>-690737844.57075202</v>
      </c>
      <c r="L3102" s="455">
        <f t="shared" ca="1" si="144"/>
        <v>-166467820541.55124</v>
      </c>
      <c r="M3102" s="471">
        <f t="shared" si="146"/>
        <v>0.05</v>
      </c>
      <c r="N3102" s="475">
        <f t="shared" si="147"/>
        <v>145459</v>
      </c>
    </row>
    <row r="3103" spans="7:14" ht="11.25" customHeight="1" x14ac:dyDescent="0.3">
      <c r="G3103" s="470"/>
      <c r="H3103" s="470">
        <v>3096</v>
      </c>
      <c r="I3103" s="455">
        <f t="shared" ca="1" si="145"/>
        <v>-166467820541.55124</v>
      </c>
      <c r="J3103" s="455">
        <f t="array" ref="J3103">IFERROR(INDEX('Retirement Calculator'!K:K,MATCH('Lorri 401b'!N3103,'Retirement Calculator'!A:A,0),0),0)</f>
        <v>0</v>
      </c>
      <c r="K3103" s="455">
        <f t="shared" ca="1" si="143"/>
        <v>-693615918.92313015</v>
      </c>
      <c r="L3103" s="455">
        <f t="shared" ca="1" si="144"/>
        <v>-167161436460.47437</v>
      </c>
      <c r="M3103" s="471">
        <f t="shared" si="146"/>
        <v>0.05</v>
      </c>
      <c r="N3103" s="475">
        <f t="shared" si="147"/>
        <v>145489</v>
      </c>
    </row>
    <row r="3104" spans="7:14" ht="11.25" customHeight="1" x14ac:dyDescent="0.3">
      <c r="G3104" s="470"/>
      <c r="H3104" s="470">
        <v>3097</v>
      </c>
      <c r="I3104" s="455">
        <f t="shared" ca="1" si="145"/>
        <v>-167161436460.47437</v>
      </c>
      <c r="J3104" s="455">
        <f t="array" ref="J3104">IFERROR(INDEX('Retirement Calculator'!K:K,MATCH('Lorri 401b'!N3104,'Retirement Calculator'!A:A,0),0),0)</f>
        <v>0</v>
      </c>
      <c r="K3104" s="455">
        <f t="shared" ca="1" si="143"/>
        <v>-696505985.25197649</v>
      </c>
      <c r="L3104" s="455">
        <f t="shared" ca="1" si="144"/>
        <v>-167857942445.72635</v>
      </c>
      <c r="M3104" s="471">
        <f t="shared" si="146"/>
        <v>0.05</v>
      </c>
      <c r="N3104" s="475">
        <f t="shared" si="147"/>
        <v>145520</v>
      </c>
    </row>
    <row r="3105" spans="7:14" ht="11.25" customHeight="1" x14ac:dyDescent="0.3">
      <c r="G3105" s="470"/>
      <c r="H3105" s="470">
        <v>3098</v>
      </c>
      <c r="I3105" s="455">
        <f t="shared" ca="1" si="145"/>
        <v>-167857942445.72635</v>
      </c>
      <c r="J3105" s="455">
        <f t="array" ref="J3105">IFERROR(INDEX('Retirement Calculator'!K:K,MATCH('Lorri 401b'!N3105,'Retirement Calculator'!A:A,0),0),0)</f>
        <v>0</v>
      </c>
      <c r="K3105" s="455">
        <f t="shared" ca="1" si="143"/>
        <v>-699408093.52385974</v>
      </c>
      <c r="L3105" s="455">
        <f t="shared" ca="1" si="144"/>
        <v>-168557350539.25021</v>
      </c>
      <c r="M3105" s="471">
        <f t="shared" si="146"/>
        <v>0.05</v>
      </c>
      <c r="N3105" s="475">
        <f t="shared" si="147"/>
        <v>145550</v>
      </c>
    </row>
    <row r="3106" spans="7:14" ht="11.25" customHeight="1" x14ac:dyDescent="0.3">
      <c r="G3106" s="470"/>
      <c r="H3106" s="470">
        <v>3099</v>
      </c>
      <c r="I3106" s="455">
        <f t="shared" ca="1" si="145"/>
        <v>-168557350539.25021</v>
      </c>
      <c r="J3106" s="455">
        <f t="array" ref="J3106">IFERROR(INDEX('Retirement Calculator'!K:K,MATCH('Lorri 401b'!N3106,'Retirement Calculator'!A:A,0),0),0)</f>
        <v>0</v>
      </c>
      <c r="K3106" s="455">
        <f t="shared" ca="1" si="143"/>
        <v>-702322293.91354251</v>
      </c>
      <c r="L3106" s="455">
        <f t="shared" ca="1" si="144"/>
        <v>-169259672833.16376</v>
      </c>
      <c r="M3106" s="471">
        <f t="shared" si="146"/>
        <v>0.05</v>
      </c>
      <c r="N3106" s="475">
        <f t="shared" si="147"/>
        <v>145581</v>
      </c>
    </row>
    <row r="3107" spans="7:14" ht="11.25" customHeight="1" x14ac:dyDescent="0.3">
      <c r="G3107" s="470"/>
      <c r="H3107" s="470">
        <v>3100</v>
      </c>
      <c r="I3107" s="455">
        <f t="shared" ca="1" si="145"/>
        <v>-169259672833.16376</v>
      </c>
      <c r="J3107" s="455">
        <f t="array" ref="J3107">IFERROR(INDEX('Retirement Calculator'!K:K,MATCH('Lorri 401b'!N3107,'Retirement Calculator'!A:A,0),0),0)</f>
        <v>0</v>
      </c>
      <c r="K3107" s="455">
        <f t="shared" ca="1" si="143"/>
        <v>-705248636.80484903</v>
      </c>
      <c r="L3107" s="455">
        <f t="shared" ca="1" si="144"/>
        <v>-169964921469.9686</v>
      </c>
      <c r="M3107" s="471">
        <f t="shared" si="146"/>
        <v>0.05</v>
      </c>
      <c r="N3107" s="475">
        <f t="shared" si="147"/>
        <v>145612</v>
      </c>
    </row>
    <row r="3108" spans="7:14" ht="11.25" customHeight="1" x14ac:dyDescent="0.3">
      <c r="G3108" s="470"/>
      <c r="H3108" s="470">
        <v>3101</v>
      </c>
      <c r="I3108" s="455">
        <f t="shared" ca="1" si="145"/>
        <v>-169964921469.9686</v>
      </c>
      <c r="J3108" s="455">
        <f t="array" ref="J3108">IFERROR(INDEX('Retirement Calculator'!K:K,MATCH('Lorri 401b'!N3108,'Retirement Calculator'!A:A,0),0),0)</f>
        <v>0</v>
      </c>
      <c r="K3108" s="455">
        <f t="shared" ca="1" si="143"/>
        <v>-708187172.79153585</v>
      </c>
      <c r="L3108" s="455">
        <f t="shared" ca="1" si="144"/>
        <v>-170673108642.76013</v>
      </c>
      <c r="M3108" s="471">
        <f t="shared" si="146"/>
        <v>0.05</v>
      </c>
      <c r="N3108" s="475">
        <f t="shared" si="147"/>
        <v>145642</v>
      </c>
    </row>
    <row r="3109" spans="7:14" ht="11.25" customHeight="1" x14ac:dyDescent="0.3">
      <c r="G3109" s="470"/>
      <c r="H3109" s="470">
        <v>3102</v>
      </c>
      <c r="I3109" s="455">
        <f t="shared" ca="1" si="145"/>
        <v>-170673108642.76013</v>
      </c>
      <c r="J3109" s="455">
        <f t="array" ref="J3109">IFERROR(INDEX('Retirement Calculator'!K:K,MATCH('Lorri 401b'!N3109,'Retirement Calculator'!A:A,0),0),0)</f>
        <v>0</v>
      </c>
      <c r="K3109" s="455">
        <f t="shared" ca="1" si="143"/>
        <v>-711137952.67816722</v>
      </c>
      <c r="L3109" s="455">
        <f t="shared" ca="1" si="144"/>
        <v>-171384246595.43829</v>
      </c>
      <c r="M3109" s="471">
        <f t="shared" si="146"/>
        <v>0.05</v>
      </c>
      <c r="N3109" s="475">
        <f t="shared" si="147"/>
        <v>145673</v>
      </c>
    </row>
    <row r="3110" spans="7:14" ht="11.25" customHeight="1" x14ac:dyDescent="0.3">
      <c r="G3110" s="470"/>
      <c r="H3110" s="470">
        <v>3103</v>
      </c>
      <c r="I3110" s="455">
        <f t="shared" ca="1" si="145"/>
        <v>-171384246595.43829</v>
      </c>
      <c r="J3110" s="455">
        <f t="array" ref="J3110">IFERROR(INDEX('Retirement Calculator'!K:K,MATCH('Lorri 401b'!N3110,'Retirement Calculator'!A:A,0),0),0)</f>
        <v>0</v>
      </c>
      <c r="K3110" s="455">
        <f t="shared" ca="1" si="143"/>
        <v>-714101027.48099291</v>
      </c>
      <c r="L3110" s="455">
        <f t="shared" ca="1" si="144"/>
        <v>-172098347622.91928</v>
      </c>
      <c r="M3110" s="471">
        <f t="shared" si="146"/>
        <v>0.05</v>
      </c>
      <c r="N3110" s="475">
        <f t="shared" si="147"/>
        <v>145703</v>
      </c>
    </row>
    <row r="3111" spans="7:14" ht="11.25" customHeight="1" x14ac:dyDescent="0.3">
      <c r="G3111" s="470"/>
      <c r="H3111" s="470">
        <v>3104</v>
      </c>
      <c r="I3111" s="455">
        <f t="shared" ca="1" si="145"/>
        <v>-172098347622.91928</v>
      </c>
      <c r="J3111" s="455">
        <f t="array" ref="J3111">IFERROR(INDEX('Retirement Calculator'!K:K,MATCH('Lorri 401b'!N3111,'Retirement Calculator'!A:A,0),0),0)</f>
        <v>0</v>
      </c>
      <c r="K3111" s="455">
        <f t="shared" ca="1" si="143"/>
        <v>-717076448.42883039</v>
      </c>
      <c r="L3111" s="455">
        <f t="shared" ca="1" si="144"/>
        <v>-172815424071.34811</v>
      </c>
      <c r="M3111" s="471">
        <f t="shared" si="146"/>
        <v>0.05</v>
      </c>
      <c r="N3111" s="475">
        <f t="shared" si="147"/>
        <v>145734</v>
      </c>
    </row>
    <row r="3112" spans="7:14" ht="11.25" customHeight="1" x14ac:dyDescent="0.3">
      <c r="G3112" s="470"/>
      <c r="H3112" s="470">
        <v>3105</v>
      </c>
      <c r="I3112" s="455">
        <f t="shared" ca="1" si="145"/>
        <v>-172815424071.34811</v>
      </c>
      <c r="J3112" s="455">
        <f t="array" ref="J3112">IFERROR(INDEX('Retirement Calculator'!K:K,MATCH('Lorri 401b'!N3112,'Retirement Calculator'!A:A,0),0),0)</f>
        <v>0</v>
      </c>
      <c r="K3112" s="455">
        <f t="shared" ca="1" si="143"/>
        <v>-720064266.96395051</v>
      </c>
      <c r="L3112" s="455">
        <f t="shared" ca="1" si="144"/>
        <v>-173535488338.31207</v>
      </c>
      <c r="M3112" s="471">
        <f t="shared" si="146"/>
        <v>0.05</v>
      </c>
      <c r="N3112" s="475">
        <f t="shared" si="147"/>
        <v>145765</v>
      </c>
    </row>
    <row r="3113" spans="7:14" ht="11.25" customHeight="1" x14ac:dyDescent="0.3">
      <c r="G3113" s="470"/>
      <c r="H3113" s="470">
        <v>3106</v>
      </c>
      <c r="I3113" s="455">
        <f t="shared" ca="1" si="145"/>
        <v>-173535488338.31207</v>
      </c>
      <c r="J3113" s="455">
        <f t="array" ref="J3113">IFERROR(INDEX('Retirement Calculator'!K:K,MATCH('Lorri 401b'!N3113,'Retirement Calculator'!A:A,0),0),0)</f>
        <v>0</v>
      </c>
      <c r="K3113" s="455">
        <f t="shared" ca="1" si="143"/>
        <v>-723064534.74296701</v>
      </c>
      <c r="L3113" s="455">
        <f t="shared" ca="1" si="144"/>
        <v>-174258552873.05505</v>
      </c>
      <c r="M3113" s="471">
        <f t="shared" si="146"/>
        <v>0.05</v>
      </c>
      <c r="N3113" s="475">
        <f t="shared" si="147"/>
        <v>145793</v>
      </c>
    </row>
    <row r="3114" spans="7:14" ht="11.25" customHeight="1" x14ac:dyDescent="0.3">
      <c r="G3114" s="470"/>
      <c r="H3114" s="470">
        <v>3107</v>
      </c>
      <c r="I3114" s="455">
        <f t="shared" ca="1" si="145"/>
        <v>-174258552873.05505</v>
      </c>
      <c r="J3114" s="455">
        <f t="array" ref="J3114">IFERROR(INDEX('Retirement Calculator'!K:K,MATCH('Lorri 401b'!N3114,'Retirement Calculator'!A:A,0),0),0)</f>
        <v>0</v>
      </c>
      <c r="K3114" s="455">
        <f t="shared" ca="1" si="143"/>
        <v>-726077303.63772941</v>
      </c>
      <c r="L3114" s="455">
        <f t="shared" ca="1" si="144"/>
        <v>-174984630176.69278</v>
      </c>
      <c r="M3114" s="471">
        <f t="shared" si="146"/>
        <v>0.05</v>
      </c>
      <c r="N3114" s="475">
        <f t="shared" si="147"/>
        <v>145824</v>
      </c>
    </row>
    <row r="3115" spans="7:14" ht="11.25" customHeight="1" x14ac:dyDescent="0.3">
      <c r="G3115" s="470"/>
      <c r="H3115" s="470">
        <v>3108</v>
      </c>
      <c r="I3115" s="455">
        <f t="shared" ca="1" si="145"/>
        <v>-174984630176.69278</v>
      </c>
      <c r="J3115" s="455">
        <f t="array" ref="J3115">IFERROR(INDEX('Retirement Calculator'!K:K,MATCH('Lorri 401b'!N3115,'Retirement Calculator'!A:A,0),0),0)</f>
        <v>0</v>
      </c>
      <c r="K3115" s="455">
        <f t="shared" ca="1" si="143"/>
        <v>-729102625.73621988</v>
      </c>
      <c r="L3115" s="455">
        <f t="shared" ca="1" si="144"/>
        <v>-175713732802.42899</v>
      </c>
      <c r="M3115" s="471">
        <f t="shared" si="146"/>
        <v>0.05</v>
      </c>
      <c r="N3115" s="475">
        <f t="shared" si="147"/>
        <v>145854</v>
      </c>
    </row>
    <row r="3116" spans="7:14" ht="11.25" customHeight="1" x14ac:dyDescent="0.3">
      <c r="G3116" s="470"/>
      <c r="H3116" s="470">
        <v>3109</v>
      </c>
      <c r="I3116" s="455">
        <f t="shared" ca="1" si="145"/>
        <v>-175713732802.42899</v>
      </c>
      <c r="J3116" s="455">
        <f t="array" ref="J3116">IFERROR(INDEX('Retirement Calculator'!K:K,MATCH('Lorri 401b'!N3116,'Retirement Calculator'!A:A,0),0),0)</f>
        <v>0</v>
      </c>
      <c r="K3116" s="455">
        <f t="shared" ca="1" si="143"/>
        <v>-732140553.34345412</v>
      </c>
      <c r="L3116" s="455">
        <f t="shared" ca="1" si="144"/>
        <v>-176445873355.77243</v>
      </c>
      <c r="M3116" s="471">
        <f t="shared" si="146"/>
        <v>0.05</v>
      </c>
      <c r="N3116" s="475">
        <f t="shared" si="147"/>
        <v>145885</v>
      </c>
    </row>
    <row r="3117" spans="7:14" ht="11.25" customHeight="1" x14ac:dyDescent="0.3">
      <c r="G3117" s="470"/>
      <c r="H3117" s="470">
        <v>3110</v>
      </c>
      <c r="I3117" s="455">
        <f t="shared" ca="1" si="145"/>
        <v>-176445873355.77243</v>
      </c>
      <c r="J3117" s="455">
        <f t="array" ref="J3117">IFERROR(INDEX('Retirement Calculator'!K:K,MATCH('Lorri 401b'!N3117,'Retirement Calculator'!A:A,0),0),0)</f>
        <v>0</v>
      </c>
      <c r="K3117" s="455">
        <f t="shared" ca="1" si="143"/>
        <v>-735191138.98238516</v>
      </c>
      <c r="L3117" s="455">
        <f t="shared" ca="1" si="144"/>
        <v>-177181064494.75482</v>
      </c>
      <c r="M3117" s="471">
        <f t="shared" si="146"/>
        <v>0.05</v>
      </c>
      <c r="N3117" s="475">
        <f t="shared" si="147"/>
        <v>145915</v>
      </c>
    </row>
    <row r="3118" spans="7:14" ht="11.25" customHeight="1" x14ac:dyDescent="0.3">
      <c r="G3118" s="470"/>
      <c r="H3118" s="470">
        <v>3111</v>
      </c>
      <c r="I3118" s="455">
        <f t="shared" ca="1" si="145"/>
        <v>-177181064494.75482</v>
      </c>
      <c r="J3118" s="455">
        <f t="array" ref="J3118">IFERROR(INDEX('Retirement Calculator'!K:K,MATCH('Lorri 401b'!N3118,'Retirement Calculator'!A:A,0),0),0)</f>
        <v>0</v>
      </c>
      <c r="K3118" s="455">
        <f t="shared" ca="1" si="143"/>
        <v>-738254435.39481175</v>
      </c>
      <c r="L3118" s="455">
        <f t="shared" ca="1" si="144"/>
        <v>-177919318930.14963</v>
      </c>
      <c r="M3118" s="471">
        <f t="shared" si="146"/>
        <v>0.05</v>
      </c>
      <c r="N3118" s="475">
        <f t="shared" si="147"/>
        <v>145946</v>
      </c>
    </row>
    <row r="3119" spans="7:14" ht="11.25" customHeight="1" x14ac:dyDescent="0.3">
      <c r="G3119" s="470"/>
      <c r="H3119" s="470">
        <v>3112</v>
      </c>
      <c r="I3119" s="455">
        <f t="shared" ca="1" si="145"/>
        <v>-177919318930.14963</v>
      </c>
      <c r="J3119" s="455">
        <f t="array" ref="J3119">IFERROR(INDEX('Retirement Calculator'!K:K,MATCH('Lorri 401b'!N3119,'Retirement Calculator'!A:A,0),0),0)</f>
        <v>0</v>
      </c>
      <c r="K3119" s="455">
        <f t="shared" ca="1" si="143"/>
        <v>-741330495.54229009</v>
      </c>
      <c r="L3119" s="455">
        <f t="shared" ca="1" si="144"/>
        <v>-178660649425.69193</v>
      </c>
      <c r="M3119" s="471">
        <f t="shared" si="146"/>
        <v>0.05</v>
      </c>
      <c r="N3119" s="475">
        <f t="shared" si="147"/>
        <v>145977</v>
      </c>
    </row>
    <row r="3120" spans="7:14" ht="11.25" customHeight="1" x14ac:dyDescent="0.3">
      <c r="G3120" s="470"/>
      <c r="H3120" s="470">
        <v>3113</v>
      </c>
      <c r="I3120" s="455">
        <f t="shared" ca="1" si="145"/>
        <v>-178660649425.69193</v>
      </c>
      <c r="J3120" s="455">
        <f t="array" ref="J3120">IFERROR(INDEX('Retirement Calculator'!K:K,MATCH('Lorri 401b'!N3120,'Retirement Calculator'!A:A,0),0),0)</f>
        <v>0</v>
      </c>
      <c r="K3120" s="455">
        <f t="shared" ca="1" si="143"/>
        <v>-744419372.6070497</v>
      </c>
      <c r="L3120" s="455">
        <f t="shared" ca="1" si="144"/>
        <v>-179405068798.29898</v>
      </c>
      <c r="M3120" s="471">
        <f t="shared" si="146"/>
        <v>0.05</v>
      </c>
      <c r="N3120" s="475">
        <f t="shared" si="147"/>
        <v>146007</v>
      </c>
    </row>
    <row r="3121" spans="7:14" ht="11.25" customHeight="1" x14ac:dyDescent="0.3">
      <c r="G3121" s="470"/>
      <c r="H3121" s="470">
        <v>3114</v>
      </c>
      <c r="I3121" s="455">
        <f t="shared" ca="1" si="145"/>
        <v>-179405068798.29898</v>
      </c>
      <c r="J3121" s="455">
        <f t="array" ref="J3121">IFERROR(INDEX('Retirement Calculator'!K:K,MATCH('Lorri 401b'!N3121,'Retirement Calculator'!A:A,0),0),0)</f>
        <v>0</v>
      </c>
      <c r="K3121" s="455">
        <f t="shared" ca="1" si="143"/>
        <v>-747521119.99291241</v>
      </c>
      <c r="L3121" s="455">
        <f t="shared" ca="1" si="144"/>
        <v>-180152589918.2919</v>
      </c>
      <c r="M3121" s="471">
        <f t="shared" si="146"/>
        <v>0.05</v>
      </c>
      <c r="N3121" s="475">
        <f t="shared" si="147"/>
        <v>146038</v>
      </c>
    </row>
    <row r="3122" spans="7:14" ht="11.25" customHeight="1" x14ac:dyDescent="0.3">
      <c r="G3122" s="470"/>
      <c r="H3122" s="470">
        <v>3115</v>
      </c>
      <c r="I3122" s="455">
        <f t="shared" ca="1" si="145"/>
        <v>-180152589918.2919</v>
      </c>
      <c r="J3122" s="455">
        <f t="array" ref="J3122">IFERROR(INDEX('Retirement Calculator'!K:K,MATCH('Lorri 401b'!N3122,'Retirement Calculator'!A:A,0),0),0)</f>
        <v>0</v>
      </c>
      <c r="K3122" s="455">
        <f t="shared" ca="1" si="143"/>
        <v>-750635791.32621622</v>
      </c>
      <c r="L3122" s="455">
        <f t="shared" ca="1" si="144"/>
        <v>-180903225709.6181</v>
      </c>
      <c r="M3122" s="471">
        <f t="shared" si="146"/>
        <v>0.05</v>
      </c>
      <c r="N3122" s="475">
        <f t="shared" si="147"/>
        <v>146068</v>
      </c>
    </row>
    <row r="3123" spans="7:14" ht="11.25" customHeight="1" x14ac:dyDescent="0.3">
      <c r="G3123" s="470"/>
      <c r="H3123" s="470">
        <v>3116</v>
      </c>
      <c r="I3123" s="455">
        <f t="shared" ca="1" si="145"/>
        <v>-180903225709.6181</v>
      </c>
      <c r="J3123" s="455">
        <f t="array" ref="J3123">IFERROR(INDEX('Retirement Calculator'!K:K,MATCH('Lorri 401b'!N3123,'Retirement Calculator'!A:A,0),0),0)</f>
        <v>0</v>
      </c>
      <c r="K3123" s="455">
        <f t="shared" ca="1" si="143"/>
        <v>-753763440.45674205</v>
      </c>
      <c r="L3123" s="455">
        <f t="shared" ca="1" si="144"/>
        <v>-181656989150.07486</v>
      </c>
      <c r="M3123" s="471">
        <f t="shared" si="146"/>
        <v>0.05</v>
      </c>
      <c r="N3123" s="475">
        <f t="shared" si="147"/>
        <v>146099</v>
      </c>
    </row>
    <row r="3124" spans="7:14" ht="11.25" customHeight="1" x14ac:dyDescent="0.3">
      <c r="G3124" s="470"/>
      <c r="H3124" s="470">
        <v>3117</v>
      </c>
      <c r="I3124" s="455">
        <f t="shared" ca="1" si="145"/>
        <v>-181656989150.07486</v>
      </c>
      <c r="J3124" s="455">
        <f t="array" ref="J3124">IFERROR(INDEX('Retirement Calculator'!K:K,MATCH('Lorri 401b'!N3124,'Retirement Calculator'!A:A,0),0),0)</f>
        <v>0</v>
      </c>
      <c r="K3124" s="455">
        <f t="shared" ca="1" si="143"/>
        <v>-756904121.45864522</v>
      </c>
      <c r="L3124" s="455">
        <f t="shared" ca="1" si="144"/>
        <v>-182413893271.53351</v>
      </c>
      <c r="M3124" s="471">
        <f t="shared" si="146"/>
        <v>0.05</v>
      </c>
      <c r="N3124" s="475">
        <f t="shared" si="147"/>
        <v>146130</v>
      </c>
    </row>
    <row r="3125" spans="7:14" ht="11.25" customHeight="1" x14ac:dyDescent="0.3">
      <c r="G3125" s="470"/>
      <c r="H3125" s="470">
        <v>3118</v>
      </c>
      <c r="I3125" s="455">
        <f t="shared" ca="1" si="145"/>
        <v>-182413893271.53351</v>
      </c>
      <c r="J3125" s="455">
        <f t="array" ref="J3125">IFERROR(INDEX('Retirement Calculator'!K:K,MATCH('Lorri 401b'!N3125,'Retirement Calculator'!A:A,0),0),0)</f>
        <v>0</v>
      </c>
      <c r="K3125" s="455">
        <f t="shared" ca="1" si="143"/>
        <v>-760057888.63138962</v>
      </c>
      <c r="L3125" s="455">
        <f t="shared" ca="1" si="144"/>
        <v>-183173951160.16489</v>
      </c>
      <c r="M3125" s="471">
        <f t="shared" si="146"/>
        <v>0.05</v>
      </c>
      <c r="N3125" s="475">
        <f t="shared" si="147"/>
        <v>146158</v>
      </c>
    </row>
    <row r="3126" spans="7:14" ht="11.25" customHeight="1" x14ac:dyDescent="0.3">
      <c r="G3126" s="470"/>
      <c r="H3126" s="470">
        <v>3119</v>
      </c>
      <c r="I3126" s="455">
        <f t="shared" ca="1" si="145"/>
        <v>-183173951160.16489</v>
      </c>
      <c r="J3126" s="455">
        <f t="array" ref="J3126">IFERROR(INDEX('Retirement Calculator'!K:K,MATCH('Lorri 401b'!N3126,'Retirement Calculator'!A:A,0),0),0)</f>
        <v>0</v>
      </c>
      <c r="K3126" s="455">
        <f t="shared" ca="1" si="143"/>
        <v>-763224796.500687</v>
      </c>
      <c r="L3126" s="455">
        <f t="shared" ca="1" si="144"/>
        <v>-183937175956.66559</v>
      </c>
      <c r="M3126" s="471">
        <f t="shared" si="146"/>
        <v>0.05</v>
      </c>
      <c r="N3126" s="475">
        <f t="shared" si="147"/>
        <v>146189</v>
      </c>
    </row>
    <row r="3127" spans="7:14" ht="11.25" customHeight="1" x14ac:dyDescent="0.3">
      <c r="G3127" s="470"/>
      <c r="H3127" s="470">
        <v>3120</v>
      </c>
      <c r="I3127" s="455">
        <f t="shared" ca="1" si="145"/>
        <v>-183937175956.66559</v>
      </c>
      <c r="J3127" s="455">
        <f t="array" ref="J3127">IFERROR(INDEX('Retirement Calculator'!K:K,MATCH('Lorri 401b'!N3127,'Retirement Calculator'!A:A,0),0),0)</f>
        <v>0</v>
      </c>
      <c r="K3127" s="455">
        <f t="shared" ca="1" si="143"/>
        <v>-766404899.81943989</v>
      </c>
      <c r="L3127" s="455">
        <f t="shared" ca="1" si="144"/>
        <v>-184703580856.48502</v>
      </c>
      <c r="M3127" s="471">
        <f t="shared" si="146"/>
        <v>0.05</v>
      </c>
      <c r="N3127" s="475">
        <f t="shared" si="147"/>
        <v>146219</v>
      </c>
    </row>
    <row r="3128" spans="7:14" ht="11.25" customHeight="1" x14ac:dyDescent="0.3">
      <c r="G3128" s="470"/>
      <c r="H3128" s="470">
        <v>3121</v>
      </c>
      <c r="I3128" s="455">
        <f t="shared" ca="1" si="145"/>
        <v>-184703580856.48502</v>
      </c>
      <c r="J3128" s="455">
        <f t="array" ref="J3128">IFERROR(INDEX('Retirement Calculator'!K:K,MATCH('Lorri 401b'!N3128,'Retirement Calculator'!A:A,0),0),0)</f>
        <v>0</v>
      </c>
      <c r="K3128" s="455">
        <f t="shared" ca="1" si="143"/>
        <v>-769598253.56868756</v>
      </c>
      <c r="L3128" s="455">
        <f t="shared" ca="1" si="144"/>
        <v>-185473179110.05371</v>
      </c>
      <c r="M3128" s="471">
        <f t="shared" si="146"/>
        <v>0.05</v>
      </c>
      <c r="N3128" s="475">
        <f t="shared" si="147"/>
        <v>146250</v>
      </c>
    </row>
    <row r="3129" spans="7:14" ht="11.25" customHeight="1" x14ac:dyDescent="0.3">
      <c r="G3129" s="470"/>
      <c r="H3129" s="470">
        <v>3122</v>
      </c>
      <c r="I3129" s="455">
        <f t="shared" ca="1" si="145"/>
        <v>-185473179110.05371</v>
      </c>
      <c r="J3129" s="455">
        <f t="array" ref="J3129">IFERROR(INDEX('Retirement Calculator'!K:K,MATCH('Lorri 401b'!N3129,'Retirement Calculator'!A:A,0),0),0)</f>
        <v>0</v>
      </c>
      <c r="K3129" s="455">
        <f t="shared" ca="1" si="143"/>
        <v>-772804912.95855713</v>
      </c>
      <c r="L3129" s="455">
        <f t="shared" ca="1" si="144"/>
        <v>-186245984023.01227</v>
      </c>
      <c r="M3129" s="471">
        <f t="shared" si="146"/>
        <v>0.05</v>
      </c>
      <c r="N3129" s="475">
        <f t="shared" si="147"/>
        <v>146280</v>
      </c>
    </row>
    <row r="3130" spans="7:14" ht="11.25" customHeight="1" x14ac:dyDescent="0.3">
      <c r="G3130" s="470"/>
      <c r="H3130" s="470">
        <v>3123</v>
      </c>
      <c r="I3130" s="455">
        <f t="shared" ca="1" si="145"/>
        <v>-186245984023.01227</v>
      </c>
      <c r="J3130" s="455">
        <f t="array" ref="J3130">IFERROR(INDEX('Retirement Calculator'!K:K,MATCH('Lorri 401b'!N3130,'Retirement Calculator'!A:A,0),0),0)</f>
        <v>0</v>
      </c>
      <c r="K3130" s="455">
        <f t="shared" ca="1" si="143"/>
        <v>-776024933.42921782</v>
      </c>
      <c r="L3130" s="455">
        <f t="shared" ca="1" si="144"/>
        <v>-187022008956.4415</v>
      </c>
      <c r="M3130" s="471">
        <f t="shared" si="146"/>
        <v>0.05</v>
      </c>
      <c r="N3130" s="475">
        <f t="shared" si="147"/>
        <v>146311</v>
      </c>
    </row>
    <row r="3131" spans="7:14" ht="11.25" customHeight="1" x14ac:dyDescent="0.3">
      <c r="G3131" s="470"/>
      <c r="H3131" s="470">
        <v>3124</v>
      </c>
      <c r="I3131" s="455">
        <f t="shared" ca="1" si="145"/>
        <v>-187022008956.4415</v>
      </c>
      <c r="J3131" s="455">
        <f t="array" ref="J3131">IFERROR(INDEX('Retirement Calculator'!K:K,MATCH('Lorri 401b'!N3131,'Retirement Calculator'!A:A,0),0),0)</f>
        <v>0</v>
      </c>
      <c r="K3131" s="455">
        <f t="shared" ca="1" si="143"/>
        <v>-779258370.65183961</v>
      </c>
      <c r="L3131" s="455">
        <f t="shared" ca="1" si="144"/>
        <v>-187801267327.09332</v>
      </c>
      <c r="M3131" s="471">
        <f t="shared" si="146"/>
        <v>0.05</v>
      </c>
      <c r="N3131" s="475">
        <f t="shared" si="147"/>
        <v>146342</v>
      </c>
    </row>
    <row r="3132" spans="7:14" ht="11.25" customHeight="1" x14ac:dyDescent="0.3">
      <c r="G3132" s="470"/>
      <c r="H3132" s="470">
        <v>3125</v>
      </c>
      <c r="I3132" s="455">
        <f t="shared" ca="1" si="145"/>
        <v>-187801267327.09332</v>
      </c>
      <c r="J3132" s="455">
        <f t="array" ref="J3132">IFERROR(INDEX('Retirement Calculator'!K:K,MATCH('Lorri 401b'!N3132,'Retirement Calculator'!A:A,0),0),0)</f>
        <v>0</v>
      </c>
      <c r="K3132" s="455">
        <f t="shared" ca="1" si="143"/>
        <v>-782505280.52955556</v>
      </c>
      <c r="L3132" s="455">
        <f t="shared" ca="1" si="144"/>
        <v>-188583772607.62286</v>
      </c>
      <c r="M3132" s="471">
        <f t="shared" si="146"/>
        <v>0.05</v>
      </c>
      <c r="N3132" s="475">
        <f t="shared" si="147"/>
        <v>146372</v>
      </c>
    </row>
    <row r="3133" spans="7:14" ht="11.25" customHeight="1" x14ac:dyDescent="0.3">
      <c r="G3133" s="470"/>
      <c r="H3133" s="470">
        <v>3126</v>
      </c>
      <c r="I3133" s="455">
        <f t="shared" ca="1" si="145"/>
        <v>-188583772607.62286</v>
      </c>
      <c r="J3133" s="455">
        <f t="array" ref="J3133">IFERROR(INDEX('Retirement Calculator'!K:K,MATCH('Lorri 401b'!N3133,'Retirement Calculator'!A:A,0),0),0)</f>
        <v>0</v>
      </c>
      <c r="K3133" s="455">
        <f t="shared" ca="1" si="143"/>
        <v>-785765719.19842863</v>
      </c>
      <c r="L3133" s="455">
        <f t="shared" ca="1" si="144"/>
        <v>-189369538326.82129</v>
      </c>
      <c r="M3133" s="471">
        <f t="shared" si="146"/>
        <v>0.05</v>
      </c>
      <c r="N3133" s="475">
        <f t="shared" si="147"/>
        <v>146403</v>
      </c>
    </row>
    <row r="3134" spans="7:14" ht="11.25" customHeight="1" x14ac:dyDescent="0.3">
      <c r="G3134" s="470"/>
      <c r="H3134" s="470">
        <v>3127</v>
      </c>
      <c r="I3134" s="455">
        <f t="shared" ca="1" si="145"/>
        <v>-189369538326.82129</v>
      </c>
      <c r="J3134" s="455">
        <f t="array" ref="J3134">IFERROR(INDEX('Retirement Calculator'!K:K,MATCH('Lorri 401b'!N3134,'Retirement Calculator'!A:A,0),0),0)</f>
        <v>0</v>
      </c>
      <c r="K3134" s="455">
        <f t="shared" ca="1" si="143"/>
        <v>-789039743.028422</v>
      </c>
      <c r="L3134" s="455">
        <f t="shared" ca="1" si="144"/>
        <v>-190158578069.8497</v>
      </c>
      <c r="M3134" s="471">
        <f t="shared" si="146"/>
        <v>0.05</v>
      </c>
      <c r="N3134" s="475">
        <f t="shared" si="147"/>
        <v>146433</v>
      </c>
    </row>
    <row r="3135" spans="7:14" ht="11.25" customHeight="1" x14ac:dyDescent="0.3">
      <c r="G3135" s="470"/>
      <c r="H3135" s="470">
        <v>3128</v>
      </c>
      <c r="I3135" s="455">
        <f t="shared" ca="1" si="145"/>
        <v>-190158578069.8497</v>
      </c>
      <c r="J3135" s="455">
        <f t="array" ref="J3135">IFERROR(INDEX('Retirement Calculator'!K:K,MATCH('Lorri 401b'!N3135,'Retirement Calculator'!A:A,0),0),0)</f>
        <v>0</v>
      </c>
      <c r="K3135" s="455">
        <f t="shared" ca="1" si="143"/>
        <v>-792327408.62437379</v>
      </c>
      <c r="L3135" s="455">
        <f t="shared" ca="1" si="144"/>
        <v>-190950905478.47406</v>
      </c>
      <c r="M3135" s="471">
        <f t="shared" si="146"/>
        <v>0.05</v>
      </c>
      <c r="N3135" s="475">
        <f t="shared" si="147"/>
        <v>146464</v>
      </c>
    </row>
    <row r="3136" spans="7:14" ht="11.25" customHeight="1" x14ac:dyDescent="0.3">
      <c r="G3136" s="470"/>
      <c r="H3136" s="470">
        <v>3129</v>
      </c>
      <c r="I3136" s="455">
        <f t="shared" ca="1" si="145"/>
        <v>-190950905478.47406</v>
      </c>
      <c r="J3136" s="455">
        <f t="array" ref="J3136">IFERROR(INDEX('Retirement Calculator'!K:K,MATCH('Lorri 401b'!N3136,'Retirement Calculator'!A:A,0),0),0)</f>
        <v>0</v>
      </c>
      <c r="K3136" s="455">
        <f t="shared" ca="1" si="143"/>
        <v>-795628772.82697523</v>
      </c>
      <c r="L3136" s="455">
        <f t="shared" ca="1" si="144"/>
        <v>-191746534251.30103</v>
      </c>
      <c r="M3136" s="471">
        <f t="shared" si="146"/>
        <v>0.05</v>
      </c>
      <c r="N3136" s="475">
        <f t="shared" si="147"/>
        <v>146495</v>
      </c>
    </row>
    <row r="3137" spans="7:14" ht="11.25" customHeight="1" x14ac:dyDescent="0.3">
      <c r="G3137" s="470"/>
      <c r="H3137" s="470">
        <v>3130</v>
      </c>
      <c r="I3137" s="455">
        <f t="shared" ca="1" si="145"/>
        <v>-191746534251.30103</v>
      </c>
      <c r="J3137" s="455">
        <f t="array" ref="J3137">IFERROR(INDEX('Retirement Calculator'!K:K,MATCH('Lorri 401b'!N3137,'Retirement Calculator'!A:A,0),0),0)</f>
        <v>0</v>
      </c>
      <c r="K3137" s="455">
        <f t="shared" ca="1" si="143"/>
        <v>-798943892.7137543</v>
      </c>
      <c r="L3137" s="455">
        <f t="shared" ca="1" si="144"/>
        <v>-192545478144.01477</v>
      </c>
      <c r="M3137" s="471">
        <f t="shared" si="146"/>
        <v>0.05</v>
      </c>
      <c r="N3137" s="475">
        <f t="shared" si="147"/>
        <v>146523</v>
      </c>
    </row>
    <row r="3138" spans="7:14" ht="11.25" customHeight="1" x14ac:dyDescent="0.3">
      <c r="G3138" s="470"/>
      <c r="H3138" s="470">
        <v>3131</v>
      </c>
      <c r="I3138" s="455">
        <f t="shared" ca="1" si="145"/>
        <v>-192545478144.01477</v>
      </c>
      <c r="J3138" s="455">
        <f t="array" ref="J3138">IFERROR(INDEX('Retirement Calculator'!K:K,MATCH('Lorri 401b'!N3138,'Retirement Calculator'!A:A,0),0),0)</f>
        <v>0</v>
      </c>
      <c r="K3138" s="455">
        <f t="shared" ca="1" si="143"/>
        <v>-802272825.60006154</v>
      </c>
      <c r="L3138" s="455">
        <f t="shared" ca="1" si="144"/>
        <v>-193347750969.61484</v>
      </c>
      <c r="M3138" s="471">
        <f t="shared" si="146"/>
        <v>0.05</v>
      </c>
      <c r="N3138" s="475">
        <f t="shared" si="147"/>
        <v>146554</v>
      </c>
    </row>
    <row r="3139" spans="7:14" ht="11.25" customHeight="1" x14ac:dyDescent="0.3">
      <c r="G3139" s="470"/>
      <c r="H3139" s="470">
        <v>3132</v>
      </c>
      <c r="I3139" s="455">
        <f t="shared" ca="1" si="145"/>
        <v>-193347750969.61484</v>
      </c>
      <c r="J3139" s="455">
        <f t="array" ref="J3139">IFERROR(INDEX('Retirement Calculator'!K:K,MATCH('Lorri 401b'!N3139,'Retirement Calculator'!A:A,0),0),0)</f>
        <v>0</v>
      </c>
      <c r="K3139" s="455">
        <f t="shared" ca="1" si="143"/>
        <v>-805615629.04006183</v>
      </c>
      <c r="L3139" s="455">
        <f t="shared" ca="1" si="144"/>
        <v>-194153366598.65491</v>
      </c>
      <c r="M3139" s="471">
        <f t="shared" si="146"/>
        <v>0.05</v>
      </c>
      <c r="N3139" s="475">
        <f t="shared" si="147"/>
        <v>146584</v>
      </c>
    </row>
    <row r="3140" spans="7:14" ht="11.25" customHeight="1" x14ac:dyDescent="0.3">
      <c r="G3140" s="470"/>
      <c r="H3140" s="470">
        <v>3133</v>
      </c>
      <c r="I3140" s="455">
        <f t="shared" ca="1" si="145"/>
        <v>-194153366598.65491</v>
      </c>
      <c r="J3140" s="455">
        <f t="array" ref="J3140">IFERROR(INDEX('Retirement Calculator'!K:K,MATCH('Lorri 401b'!N3140,'Retirement Calculator'!A:A,0),0),0)</f>
        <v>0</v>
      </c>
      <c r="K3140" s="455">
        <f t="shared" ca="1" si="143"/>
        <v>-808972360.82772875</v>
      </c>
      <c r="L3140" s="455">
        <f t="shared" ca="1" si="144"/>
        <v>-194962338959.48264</v>
      </c>
      <c r="M3140" s="471">
        <f t="shared" si="146"/>
        <v>0.05</v>
      </c>
      <c r="N3140" s="475">
        <f t="shared" si="147"/>
        <v>146615</v>
      </c>
    </row>
    <row r="3141" spans="7:14" ht="11.25" customHeight="1" x14ac:dyDescent="0.3">
      <c r="G3141" s="470"/>
      <c r="H3141" s="470">
        <v>3134</v>
      </c>
      <c r="I3141" s="455">
        <f t="shared" ca="1" si="145"/>
        <v>-194962338959.48264</v>
      </c>
      <c r="J3141" s="455">
        <f t="array" ref="J3141">IFERROR(INDEX('Retirement Calculator'!K:K,MATCH('Lorri 401b'!N3141,'Retirement Calculator'!A:A,0),0),0)</f>
        <v>0</v>
      </c>
      <c r="K3141" s="455">
        <f t="shared" ca="1" si="143"/>
        <v>-812343078.99784434</v>
      </c>
      <c r="L3141" s="455">
        <f t="shared" ca="1" si="144"/>
        <v>-195774682038.48047</v>
      </c>
      <c r="M3141" s="471">
        <f t="shared" si="146"/>
        <v>0.05</v>
      </c>
      <c r="N3141" s="475">
        <f t="shared" si="147"/>
        <v>146645</v>
      </c>
    </row>
    <row r="3142" spans="7:14" ht="11.25" customHeight="1" x14ac:dyDescent="0.3">
      <c r="G3142" s="470"/>
      <c r="H3142" s="470">
        <v>3135</v>
      </c>
      <c r="I3142" s="455">
        <f t="shared" ca="1" si="145"/>
        <v>-195774682038.48047</v>
      </c>
      <c r="J3142" s="455">
        <f t="array" ref="J3142">IFERROR(INDEX('Retirement Calculator'!K:K,MATCH('Lorri 401b'!N3142,'Retirement Calculator'!A:A,0),0),0)</f>
        <v>0</v>
      </c>
      <c r="K3142" s="455">
        <f t="shared" ca="1" si="143"/>
        <v>-815727841.82700193</v>
      </c>
      <c r="L3142" s="455">
        <f t="shared" ca="1" si="144"/>
        <v>-196590409880.30746</v>
      </c>
      <c r="M3142" s="471">
        <f t="shared" si="146"/>
        <v>0.05</v>
      </c>
      <c r="N3142" s="475">
        <f t="shared" si="147"/>
        <v>146676</v>
      </c>
    </row>
    <row r="3143" spans="7:14" ht="11.25" customHeight="1" x14ac:dyDescent="0.3">
      <c r="G3143" s="470"/>
      <c r="H3143" s="470">
        <v>3136</v>
      </c>
      <c r="I3143" s="455">
        <f t="shared" ca="1" si="145"/>
        <v>-196590409880.30746</v>
      </c>
      <c r="J3143" s="455">
        <f t="array" ref="J3143">IFERROR(INDEX('Retirement Calculator'!K:K,MATCH('Lorri 401b'!N3143,'Retirement Calculator'!A:A,0),0),0)</f>
        <v>0</v>
      </c>
      <c r="K3143" s="455">
        <f t="shared" ca="1" si="143"/>
        <v>-819126707.8346144</v>
      </c>
      <c r="L3143" s="455">
        <f t="shared" ca="1" si="144"/>
        <v>-197409536588.14209</v>
      </c>
      <c r="M3143" s="471">
        <f t="shared" si="146"/>
        <v>0.05</v>
      </c>
      <c r="N3143" s="475">
        <f t="shared" si="147"/>
        <v>146707</v>
      </c>
    </row>
    <row r="3144" spans="7:14" ht="11.25" customHeight="1" x14ac:dyDescent="0.3">
      <c r="G3144" s="470"/>
      <c r="H3144" s="470">
        <v>3137</v>
      </c>
      <c r="I3144" s="455">
        <f t="shared" ca="1" si="145"/>
        <v>-197409536588.14209</v>
      </c>
      <c r="J3144" s="455">
        <f t="array" ref="J3144">IFERROR(INDEX('Retirement Calculator'!K:K,MATCH('Lorri 401b'!N3144,'Retirement Calculator'!A:A,0),0),0)</f>
        <v>0</v>
      </c>
      <c r="K3144" s="455">
        <f t="shared" ca="1" si="143"/>
        <v>-822539735.78392541</v>
      </c>
      <c r="L3144" s="455">
        <f t="shared" ca="1" si="144"/>
        <v>-198232076323.92603</v>
      </c>
      <c r="M3144" s="471">
        <f t="shared" si="146"/>
        <v>0.05</v>
      </c>
      <c r="N3144" s="475">
        <f t="shared" si="147"/>
        <v>146737</v>
      </c>
    </row>
    <row r="3145" spans="7:14" ht="11.25" customHeight="1" x14ac:dyDescent="0.3">
      <c r="G3145" s="470"/>
      <c r="H3145" s="470">
        <v>3138</v>
      </c>
      <c r="I3145" s="455">
        <f t="shared" ca="1" si="145"/>
        <v>-198232076323.92603</v>
      </c>
      <c r="J3145" s="455">
        <f t="array" ref="J3145">IFERROR(INDEX('Retirement Calculator'!K:K,MATCH('Lorri 401b'!N3145,'Retirement Calculator'!A:A,0),0),0)</f>
        <v>0</v>
      </c>
      <c r="K3145" s="455">
        <f t="shared" ca="1" si="143"/>
        <v>-825966984.68302512</v>
      </c>
      <c r="L3145" s="455">
        <f t="shared" ca="1" si="144"/>
        <v>-199058043308.60904</v>
      </c>
      <c r="M3145" s="471">
        <f t="shared" si="146"/>
        <v>0.05</v>
      </c>
      <c r="N3145" s="475">
        <f t="shared" si="147"/>
        <v>146768</v>
      </c>
    </row>
    <row r="3146" spans="7:14" ht="11.25" customHeight="1" x14ac:dyDescent="0.3">
      <c r="G3146" s="470"/>
      <c r="H3146" s="470">
        <v>3139</v>
      </c>
      <c r="I3146" s="455">
        <f t="shared" ca="1" si="145"/>
        <v>-199058043308.60904</v>
      </c>
      <c r="J3146" s="455">
        <f t="array" ref="J3146">IFERROR(INDEX('Retirement Calculator'!K:K,MATCH('Lorri 401b'!N3146,'Retirement Calculator'!A:A,0),0),0)</f>
        <v>0</v>
      </c>
      <c r="K3146" s="455">
        <f t="shared" ca="1" si="143"/>
        <v>-829408513.78587103</v>
      </c>
      <c r="L3146" s="455">
        <f t="shared" ca="1" si="144"/>
        <v>-199887451822.3949</v>
      </c>
      <c r="M3146" s="471">
        <f t="shared" si="146"/>
        <v>0.05</v>
      </c>
      <c r="N3146" s="475">
        <f t="shared" si="147"/>
        <v>146798</v>
      </c>
    </row>
    <row r="3147" spans="7:14" ht="11.25" customHeight="1" x14ac:dyDescent="0.3">
      <c r="G3147" s="470"/>
      <c r="H3147" s="470">
        <v>3140</v>
      </c>
      <c r="I3147" s="455">
        <f t="shared" ca="1" si="145"/>
        <v>-199887451822.3949</v>
      </c>
      <c r="J3147" s="455">
        <f t="array" ref="J3147">IFERROR(INDEX('Retirement Calculator'!K:K,MATCH('Lorri 401b'!N3147,'Retirement Calculator'!A:A,0),0),0)</f>
        <v>0</v>
      </c>
      <c r="K3147" s="455">
        <f t="shared" ca="1" si="143"/>
        <v>-832864382.59331203</v>
      </c>
      <c r="L3147" s="455">
        <f t="shared" ca="1" si="144"/>
        <v>-200720316204.98822</v>
      </c>
      <c r="M3147" s="471">
        <f t="shared" si="146"/>
        <v>0.05</v>
      </c>
      <c r="N3147" s="475">
        <f t="shared" si="147"/>
        <v>146829</v>
      </c>
    </row>
    <row r="3148" spans="7:14" ht="11.25" customHeight="1" x14ac:dyDescent="0.3">
      <c r="G3148" s="470"/>
      <c r="H3148" s="470">
        <v>3141</v>
      </c>
      <c r="I3148" s="455">
        <f t="shared" ca="1" si="145"/>
        <v>-200720316204.98822</v>
      </c>
      <c r="J3148" s="455">
        <f t="array" ref="J3148">IFERROR(INDEX('Retirement Calculator'!K:K,MATCH('Lorri 401b'!N3148,'Retirement Calculator'!A:A,0),0),0)</f>
        <v>0</v>
      </c>
      <c r="K3148" s="455">
        <f t="shared" ca="1" si="143"/>
        <v>-836334650.85411763</v>
      </c>
      <c r="L3148" s="455">
        <f t="shared" ca="1" si="144"/>
        <v>-201556650855.84235</v>
      </c>
      <c r="M3148" s="471">
        <f t="shared" si="146"/>
        <v>0.05</v>
      </c>
      <c r="N3148" s="475">
        <f t="shared" si="147"/>
        <v>146860</v>
      </c>
    </row>
    <row r="3149" spans="7:14" ht="11.25" customHeight="1" x14ac:dyDescent="0.3">
      <c r="G3149" s="470"/>
      <c r="H3149" s="470">
        <v>3142</v>
      </c>
      <c r="I3149" s="455">
        <f t="shared" ca="1" si="145"/>
        <v>-201556650855.84235</v>
      </c>
      <c r="J3149" s="455">
        <f t="array" ref="J3149">IFERROR(INDEX('Retirement Calculator'!K:K,MATCH('Lorri 401b'!N3149,'Retirement Calculator'!A:A,0),0),0)</f>
        <v>0</v>
      </c>
      <c r="K3149" s="455">
        <f t="shared" ca="1" si="143"/>
        <v>-839819378.56600976</v>
      </c>
      <c r="L3149" s="455">
        <f t="shared" ca="1" si="144"/>
        <v>-202396470234.40836</v>
      </c>
      <c r="M3149" s="471">
        <f t="shared" si="146"/>
        <v>0.05</v>
      </c>
      <c r="N3149" s="475">
        <f t="shared" si="147"/>
        <v>146888</v>
      </c>
    </row>
    <row r="3150" spans="7:14" ht="11.25" customHeight="1" x14ac:dyDescent="0.3">
      <c r="G3150" s="470"/>
      <c r="H3150" s="470">
        <v>3143</v>
      </c>
      <c r="I3150" s="455">
        <f t="shared" ca="1" si="145"/>
        <v>-202396470234.40836</v>
      </c>
      <c r="J3150" s="455">
        <f t="array" ref="J3150">IFERROR(INDEX('Retirement Calculator'!K:K,MATCH('Lorri 401b'!N3150,'Retirement Calculator'!A:A,0),0),0)</f>
        <v>0</v>
      </c>
      <c r="K3150" s="455">
        <f t="shared" ca="1" si="143"/>
        <v>-843318625.9767015</v>
      </c>
      <c r="L3150" s="455">
        <f t="shared" ca="1" si="144"/>
        <v>-203239788860.38507</v>
      </c>
      <c r="M3150" s="471">
        <f t="shared" si="146"/>
        <v>0.05</v>
      </c>
      <c r="N3150" s="475">
        <f t="shared" si="147"/>
        <v>146919</v>
      </c>
    </row>
    <row r="3151" spans="7:14" ht="11.25" customHeight="1" x14ac:dyDescent="0.3">
      <c r="G3151" s="470"/>
      <c r="H3151" s="470">
        <v>3144</v>
      </c>
      <c r="I3151" s="455">
        <f t="shared" ca="1" si="145"/>
        <v>-203239788860.38507</v>
      </c>
      <c r="J3151" s="455">
        <f t="array" ref="J3151">IFERROR(INDEX('Retirement Calculator'!K:K,MATCH('Lorri 401b'!N3151,'Retirement Calculator'!A:A,0),0),0)</f>
        <v>0</v>
      </c>
      <c r="K3151" s="455">
        <f t="shared" ca="1" si="143"/>
        <v>-846832453.58493781</v>
      </c>
      <c r="L3151" s="455">
        <f t="shared" ca="1" si="144"/>
        <v>-204086621313.97</v>
      </c>
      <c r="M3151" s="471">
        <f t="shared" si="146"/>
        <v>0.05</v>
      </c>
      <c r="N3151" s="475">
        <f t="shared" si="147"/>
        <v>146949</v>
      </c>
    </row>
    <row r="3152" spans="7:14" ht="11.25" customHeight="1" x14ac:dyDescent="0.3">
      <c r="G3152" s="470"/>
      <c r="H3152" s="470">
        <v>3145</v>
      </c>
      <c r="I3152" s="455">
        <f t="shared" ca="1" si="145"/>
        <v>-204086621313.97</v>
      </c>
      <c r="J3152" s="455">
        <f t="array" ref="J3152">IFERROR(INDEX('Retirement Calculator'!K:K,MATCH('Lorri 401b'!N3152,'Retirement Calculator'!A:A,0),0),0)</f>
        <v>0</v>
      </c>
      <c r="K3152" s="455">
        <f t="shared" ca="1" si="143"/>
        <v>-850360922.14154172</v>
      </c>
      <c r="L3152" s="455">
        <f t="shared" ca="1" si="144"/>
        <v>-204936982236.11154</v>
      </c>
      <c r="M3152" s="471">
        <f t="shared" si="146"/>
        <v>0.05</v>
      </c>
      <c r="N3152" s="475">
        <f t="shared" si="147"/>
        <v>146980</v>
      </c>
    </row>
    <row r="3153" spans="7:14" ht="11.25" customHeight="1" x14ac:dyDescent="0.3">
      <c r="G3153" s="470"/>
      <c r="H3153" s="470">
        <v>3146</v>
      </c>
      <c r="I3153" s="455">
        <f t="shared" ca="1" si="145"/>
        <v>-204936982236.11154</v>
      </c>
      <c r="J3153" s="455">
        <f t="array" ref="J3153">IFERROR(INDEX('Retirement Calculator'!K:K,MATCH('Lorri 401b'!N3153,'Retirement Calculator'!A:A,0),0),0)</f>
        <v>0</v>
      </c>
      <c r="K3153" s="455">
        <f t="shared" ca="1" si="143"/>
        <v>-853904092.65046477</v>
      </c>
      <c r="L3153" s="455">
        <f t="shared" ca="1" si="144"/>
        <v>-205790886328.76199</v>
      </c>
      <c r="M3153" s="471">
        <f t="shared" si="146"/>
        <v>0.05</v>
      </c>
      <c r="N3153" s="475">
        <f t="shared" si="147"/>
        <v>147010</v>
      </c>
    </row>
    <row r="3154" spans="7:14" ht="11.25" customHeight="1" x14ac:dyDescent="0.3">
      <c r="G3154" s="470"/>
      <c r="H3154" s="470">
        <v>3147</v>
      </c>
      <c r="I3154" s="455">
        <f t="shared" ca="1" si="145"/>
        <v>-205790886328.76199</v>
      </c>
      <c r="J3154" s="455">
        <f t="array" ref="J3154">IFERROR(INDEX('Retirement Calculator'!K:K,MATCH('Lorri 401b'!N3154,'Retirement Calculator'!A:A,0),0),0)</f>
        <v>0</v>
      </c>
      <c r="K3154" s="455">
        <f t="shared" ca="1" si="143"/>
        <v>-857462026.36984158</v>
      </c>
      <c r="L3154" s="455">
        <f t="shared" ca="1" si="144"/>
        <v>-206648348355.13184</v>
      </c>
      <c r="M3154" s="471">
        <f t="shared" si="146"/>
        <v>0.05</v>
      </c>
      <c r="N3154" s="475">
        <f t="shared" si="147"/>
        <v>147041</v>
      </c>
    </row>
    <row r="3155" spans="7:14" ht="11.25" customHeight="1" x14ac:dyDescent="0.3">
      <c r="G3155" s="470"/>
      <c r="H3155" s="470">
        <v>3148</v>
      </c>
      <c r="I3155" s="455">
        <f t="shared" ca="1" si="145"/>
        <v>-206648348355.13184</v>
      </c>
      <c r="J3155" s="455">
        <f t="array" ref="J3155">IFERROR(INDEX('Retirement Calculator'!K:K,MATCH('Lorri 401b'!N3155,'Retirement Calculator'!A:A,0),0),0)</f>
        <v>0</v>
      </c>
      <c r="K3155" s="455">
        <f t="shared" ca="1" si="143"/>
        <v>-861034784.81304932</v>
      </c>
      <c r="L3155" s="455">
        <f t="shared" ca="1" si="144"/>
        <v>-207509383139.94489</v>
      </c>
      <c r="M3155" s="471">
        <f t="shared" si="146"/>
        <v>0.05</v>
      </c>
      <c r="N3155" s="475">
        <f t="shared" si="147"/>
        <v>147072</v>
      </c>
    </row>
    <row r="3156" spans="7:14" ht="11.25" customHeight="1" x14ac:dyDescent="0.3">
      <c r="G3156" s="470"/>
      <c r="H3156" s="470">
        <v>3149</v>
      </c>
      <c r="I3156" s="455">
        <f t="shared" ca="1" si="145"/>
        <v>-207509383139.94489</v>
      </c>
      <c r="J3156" s="455">
        <f t="array" ref="J3156">IFERROR(INDEX('Retirement Calculator'!K:K,MATCH('Lorri 401b'!N3156,'Retirement Calculator'!A:A,0),0),0)</f>
        <v>0</v>
      </c>
      <c r="K3156" s="455">
        <f t="shared" ca="1" si="143"/>
        <v>-864622429.74977028</v>
      </c>
      <c r="L3156" s="455">
        <f t="shared" ca="1" si="144"/>
        <v>-208374005569.69464</v>
      </c>
      <c r="M3156" s="471">
        <f t="shared" si="146"/>
        <v>0.05</v>
      </c>
      <c r="N3156" s="475">
        <f t="shared" si="147"/>
        <v>147102</v>
      </c>
    </row>
    <row r="3157" spans="7:14" ht="11.25" customHeight="1" x14ac:dyDescent="0.3">
      <c r="G3157" s="470"/>
      <c r="H3157" s="470">
        <v>3150</v>
      </c>
      <c r="I3157" s="455">
        <f t="shared" ca="1" si="145"/>
        <v>-208374005569.69464</v>
      </c>
      <c r="J3157" s="455">
        <f t="array" ref="J3157">IFERROR(INDEX('Retirement Calculator'!K:K,MATCH('Lorri 401b'!N3157,'Retirement Calculator'!A:A,0),0),0)</f>
        <v>0</v>
      </c>
      <c r="K3157" s="455">
        <f t="shared" ca="1" si="143"/>
        <v>-868225023.20706093</v>
      </c>
      <c r="L3157" s="455">
        <f t="shared" ca="1" si="144"/>
        <v>-209242230592.9017</v>
      </c>
      <c r="M3157" s="471">
        <f t="shared" si="146"/>
        <v>0.05</v>
      </c>
      <c r="N3157" s="475">
        <f t="shared" si="147"/>
        <v>147133</v>
      </c>
    </row>
    <row r="3158" spans="7:14" ht="11.25" customHeight="1" x14ac:dyDescent="0.3">
      <c r="G3158" s="470"/>
      <c r="H3158" s="470">
        <v>3151</v>
      </c>
      <c r="I3158" s="455">
        <f t="shared" ca="1" si="145"/>
        <v>-209242230592.9017</v>
      </c>
      <c r="J3158" s="455">
        <f t="array" ref="J3158">IFERROR(INDEX('Retirement Calculator'!K:K,MATCH('Lorri 401b'!N3158,'Retirement Calculator'!A:A,0),0),0)</f>
        <v>0</v>
      </c>
      <c r="K3158" s="455">
        <f t="shared" ca="1" si="143"/>
        <v>-871842627.4704237</v>
      </c>
      <c r="L3158" s="455">
        <f t="shared" ca="1" si="144"/>
        <v>-210114073220.37213</v>
      </c>
      <c r="M3158" s="471">
        <f t="shared" si="146"/>
        <v>0.05</v>
      </c>
      <c r="N3158" s="475">
        <f t="shared" si="147"/>
        <v>147163</v>
      </c>
    </row>
    <row r="3159" spans="7:14" ht="11.25" customHeight="1" x14ac:dyDescent="0.3">
      <c r="G3159" s="470"/>
      <c r="H3159" s="470">
        <v>3152</v>
      </c>
      <c r="I3159" s="455">
        <f t="shared" ca="1" si="145"/>
        <v>-210114073220.37213</v>
      </c>
      <c r="J3159" s="455">
        <f t="array" ref="J3159">IFERROR(INDEX('Retirement Calculator'!K:K,MATCH('Lorri 401b'!N3159,'Retirement Calculator'!A:A,0),0),0)</f>
        <v>0</v>
      </c>
      <c r="K3159" s="455">
        <f t="shared" ca="1" si="143"/>
        <v>-875475305.08488381</v>
      </c>
      <c r="L3159" s="455">
        <f t="shared" ca="1" si="144"/>
        <v>-210989548525.457</v>
      </c>
      <c r="M3159" s="471">
        <f t="shared" si="146"/>
        <v>0.05</v>
      </c>
      <c r="N3159" s="475">
        <f t="shared" si="147"/>
        <v>147194</v>
      </c>
    </row>
    <row r="3160" spans="7:14" ht="11.25" customHeight="1" x14ac:dyDescent="0.3">
      <c r="G3160" s="470"/>
      <c r="H3160" s="470">
        <v>3153</v>
      </c>
      <c r="I3160" s="455">
        <f t="shared" ca="1" si="145"/>
        <v>-210989548525.457</v>
      </c>
      <c r="J3160" s="455">
        <f t="array" ref="J3160">IFERROR(INDEX('Retirement Calculator'!K:K,MATCH('Lorri 401b'!N3160,'Retirement Calculator'!A:A,0),0),0)</f>
        <v>0</v>
      </c>
      <c r="K3160" s="455">
        <f t="shared" ca="1" si="143"/>
        <v>-879123118.85607088</v>
      </c>
      <c r="L3160" s="455">
        <f t="shared" ca="1" si="144"/>
        <v>-211868671644.31308</v>
      </c>
      <c r="M3160" s="471">
        <f t="shared" si="146"/>
        <v>0.05</v>
      </c>
      <c r="N3160" s="475">
        <f t="shared" si="147"/>
        <v>147225</v>
      </c>
    </row>
    <row r="3161" spans="7:14" ht="11.25" customHeight="1" x14ac:dyDescent="0.3">
      <c r="G3161" s="470"/>
      <c r="H3161" s="470">
        <v>3154</v>
      </c>
      <c r="I3161" s="455">
        <f t="shared" ca="1" si="145"/>
        <v>-211868671644.31308</v>
      </c>
      <c r="J3161" s="455">
        <f t="array" ref="J3161">IFERROR(INDEX('Retirement Calculator'!K:K,MATCH('Lorri 401b'!N3161,'Retirement Calculator'!A:A,0),0),0)</f>
        <v>0</v>
      </c>
      <c r="K3161" s="455">
        <f t="shared" ca="1" si="143"/>
        <v>-882786131.85130453</v>
      </c>
      <c r="L3161" s="455">
        <f t="shared" ca="1" si="144"/>
        <v>-212751457776.1644</v>
      </c>
      <c r="M3161" s="471">
        <f t="shared" si="146"/>
        <v>0.05</v>
      </c>
      <c r="N3161" s="475">
        <f t="shared" si="147"/>
        <v>147253</v>
      </c>
    </row>
    <row r="3162" spans="7:14" ht="11.25" customHeight="1" x14ac:dyDescent="0.3">
      <c r="G3162" s="470"/>
      <c r="H3162" s="470">
        <v>3155</v>
      </c>
      <c r="I3162" s="455">
        <f t="shared" ca="1" si="145"/>
        <v>-212751457776.1644</v>
      </c>
      <c r="J3162" s="455">
        <f t="array" ref="J3162">IFERROR(INDEX('Retirement Calculator'!K:K,MATCH('Lorri 401b'!N3162,'Retirement Calculator'!A:A,0),0),0)</f>
        <v>0</v>
      </c>
      <c r="K3162" s="455">
        <f t="shared" ca="1" si="143"/>
        <v>-886464407.40068495</v>
      </c>
      <c r="L3162" s="455">
        <f t="shared" ca="1" si="144"/>
        <v>-213637922183.56509</v>
      </c>
      <c r="M3162" s="471">
        <f t="shared" si="146"/>
        <v>0.05</v>
      </c>
      <c r="N3162" s="475">
        <f t="shared" si="147"/>
        <v>147284</v>
      </c>
    </row>
    <row r="3163" spans="7:14" ht="11.25" customHeight="1" x14ac:dyDescent="0.3">
      <c r="G3163" s="470"/>
      <c r="H3163" s="470">
        <v>3156</v>
      </c>
      <c r="I3163" s="455">
        <f t="shared" ca="1" si="145"/>
        <v>-213637922183.56509</v>
      </c>
      <c r="J3163" s="455">
        <f t="array" ref="J3163">IFERROR(INDEX('Retirement Calculator'!K:K,MATCH('Lorri 401b'!N3163,'Retirement Calculator'!A:A,0),0),0)</f>
        <v>0</v>
      </c>
      <c r="K3163" s="455">
        <f t="shared" ca="1" si="143"/>
        <v>-890158009.09818792</v>
      </c>
      <c r="L3163" s="455">
        <f t="shared" ca="1" si="144"/>
        <v>-214528080192.66327</v>
      </c>
      <c r="M3163" s="471">
        <f t="shared" si="146"/>
        <v>0.05</v>
      </c>
      <c r="N3163" s="475">
        <f t="shared" si="147"/>
        <v>147314</v>
      </c>
    </row>
    <row r="3164" spans="7:14" ht="11.25" customHeight="1" x14ac:dyDescent="0.3">
      <c r="G3164" s="470"/>
      <c r="H3164" s="470">
        <v>3157</v>
      </c>
      <c r="I3164" s="455">
        <f t="shared" ca="1" si="145"/>
        <v>-214528080192.66327</v>
      </c>
      <c r="J3164" s="455">
        <f t="array" ref="J3164">IFERROR(INDEX('Retirement Calculator'!K:K,MATCH('Lorri 401b'!N3164,'Retirement Calculator'!A:A,0),0),0)</f>
        <v>0</v>
      </c>
      <c r="K3164" s="455">
        <f t="shared" ca="1" si="143"/>
        <v>-893867000.80276358</v>
      </c>
      <c r="L3164" s="455">
        <f t="shared" ca="1" si="144"/>
        <v>-215421947193.46603</v>
      </c>
      <c r="M3164" s="471">
        <f t="shared" si="146"/>
        <v>0.05</v>
      </c>
      <c r="N3164" s="475">
        <f t="shared" si="147"/>
        <v>147345</v>
      </c>
    </row>
    <row r="3165" spans="7:14" ht="11.25" customHeight="1" x14ac:dyDescent="0.3">
      <c r="G3165" s="470"/>
      <c r="H3165" s="470">
        <v>3158</v>
      </c>
      <c r="I3165" s="455">
        <f t="shared" ca="1" si="145"/>
        <v>-215421947193.46603</v>
      </c>
      <c r="J3165" s="455">
        <f t="array" ref="J3165">IFERROR(INDEX('Retirement Calculator'!K:K,MATCH('Lorri 401b'!N3165,'Retirement Calculator'!A:A,0),0),0)</f>
        <v>0</v>
      </c>
      <c r="K3165" s="455">
        <f t="shared" ca="1" si="143"/>
        <v>-897591446.63944197</v>
      </c>
      <c r="L3165" s="455">
        <f t="shared" ca="1" si="144"/>
        <v>-216319538640.10547</v>
      </c>
      <c r="M3165" s="471">
        <f t="shared" si="146"/>
        <v>0.05</v>
      </c>
      <c r="N3165" s="475">
        <f t="shared" si="147"/>
        <v>147375</v>
      </c>
    </row>
    <row r="3166" spans="7:14" ht="11.25" customHeight="1" x14ac:dyDescent="0.3">
      <c r="G3166" s="470"/>
      <c r="H3166" s="470">
        <v>3159</v>
      </c>
      <c r="I3166" s="455">
        <f t="shared" ca="1" si="145"/>
        <v>-216319538640.10547</v>
      </c>
      <c r="J3166" s="455">
        <f t="array" ref="J3166">IFERROR(INDEX('Retirement Calculator'!K:K,MATCH('Lorri 401b'!N3166,'Retirement Calculator'!A:A,0),0),0)</f>
        <v>0</v>
      </c>
      <c r="K3166" s="455">
        <f t="shared" ca="1" si="143"/>
        <v>-901331411.00043941</v>
      </c>
      <c r="L3166" s="455">
        <f t="shared" ca="1" si="144"/>
        <v>-217220870051.1059</v>
      </c>
      <c r="M3166" s="471">
        <f t="shared" si="146"/>
        <v>0.05</v>
      </c>
      <c r="N3166" s="475">
        <f t="shared" si="147"/>
        <v>147406</v>
      </c>
    </row>
    <row r="3167" spans="7:14" ht="11.25" customHeight="1" x14ac:dyDescent="0.3">
      <c r="G3167" s="470"/>
      <c r="H3167" s="470">
        <v>3160</v>
      </c>
      <c r="I3167" s="455">
        <f t="shared" ca="1" si="145"/>
        <v>-217220870051.1059</v>
      </c>
      <c r="J3167" s="455">
        <f t="array" ref="J3167">IFERROR(INDEX('Retirement Calculator'!K:K,MATCH('Lorri 401b'!N3167,'Retirement Calculator'!A:A,0),0),0)</f>
        <v>0</v>
      </c>
      <c r="K3167" s="455">
        <f t="shared" ca="1" si="143"/>
        <v>-905086958.54627454</v>
      </c>
      <c r="L3167" s="455">
        <f t="shared" ca="1" si="144"/>
        <v>-218125957009.65216</v>
      </c>
      <c r="M3167" s="471">
        <f t="shared" si="146"/>
        <v>0.05</v>
      </c>
      <c r="N3167" s="475">
        <f t="shared" si="147"/>
        <v>147437</v>
      </c>
    </row>
    <row r="3168" spans="7:14" ht="11.25" customHeight="1" x14ac:dyDescent="0.3">
      <c r="G3168" s="470"/>
      <c r="H3168" s="470">
        <v>3161</v>
      </c>
      <c r="I3168" s="455">
        <f t="shared" ca="1" si="145"/>
        <v>-218125957009.65216</v>
      </c>
      <c r="J3168" s="455">
        <f t="array" ref="J3168">IFERROR(INDEX('Retirement Calculator'!K:K,MATCH('Lorri 401b'!N3168,'Retirement Calculator'!A:A,0),0),0)</f>
        <v>0</v>
      </c>
      <c r="K3168" s="455">
        <f t="shared" ca="1" si="143"/>
        <v>-908858154.20688403</v>
      </c>
      <c r="L3168" s="455">
        <f t="shared" ca="1" si="144"/>
        <v>-219034815163.85904</v>
      </c>
      <c r="M3168" s="471">
        <f t="shared" si="146"/>
        <v>0.05</v>
      </c>
      <c r="N3168" s="475">
        <f t="shared" si="147"/>
        <v>147467</v>
      </c>
    </row>
    <row r="3169" spans="7:14" ht="11.25" customHeight="1" x14ac:dyDescent="0.3">
      <c r="G3169" s="470"/>
      <c r="H3169" s="470">
        <v>3162</v>
      </c>
      <c r="I3169" s="455">
        <f t="shared" ca="1" si="145"/>
        <v>-219034815163.85904</v>
      </c>
      <c r="J3169" s="455">
        <f t="array" ref="J3169">IFERROR(INDEX('Retirement Calculator'!K:K,MATCH('Lorri 401b'!N3169,'Retirement Calculator'!A:A,0),0),0)</f>
        <v>0</v>
      </c>
      <c r="K3169" s="455">
        <f t="shared" ca="1" si="143"/>
        <v>-912645063.18274593</v>
      </c>
      <c r="L3169" s="455">
        <f t="shared" ca="1" si="144"/>
        <v>-219947460227.04178</v>
      </c>
      <c r="M3169" s="471">
        <f t="shared" si="146"/>
        <v>0.05</v>
      </c>
      <c r="N3169" s="475">
        <f t="shared" si="147"/>
        <v>147498</v>
      </c>
    </row>
    <row r="3170" spans="7:14" ht="11.25" customHeight="1" x14ac:dyDescent="0.3">
      <c r="G3170" s="470"/>
      <c r="H3170" s="470">
        <v>3163</v>
      </c>
      <c r="I3170" s="455">
        <f t="shared" ca="1" si="145"/>
        <v>-219947460227.04178</v>
      </c>
      <c r="J3170" s="455">
        <f t="array" ref="J3170">IFERROR(INDEX('Retirement Calculator'!K:K,MATCH('Lorri 401b'!N3170,'Retirement Calculator'!A:A,0),0),0)</f>
        <v>0</v>
      </c>
      <c r="K3170" s="455">
        <f t="shared" ca="1" si="143"/>
        <v>-916447750.94600749</v>
      </c>
      <c r="L3170" s="455">
        <f t="shared" ca="1" si="144"/>
        <v>-220863907977.98779</v>
      </c>
      <c r="M3170" s="471">
        <f t="shared" si="146"/>
        <v>0.05</v>
      </c>
      <c r="N3170" s="475">
        <f t="shared" si="147"/>
        <v>147528</v>
      </c>
    </row>
    <row r="3171" spans="7:14" ht="11.25" customHeight="1" x14ac:dyDescent="0.3">
      <c r="G3171" s="470"/>
      <c r="H3171" s="470">
        <v>3164</v>
      </c>
      <c r="I3171" s="455">
        <f t="shared" ca="1" si="145"/>
        <v>-220863907977.98779</v>
      </c>
      <c r="J3171" s="455">
        <f t="array" ref="J3171">IFERROR(INDEX('Retirement Calculator'!K:K,MATCH('Lorri 401b'!N3171,'Retirement Calculator'!A:A,0),0),0)</f>
        <v>0</v>
      </c>
      <c r="K3171" s="455">
        <f t="shared" ca="1" si="143"/>
        <v>-920266283.24161577</v>
      </c>
      <c r="L3171" s="455">
        <f t="shared" ca="1" si="144"/>
        <v>-221784174261.2294</v>
      </c>
      <c r="M3171" s="471">
        <f t="shared" si="146"/>
        <v>0.05</v>
      </c>
      <c r="N3171" s="475">
        <f t="shared" si="147"/>
        <v>147559</v>
      </c>
    </row>
    <row r="3172" spans="7:14" ht="11.25" customHeight="1" x14ac:dyDescent="0.3">
      <c r="G3172" s="470"/>
      <c r="H3172" s="470">
        <v>3165</v>
      </c>
      <c r="I3172" s="455">
        <f t="shared" ca="1" si="145"/>
        <v>-221784174261.2294</v>
      </c>
      <c r="J3172" s="455">
        <f t="array" ref="J3172">IFERROR(INDEX('Retirement Calculator'!K:K,MATCH('Lorri 401b'!N3172,'Retirement Calculator'!A:A,0),0),0)</f>
        <v>0</v>
      </c>
      <c r="K3172" s="455">
        <f t="shared" ca="1" si="143"/>
        <v>-924100726.0884558</v>
      </c>
      <c r="L3172" s="455">
        <f t="shared" ca="1" si="144"/>
        <v>-222708274987.31787</v>
      </c>
      <c r="M3172" s="471">
        <f t="shared" si="146"/>
        <v>0.05</v>
      </c>
      <c r="N3172" s="475">
        <f t="shared" si="147"/>
        <v>147590</v>
      </c>
    </row>
    <row r="3173" spans="7:14" ht="11.25" customHeight="1" x14ac:dyDescent="0.3">
      <c r="G3173" s="470"/>
      <c r="H3173" s="470">
        <v>3166</v>
      </c>
      <c r="I3173" s="455">
        <f t="shared" ca="1" si="145"/>
        <v>-222708274987.31787</v>
      </c>
      <c r="J3173" s="455">
        <f t="array" ref="J3173">IFERROR(INDEX('Retirement Calculator'!K:K,MATCH('Lorri 401b'!N3173,'Retirement Calculator'!A:A,0),0),0)</f>
        <v>0</v>
      </c>
      <c r="K3173" s="455">
        <f t="shared" ca="1" si="143"/>
        <v>-927951145.78049111</v>
      </c>
      <c r="L3173" s="455">
        <f t="shared" ca="1" si="144"/>
        <v>-223636226133.09836</v>
      </c>
      <c r="M3173" s="471">
        <f t="shared" si="146"/>
        <v>0.05</v>
      </c>
      <c r="N3173" s="475">
        <f t="shared" si="147"/>
        <v>147619</v>
      </c>
    </row>
    <row r="3174" spans="7:14" ht="11.25" customHeight="1" x14ac:dyDescent="0.3">
      <c r="G3174" s="470"/>
      <c r="H3174" s="470">
        <v>3167</v>
      </c>
      <c r="I3174" s="455">
        <f t="shared" ca="1" si="145"/>
        <v>-223636226133.09836</v>
      </c>
      <c r="J3174" s="455">
        <f t="array" ref="J3174">IFERROR(INDEX('Retirement Calculator'!K:K,MATCH('Lorri 401b'!N3174,'Retirement Calculator'!A:A,0),0),0)</f>
        <v>0</v>
      </c>
      <c r="K3174" s="455">
        <f t="shared" ca="1" si="143"/>
        <v>-931817608.88790977</v>
      </c>
      <c r="L3174" s="455">
        <f t="shared" ca="1" si="144"/>
        <v>-224568043741.98627</v>
      </c>
      <c r="M3174" s="471">
        <f t="shared" si="146"/>
        <v>0.05</v>
      </c>
      <c r="N3174" s="475">
        <f t="shared" si="147"/>
        <v>147650</v>
      </c>
    </row>
    <row r="3175" spans="7:14" ht="11.25" customHeight="1" x14ac:dyDescent="0.3">
      <c r="G3175" s="470"/>
      <c r="H3175" s="470">
        <v>3168</v>
      </c>
      <c r="I3175" s="455">
        <f t="shared" ca="1" si="145"/>
        <v>-224568043741.98627</v>
      </c>
      <c r="J3175" s="455">
        <f t="array" ref="J3175">IFERROR(INDEX('Retirement Calculator'!K:K,MATCH('Lorri 401b'!N3175,'Retirement Calculator'!A:A,0),0),0)</f>
        <v>0</v>
      </c>
      <c r="K3175" s="455">
        <f t="shared" ca="1" si="143"/>
        <v>-935700182.25827599</v>
      </c>
      <c r="L3175" s="455">
        <f t="shared" ca="1" si="144"/>
        <v>-225503743924.24454</v>
      </c>
      <c r="M3175" s="471">
        <f t="shared" si="146"/>
        <v>0.05</v>
      </c>
      <c r="N3175" s="475">
        <f t="shared" si="147"/>
        <v>147680</v>
      </c>
    </row>
    <row r="3176" spans="7:14" ht="11.25" customHeight="1" x14ac:dyDescent="0.3">
      <c r="G3176" s="470"/>
      <c r="H3176" s="470">
        <v>3169</v>
      </c>
      <c r="I3176" s="455">
        <f t="shared" ca="1" si="145"/>
        <v>-225503743924.24454</v>
      </c>
      <c r="J3176" s="455">
        <f t="array" ref="J3176">IFERROR(INDEX('Retirement Calculator'!K:K,MATCH('Lorri 401b'!N3176,'Retirement Calculator'!A:A,0),0),0)</f>
        <v>0</v>
      </c>
      <c r="K3176" s="455">
        <f t="shared" ca="1" si="143"/>
        <v>-939598933.01768553</v>
      </c>
      <c r="L3176" s="455">
        <f t="shared" ca="1" si="144"/>
        <v>-226443342857.26224</v>
      </c>
      <c r="M3176" s="471">
        <f t="shared" si="146"/>
        <v>0.05</v>
      </c>
      <c r="N3176" s="475">
        <f t="shared" si="147"/>
        <v>147711</v>
      </c>
    </row>
    <row r="3177" spans="7:14" ht="11.25" customHeight="1" x14ac:dyDescent="0.3">
      <c r="G3177" s="470"/>
      <c r="H3177" s="470">
        <v>3170</v>
      </c>
      <c r="I3177" s="455">
        <f t="shared" ca="1" si="145"/>
        <v>-226443342857.26224</v>
      </c>
      <c r="J3177" s="455">
        <f t="array" ref="J3177">IFERROR(INDEX('Retirement Calculator'!K:K,MATCH('Lorri 401b'!N3177,'Retirement Calculator'!A:A,0),0),0)</f>
        <v>0</v>
      </c>
      <c r="K3177" s="455">
        <f t="shared" ca="1" si="143"/>
        <v>-943513928.57192612</v>
      </c>
      <c r="L3177" s="455">
        <f t="shared" ca="1" si="144"/>
        <v>-227386856785.83417</v>
      </c>
      <c r="M3177" s="471">
        <f t="shared" si="146"/>
        <v>0.05</v>
      </c>
      <c r="N3177" s="475">
        <f t="shared" si="147"/>
        <v>147741</v>
      </c>
    </row>
    <row r="3178" spans="7:14" ht="11.25" customHeight="1" x14ac:dyDescent="0.3">
      <c r="G3178" s="470"/>
      <c r="H3178" s="470">
        <v>3171</v>
      </c>
      <c r="I3178" s="455">
        <f t="shared" ca="1" si="145"/>
        <v>-227386856785.83417</v>
      </c>
      <c r="J3178" s="455">
        <f t="array" ref="J3178">IFERROR(INDEX('Retirement Calculator'!K:K,MATCH('Lorri 401b'!N3178,'Retirement Calculator'!A:A,0),0),0)</f>
        <v>0</v>
      </c>
      <c r="K3178" s="455">
        <f t="shared" ca="1" si="143"/>
        <v>-947445236.60764229</v>
      </c>
      <c r="L3178" s="455">
        <f t="shared" ca="1" si="144"/>
        <v>-228334302022.4418</v>
      </c>
      <c r="M3178" s="471">
        <f t="shared" si="146"/>
        <v>0.05</v>
      </c>
      <c r="N3178" s="475">
        <f t="shared" si="147"/>
        <v>147772</v>
      </c>
    </row>
    <row r="3179" spans="7:14" ht="11.25" customHeight="1" x14ac:dyDescent="0.3">
      <c r="G3179" s="470"/>
      <c r="H3179" s="470">
        <v>3172</v>
      </c>
      <c r="I3179" s="455">
        <f t="shared" ca="1" si="145"/>
        <v>-228334302022.4418</v>
      </c>
      <c r="J3179" s="455">
        <f t="array" ref="J3179">IFERROR(INDEX('Retirement Calculator'!K:K,MATCH('Lorri 401b'!N3179,'Retirement Calculator'!A:A,0),0),0)</f>
        <v>0</v>
      </c>
      <c r="K3179" s="455">
        <f t="shared" ca="1" si="143"/>
        <v>-951392925.09350741</v>
      </c>
      <c r="L3179" s="455">
        <f t="shared" ca="1" si="144"/>
        <v>-229285694947.53531</v>
      </c>
      <c r="M3179" s="471">
        <f t="shared" si="146"/>
        <v>0.05</v>
      </c>
      <c r="N3179" s="475">
        <f t="shared" si="147"/>
        <v>147803</v>
      </c>
    </row>
    <row r="3180" spans="7:14" ht="11.25" customHeight="1" x14ac:dyDescent="0.3">
      <c r="G3180" s="470"/>
      <c r="H3180" s="470">
        <v>3173</v>
      </c>
      <c r="I3180" s="455">
        <f t="shared" ca="1" si="145"/>
        <v>-229285694947.53531</v>
      </c>
      <c r="J3180" s="455">
        <f t="array" ref="J3180">IFERROR(INDEX('Retirement Calculator'!K:K,MATCH('Lorri 401b'!N3180,'Retirement Calculator'!A:A,0),0),0)</f>
        <v>0</v>
      </c>
      <c r="K3180" s="455">
        <f t="shared" ca="1" si="143"/>
        <v>-955357062.28139722</v>
      </c>
      <c r="L3180" s="455">
        <f t="shared" ca="1" si="144"/>
        <v>-230241052009.81671</v>
      </c>
      <c r="M3180" s="471">
        <f t="shared" si="146"/>
        <v>0.05</v>
      </c>
      <c r="N3180" s="475">
        <f t="shared" si="147"/>
        <v>147833</v>
      </c>
    </row>
    <row r="3181" spans="7:14" ht="11.25" customHeight="1" x14ac:dyDescent="0.3">
      <c r="G3181" s="470"/>
      <c r="H3181" s="470">
        <v>3174</v>
      </c>
      <c r="I3181" s="455">
        <f t="shared" ca="1" si="145"/>
        <v>-230241052009.81671</v>
      </c>
      <c r="J3181" s="455">
        <f t="array" ref="J3181">IFERROR(INDEX('Retirement Calculator'!K:K,MATCH('Lorri 401b'!N3181,'Retirement Calculator'!A:A,0),0),0)</f>
        <v>0</v>
      </c>
      <c r="K3181" s="455">
        <f t="shared" ca="1" si="143"/>
        <v>-959337716.70756972</v>
      </c>
      <c r="L3181" s="455">
        <f t="shared" ca="1" si="144"/>
        <v>-231200389726.52429</v>
      </c>
      <c r="M3181" s="471">
        <f t="shared" si="146"/>
        <v>0.05</v>
      </c>
      <c r="N3181" s="475">
        <f t="shared" si="147"/>
        <v>147864</v>
      </c>
    </row>
    <row r="3182" spans="7:14" ht="11.25" customHeight="1" x14ac:dyDescent="0.3">
      <c r="G3182" s="470"/>
      <c r="H3182" s="470">
        <v>3175</v>
      </c>
      <c r="I3182" s="455">
        <f t="shared" ca="1" si="145"/>
        <v>-231200389726.52429</v>
      </c>
      <c r="J3182" s="455">
        <f t="array" ref="J3182">IFERROR(INDEX('Retirement Calculator'!K:K,MATCH('Lorri 401b'!N3182,'Retirement Calculator'!A:A,0),0),0)</f>
        <v>0</v>
      </c>
      <c r="K3182" s="455">
        <f t="shared" ca="1" si="143"/>
        <v>-963334957.19385123</v>
      </c>
      <c r="L3182" s="455">
        <f t="shared" ca="1" si="144"/>
        <v>-232163724683.71814</v>
      </c>
      <c r="M3182" s="471">
        <f t="shared" si="146"/>
        <v>0.05</v>
      </c>
      <c r="N3182" s="475">
        <f t="shared" si="147"/>
        <v>147894</v>
      </c>
    </row>
    <row r="3183" spans="7:14" ht="11.25" customHeight="1" x14ac:dyDescent="0.3">
      <c r="G3183" s="470"/>
      <c r="H3183" s="470">
        <v>3176</v>
      </c>
      <c r="I3183" s="455">
        <f t="shared" ca="1" si="145"/>
        <v>-232163724683.71814</v>
      </c>
      <c r="J3183" s="455">
        <f t="array" ref="J3183">IFERROR(INDEX('Retirement Calculator'!K:K,MATCH('Lorri 401b'!N3183,'Retirement Calculator'!A:A,0),0),0)</f>
        <v>0</v>
      </c>
      <c r="K3183" s="455">
        <f t="shared" ca="1" si="143"/>
        <v>-967348852.84882557</v>
      </c>
      <c r="L3183" s="455">
        <f t="shared" ca="1" si="144"/>
        <v>-233131073536.56696</v>
      </c>
      <c r="M3183" s="471">
        <f t="shared" si="146"/>
        <v>0.05</v>
      </c>
      <c r="N3183" s="475">
        <f t="shared" si="147"/>
        <v>147925</v>
      </c>
    </row>
    <row r="3184" spans="7:14" ht="11.25" customHeight="1" x14ac:dyDescent="0.3">
      <c r="G3184" s="470"/>
      <c r="H3184" s="470">
        <v>3177</v>
      </c>
      <c r="I3184" s="455">
        <f t="shared" ca="1" si="145"/>
        <v>-233131073536.56696</v>
      </c>
      <c r="J3184" s="455">
        <f t="array" ref="J3184">IFERROR(INDEX('Retirement Calculator'!K:K,MATCH('Lorri 401b'!N3184,'Retirement Calculator'!A:A,0),0),0)</f>
        <v>0</v>
      </c>
      <c r="K3184" s="455">
        <f t="shared" ca="1" si="143"/>
        <v>-971379473.06902897</v>
      </c>
      <c r="L3184" s="455">
        <f t="shared" ca="1" si="144"/>
        <v>-234102453009.63599</v>
      </c>
      <c r="M3184" s="471">
        <f t="shared" si="146"/>
        <v>0.05</v>
      </c>
      <c r="N3184" s="475">
        <f t="shared" si="147"/>
        <v>147956</v>
      </c>
    </row>
    <row r="3185" spans="7:14" ht="11.25" customHeight="1" x14ac:dyDescent="0.3">
      <c r="G3185" s="470"/>
      <c r="H3185" s="470">
        <v>3178</v>
      </c>
      <c r="I3185" s="455">
        <f t="shared" ca="1" si="145"/>
        <v>-234102453009.63599</v>
      </c>
      <c r="J3185" s="455">
        <f t="array" ref="J3185">IFERROR(INDEX('Retirement Calculator'!K:K,MATCH('Lorri 401b'!N3185,'Retirement Calculator'!A:A,0),0),0)</f>
        <v>0</v>
      </c>
      <c r="K3185" s="455">
        <f t="shared" ca="1" si="143"/>
        <v>-975426887.54014993</v>
      </c>
      <c r="L3185" s="455">
        <f t="shared" ca="1" si="144"/>
        <v>-235077879897.17615</v>
      </c>
      <c r="M3185" s="471">
        <f t="shared" si="146"/>
        <v>0.05</v>
      </c>
      <c r="N3185" s="475">
        <f t="shared" si="147"/>
        <v>147984</v>
      </c>
    </row>
    <row r="3186" spans="7:14" ht="11.25" customHeight="1" x14ac:dyDescent="0.3">
      <c r="G3186" s="470"/>
      <c r="H3186" s="470">
        <v>3179</v>
      </c>
      <c r="I3186" s="455">
        <f t="shared" ca="1" si="145"/>
        <v>-235077879897.17615</v>
      </c>
      <c r="J3186" s="455">
        <f t="array" ref="J3186">IFERROR(INDEX('Retirement Calculator'!K:K,MATCH('Lorri 401b'!N3186,'Retirement Calculator'!A:A,0),0),0)</f>
        <v>0</v>
      </c>
      <c r="K3186" s="455">
        <f t="shared" ca="1" si="143"/>
        <v>-979491166.23823392</v>
      </c>
      <c r="L3186" s="455">
        <f t="shared" ca="1" si="144"/>
        <v>-236057371063.41437</v>
      </c>
      <c r="M3186" s="471">
        <f t="shared" si="146"/>
        <v>0.05</v>
      </c>
      <c r="N3186" s="475">
        <f t="shared" si="147"/>
        <v>148015</v>
      </c>
    </row>
    <row r="3187" spans="7:14" ht="11.25" customHeight="1" x14ac:dyDescent="0.3">
      <c r="G3187" s="470"/>
      <c r="H3187" s="470">
        <v>3180</v>
      </c>
      <c r="I3187" s="455">
        <f t="shared" ca="1" si="145"/>
        <v>-236057371063.41437</v>
      </c>
      <c r="J3187" s="455">
        <f t="array" ref="J3187">IFERROR(INDEX('Retirement Calculator'!K:K,MATCH('Lorri 401b'!N3187,'Retirement Calculator'!A:A,0),0),0)</f>
        <v>0</v>
      </c>
      <c r="K3187" s="455">
        <f t="shared" ca="1" si="143"/>
        <v>-983572379.43089318</v>
      </c>
      <c r="L3187" s="455">
        <f t="shared" ca="1" si="144"/>
        <v>-237040943442.84528</v>
      </c>
      <c r="M3187" s="471">
        <f t="shared" si="146"/>
        <v>0.05</v>
      </c>
      <c r="N3187" s="475">
        <f t="shared" si="147"/>
        <v>148045</v>
      </c>
    </row>
    <row r="3188" spans="7:14" ht="11.25" customHeight="1" x14ac:dyDescent="0.3">
      <c r="G3188" s="470"/>
      <c r="H3188" s="470">
        <v>3181</v>
      </c>
      <c r="I3188" s="455">
        <f t="shared" ca="1" si="145"/>
        <v>-237040943442.84528</v>
      </c>
      <c r="J3188" s="455">
        <f t="array" ref="J3188">IFERROR(INDEX('Retirement Calculator'!K:K,MATCH('Lorri 401b'!N3188,'Retirement Calculator'!A:A,0),0),0)</f>
        <v>0</v>
      </c>
      <c r="K3188" s="455">
        <f t="shared" ca="1" si="143"/>
        <v>-987670597.67852199</v>
      </c>
      <c r="L3188" s="455">
        <f t="shared" ca="1" si="144"/>
        <v>-238028614040.5238</v>
      </c>
      <c r="M3188" s="471">
        <f t="shared" si="146"/>
        <v>0.05</v>
      </c>
      <c r="N3188" s="475">
        <f t="shared" si="147"/>
        <v>148076</v>
      </c>
    </row>
    <row r="3189" spans="7:14" ht="11.25" customHeight="1" x14ac:dyDescent="0.3">
      <c r="G3189" s="470"/>
      <c r="H3189" s="470">
        <v>3182</v>
      </c>
      <c r="I3189" s="455">
        <f t="shared" ca="1" si="145"/>
        <v>-238028614040.5238</v>
      </c>
      <c r="J3189" s="455">
        <f t="array" ref="J3189">IFERROR(INDEX('Retirement Calculator'!K:K,MATCH('Lorri 401b'!N3189,'Retirement Calculator'!A:A,0),0),0)</f>
        <v>0</v>
      </c>
      <c r="K3189" s="455">
        <f t="shared" ca="1" si="143"/>
        <v>-991785891.83551574</v>
      </c>
      <c r="L3189" s="455">
        <f t="shared" ca="1" si="144"/>
        <v>-239020399932.35931</v>
      </c>
      <c r="M3189" s="471">
        <f t="shared" si="146"/>
        <v>0.05</v>
      </c>
      <c r="N3189" s="475">
        <f t="shared" si="147"/>
        <v>148106</v>
      </c>
    </row>
    <row r="3190" spans="7:14" ht="11.25" customHeight="1" x14ac:dyDescent="0.3">
      <c r="G3190" s="470"/>
      <c r="H3190" s="470">
        <v>3183</v>
      </c>
      <c r="I3190" s="455">
        <f t="shared" ca="1" si="145"/>
        <v>-239020399932.35931</v>
      </c>
      <c r="J3190" s="455">
        <f t="array" ref="J3190">IFERROR(INDEX('Retirement Calculator'!K:K,MATCH('Lorri 401b'!N3190,'Retirement Calculator'!A:A,0),0),0)</f>
        <v>0</v>
      </c>
      <c r="K3190" s="455">
        <f t="shared" ca="1" si="143"/>
        <v>-995918333.0514971</v>
      </c>
      <c r="L3190" s="455">
        <f t="shared" ca="1" si="144"/>
        <v>-240016318265.4108</v>
      </c>
      <c r="M3190" s="471">
        <f t="shared" si="146"/>
        <v>0.05</v>
      </c>
      <c r="N3190" s="475">
        <f t="shared" si="147"/>
        <v>148137</v>
      </c>
    </row>
    <row r="3191" spans="7:14" ht="11.25" customHeight="1" x14ac:dyDescent="0.3">
      <c r="G3191" s="470"/>
      <c r="H3191" s="470">
        <v>3184</v>
      </c>
      <c r="I3191" s="455">
        <f t="shared" ca="1" si="145"/>
        <v>-240016318265.4108</v>
      </c>
      <c r="J3191" s="455">
        <f t="array" ref="J3191">IFERROR(INDEX('Retirement Calculator'!K:K,MATCH('Lorri 401b'!N3191,'Retirement Calculator'!A:A,0),0),0)</f>
        <v>0</v>
      </c>
      <c r="K3191" s="455">
        <f t="shared" ca="1" si="143"/>
        <v>-1000067992.772545</v>
      </c>
      <c r="L3191" s="455">
        <f t="shared" ca="1" si="144"/>
        <v>-241016386258.18335</v>
      </c>
      <c r="M3191" s="471">
        <f t="shared" si="146"/>
        <v>0.05</v>
      </c>
      <c r="N3191" s="475">
        <f t="shared" si="147"/>
        <v>148168</v>
      </c>
    </row>
    <row r="3192" spans="7:14" ht="11.25" customHeight="1" x14ac:dyDescent="0.3">
      <c r="G3192" s="470"/>
      <c r="H3192" s="470">
        <v>3185</v>
      </c>
      <c r="I3192" s="455">
        <f t="shared" ca="1" si="145"/>
        <v>-241016386258.18335</v>
      </c>
      <c r="J3192" s="455">
        <f t="array" ref="J3192">IFERROR(INDEX('Retirement Calculator'!K:K,MATCH('Lorri 401b'!N3192,'Retirement Calculator'!A:A,0),0),0)</f>
        <v>0</v>
      </c>
      <c r="K3192" s="455">
        <f t="shared" ca="1" si="143"/>
        <v>-1004234942.7424307</v>
      </c>
      <c r="L3192" s="455">
        <f t="shared" ca="1" si="144"/>
        <v>-242020621200.92578</v>
      </c>
      <c r="M3192" s="471">
        <f t="shared" si="146"/>
        <v>0.05</v>
      </c>
      <c r="N3192" s="475">
        <f t="shared" si="147"/>
        <v>148198</v>
      </c>
    </row>
    <row r="3193" spans="7:14" ht="11.25" customHeight="1" x14ac:dyDescent="0.3">
      <c r="G3193" s="470"/>
      <c r="H3193" s="470">
        <v>3186</v>
      </c>
      <c r="I3193" s="455">
        <f t="shared" ca="1" si="145"/>
        <v>-242020621200.92578</v>
      </c>
      <c r="J3193" s="455">
        <f t="array" ref="J3193">IFERROR(INDEX('Retirement Calculator'!K:K,MATCH('Lorri 401b'!N3193,'Retirement Calculator'!A:A,0),0),0)</f>
        <v>0</v>
      </c>
      <c r="K3193" s="455">
        <f t="shared" ca="1" si="143"/>
        <v>-1008419255.0038574</v>
      </c>
      <c r="L3193" s="455">
        <f t="shared" ca="1" si="144"/>
        <v>-243029040455.92963</v>
      </c>
      <c r="M3193" s="471">
        <f t="shared" si="146"/>
        <v>0.05</v>
      </c>
      <c r="N3193" s="475">
        <f t="shared" si="147"/>
        <v>148229</v>
      </c>
    </row>
    <row r="3194" spans="7:14" ht="11.25" customHeight="1" x14ac:dyDescent="0.3">
      <c r="G3194" s="470"/>
      <c r="H3194" s="470">
        <v>3187</v>
      </c>
      <c r="I3194" s="455">
        <f t="shared" ca="1" si="145"/>
        <v>-243029040455.92963</v>
      </c>
      <c r="J3194" s="455">
        <f t="array" ref="J3194">IFERROR(INDEX('Retirement Calculator'!K:K,MATCH('Lorri 401b'!N3194,'Retirement Calculator'!A:A,0),0),0)</f>
        <v>0</v>
      </c>
      <c r="K3194" s="455">
        <f t="shared" ca="1" si="143"/>
        <v>-1012621001.8997067</v>
      </c>
      <c r="L3194" s="455">
        <f t="shared" ca="1" si="144"/>
        <v>-244041661457.82935</v>
      </c>
      <c r="M3194" s="471">
        <f t="shared" si="146"/>
        <v>0.05</v>
      </c>
      <c r="N3194" s="475">
        <f t="shared" si="147"/>
        <v>148259</v>
      </c>
    </row>
    <row r="3195" spans="7:14" ht="11.25" customHeight="1" x14ac:dyDescent="0.3">
      <c r="G3195" s="470"/>
      <c r="H3195" s="470">
        <v>3188</v>
      </c>
      <c r="I3195" s="455">
        <f t="shared" ca="1" si="145"/>
        <v>-244041661457.82935</v>
      </c>
      <c r="J3195" s="455">
        <f t="array" ref="J3195">IFERROR(INDEX('Retirement Calculator'!K:K,MATCH('Lorri 401b'!N3195,'Retirement Calculator'!A:A,0),0),0)</f>
        <v>0</v>
      </c>
      <c r="K3195" s="455">
        <f t="shared" ca="1" si="143"/>
        <v>-1016840256.074289</v>
      </c>
      <c r="L3195" s="455">
        <f t="shared" ca="1" si="144"/>
        <v>-245058501713.90363</v>
      </c>
      <c r="M3195" s="471">
        <f t="shared" si="146"/>
        <v>0.05</v>
      </c>
      <c r="N3195" s="475">
        <f t="shared" si="147"/>
        <v>148290</v>
      </c>
    </row>
    <row r="3196" spans="7:14" ht="11.25" customHeight="1" x14ac:dyDescent="0.3">
      <c r="G3196" s="470"/>
      <c r="H3196" s="470">
        <v>3189</v>
      </c>
      <c r="I3196" s="455">
        <f t="shared" ca="1" si="145"/>
        <v>-245058501713.90363</v>
      </c>
      <c r="J3196" s="455">
        <f t="array" ref="J3196">IFERROR(INDEX('Retirement Calculator'!K:K,MATCH('Lorri 401b'!N3196,'Retirement Calculator'!A:A,0),0),0)</f>
        <v>0</v>
      </c>
      <c r="K3196" s="455">
        <f t="shared" ca="1" si="143"/>
        <v>-1021077090.4745983</v>
      </c>
      <c r="L3196" s="455">
        <f t="shared" ca="1" si="144"/>
        <v>-246079578804.37823</v>
      </c>
      <c r="M3196" s="471">
        <f t="shared" si="146"/>
        <v>0.05</v>
      </c>
      <c r="N3196" s="475">
        <f t="shared" si="147"/>
        <v>148321</v>
      </c>
    </row>
    <row r="3197" spans="7:14" ht="11.25" customHeight="1" x14ac:dyDescent="0.3">
      <c r="G3197" s="470"/>
      <c r="H3197" s="470">
        <v>3190</v>
      </c>
      <c r="I3197" s="455">
        <f t="shared" ca="1" si="145"/>
        <v>-246079578804.37823</v>
      </c>
      <c r="J3197" s="455">
        <f t="array" ref="J3197">IFERROR(INDEX('Retirement Calculator'!K:K,MATCH('Lorri 401b'!N3197,'Retirement Calculator'!A:A,0),0),0)</f>
        <v>0</v>
      </c>
      <c r="K3197" s="455">
        <f t="shared" ca="1" si="143"/>
        <v>-1025331578.351576</v>
      </c>
      <c r="L3197" s="455">
        <f t="shared" ca="1" si="144"/>
        <v>-247104910382.7298</v>
      </c>
      <c r="M3197" s="471">
        <f t="shared" si="146"/>
        <v>0.05</v>
      </c>
      <c r="N3197" s="475">
        <f t="shared" si="147"/>
        <v>148349</v>
      </c>
    </row>
    <row r="3198" spans="7:14" ht="11.25" customHeight="1" x14ac:dyDescent="0.3">
      <c r="G3198" s="470"/>
      <c r="H3198" s="470">
        <v>3191</v>
      </c>
      <c r="I3198" s="455">
        <f t="shared" ca="1" si="145"/>
        <v>-247104910382.7298</v>
      </c>
      <c r="J3198" s="455">
        <f t="array" ref="J3198">IFERROR(INDEX('Retirement Calculator'!K:K,MATCH('Lorri 401b'!N3198,'Retirement Calculator'!A:A,0),0),0)</f>
        <v>0</v>
      </c>
      <c r="K3198" s="455">
        <f t="shared" ca="1" si="143"/>
        <v>-1029603793.2613741</v>
      </c>
      <c r="L3198" s="455">
        <f t="shared" ca="1" si="144"/>
        <v>-248134514175.99118</v>
      </c>
      <c r="M3198" s="471">
        <f t="shared" si="146"/>
        <v>0.05</v>
      </c>
      <c r="N3198" s="475">
        <f t="shared" si="147"/>
        <v>148380</v>
      </c>
    </row>
    <row r="3199" spans="7:14" ht="11.25" customHeight="1" x14ac:dyDescent="0.3">
      <c r="G3199" s="470"/>
      <c r="H3199" s="470">
        <v>3192</v>
      </c>
      <c r="I3199" s="455">
        <f t="shared" ca="1" si="145"/>
        <v>-248134514175.99118</v>
      </c>
      <c r="J3199" s="455">
        <f t="array" ref="J3199">IFERROR(INDEX('Retirement Calculator'!K:K,MATCH('Lorri 401b'!N3199,'Retirement Calculator'!A:A,0),0),0)</f>
        <v>0</v>
      </c>
      <c r="K3199" s="455">
        <f t="shared" ca="1" si="143"/>
        <v>-1033893809.0666299</v>
      </c>
      <c r="L3199" s="455">
        <f t="shared" ca="1" si="144"/>
        <v>-249168407985.0578</v>
      </c>
      <c r="M3199" s="471">
        <f t="shared" si="146"/>
        <v>0.05</v>
      </c>
      <c r="N3199" s="475">
        <f t="shared" si="147"/>
        <v>148410</v>
      </c>
    </row>
    <row r="3200" spans="7:14" ht="11.25" customHeight="1" x14ac:dyDescent="0.3">
      <c r="G3200" s="470"/>
      <c r="H3200" s="470">
        <v>3193</v>
      </c>
      <c r="I3200" s="455">
        <f t="shared" ca="1" si="145"/>
        <v>-249168407985.0578</v>
      </c>
      <c r="J3200" s="455">
        <f t="array" ref="J3200">IFERROR(INDEX('Retirement Calculator'!K:K,MATCH('Lorri 401b'!N3200,'Retirement Calculator'!A:A,0),0),0)</f>
        <v>0</v>
      </c>
      <c r="K3200" s="455">
        <f t="shared" ca="1" si="143"/>
        <v>-1038201699.9377408</v>
      </c>
      <c r="L3200" s="455">
        <f t="shared" ca="1" si="144"/>
        <v>-250206609684.99554</v>
      </c>
      <c r="M3200" s="471">
        <f t="shared" si="146"/>
        <v>0.05</v>
      </c>
      <c r="N3200" s="475">
        <f t="shared" si="147"/>
        <v>148441</v>
      </c>
    </row>
    <row r="3201" spans="7:14" ht="11.25" customHeight="1" x14ac:dyDescent="0.3">
      <c r="G3201" s="470"/>
      <c r="H3201" s="470">
        <v>3194</v>
      </c>
      <c r="I3201" s="455">
        <f t="shared" ca="1" si="145"/>
        <v>-250206609684.99554</v>
      </c>
      <c r="J3201" s="455">
        <f t="array" ref="J3201">IFERROR(INDEX('Retirement Calculator'!K:K,MATCH('Lorri 401b'!N3201,'Retirement Calculator'!A:A,0),0),0)</f>
        <v>0</v>
      </c>
      <c r="K3201" s="455">
        <f t="shared" ca="1" si="143"/>
        <v>-1042527540.3541479</v>
      </c>
      <c r="L3201" s="455">
        <f t="shared" ca="1" si="144"/>
        <v>-251249137225.3497</v>
      </c>
      <c r="M3201" s="471">
        <f t="shared" si="146"/>
        <v>0.05</v>
      </c>
      <c r="N3201" s="475">
        <f t="shared" si="147"/>
        <v>148471</v>
      </c>
    </row>
    <row r="3202" spans="7:14" ht="11.25" customHeight="1" x14ac:dyDescent="0.3">
      <c r="G3202" s="470"/>
      <c r="H3202" s="470">
        <v>3195</v>
      </c>
      <c r="I3202" s="455">
        <f t="shared" ca="1" si="145"/>
        <v>-251249137225.3497</v>
      </c>
      <c r="J3202" s="455">
        <f t="array" ref="J3202">IFERROR(INDEX('Retirement Calculator'!K:K,MATCH('Lorri 401b'!N3202,'Retirement Calculator'!A:A,0),0),0)</f>
        <v>0</v>
      </c>
      <c r="K3202" s="455">
        <f t="shared" ca="1" si="143"/>
        <v>-1046871405.1056237</v>
      </c>
      <c r="L3202" s="455">
        <f t="shared" ca="1" si="144"/>
        <v>-252296008630.45532</v>
      </c>
      <c r="M3202" s="471">
        <f t="shared" si="146"/>
        <v>0.05</v>
      </c>
      <c r="N3202" s="475">
        <f t="shared" si="147"/>
        <v>148502</v>
      </c>
    </row>
    <row r="3203" spans="7:14" ht="11.25" customHeight="1" x14ac:dyDescent="0.3">
      <c r="G3203" s="470"/>
      <c r="H3203" s="470">
        <v>3196</v>
      </c>
      <c r="I3203" s="455">
        <f t="shared" ca="1" si="145"/>
        <v>-252296008630.45532</v>
      </c>
      <c r="J3203" s="455">
        <f t="array" ref="J3203">IFERROR(INDEX('Retirement Calculator'!K:K,MATCH('Lorri 401b'!N3203,'Retirement Calculator'!A:A,0),0),0)</f>
        <v>0</v>
      </c>
      <c r="K3203" s="455">
        <f t="shared" ca="1" si="143"/>
        <v>-1051233369.293564</v>
      </c>
      <c r="L3203" s="455">
        <f t="shared" ca="1" si="144"/>
        <v>-253347241999.7489</v>
      </c>
      <c r="M3203" s="471">
        <f t="shared" si="146"/>
        <v>0.05</v>
      </c>
      <c r="N3203" s="475">
        <f t="shared" si="147"/>
        <v>148533</v>
      </c>
    </row>
    <row r="3204" spans="7:14" ht="11.25" customHeight="1" x14ac:dyDescent="0.3">
      <c r="G3204" s="470"/>
      <c r="H3204" s="470">
        <v>3197</v>
      </c>
      <c r="I3204" s="455">
        <f t="shared" ca="1" si="145"/>
        <v>-253347241999.7489</v>
      </c>
      <c r="J3204" s="455">
        <f t="array" ref="J3204">IFERROR(INDEX('Retirement Calculator'!K:K,MATCH('Lorri 401b'!N3204,'Retirement Calculator'!A:A,0),0),0)</f>
        <v>0</v>
      </c>
      <c r="K3204" s="455">
        <f t="shared" ca="1" si="143"/>
        <v>-1055613508.3322871</v>
      </c>
      <c r="L3204" s="455">
        <f t="shared" ca="1" si="144"/>
        <v>-254402855508.08118</v>
      </c>
      <c r="M3204" s="471">
        <f t="shared" si="146"/>
        <v>0.05</v>
      </c>
      <c r="N3204" s="475">
        <f t="shared" si="147"/>
        <v>148563</v>
      </c>
    </row>
    <row r="3205" spans="7:14" ht="11.25" customHeight="1" x14ac:dyDescent="0.3">
      <c r="G3205" s="470"/>
      <c r="H3205" s="470">
        <v>3198</v>
      </c>
      <c r="I3205" s="455">
        <f t="shared" ca="1" si="145"/>
        <v>-254402855508.08118</v>
      </c>
      <c r="J3205" s="455">
        <f t="array" ref="J3205">IFERROR(INDEX('Retirement Calculator'!K:K,MATCH('Lorri 401b'!N3205,'Retirement Calculator'!A:A,0),0),0)</f>
        <v>0</v>
      </c>
      <c r="K3205" s="455">
        <f t="shared" ca="1" si="143"/>
        <v>-1060011897.9503382</v>
      </c>
      <c r="L3205" s="455">
        <f t="shared" ca="1" si="144"/>
        <v>-255462867406.03152</v>
      </c>
      <c r="M3205" s="471">
        <f t="shared" si="146"/>
        <v>0.05</v>
      </c>
      <c r="N3205" s="475">
        <f t="shared" si="147"/>
        <v>148594</v>
      </c>
    </row>
    <row r="3206" spans="7:14" ht="11.25" customHeight="1" x14ac:dyDescent="0.3">
      <c r="G3206" s="470"/>
      <c r="H3206" s="470">
        <v>3199</v>
      </c>
      <c r="I3206" s="455">
        <f t="shared" ca="1" si="145"/>
        <v>-255462867406.03152</v>
      </c>
      <c r="J3206" s="455">
        <f t="array" ref="J3206">IFERROR(INDEX('Retirement Calculator'!K:K,MATCH('Lorri 401b'!N3206,'Retirement Calculator'!A:A,0),0),0)</f>
        <v>0</v>
      </c>
      <c r="K3206" s="455">
        <f t="shared" ca="1" si="143"/>
        <v>-1064428614.1917981</v>
      </c>
      <c r="L3206" s="455">
        <f t="shared" ca="1" si="144"/>
        <v>-256527296020.22333</v>
      </c>
      <c r="M3206" s="471">
        <f t="shared" si="146"/>
        <v>0.05</v>
      </c>
      <c r="N3206" s="475">
        <f t="shared" si="147"/>
        <v>148624</v>
      </c>
    </row>
    <row r="3207" spans="7:14" ht="11.25" customHeight="1" x14ac:dyDescent="0.3">
      <c r="G3207" s="470"/>
      <c r="H3207" s="470">
        <v>3200</v>
      </c>
      <c r="I3207" s="455">
        <f t="shared" ca="1" si="145"/>
        <v>-256527296020.22333</v>
      </c>
      <c r="J3207" s="455">
        <f t="array" ref="J3207">IFERROR(INDEX('Retirement Calculator'!K:K,MATCH('Lorri 401b'!N3207,'Retirement Calculator'!A:A,0),0),0)</f>
        <v>0</v>
      </c>
      <c r="K3207" s="455">
        <f t="shared" ca="1" si="143"/>
        <v>-1068863733.4175972</v>
      </c>
      <c r="L3207" s="455">
        <f t="shared" ca="1" si="144"/>
        <v>-257596159753.64093</v>
      </c>
      <c r="M3207" s="471">
        <f t="shared" si="146"/>
        <v>0.05</v>
      </c>
      <c r="N3207" s="475">
        <f t="shared" si="147"/>
        <v>148655</v>
      </c>
    </row>
    <row r="3208" spans="7:14" ht="11.25" customHeight="1" x14ac:dyDescent="0.3">
      <c r="G3208" s="470"/>
      <c r="H3208" s="470">
        <v>3201</v>
      </c>
      <c r="I3208" s="455">
        <f t="shared" ca="1" si="145"/>
        <v>-257596159753.64093</v>
      </c>
      <c r="J3208" s="455">
        <f t="array" ref="J3208">IFERROR(INDEX('Retirement Calculator'!K:K,MATCH('Lorri 401b'!N3208,'Retirement Calculator'!A:A,0),0),0)</f>
        <v>0</v>
      </c>
      <c r="K3208" s="455">
        <f t="shared" ca="1" si="143"/>
        <v>-1073317332.3068371</v>
      </c>
      <c r="L3208" s="455">
        <f t="shared" ca="1" si="144"/>
        <v>-258669477085.94775</v>
      </c>
      <c r="M3208" s="471">
        <f t="shared" si="146"/>
        <v>0.05</v>
      </c>
      <c r="N3208" s="475">
        <f t="shared" si="147"/>
        <v>148686</v>
      </c>
    </row>
    <row r="3209" spans="7:14" ht="11.25" customHeight="1" x14ac:dyDescent="0.3">
      <c r="G3209" s="470"/>
      <c r="H3209" s="470">
        <v>3202</v>
      </c>
      <c r="I3209" s="455">
        <f t="shared" ca="1" si="145"/>
        <v>-258669477085.94775</v>
      </c>
      <c r="J3209" s="455">
        <f t="array" ref="J3209">IFERROR(INDEX('Retirement Calculator'!K:K,MATCH('Lorri 401b'!N3209,'Retirement Calculator'!A:A,0),0),0)</f>
        <v>0</v>
      </c>
      <c r="K3209" s="455">
        <f t="shared" ca="1" si="143"/>
        <v>-1077789487.8581154</v>
      </c>
      <c r="L3209" s="455">
        <f t="shared" ca="1" si="144"/>
        <v>-259747266573.80588</v>
      </c>
      <c r="M3209" s="471">
        <f t="shared" si="146"/>
        <v>0.05</v>
      </c>
      <c r="N3209" s="475">
        <f t="shared" si="147"/>
        <v>148714</v>
      </c>
    </row>
    <row r="3210" spans="7:14" ht="11.25" customHeight="1" x14ac:dyDescent="0.3">
      <c r="G3210" s="470"/>
      <c r="H3210" s="470">
        <v>3203</v>
      </c>
      <c r="I3210" s="455">
        <f t="shared" ca="1" si="145"/>
        <v>-259747266573.80588</v>
      </c>
      <c r="J3210" s="455">
        <f t="array" ref="J3210">IFERROR(INDEX('Retirement Calculator'!K:K,MATCH('Lorri 401b'!N3210,'Retirement Calculator'!A:A,0),0),0)</f>
        <v>0</v>
      </c>
      <c r="K3210" s="455">
        <f t="shared" ca="1" si="143"/>
        <v>-1082280277.3908577</v>
      </c>
      <c r="L3210" s="455">
        <f t="shared" ca="1" si="144"/>
        <v>-260829546851.19675</v>
      </c>
      <c r="M3210" s="471">
        <f t="shared" si="146"/>
        <v>0.05</v>
      </c>
      <c r="N3210" s="475">
        <f t="shared" si="147"/>
        <v>148745</v>
      </c>
    </row>
    <row r="3211" spans="7:14" ht="11.25" customHeight="1" x14ac:dyDescent="0.3">
      <c r="G3211" s="470"/>
      <c r="H3211" s="470">
        <v>3204</v>
      </c>
      <c r="I3211" s="455">
        <f t="shared" ca="1" si="145"/>
        <v>-260829546851.19675</v>
      </c>
      <c r="J3211" s="455">
        <f t="array" ref="J3211">IFERROR(INDEX('Retirement Calculator'!K:K,MATCH('Lorri 401b'!N3211,'Retirement Calculator'!A:A,0),0),0)</f>
        <v>0</v>
      </c>
      <c r="K3211" s="455">
        <f t="shared" ca="1" si="143"/>
        <v>-1086789778.546653</v>
      </c>
      <c r="L3211" s="455">
        <f t="shared" ca="1" si="144"/>
        <v>-261916336629.74341</v>
      </c>
      <c r="M3211" s="471">
        <f t="shared" si="146"/>
        <v>0.05</v>
      </c>
      <c r="N3211" s="475">
        <f t="shared" si="147"/>
        <v>148775</v>
      </c>
    </row>
    <row r="3212" spans="7:14" ht="11.25" customHeight="1" x14ac:dyDescent="0.3">
      <c r="G3212" s="470"/>
      <c r="H3212" s="470">
        <v>3205</v>
      </c>
      <c r="I3212" s="455">
        <f t="shared" ca="1" si="145"/>
        <v>-261916336629.74341</v>
      </c>
      <c r="J3212" s="455">
        <f t="array" ref="J3212">IFERROR(INDEX('Retirement Calculator'!K:K,MATCH('Lorri 401b'!N3212,'Retirement Calculator'!A:A,0),0),0)</f>
        <v>0</v>
      </c>
      <c r="K3212" s="455">
        <f t="shared" ca="1" si="143"/>
        <v>-1091318069.2905974</v>
      </c>
      <c r="L3212" s="455">
        <f t="shared" ca="1" si="144"/>
        <v>-263007654699.034</v>
      </c>
      <c r="M3212" s="471">
        <f t="shared" si="146"/>
        <v>0.05</v>
      </c>
      <c r="N3212" s="475">
        <f t="shared" si="147"/>
        <v>148806</v>
      </c>
    </row>
    <row r="3213" spans="7:14" ht="11.25" customHeight="1" x14ac:dyDescent="0.3">
      <c r="G3213" s="470"/>
      <c r="H3213" s="470">
        <v>3206</v>
      </c>
      <c r="I3213" s="455">
        <f t="shared" ca="1" si="145"/>
        <v>-263007654699.034</v>
      </c>
      <c r="J3213" s="455">
        <f t="array" ref="J3213">IFERROR(INDEX('Retirement Calculator'!K:K,MATCH('Lorri 401b'!N3213,'Retirement Calculator'!A:A,0),0),0)</f>
        <v>0</v>
      </c>
      <c r="K3213" s="455">
        <f t="shared" ca="1" si="143"/>
        <v>-1095865227.9126415</v>
      </c>
      <c r="L3213" s="455">
        <f t="shared" ca="1" si="144"/>
        <v>-264103519926.94662</v>
      </c>
      <c r="M3213" s="471">
        <f t="shared" si="146"/>
        <v>0.05</v>
      </c>
      <c r="N3213" s="475">
        <f t="shared" si="147"/>
        <v>148836</v>
      </c>
    </row>
    <row r="3214" spans="7:14" ht="11.25" customHeight="1" x14ac:dyDescent="0.3">
      <c r="G3214" s="470"/>
      <c r="H3214" s="470">
        <v>3207</v>
      </c>
      <c r="I3214" s="455">
        <f t="shared" ca="1" si="145"/>
        <v>-264103519926.94662</v>
      </c>
      <c r="J3214" s="455">
        <f t="array" ref="J3214">IFERROR(INDEX('Retirement Calculator'!K:K,MATCH('Lorri 401b'!N3214,'Retirement Calculator'!A:A,0),0),0)</f>
        <v>0</v>
      </c>
      <c r="K3214" s="455">
        <f t="shared" ca="1" si="143"/>
        <v>-1100431333.0289443</v>
      </c>
      <c r="L3214" s="455">
        <f t="shared" ca="1" si="144"/>
        <v>-265203951259.97556</v>
      </c>
      <c r="M3214" s="471">
        <f t="shared" si="146"/>
        <v>0.05</v>
      </c>
      <c r="N3214" s="475">
        <f t="shared" si="147"/>
        <v>148867</v>
      </c>
    </row>
    <row r="3215" spans="7:14" ht="11.25" customHeight="1" x14ac:dyDescent="0.3">
      <c r="G3215" s="470"/>
      <c r="H3215" s="470">
        <v>3208</v>
      </c>
      <c r="I3215" s="455">
        <f t="shared" ca="1" si="145"/>
        <v>-265203951259.97556</v>
      </c>
      <c r="J3215" s="455">
        <f t="array" ref="J3215">IFERROR(INDEX('Retirement Calculator'!K:K,MATCH('Lorri 401b'!N3215,'Retirement Calculator'!A:A,0),0),0)</f>
        <v>0</v>
      </c>
      <c r="K3215" s="455">
        <f t="shared" ca="1" si="143"/>
        <v>-1105016463.5832317</v>
      </c>
      <c r="L3215" s="455">
        <f t="shared" ca="1" si="144"/>
        <v>-266308967723.55878</v>
      </c>
      <c r="M3215" s="471">
        <f t="shared" si="146"/>
        <v>0.05</v>
      </c>
      <c r="N3215" s="475">
        <f t="shared" si="147"/>
        <v>148898</v>
      </c>
    </row>
    <row r="3216" spans="7:14" ht="11.25" customHeight="1" x14ac:dyDescent="0.3">
      <c r="G3216" s="470"/>
      <c r="H3216" s="470">
        <v>3209</v>
      </c>
      <c r="I3216" s="455">
        <f t="shared" ca="1" si="145"/>
        <v>-266308967723.55878</v>
      </c>
      <c r="J3216" s="455">
        <f t="array" ref="J3216">IFERROR(INDEX('Retirement Calculator'!K:K,MATCH('Lorri 401b'!N3216,'Retirement Calculator'!A:A,0),0),0)</f>
        <v>0</v>
      </c>
      <c r="K3216" s="455">
        <f t="shared" ca="1" si="143"/>
        <v>-1109620698.8481615</v>
      </c>
      <c r="L3216" s="455">
        <f t="shared" ca="1" si="144"/>
        <v>-267418588422.40695</v>
      </c>
      <c r="M3216" s="471">
        <f t="shared" si="146"/>
        <v>0.05</v>
      </c>
      <c r="N3216" s="475">
        <f t="shared" si="147"/>
        <v>148928</v>
      </c>
    </row>
    <row r="3217" spans="7:14" ht="11.25" customHeight="1" x14ac:dyDescent="0.3">
      <c r="G3217" s="470"/>
      <c r="H3217" s="470">
        <v>3210</v>
      </c>
      <c r="I3217" s="455">
        <f t="shared" ca="1" si="145"/>
        <v>-267418588422.40695</v>
      </c>
      <c r="J3217" s="455">
        <f t="array" ref="J3217">IFERROR(INDEX('Retirement Calculator'!K:K,MATCH('Lorri 401b'!N3217,'Retirement Calculator'!A:A,0),0),0)</f>
        <v>0</v>
      </c>
      <c r="K3217" s="455">
        <f t="shared" ca="1" si="143"/>
        <v>-1114244118.4266956</v>
      </c>
      <c r="L3217" s="455">
        <f t="shared" ca="1" si="144"/>
        <v>-268532832540.83365</v>
      </c>
      <c r="M3217" s="471">
        <f t="shared" si="146"/>
        <v>0.05</v>
      </c>
      <c r="N3217" s="475">
        <f t="shared" si="147"/>
        <v>148959</v>
      </c>
    </row>
    <row r="3218" spans="7:14" ht="11.25" customHeight="1" x14ac:dyDescent="0.3">
      <c r="G3218" s="470"/>
      <c r="H3218" s="470">
        <v>3211</v>
      </c>
      <c r="I3218" s="455">
        <f t="shared" ca="1" si="145"/>
        <v>-268532832540.83365</v>
      </c>
      <c r="J3218" s="455">
        <f t="array" ref="J3218">IFERROR(INDEX('Retirement Calculator'!K:K,MATCH('Lorri 401b'!N3218,'Retirement Calculator'!A:A,0),0),0)</f>
        <v>0</v>
      </c>
      <c r="K3218" s="455">
        <f t="shared" ca="1" si="143"/>
        <v>-1118886802.2534735</v>
      </c>
      <c r="L3218" s="455">
        <f t="shared" ca="1" si="144"/>
        <v>-269651719343.08713</v>
      </c>
      <c r="M3218" s="471">
        <f t="shared" si="146"/>
        <v>0.05</v>
      </c>
      <c r="N3218" s="475">
        <f t="shared" si="147"/>
        <v>148989</v>
      </c>
    </row>
    <row r="3219" spans="7:14" ht="11.25" customHeight="1" x14ac:dyDescent="0.3">
      <c r="G3219" s="470"/>
      <c r="H3219" s="470">
        <v>3212</v>
      </c>
      <c r="I3219" s="455">
        <f t="shared" ca="1" si="145"/>
        <v>-269651719343.08713</v>
      </c>
      <c r="J3219" s="455">
        <f t="array" ref="J3219">IFERROR(INDEX('Retirement Calculator'!K:K,MATCH('Lorri 401b'!N3219,'Retirement Calculator'!A:A,0),0),0)</f>
        <v>0</v>
      </c>
      <c r="K3219" s="455">
        <f t="shared" ca="1" si="143"/>
        <v>-1123548830.5961962</v>
      </c>
      <c r="L3219" s="455">
        <f t="shared" ca="1" si="144"/>
        <v>-270775268173.68332</v>
      </c>
      <c r="M3219" s="471">
        <f t="shared" si="146"/>
        <v>0.05</v>
      </c>
      <c r="N3219" s="475">
        <f t="shared" si="147"/>
        <v>149020</v>
      </c>
    </row>
    <row r="3220" spans="7:14" ht="11.25" customHeight="1" x14ac:dyDescent="0.3">
      <c r="G3220" s="470"/>
      <c r="H3220" s="470">
        <v>3213</v>
      </c>
      <c r="I3220" s="455">
        <f t="shared" ca="1" si="145"/>
        <v>-270775268173.68332</v>
      </c>
      <c r="J3220" s="455">
        <f t="array" ref="J3220">IFERROR(INDEX('Retirement Calculator'!K:K,MATCH('Lorri 401b'!N3220,'Retirement Calculator'!A:A,0),0),0)</f>
        <v>0</v>
      </c>
      <c r="K3220" s="455">
        <f t="shared" ca="1" si="143"/>
        <v>-1128230284.0570138</v>
      </c>
      <c r="L3220" s="455">
        <f t="shared" ca="1" si="144"/>
        <v>-271903498457.74033</v>
      </c>
      <c r="M3220" s="471">
        <f t="shared" si="146"/>
        <v>0.05</v>
      </c>
      <c r="N3220" s="475">
        <f t="shared" si="147"/>
        <v>149051</v>
      </c>
    </row>
    <row r="3221" spans="7:14" ht="11.25" customHeight="1" x14ac:dyDescent="0.3">
      <c r="G3221" s="470"/>
      <c r="H3221" s="470">
        <v>3214</v>
      </c>
      <c r="I3221" s="455">
        <f t="shared" ca="1" si="145"/>
        <v>-271903498457.74033</v>
      </c>
      <c r="J3221" s="455">
        <f t="array" ref="J3221">IFERROR(INDEX('Retirement Calculator'!K:K,MATCH('Lorri 401b'!N3221,'Retirement Calculator'!A:A,0),0),0)</f>
        <v>0</v>
      </c>
      <c r="K3221" s="455">
        <f t="shared" ca="1" si="143"/>
        <v>-1132931243.5739181</v>
      </c>
      <c r="L3221" s="455">
        <f t="shared" ca="1" si="144"/>
        <v>-273036429701.31424</v>
      </c>
      <c r="M3221" s="471">
        <f t="shared" si="146"/>
        <v>0.05</v>
      </c>
      <c r="N3221" s="475">
        <f t="shared" si="147"/>
        <v>149080</v>
      </c>
    </row>
    <row r="3222" spans="7:14" ht="11.25" customHeight="1" x14ac:dyDescent="0.3">
      <c r="G3222" s="470"/>
      <c r="H3222" s="470">
        <v>3215</v>
      </c>
      <c r="I3222" s="455">
        <f t="shared" ca="1" si="145"/>
        <v>-273036429701.31424</v>
      </c>
      <c r="J3222" s="455">
        <f t="array" ref="J3222">IFERROR(INDEX('Retirement Calculator'!K:K,MATCH('Lorri 401b'!N3222,'Retirement Calculator'!A:A,0),0),0)</f>
        <v>0</v>
      </c>
      <c r="K3222" s="455">
        <f t="shared" ca="1" si="143"/>
        <v>-1137651790.4221427</v>
      </c>
      <c r="L3222" s="455">
        <f t="shared" ca="1" si="144"/>
        <v>-274174081491.73639</v>
      </c>
      <c r="M3222" s="471">
        <f t="shared" si="146"/>
        <v>0.05</v>
      </c>
      <c r="N3222" s="475">
        <f t="shared" si="147"/>
        <v>149111</v>
      </c>
    </row>
    <row r="3223" spans="7:14" ht="11.25" customHeight="1" x14ac:dyDescent="0.3">
      <c r="G3223" s="470"/>
      <c r="H3223" s="470">
        <v>3216</v>
      </c>
      <c r="I3223" s="455">
        <f t="shared" ca="1" si="145"/>
        <v>-274174081491.73639</v>
      </c>
      <c r="J3223" s="455">
        <f t="array" ref="J3223">IFERROR(INDEX('Retirement Calculator'!K:K,MATCH('Lorri 401b'!N3223,'Retirement Calculator'!A:A,0),0),0)</f>
        <v>0</v>
      </c>
      <c r="K3223" s="455">
        <f t="shared" ca="1" si="143"/>
        <v>-1142392006.2155683</v>
      </c>
      <c r="L3223" s="455">
        <f t="shared" ca="1" si="144"/>
        <v>-275316473497.95197</v>
      </c>
      <c r="M3223" s="471">
        <f t="shared" si="146"/>
        <v>0.05</v>
      </c>
      <c r="N3223" s="475">
        <f t="shared" si="147"/>
        <v>149141</v>
      </c>
    </row>
    <row r="3224" spans="7:14" ht="11.25" customHeight="1" x14ac:dyDescent="0.3">
      <c r="G3224" s="470"/>
      <c r="H3224" s="470">
        <v>3217</v>
      </c>
      <c r="I3224" s="455">
        <f t="shared" ca="1" si="145"/>
        <v>-275316473497.95197</v>
      </c>
      <c r="J3224" s="455">
        <f t="array" ref="J3224">IFERROR(INDEX('Retirement Calculator'!K:K,MATCH('Lorri 401b'!N3224,'Retirement Calculator'!A:A,0),0),0)</f>
        <v>0</v>
      </c>
      <c r="K3224" s="455">
        <f t="shared" ca="1" si="143"/>
        <v>-1147151972.9081333</v>
      </c>
      <c r="L3224" s="455">
        <f t="shared" ca="1" si="144"/>
        <v>-276463625470.86011</v>
      </c>
      <c r="M3224" s="471">
        <f t="shared" si="146"/>
        <v>0.05</v>
      </c>
      <c r="N3224" s="475">
        <f t="shared" si="147"/>
        <v>149172</v>
      </c>
    </row>
    <row r="3225" spans="7:14" ht="11.25" customHeight="1" x14ac:dyDescent="0.3">
      <c r="G3225" s="470"/>
      <c r="H3225" s="470">
        <v>3218</v>
      </c>
      <c r="I3225" s="455">
        <f t="shared" ca="1" si="145"/>
        <v>-276463625470.86011</v>
      </c>
      <c r="J3225" s="455">
        <f t="array" ref="J3225">IFERROR(INDEX('Retirement Calculator'!K:K,MATCH('Lorri 401b'!N3225,'Retirement Calculator'!A:A,0),0),0)</f>
        <v>0</v>
      </c>
      <c r="K3225" s="455">
        <f t="shared" ca="1" si="143"/>
        <v>-1151931772.7952504</v>
      </c>
      <c r="L3225" s="455">
        <f t="shared" ca="1" si="144"/>
        <v>-277615557243.65533</v>
      </c>
      <c r="M3225" s="471">
        <f t="shared" si="146"/>
        <v>0.05</v>
      </c>
      <c r="N3225" s="475">
        <f t="shared" si="147"/>
        <v>149202</v>
      </c>
    </row>
    <row r="3226" spans="7:14" ht="11.25" customHeight="1" x14ac:dyDescent="0.3">
      <c r="G3226" s="470"/>
      <c r="H3226" s="470">
        <v>3219</v>
      </c>
      <c r="I3226" s="455">
        <f t="shared" ca="1" si="145"/>
        <v>-277615557243.65533</v>
      </c>
      <c r="J3226" s="455">
        <f t="array" ref="J3226">IFERROR(INDEX('Retirement Calculator'!K:K,MATCH('Lorri 401b'!N3226,'Retirement Calculator'!A:A,0),0),0)</f>
        <v>0</v>
      </c>
      <c r="K3226" s="455">
        <f t="shared" ca="1" si="143"/>
        <v>-1156731488.5152307</v>
      </c>
      <c r="L3226" s="455">
        <f t="shared" ca="1" si="144"/>
        <v>-278772288732.17059</v>
      </c>
      <c r="M3226" s="471">
        <f t="shared" si="146"/>
        <v>0.05</v>
      </c>
      <c r="N3226" s="475">
        <f t="shared" si="147"/>
        <v>149233</v>
      </c>
    </row>
    <row r="3227" spans="7:14" ht="11.25" customHeight="1" x14ac:dyDescent="0.3">
      <c r="G3227" s="470"/>
      <c r="H3227" s="470">
        <v>3220</v>
      </c>
      <c r="I3227" s="455">
        <f t="shared" ca="1" si="145"/>
        <v>-278772288732.17059</v>
      </c>
      <c r="J3227" s="455">
        <f t="array" ref="J3227">IFERROR(INDEX('Retirement Calculator'!K:K,MATCH('Lorri 401b'!N3227,'Retirement Calculator'!A:A,0),0),0)</f>
        <v>0</v>
      </c>
      <c r="K3227" s="455">
        <f t="shared" ca="1" si="143"/>
        <v>-1161551203.0507107</v>
      </c>
      <c r="L3227" s="455">
        <f t="shared" ca="1" si="144"/>
        <v>-279933839935.22131</v>
      </c>
      <c r="M3227" s="471">
        <f t="shared" si="146"/>
        <v>0.05</v>
      </c>
      <c r="N3227" s="475">
        <f t="shared" si="147"/>
        <v>149264</v>
      </c>
    </row>
    <row r="3228" spans="7:14" ht="11.25" customHeight="1" x14ac:dyDescent="0.3">
      <c r="G3228" s="470"/>
      <c r="H3228" s="470">
        <v>3221</v>
      </c>
      <c r="I3228" s="455">
        <f t="shared" ca="1" si="145"/>
        <v>-279933839935.22131</v>
      </c>
      <c r="J3228" s="455">
        <f t="array" ref="J3228">IFERROR(INDEX('Retirement Calculator'!K:K,MATCH('Lorri 401b'!N3228,'Retirement Calculator'!A:A,0),0),0)</f>
        <v>0</v>
      </c>
      <c r="K3228" s="455">
        <f t="shared" ca="1" si="143"/>
        <v>-1166390999.7300887</v>
      </c>
      <c r="L3228" s="455">
        <f t="shared" ca="1" si="144"/>
        <v>-281100230934.95142</v>
      </c>
      <c r="M3228" s="471">
        <f t="shared" si="146"/>
        <v>0.05</v>
      </c>
      <c r="N3228" s="475">
        <f t="shared" si="147"/>
        <v>149294</v>
      </c>
    </row>
    <row r="3229" spans="7:14" ht="11.25" customHeight="1" x14ac:dyDescent="0.3">
      <c r="G3229" s="470"/>
      <c r="H3229" s="470">
        <v>3222</v>
      </c>
      <c r="I3229" s="455">
        <f t="shared" ca="1" si="145"/>
        <v>-281100230934.95142</v>
      </c>
      <c r="J3229" s="455">
        <f t="array" ref="J3229">IFERROR(INDEX('Retirement Calculator'!K:K,MATCH('Lorri 401b'!N3229,'Retirement Calculator'!A:A,0),0),0)</f>
        <v>0</v>
      </c>
      <c r="K3229" s="455">
        <f t="shared" ca="1" si="143"/>
        <v>-1171250962.2289643</v>
      </c>
      <c r="L3229" s="455">
        <f t="shared" ca="1" si="144"/>
        <v>-282271481897.18036</v>
      </c>
      <c r="M3229" s="471">
        <f t="shared" si="146"/>
        <v>0.05</v>
      </c>
      <c r="N3229" s="475">
        <f t="shared" si="147"/>
        <v>149325</v>
      </c>
    </row>
    <row r="3230" spans="7:14" ht="11.25" customHeight="1" x14ac:dyDescent="0.3">
      <c r="G3230" s="470"/>
      <c r="H3230" s="470">
        <v>3223</v>
      </c>
      <c r="I3230" s="455">
        <f t="shared" ca="1" si="145"/>
        <v>-282271481897.18036</v>
      </c>
      <c r="J3230" s="455">
        <f t="array" ref="J3230">IFERROR(INDEX('Retirement Calculator'!K:K,MATCH('Lorri 401b'!N3230,'Retirement Calculator'!A:A,0),0),0)</f>
        <v>0</v>
      </c>
      <c r="K3230" s="455">
        <f t="shared" ca="1" si="143"/>
        <v>-1176131174.5715847</v>
      </c>
      <c r="L3230" s="455">
        <f t="shared" ca="1" si="144"/>
        <v>-283447613071.75195</v>
      </c>
      <c r="M3230" s="471">
        <f t="shared" si="146"/>
        <v>0.05</v>
      </c>
      <c r="N3230" s="475">
        <f t="shared" si="147"/>
        <v>149355</v>
      </c>
    </row>
    <row r="3231" spans="7:14" ht="11.25" customHeight="1" x14ac:dyDescent="0.3">
      <c r="G3231" s="470"/>
      <c r="H3231" s="470">
        <v>3224</v>
      </c>
      <c r="I3231" s="455">
        <f t="shared" ca="1" si="145"/>
        <v>-283447613071.75195</v>
      </c>
      <c r="J3231" s="455">
        <f t="array" ref="J3231">IFERROR(INDEX('Retirement Calculator'!K:K,MATCH('Lorri 401b'!N3231,'Retirement Calculator'!A:A,0),0),0)</f>
        <v>0</v>
      </c>
      <c r="K3231" s="455">
        <f t="shared" ca="1" si="143"/>
        <v>-1181031721.1322999</v>
      </c>
      <c r="L3231" s="455">
        <f t="shared" ca="1" si="144"/>
        <v>-284628644792.88428</v>
      </c>
      <c r="M3231" s="471">
        <f t="shared" si="146"/>
        <v>0.05</v>
      </c>
      <c r="N3231" s="475">
        <f t="shared" si="147"/>
        <v>149386</v>
      </c>
    </row>
    <row r="3232" spans="7:14" ht="11.25" customHeight="1" x14ac:dyDescent="0.3">
      <c r="G3232" s="470"/>
      <c r="H3232" s="470">
        <v>3225</v>
      </c>
      <c r="I3232" s="455">
        <f t="shared" ca="1" si="145"/>
        <v>-284628644792.88428</v>
      </c>
      <c r="J3232" s="455">
        <f t="array" ref="J3232">IFERROR(INDEX('Retirement Calculator'!K:K,MATCH('Lorri 401b'!N3232,'Retirement Calculator'!A:A,0),0),0)</f>
        <v>0</v>
      </c>
      <c r="K3232" s="455">
        <f t="shared" ca="1" si="143"/>
        <v>-1185952686.6370177</v>
      </c>
      <c r="L3232" s="455">
        <f t="shared" ca="1" si="144"/>
        <v>-285814597479.5213</v>
      </c>
      <c r="M3232" s="471">
        <f t="shared" si="146"/>
        <v>0.05</v>
      </c>
      <c r="N3232" s="475">
        <f t="shared" si="147"/>
        <v>149417</v>
      </c>
    </row>
    <row r="3233" spans="7:14" ht="11.25" customHeight="1" x14ac:dyDescent="0.3">
      <c r="G3233" s="470"/>
      <c r="H3233" s="470">
        <v>3226</v>
      </c>
      <c r="I3233" s="455">
        <f t="shared" ca="1" si="145"/>
        <v>-285814597479.5213</v>
      </c>
      <c r="J3233" s="455">
        <f t="array" ref="J3233">IFERROR(INDEX('Retirement Calculator'!K:K,MATCH('Lorri 401b'!N3233,'Retirement Calculator'!A:A,0),0),0)</f>
        <v>0</v>
      </c>
      <c r="K3233" s="455">
        <f t="shared" ca="1" si="143"/>
        <v>-1190894156.1646721</v>
      </c>
      <c r="L3233" s="455">
        <f t="shared" ca="1" si="144"/>
        <v>-287005491635.68597</v>
      </c>
      <c r="M3233" s="471">
        <f t="shared" si="146"/>
        <v>0.05</v>
      </c>
      <c r="N3233" s="475">
        <f t="shared" si="147"/>
        <v>149445</v>
      </c>
    </row>
    <row r="3234" spans="7:14" ht="11.25" customHeight="1" x14ac:dyDescent="0.3">
      <c r="G3234" s="470"/>
      <c r="H3234" s="470">
        <v>3227</v>
      </c>
      <c r="I3234" s="455">
        <f t="shared" ca="1" si="145"/>
        <v>-287005491635.68597</v>
      </c>
      <c r="J3234" s="455">
        <f t="array" ref="J3234">IFERROR(INDEX('Retirement Calculator'!K:K,MATCH('Lorri 401b'!N3234,'Retirement Calculator'!A:A,0),0),0)</f>
        <v>0</v>
      </c>
      <c r="K3234" s="455">
        <f t="shared" ca="1" si="143"/>
        <v>-1195856215.1486917</v>
      </c>
      <c r="L3234" s="455">
        <f t="shared" ca="1" si="144"/>
        <v>-288201347850.83466</v>
      </c>
      <c r="M3234" s="471">
        <f t="shared" si="146"/>
        <v>0.05</v>
      </c>
      <c r="N3234" s="475">
        <f t="shared" si="147"/>
        <v>149476</v>
      </c>
    </row>
    <row r="3235" spans="7:14" ht="11.25" customHeight="1" x14ac:dyDescent="0.3">
      <c r="G3235" s="470"/>
      <c r="H3235" s="470">
        <v>3228</v>
      </c>
      <c r="I3235" s="455">
        <f t="shared" ca="1" si="145"/>
        <v>-288201347850.83466</v>
      </c>
      <c r="J3235" s="455">
        <f t="array" ref="J3235">IFERROR(INDEX('Retirement Calculator'!K:K,MATCH('Lorri 401b'!N3235,'Retirement Calculator'!A:A,0),0),0)</f>
        <v>0</v>
      </c>
      <c r="K3235" s="455">
        <f t="shared" ca="1" si="143"/>
        <v>-1200838949.3784778</v>
      </c>
      <c r="L3235" s="455">
        <f t="shared" ca="1" si="144"/>
        <v>-289402186800.21313</v>
      </c>
      <c r="M3235" s="471">
        <f t="shared" si="146"/>
        <v>0.05</v>
      </c>
      <c r="N3235" s="475">
        <f t="shared" si="147"/>
        <v>149506</v>
      </c>
    </row>
    <row r="3236" spans="7:14" ht="11.25" customHeight="1" x14ac:dyDescent="0.3">
      <c r="G3236" s="470"/>
      <c r="H3236" s="470">
        <v>3229</v>
      </c>
      <c r="I3236" s="455">
        <f t="shared" ca="1" si="145"/>
        <v>-289402186800.21313</v>
      </c>
      <c r="J3236" s="455">
        <f t="array" ref="J3236">IFERROR(INDEX('Retirement Calculator'!K:K,MATCH('Lorri 401b'!N3236,'Retirement Calculator'!A:A,0),0),0)</f>
        <v>0</v>
      </c>
      <c r="K3236" s="455">
        <f t="shared" ca="1" si="143"/>
        <v>-1205842445.0008881</v>
      </c>
      <c r="L3236" s="455">
        <f t="shared" ca="1" si="144"/>
        <v>-290608029245.21405</v>
      </c>
      <c r="M3236" s="471">
        <f t="shared" si="146"/>
        <v>0.05</v>
      </c>
      <c r="N3236" s="475">
        <f t="shared" si="147"/>
        <v>149537</v>
      </c>
    </row>
    <row r="3237" spans="7:14" ht="11.25" customHeight="1" x14ac:dyDescent="0.3">
      <c r="G3237" s="470"/>
      <c r="H3237" s="470">
        <v>3230</v>
      </c>
      <c r="I3237" s="455">
        <f t="shared" ca="1" si="145"/>
        <v>-290608029245.21405</v>
      </c>
      <c r="J3237" s="455">
        <f t="array" ref="J3237">IFERROR(INDEX('Retirement Calculator'!K:K,MATCH('Lorri 401b'!N3237,'Retirement Calculator'!A:A,0),0),0)</f>
        <v>0</v>
      </c>
      <c r="K3237" s="455">
        <f t="shared" ca="1" si="143"/>
        <v>-1210866788.5217252</v>
      </c>
      <c r="L3237" s="455">
        <f t="shared" ca="1" si="144"/>
        <v>-291818896033.73578</v>
      </c>
      <c r="M3237" s="471">
        <f t="shared" si="146"/>
        <v>0.05</v>
      </c>
      <c r="N3237" s="475">
        <f t="shared" si="147"/>
        <v>149567</v>
      </c>
    </row>
    <row r="3238" spans="7:14" ht="11.25" customHeight="1" x14ac:dyDescent="0.3">
      <c r="G3238" s="470"/>
      <c r="H3238" s="470">
        <v>3231</v>
      </c>
      <c r="I3238" s="455">
        <f t="shared" ca="1" si="145"/>
        <v>-291818896033.73578</v>
      </c>
      <c r="J3238" s="455">
        <f t="array" ref="J3238">IFERROR(INDEX('Retirement Calculator'!K:K,MATCH('Lorri 401b'!N3238,'Retirement Calculator'!A:A,0),0),0)</f>
        <v>0</v>
      </c>
      <c r="K3238" s="455">
        <f t="shared" ca="1" si="143"/>
        <v>-1215912066.8072324</v>
      </c>
      <c r="L3238" s="455">
        <f t="shared" ca="1" si="144"/>
        <v>-293034808100.54303</v>
      </c>
      <c r="M3238" s="471">
        <f t="shared" si="146"/>
        <v>0.05</v>
      </c>
      <c r="N3238" s="475">
        <f t="shared" si="147"/>
        <v>149598</v>
      </c>
    </row>
    <row r="3239" spans="7:14" ht="11.25" customHeight="1" x14ac:dyDescent="0.3">
      <c r="G3239" s="470"/>
      <c r="H3239" s="470">
        <v>3232</v>
      </c>
      <c r="I3239" s="455">
        <f t="shared" ca="1" si="145"/>
        <v>-293034808100.54303</v>
      </c>
      <c r="J3239" s="455">
        <f t="array" ref="J3239">IFERROR(INDEX('Retirement Calculator'!K:K,MATCH('Lorri 401b'!N3239,'Retirement Calculator'!A:A,0),0),0)</f>
        <v>0</v>
      </c>
      <c r="K3239" s="455">
        <f t="shared" ca="1" si="143"/>
        <v>-1220978367.0855958</v>
      </c>
      <c r="L3239" s="455">
        <f t="shared" ca="1" si="144"/>
        <v>-294255786467.6286</v>
      </c>
      <c r="M3239" s="471">
        <f t="shared" si="146"/>
        <v>0.05</v>
      </c>
      <c r="N3239" s="475">
        <f t="shared" si="147"/>
        <v>149629</v>
      </c>
    </row>
    <row r="3240" spans="7:14" ht="11.25" customHeight="1" x14ac:dyDescent="0.3">
      <c r="G3240" s="470"/>
      <c r="H3240" s="470">
        <v>3233</v>
      </c>
      <c r="I3240" s="455">
        <f t="shared" ca="1" si="145"/>
        <v>-294255786467.6286</v>
      </c>
      <c r="J3240" s="455">
        <f t="array" ref="J3240">IFERROR(INDEX('Retirement Calculator'!K:K,MATCH('Lorri 401b'!N3240,'Retirement Calculator'!A:A,0),0),0)</f>
        <v>0</v>
      </c>
      <c r="K3240" s="455">
        <f t="shared" ca="1" si="143"/>
        <v>-1226065776.9484525</v>
      </c>
      <c r="L3240" s="455">
        <f t="shared" ca="1" si="144"/>
        <v>-295481852244.57703</v>
      </c>
      <c r="M3240" s="471">
        <f t="shared" si="146"/>
        <v>0.05</v>
      </c>
      <c r="N3240" s="475">
        <f t="shared" si="147"/>
        <v>149659</v>
      </c>
    </row>
    <row r="3241" spans="7:14" ht="11.25" customHeight="1" x14ac:dyDescent="0.3">
      <c r="G3241" s="470"/>
      <c r="H3241" s="470">
        <v>3234</v>
      </c>
      <c r="I3241" s="455">
        <f t="shared" ca="1" si="145"/>
        <v>-295481852244.57703</v>
      </c>
      <c r="J3241" s="455">
        <f t="array" ref="J3241">IFERROR(INDEX('Retirement Calculator'!K:K,MATCH('Lorri 401b'!N3241,'Retirement Calculator'!A:A,0),0),0)</f>
        <v>0</v>
      </c>
      <c r="K3241" s="455">
        <f t="shared" ca="1" si="143"/>
        <v>-1231174384.3524044</v>
      </c>
      <c r="L3241" s="455">
        <f t="shared" ca="1" si="144"/>
        <v>-296713026628.92944</v>
      </c>
      <c r="M3241" s="471">
        <f t="shared" si="146"/>
        <v>0.05</v>
      </c>
      <c r="N3241" s="475">
        <f t="shared" si="147"/>
        <v>149690</v>
      </c>
    </row>
    <row r="3242" spans="7:14" ht="11.25" customHeight="1" x14ac:dyDescent="0.3">
      <c r="G3242" s="470"/>
      <c r="H3242" s="470">
        <v>3235</v>
      </c>
      <c r="I3242" s="455">
        <f t="shared" ca="1" si="145"/>
        <v>-296713026628.92944</v>
      </c>
      <c r="J3242" s="455">
        <f t="array" ref="J3242">IFERROR(INDEX('Retirement Calculator'!K:K,MATCH('Lorri 401b'!N3242,'Retirement Calculator'!A:A,0),0),0)</f>
        <v>0</v>
      </c>
      <c r="K3242" s="455">
        <f t="shared" ca="1" si="143"/>
        <v>-1236304277.6205394</v>
      </c>
      <c r="L3242" s="455">
        <f t="shared" ca="1" si="144"/>
        <v>-297949330906.54999</v>
      </c>
      <c r="M3242" s="471">
        <f t="shared" si="146"/>
        <v>0.05</v>
      </c>
      <c r="N3242" s="475">
        <f t="shared" si="147"/>
        <v>149720</v>
      </c>
    </row>
    <row r="3243" spans="7:14" ht="11.25" customHeight="1" x14ac:dyDescent="0.3">
      <c r="G3243" s="470"/>
      <c r="H3243" s="470">
        <v>3236</v>
      </c>
      <c r="I3243" s="455">
        <f t="shared" ca="1" si="145"/>
        <v>-297949330906.54999</v>
      </c>
      <c r="J3243" s="455">
        <f t="array" ref="J3243">IFERROR(INDEX('Retirement Calculator'!K:K,MATCH('Lorri 401b'!N3243,'Retirement Calculator'!A:A,0),0),0)</f>
        <v>0</v>
      </c>
      <c r="K3243" s="455">
        <f t="shared" ca="1" si="143"/>
        <v>-1241455545.4439583</v>
      </c>
      <c r="L3243" s="455">
        <f t="shared" ca="1" si="144"/>
        <v>-299190786451.99396</v>
      </c>
      <c r="M3243" s="471">
        <f t="shared" si="146"/>
        <v>0.05</v>
      </c>
      <c r="N3243" s="475">
        <f t="shared" si="147"/>
        <v>149751</v>
      </c>
    </row>
    <row r="3244" spans="7:14" ht="11.25" customHeight="1" x14ac:dyDescent="0.3">
      <c r="G3244" s="470"/>
      <c r="H3244" s="470">
        <v>3237</v>
      </c>
      <c r="I3244" s="455">
        <f t="shared" ca="1" si="145"/>
        <v>-299190786451.99396</v>
      </c>
      <c r="J3244" s="455">
        <f t="array" ref="J3244">IFERROR(INDEX('Retirement Calculator'!K:K,MATCH('Lorri 401b'!N3244,'Retirement Calculator'!A:A,0),0),0)</f>
        <v>0</v>
      </c>
      <c r="K3244" s="455">
        <f t="shared" ca="1" si="143"/>
        <v>-1246628276.8833082</v>
      </c>
      <c r="L3244" s="455">
        <f t="shared" ca="1" si="144"/>
        <v>-300437414728.87726</v>
      </c>
      <c r="M3244" s="471">
        <f t="shared" si="146"/>
        <v>0.05</v>
      </c>
      <c r="N3244" s="475">
        <f t="shared" si="147"/>
        <v>149782</v>
      </c>
    </row>
    <row r="3245" spans="7:14" ht="11.25" customHeight="1" x14ac:dyDescent="0.3">
      <c r="G3245" s="470"/>
      <c r="H3245" s="470">
        <v>3238</v>
      </c>
      <c r="I3245" s="455">
        <f t="shared" ca="1" si="145"/>
        <v>-300437414728.87726</v>
      </c>
      <c r="J3245" s="455">
        <f t="array" ref="J3245">IFERROR(INDEX('Retirement Calculator'!K:K,MATCH('Lorri 401b'!N3245,'Retirement Calculator'!A:A,0),0),0)</f>
        <v>0</v>
      </c>
      <c r="K3245" s="455">
        <f t="shared" ca="1" si="143"/>
        <v>-1251822561.370322</v>
      </c>
      <c r="L3245" s="455">
        <f t="shared" ca="1" si="144"/>
        <v>-301689237290.24756</v>
      </c>
      <c r="M3245" s="471">
        <f t="shared" si="146"/>
        <v>0.05</v>
      </c>
      <c r="N3245" s="475">
        <f t="shared" si="147"/>
        <v>149810</v>
      </c>
    </row>
    <row r="3246" spans="7:14" ht="11.25" customHeight="1" x14ac:dyDescent="0.3">
      <c r="G3246" s="470"/>
      <c r="H3246" s="470">
        <v>3239</v>
      </c>
      <c r="I3246" s="455">
        <f t="shared" ca="1" si="145"/>
        <v>-301689237290.24756</v>
      </c>
      <c r="J3246" s="455">
        <f t="array" ref="J3246">IFERROR(INDEX('Retirement Calculator'!K:K,MATCH('Lorri 401b'!N3246,'Retirement Calculator'!A:A,0),0),0)</f>
        <v>0</v>
      </c>
      <c r="K3246" s="455">
        <f t="shared" ca="1" si="143"/>
        <v>-1257038488.7093649</v>
      </c>
      <c r="L3246" s="455">
        <f t="shared" ca="1" si="144"/>
        <v>-302946275778.95691</v>
      </c>
      <c r="M3246" s="471">
        <f t="shared" si="146"/>
        <v>0.05</v>
      </c>
      <c r="N3246" s="475">
        <f t="shared" si="147"/>
        <v>149841</v>
      </c>
    </row>
    <row r="3247" spans="7:14" ht="11.25" customHeight="1" x14ac:dyDescent="0.3">
      <c r="G3247" s="470"/>
      <c r="H3247" s="470">
        <v>3240</v>
      </c>
      <c r="I3247" s="455">
        <f t="shared" ca="1" si="145"/>
        <v>-302946275778.95691</v>
      </c>
      <c r="J3247" s="455">
        <f t="array" ref="J3247">IFERROR(INDEX('Retirement Calculator'!K:K,MATCH('Lorri 401b'!N3247,'Retirement Calculator'!A:A,0),0),0)</f>
        <v>0</v>
      </c>
      <c r="K3247" s="455">
        <f t="shared" ca="1" si="143"/>
        <v>-1262276149.0789871</v>
      </c>
      <c r="L3247" s="455">
        <f t="shared" ca="1" si="144"/>
        <v>-304208551928.03589</v>
      </c>
      <c r="M3247" s="471">
        <f t="shared" si="146"/>
        <v>0.05</v>
      </c>
      <c r="N3247" s="475">
        <f t="shared" si="147"/>
        <v>149871</v>
      </c>
    </row>
    <row r="3248" spans="7:14" ht="11.25" customHeight="1" x14ac:dyDescent="0.3">
      <c r="G3248" s="470"/>
      <c r="H3248" s="470">
        <v>3241</v>
      </c>
      <c r="I3248" s="455">
        <f t="shared" ca="1" si="145"/>
        <v>-304208551928.03589</v>
      </c>
      <c r="J3248" s="455">
        <f t="array" ref="J3248">IFERROR(INDEX('Retirement Calculator'!K:K,MATCH('Lorri 401b'!N3248,'Retirement Calculator'!A:A,0),0),0)</f>
        <v>0</v>
      </c>
      <c r="K3248" s="455">
        <f t="shared" ca="1" si="143"/>
        <v>-1267535633.0334828</v>
      </c>
      <c r="L3248" s="455">
        <f t="shared" ca="1" si="144"/>
        <v>-305476087561.0694</v>
      </c>
      <c r="M3248" s="471">
        <f t="shared" si="146"/>
        <v>0.05</v>
      </c>
      <c r="N3248" s="475">
        <f t="shared" si="147"/>
        <v>149902</v>
      </c>
    </row>
    <row r="3249" spans="7:14" ht="11.25" customHeight="1" x14ac:dyDescent="0.3">
      <c r="G3249" s="470"/>
      <c r="H3249" s="470">
        <v>3242</v>
      </c>
      <c r="I3249" s="455">
        <f t="shared" ca="1" si="145"/>
        <v>-305476087561.0694</v>
      </c>
      <c r="J3249" s="455">
        <f t="array" ref="J3249">IFERROR(INDEX('Retirement Calculator'!K:K,MATCH('Lorri 401b'!N3249,'Retirement Calculator'!A:A,0),0),0)</f>
        <v>0</v>
      </c>
      <c r="K3249" s="455">
        <f t="shared" ca="1" si="143"/>
        <v>-1272817031.5044558</v>
      </c>
      <c r="L3249" s="455">
        <f t="shared" ca="1" si="144"/>
        <v>-306748904592.57385</v>
      </c>
      <c r="M3249" s="471">
        <f t="shared" si="146"/>
        <v>0.05</v>
      </c>
      <c r="N3249" s="475">
        <f t="shared" si="147"/>
        <v>149932</v>
      </c>
    </row>
    <row r="3250" spans="7:14" ht="11.25" customHeight="1" x14ac:dyDescent="0.3">
      <c r="G3250" s="470"/>
      <c r="H3250" s="470">
        <v>3243</v>
      </c>
      <c r="I3250" s="455">
        <f t="shared" ca="1" si="145"/>
        <v>-306748904592.57385</v>
      </c>
      <c r="J3250" s="455">
        <f t="array" ref="J3250">IFERROR(INDEX('Retirement Calculator'!K:K,MATCH('Lorri 401b'!N3250,'Retirement Calculator'!A:A,0),0),0)</f>
        <v>0</v>
      </c>
      <c r="K3250" s="455">
        <f t="shared" ca="1" si="143"/>
        <v>-1278120435.8023911</v>
      </c>
      <c r="L3250" s="455">
        <f t="shared" ca="1" si="144"/>
        <v>-308027025028.37622</v>
      </c>
      <c r="M3250" s="471">
        <f t="shared" si="146"/>
        <v>0.05</v>
      </c>
      <c r="N3250" s="475">
        <f t="shared" si="147"/>
        <v>149963</v>
      </c>
    </row>
    <row r="3251" spans="7:14" ht="11.25" customHeight="1" x14ac:dyDescent="0.3">
      <c r="G3251" s="470"/>
      <c r="H3251" s="470">
        <v>3244</v>
      </c>
      <c r="I3251" s="455">
        <f t="shared" ca="1" si="145"/>
        <v>-308027025028.37622</v>
      </c>
      <c r="J3251" s="455">
        <f t="array" ref="J3251">IFERROR(INDEX('Retirement Calculator'!K:K,MATCH('Lorri 401b'!N3251,'Retirement Calculator'!A:A,0),0),0)</f>
        <v>0</v>
      </c>
      <c r="K3251" s="455">
        <f t="shared" ca="1" si="143"/>
        <v>-1283445937.6182342</v>
      </c>
      <c r="L3251" s="455">
        <f t="shared" ca="1" si="144"/>
        <v>-309310470965.99445</v>
      </c>
      <c r="M3251" s="471">
        <f t="shared" si="146"/>
        <v>0.05</v>
      </c>
      <c r="N3251" s="475">
        <f t="shared" si="147"/>
        <v>149994</v>
      </c>
    </row>
    <row r="3252" spans="7:14" ht="11.25" customHeight="1" x14ac:dyDescent="0.3">
      <c r="G3252" s="470"/>
      <c r="H3252" s="470">
        <v>3245</v>
      </c>
      <c r="I3252" s="455">
        <f t="shared" ca="1" si="145"/>
        <v>-309310470965.99445</v>
      </c>
      <c r="J3252" s="455">
        <f t="array" ref="J3252">IFERROR(INDEX('Retirement Calculator'!K:K,MATCH('Lorri 401b'!N3252,'Retirement Calculator'!A:A,0),0),0)</f>
        <v>0</v>
      </c>
      <c r="K3252" s="455">
        <f t="shared" ca="1" si="143"/>
        <v>-1288793629.0249767</v>
      </c>
      <c r="L3252" s="455">
        <f t="shared" ca="1" si="144"/>
        <v>-310599264595.01941</v>
      </c>
      <c r="M3252" s="471">
        <f t="shared" si="146"/>
        <v>0.05</v>
      </c>
      <c r="N3252" s="475">
        <f t="shared" si="147"/>
        <v>150024</v>
      </c>
    </row>
    <row r="3253" spans="7:14" ht="11.25" customHeight="1" x14ac:dyDescent="0.3">
      <c r="G3253" s="470"/>
      <c r="H3253" s="470">
        <v>3246</v>
      </c>
      <c r="I3253" s="455">
        <f t="shared" ca="1" si="145"/>
        <v>-310599264595.01941</v>
      </c>
      <c r="J3253" s="455">
        <f t="array" ref="J3253">IFERROR(INDEX('Retirement Calculator'!K:K,MATCH('Lorri 401b'!N3253,'Retirement Calculator'!A:A,0),0),0)</f>
        <v>0</v>
      </c>
      <c r="K3253" s="455">
        <f t="shared" ca="1" si="143"/>
        <v>-1294163602.4792476</v>
      </c>
      <c r="L3253" s="455">
        <f t="shared" ca="1" si="144"/>
        <v>-311893428197.49866</v>
      </c>
      <c r="M3253" s="471">
        <f t="shared" si="146"/>
        <v>0.05</v>
      </c>
      <c r="N3253" s="475">
        <f t="shared" si="147"/>
        <v>150055</v>
      </c>
    </row>
    <row r="3254" spans="7:14" ht="11.25" customHeight="1" x14ac:dyDescent="0.3">
      <c r="G3254" s="470"/>
      <c r="H3254" s="470">
        <v>3247</v>
      </c>
      <c r="I3254" s="455">
        <f t="shared" ca="1" si="145"/>
        <v>-311893428197.49866</v>
      </c>
      <c r="J3254" s="455">
        <f t="array" ref="J3254">IFERROR(INDEX('Retirement Calculator'!K:K,MATCH('Lorri 401b'!N3254,'Retirement Calculator'!A:A,0),0),0)</f>
        <v>0</v>
      </c>
      <c r="K3254" s="455">
        <f t="shared" ca="1" si="143"/>
        <v>-1299555950.822911</v>
      </c>
      <c r="L3254" s="455">
        <f t="shared" ca="1" si="144"/>
        <v>-313192984148.32159</v>
      </c>
      <c r="M3254" s="471">
        <f t="shared" si="146"/>
        <v>0.05</v>
      </c>
      <c r="N3254" s="475">
        <f t="shared" si="147"/>
        <v>150085</v>
      </c>
    </row>
    <row r="3255" spans="7:14" ht="11.25" customHeight="1" x14ac:dyDescent="0.3">
      <c r="G3255" s="470"/>
      <c r="H3255" s="470">
        <v>3248</v>
      </c>
      <c r="I3255" s="455">
        <f t="shared" ca="1" si="145"/>
        <v>-313192984148.32159</v>
      </c>
      <c r="J3255" s="455">
        <f t="array" ref="J3255">IFERROR(INDEX('Retirement Calculator'!K:K,MATCH('Lorri 401b'!N3255,'Retirement Calculator'!A:A,0),0),0)</f>
        <v>0</v>
      </c>
      <c r="K3255" s="455">
        <f t="shared" ca="1" si="143"/>
        <v>-1304970767.2846732</v>
      </c>
      <c r="L3255" s="455">
        <f t="shared" ca="1" si="144"/>
        <v>-314497954915.60626</v>
      </c>
      <c r="M3255" s="471">
        <f t="shared" si="146"/>
        <v>0.05</v>
      </c>
      <c r="N3255" s="475">
        <f t="shared" si="147"/>
        <v>150116</v>
      </c>
    </row>
    <row r="3256" spans="7:14" ht="11.25" customHeight="1" x14ac:dyDescent="0.3">
      <c r="G3256" s="470"/>
      <c r="H3256" s="470">
        <v>3249</v>
      </c>
      <c r="I3256" s="455">
        <f t="shared" ca="1" si="145"/>
        <v>-314497954915.60626</v>
      </c>
      <c r="J3256" s="455">
        <f t="array" ref="J3256">IFERROR(INDEX('Retirement Calculator'!K:K,MATCH('Lorri 401b'!N3256,'Retirement Calculator'!A:A,0),0),0)</f>
        <v>0</v>
      </c>
      <c r="K3256" s="455">
        <f t="shared" ca="1" si="143"/>
        <v>-1310408145.4816928</v>
      </c>
      <c r="L3256" s="455">
        <f t="shared" ca="1" si="144"/>
        <v>-315808363061.08795</v>
      </c>
      <c r="M3256" s="471">
        <f t="shared" si="146"/>
        <v>0.05</v>
      </c>
      <c r="N3256" s="475">
        <f t="shared" si="147"/>
        <v>150147</v>
      </c>
    </row>
    <row r="3257" spans="7:14" ht="11.25" customHeight="1" x14ac:dyDescent="0.3">
      <c r="G3257" s="470"/>
      <c r="H3257" s="470">
        <v>3250</v>
      </c>
      <c r="I3257" s="455">
        <f t="shared" ca="1" si="145"/>
        <v>-315808363061.08795</v>
      </c>
      <c r="J3257" s="455">
        <f t="array" ref="J3257">IFERROR(INDEX('Retirement Calculator'!K:K,MATCH('Lorri 401b'!N3257,'Retirement Calculator'!A:A,0),0),0)</f>
        <v>0</v>
      </c>
      <c r="K3257" s="455">
        <f t="shared" ca="1" si="143"/>
        <v>-1315868179.4211998</v>
      </c>
      <c r="L3257" s="455">
        <f t="shared" ca="1" si="144"/>
        <v>-317124231240.50916</v>
      </c>
      <c r="M3257" s="471">
        <f t="shared" si="146"/>
        <v>0.05</v>
      </c>
      <c r="N3257" s="475">
        <f t="shared" si="147"/>
        <v>150175</v>
      </c>
    </row>
    <row r="3258" spans="7:14" ht="11.25" customHeight="1" x14ac:dyDescent="0.3">
      <c r="G3258" s="470"/>
      <c r="H3258" s="470">
        <v>3251</v>
      </c>
      <c r="I3258" s="455">
        <f t="shared" ca="1" si="145"/>
        <v>-317124231240.50916</v>
      </c>
      <c r="J3258" s="455">
        <f t="array" ref="J3258">IFERROR(INDEX('Retirement Calculator'!K:K,MATCH('Lorri 401b'!N3258,'Retirement Calculator'!A:A,0),0),0)</f>
        <v>0</v>
      </c>
      <c r="K3258" s="455">
        <f t="shared" ca="1" si="143"/>
        <v>-1321350963.5021214</v>
      </c>
      <c r="L3258" s="455">
        <f t="shared" ca="1" si="144"/>
        <v>-318445582204.01129</v>
      </c>
      <c r="M3258" s="471">
        <f t="shared" si="146"/>
        <v>0.05</v>
      </c>
      <c r="N3258" s="475">
        <f t="shared" si="147"/>
        <v>150206</v>
      </c>
    </row>
    <row r="3259" spans="7:14" ht="11.25" customHeight="1" x14ac:dyDescent="0.3">
      <c r="G3259" s="470"/>
      <c r="H3259" s="470">
        <v>3252</v>
      </c>
      <c r="I3259" s="455">
        <f t="shared" ca="1" si="145"/>
        <v>-318445582204.01129</v>
      </c>
      <c r="J3259" s="455">
        <f t="array" ref="J3259">IFERROR(INDEX('Retirement Calculator'!K:K,MATCH('Lorri 401b'!N3259,'Retirement Calculator'!A:A,0),0),0)</f>
        <v>0</v>
      </c>
      <c r="K3259" s="455">
        <f t="shared" ca="1" si="143"/>
        <v>-1326856592.5167136</v>
      </c>
      <c r="L3259" s="455">
        <f t="shared" ca="1" si="144"/>
        <v>-319772438796.52802</v>
      </c>
      <c r="M3259" s="471">
        <f t="shared" si="146"/>
        <v>0.05</v>
      </c>
      <c r="N3259" s="475">
        <f t="shared" si="147"/>
        <v>150236</v>
      </c>
    </row>
    <row r="3260" spans="7:14" ht="11.25" customHeight="1" x14ac:dyDescent="0.3">
      <c r="G3260" s="470"/>
      <c r="H3260" s="470">
        <v>3253</v>
      </c>
      <c r="I3260" s="455">
        <f t="shared" ca="1" si="145"/>
        <v>-319772438796.52802</v>
      </c>
      <c r="J3260" s="455">
        <f t="array" ref="J3260">IFERROR(INDEX('Retirement Calculator'!K:K,MATCH('Lorri 401b'!N3260,'Retirement Calculator'!A:A,0),0),0)</f>
        <v>0</v>
      </c>
      <c r="K3260" s="455">
        <f t="shared" ca="1" si="143"/>
        <v>-1332385161.6522</v>
      </c>
      <c r="L3260" s="455">
        <f t="shared" ca="1" si="144"/>
        <v>-321104823958.18024</v>
      </c>
      <c r="M3260" s="471">
        <f t="shared" si="146"/>
        <v>0.05</v>
      </c>
      <c r="N3260" s="475">
        <f t="shared" si="147"/>
        <v>150267</v>
      </c>
    </row>
    <row r="3261" spans="7:14" ht="11.25" customHeight="1" x14ac:dyDescent="0.3">
      <c r="G3261" s="470"/>
      <c r="H3261" s="470">
        <v>3254</v>
      </c>
      <c r="I3261" s="455">
        <f t="shared" ca="1" si="145"/>
        <v>-321104823958.18024</v>
      </c>
      <c r="J3261" s="455">
        <f t="array" ref="J3261">IFERROR(INDEX('Retirement Calculator'!K:K,MATCH('Lorri 401b'!N3261,'Retirement Calculator'!A:A,0),0),0)</f>
        <v>0</v>
      </c>
      <c r="K3261" s="455">
        <f t="shared" ca="1" si="143"/>
        <v>-1337936766.4924176</v>
      </c>
      <c r="L3261" s="455">
        <f t="shared" ca="1" si="144"/>
        <v>-322442760724.67267</v>
      </c>
      <c r="M3261" s="471">
        <f t="shared" si="146"/>
        <v>0.05</v>
      </c>
      <c r="N3261" s="475">
        <f t="shared" si="147"/>
        <v>150297</v>
      </c>
    </row>
    <row r="3262" spans="7:14" ht="11.25" customHeight="1" x14ac:dyDescent="0.3">
      <c r="G3262" s="470"/>
      <c r="H3262" s="470">
        <v>3255</v>
      </c>
      <c r="I3262" s="455">
        <f t="shared" ca="1" si="145"/>
        <v>-322442760724.67267</v>
      </c>
      <c r="J3262" s="455">
        <f t="array" ref="J3262">IFERROR(INDEX('Retirement Calculator'!K:K,MATCH('Lorri 401b'!N3262,'Retirement Calculator'!A:A,0),0),0)</f>
        <v>0</v>
      </c>
      <c r="K3262" s="455">
        <f t="shared" ca="1" si="143"/>
        <v>-1343511503.0194695</v>
      </c>
      <c r="L3262" s="455">
        <f t="shared" ca="1" si="144"/>
        <v>-323786272227.69214</v>
      </c>
      <c r="M3262" s="471">
        <f t="shared" si="146"/>
        <v>0.05</v>
      </c>
      <c r="N3262" s="475">
        <f t="shared" si="147"/>
        <v>150328</v>
      </c>
    </row>
    <row r="3263" spans="7:14" ht="11.25" customHeight="1" x14ac:dyDescent="0.3">
      <c r="G3263" s="470"/>
      <c r="H3263" s="470">
        <v>3256</v>
      </c>
      <c r="I3263" s="455">
        <f t="shared" ca="1" si="145"/>
        <v>-323786272227.69214</v>
      </c>
      <c r="J3263" s="455">
        <f t="array" ref="J3263">IFERROR(INDEX('Retirement Calculator'!K:K,MATCH('Lorri 401b'!N3263,'Retirement Calculator'!A:A,0),0),0)</f>
        <v>0</v>
      </c>
      <c r="K3263" s="455">
        <f t="shared" ca="1" si="143"/>
        <v>-1349109467.6153839</v>
      </c>
      <c r="L3263" s="455">
        <f t="shared" ca="1" si="144"/>
        <v>-325135381695.3075</v>
      </c>
      <c r="M3263" s="471">
        <f t="shared" si="146"/>
        <v>0.05</v>
      </c>
      <c r="N3263" s="475">
        <f t="shared" si="147"/>
        <v>150359</v>
      </c>
    </row>
    <row r="3264" spans="7:14" ht="11.25" customHeight="1" x14ac:dyDescent="0.3">
      <c r="G3264" s="470"/>
      <c r="H3264" s="470">
        <v>3257</v>
      </c>
      <c r="I3264" s="455">
        <f t="shared" ca="1" si="145"/>
        <v>-325135381695.3075</v>
      </c>
      <c r="J3264" s="455">
        <f t="array" ref="J3264">IFERROR(INDEX('Retirement Calculator'!K:K,MATCH('Lorri 401b'!N3264,'Retirement Calculator'!A:A,0),0),0)</f>
        <v>0</v>
      </c>
      <c r="K3264" s="455">
        <f t="shared" ca="1" si="143"/>
        <v>-1354730757.0637813</v>
      </c>
      <c r="L3264" s="455">
        <f t="shared" ca="1" si="144"/>
        <v>-326490112452.37128</v>
      </c>
      <c r="M3264" s="471">
        <f t="shared" si="146"/>
        <v>0.05</v>
      </c>
      <c r="N3264" s="475">
        <f t="shared" si="147"/>
        <v>150389</v>
      </c>
    </row>
    <row r="3265" spans="7:14" ht="11.25" customHeight="1" x14ac:dyDescent="0.3">
      <c r="G3265" s="470"/>
      <c r="H3265" s="470">
        <v>3258</v>
      </c>
      <c r="I3265" s="455">
        <f t="shared" ca="1" si="145"/>
        <v>-326490112452.37128</v>
      </c>
      <c r="J3265" s="455">
        <f t="array" ref="J3265">IFERROR(INDEX('Retirement Calculator'!K:K,MATCH('Lorri 401b'!N3265,'Retirement Calculator'!A:A,0),0),0)</f>
        <v>0</v>
      </c>
      <c r="K3265" s="455">
        <f t="shared" ca="1" si="143"/>
        <v>-1360375468.5515471</v>
      </c>
      <c r="L3265" s="455">
        <f t="shared" ca="1" si="144"/>
        <v>-327850487920.92285</v>
      </c>
      <c r="M3265" s="471">
        <f t="shared" si="146"/>
        <v>0.05</v>
      </c>
      <c r="N3265" s="475">
        <f t="shared" si="147"/>
        <v>150420</v>
      </c>
    </row>
    <row r="3266" spans="7:14" ht="11.25" customHeight="1" x14ac:dyDescent="0.3">
      <c r="G3266" s="470"/>
      <c r="H3266" s="470">
        <v>3259</v>
      </c>
      <c r="I3266" s="455">
        <f t="shared" ca="1" si="145"/>
        <v>-327850487920.92285</v>
      </c>
      <c r="J3266" s="455">
        <f t="array" ref="J3266">IFERROR(INDEX('Retirement Calculator'!K:K,MATCH('Lorri 401b'!N3266,'Retirement Calculator'!A:A,0),0),0)</f>
        <v>0</v>
      </c>
      <c r="K3266" s="455">
        <f t="shared" ca="1" si="143"/>
        <v>-1366043699.670512</v>
      </c>
      <c r="L3266" s="455">
        <f t="shared" ca="1" si="144"/>
        <v>-329216531620.59338</v>
      </c>
      <c r="M3266" s="471">
        <f t="shared" si="146"/>
        <v>0.05</v>
      </c>
      <c r="N3266" s="475">
        <f t="shared" si="147"/>
        <v>150450</v>
      </c>
    </row>
    <row r="3267" spans="7:14" ht="11.25" customHeight="1" x14ac:dyDescent="0.3">
      <c r="G3267" s="470"/>
      <c r="H3267" s="470">
        <v>3260</v>
      </c>
      <c r="I3267" s="455">
        <f t="shared" ca="1" si="145"/>
        <v>-329216531620.59338</v>
      </c>
      <c r="J3267" s="455">
        <f t="array" ref="J3267">IFERROR(INDEX('Retirement Calculator'!K:K,MATCH('Lorri 401b'!N3267,'Retirement Calculator'!A:A,0),0),0)</f>
        <v>0</v>
      </c>
      <c r="K3267" s="455">
        <f t="shared" ca="1" si="143"/>
        <v>-1371735548.4191391</v>
      </c>
      <c r="L3267" s="455">
        <f t="shared" ca="1" si="144"/>
        <v>-330588267169.01251</v>
      </c>
      <c r="M3267" s="471">
        <f t="shared" si="146"/>
        <v>0.05</v>
      </c>
      <c r="N3267" s="475">
        <f t="shared" si="147"/>
        <v>150481</v>
      </c>
    </row>
    <row r="3268" spans="7:14" ht="11.25" customHeight="1" x14ac:dyDescent="0.3">
      <c r="G3268" s="470"/>
      <c r="H3268" s="470">
        <v>3261</v>
      </c>
      <c r="I3268" s="455">
        <f t="shared" ca="1" si="145"/>
        <v>-330588267169.01251</v>
      </c>
      <c r="J3268" s="455">
        <f t="array" ref="J3268">IFERROR(INDEX('Retirement Calculator'!K:K,MATCH('Lorri 401b'!N3268,'Retirement Calculator'!A:A,0),0),0)</f>
        <v>0</v>
      </c>
      <c r="K3268" s="455">
        <f t="shared" ca="1" si="143"/>
        <v>-1377451113.2042189</v>
      </c>
      <c r="L3268" s="455">
        <f t="shared" ca="1" si="144"/>
        <v>-331965718282.21674</v>
      </c>
      <c r="M3268" s="471">
        <f t="shared" si="146"/>
        <v>0.05</v>
      </c>
      <c r="N3268" s="475">
        <f t="shared" si="147"/>
        <v>150512</v>
      </c>
    </row>
    <row r="3269" spans="7:14" ht="11.25" customHeight="1" x14ac:dyDescent="0.3">
      <c r="G3269" s="470"/>
      <c r="H3269" s="470">
        <v>3262</v>
      </c>
      <c r="I3269" s="455">
        <f t="shared" ca="1" si="145"/>
        <v>-331965718282.21674</v>
      </c>
      <c r="J3269" s="455">
        <f t="array" ref="J3269">IFERROR(INDEX('Retirement Calculator'!K:K,MATCH('Lorri 401b'!N3269,'Retirement Calculator'!A:A,0),0),0)</f>
        <v>0</v>
      </c>
      <c r="K3269" s="455">
        <f t="shared" ca="1" si="143"/>
        <v>-1383190492.8425698</v>
      </c>
      <c r="L3269" s="455">
        <f t="shared" ca="1" si="144"/>
        <v>-333348908775.05933</v>
      </c>
      <c r="M3269" s="471">
        <f t="shared" si="146"/>
        <v>0.05</v>
      </c>
      <c r="N3269" s="475">
        <f t="shared" si="147"/>
        <v>150541</v>
      </c>
    </row>
    <row r="3270" spans="7:14" ht="11.25" customHeight="1" x14ac:dyDescent="0.3">
      <c r="G3270" s="470"/>
      <c r="H3270" s="470">
        <v>3263</v>
      </c>
      <c r="I3270" s="455">
        <f t="shared" ca="1" si="145"/>
        <v>-333348908775.05933</v>
      </c>
      <c r="J3270" s="455">
        <f t="array" ref="J3270">IFERROR(INDEX('Retirement Calculator'!K:K,MATCH('Lorri 401b'!N3270,'Retirement Calculator'!A:A,0),0),0)</f>
        <v>0</v>
      </c>
      <c r="K3270" s="455">
        <f t="shared" ca="1" si="143"/>
        <v>-1388953786.5627472</v>
      </c>
      <c r="L3270" s="455">
        <f t="shared" ca="1" si="144"/>
        <v>-334737862561.62207</v>
      </c>
      <c r="M3270" s="471">
        <f t="shared" si="146"/>
        <v>0.05</v>
      </c>
      <c r="N3270" s="475">
        <f t="shared" si="147"/>
        <v>150572</v>
      </c>
    </row>
    <row r="3271" spans="7:14" ht="11.25" customHeight="1" x14ac:dyDescent="0.3">
      <c r="G3271" s="470"/>
      <c r="H3271" s="470">
        <v>3264</v>
      </c>
      <c r="I3271" s="455">
        <f t="shared" ca="1" si="145"/>
        <v>-334737862561.62207</v>
      </c>
      <c r="J3271" s="455">
        <f t="array" ref="J3271">IFERROR(INDEX('Retirement Calculator'!K:K,MATCH('Lorri 401b'!N3271,'Retirement Calculator'!A:A,0),0),0)</f>
        <v>0</v>
      </c>
      <c r="K3271" s="455">
        <f t="shared" ca="1" si="143"/>
        <v>-1394741094.0067587</v>
      </c>
      <c r="L3271" s="455">
        <f t="shared" ca="1" si="144"/>
        <v>-336132603655.62885</v>
      </c>
      <c r="M3271" s="471">
        <f t="shared" si="146"/>
        <v>0.05</v>
      </c>
      <c r="N3271" s="475">
        <f t="shared" si="147"/>
        <v>150602</v>
      </c>
    </row>
    <row r="3272" spans="7:14" ht="11.25" customHeight="1" x14ac:dyDescent="0.3">
      <c r="G3272" s="470"/>
      <c r="H3272" s="470">
        <v>3265</v>
      </c>
      <c r="I3272" s="455">
        <f t="shared" ca="1" si="145"/>
        <v>-336132603655.62885</v>
      </c>
      <c r="J3272" s="455">
        <f t="array" ref="J3272">IFERROR(INDEX('Retirement Calculator'!K:K,MATCH('Lorri 401b'!N3272,'Retirement Calculator'!A:A,0),0),0)</f>
        <v>0</v>
      </c>
      <c r="K3272" s="455">
        <f t="shared" ca="1" si="143"/>
        <v>-1400552515.2317867</v>
      </c>
      <c r="L3272" s="455">
        <f t="shared" ca="1" si="144"/>
        <v>-337533156170.86066</v>
      </c>
      <c r="M3272" s="471">
        <f t="shared" si="146"/>
        <v>0.05</v>
      </c>
      <c r="N3272" s="475">
        <f t="shared" si="147"/>
        <v>150633</v>
      </c>
    </row>
    <row r="3273" spans="7:14" ht="11.25" customHeight="1" x14ac:dyDescent="0.3">
      <c r="G3273" s="470"/>
      <c r="H3273" s="470">
        <v>3266</v>
      </c>
      <c r="I3273" s="455">
        <f t="shared" ca="1" si="145"/>
        <v>-337533156170.86066</v>
      </c>
      <c r="J3273" s="455">
        <f t="array" ref="J3273">IFERROR(INDEX('Retirement Calculator'!K:K,MATCH('Lorri 401b'!N3273,'Retirement Calculator'!A:A,0),0),0)</f>
        <v>0</v>
      </c>
      <c r="K3273" s="455">
        <f t="shared" ca="1" si="143"/>
        <v>-1406388150.7119193</v>
      </c>
      <c r="L3273" s="455">
        <f t="shared" ca="1" si="144"/>
        <v>-338939544321.57257</v>
      </c>
      <c r="M3273" s="471">
        <f t="shared" si="146"/>
        <v>0.05</v>
      </c>
      <c r="N3273" s="475">
        <f t="shared" si="147"/>
        <v>150663</v>
      </c>
    </row>
    <row r="3274" spans="7:14" ht="11.25" customHeight="1" x14ac:dyDescent="0.3">
      <c r="G3274" s="470"/>
      <c r="H3274" s="470">
        <v>3267</v>
      </c>
      <c r="I3274" s="455">
        <f t="shared" ca="1" si="145"/>
        <v>-338939544321.57257</v>
      </c>
      <c r="J3274" s="455">
        <f t="array" ref="J3274">IFERROR(INDEX('Retirement Calculator'!K:K,MATCH('Lorri 401b'!N3274,'Retirement Calculator'!A:A,0),0),0)</f>
        <v>0</v>
      </c>
      <c r="K3274" s="455">
        <f t="shared" ca="1" si="143"/>
        <v>-1412248101.3398857</v>
      </c>
      <c r="L3274" s="455">
        <f t="shared" ca="1" si="144"/>
        <v>-340351792422.91248</v>
      </c>
      <c r="M3274" s="471">
        <f t="shared" si="146"/>
        <v>0.05</v>
      </c>
      <c r="N3274" s="475">
        <f t="shared" si="147"/>
        <v>150694</v>
      </c>
    </row>
    <row r="3275" spans="7:14" ht="11.25" customHeight="1" x14ac:dyDescent="0.3">
      <c r="G3275" s="470"/>
      <c r="H3275" s="470">
        <v>3268</v>
      </c>
      <c r="I3275" s="455">
        <f t="shared" ca="1" si="145"/>
        <v>-340351792422.91248</v>
      </c>
      <c r="J3275" s="455">
        <f t="array" ref="J3275">IFERROR(INDEX('Retirement Calculator'!K:K,MATCH('Lorri 401b'!N3275,'Retirement Calculator'!A:A,0),0),0)</f>
        <v>0</v>
      </c>
      <c r="K3275" s="455">
        <f t="shared" ca="1" si="143"/>
        <v>-1418132468.428802</v>
      </c>
      <c r="L3275" s="455">
        <f t="shared" ca="1" si="144"/>
        <v>-341769924891.34125</v>
      </c>
      <c r="M3275" s="471">
        <f t="shared" si="146"/>
        <v>0.05</v>
      </c>
      <c r="N3275" s="475">
        <f t="shared" si="147"/>
        <v>150725</v>
      </c>
    </row>
    <row r="3276" spans="7:14" ht="11.25" customHeight="1" x14ac:dyDescent="0.3">
      <c r="G3276" s="470"/>
      <c r="H3276" s="470">
        <v>3269</v>
      </c>
      <c r="I3276" s="455">
        <f t="shared" ca="1" si="145"/>
        <v>-341769924891.34125</v>
      </c>
      <c r="J3276" s="455">
        <f t="array" ref="J3276">IFERROR(INDEX('Retirement Calculator'!K:K,MATCH('Lorri 401b'!N3276,'Retirement Calculator'!A:A,0),0),0)</f>
        <v>0</v>
      </c>
      <c r="K3276" s="455">
        <f t="shared" ca="1" si="143"/>
        <v>-1424041353.7139218</v>
      </c>
      <c r="L3276" s="455">
        <f t="shared" ca="1" si="144"/>
        <v>-343193966245.05518</v>
      </c>
      <c r="M3276" s="471">
        <f t="shared" si="146"/>
        <v>0.05</v>
      </c>
      <c r="N3276" s="475">
        <f t="shared" si="147"/>
        <v>150755</v>
      </c>
    </row>
    <row r="3277" spans="7:14" ht="11.25" customHeight="1" x14ac:dyDescent="0.3">
      <c r="G3277" s="470"/>
      <c r="H3277" s="470">
        <v>3270</v>
      </c>
      <c r="I3277" s="455">
        <f t="shared" ca="1" si="145"/>
        <v>-343193966245.05518</v>
      </c>
      <c r="J3277" s="455">
        <f t="array" ref="J3277">IFERROR(INDEX('Retirement Calculator'!K:K,MATCH('Lorri 401b'!N3277,'Retirement Calculator'!A:A,0),0),0)</f>
        <v>0</v>
      </c>
      <c r="K3277" s="455">
        <f t="shared" ca="1" si="143"/>
        <v>-1429974859.3543966</v>
      </c>
      <c r="L3277" s="455">
        <f t="shared" ca="1" si="144"/>
        <v>-344623941104.40955</v>
      </c>
      <c r="M3277" s="471">
        <f t="shared" si="146"/>
        <v>0.05</v>
      </c>
      <c r="N3277" s="475">
        <f t="shared" si="147"/>
        <v>150786</v>
      </c>
    </row>
    <row r="3278" spans="7:14" ht="11.25" customHeight="1" x14ac:dyDescent="0.3">
      <c r="G3278" s="470"/>
      <c r="H3278" s="470">
        <v>3271</v>
      </c>
      <c r="I3278" s="455">
        <f t="shared" ca="1" si="145"/>
        <v>-344623941104.40955</v>
      </c>
      <c r="J3278" s="455">
        <f t="array" ref="J3278">IFERROR(INDEX('Retirement Calculator'!K:K,MATCH('Lorri 401b'!N3278,'Retirement Calculator'!A:A,0),0),0)</f>
        <v>0</v>
      </c>
      <c r="K3278" s="455">
        <f t="shared" ca="1" si="143"/>
        <v>-1435933087.9350398</v>
      </c>
      <c r="L3278" s="455">
        <f t="shared" ca="1" si="144"/>
        <v>-346059874192.3446</v>
      </c>
      <c r="M3278" s="471">
        <f t="shared" si="146"/>
        <v>0.05</v>
      </c>
      <c r="N3278" s="475">
        <f t="shared" si="147"/>
        <v>150816</v>
      </c>
    </row>
    <row r="3279" spans="7:14" ht="11.25" customHeight="1" x14ac:dyDescent="0.3">
      <c r="G3279" s="470"/>
      <c r="H3279" s="470">
        <v>3272</v>
      </c>
      <c r="I3279" s="455">
        <f t="shared" ca="1" si="145"/>
        <v>-346059874192.3446</v>
      </c>
      <c r="J3279" s="455">
        <f t="array" ref="J3279">IFERROR(INDEX('Retirement Calculator'!K:K,MATCH('Lorri 401b'!N3279,'Retirement Calculator'!A:A,0),0),0)</f>
        <v>0</v>
      </c>
      <c r="K3279" s="455">
        <f t="shared" ca="1" si="143"/>
        <v>-1441916142.4681025</v>
      </c>
      <c r="L3279" s="455">
        <f t="shared" ca="1" si="144"/>
        <v>-347501790334.81268</v>
      </c>
      <c r="M3279" s="471">
        <f t="shared" si="146"/>
        <v>0.05</v>
      </c>
      <c r="N3279" s="475">
        <f t="shared" si="147"/>
        <v>150847</v>
      </c>
    </row>
    <row r="3280" spans="7:14" ht="11.25" customHeight="1" x14ac:dyDescent="0.3">
      <c r="G3280" s="470"/>
      <c r="H3280" s="470">
        <v>3273</v>
      </c>
      <c r="I3280" s="455">
        <f t="shared" ca="1" si="145"/>
        <v>-347501790334.81268</v>
      </c>
      <c r="J3280" s="455">
        <f t="array" ref="J3280">IFERROR(INDEX('Retirement Calculator'!K:K,MATCH('Lorri 401b'!N3280,'Retirement Calculator'!A:A,0),0),0)</f>
        <v>0</v>
      </c>
      <c r="K3280" s="455">
        <f t="shared" ca="1" si="143"/>
        <v>-1447924126.3950529</v>
      </c>
      <c r="L3280" s="455">
        <f t="shared" ca="1" si="144"/>
        <v>-348949714461.20776</v>
      </c>
      <c r="M3280" s="471">
        <f t="shared" si="146"/>
        <v>0.05</v>
      </c>
      <c r="N3280" s="475">
        <f t="shared" si="147"/>
        <v>150878</v>
      </c>
    </row>
    <row r="3281" spans="7:14" ht="11.25" customHeight="1" x14ac:dyDescent="0.3">
      <c r="G3281" s="470"/>
      <c r="H3281" s="470">
        <v>3274</v>
      </c>
      <c r="I3281" s="455">
        <f t="shared" ca="1" si="145"/>
        <v>-348949714461.20776</v>
      </c>
      <c r="J3281" s="455">
        <f t="array" ref="J3281">IFERROR(INDEX('Retirement Calculator'!K:K,MATCH('Lorri 401b'!N3281,'Retirement Calculator'!A:A,0),0),0)</f>
        <v>0</v>
      </c>
      <c r="K3281" s="455">
        <f t="shared" ca="1" si="143"/>
        <v>-1453957143.5883656</v>
      </c>
      <c r="L3281" s="455">
        <f t="shared" ca="1" si="144"/>
        <v>-350403671604.79614</v>
      </c>
      <c r="M3281" s="471">
        <f t="shared" si="146"/>
        <v>0.05</v>
      </c>
      <c r="N3281" s="475">
        <f t="shared" si="147"/>
        <v>150906</v>
      </c>
    </row>
    <row r="3282" spans="7:14" ht="11.25" customHeight="1" x14ac:dyDescent="0.3">
      <c r="G3282" s="470"/>
      <c r="H3282" s="470">
        <v>3275</v>
      </c>
      <c r="I3282" s="455">
        <f t="shared" ca="1" si="145"/>
        <v>-350403671604.79614</v>
      </c>
      <c r="J3282" s="455">
        <f t="array" ref="J3282">IFERROR(INDEX('Retirement Calculator'!K:K,MATCH('Lorri 401b'!N3282,'Retirement Calculator'!A:A,0),0),0)</f>
        <v>0</v>
      </c>
      <c r="K3282" s="455">
        <f t="shared" ca="1" si="143"/>
        <v>-1460015298.3533173</v>
      </c>
      <c r="L3282" s="455">
        <f t="shared" ca="1" si="144"/>
        <v>-351863686903.14948</v>
      </c>
      <c r="M3282" s="471">
        <f t="shared" si="146"/>
        <v>0.05</v>
      </c>
      <c r="N3282" s="475">
        <f t="shared" si="147"/>
        <v>150937</v>
      </c>
    </row>
    <row r="3283" spans="7:14" ht="11.25" customHeight="1" x14ac:dyDescent="0.3">
      <c r="G3283" s="470"/>
      <c r="H3283" s="470">
        <v>3276</v>
      </c>
      <c r="I3283" s="455">
        <f t="shared" ca="1" si="145"/>
        <v>-351863686903.14948</v>
      </c>
      <c r="J3283" s="455">
        <f t="array" ref="J3283">IFERROR(INDEX('Retirement Calculator'!K:K,MATCH('Lorri 401b'!N3283,'Retirement Calculator'!A:A,0),0),0)</f>
        <v>0</v>
      </c>
      <c r="K3283" s="455">
        <f t="shared" ca="1" si="143"/>
        <v>-1466098695.4297895</v>
      </c>
      <c r="L3283" s="455">
        <f t="shared" ca="1" si="144"/>
        <v>-353329785598.57928</v>
      </c>
      <c r="M3283" s="471">
        <f t="shared" si="146"/>
        <v>0.05</v>
      </c>
      <c r="N3283" s="475">
        <f t="shared" si="147"/>
        <v>150967</v>
      </c>
    </row>
    <row r="3284" spans="7:14" ht="11.25" customHeight="1" x14ac:dyDescent="0.3">
      <c r="G3284" s="470"/>
      <c r="H3284" s="470">
        <v>3277</v>
      </c>
      <c r="I3284" s="455">
        <f t="shared" ca="1" si="145"/>
        <v>-353329785598.57928</v>
      </c>
      <c r="J3284" s="455">
        <f t="array" ref="J3284">IFERROR(INDEX('Retirement Calculator'!K:K,MATCH('Lorri 401b'!N3284,'Retirement Calculator'!A:A,0),0),0)</f>
        <v>0</v>
      </c>
      <c r="K3284" s="455">
        <f t="shared" ca="1" si="143"/>
        <v>-1472207439.9940803</v>
      </c>
      <c r="L3284" s="455">
        <f t="shared" ca="1" si="144"/>
        <v>-354801993038.57336</v>
      </c>
      <c r="M3284" s="471">
        <f t="shared" si="146"/>
        <v>0.05</v>
      </c>
      <c r="N3284" s="475">
        <f t="shared" si="147"/>
        <v>150998</v>
      </c>
    </row>
    <row r="3285" spans="7:14" ht="11.25" customHeight="1" x14ac:dyDescent="0.3">
      <c r="G3285" s="470"/>
      <c r="H3285" s="470">
        <v>3278</v>
      </c>
      <c r="I3285" s="455">
        <f t="shared" ca="1" si="145"/>
        <v>-354801993038.57336</v>
      </c>
      <c r="J3285" s="455">
        <f t="array" ref="J3285">IFERROR(INDEX('Retirement Calculator'!K:K,MATCH('Lorri 401b'!N3285,'Retirement Calculator'!A:A,0),0),0)</f>
        <v>0</v>
      </c>
      <c r="K3285" s="455">
        <f t="shared" ca="1" si="143"/>
        <v>-1478341637.6607223</v>
      </c>
      <c r="L3285" s="455">
        <f t="shared" ca="1" si="144"/>
        <v>-356280334676.23407</v>
      </c>
      <c r="M3285" s="471">
        <f t="shared" si="146"/>
        <v>0.05</v>
      </c>
      <c r="N3285" s="475">
        <f t="shared" si="147"/>
        <v>151028</v>
      </c>
    </row>
    <row r="3286" spans="7:14" ht="11.25" customHeight="1" x14ac:dyDescent="0.3">
      <c r="G3286" s="470"/>
      <c r="H3286" s="470">
        <v>3279</v>
      </c>
      <c r="I3286" s="455">
        <f t="shared" ca="1" si="145"/>
        <v>-356280334676.23407</v>
      </c>
      <c r="J3286" s="455">
        <f t="array" ref="J3286">IFERROR(INDEX('Retirement Calculator'!K:K,MATCH('Lorri 401b'!N3286,'Retirement Calculator'!A:A,0),0),0)</f>
        <v>0</v>
      </c>
      <c r="K3286" s="455">
        <f t="shared" ca="1" si="143"/>
        <v>-1484501394.4843087</v>
      </c>
      <c r="L3286" s="455">
        <f t="shared" ca="1" si="144"/>
        <v>-357764836070.71838</v>
      </c>
      <c r="M3286" s="471">
        <f t="shared" si="146"/>
        <v>0.05</v>
      </c>
      <c r="N3286" s="475">
        <f t="shared" si="147"/>
        <v>151059</v>
      </c>
    </row>
    <row r="3287" spans="7:14" ht="11.25" customHeight="1" x14ac:dyDescent="0.3">
      <c r="G3287" s="470"/>
      <c r="H3287" s="470">
        <v>3280</v>
      </c>
      <c r="I3287" s="455">
        <f t="shared" ca="1" si="145"/>
        <v>-357764836070.71838</v>
      </c>
      <c r="J3287" s="455">
        <f t="array" ref="J3287">IFERROR(INDEX('Retirement Calculator'!K:K,MATCH('Lorri 401b'!N3287,'Retirement Calculator'!A:A,0),0),0)</f>
        <v>0</v>
      </c>
      <c r="K3287" s="455">
        <f t="shared" ca="1" si="143"/>
        <v>-1490686816.9613266</v>
      </c>
      <c r="L3287" s="455">
        <f t="shared" ca="1" si="144"/>
        <v>-359255522887.67969</v>
      </c>
      <c r="M3287" s="471">
        <f t="shared" si="146"/>
        <v>0.05</v>
      </c>
      <c r="N3287" s="475">
        <f t="shared" si="147"/>
        <v>151090</v>
      </c>
    </row>
    <row r="3288" spans="7:14" ht="11.25" customHeight="1" x14ac:dyDescent="0.3">
      <c r="G3288" s="470"/>
      <c r="H3288" s="470">
        <v>3281</v>
      </c>
      <c r="I3288" s="455">
        <f t="shared" ca="1" si="145"/>
        <v>-359255522887.67969</v>
      </c>
      <c r="J3288" s="455">
        <f t="array" ref="J3288">IFERROR(INDEX('Retirement Calculator'!K:K,MATCH('Lorri 401b'!N3288,'Retirement Calculator'!A:A,0),0),0)</f>
        <v>0</v>
      </c>
      <c r="K3288" s="455">
        <f t="shared" ca="1" si="143"/>
        <v>-1496898012.0319986</v>
      </c>
      <c r="L3288" s="455">
        <f t="shared" ca="1" si="144"/>
        <v>-360752420899.71167</v>
      </c>
      <c r="M3288" s="471">
        <f t="shared" si="146"/>
        <v>0.05</v>
      </c>
      <c r="N3288" s="475">
        <f t="shared" si="147"/>
        <v>151120</v>
      </c>
    </row>
    <row r="3289" spans="7:14" ht="11.25" customHeight="1" x14ac:dyDescent="0.3">
      <c r="G3289" s="470"/>
      <c r="H3289" s="470">
        <v>3282</v>
      </c>
      <c r="I3289" s="455">
        <f t="shared" ca="1" si="145"/>
        <v>-360752420899.71167</v>
      </c>
      <c r="J3289" s="455">
        <f t="array" ref="J3289">IFERROR(INDEX('Retirement Calculator'!K:K,MATCH('Lorri 401b'!N3289,'Retirement Calculator'!A:A,0),0),0)</f>
        <v>0</v>
      </c>
      <c r="K3289" s="455">
        <f t="shared" ca="1" si="143"/>
        <v>-1503135087.0821319</v>
      </c>
      <c r="L3289" s="455">
        <f t="shared" ca="1" si="144"/>
        <v>-362255555986.79382</v>
      </c>
      <c r="M3289" s="471">
        <f t="shared" si="146"/>
        <v>0.05</v>
      </c>
      <c r="N3289" s="475">
        <f t="shared" si="147"/>
        <v>151151</v>
      </c>
    </row>
    <row r="3290" spans="7:14" ht="11.25" customHeight="1" x14ac:dyDescent="0.3">
      <c r="G3290" s="470"/>
      <c r="H3290" s="470">
        <v>3283</v>
      </c>
      <c r="I3290" s="455">
        <f t="shared" ca="1" si="145"/>
        <v>-362255555986.79382</v>
      </c>
      <c r="J3290" s="455">
        <f t="array" ref="J3290">IFERROR(INDEX('Retirement Calculator'!K:K,MATCH('Lorri 401b'!N3290,'Retirement Calculator'!A:A,0),0),0)</f>
        <v>0</v>
      </c>
      <c r="K3290" s="455">
        <f t="shared" ca="1" si="143"/>
        <v>-1509398149.9449742</v>
      </c>
      <c r="L3290" s="455">
        <f t="shared" ca="1" si="144"/>
        <v>-363764954136.73877</v>
      </c>
      <c r="M3290" s="471">
        <f t="shared" si="146"/>
        <v>0.05</v>
      </c>
      <c r="N3290" s="475">
        <f t="shared" si="147"/>
        <v>151181</v>
      </c>
    </row>
    <row r="3291" spans="7:14" ht="11.25" customHeight="1" x14ac:dyDescent="0.3">
      <c r="G3291" s="470"/>
      <c r="H3291" s="470">
        <v>3284</v>
      </c>
      <c r="I3291" s="455">
        <f t="shared" ca="1" si="145"/>
        <v>-363764954136.73877</v>
      </c>
      <c r="J3291" s="455">
        <f t="array" ref="J3291">IFERROR(INDEX('Retirement Calculator'!K:K,MATCH('Lorri 401b'!N3291,'Retirement Calculator'!A:A,0),0),0)</f>
        <v>0</v>
      </c>
      <c r="K3291" s="455">
        <f t="shared" ca="1" si="143"/>
        <v>-1515687308.9030781</v>
      </c>
      <c r="L3291" s="455">
        <f t="shared" ca="1" si="144"/>
        <v>-365280641445.64185</v>
      </c>
      <c r="M3291" s="471">
        <f t="shared" si="146"/>
        <v>0.05</v>
      </c>
      <c r="N3291" s="475">
        <f t="shared" si="147"/>
        <v>151212</v>
      </c>
    </row>
    <row r="3292" spans="7:14" ht="11.25" customHeight="1" x14ac:dyDescent="0.3">
      <c r="G3292" s="470"/>
      <c r="H3292" s="470">
        <v>3285</v>
      </c>
      <c r="I3292" s="455">
        <f t="shared" ca="1" si="145"/>
        <v>-365280641445.64185</v>
      </c>
      <c r="J3292" s="455">
        <f t="array" ref="J3292">IFERROR(INDEX('Retirement Calculator'!K:K,MATCH('Lorri 401b'!N3292,'Retirement Calculator'!A:A,0),0),0)</f>
        <v>0</v>
      </c>
      <c r="K3292" s="455">
        <f t="shared" ca="1" si="143"/>
        <v>-1522002672.6901743</v>
      </c>
      <c r="L3292" s="455">
        <f t="shared" ca="1" si="144"/>
        <v>-366802644118.33203</v>
      </c>
      <c r="M3292" s="471">
        <f t="shared" si="146"/>
        <v>0.05</v>
      </c>
      <c r="N3292" s="475">
        <f t="shared" si="147"/>
        <v>151243</v>
      </c>
    </row>
    <row r="3293" spans="7:14" ht="11.25" customHeight="1" x14ac:dyDescent="0.3">
      <c r="G3293" s="470"/>
      <c r="H3293" s="470">
        <v>3286</v>
      </c>
      <c r="I3293" s="455">
        <f t="shared" ca="1" si="145"/>
        <v>-366802644118.33203</v>
      </c>
      <c r="J3293" s="455">
        <f t="array" ref="J3293">IFERROR(INDEX('Retirement Calculator'!K:K,MATCH('Lorri 401b'!N3293,'Retirement Calculator'!A:A,0),0),0)</f>
        <v>0</v>
      </c>
      <c r="K3293" s="455">
        <f t="shared" ca="1" si="143"/>
        <v>-1528344350.4930501</v>
      </c>
      <c r="L3293" s="455">
        <f t="shared" ca="1" si="144"/>
        <v>-368330988468.82507</v>
      </c>
      <c r="M3293" s="471">
        <f t="shared" si="146"/>
        <v>0.05</v>
      </c>
      <c r="N3293" s="475">
        <f t="shared" si="147"/>
        <v>151271</v>
      </c>
    </row>
    <row r="3294" spans="7:14" ht="11.25" customHeight="1" x14ac:dyDescent="0.3">
      <c r="G3294" s="470"/>
      <c r="H3294" s="470">
        <v>3287</v>
      </c>
      <c r="I3294" s="455">
        <f t="shared" ca="1" si="145"/>
        <v>-368330988468.82507</v>
      </c>
      <c r="J3294" s="455">
        <f t="array" ref="J3294">IFERROR(INDEX('Retirement Calculator'!K:K,MATCH('Lorri 401b'!N3294,'Retirement Calculator'!A:A,0),0),0)</f>
        <v>0</v>
      </c>
      <c r="K3294" s="455">
        <f t="shared" ca="1" si="143"/>
        <v>-1534712451.9534378</v>
      </c>
      <c r="L3294" s="455">
        <f t="shared" ca="1" si="144"/>
        <v>-369865700920.7785</v>
      </c>
      <c r="M3294" s="471">
        <f t="shared" si="146"/>
        <v>0.05</v>
      </c>
      <c r="N3294" s="475">
        <f t="shared" si="147"/>
        <v>151302</v>
      </c>
    </row>
    <row r="3295" spans="7:14" ht="11.25" customHeight="1" x14ac:dyDescent="0.3">
      <c r="G3295" s="470"/>
      <c r="H3295" s="470">
        <v>3288</v>
      </c>
      <c r="I3295" s="455">
        <f t="shared" ca="1" si="145"/>
        <v>-369865700920.7785</v>
      </c>
      <c r="J3295" s="455">
        <f t="array" ref="J3295">IFERROR(INDEX('Retirement Calculator'!K:K,MATCH('Lorri 401b'!N3295,'Retirement Calculator'!A:A,0),0),0)</f>
        <v>0</v>
      </c>
      <c r="K3295" s="455">
        <f t="shared" ca="1" si="143"/>
        <v>-1541107087.1699104</v>
      </c>
      <c r="L3295" s="455">
        <f t="shared" ca="1" si="144"/>
        <v>-371406808007.94843</v>
      </c>
      <c r="M3295" s="471">
        <f t="shared" si="146"/>
        <v>0.05</v>
      </c>
      <c r="N3295" s="475">
        <f t="shared" si="147"/>
        <v>151332</v>
      </c>
    </row>
    <row r="3296" spans="7:14" ht="11.25" customHeight="1" x14ac:dyDescent="0.3">
      <c r="G3296" s="470"/>
      <c r="H3296" s="470">
        <v>3289</v>
      </c>
      <c r="I3296" s="455">
        <f t="shared" ca="1" si="145"/>
        <v>-371406808007.94843</v>
      </c>
      <c r="J3296" s="455">
        <f t="array" ref="J3296">IFERROR(INDEX('Retirement Calculator'!K:K,MATCH('Lorri 401b'!N3296,'Retirement Calculator'!A:A,0),0),0)</f>
        <v>0</v>
      </c>
      <c r="K3296" s="455">
        <f t="shared" ca="1" si="143"/>
        <v>-1547528366.699785</v>
      </c>
      <c r="L3296" s="455">
        <f t="shared" ca="1" si="144"/>
        <v>-372954336374.64819</v>
      </c>
      <c r="M3296" s="471">
        <f t="shared" si="146"/>
        <v>0.05</v>
      </c>
      <c r="N3296" s="475">
        <f t="shared" si="147"/>
        <v>151363</v>
      </c>
    </row>
    <row r="3297" spans="7:14" ht="11.25" customHeight="1" x14ac:dyDescent="0.3">
      <c r="G3297" s="470"/>
      <c r="H3297" s="470">
        <v>3290</v>
      </c>
      <c r="I3297" s="455">
        <f t="shared" ca="1" si="145"/>
        <v>-372954336374.64819</v>
      </c>
      <c r="J3297" s="455">
        <f t="array" ref="J3297">IFERROR(INDEX('Retirement Calculator'!K:K,MATCH('Lorri 401b'!N3297,'Retirement Calculator'!A:A,0),0),0)</f>
        <v>0</v>
      </c>
      <c r="K3297" s="455">
        <f t="shared" ca="1" si="143"/>
        <v>-1553976401.5610342</v>
      </c>
      <c r="L3297" s="455">
        <f t="shared" ca="1" si="144"/>
        <v>-374508312776.20923</v>
      </c>
      <c r="M3297" s="471">
        <f t="shared" si="146"/>
        <v>0.05</v>
      </c>
      <c r="N3297" s="475">
        <f t="shared" si="147"/>
        <v>151393</v>
      </c>
    </row>
    <row r="3298" spans="7:14" ht="11.25" customHeight="1" x14ac:dyDescent="0.3">
      <c r="G3298" s="470"/>
      <c r="H3298" s="470">
        <v>3291</v>
      </c>
      <c r="I3298" s="455">
        <f t="shared" ca="1" si="145"/>
        <v>-374508312776.20923</v>
      </c>
      <c r="J3298" s="455">
        <f t="array" ref="J3298">IFERROR(INDEX('Retirement Calculator'!K:K,MATCH('Lorri 401b'!N3298,'Retirement Calculator'!A:A,0),0),0)</f>
        <v>0</v>
      </c>
      <c r="K3298" s="455">
        <f t="shared" ca="1" si="143"/>
        <v>-1560451303.234205</v>
      </c>
      <c r="L3298" s="455">
        <f t="shared" ca="1" si="144"/>
        <v>-376068764079.44342</v>
      </c>
      <c r="M3298" s="471">
        <f t="shared" si="146"/>
        <v>0.05</v>
      </c>
      <c r="N3298" s="475">
        <f t="shared" si="147"/>
        <v>151424</v>
      </c>
    </row>
    <row r="3299" spans="7:14" ht="11.25" customHeight="1" x14ac:dyDescent="0.3">
      <c r="G3299" s="470"/>
      <c r="H3299" s="470">
        <v>3292</v>
      </c>
      <c r="I3299" s="455">
        <f t="shared" ca="1" si="145"/>
        <v>-376068764079.44342</v>
      </c>
      <c r="J3299" s="455">
        <f t="array" ref="J3299">IFERROR(INDEX('Retirement Calculator'!K:K,MATCH('Lorri 401b'!N3299,'Retirement Calculator'!A:A,0),0),0)</f>
        <v>0</v>
      </c>
      <c r="K3299" s="455">
        <f t="shared" ca="1" si="143"/>
        <v>-1566953183.6643476</v>
      </c>
      <c r="L3299" s="455">
        <f t="shared" ca="1" si="144"/>
        <v>-377635717263.10779</v>
      </c>
      <c r="M3299" s="471">
        <f t="shared" si="146"/>
        <v>0.05</v>
      </c>
      <c r="N3299" s="475">
        <f t="shared" si="147"/>
        <v>151455</v>
      </c>
    </row>
    <row r="3300" spans="7:14" ht="11.25" customHeight="1" x14ac:dyDescent="0.3">
      <c r="G3300" s="470"/>
      <c r="H3300" s="470">
        <v>3293</v>
      </c>
      <c r="I3300" s="455">
        <f t="shared" ca="1" si="145"/>
        <v>-377635717263.10779</v>
      </c>
      <c r="J3300" s="455">
        <f t="array" ref="J3300">IFERROR(INDEX('Retirement Calculator'!K:K,MATCH('Lorri 401b'!N3300,'Retirement Calculator'!A:A,0),0),0)</f>
        <v>0</v>
      </c>
      <c r="K3300" s="455">
        <f t="shared" ca="1" si="143"/>
        <v>-1573482155.262949</v>
      </c>
      <c r="L3300" s="455">
        <f t="shared" ca="1" si="144"/>
        <v>-379209199418.37073</v>
      </c>
      <c r="M3300" s="471">
        <f t="shared" si="146"/>
        <v>0.05</v>
      </c>
      <c r="N3300" s="475">
        <f t="shared" si="147"/>
        <v>151485</v>
      </c>
    </row>
    <row r="3301" spans="7:14" ht="11.25" customHeight="1" x14ac:dyDescent="0.3">
      <c r="G3301" s="470"/>
      <c r="H3301" s="470">
        <v>3294</v>
      </c>
      <c r="I3301" s="455">
        <f t="shared" ca="1" si="145"/>
        <v>-379209199418.37073</v>
      </c>
      <c r="J3301" s="455">
        <f t="array" ref="J3301">IFERROR(INDEX('Retirement Calculator'!K:K,MATCH('Lorri 401b'!N3301,'Retirement Calculator'!A:A,0),0),0)</f>
        <v>0</v>
      </c>
      <c r="K3301" s="455">
        <f t="shared" ca="1" si="143"/>
        <v>-1580038330.909878</v>
      </c>
      <c r="L3301" s="455">
        <f t="shared" ca="1" si="144"/>
        <v>-380789237749.28058</v>
      </c>
      <c r="M3301" s="471">
        <f t="shared" si="146"/>
        <v>0.05</v>
      </c>
      <c r="N3301" s="475">
        <f t="shared" si="147"/>
        <v>151516</v>
      </c>
    </row>
    <row r="3302" spans="7:14" ht="11.25" customHeight="1" x14ac:dyDescent="0.3">
      <c r="G3302" s="470"/>
      <c r="H3302" s="470">
        <v>3295</v>
      </c>
      <c r="I3302" s="455">
        <f t="shared" ca="1" si="145"/>
        <v>-380789237749.28058</v>
      </c>
      <c r="J3302" s="455">
        <f t="array" ref="J3302">IFERROR(INDEX('Retirement Calculator'!K:K,MATCH('Lorri 401b'!N3302,'Retirement Calculator'!A:A,0),0),0)</f>
        <v>0</v>
      </c>
      <c r="K3302" s="455">
        <f t="shared" ca="1" si="143"/>
        <v>-1586621823.9553356</v>
      </c>
      <c r="L3302" s="455">
        <f t="shared" ca="1" si="144"/>
        <v>-382375859573.2359</v>
      </c>
      <c r="M3302" s="471">
        <f t="shared" si="146"/>
        <v>0.05</v>
      </c>
      <c r="N3302" s="475">
        <f t="shared" si="147"/>
        <v>151546</v>
      </c>
    </row>
    <row r="3303" spans="7:14" ht="11.25" customHeight="1" x14ac:dyDescent="0.3">
      <c r="G3303" s="470"/>
      <c r="H3303" s="470">
        <v>3296</v>
      </c>
      <c r="I3303" s="455">
        <f t="shared" ca="1" si="145"/>
        <v>-382375859573.2359</v>
      </c>
      <c r="J3303" s="455">
        <f t="array" ref="J3303">IFERROR(INDEX('Retirement Calculator'!K:K,MATCH('Lorri 401b'!N3303,'Retirement Calculator'!A:A,0),0),0)</f>
        <v>0</v>
      </c>
      <c r="K3303" s="455">
        <f t="shared" ca="1" si="143"/>
        <v>-1593232748.2218163</v>
      </c>
      <c r="L3303" s="455">
        <f t="shared" ca="1" si="144"/>
        <v>-383969092321.4577</v>
      </c>
      <c r="M3303" s="471">
        <f t="shared" si="146"/>
        <v>0.05</v>
      </c>
      <c r="N3303" s="475">
        <f t="shared" si="147"/>
        <v>151577</v>
      </c>
    </row>
    <row r="3304" spans="7:14" ht="11.25" customHeight="1" x14ac:dyDescent="0.3">
      <c r="G3304" s="470"/>
      <c r="H3304" s="470">
        <v>3297</v>
      </c>
      <c r="I3304" s="455">
        <f t="shared" ca="1" si="145"/>
        <v>-383969092321.4577</v>
      </c>
      <c r="J3304" s="455">
        <f t="array" ref="J3304">IFERROR(INDEX('Retirement Calculator'!K:K,MATCH('Lorri 401b'!N3304,'Retirement Calculator'!A:A,0),0),0)</f>
        <v>0</v>
      </c>
      <c r="K3304" s="455">
        <f t="shared" ca="1" si="143"/>
        <v>-1599871218.0060737</v>
      </c>
      <c r="L3304" s="455">
        <f t="shared" ca="1" si="144"/>
        <v>-385568963539.46381</v>
      </c>
      <c r="M3304" s="471">
        <f t="shared" si="146"/>
        <v>0.05</v>
      </c>
      <c r="N3304" s="475">
        <f t="shared" si="147"/>
        <v>151608</v>
      </c>
    </row>
    <row r="3305" spans="7:14" ht="11.25" customHeight="1" x14ac:dyDescent="0.3">
      <c r="G3305" s="470"/>
      <c r="H3305" s="470">
        <v>3298</v>
      </c>
      <c r="I3305" s="455">
        <f t="shared" ca="1" si="145"/>
        <v>-385568963539.46381</v>
      </c>
      <c r="J3305" s="455">
        <f t="array" ref="J3305">IFERROR(INDEX('Retirement Calculator'!K:K,MATCH('Lorri 401b'!N3305,'Retirement Calculator'!A:A,0),0),0)</f>
        <v>0</v>
      </c>
      <c r="K3305" s="455">
        <f t="shared" ca="1" si="143"/>
        <v>-1606537348.0810993</v>
      </c>
      <c r="L3305" s="455">
        <f t="shared" ca="1" si="144"/>
        <v>-387175500887.54492</v>
      </c>
      <c r="M3305" s="471">
        <f t="shared" si="146"/>
        <v>0.05</v>
      </c>
      <c r="N3305" s="475">
        <f t="shared" si="147"/>
        <v>151636</v>
      </c>
    </row>
    <row r="3306" spans="7:14" ht="11.25" customHeight="1" x14ac:dyDescent="0.3">
      <c r="G3306" s="470"/>
      <c r="H3306" s="470">
        <v>3299</v>
      </c>
      <c r="I3306" s="455">
        <f t="shared" ca="1" si="145"/>
        <v>-387175500887.54492</v>
      </c>
      <c r="J3306" s="455">
        <f t="array" ref="J3306">IFERROR(INDEX('Retirement Calculator'!K:K,MATCH('Lorri 401b'!N3306,'Retirement Calculator'!A:A,0),0),0)</f>
        <v>0</v>
      </c>
      <c r="K3306" s="455">
        <f t="shared" ca="1" si="143"/>
        <v>-1613231253.6981039</v>
      </c>
      <c r="L3306" s="455">
        <f t="shared" ca="1" si="144"/>
        <v>-388788732141.24304</v>
      </c>
      <c r="M3306" s="471">
        <f t="shared" si="146"/>
        <v>0.05</v>
      </c>
      <c r="N3306" s="475">
        <f t="shared" si="147"/>
        <v>151667</v>
      </c>
    </row>
    <row r="3307" spans="7:14" ht="11.25" customHeight="1" x14ac:dyDescent="0.3">
      <c r="G3307" s="470"/>
      <c r="H3307" s="470">
        <v>3300</v>
      </c>
      <c r="I3307" s="455">
        <f t="shared" ca="1" si="145"/>
        <v>-388788732141.24304</v>
      </c>
      <c r="J3307" s="455">
        <f t="array" ref="J3307">IFERROR(INDEX('Retirement Calculator'!K:K,MATCH('Lorri 401b'!N3307,'Retirement Calculator'!A:A,0),0),0)</f>
        <v>0</v>
      </c>
      <c r="K3307" s="455">
        <f t="shared" ca="1" si="143"/>
        <v>-1619953050.5885127</v>
      </c>
      <c r="L3307" s="455">
        <f t="shared" ca="1" si="144"/>
        <v>-390408685191.83154</v>
      </c>
      <c r="M3307" s="471">
        <f t="shared" si="146"/>
        <v>0.05</v>
      </c>
      <c r="N3307" s="475">
        <f t="shared" si="147"/>
        <v>151697</v>
      </c>
    </row>
    <row r="3308" spans="7:14" ht="11.25" customHeight="1" x14ac:dyDescent="0.3">
      <c r="G3308" s="470"/>
      <c r="H3308" s="470">
        <v>3301</v>
      </c>
      <c r="I3308" s="455">
        <f t="shared" ca="1" si="145"/>
        <v>-390408685191.83154</v>
      </c>
      <c r="J3308" s="455">
        <f t="array" ref="J3308">IFERROR(INDEX('Retirement Calculator'!K:K,MATCH('Lorri 401b'!N3308,'Retirement Calculator'!A:A,0),0),0)</f>
        <v>0</v>
      </c>
      <c r="K3308" s="455">
        <f t="shared" ca="1" si="143"/>
        <v>-1626702854.9659648</v>
      </c>
      <c r="L3308" s="455">
        <f t="shared" ca="1" si="144"/>
        <v>-392035388046.79749</v>
      </c>
      <c r="M3308" s="471">
        <f t="shared" si="146"/>
        <v>0.05</v>
      </c>
      <c r="N3308" s="475">
        <f t="shared" si="147"/>
        <v>151728</v>
      </c>
    </row>
    <row r="3309" spans="7:14" ht="11.25" customHeight="1" x14ac:dyDescent="0.3">
      <c r="G3309" s="470"/>
      <c r="H3309" s="470">
        <v>3302</v>
      </c>
      <c r="I3309" s="455">
        <f t="shared" ca="1" si="145"/>
        <v>-392035388046.79749</v>
      </c>
      <c r="J3309" s="455">
        <f t="array" ref="J3309">IFERROR(INDEX('Retirement Calculator'!K:K,MATCH('Lorri 401b'!N3309,'Retirement Calculator'!A:A,0),0),0)</f>
        <v>0</v>
      </c>
      <c r="K3309" s="455">
        <f t="shared" ca="1" si="143"/>
        <v>-1633480783.5283229</v>
      </c>
      <c r="L3309" s="455">
        <f t="shared" ca="1" si="144"/>
        <v>-393668868830.32581</v>
      </c>
      <c r="M3309" s="471">
        <f t="shared" si="146"/>
        <v>0.05</v>
      </c>
      <c r="N3309" s="475">
        <f t="shared" si="147"/>
        <v>151758</v>
      </c>
    </row>
    <row r="3310" spans="7:14" ht="11.25" customHeight="1" x14ac:dyDescent="0.3">
      <c r="G3310" s="470"/>
      <c r="H3310" s="470">
        <v>3303</v>
      </c>
      <c r="I3310" s="455">
        <f t="shared" ca="1" si="145"/>
        <v>-393668868830.32581</v>
      </c>
      <c r="J3310" s="455">
        <f t="array" ref="J3310">IFERROR(INDEX('Retirement Calculator'!K:K,MATCH('Lorri 401b'!N3310,'Retirement Calculator'!A:A,0),0),0)</f>
        <v>0</v>
      </c>
      <c r="K3310" s="455">
        <f t="shared" ca="1" si="143"/>
        <v>-1640286953.4596908</v>
      </c>
      <c r="L3310" s="455">
        <f t="shared" ca="1" si="144"/>
        <v>-395309155783.78552</v>
      </c>
      <c r="M3310" s="471">
        <f t="shared" si="146"/>
        <v>0.05</v>
      </c>
      <c r="N3310" s="475">
        <f t="shared" si="147"/>
        <v>151789</v>
      </c>
    </row>
    <row r="3311" spans="7:14" ht="11.25" customHeight="1" x14ac:dyDescent="0.3">
      <c r="G3311" s="470"/>
      <c r="H3311" s="470">
        <v>3304</v>
      </c>
      <c r="I3311" s="455">
        <f t="shared" ca="1" si="145"/>
        <v>-395309155783.78552</v>
      </c>
      <c r="J3311" s="455">
        <f t="array" ref="J3311">IFERROR(INDEX('Retirement Calculator'!K:K,MATCH('Lorri 401b'!N3311,'Retirement Calculator'!A:A,0),0),0)</f>
        <v>0</v>
      </c>
      <c r="K3311" s="455">
        <f t="shared" ca="1" si="143"/>
        <v>-1647121482.4324396</v>
      </c>
      <c r="L3311" s="455">
        <f t="shared" ca="1" si="144"/>
        <v>-396956277266.21796</v>
      </c>
      <c r="M3311" s="471">
        <f t="shared" si="146"/>
        <v>0.05</v>
      </c>
      <c r="N3311" s="475">
        <f t="shared" si="147"/>
        <v>151820</v>
      </c>
    </row>
    <row r="3312" spans="7:14" ht="11.25" customHeight="1" x14ac:dyDescent="0.3">
      <c r="G3312" s="470"/>
      <c r="H3312" s="470">
        <v>3305</v>
      </c>
      <c r="I3312" s="455">
        <f t="shared" ca="1" si="145"/>
        <v>-396956277266.21796</v>
      </c>
      <c r="J3312" s="455">
        <f t="array" ref="J3312">IFERROR(INDEX('Retirement Calculator'!K:K,MATCH('Lorri 401b'!N3312,'Retirement Calculator'!A:A,0),0),0)</f>
        <v>0</v>
      </c>
      <c r="K3312" s="455">
        <f t="shared" ca="1" si="143"/>
        <v>-1653984488.6092415</v>
      </c>
      <c r="L3312" s="455">
        <f t="shared" ca="1" si="144"/>
        <v>-398610261754.82721</v>
      </c>
      <c r="M3312" s="471">
        <f t="shared" si="146"/>
        <v>0.05</v>
      </c>
      <c r="N3312" s="475">
        <f t="shared" si="147"/>
        <v>151850</v>
      </c>
    </row>
    <row r="3313" spans="7:14" ht="11.25" customHeight="1" x14ac:dyDescent="0.3">
      <c r="G3313" s="470"/>
      <c r="H3313" s="470">
        <v>3306</v>
      </c>
      <c r="I3313" s="455">
        <f t="shared" ca="1" si="145"/>
        <v>-398610261754.82721</v>
      </c>
      <c r="J3313" s="455">
        <f t="array" ref="J3313">IFERROR(INDEX('Retirement Calculator'!K:K,MATCH('Lorri 401b'!N3313,'Retirement Calculator'!A:A,0),0),0)</f>
        <v>0</v>
      </c>
      <c r="K3313" s="455">
        <f t="shared" ca="1" si="143"/>
        <v>-1660876090.6451135</v>
      </c>
      <c r="L3313" s="455">
        <f t="shared" ca="1" si="144"/>
        <v>-400271137845.47235</v>
      </c>
      <c r="M3313" s="471">
        <f t="shared" si="146"/>
        <v>0.05</v>
      </c>
      <c r="N3313" s="475">
        <f t="shared" si="147"/>
        <v>151881</v>
      </c>
    </row>
    <row r="3314" spans="7:14" ht="11.25" customHeight="1" x14ac:dyDescent="0.3">
      <c r="G3314" s="470"/>
      <c r="H3314" s="470">
        <v>3307</v>
      </c>
      <c r="I3314" s="455">
        <f t="shared" ca="1" si="145"/>
        <v>-400271137845.47235</v>
      </c>
      <c r="J3314" s="455">
        <f t="array" ref="J3314">IFERROR(INDEX('Retirement Calculator'!K:K,MATCH('Lorri 401b'!N3314,'Retirement Calculator'!A:A,0),0),0)</f>
        <v>0</v>
      </c>
      <c r="K3314" s="455">
        <f t="shared" ca="1" si="143"/>
        <v>-1667796407.6894681</v>
      </c>
      <c r="L3314" s="455">
        <f t="shared" ca="1" si="144"/>
        <v>-401938934253.1618</v>
      </c>
      <c r="M3314" s="471">
        <f t="shared" si="146"/>
        <v>0.05</v>
      </c>
      <c r="N3314" s="475">
        <f t="shared" si="147"/>
        <v>151911</v>
      </c>
    </row>
    <row r="3315" spans="7:14" ht="11.25" customHeight="1" x14ac:dyDescent="0.3">
      <c r="G3315" s="470"/>
      <c r="H3315" s="470">
        <v>3308</v>
      </c>
      <c r="I3315" s="455">
        <f t="shared" ca="1" si="145"/>
        <v>-401938934253.1618</v>
      </c>
      <c r="J3315" s="455">
        <f t="array" ref="J3315">IFERROR(INDEX('Retirement Calculator'!K:K,MATCH('Lorri 401b'!N3315,'Retirement Calculator'!A:A,0),0),0)</f>
        <v>0</v>
      </c>
      <c r="K3315" s="455">
        <f t="shared" ca="1" si="143"/>
        <v>-1674745559.3881741</v>
      </c>
      <c r="L3315" s="455">
        <f t="shared" ca="1" si="144"/>
        <v>-403613679812.54999</v>
      </c>
      <c r="M3315" s="471">
        <f t="shared" si="146"/>
        <v>0.05</v>
      </c>
      <c r="N3315" s="475">
        <f t="shared" si="147"/>
        <v>151942</v>
      </c>
    </row>
    <row r="3316" spans="7:14" ht="11.25" customHeight="1" x14ac:dyDescent="0.3">
      <c r="G3316" s="470"/>
      <c r="H3316" s="470">
        <v>3309</v>
      </c>
      <c r="I3316" s="455">
        <f t="shared" ca="1" si="145"/>
        <v>-403613679812.54999</v>
      </c>
      <c r="J3316" s="455">
        <f t="array" ref="J3316">IFERROR(INDEX('Retirement Calculator'!K:K,MATCH('Lorri 401b'!N3316,'Retirement Calculator'!A:A,0),0),0)</f>
        <v>0</v>
      </c>
      <c r="K3316" s="455">
        <f t="shared" ca="1" si="143"/>
        <v>-1681723665.8856249</v>
      </c>
      <c r="L3316" s="455">
        <f t="shared" ca="1" si="144"/>
        <v>-405295403478.43561</v>
      </c>
      <c r="M3316" s="471">
        <f t="shared" si="146"/>
        <v>0.05</v>
      </c>
      <c r="N3316" s="475">
        <f t="shared" si="147"/>
        <v>151973</v>
      </c>
    </row>
    <row r="3317" spans="7:14" ht="11.25" customHeight="1" x14ac:dyDescent="0.3">
      <c r="G3317" s="470"/>
      <c r="H3317" s="470">
        <v>3310</v>
      </c>
      <c r="I3317" s="455">
        <f t="shared" ca="1" si="145"/>
        <v>-405295403478.43561</v>
      </c>
      <c r="J3317" s="455">
        <f t="array" ref="J3317">IFERROR(INDEX('Retirement Calculator'!K:K,MATCH('Lorri 401b'!N3317,'Retirement Calculator'!A:A,0),0),0)</f>
        <v>0</v>
      </c>
      <c r="K3317" s="455">
        <f t="shared" ca="1" si="143"/>
        <v>-1688730847.8268151</v>
      </c>
      <c r="L3317" s="455">
        <f t="shared" ca="1" si="144"/>
        <v>-406984134326.26245</v>
      </c>
      <c r="M3317" s="471">
        <f t="shared" si="146"/>
        <v>0.05</v>
      </c>
      <c r="N3317" s="475">
        <f t="shared" si="147"/>
        <v>152002</v>
      </c>
    </row>
    <row r="3318" spans="7:14" ht="11.25" customHeight="1" x14ac:dyDescent="0.3">
      <c r="G3318" s="470"/>
      <c r="H3318" s="470">
        <v>3311</v>
      </c>
      <c r="I3318" s="455">
        <f t="shared" ca="1" si="145"/>
        <v>-406984134326.26245</v>
      </c>
      <c r="J3318" s="455">
        <f t="array" ref="J3318">IFERROR(INDEX('Retirement Calculator'!K:K,MATCH('Lorri 401b'!N3318,'Retirement Calculator'!A:A,0),0),0)</f>
        <v>0</v>
      </c>
      <c r="K3318" s="455">
        <f t="shared" ca="1" si="143"/>
        <v>-1695767226.359427</v>
      </c>
      <c r="L3318" s="455">
        <f t="shared" ca="1" si="144"/>
        <v>-408679901552.62189</v>
      </c>
      <c r="M3318" s="471">
        <f t="shared" si="146"/>
        <v>0.05</v>
      </c>
      <c r="N3318" s="475">
        <f t="shared" si="147"/>
        <v>152033</v>
      </c>
    </row>
    <row r="3319" spans="7:14" ht="11.25" customHeight="1" x14ac:dyDescent="0.3">
      <c r="G3319" s="470"/>
      <c r="H3319" s="470">
        <v>3312</v>
      </c>
      <c r="I3319" s="455">
        <f t="shared" ca="1" si="145"/>
        <v>-408679901552.62189</v>
      </c>
      <c r="J3319" s="455">
        <f t="array" ref="J3319">IFERROR(INDEX('Retirement Calculator'!K:K,MATCH('Lorri 401b'!N3319,'Retirement Calculator'!A:A,0),0),0)</f>
        <v>0</v>
      </c>
      <c r="K3319" s="455">
        <f t="shared" ca="1" si="143"/>
        <v>-1702832923.1359246</v>
      </c>
      <c r="L3319" s="455">
        <f t="shared" ca="1" si="144"/>
        <v>-410382734475.75781</v>
      </c>
      <c r="M3319" s="471">
        <f t="shared" si="146"/>
        <v>0.05</v>
      </c>
      <c r="N3319" s="475">
        <f t="shared" si="147"/>
        <v>152063</v>
      </c>
    </row>
    <row r="3320" spans="7:14" ht="11.25" customHeight="1" x14ac:dyDescent="0.3">
      <c r="G3320" s="470"/>
      <c r="H3320" s="470">
        <v>3313</v>
      </c>
      <c r="I3320" s="455">
        <f t="shared" ca="1" si="145"/>
        <v>-410382734475.75781</v>
      </c>
      <c r="J3320" s="455">
        <f t="array" ref="J3320">IFERROR(INDEX('Retirement Calculator'!K:K,MATCH('Lorri 401b'!N3320,'Retirement Calculator'!A:A,0),0),0)</f>
        <v>0</v>
      </c>
      <c r="K3320" s="455">
        <f t="shared" ca="1" si="143"/>
        <v>-1709928060.3156576</v>
      </c>
      <c r="L3320" s="455">
        <f t="shared" ca="1" si="144"/>
        <v>-412092662536.07349</v>
      </c>
      <c r="M3320" s="471">
        <f t="shared" si="146"/>
        <v>0.05</v>
      </c>
      <c r="N3320" s="475">
        <f t="shared" si="147"/>
        <v>152094</v>
      </c>
    </row>
    <row r="3321" spans="7:14" ht="11.25" customHeight="1" x14ac:dyDescent="0.3">
      <c r="G3321" s="470"/>
      <c r="H3321" s="470">
        <v>3314</v>
      </c>
      <c r="I3321" s="455">
        <f t="shared" ca="1" si="145"/>
        <v>-412092662536.07349</v>
      </c>
      <c r="J3321" s="455">
        <f t="array" ref="J3321">IFERROR(INDEX('Retirement Calculator'!K:K,MATCH('Lorri 401b'!N3321,'Retirement Calculator'!A:A,0),0),0)</f>
        <v>0</v>
      </c>
      <c r="K3321" s="455">
        <f t="shared" ca="1" si="143"/>
        <v>-1717052760.5669727</v>
      </c>
      <c r="L3321" s="455">
        <f t="shared" ca="1" si="144"/>
        <v>-413809715296.64044</v>
      </c>
      <c r="M3321" s="471">
        <f t="shared" si="146"/>
        <v>0.05</v>
      </c>
      <c r="N3321" s="475">
        <f t="shared" si="147"/>
        <v>152124</v>
      </c>
    </row>
    <row r="3322" spans="7:14" ht="11.25" customHeight="1" x14ac:dyDescent="0.3">
      <c r="G3322" s="470"/>
      <c r="H3322" s="470">
        <v>3315</v>
      </c>
      <c r="I3322" s="455">
        <f t="shared" ca="1" si="145"/>
        <v>-413809715296.64044</v>
      </c>
      <c r="J3322" s="455">
        <f t="array" ref="J3322">IFERROR(INDEX('Retirement Calculator'!K:K,MATCH('Lorri 401b'!N3322,'Retirement Calculator'!A:A,0),0),0)</f>
        <v>0</v>
      </c>
      <c r="K3322" s="455">
        <f t="shared" ca="1" si="143"/>
        <v>-1724207147.0693352</v>
      </c>
      <c r="L3322" s="455">
        <f t="shared" ca="1" si="144"/>
        <v>-415533922443.70978</v>
      </c>
      <c r="M3322" s="471">
        <f t="shared" si="146"/>
        <v>0.05</v>
      </c>
      <c r="N3322" s="475">
        <f t="shared" si="147"/>
        <v>152155</v>
      </c>
    </row>
    <row r="3323" spans="7:14" ht="11.25" customHeight="1" x14ac:dyDescent="0.3">
      <c r="G3323" s="470"/>
      <c r="H3323" s="470">
        <v>3316</v>
      </c>
      <c r="I3323" s="455">
        <f t="shared" ca="1" si="145"/>
        <v>-415533922443.70978</v>
      </c>
      <c r="J3323" s="455">
        <f t="array" ref="J3323">IFERROR(INDEX('Retirement Calculator'!K:K,MATCH('Lorri 401b'!N3323,'Retirement Calculator'!A:A,0),0),0)</f>
        <v>0</v>
      </c>
      <c r="K3323" s="455">
        <f t="shared" ref="K3323:K3577" ca="1" si="148">IPMT(M3323/12,1,12,-I3323+J3323,,0)</f>
        <v>-1731391343.5154574</v>
      </c>
      <c r="L3323" s="455">
        <f t="shared" ref="L3323:L3577" ca="1" si="149">I3323-J3323+K3323</f>
        <v>-417265313787.22522</v>
      </c>
      <c r="M3323" s="471">
        <f t="shared" si="146"/>
        <v>0.05</v>
      </c>
      <c r="N3323" s="475">
        <f t="shared" si="147"/>
        <v>152186</v>
      </c>
    </row>
    <row r="3324" spans="7:14" ht="11.25" customHeight="1" x14ac:dyDescent="0.3">
      <c r="G3324" s="470"/>
      <c r="H3324" s="470">
        <v>3317</v>
      </c>
      <c r="I3324" s="455">
        <f t="shared" ref="I3324:I3578" ca="1" si="150">L3323</f>
        <v>-417265313787.22522</v>
      </c>
      <c r="J3324" s="455">
        <f t="array" ref="J3324">IFERROR(INDEX('Retirement Calculator'!K:K,MATCH('Lorri 401b'!N3324,'Retirement Calculator'!A:A,0),0),0)</f>
        <v>0</v>
      </c>
      <c r="K3324" s="455">
        <f t="shared" ca="1" si="148"/>
        <v>-1738605474.1134384</v>
      </c>
      <c r="L3324" s="455">
        <f t="shared" ca="1" si="149"/>
        <v>-419003919261.33868</v>
      </c>
      <c r="M3324" s="471">
        <f t="shared" ref="M3324:M3578" si="151">M3323</f>
        <v>0.05</v>
      </c>
      <c r="N3324" s="475">
        <f t="shared" ref="N3324:N3578" si="152">EDATE(N3323,1)</f>
        <v>152216</v>
      </c>
    </row>
    <row r="3325" spans="7:14" ht="11.25" customHeight="1" x14ac:dyDescent="0.3">
      <c r="G3325" s="470"/>
      <c r="H3325" s="470">
        <v>3318</v>
      </c>
      <c r="I3325" s="455">
        <f t="shared" ca="1" si="150"/>
        <v>-419003919261.33868</v>
      </c>
      <c r="J3325" s="455">
        <f t="array" ref="J3325">IFERROR(INDEX('Retirement Calculator'!K:K,MATCH('Lorri 401b'!N3325,'Retirement Calculator'!A:A,0),0),0)</f>
        <v>0</v>
      </c>
      <c r="K3325" s="455">
        <f t="shared" ca="1" si="148"/>
        <v>-1745849663.5889111</v>
      </c>
      <c r="L3325" s="455">
        <f t="shared" ca="1" si="149"/>
        <v>-420749768924.92761</v>
      </c>
      <c r="M3325" s="471">
        <f t="shared" si="151"/>
        <v>0.05</v>
      </c>
      <c r="N3325" s="475">
        <f t="shared" si="152"/>
        <v>152247</v>
      </c>
    </row>
    <row r="3326" spans="7:14" ht="11.25" customHeight="1" x14ac:dyDescent="0.3">
      <c r="G3326" s="470"/>
      <c r="H3326" s="470">
        <v>3319</v>
      </c>
      <c r="I3326" s="455">
        <f t="shared" ca="1" si="150"/>
        <v>-420749768924.92761</v>
      </c>
      <c r="J3326" s="455">
        <f t="array" ref="J3326">IFERROR(INDEX('Retirement Calculator'!K:K,MATCH('Lorri 401b'!N3326,'Retirement Calculator'!A:A,0),0),0)</f>
        <v>0</v>
      </c>
      <c r="K3326" s="455">
        <f t="shared" ca="1" si="148"/>
        <v>-1753124037.1871984</v>
      </c>
      <c r="L3326" s="455">
        <f t="shared" ca="1" si="149"/>
        <v>-422502892962.11481</v>
      </c>
      <c r="M3326" s="471">
        <f t="shared" si="151"/>
        <v>0.05</v>
      </c>
      <c r="N3326" s="475">
        <f t="shared" si="152"/>
        <v>152277</v>
      </c>
    </row>
    <row r="3327" spans="7:14" ht="11.25" customHeight="1" x14ac:dyDescent="0.3">
      <c r="G3327" s="470"/>
      <c r="H3327" s="470">
        <v>3320</v>
      </c>
      <c r="I3327" s="455">
        <f t="shared" ca="1" si="150"/>
        <v>-422502892962.11481</v>
      </c>
      <c r="J3327" s="455">
        <f t="array" ref="J3327">IFERROR(INDEX('Retirement Calculator'!K:K,MATCH('Lorri 401b'!N3327,'Retirement Calculator'!A:A,0),0),0)</f>
        <v>0</v>
      </c>
      <c r="K3327" s="455">
        <f t="shared" ca="1" si="148"/>
        <v>-1760428720.6754782</v>
      </c>
      <c r="L3327" s="455">
        <f t="shared" ca="1" si="149"/>
        <v>-424263321682.79028</v>
      </c>
      <c r="M3327" s="471">
        <f t="shared" si="151"/>
        <v>0.05</v>
      </c>
      <c r="N3327" s="475">
        <f t="shared" si="152"/>
        <v>152308</v>
      </c>
    </row>
    <row r="3328" spans="7:14" ht="11.25" customHeight="1" x14ac:dyDescent="0.3">
      <c r="G3328" s="470"/>
      <c r="H3328" s="470">
        <v>3321</v>
      </c>
      <c r="I3328" s="455">
        <f t="shared" ca="1" si="150"/>
        <v>-424263321682.79028</v>
      </c>
      <c r="J3328" s="455">
        <f t="array" ref="J3328">IFERROR(INDEX('Retirement Calculator'!K:K,MATCH('Lorri 401b'!N3328,'Retirement Calculator'!A:A,0),0),0)</f>
        <v>0</v>
      </c>
      <c r="K3328" s="455">
        <f t="shared" ca="1" si="148"/>
        <v>-1767763840.3449595</v>
      </c>
      <c r="L3328" s="455">
        <f t="shared" ca="1" si="149"/>
        <v>-426031085523.13525</v>
      </c>
      <c r="M3328" s="471">
        <f t="shared" si="151"/>
        <v>0.05</v>
      </c>
      <c r="N3328" s="475">
        <f t="shared" si="152"/>
        <v>152339</v>
      </c>
    </row>
    <row r="3329" spans="7:14" ht="11.25" customHeight="1" x14ac:dyDescent="0.3">
      <c r="G3329" s="470"/>
      <c r="H3329" s="470">
        <v>3322</v>
      </c>
      <c r="I3329" s="455">
        <f t="shared" ca="1" si="150"/>
        <v>-426031085523.13525</v>
      </c>
      <c r="J3329" s="455">
        <f t="array" ref="J3329">IFERROR(INDEX('Retirement Calculator'!K:K,MATCH('Lorri 401b'!N3329,'Retirement Calculator'!A:A,0),0),0)</f>
        <v>0</v>
      </c>
      <c r="K3329" s="455">
        <f t="shared" ca="1" si="148"/>
        <v>-1775129523.0130634</v>
      </c>
      <c r="L3329" s="455">
        <f t="shared" ca="1" si="149"/>
        <v>-427806215046.14832</v>
      </c>
      <c r="M3329" s="471">
        <f t="shared" si="151"/>
        <v>0.05</v>
      </c>
      <c r="N3329" s="475">
        <f t="shared" si="152"/>
        <v>152367</v>
      </c>
    </row>
    <row r="3330" spans="7:14" ht="11.25" customHeight="1" x14ac:dyDescent="0.3">
      <c r="G3330" s="470"/>
      <c r="H3330" s="470">
        <v>3323</v>
      </c>
      <c r="I3330" s="455">
        <f t="shared" ca="1" si="150"/>
        <v>-427806215046.14832</v>
      </c>
      <c r="J3330" s="455">
        <f t="array" ref="J3330">IFERROR(INDEX('Retirement Calculator'!K:K,MATCH('Lorri 401b'!N3330,'Retirement Calculator'!A:A,0),0),0)</f>
        <v>0</v>
      </c>
      <c r="K3330" s="455">
        <f t="shared" ca="1" si="148"/>
        <v>-1782525896.0256178</v>
      </c>
      <c r="L3330" s="455">
        <f t="shared" ca="1" si="149"/>
        <v>-429588740942.17395</v>
      </c>
      <c r="M3330" s="471">
        <f t="shared" si="151"/>
        <v>0.05</v>
      </c>
      <c r="N3330" s="475">
        <f t="shared" si="152"/>
        <v>152398</v>
      </c>
    </row>
    <row r="3331" spans="7:14" ht="11.25" customHeight="1" x14ac:dyDescent="0.3">
      <c r="G3331" s="470"/>
      <c r="H3331" s="470">
        <v>3324</v>
      </c>
      <c r="I3331" s="455">
        <f t="shared" ca="1" si="150"/>
        <v>-429588740942.17395</v>
      </c>
      <c r="J3331" s="455">
        <f t="array" ref="J3331">IFERROR(INDEX('Retirement Calculator'!K:K,MATCH('Lorri 401b'!N3331,'Retirement Calculator'!A:A,0),0),0)</f>
        <v>0</v>
      </c>
      <c r="K3331" s="455">
        <f t="shared" ca="1" si="148"/>
        <v>-1789953087.259058</v>
      </c>
      <c r="L3331" s="455">
        <f t="shared" ca="1" si="149"/>
        <v>-431378694029.43298</v>
      </c>
      <c r="M3331" s="471">
        <f t="shared" si="151"/>
        <v>0.05</v>
      </c>
      <c r="N3331" s="475">
        <f t="shared" si="152"/>
        <v>152428</v>
      </c>
    </row>
    <row r="3332" spans="7:14" ht="11.25" customHeight="1" x14ac:dyDescent="0.3">
      <c r="G3332" s="470"/>
      <c r="H3332" s="470">
        <v>3325</v>
      </c>
      <c r="I3332" s="455">
        <f t="shared" ca="1" si="150"/>
        <v>-431378694029.43298</v>
      </c>
      <c r="J3332" s="455">
        <f t="array" ref="J3332">IFERROR(INDEX('Retirement Calculator'!K:K,MATCH('Lorri 401b'!N3332,'Retirement Calculator'!A:A,0),0),0)</f>
        <v>0</v>
      </c>
      <c r="K3332" s="455">
        <f t="shared" ca="1" si="148"/>
        <v>-1797411225.1226377</v>
      </c>
      <c r="L3332" s="455">
        <f t="shared" ca="1" si="149"/>
        <v>-433176105254.5556</v>
      </c>
      <c r="M3332" s="471">
        <f t="shared" si="151"/>
        <v>0.05</v>
      </c>
      <c r="N3332" s="475">
        <f t="shared" si="152"/>
        <v>152459</v>
      </c>
    </row>
    <row r="3333" spans="7:14" ht="11.25" customHeight="1" x14ac:dyDescent="0.3">
      <c r="G3333" s="470"/>
      <c r="H3333" s="470">
        <v>3326</v>
      </c>
      <c r="I3333" s="455">
        <f t="shared" ca="1" si="150"/>
        <v>-433176105254.5556</v>
      </c>
      <c r="J3333" s="455">
        <f t="array" ref="J3333">IFERROR(INDEX('Retirement Calculator'!K:K,MATCH('Lorri 401b'!N3333,'Retirement Calculator'!A:A,0),0),0)</f>
        <v>0</v>
      </c>
      <c r="K3333" s="455">
        <f t="shared" ca="1" si="148"/>
        <v>-1804900438.5606482</v>
      </c>
      <c r="L3333" s="455">
        <f t="shared" ca="1" si="149"/>
        <v>-434981005693.11627</v>
      </c>
      <c r="M3333" s="471">
        <f t="shared" si="151"/>
        <v>0.05</v>
      </c>
      <c r="N3333" s="475">
        <f t="shared" si="152"/>
        <v>152489</v>
      </c>
    </row>
    <row r="3334" spans="7:14" ht="11.25" customHeight="1" x14ac:dyDescent="0.3">
      <c r="G3334" s="470"/>
      <c r="H3334" s="470">
        <v>3327</v>
      </c>
      <c r="I3334" s="455">
        <f t="shared" ca="1" si="150"/>
        <v>-434981005693.11627</v>
      </c>
      <c r="J3334" s="455">
        <f t="array" ref="J3334">IFERROR(INDEX('Retirement Calculator'!K:K,MATCH('Lorri 401b'!N3334,'Retirement Calculator'!A:A,0),0),0)</f>
        <v>0</v>
      </c>
      <c r="K3334" s="455">
        <f t="shared" ca="1" si="148"/>
        <v>-1812420857.0546513</v>
      </c>
      <c r="L3334" s="455">
        <f t="shared" ca="1" si="149"/>
        <v>-436793426550.1709</v>
      </c>
      <c r="M3334" s="471">
        <f t="shared" si="151"/>
        <v>0.05</v>
      </c>
      <c r="N3334" s="475">
        <f t="shared" si="152"/>
        <v>152520</v>
      </c>
    </row>
    <row r="3335" spans="7:14" ht="11.25" customHeight="1" x14ac:dyDescent="0.3">
      <c r="G3335" s="470"/>
      <c r="H3335" s="470">
        <v>3328</v>
      </c>
      <c r="I3335" s="455">
        <f t="shared" ca="1" si="150"/>
        <v>-436793426550.1709</v>
      </c>
      <c r="J3335" s="455">
        <f t="array" ref="J3335">IFERROR(INDEX('Retirement Calculator'!K:K,MATCH('Lorri 401b'!N3335,'Retirement Calculator'!A:A,0),0),0)</f>
        <v>0</v>
      </c>
      <c r="K3335" s="455">
        <f t="shared" ca="1" si="148"/>
        <v>-1819972610.6257122</v>
      </c>
      <c r="L3335" s="455">
        <f t="shared" ca="1" si="149"/>
        <v>-438613399160.79663</v>
      </c>
      <c r="M3335" s="471">
        <f t="shared" si="151"/>
        <v>0.05</v>
      </c>
      <c r="N3335" s="475">
        <f t="shared" si="152"/>
        <v>152551</v>
      </c>
    </row>
    <row r="3336" spans="7:14" ht="11.25" customHeight="1" x14ac:dyDescent="0.3">
      <c r="G3336" s="470"/>
      <c r="H3336" s="470">
        <v>3329</v>
      </c>
      <c r="I3336" s="455">
        <f t="shared" ca="1" si="150"/>
        <v>-438613399160.79663</v>
      </c>
      <c r="J3336" s="455">
        <f t="array" ref="J3336">IFERROR(INDEX('Retirement Calculator'!K:K,MATCH('Lorri 401b'!N3336,'Retirement Calculator'!A:A,0),0),0)</f>
        <v>0</v>
      </c>
      <c r="K3336" s="455">
        <f t="shared" ca="1" si="148"/>
        <v>-1827555829.8366525</v>
      </c>
      <c r="L3336" s="455">
        <f t="shared" ca="1" si="149"/>
        <v>-440440954990.6333</v>
      </c>
      <c r="M3336" s="471">
        <f t="shared" si="151"/>
        <v>0.05</v>
      </c>
      <c r="N3336" s="475">
        <f t="shared" si="152"/>
        <v>152581</v>
      </c>
    </row>
    <row r="3337" spans="7:14" ht="11.25" customHeight="1" x14ac:dyDescent="0.3">
      <c r="G3337" s="470"/>
      <c r="H3337" s="470">
        <v>3330</v>
      </c>
      <c r="I3337" s="455">
        <f t="shared" ca="1" si="150"/>
        <v>-440440954990.6333</v>
      </c>
      <c r="J3337" s="455">
        <f t="array" ref="J3337">IFERROR(INDEX('Retirement Calculator'!K:K,MATCH('Lorri 401b'!N3337,'Retirement Calculator'!A:A,0),0),0)</f>
        <v>0</v>
      </c>
      <c r="K3337" s="455">
        <f t="shared" ca="1" si="148"/>
        <v>-1835170645.7943053</v>
      </c>
      <c r="L3337" s="455">
        <f t="shared" ca="1" si="149"/>
        <v>-442276125636.42761</v>
      </c>
      <c r="M3337" s="471">
        <f t="shared" si="151"/>
        <v>0.05</v>
      </c>
      <c r="N3337" s="475">
        <f t="shared" si="152"/>
        <v>152612</v>
      </c>
    </row>
    <row r="3338" spans="7:14" ht="11.25" customHeight="1" x14ac:dyDescent="0.3">
      <c r="G3338" s="470"/>
      <c r="H3338" s="470">
        <v>3331</v>
      </c>
      <c r="I3338" s="455">
        <f t="shared" ca="1" si="150"/>
        <v>-442276125636.42761</v>
      </c>
      <c r="J3338" s="455">
        <f t="array" ref="J3338">IFERROR(INDEX('Retirement Calculator'!K:K,MATCH('Lorri 401b'!N3338,'Retirement Calculator'!A:A,0),0),0)</f>
        <v>0</v>
      </c>
      <c r="K3338" s="455">
        <f t="shared" ca="1" si="148"/>
        <v>-1842817190.1517818</v>
      </c>
      <c r="L3338" s="455">
        <f t="shared" ca="1" si="149"/>
        <v>-444118942826.57941</v>
      </c>
      <c r="M3338" s="471">
        <f t="shared" si="151"/>
        <v>0.05</v>
      </c>
      <c r="N3338" s="475">
        <f t="shared" si="152"/>
        <v>152642</v>
      </c>
    </row>
    <row r="3339" spans="7:14" ht="11.25" customHeight="1" x14ac:dyDescent="0.3">
      <c r="G3339" s="470"/>
      <c r="H3339" s="470">
        <v>3332</v>
      </c>
      <c r="I3339" s="455">
        <f t="shared" ca="1" si="150"/>
        <v>-444118942826.57941</v>
      </c>
      <c r="J3339" s="455">
        <f t="array" ref="J3339">IFERROR(INDEX('Retirement Calculator'!K:K,MATCH('Lorri 401b'!N3339,'Retirement Calculator'!A:A,0),0),0)</f>
        <v>0</v>
      </c>
      <c r="K3339" s="455">
        <f t="shared" ca="1" si="148"/>
        <v>-1850495595.1107476</v>
      </c>
      <c r="L3339" s="455">
        <f t="shared" ca="1" si="149"/>
        <v>-445969438421.69012</v>
      </c>
      <c r="M3339" s="471">
        <f t="shared" si="151"/>
        <v>0.05</v>
      </c>
      <c r="N3339" s="475">
        <f t="shared" si="152"/>
        <v>152673</v>
      </c>
    </row>
    <row r="3340" spans="7:14" ht="11.25" customHeight="1" x14ac:dyDescent="0.3">
      <c r="G3340" s="470"/>
      <c r="H3340" s="470">
        <v>3333</v>
      </c>
      <c r="I3340" s="455">
        <f t="shared" ca="1" si="150"/>
        <v>-445969438421.69012</v>
      </c>
      <c r="J3340" s="455">
        <f t="array" ref="J3340">IFERROR(INDEX('Retirement Calculator'!K:K,MATCH('Lorri 401b'!N3340,'Retirement Calculator'!A:A,0),0),0)</f>
        <v>0</v>
      </c>
      <c r="K3340" s="455">
        <f t="shared" ca="1" si="148"/>
        <v>-1858205993.4237092</v>
      </c>
      <c r="L3340" s="455">
        <f t="shared" ca="1" si="149"/>
        <v>-447827644415.11383</v>
      </c>
      <c r="M3340" s="471">
        <f t="shared" si="151"/>
        <v>0.05</v>
      </c>
      <c r="N3340" s="475">
        <f t="shared" si="152"/>
        <v>152704</v>
      </c>
    </row>
    <row r="3341" spans="7:14" ht="11.25" customHeight="1" x14ac:dyDescent="0.3">
      <c r="G3341" s="470"/>
      <c r="H3341" s="470">
        <v>3334</v>
      </c>
      <c r="I3341" s="455">
        <f t="shared" ca="1" si="150"/>
        <v>-447827644415.11383</v>
      </c>
      <c r="J3341" s="455">
        <f t="array" ref="J3341">IFERROR(INDEX('Retirement Calculator'!K:K,MATCH('Lorri 401b'!N3341,'Retirement Calculator'!A:A,0),0),0)</f>
        <v>0</v>
      </c>
      <c r="K3341" s="455">
        <f t="shared" ca="1" si="148"/>
        <v>-1865948518.3963077</v>
      </c>
      <c r="L3341" s="455">
        <f t="shared" ca="1" si="149"/>
        <v>-449693592933.51013</v>
      </c>
      <c r="M3341" s="471">
        <f t="shared" si="151"/>
        <v>0.05</v>
      </c>
      <c r="N3341" s="475">
        <f t="shared" si="152"/>
        <v>152732</v>
      </c>
    </row>
    <row r="3342" spans="7:14" ht="11.25" customHeight="1" x14ac:dyDescent="0.3">
      <c r="G3342" s="470"/>
      <c r="H3342" s="470">
        <v>3335</v>
      </c>
      <c r="I3342" s="455">
        <f t="shared" ca="1" si="150"/>
        <v>-449693592933.51013</v>
      </c>
      <c r="J3342" s="455">
        <f t="array" ref="J3342">IFERROR(INDEX('Retirement Calculator'!K:K,MATCH('Lorri 401b'!N3342,'Retirement Calculator'!A:A,0),0),0)</f>
        <v>0</v>
      </c>
      <c r="K3342" s="455">
        <f t="shared" ca="1" si="148"/>
        <v>-1873723303.8896255</v>
      </c>
      <c r="L3342" s="455">
        <f t="shared" ca="1" si="149"/>
        <v>-451567316237.39978</v>
      </c>
      <c r="M3342" s="471">
        <f t="shared" si="151"/>
        <v>0.05</v>
      </c>
      <c r="N3342" s="475">
        <f t="shared" si="152"/>
        <v>152763</v>
      </c>
    </row>
    <row r="3343" spans="7:14" ht="11.25" customHeight="1" x14ac:dyDescent="0.3">
      <c r="G3343" s="470"/>
      <c r="H3343" s="470">
        <v>3336</v>
      </c>
      <c r="I3343" s="455">
        <f t="shared" ca="1" si="150"/>
        <v>-451567316237.39978</v>
      </c>
      <c r="J3343" s="455">
        <f t="array" ref="J3343">IFERROR(INDEX('Retirement Calculator'!K:K,MATCH('Lorri 401b'!N3343,'Retirement Calculator'!A:A,0),0),0)</f>
        <v>0</v>
      </c>
      <c r="K3343" s="455">
        <f t="shared" ca="1" si="148"/>
        <v>-1881530484.322499</v>
      </c>
      <c r="L3343" s="455">
        <f t="shared" ca="1" si="149"/>
        <v>-453448846721.72229</v>
      </c>
      <c r="M3343" s="471">
        <f t="shared" si="151"/>
        <v>0.05</v>
      </c>
      <c r="N3343" s="475">
        <f t="shared" si="152"/>
        <v>152793</v>
      </c>
    </row>
    <row r="3344" spans="7:14" ht="11.25" customHeight="1" x14ac:dyDescent="0.3">
      <c r="G3344" s="470"/>
      <c r="H3344" s="470">
        <v>3337</v>
      </c>
      <c r="I3344" s="455">
        <f t="shared" ca="1" si="150"/>
        <v>-453448846721.72229</v>
      </c>
      <c r="J3344" s="455">
        <f t="array" ref="J3344">IFERROR(INDEX('Retirement Calculator'!K:K,MATCH('Lorri 401b'!N3344,'Retirement Calculator'!A:A,0),0),0)</f>
        <v>0</v>
      </c>
      <c r="K3344" s="455">
        <f t="shared" ca="1" si="148"/>
        <v>-1889370194.6738429</v>
      </c>
      <c r="L3344" s="455">
        <f t="shared" ca="1" si="149"/>
        <v>-455338216916.39612</v>
      </c>
      <c r="M3344" s="471">
        <f t="shared" si="151"/>
        <v>0.05</v>
      </c>
      <c r="N3344" s="475">
        <f t="shared" si="152"/>
        <v>152824</v>
      </c>
    </row>
    <row r="3345" spans="7:14" ht="11.25" customHeight="1" x14ac:dyDescent="0.3">
      <c r="G3345" s="470"/>
      <c r="H3345" s="470">
        <v>3338</v>
      </c>
      <c r="I3345" s="455">
        <f t="shared" ca="1" si="150"/>
        <v>-455338216916.39612</v>
      </c>
      <c r="J3345" s="455">
        <f t="array" ref="J3345">IFERROR(INDEX('Retirement Calculator'!K:K,MATCH('Lorri 401b'!N3345,'Retirement Calculator'!A:A,0),0),0)</f>
        <v>0</v>
      </c>
      <c r="K3345" s="455">
        <f t="shared" ca="1" si="148"/>
        <v>-1897242570.4849837</v>
      </c>
      <c r="L3345" s="455">
        <f t="shared" ca="1" si="149"/>
        <v>-457235459486.8811</v>
      </c>
      <c r="M3345" s="471">
        <f t="shared" si="151"/>
        <v>0.05</v>
      </c>
      <c r="N3345" s="475">
        <f t="shared" si="152"/>
        <v>152854</v>
      </c>
    </row>
    <row r="3346" spans="7:14" ht="11.25" customHeight="1" x14ac:dyDescent="0.3">
      <c r="G3346" s="470"/>
      <c r="H3346" s="470">
        <v>3339</v>
      </c>
      <c r="I3346" s="455">
        <f t="shared" ca="1" si="150"/>
        <v>-457235459486.8811</v>
      </c>
      <c r="J3346" s="455">
        <f t="array" ref="J3346">IFERROR(INDEX('Retirement Calculator'!K:K,MATCH('Lorri 401b'!N3346,'Retirement Calculator'!A:A,0),0),0)</f>
        <v>0</v>
      </c>
      <c r="K3346" s="455">
        <f t="shared" ca="1" si="148"/>
        <v>-1905147747.8620045</v>
      </c>
      <c r="L3346" s="455">
        <f t="shared" ca="1" si="149"/>
        <v>-459140607234.7431</v>
      </c>
      <c r="M3346" s="471">
        <f t="shared" si="151"/>
        <v>0.05</v>
      </c>
      <c r="N3346" s="475">
        <f t="shared" si="152"/>
        <v>152885</v>
      </c>
    </row>
    <row r="3347" spans="7:14" ht="11.25" customHeight="1" x14ac:dyDescent="0.3">
      <c r="G3347" s="470"/>
      <c r="H3347" s="470">
        <v>3340</v>
      </c>
      <c r="I3347" s="455">
        <f t="shared" ca="1" si="150"/>
        <v>-459140607234.7431</v>
      </c>
      <c r="J3347" s="455">
        <f t="array" ref="J3347">IFERROR(INDEX('Retirement Calculator'!K:K,MATCH('Lorri 401b'!N3347,'Retirement Calculator'!A:A,0),0),0)</f>
        <v>0</v>
      </c>
      <c r="K3347" s="455">
        <f t="shared" ca="1" si="148"/>
        <v>-1913085863.4780962</v>
      </c>
      <c r="L3347" s="455">
        <f t="shared" ca="1" si="149"/>
        <v>-461053693098.22119</v>
      </c>
      <c r="M3347" s="471">
        <f t="shared" si="151"/>
        <v>0.05</v>
      </c>
      <c r="N3347" s="475">
        <f t="shared" si="152"/>
        <v>152916</v>
      </c>
    </row>
    <row r="3348" spans="7:14" ht="11.25" customHeight="1" x14ac:dyDescent="0.3">
      <c r="G3348" s="470"/>
      <c r="H3348" s="470">
        <v>3341</v>
      </c>
      <c r="I3348" s="455">
        <f t="shared" ca="1" si="150"/>
        <v>-461053693098.22119</v>
      </c>
      <c r="J3348" s="455">
        <f t="array" ref="J3348">IFERROR(INDEX('Retirement Calculator'!K:K,MATCH('Lorri 401b'!N3348,'Retirement Calculator'!A:A,0),0),0)</f>
        <v>0</v>
      </c>
      <c r="K3348" s="455">
        <f t="shared" ca="1" si="148"/>
        <v>-1921057054.5759215</v>
      </c>
      <c r="L3348" s="455">
        <f t="shared" ca="1" si="149"/>
        <v>-462974750152.79712</v>
      </c>
      <c r="M3348" s="471">
        <f t="shared" si="151"/>
        <v>0.05</v>
      </c>
      <c r="N3348" s="475">
        <f t="shared" si="152"/>
        <v>152946</v>
      </c>
    </row>
    <row r="3349" spans="7:14" ht="11.25" customHeight="1" x14ac:dyDescent="0.3">
      <c r="G3349" s="470"/>
      <c r="H3349" s="470">
        <v>3342</v>
      </c>
      <c r="I3349" s="455">
        <f t="shared" ca="1" si="150"/>
        <v>-462974750152.79712</v>
      </c>
      <c r="J3349" s="455">
        <f t="array" ref="J3349">IFERROR(INDEX('Retirement Calculator'!K:K,MATCH('Lorri 401b'!N3349,'Retirement Calculator'!A:A,0),0),0)</f>
        <v>0</v>
      </c>
      <c r="K3349" s="455">
        <f t="shared" ca="1" si="148"/>
        <v>-1929061458.9699879</v>
      </c>
      <c r="L3349" s="455">
        <f t="shared" ca="1" si="149"/>
        <v>-464903811611.76709</v>
      </c>
      <c r="M3349" s="471">
        <f t="shared" si="151"/>
        <v>0.05</v>
      </c>
      <c r="N3349" s="475">
        <f t="shared" si="152"/>
        <v>152977</v>
      </c>
    </row>
    <row r="3350" spans="7:14" ht="11.25" customHeight="1" x14ac:dyDescent="0.3">
      <c r="G3350" s="470"/>
      <c r="H3350" s="470">
        <v>3343</v>
      </c>
      <c r="I3350" s="455">
        <f t="shared" ca="1" si="150"/>
        <v>-464903811611.76709</v>
      </c>
      <c r="J3350" s="455">
        <f t="array" ref="J3350">IFERROR(INDEX('Retirement Calculator'!K:K,MATCH('Lorri 401b'!N3350,'Retirement Calculator'!A:A,0),0),0)</f>
        <v>0</v>
      </c>
      <c r="K3350" s="455">
        <f t="shared" ca="1" si="148"/>
        <v>-1937099215.0490296</v>
      </c>
      <c r="L3350" s="455">
        <f t="shared" ca="1" si="149"/>
        <v>-466840910826.8161</v>
      </c>
      <c r="M3350" s="471">
        <f t="shared" si="151"/>
        <v>0.05</v>
      </c>
      <c r="N3350" s="475">
        <f t="shared" si="152"/>
        <v>153007</v>
      </c>
    </row>
    <row r="3351" spans="7:14" ht="11.25" customHeight="1" x14ac:dyDescent="0.3">
      <c r="G3351" s="470"/>
      <c r="H3351" s="470">
        <v>3344</v>
      </c>
      <c r="I3351" s="455">
        <f t="shared" ca="1" si="150"/>
        <v>-466840910826.8161</v>
      </c>
      <c r="J3351" s="455">
        <f t="array" ref="J3351">IFERROR(INDEX('Retirement Calculator'!K:K,MATCH('Lorri 401b'!N3351,'Retirement Calculator'!A:A,0),0),0)</f>
        <v>0</v>
      </c>
      <c r="K3351" s="455">
        <f t="shared" ca="1" si="148"/>
        <v>-1945170461.7784004</v>
      </c>
      <c r="L3351" s="455">
        <f t="shared" ca="1" si="149"/>
        <v>-468786081288.59448</v>
      </c>
      <c r="M3351" s="471">
        <f t="shared" si="151"/>
        <v>0.05</v>
      </c>
      <c r="N3351" s="475">
        <f t="shared" si="152"/>
        <v>153038</v>
      </c>
    </row>
    <row r="3352" spans="7:14" ht="11.25" customHeight="1" x14ac:dyDescent="0.3">
      <c r="G3352" s="470"/>
      <c r="H3352" s="470">
        <v>3345</v>
      </c>
      <c r="I3352" s="455">
        <f t="shared" ca="1" si="150"/>
        <v>-468786081288.59448</v>
      </c>
      <c r="J3352" s="455">
        <f t="array" ref="J3352">IFERROR(INDEX('Retirement Calculator'!K:K,MATCH('Lorri 401b'!N3352,'Retirement Calculator'!A:A,0),0),0)</f>
        <v>0</v>
      </c>
      <c r="K3352" s="455">
        <f t="shared" ca="1" si="148"/>
        <v>-1953275338.7024767</v>
      </c>
      <c r="L3352" s="455">
        <f t="shared" ca="1" si="149"/>
        <v>-470739356627.29694</v>
      </c>
      <c r="M3352" s="471">
        <f t="shared" si="151"/>
        <v>0.05</v>
      </c>
      <c r="N3352" s="475">
        <f t="shared" si="152"/>
        <v>153069</v>
      </c>
    </row>
    <row r="3353" spans="7:14" ht="11.25" customHeight="1" x14ac:dyDescent="0.3">
      <c r="G3353" s="470"/>
      <c r="H3353" s="470">
        <v>3346</v>
      </c>
      <c r="I3353" s="455">
        <f t="shared" ca="1" si="150"/>
        <v>-470739356627.29694</v>
      </c>
      <c r="J3353" s="455">
        <f t="array" ref="J3353">IFERROR(INDEX('Retirement Calculator'!K:K,MATCH('Lorri 401b'!N3353,'Retirement Calculator'!A:A,0),0),0)</f>
        <v>0</v>
      </c>
      <c r="K3353" s="455">
        <f t="shared" ca="1" si="148"/>
        <v>-1961413985.9470708</v>
      </c>
      <c r="L3353" s="455">
        <f t="shared" ca="1" si="149"/>
        <v>-472700770613.24402</v>
      </c>
      <c r="M3353" s="471">
        <f t="shared" si="151"/>
        <v>0.05</v>
      </c>
      <c r="N3353" s="475">
        <f t="shared" si="152"/>
        <v>153097</v>
      </c>
    </row>
    <row r="3354" spans="7:14" ht="11.25" customHeight="1" x14ac:dyDescent="0.3">
      <c r="G3354" s="470"/>
      <c r="H3354" s="470">
        <v>3347</v>
      </c>
      <c r="I3354" s="455">
        <f t="shared" ca="1" si="150"/>
        <v>-472700770613.24402</v>
      </c>
      <c r="J3354" s="455">
        <f t="array" ref="J3354">IFERROR(INDEX('Retirement Calculator'!K:K,MATCH('Lorri 401b'!N3354,'Retirement Calculator'!A:A,0),0),0)</f>
        <v>0</v>
      </c>
      <c r="K3354" s="455">
        <f t="shared" ca="1" si="148"/>
        <v>-1969586544.2218502</v>
      </c>
      <c r="L3354" s="455">
        <f t="shared" ca="1" si="149"/>
        <v>-474670357157.46588</v>
      </c>
      <c r="M3354" s="471">
        <f t="shared" si="151"/>
        <v>0.05</v>
      </c>
      <c r="N3354" s="475">
        <f t="shared" si="152"/>
        <v>153128</v>
      </c>
    </row>
    <row r="3355" spans="7:14" ht="11.25" customHeight="1" x14ac:dyDescent="0.3">
      <c r="G3355" s="470"/>
      <c r="H3355" s="470">
        <v>3348</v>
      </c>
      <c r="I3355" s="455">
        <f t="shared" ca="1" si="150"/>
        <v>-474670357157.46588</v>
      </c>
      <c r="J3355" s="455">
        <f t="array" ref="J3355">IFERROR(INDEX('Retirement Calculator'!K:K,MATCH('Lorri 401b'!N3355,'Retirement Calculator'!A:A,0),0),0)</f>
        <v>0</v>
      </c>
      <c r="K3355" s="455">
        <f t="shared" ca="1" si="148"/>
        <v>-1977793154.8227744</v>
      </c>
      <c r="L3355" s="455">
        <f t="shared" ca="1" si="149"/>
        <v>-476648150312.28864</v>
      </c>
      <c r="M3355" s="471">
        <f t="shared" si="151"/>
        <v>0.05</v>
      </c>
      <c r="N3355" s="475">
        <f t="shared" si="152"/>
        <v>153158</v>
      </c>
    </row>
    <row r="3356" spans="7:14" ht="11.25" customHeight="1" x14ac:dyDescent="0.3">
      <c r="G3356" s="470"/>
      <c r="H3356" s="470">
        <v>3349</v>
      </c>
      <c r="I3356" s="455">
        <f t="shared" ca="1" si="150"/>
        <v>-476648150312.28864</v>
      </c>
      <c r="J3356" s="455">
        <f t="array" ref="J3356">IFERROR(INDEX('Retirement Calculator'!K:K,MATCH('Lorri 401b'!N3356,'Retirement Calculator'!A:A,0),0),0)</f>
        <v>0</v>
      </c>
      <c r="K3356" s="455">
        <f t="shared" ca="1" si="148"/>
        <v>-1986033959.6345363</v>
      </c>
      <c r="L3356" s="455">
        <f t="shared" ca="1" si="149"/>
        <v>-478634184271.92316</v>
      </c>
      <c r="M3356" s="471">
        <f t="shared" si="151"/>
        <v>0.05</v>
      </c>
      <c r="N3356" s="475">
        <f t="shared" si="152"/>
        <v>153189</v>
      </c>
    </row>
    <row r="3357" spans="7:14" ht="11.25" customHeight="1" x14ac:dyDescent="0.3">
      <c r="G3357" s="470"/>
      <c r="H3357" s="470">
        <v>3350</v>
      </c>
      <c r="I3357" s="455">
        <f t="shared" ca="1" si="150"/>
        <v>-478634184271.92316</v>
      </c>
      <c r="J3357" s="455">
        <f t="array" ref="J3357">IFERROR(INDEX('Retirement Calculator'!K:K,MATCH('Lorri 401b'!N3357,'Retirement Calculator'!A:A,0),0),0)</f>
        <v>0</v>
      </c>
      <c r="K3357" s="455">
        <f t="shared" ca="1" si="148"/>
        <v>-1994309101.133013</v>
      </c>
      <c r="L3357" s="455">
        <f t="shared" ca="1" si="149"/>
        <v>-480628493373.05615</v>
      </c>
      <c r="M3357" s="471">
        <f t="shared" si="151"/>
        <v>0.05</v>
      </c>
      <c r="N3357" s="475">
        <f t="shared" si="152"/>
        <v>153219</v>
      </c>
    </row>
    <row r="3358" spans="7:14" ht="11.25" customHeight="1" x14ac:dyDescent="0.3">
      <c r="G3358" s="470"/>
      <c r="H3358" s="470">
        <v>3351</v>
      </c>
      <c r="I3358" s="455">
        <f t="shared" ca="1" si="150"/>
        <v>-480628493373.05615</v>
      </c>
      <c r="J3358" s="455">
        <f t="array" ref="J3358">IFERROR(INDEX('Retirement Calculator'!K:K,MATCH('Lorri 401b'!N3358,'Retirement Calculator'!A:A,0),0),0)</f>
        <v>0</v>
      </c>
      <c r="K3358" s="455">
        <f t="shared" ca="1" si="148"/>
        <v>-2002618722.3877337</v>
      </c>
      <c r="L3358" s="455">
        <f t="shared" ca="1" si="149"/>
        <v>-482631112095.44391</v>
      </c>
      <c r="M3358" s="471">
        <f t="shared" si="151"/>
        <v>0.05</v>
      </c>
      <c r="N3358" s="475">
        <f t="shared" si="152"/>
        <v>153250</v>
      </c>
    </row>
    <row r="3359" spans="7:14" ht="11.25" customHeight="1" x14ac:dyDescent="0.3">
      <c r="G3359" s="470"/>
      <c r="H3359" s="470">
        <v>3352</v>
      </c>
      <c r="I3359" s="455">
        <f t="shared" ca="1" si="150"/>
        <v>-482631112095.44391</v>
      </c>
      <c r="J3359" s="455">
        <f t="array" ref="J3359">IFERROR(INDEX('Retirement Calculator'!K:K,MATCH('Lorri 401b'!N3359,'Retirement Calculator'!A:A,0),0),0)</f>
        <v>0</v>
      </c>
      <c r="K3359" s="455">
        <f t="shared" ca="1" si="148"/>
        <v>-2010962967.0643497</v>
      </c>
      <c r="L3359" s="455">
        <f t="shared" ca="1" si="149"/>
        <v>-484642075062.50824</v>
      </c>
      <c r="M3359" s="471">
        <f t="shared" si="151"/>
        <v>0.05</v>
      </c>
      <c r="N3359" s="475">
        <f t="shared" si="152"/>
        <v>153281</v>
      </c>
    </row>
    <row r="3360" spans="7:14" ht="11.25" customHeight="1" x14ac:dyDescent="0.3">
      <c r="G3360" s="470"/>
      <c r="H3360" s="470">
        <v>3353</v>
      </c>
      <c r="I3360" s="455">
        <f t="shared" ca="1" si="150"/>
        <v>-484642075062.50824</v>
      </c>
      <c r="J3360" s="455">
        <f t="array" ref="J3360">IFERROR(INDEX('Retirement Calculator'!K:K,MATCH('Lorri 401b'!N3360,'Retirement Calculator'!A:A,0),0),0)</f>
        <v>0</v>
      </c>
      <c r="K3360" s="455">
        <f t="shared" ca="1" si="148"/>
        <v>-2019341979.4271173</v>
      </c>
      <c r="L3360" s="455">
        <f t="shared" ca="1" si="149"/>
        <v>-486661417041.93536</v>
      </c>
      <c r="M3360" s="471">
        <f t="shared" si="151"/>
        <v>0.05</v>
      </c>
      <c r="N3360" s="475">
        <f t="shared" si="152"/>
        <v>153311</v>
      </c>
    </row>
    <row r="3361" spans="7:14" ht="11.25" customHeight="1" x14ac:dyDescent="0.3">
      <c r="G3361" s="470"/>
      <c r="H3361" s="470">
        <v>3354</v>
      </c>
      <c r="I3361" s="455">
        <f t="shared" ca="1" si="150"/>
        <v>-486661417041.93536</v>
      </c>
      <c r="J3361" s="455">
        <f t="array" ref="J3361">IFERROR(INDEX('Retirement Calculator'!K:K,MATCH('Lorri 401b'!N3361,'Retirement Calculator'!A:A,0),0),0)</f>
        <v>0</v>
      </c>
      <c r="K3361" s="455">
        <f t="shared" ca="1" si="148"/>
        <v>-2027755904.3413973</v>
      </c>
      <c r="L3361" s="455">
        <f t="shared" ca="1" si="149"/>
        <v>-488689172946.27673</v>
      </c>
      <c r="M3361" s="471">
        <f t="shared" si="151"/>
        <v>0.05</v>
      </c>
      <c r="N3361" s="475">
        <f t="shared" si="152"/>
        <v>153342</v>
      </c>
    </row>
    <row r="3362" spans="7:14" ht="11.25" customHeight="1" x14ac:dyDescent="0.3">
      <c r="G3362" s="470"/>
      <c r="H3362" s="470">
        <v>3355</v>
      </c>
      <c r="I3362" s="455">
        <f t="shared" ca="1" si="150"/>
        <v>-488689172946.27673</v>
      </c>
      <c r="J3362" s="455">
        <f t="array" ref="J3362">IFERROR(INDEX('Retirement Calculator'!K:K,MATCH('Lorri 401b'!N3362,'Retirement Calculator'!A:A,0),0),0)</f>
        <v>0</v>
      </c>
      <c r="K3362" s="455">
        <f t="shared" ca="1" si="148"/>
        <v>-2036204887.2761531</v>
      </c>
      <c r="L3362" s="455">
        <f t="shared" ca="1" si="149"/>
        <v>-490725377833.55286</v>
      </c>
      <c r="M3362" s="471">
        <f t="shared" si="151"/>
        <v>0.05</v>
      </c>
      <c r="N3362" s="475">
        <f t="shared" si="152"/>
        <v>153372</v>
      </c>
    </row>
    <row r="3363" spans="7:14" ht="11.25" customHeight="1" x14ac:dyDescent="0.3">
      <c r="G3363" s="470"/>
      <c r="H3363" s="470">
        <v>3356</v>
      </c>
      <c r="I3363" s="455">
        <f t="shared" ca="1" si="150"/>
        <v>-490725377833.55286</v>
      </c>
      <c r="J3363" s="455">
        <f t="array" ref="J3363">IFERROR(INDEX('Retirement Calculator'!K:K,MATCH('Lorri 401b'!N3363,'Retirement Calculator'!A:A,0),0),0)</f>
        <v>0</v>
      </c>
      <c r="K3363" s="455">
        <f t="shared" ca="1" si="148"/>
        <v>-2044689074.3064702</v>
      </c>
      <c r="L3363" s="455">
        <f t="shared" ca="1" si="149"/>
        <v>-492770066907.85931</v>
      </c>
      <c r="M3363" s="471">
        <f t="shared" si="151"/>
        <v>0.05</v>
      </c>
      <c r="N3363" s="475">
        <f t="shared" si="152"/>
        <v>153403</v>
      </c>
    </row>
    <row r="3364" spans="7:14" ht="11.25" customHeight="1" x14ac:dyDescent="0.3">
      <c r="G3364" s="470"/>
      <c r="H3364" s="470">
        <v>3357</v>
      </c>
      <c r="I3364" s="455">
        <f t="shared" ca="1" si="150"/>
        <v>-492770066907.85931</v>
      </c>
      <c r="J3364" s="455">
        <f t="array" ref="J3364">IFERROR(INDEX('Retirement Calculator'!K:K,MATCH('Lorri 401b'!N3364,'Retirement Calculator'!A:A,0),0),0)</f>
        <v>0</v>
      </c>
      <c r="K3364" s="455">
        <f t="shared" ca="1" si="148"/>
        <v>-2053208612.1160803</v>
      </c>
      <c r="L3364" s="455">
        <f t="shared" ca="1" si="149"/>
        <v>-494823275519.9754</v>
      </c>
      <c r="M3364" s="471">
        <f t="shared" si="151"/>
        <v>0.05</v>
      </c>
      <c r="N3364" s="475">
        <f t="shared" si="152"/>
        <v>153434</v>
      </c>
    </row>
    <row r="3365" spans="7:14" ht="11.25" customHeight="1" x14ac:dyDescent="0.3">
      <c r="G3365" s="470"/>
      <c r="H3365" s="470">
        <v>3358</v>
      </c>
      <c r="I3365" s="455">
        <f t="shared" ca="1" si="150"/>
        <v>-494823275519.9754</v>
      </c>
      <c r="J3365" s="455">
        <f t="array" ref="J3365">IFERROR(INDEX('Retirement Calculator'!K:K,MATCH('Lorri 401b'!N3365,'Retirement Calculator'!A:A,0),0),0)</f>
        <v>0</v>
      </c>
      <c r="K3365" s="455">
        <f t="shared" ca="1" si="148"/>
        <v>-2061763647.9998975</v>
      </c>
      <c r="L3365" s="455">
        <f t="shared" ca="1" si="149"/>
        <v>-496885039167.97528</v>
      </c>
      <c r="M3365" s="471">
        <f t="shared" si="151"/>
        <v>0.05</v>
      </c>
      <c r="N3365" s="475">
        <f t="shared" si="152"/>
        <v>153463</v>
      </c>
    </row>
    <row r="3366" spans="7:14" ht="11.25" customHeight="1" x14ac:dyDescent="0.3">
      <c r="G3366" s="470"/>
      <c r="H3366" s="470">
        <v>3359</v>
      </c>
      <c r="I3366" s="455">
        <f t="shared" ca="1" si="150"/>
        <v>-496885039167.97528</v>
      </c>
      <c r="J3366" s="455">
        <f t="array" ref="J3366">IFERROR(INDEX('Retirement Calculator'!K:K,MATCH('Lorri 401b'!N3366,'Retirement Calculator'!A:A,0),0),0)</f>
        <v>0</v>
      </c>
      <c r="K3366" s="455">
        <f t="shared" ca="1" si="148"/>
        <v>-2070354329.8665636</v>
      </c>
      <c r="L3366" s="455">
        <f t="shared" ca="1" si="149"/>
        <v>-498955393497.84186</v>
      </c>
      <c r="M3366" s="471">
        <f t="shared" si="151"/>
        <v>0.05</v>
      </c>
      <c r="N3366" s="475">
        <f t="shared" si="152"/>
        <v>153494</v>
      </c>
    </row>
    <row r="3367" spans="7:14" ht="11.25" customHeight="1" x14ac:dyDescent="0.3">
      <c r="G3367" s="470"/>
      <c r="H3367" s="470">
        <v>3360</v>
      </c>
      <c r="I3367" s="455">
        <f t="shared" ca="1" si="150"/>
        <v>-498955393497.84186</v>
      </c>
      <c r="J3367" s="455">
        <f t="array" ref="J3367">IFERROR(INDEX('Retirement Calculator'!K:K,MATCH('Lorri 401b'!N3367,'Retirement Calculator'!A:A,0),0),0)</f>
        <v>0</v>
      </c>
      <c r="K3367" s="455">
        <f t="shared" ca="1" si="148"/>
        <v>-2078980806.241008</v>
      </c>
      <c r="L3367" s="455">
        <f t="shared" ca="1" si="149"/>
        <v>-501034374304.08289</v>
      </c>
      <c r="M3367" s="471">
        <f t="shared" si="151"/>
        <v>0.05</v>
      </c>
      <c r="N3367" s="475">
        <f t="shared" si="152"/>
        <v>153524</v>
      </c>
    </row>
    <row r="3368" spans="7:14" ht="11.25" customHeight="1" x14ac:dyDescent="0.3">
      <c r="G3368" s="470"/>
      <c r="H3368" s="470">
        <v>3361</v>
      </c>
      <c r="I3368" s="455">
        <f t="shared" ca="1" si="150"/>
        <v>-501034374304.08289</v>
      </c>
      <c r="J3368" s="455">
        <f t="array" ref="J3368">IFERROR(INDEX('Retirement Calculator'!K:K,MATCH('Lorri 401b'!N3368,'Retirement Calculator'!A:A,0),0),0)</f>
        <v>0</v>
      </c>
      <c r="K3368" s="455">
        <f t="shared" ca="1" si="148"/>
        <v>-2087643226.2670119</v>
      </c>
      <c r="L3368" s="455">
        <f t="shared" ca="1" si="149"/>
        <v>-503122017530.34991</v>
      </c>
      <c r="M3368" s="471">
        <f t="shared" si="151"/>
        <v>0.05</v>
      </c>
      <c r="N3368" s="475">
        <f t="shared" si="152"/>
        <v>153555</v>
      </c>
    </row>
    <row r="3369" spans="7:14" ht="11.25" customHeight="1" x14ac:dyDescent="0.3">
      <c r="G3369" s="470"/>
      <c r="H3369" s="470">
        <v>3362</v>
      </c>
      <c r="I3369" s="455">
        <f t="shared" ca="1" si="150"/>
        <v>-503122017530.34991</v>
      </c>
      <c r="J3369" s="455">
        <f t="array" ref="J3369">IFERROR(INDEX('Retirement Calculator'!K:K,MATCH('Lorri 401b'!N3369,'Retirement Calculator'!A:A,0),0),0)</f>
        <v>0</v>
      </c>
      <c r="K3369" s="455">
        <f t="shared" ca="1" si="148"/>
        <v>-2096341739.7097909</v>
      </c>
      <c r="L3369" s="455">
        <f t="shared" ca="1" si="149"/>
        <v>-505218359270.05969</v>
      </c>
      <c r="M3369" s="471">
        <f t="shared" si="151"/>
        <v>0.05</v>
      </c>
      <c r="N3369" s="475">
        <f t="shared" si="152"/>
        <v>153585</v>
      </c>
    </row>
    <row r="3370" spans="7:14" ht="11.25" customHeight="1" x14ac:dyDescent="0.3">
      <c r="G3370" s="470"/>
      <c r="H3370" s="470">
        <v>3363</v>
      </c>
      <c r="I3370" s="455">
        <f t="shared" ca="1" si="150"/>
        <v>-505218359270.05969</v>
      </c>
      <c r="J3370" s="455">
        <f t="array" ref="J3370">IFERROR(INDEX('Retirement Calculator'!K:K,MATCH('Lorri 401b'!N3370,'Retirement Calculator'!A:A,0),0),0)</f>
        <v>0</v>
      </c>
      <c r="K3370" s="455">
        <f t="shared" ca="1" si="148"/>
        <v>-2105076496.9585819</v>
      </c>
      <c r="L3370" s="455">
        <f t="shared" ca="1" si="149"/>
        <v>-507323435767.01825</v>
      </c>
      <c r="M3370" s="471">
        <f t="shared" si="151"/>
        <v>0.05</v>
      </c>
      <c r="N3370" s="475">
        <f t="shared" si="152"/>
        <v>153616</v>
      </c>
    </row>
    <row r="3371" spans="7:14" ht="11.25" customHeight="1" x14ac:dyDescent="0.3">
      <c r="G3371" s="470"/>
      <c r="H3371" s="470">
        <v>3364</v>
      </c>
      <c r="I3371" s="455">
        <f t="shared" ca="1" si="150"/>
        <v>-507323435767.01825</v>
      </c>
      <c r="J3371" s="455">
        <f t="array" ref="J3371">IFERROR(INDEX('Retirement Calculator'!K:K,MATCH('Lorri 401b'!N3371,'Retirement Calculator'!A:A,0),0),0)</f>
        <v>0</v>
      </c>
      <c r="K3371" s="455">
        <f t="shared" ca="1" si="148"/>
        <v>-2113847649.0292428</v>
      </c>
      <c r="L3371" s="455">
        <f t="shared" ca="1" si="149"/>
        <v>-509437283416.04749</v>
      </c>
      <c r="M3371" s="471">
        <f t="shared" si="151"/>
        <v>0.05</v>
      </c>
      <c r="N3371" s="475">
        <f t="shared" si="152"/>
        <v>153647</v>
      </c>
    </row>
    <row r="3372" spans="7:14" ht="11.25" customHeight="1" x14ac:dyDescent="0.3">
      <c r="G3372" s="470"/>
      <c r="H3372" s="470">
        <v>3365</v>
      </c>
      <c r="I3372" s="455">
        <f t="shared" ca="1" si="150"/>
        <v>-509437283416.04749</v>
      </c>
      <c r="J3372" s="455">
        <f t="array" ref="J3372">IFERROR(INDEX('Retirement Calculator'!K:K,MATCH('Lorri 401b'!N3372,'Retirement Calculator'!A:A,0),0),0)</f>
        <v>0</v>
      </c>
      <c r="K3372" s="455">
        <f t="shared" ca="1" si="148"/>
        <v>-2122655347.5668645</v>
      </c>
      <c r="L3372" s="455">
        <f t="shared" ca="1" si="149"/>
        <v>-511559938763.61438</v>
      </c>
      <c r="M3372" s="471">
        <f t="shared" si="151"/>
        <v>0.05</v>
      </c>
      <c r="N3372" s="475">
        <f t="shared" si="152"/>
        <v>153677</v>
      </c>
    </row>
    <row r="3373" spans="7:14" ht="11.25" customHeight="1" x14ac:dyDescent="0.3">
      <c r="G3373" s="470"/>
      <c r="H3373" s="470">
        <v>3366</v>
      </c>
      <c r="I3373" s="455">
        <f t="shared" ca="1" si="150"/>
        <v>-511559938763.61438</v>
      </c>
      <c r="J3373" s="455">
        <f t="array" ref="J3373">IFERROR(INDEX('Retirement Calculator'!K:K,MATCH('Lorri 401b'!N3373,'Retirement Calculator'!A:A,0),0),0)</f>
        <v>0</v>
      </c>
      <c r="K3373" s="455">
        <f t="shared" ca="1" si="148"/>
        <v>-2131499744.8483932</v>
      </c>
      <c r="L3373" s="455">
        <f t="shared" ca="1" si="149"/>
        <v>-513691438508.46277</v>
      </c>
      <c r="M3373" s="471">
        <f t="shared" si="151"/>
        <v>0.05</v>
      </c>
      <c r="N3373" s="475">
        <f t="shared" si="152"/>
        <v>153708</v>
      </c>
    </row>
    <row r="3374" spans="7:14" ht="11.25" customHeight="1" x14ac:dyDescent="0.3">
      <c r="G3374" s="470"/>
      <c r="H3374" s="470">
        <v>3367</v>
      </c>
      <c r="I3374" s="455">
        <f t="shared" ca="1" si="150"/>
        <v>-513691438508.46277</v>
      </c>
      <c r="J3374" s="455">
        <f t="array" ref="J3374">IFERROR(INDEX('Retirement Calculator'!K:K,MATCH('Lorri 401b'!N3374,'Retirement Calculator'!A:A,0),0),0)</f>
        <v>0</v>
      </c>
      <c r="K3374" s="455">
        <f t="shared" ca="1" si="148"/>
        <v>-2140380993.7852619</v>
      </c>
      <c r="L3374" s="455">
        <f t="shared" ca="1" si="149"/>
        <v>-515831819502.24805</v>
      </c>
      <c r="M3374" s="471">
        <f t="shared" si="151"/>
        <v>0.05</v>
      </c>
      <c r="N3374" s="475">
        <f t="shared" si="152"/>
        <v>153738</v>
      </c>
    </row>
    <row r="3375" spans="7:14" ht="11.25" customHeight="1" x14ac:dyDescent="0.3">
      <c r="G3375" s="470"/>
      <c r="H3375" s="470">
        <v>3368</v>
      </c>
      <c r="I3375" s="455">
        <f t="shared" ca="1" si="150"/>
        <v>-515831819502.24805</v>
      </c>
      <c r="J3375" s="455">
        <f t="array" ref="J3375">IFERROR(INDEX('Retirement Calculator'!K:K,MATCH('Lorri 401b'!N3375,'Retirement Calculator'!A:A,0),0),0)</f>
        <v>0</v>
      </c>
      <c r="K3375" s="455">
        <f t="shared" ca="1" si="148"/>
        <v>-2149299247.9260335</v>
      </c>
      <c r="L3375" s="455">
        <f t="shared" ca="1" si="149"/>
        <v>-517981118750.17407</v>
      </c>
      <c r="M3375" s="471">
        <f t="shared" si="151"/>
        <v>0.05</v>
      </c>
      <c r="N3375" s="475">
        <f t="shared" si="152"/>
        <v>153769</v>
      </c>
    </row>
    <row r="3376" spans="7:14" ht="11.25" customHeight="1" x14ac:dyDescent="0.3">
      <c r="G3376" s="470"/>
      <c r="H3376" s="470">
        <v>3369</v>
      </c>
      <c r="I3376" s="455">
        <f t="shared" ca="1" si="150"/>
        <v>-517981118750.17407</v>
      </c>
      <c r="J3376" s="455">
        <f t="array" ref="J3376">IFERROR(INDEX('Retirement Calculator'!K:K,MATCH('Lorri 401b'!N3376,'Retirement Calculator'!A:A,0),0),0)</f>
        <v>0</v>
      </c>
      <c r="K3376" s="455">
        <f t="shared" ca="1" si="148"/>
        <v>-2158254661.4590588</v>
      </c>
      <c r="L3376" s="455">
        <f t="shared" ca="1" si="149"/>
        <v>-520139373411.63312</v>
      </c>
      <c r="M3376" s="471">
        <f t="shared" si="151"/>
        <v>0.05</v>
      </c>
      <c r="N3376" s="475">
        <f t="shared" si="152"/>
        <v>153800</v>
      </c>
    </row>
    <row r="3377" spans="7:14" ht="11.25" customHeight="1" x14ac:dyDescent="0.3">
      <c r="G3377" s="470"/>
      <c r="H3377" s="470">
        <v>3370</v>
      </c>
      <c r="I3377" s="455">
        <f t="shared" ca="1" si="150"/>
        <v>-520139373411.63312</v>
      </c>
      <c r="J3377" s="455">
        <f t="array" ref="J3377">IFERROR(INDEX('Retirement Calculator'!K:K,MATCH('Lorri 401b'!N3377,'Retirement Calculator'!A:A,0),0),0)</f>
        <v>0</v>
      </c>
      <c r="K3377" s="455">
        <f t="shared" ca="1" si="148"/>
        <v>-2167247389.2151375</v>
      </c>
      <c r="L3377" s="455">
        <f t="shared" ca="1" si="149"/>
        <v>-522306620800.84827</v>
      </c>
      <c r="M3377" s="471">
        <f t="shared" si="151"/>
        <v>0.05</v>
      </c>
      <c r="N3377" s="475">
        <f t="shared" si="152"/>
        <v>153828</v>
      </c>
    </row>
    <row r="3378" spans="7:14" ht="11.25" customHeight="1" x14ac:dyDescent="0.3">
      <c r="G3378" s="470"/>
      <c r="H3378" s="470">
        <v>3371</v>
      </c>
      <c r="I3378" s="455">
        <f t="shared" ca="1" si="150"/>
        <v>-522306620800.84827</v>
      </c>
      <c r="J3378" s="455">
        <f t="array" ref="J3378">IFERROR(INDEX('Retirement Calculator'!K:K,MATCH('Lorri 401b'!N3378,'Retirement Calculator'!A:A,0),0),0)</f>
        <v>0</v>
      </c>
      <c r="K3378" s="455">
        <f t="shared" ca="1" si="148"/>
        <v>-2176277586.6702013</v>
      </c>
      <c r="L3378" s="455">
        <f t="shared" ca="1" si="149"/>
        <v>-524482898387.51849</v>
      </c>
      <c r="M3378" s="471">
        <f t="shared" si="151"/>
        <v>0.05</v>
      </c>
      <c r="N3378" s="475">
        <f t="shared" si="152"/>
        <v>153859</v>
      </c>
    </row>
    <row r="3379" spans="7:14" ht="11.25" customHeight="1" x14ac:dyDescent="0.3">
      <c r="G3379" s="470"/>
      <c r="H3379" s="470">
        <v>3372</v>
      </c>
      <c r="I3379" s="455">
        <f t="shared" ca="1" si="150"/>
        <v>-524482898387.51849</v>
      </c>
      <c r="J3379" s="455">
        <f t="array" ref="J3379">IFERROR(INDEX('Retirement Calculator'!K:K,MATCH('Lorri 401b'!N3379,'Retirement Calculator'!A:A,0),0),0)</f>
        <v>0</v>
      </c>
      <c r="K3379" s="455">
        <f t="shared" ca="1" si="148"/>
        <v>-2185345409.9479938</v>
      </c>
      <c r="L3379" s="455">
        <f t="shared" ca="1" si="149"/>
        <v>-526668243797.46649</v>
      </c>
      <c r="M3379" s="471">
        <f t="shared" si="151"/>
        <v>0.05</v>
      </c>
      <c r="N3379" s="475">
        <f t="shared" si="152"/>
        <v>153889</v>
      </c>
    </row>
    <row r="3380" spans="7:14" ht="11.25" customHeight="1" x14ac:dyDescent="0.3">
      <c r="G3380" s="470"/>
      <c r="H3380" s="470">
        <v>3373</v>
      </c>
      <c r="I3380" s="455">
        <f t="shared" ca="1" si="150"/>
        <v>-526668243797.46649</v>
      </c>
      <c r="J3380" s="455">
        <f t="array" ref="J3380">IFERROR(INDEX('Retirement Calculator'!K:K,MATCH('Lorri 401b'!N3380,'Retirement Calculator'!A:A,0),0),0)</f>
        <v>0</v>
      </c>
      <c r="K3380" s="455">
        <f t="shared" ca="1" si="148"/>
        <v>-2194451015.8227773</v>
      </c>
      <c r="L3380" s="455">
        <f t="shared" ca="1" si="149"/>
        <v>-528862694813.28925</v>
      </c>
      <c r="M3380" s="471">
        <f t="shared" si="151"/>
        <v>0.05</v>
      </c>
      <c r="N3380" s="475">
        <f t="shared" si="152"/>
        <v>153920</v>
      </c>
    </row>
    <row r="3381" spans="7:14" ht="11.25" customHeight="1" x14ac:dyDescent="0.3">
      <c r="G3381" s="470"/>
      <c r="H3381" s="470">
        <v>3374</v>
      </c>
      <c r="I3381" s="455">
        <f t="shared" ca="1" si="150"/>
        <v>-528862694813.28925</v>
      </c>
      <c r="J3381" s="455">
        <f t="array" ref="J3381">IFERROR(INDEX('Retirement Calculator'!K:K,MATCH('Lorri 401b'!N3381,'Retirement Calculator'!A:A,0),0),0)</f>
        <v>0</v>
      </c>
      <c r="K3381" s="455">
        <f t="shared" ca="1" si="148"/>
        <v>-2203594561.7220387</v>
      </c>
      <c r="L3381" s="455">
        <f t="shared" ca="1" si="149"/>
        <v>-531066289375.01129</v>
      </c>
      <c r="M3381" s="471">
        <f t="shared" si="151"/>
        <v>0.05</v>
      </c>
      <c r="N3381" s="475">
        <f t="shared" si="152"/>
        <v>153950</v>
      </c>
    </row>
    <row r="3382" spans="7:14" ht="11.25" customHeight="1" x14ac:dyDescent="0.3">
      <c r="G3382" s="470"/>
      <c r="H3382" s="470">
        <v>3375</v>
      </c>
      <c r="I3382" s="455">
        <f t="shared" ca="1" si="150"/>
        <v>-531066289375.01129</v>
      </c>
      <c r="J3382" s="455">
        <f t="array" ref="J3382">IFERROR(INDEX('Retirement Calculator'!K:K,MATCH('Lorri 401b'!N3382,'Retirement Calculator'!A:A,0),0),0)</f>
        <v>0</v>
      </c>
      <c r="K3382" s="455">
        <f t="shared" ca="1" si="148"/>
        <v>-2212776205.7292137</v>
      </c>
      <c r="L3382" s="455">
        <f t="shared" ca="1" si="149"/>
        <v>-533279065580.74048</v>
      </c>
      <c r="M3382" s="471">
        <f t="shared" si="151"/>
        <v>0.05</v>
      </c>
      <c r="N3382" s="475">
        <f t="shared" si="152"/>
        <v>153981</v>
      </c>
    </row>
    <row r="3383" spans="7:14" ht="11.25" customHeight="1" x14ac:dyDescent="0.3">
      <c r="G3383" s="470"/>
      <c r="H3383" s="470">
        <v>3376</v>
      </c>
      <c r="I3383" s="455">
        <f t="shared" ca="1" si="150"/>
        <v>-533279065580.74048</v>
      </c>
      <c r="J3383" s="455">
        <f t="array" ref="J3383">IFERROR(INDEX('Retirement Calculator'!K:K,MATCH('Lorri 401b'!N3383,'Retirement Calculator'!A:A,0),0),0)</f>
        <v>0</v>
      </c>
      <c r="K3383" s="455">
        <f t="shared" ca="1" si="148"/>
        <v>-2221996106.5864186</v>
      </c>
      <c r="L3383" s="455">
        <f t="shared" ca="1" si="149"/>
        <v>-535501061687.3269</v>
      </c>
      <c r="M3383" s="471">
        <f t="shared" si="151"/>
        <v>0.05</v>
      </c>
      <c r="N3383" s="475">
        <f t="shared" si="152"/>
        <v>154012</v>
      </c>
    </row>
    <row r="3384" spans="7:14" ht="11.25" customHeight="1" x14ac:dyDescent="0.3">
      <c r="G3384" s="470"/>
      <c r="H3384" s="470">
        <v>3377</v>
      </c>
      <c r="I3384" s="455">
        <f t="shared" ca="1" si="150"/>
        <v>-535501061687.3269</v>
      </c>
      <c r="J3384" s="455">
        <f t="array" ref="J3384">IFERROR(INDEX('Retirement Calculator'!K:K,MATCH('Lorri 401b'!N3384,'Retirement Calculator'!A:A,0),0),0)</f>
        <v>0</v>
      </c>
      <c r="K3384" s="455">
        <f t="shared" ca="1" si="148"/>
        <v>-2231254423.6971955</v>
      </c>
      <c r="L3384" s="455">
        <f t="shared" ca="1" si="149"/>
        <v>-537732316111.02411</v>
      </c>
      <c r="M3384" s="471">
        <f t="shared" si="151"/>
        <v>0.05</v>
      </c>
      <c r="N3384" s="475">
        <f t="shared" si="152"/>
        <v>154042</v>
      </c>
    </row>
    <row r="3385" spans="7:14" ht="11.25" customHeight="1" x14ac:dyDescent="0.3">
      <c r="G3385" s="470"/>
      <c r="H3385" s="470">
        <v>3378</v>
      </c>
      <c r="I3385" s="455">
        <f t="shared" ca="1" si="150"/>
        <v>-537732316111.02411</v>
      </c>
      <c r="J3385" s="455">
        <f t="array" ref="J3385">IFERROR(INDEX('Retirement Calculator'!K:K,MATCH('Lorri 401b'!N3385,'Retirement Calculator'!A:A,0),0),0)</f>
        <v>0</v>
      </c>
      <c r="K3385" s="455">
        <f t="shared" ca="1" si="148"/>
        <v>-2240551317.1292667</v>
      </c>
      <c r="L3385" s="455">
        <f t="shared" ca="1" si="149"/>
        <v>-539972867428.15338</v>
      </c>
      <c r="M3385" s="471">
        <f t="shared" si="151"/>
        <v>0.05</v>
      </c>
      <c r="N3385" s="475">
        <f t="shared" si="152"/>
        <v>154073</v>
      </c>
    </row>
    <row r="3386" spans="7:14" ht="11.25" customHeight="1" x14ac:dyDescent="0.3">
      <c r="G3386" s="470"/>
      <c r="H3386" s="470">
        <v>3379</v>
      </c>
      <c r="I3386" s="455">
        <f t="shared" ca="1" si="150"/>
        <v>-539972867428.15338</v>
      </c>
      <c r="J3386" s="455">
        <f t="array" ref="J3386">IFERROR(INDEX('Retirement Calculator'!K:K,MATCH('Lorri 401b'!N3386,'Retirement Calculator'!A:A,0),0),0)</f>
        <v>0</v>
      </c>
      <c r="K3386" s="455">
        <f t="shared" ca="1" si="148"/>
        <v>-2249886947.6173053</v>
      </c>
      <c r="L3386" s="455">
        <f t="shared" ca="1" si="149"/>
        <v>-542222754375.77069</v>
      </c>
      <c r="M3386" s="471">
        <f t="shared" si="151"/>
        <v>0.05</v>
      </c>
      <c r="N3386" s="475">
        <f t="shared" si="152"/>
        <v>154103</v>
      </c>
    </row>
    <row r="3387" spans="7:14" ht="11.25" customHeight="1" x14ac:dyDescent="0.3">
      <c r="G3387" s="470"/>
      <c r="H3387" s="470">
        <v>3380</v>
      </c>
      <c r="I3387" s="455">
        <f t="shared" ca="1" si="150"/>
        <v>-542222754375.77069</v>
      </c>
      <c r="J3387" s="455">
        <f t="array" ref="J3387">IFERROR(INDEX('Retirement Calculator'!K:K,MATCH('Lorri 401b'!N3387,'Retirement Calculator'!A:A,0),0),0)</f>
        <v>0</v>
      </c>
      <c r="K3387" s="455">
        <f t="shared" ca="1" si="148"/>
        <v>-2259261476.565711</v>
      </c>
      <c r="L3387" s="455">
        <f t="shared" ca="1" si="149"/>
        <v>-544482015852.33643</v>
      </c>
      <c r="M3387" s="471">
        <f t="shared" si="151"/>
        <v>0.05</v>
      </c>
      <c r="N3387" s="475">
        <f t="shared" si="152"/>
        <v>154134</v>
      </c>
    </row>
    <row r="3388" spans="7:14" ht="11.25" customHeight="1" x14ac:dyDescent="0.3">
      <c r="G3388" s="470"/>
      <c r="H3388" s="470">
        <v>3381</v>
      </c>
      <c r="I3388" s="455">
        <f t="shared" ca="1" si="150"/>
        <v>-544482015852.33643</v>
      </c>
      <c r="J3388" s="455">
        <f t="array" ref="J3388">IFERROR(INDEX('Retirement Calculator'!K:K,MATCH('Lorri 401b'!N3388,'Retirement Calculator'!A:A,0),0),0)</f>
        <v>0</v>
      </c>
      <c r="K3388" s="455">
        <f t="shared" ca="1" si="148"/>
        <v>-2268675066.0514016</v>
      </c>
      <c r="L3388" s="455">
        <f t="shared" ca="1" si="149"/>
        <v>-546750690918.38782</v>
      </c>
      <c r="M3388" s="471">
        <f t="shared" si="151"/>
        <v>0.05</v>
      </c>
      <c r="N3388" s="475">
        <f t="shared" si="152"/>
        <v>154165</v>
      </c>
    </row>
    <row r="3389" spans="7:14" ht="11.25" customHeight="1" x14ac:dyDescent="0.3">
      <c r="G3389" s="470"/>
      <c r="H3389" s="470">
        <v>3382</v>
      </c>
      <c r="I3389" s="455">
        <f t="shared" ca="1" si="150"/>
        <v>-546750690918.38782</v>
      </c>
      <c r="J3389" s="455">
        <f t="array" ref="J3389">IFERROR(INDEX('Retirement Calculator'!K:K,MATCH('Lorri 401b'!N3389,'Retirement Calculator'!A:A,0),0),0)</f>
        <v>0</v>
      </c>
      <c r="K3389" s="455">
        <f t="shared" ca="1" si="148"/>
        <v>-2278127878.8266158</v>
      </c>
      <c r="L3389" s="455">
        <f t="shared" ca="1" si="149"/>
        <v>-549028818797.21442</v>
      </c>
      <c r="M3389" s="471">
        <f t="shared" si="151"/>
        <v>0.05</v>
      </c>
      <c r="N3389" s="475">
        <f t="shared" si="152"/>
        <v>154193</v>
      </c>
    </row>
    <row r="3390" spans="7:14" ht="11.25" customHeight="1" x14ac:dyDescent="0.3">
      <c r="G3390" s="470"/>
      <c r="H3390" s="470">
        <v>3383</v>
      </c>
      <c r="I3390" s="455">
        <f t="shared" ca="1" si="150"/>
        <v>-549028818797.21442</v>
      </c>
      <c r="J3390" s="455">
        <f t="array" ref="J3390">IFERROR(INDEX('Retirement Calculator'!K:K,MATCH('Lorri 401b'!N3390,'Retirement Calculator'!A:A,0),0),0)</f>
        <v>0</v>
      </c>
      <c r="K3390" s="455">
        <f t="shared" ca="1" si="148"/>
        <v>-2287620078.3217268</v>
      </c>
      <c r="L3390" s="455">
        <f t="shared" ca="1" si="149"/>
        <v>-551316438875.53613</v>
      </c>
      <c r="M3390" s="471">
        <f t="shared" si="151"/>
        <v>0.05</v>
      </c>
      <c r="N3390" s="475">
        <f t="shared" si="152"/>
        <v>154224</v>
      </c>
    </row>
    <row r="3391" spans="7:14" ht="11.25" customHeight="1" x14ac:dyDescent="0.3">
      <c r="G3391" s="470"/>
      <c r="H3391" s="470">
        <v>3384</v>
      </c>
      <c r="I3391" s="455">
        <f t="shared" ca="1" si="150"/>
        <v>-551316438875.53613</v>
      </c>
      <c r="J3391" s="455">
        <f t="array" ref="J3391">IFERROR(INDEX('Retirement Calculator'!K:K,MATCH('Lorri 401b'!N3391,'Retirement Calculator'!A:A,0),0),0)</f>
        <v>0</v>
      </c>
      <c r="K3391" s="455">
        <f t="shared" ca="1" si="148"/>
        <v>-2297151828.648067</v>
      </c>
      <c r="L3391" s="455">
        <f t="shared" ca="1" si="149"/>
        <v>-553613590704.1842</v>
      </c>
      <c r="M3391" s="471">
        <f t="shared" si="151"/>
        <v>0.05</v>
      </c>
      <c r="N3391" s="475">
        <f t="shared" si="152"/>
        <v>154254</v>
      </c>
    </row>
    <row r="3392" spans="7:14" ht="11.25" customHeight="1" x14ac:dyDescent="0.3">
      <c r="G3392" s="470"/>
      <c r="H3392" s="470">
        <v>3385</v>
      </c>
      <c r="I3392" s="455">
        <f t="shared" ca="1" si="150"/>
        <v>-553613590704.1842</v>
      </c>
      <c r="J3392" s="455">
        <f t="array" ref="J3392">IFERROR(INDEX('Retirement Calculator'!K:K,MATCH('Lorri 401b'!N3392,'Retirement Calculator'!A:A,0),0),0)</f>
        <v>0</v>
      </c>
      <c r="K3392" s="455">
        <f t="shared" ca="1" si="148"/>
        <v>-2306723294.6007676</v>
      </c>
      <c r="L3392" s="455">
        <f t="shared" ca="1" si="149"/>
        <v>-555920313998.78491</v>
      </c>
      <c r="M3392" s="471">
        <f t="shared" si="151"/>
        <v>0.05</v>
      </c>
      <c r="N3392" s="475">
        <f t="shared" si="152"/>
        <v>154285</v>
      </c>
    </row>
    <row r="3393" spans="7:14" ht="11.25" customHeight="1" x14ac:dyDescent="0.3">
      <c r="G3393" s="470"/>
      <c r="H3393" s="470">
        <v>3386</v>
      </c>
      <c r="I3393" s="455">
        <f t="shared" ca="1" si="150"/>
        <v>-555920313998.78491</v>
      </c>
      <c r="J3393" s="455">
        <f t="array" ref="J3393">IFERROR(INDEX('Retirement Calculator'!K:K,MATCH('Lorri 401b'!N3393,'Retirement Calculator'!A:A,0),0),0)</f>
        <v>0</v>
      </c>
      <c r="K3393" s="455">
        <f t="shared" ca="1" si="148"/>
        <v>-2316334641.6616039</v>
      </c>
      <c r="L3393" s="455">
        <f t="shared" ca="1" si="149"/>
        <v>-558236648640.44653</v>
      </c>
      <c r="M3393" s="471">
        <f t="shared" si="151"/>
        <v>0.05</v>
      </c>
      <c r="N3393" s="475">
        <f t="shared" si="152"/>
        <v>154315</v>
      </c>
    </row>
    <row r="3394" spans="7:14" ht="11.25" customHeight="1" x14ac:dyDescent="0.3">
      <c r="G3394" s="470"/>
      <c r="H3394" s="470">
        <v>3387</v>
      </c>
      <c r="I3394" s="455">
        <f t="shared" ca="1" si="150"/>
        <v>-558236648640.44653</v>
      </c>
      <c r="J3394" s="455">
        <f t="array" ref="J3394">IFERROR(INDEX('Retirement Calculator'!K:K,MATCH('Lorri 401b'!N3394,'Retirement Calculator'!A:A,0),0),0)</f>
        <v>0</v>
      </c>
      <c r="K3394" s="455">
        <f t="shared" ca="1" si="148"/>
        <v>-2325986036.0018606</v>
      </c>
      <c r="L3394" s="455">
        <f t="shared" ca="1" si="149"/>
        <v>-560562634676.44836</v>
      </c>
      <c r="M3394" s="471">
        <f t="shared" si="151"/>
        <v>0.05</v>
      </c>
      <c r="N3394" s="475">
        <f t="shared" si="152"/>
        <v>154346</v>
      </c>
    </row>
    <row r="3395" spans="7:14" ht="11.25" customHeight="1" x14ac:dyDescent="0.3">
      <c r="G3395" s="470"/>
      <c r="H3395" s="470">
        <v>3388</v>
      </c>
      <c r="I3395" s="455">
        <f t="shared" ca="1" si="150"/>
        <v>-560562634676.44836</v>
      </c>
      <c r="J3395" s="455">
        <f t="array" ref="J3395">IFERROR(INDEX('Retirement Calculator'!K:K,MATCH('Lorri 401b'!N3395,'Retirement Calculator'!A:A,0),0),0)</f>
        <v>0</v>
      </c>
      <c r="K3395" s="455">
        <f t="shared" ca="1" si="148"/>
        <v>-2335677644.4852014</v>
      </c>
      <c r="L3395" s="455">
        <f t="shared" ca="1" si="149"/>
        <v>-562898312320.93359</v>
      </c>
      <c r="M3395" s="471">
        <f t="shared" si="151"/>
        <v>0.05</v>
      </c>
      <c r="N3395" s="475">
        <f t="shared" si="152"/>
        <v>154377</v>
      </c>
    </row>
    <row r="3396" spans="7:14" ht="11.25" customHeight="1" x14ac:dyDescent="0.3">
      <c r="G3396" s="470"/>
      <c r="H3396" s="470">
        <v>3389</v>
      </c>
      <c r="I3396" s="455">
        <f t="shared" ca="1" si="150"/>
        <v>-562898312320.93359</v>
      </c>
      <c r="J3396" s="455">
        <f t="array" ref="J3396">IFERROR(INDEX('Retirement Calculator'!K:K,MATCH('Lorri 401b'!N3396,'Retirement Calculator'!A:A,0),0),0)</f>
        <v>0</v>
      </c>
      <c r="K3396" s="455">
        <f t="shared" ca="1" si="148"/>
        <v>-2345409634.6705565</v>
      </c>
      <c r="L3396" s="455">
        <f t="shared" ca="1" si="149"/>
        <v>-565243721955.60413</v>
      </c>
      <c r="M3396" s="471">
        <f t="shared" si="151"/>
        <v>0.05</v>
      </c>
      <c r="N3396" s="475">
        <f t="shared" si="152"/>
        <v>154407</v>
      </c>
    </row>
    <row r="3397" spans="7:14" ht="11.25" customHeight="1" x14ac:dyDescent="0.3">
      <c r="G3397" s="470"/>
      <c r="H3397" s="470">
        <v>3390</v>
      </c>
      <c r="I3397" s="455">
        <f t="shared" ca="1" si="150"/>
        <v>-565243721955.60413</v>
      </c>
      <c r="J3397" s="455">
        <f t="array" ref="J3397">IFERROR(INDEX('Retirement Calculator'!K:K,MATCH('Lorri 401b'!N3397,'Retirement Calculator'!A:A,0),0),0)</f>
        <v>0</v>
      </c>
      <c r="K3397" s="455">
        <f t="shared" ca="1" si="148"/>
        <v>-2355182174.8150172</v>
      </c>
      <c r="L3397" s="455">
        <f t="shared" ca="1" si="149"/>
        <v>-567598904130.41919</v>
      </c>
      <c r="M3397" s="471">
        <f t="shared" si="151"/>
        <v>0.05</v>
      </c>
      <c r="N3397" s="475">
        <f t="shared" si="152"/>
        <v>154438</v>
      </c>
    </row>
    <row r="3398" spans="7:14" ht="11.25" customHeight="1" x14ac:dyDescent="0.3">
      <c r="G3398" s="470"/>
      <c r="H3398" s="470">
        <v>3391</v>
      </c>
      <c r="I3398" s="455">
        <f t="shared" ca="1" si="150"/>
        <v>-567598904130.41919</v>
      </c>
      <c r="J3398" s="455">
        <f t="array" ref="J3398">IFERROR(INDEX('Retirement Calculator'!K:K,MATCH('Lorri 401b'!N3398,'Retirement Calculator'!A:A,0),0),0)</f>
        <v>0</v>
      </c>
      <c r="K3398" s="455">
        <f t="shared" ca="1" si="148"/>
        <v>-2364995433.8767467</v>
      </c>
      <c r="L3398" s="455">
        <f t="shared" ca="1" si="149"/>
        <v>-569963899564.2959</v>
      </c>
      <c r="M3398" s="471">
        <f t="shared" si="151"/>
        <v>0.05</v>
      </c>
      <c r="N3398" s="475">
        <f t="shared" si="152"/>
        <v>154468</v>
      </c>
    </row>
    <row r="3399" spans="7:14" ht="11.25" customHeight="1" x14ac:dyDescent="0.3">
      <c r="G3399" s="470"/>
      <c r="H3399" s="470">
        <v>3392</v>
      </c>
      <c r="I3399" s="455">
        <f t="shared" ca="1" si="150"/>
        <v>-569963899564.2959</v>
      </c>
      <c r="J3399" s="455">
        <f t="array" ref="J3399">IFERROR(INDEX('Retirement Calculator'!K:K,MATCH('Lorri 401b'!N3399,'Retirement Calculator'!A:A,0),0),0)</f>
        <v>0</v>
      </c>
      <c r="K3399" s="455">
        <f t="shared" ca="1" si="148"/>
        <v>-2374849581.5178995</v>
      </c>
      <c r="L3399" s="455">
        <f t="shared" ca="1" si="149"/>
        <v>-572338749145.81384</v>
      </c>
      <c r="M3399" s="471">
        <f t="shared" si="151"/>
        <v>0.05</v>
      </c>
      <c r="N3399" s="475">
        <f t="shared" si="152"/>
        <v>154499</v>
      </c>
    </row>
    <row r="3400" spans="7:14" ht="11.25" customHeight="1" x14ac:dyDescent="0.3">
      <c r="G3400" s="470"/>
      <c r="H3400" s="470">
        <v>3393</v>
      </c>
      <c r="I3400" s="455">
        <f t="shared" ca="1" si="150"/>
        <v>-572338749145.81384</v>
      </c>
      <c r="J3400" s="455">
        <f t="array" ref="J3400">IFERROR(INDEX('Retirement Calculator'!K:K,MATCH('Lorri 401b'!N3400,'Retirement Calculator'!A:A,0),0),0)</f>
        <v>0</v>
      </c>
      <c r="K3400" s="455">
        <f t="shared" ca="1" si="148"/>
        <v>-2384744788.1075578</v>
      </c>
      <c r="L3400" s="455">
        <f t="shared" ca="1" si="149"/>
        <v>-574723493933.92139</v>
      </c>
      <c r="M3400" s="471">
        <f t="shared" si="151"/>
        <v>0.05</v>
      </c>
      <c r="N3400" s="475">
        <f t="shared" si="152"/>
        <v>154530</v>
      </c>
    </row>
    <row r="3401" spans="7:14" ht="11.25" customHeight="1" x14ac:dyDescent="0.3">
      <c r="G3401" s="470"/>
      <c r="H3401" s="470">
        <v>3394</v>
      </c>
      <c r="I3401" s="455">
        <f t="shared" ca="1" si="150"/>
        <v>-574723493933.92139</v>
      </c>
      <c r="J3401" s="455">
        <f t="array" ref="J3401">IFERROR(INDEX('Retirement Calculator'!K:K,MATCH('Lorri 401b'!N3401,'Retirement Calculator'!A:A,0),0),0)</f>
        <v>0</v>
      </c>
      <c r="K3401" s="455">
        <f t="shared" ca="1" si="148"/>
        <v>-2394681224.7246723</v>
      </c>
      <c r="L3401" s="455">
        <f t="shared" ca="1" si="149"/>
        <v>-577118175158.64612</v>
      </c>
      <c r="M3401" s="471">
        <f t="shared" si="151"/>
        <v>0.05</v>
      </c>
      <c r="N3401" s="475">
        <f t="shared" si="152"/>
        <v>154558</v>
      </c>
    </row>
    <row r="3402" spans="7:14" ht="11.25" customHeight="1" x14ac:dyDescent="0.3">
      <c r="G3402" s="470"/>
      <c r="H3402" s="470">
        <v>3395</v>
      </c>
      <c r="I3402" s="455">
        <f t="shared" ca="1" si="150"/>
        <v>-577118175158.64612</v>
      </c>
      <c r="J3402" s="455">
        <f t="array" ref="J3402">IFERROR(INDEX('Retirement Calculator'!K:K,MATCH('Lorri 401b'!N3402,'Retirement Calculator'!A:A,0),0),0)</f>
        <v>0</v>
      </c>
      <c r="K3402" s="455">
        <f t="shared" ca="1" si="148"/>
        <v>-2404659063.1610255</v>
      </c>
      <c r="L3402" s="455">
        <f t="shared" ca="1" si="149"/>
        <v>-579522834221.80713</v>
      </c>
      <c r="M3402" s="471">
        <f t="shared" si="151"/>
        <v>0.05</v>
      </c>
      <c r="N3402" s="475">
        <f t="shared" si="152"/>
        <v>154589</v>
      </c>
    </row>
    <row r="3403" spans="7:14" ht="11.25" customHeight="1" x14ac:dyDescent="0.3">
      <c r="G3403" s="470"/>
      <c r="H3403" s="470">
        <v>3396</v>
      </c>
      <c r="I3403" s="455">
        <f t="shared" ca="1" si="150"/>
        <v>-579522834221.80713</v>
      </c>
      <c r="J3403" s="455">
        <f t="array" ref="J3403">IFERROR(INDEX('Retirement Calculator'!K:K,MATCH('Lorri 401b'!N3403,'Retirement Calculator'!A:A,0),0),0)</f>
        <v>0</v>
      </c>
      <c r="K3403" s="455">
        <f t="shared" ca="1" si="148"/>
        <v>-2414678475.9241962</v>
      </c>
      <c r="L3403" s="455">
        <f t="shared" ca="1" si="149"/>
        <v>-581937512697.73132</v>
      </c>
      <c r="M3403" s="471">
        <f t="shared" si="151"/>
        <v>0.05</v>
      </c>
      <c r="N3403" s="475">
        <f t="shared" si="152"/>
        <v>154619</v>
      </c>
    </row>
    <row r="3404" spans="7:14" ht="11.25" customHeight="1" x14ac:dyDescent="0.3">
      <c r="G3404" s="470"/>
      <c r="H3404" s="470">
        <v>3397</v>
      </c>
      <c r="I3404" s="455">
        <f t="shared" ca="1" si="150"/>
        <v>-581937512697.73132</v>
      </c>
      <c r="J3404" s="455">
        <f t="array" ref="J3404">IFERROR(INDEX('Retirement Calculator'!K:K,MATCH('Lorri 401b'!N3404,'Retirement Calculator'!A:A,0),0),0)</f>
        <v>0</v>
      </c>
      <c r="K3404" s="455">
        <f t="shared" ca="1" si="148"/>
        <v>-2424739636.2405472</v>
      </c>
      <c r="L3404" s="455">
        <f t="shared" ca="1" si="149"/>
        <v>-584362252333.97192</v>
      </c>
      <c r="M3404" s="471">
        <f t="shared" si="151"/>
        <v>0.05</v>
      </c>
      <c r="N3404" s="475">
        <f t="shared" si="152"/>
        <v>154650</v>
      </c>
    </row>
    <row r="3405" spans="7:14" ht="11.25" customHeight="1" x14ac:dyDescent="0.3">
      <c r="G3405" s="470"/>
      <c r="H3405" s="470">
        <v>3398</v>
      </c>
      <c r="I3405" s="455">
        <f t="shared" ca="1" si="150"/>
        <v>-584362252333.97192</v>
      </c>
      <c r="J3405" s="455">
        <f t="array" ref="J3405">IFERROR(INDEX('Retirement Calculator'!K:K,MATCH('Lorri 401b'!N3405,'Retirement Calculator'!A:A,0),0),0)</f>
        <v>0</v>
      </c>
      <c r="K3405" s="455">
        <f t="shared" ca="1" si="148"/>
        <v>-2434842718.0582161</v>
      </c>
      <c r="L3405" s="455">
        <f t="shared" ca="1" si="149"/>
        <v>-586797095052.03015</v>
      </c>
      <c r="M3405" s="471">
        <f t="shared" si="151"/>
        <v>0.05</v>
      </c>
      <c r="N3405" s="475">
        <f t="shared" si="152"/>
        <v>154680</v>
      </c>
    </row>
    <row r="3406" spans="7:14" ht="11.25" customHeight="1" x14ac:dyDescent="0.3">
      <c r="G3406" s="470"/>
      <c r="H3406" s="470">
        <v>3399</v>
      </c>
      <c r="I3406" s="455">
        <f t="shared" ca="1" si="150"/>
        <v>-586797095052.03015</v>
      </c>
      <c r="J3406" s="455">
        <f t="array" ref="J3406">IFERROR(INDEX('Retirement Calculator'!K:K,MATCH('Lorri 401b'!N3406,'Retirement Calculator'!A:A,0),0),0)</f>
        <v>0</v>
      </c>
      <c r="K3406" s="455">
        <f t="shared" ca="1" si="148"/>
        <v>-2444987896.0501256</v>
      </c>
      <c r="L3406" s="455">
        <f t="shared" ca="1" si="149"/>
        <v>-589242082948.08032</v>
      </c>
      <c r="M3406" s="471">
        <f t="shared" si="151"/>
        <v>0.05</v>
      </c>
      <c r="N3406" s="475">
        <f t="shared" si="152"/>
        <v>154711</v>
      </c>
    </row>
    <row r="3407" spans="7:14" ht="11.25" customHeight="1" x14ac:dyDescent="0.3">
      <c r="G3407" s="470"/>
      <c r="H3407" s="470">
        <v>3400</v>
      </c>
      <c r="I3407" s="455">
        <f t="shared" ca="1" si="150"/>
        <v>-589242082948.08032</v>
      </c>
      <c r="J3407" s="455">
        <f t="array" ref="J3407">IFERROR(INDEX('Retirement Calculator'!K:K,MATCH('Lorri 401b'!N3407,'Retirement Calculator'!A:A,0),0),0)</f>
        <v>0</v>
      </c>
      <c r="K3407" s="455">
        <f t="shared" ca="1" si="148"/>
        <v>-2455175345.6170015</v>
      </c>
      <c r="L3407" s="455">
        <f t="shared" ca="1" si="149"/>
        <v>-591697258293.69727</v>
      </c>
      <c r="M3407" s="471">
        <f t="shared" si="151"/>
        <v>0.05</v>
      </c>
      <c r="N3407" s="475">
        <f t="shared" si="152"/>
        <v>154742</v>
      </c>
    </row>
    <row r="3408" spans="7:14" ht="11.25" customHeight="1" x14ac:dyDescent="0.3">
      <c r="G3408" s="470"/>
      <c r="H3408" s="470">
        <v>3401</v>
      </c>
      <c r="I3408" s="455">
        <f t="shared" ca="1" si="150"/>
        <v>-591697258293.69727</v>
      </c>
      <c r="J3408" s="455">
        <f t="array" ref="J3408">IFERROR(INDEX('Retirement Calculator'!K:K,MATCH('Lorri 401b'!N3408,'Retirement Calculator'!A:A,0),0),0)</f>
        <v>0</v>
      </c>
      <c r="K3408" s="455">
        <f t="shared" ca="1" si="148"/>
        <v>-2465405242.8904052</v>
      </c>
      <c r="L3408" s="455">
        <f t="shared" ca="1" si="149"/>
        <v>-594162663536.58765</v>
      </c>
      <c r="M3408" s="471">
        <f t="shared" si="151"/>
        <v>0.05</v>
      </c>
      <c r="N3408" s="475">
        <f t="shared" si="152"/>
        <v>154772</v>
      </c>
    </row>
    <row r="3409" spans="7:14" ht="11.25" customHeight="1" x14ac:dyDescent="0.3">
      <c r="G3409" s="470"/>
      <c r="H3409" s="470">
        <v>3402</v>
      </c>
      <c r="I3409" s="455">
        <f t="shared" ca="1" si="150"/>
        <v>-594162663536.58765</v>
      </c>
      <c r="J3409" s="455">
        <f t="array" ref="J3409">IFERROR(INDEX('Retirement Calculator'!K:K,MATCH('Lorri 401b'!N3409,'Retirement Calculator'!A:A,0),0),0)</f>
        <v>0</v>
      </c>
      <c r="K3409" s="455">
        <f t="shared" ca="1" si="148"/>
        <v>-2475677764.7357817</v>
      </c>
      <c r="L3409" s="455">
        <f t="shared" ca="1" si="149"/>
        <v>-596638341301.32349</v>
      </c>
      <c r="M3409" s="471">
        <f t="shared" si="151"/>
        <v>0.05</v>
      </c>
      <c r="N3409" s="475">
        <f t="shared" si="152"/>
        <v>154803</v>
      </c>
    </row>
    <row r="3410" spans="7:14" ht="11.25" customHeight="1" x14ac:dyDescent="0.3">
      <c r="G3410" s="470"/>
      <c r="H3410" s="470">
        <v>3403</v>
      </c>
      <c r="I3410" s="455">
        <f t="shared" ca="1" si="150"/>
        <v>-596638341301.32349</v>
      </c>
      <c r="J3410" s="455">
        <f t="array" ref="J3410">IFERROR(INDEX('Retirement Calculator'!K:K,MATCH('Lorri 401b'!N3410,'Retirement Calculator'!A:A,0),0),0)</f>
        <v>0</v>
      </c>
      <c r="K3410" s="455">
        <f t="shared" ca="1" si="148"/>
        <v>-2485993088.7555146</v>
      </c>
      <c r="L3410" s="455">
        <f t="shared" ca="1" si="149"/>
        <v>-599124334390.07898</v>
      </c>
      <c r="M3410" s="471">
        <f t="shared" si="151"/>
        <v>0.05</v>
      </c>
      <c r="N3410" s="475">
        <f t="shared" si="152"/>
        <v>154833</v>
      </c>
    </row>
    <row r="3411" spans="7:14" ht="11.25" customHeight="1" x14ac:dyDescent="0.3">
      <c r="G3411" s="470"/>
      <c r="H3411" s="470">
        <v>3404</v>
      </c>
      <c r="I3411" s="455">
        <f t="shared" ca="1" si="150"/>
        <v>-599124334390.07898</v>
      </c>
      <c r="J3411" s="455">
        <f t="array" ref="J3411">IFERROR(INDEX('Retirement Calculator'!K:K,MATCH('Lorri 401b'!N3411,'Retirement Calculator'!A:A,0),0),0)</f>
        <v>0</v>
      </c>
      <c r="K3411" s="455">
        <f t="shared" ca="1" si="148"/>
        <v>-2496351393.2919955</v>
      </c>
      <c r="L3411" s="455">
        <f t="shared" ca="1" si="149"/>
        <v>-601620685783.37097</v>
      </c>
      <c r="M3411" s="471">
        <f t="shared" si="151"/>
        <v>0.05</v>
      </c>
      <c r="N3411" s="475">
        <f t="shared" si="152"/>
        <v>154864</v>
      </c>
    </row>
    <row r="3412" spans="7:14" ht="11.25" customHeight="1" x14ac:dyDescent="0.3">
      <c r="G3412" s="470"/>
      <c r="H3412" s="470">
        <v>3405</v>
      </c>
      <c r="I3412" s="455">
        <f t="shared" ca="1" si="150"/>
        <v>-601620685783.37097</v>
      </c>
      <c r="J3412" s="455">
        <f t="array" ref="J3412">IFERROR(INDEX('Retirement Calculator'!K:K,MATCH('Lorri 401b'!N3412,'Retirement Calculator'!A:A,0),0),0)</f>
        <v>0</v>
      </c>
      <c r="K3412" s="455">
        <f t="shared" ca="1" si="148"/>
        <v>-2506752857.4307122</v>
      </c>
      <c r="L3412" s="455">
        <f t="shared" ca="1" si="149"/>
        <v>-604127438640.80164</v>
      </c>
      <c r="M3412" s="471">
        <f t="shared" si="151"/>
        <v>0.05</v>
      </c>
      <c r="N3412" s="475">
        <f t="shared" si="152"/>
        <v>154895</v>
      </c>
    </row>
    <row r="3413" spans="7:14" ht="11.25" customHeight="1" x14ac:dyDescent="0.3">
      <c r="G3413" s="470"/>
      <c r="H3413" s="470">
        <v>3406</v>
      </c>
      <c r="I3413" s="455">
        <f t="shared" ca="1" si="150"/>
        <v>-604127438640.80164</v>
      </c>
      <c r="J3413" s="455">
        <f t="array" ref="J3413">IFERROR(INDEX('Retirement Calculator'!K:K,MATCH('Lorri 401b'!N3413,'Retirement Calculator'!A:A,0),0),0)</f>
        <v>0</v>
      </c>
      <c r="K3413" s="455">
        <f t="shared" ca="1" si="148"/>
        <v>-2517197661.0033402</v>
      </c>
      <c r="L3413" s="455">
        <f t="shared" ca="1" si="149"/>
        <v>-606644636301.80493</v>
      </c>
      <c r="M3413" s="471">
        <f t="shared" si="151"/>
        <v>0.05</v>
      </c>
      <c r="N3413" s="475">
        <f t="shared" si="152"/>
        <v>154924</v>
      </c>
    </row>
    <row r="3414" spans="7:14" ht="11.25" customHeight="1" x14ac:dyDescent="0.3">
      <c r="G3414" s="470"/>
      <c r="H3414" s="470">
        <v>3407</v>
      </c>
      <c r="I3414" s="455">
        <f t="shared" ca="1" si="150"/>
        <v>-606644636301.80493</v>
      </c>
      <c r="J3414" s="455">
        <f t="array" ref="J3414">IFERROR(INDEX('Retirement Calculator'!K:K,MATCH('Lorri 401b'!N3414,'Retirement Calculator'!A:A,0),0),0)</f>
        <v>0</v>
      </c>
      <c r="K3414" s="455">
        <f t="shared" ca="1" si="148"/>
        <v>-2527685984.5908537</v>
      </c>
      <c r="L3414" s="455">
        <f t="shared" ca="1" si="149"/>
        <v>-609172322286.39575</v>
      </c>
      <c r="M3414" s="471">
        <f t="shared" si="151"/>
        <v>0.05</v>
      </c>
      <c r="N3414" s="475">
        <f t="shared" si="152"/>
        <v>154955</v>
      </c>
    </row>
    <row r="3415" spans="7:14" ht="11.25" customHeight="1" x14ac:dyDescent="0.3">
      <c r="G3415" s="470"/>
      <c r="H3415" s="470">
        <v>3408</v>
      </c>
      <c r="I3415" s="455">
        <f t="shared" ca="1" si="150"/>
        <v>-609172322286.39575</v>
      </c>
      <c r="J3415" s="455">
        <f t="array" ref="J3415">IFERROR(INDEX('Retirement Calculator'!K:K,MATCH('Lorri 401b'!N3415,'Retirement Calculator'!A:A,0),0),0)</f>
        <v>0</v>
      </c>
      <c r="K3415" s="455">
        <f t="shared" ca="1" si="148"/>
        <v>-2538218009.526649</v>
      </c>
      <c r="L3415" s="455">
        <f t="shared" ca="1" si="149"/>
        <v>-611710540295.92236</v>
      </c>
      <c r="M3415" s="471">
        <f t="shared" si="151"/>
        <v>0.05</v>
      </c>
      <c r="N3415" s="475">
        <f t="shared" si="152"/>
        <v>154985</v>
      </c>
    </row>
    <row r="3416" spans="7:14" ht="11.25" customHeight="1" x14ac:dyDescent="0.3">
      <c r="G3416" s="470"/>
      <c r="H3416" s="470">
        <v>3409</v>
      </c>
      <c r="I3416" s="455">
        <f t="shared" ca="1" si="150"/>
        <v>-611710540295.92236</v>
      </c>
      <c r="J3416" s="455">
        <f t="array" ref="J3416">IFERROR(INDEX('Retirement Calculator'!K:K,MATCH('Lorri 401b'!N3416,'Retirement Calculator'!A:A,0),0),0)</f>
        <v>0</v>
      </c>
      <c r="K3416" s="455">
        <f t="shared" ca="1" si="148"/>
        <v>-2548793917.8996763</v>
      </c>
      <c r="L3416" s="455">
        <f t="shared" ca="1" si="149"/>
        <v>-614259334213.82202</v>
      </c>
      <c r="M3416" s="471">
        <f t="shared" si="151"/>
        <v>0.05</v>
      </c>
      <c r="N3416" s="475">
        <f t="shared" si="152"/>
        <v>155016</v>
      </c>
    </row>
    <row r="3417" spans="7:14" ht="11.25" customHeight="1" x14ac:dyDescent="0.3">
      <c r="G3417" s="470"/>
      <c r="H3417" s="470">
        <v>3410</v>
      </c>
      <c r="I3417" s="455">
        <f t="shared" ca="1" si="150"/>
        <v>-614259334213.82202</v>
      </c>
      <c r="J3417" s="455">
        <f t="array" ref="J3417">IFERROR(INDEX('Retirement Calculator'!K:K,MATCH('Lorri 401b'!N3417,'Retirement Calculator'!A:A,0),0),0)</f>
        <v>0</v>
      </c>
      <c r="K3417" s="455">
        <f t="shared" ca="1" si="148"/>
        <v>-2559413892.5575919</v>
      </c>
      <c r="L3417" s="455">
        <f t="shared" ca="1" si="149"/>
        <v>-616818748106.37964</v>
      </c>
      <c r="M3417" s="471">
        <f t="shared" si="151"/>
        <v>0.05</v>
      </c>
      <c r="N3417" s="475">
        <f t="shared" si="152"/>
        <v>155046</v>
      </c>
    </row>
    <row r="3418" spans="7:14" ht="11.25" customHeight="1" x14ac:dyDescent="0.3">
      <c r="G3418" s="470"/>
      <c r="H3418" s="470">
        <v>3411</v>
      </c>
      <c r="I3418" s="455">
        <f t="shared" ca="1" si="150"/>
        <v>-616818748106.37964</v>
      </c>
      <c r="J3418" s="455">
        <f t="array" ref="J3418">IFERROR(INDEX('Retirement Calculator'!K:K,MATCH('Lorri 401b'!N3418,'Retirement Calculator'!A:A,0),0),0)</f>
        <v>0</v>
      </c>
      <c r="K3418" s="455">
        <f t="shared" ca="1" si="148"/>
        <v>-2570078117.1099153</v>
      </c>
      <c r="L3418" s="455">
        <f t="shared" ca="1" si="149"/>
        <v>-619388826223.4895</v>
      </c>
      <c r="M3418" s="471">
        <f t="shared" si="151"/>
        <v>0.05</v>
      </c>
      <c r="N3418" s="475">
        <f t="shared" si="152"/>
        <v>155077</v>
      </c>
    </row>
    <row r="3419" spans="7:14" ht="11.25" customHeight="1" x14ac:dyDescent="0.3">
      <c r="G3419" s="470"/>
      <c r="H3419" s="470">
        <v>3412</v>
      </c>
      <c r="I3419" s="455">
        <f t="shared" ca="1" si="150"/>
        <v>-619388826223.4895</v>
      </c>
      <c r="J3419" s="455">
        <f t="array" ref="J3419">IFERROR(INDEX('Retirement Calculator'!K:K,MATCH('Lorri 401b'!N3419,'Retirement Calculator'!A:A,0),0),0)</f>
        <v>0</v>
      </c>
      <c r="K3419" s="455">
        <f t="shared" ca="1" si="148"/>
        <v>-2580786775.9312062</v>
      </c>
      <c r="L3419" s="455">
        <f t="shared" ca="1" si="149"/>
        <v>-621969612999.42065</v>
      </c>
      <c r="M3419" s="471">
        <f t="shared" si="151"/>
        <v>0.05</v>
      </c>
      <c r="N3419" s="475">
        <f t="shared" si="152"/>
        <v>155108</v>
      </c>
    </row>
    <row r="3420" spans="7:14" ht="11.25" customHeight="1" x14ac:dyDescent="0.3">
      <c r="G3420" s="470"/>
      <c r="H3420" s="470">
        <v>3413</v>
      </c>
      <c r="I3420" s="455">
        <f t="shared" ca="1" si="150"/>
        <v>-621969612999.42065</v>
      </c>
      <c r="J3420" s="455">
        <f t="array" ref="J3420">IFERROR(INDEX('Retirement Calculator'!K:K,MATCH('Lorri 401b'!N3420,'Retirement Calculator'!A:A,0),0),0)</f>
        <v>0</v>
      </c>
      <c r="K3420" s="455">
        <f t="shared" ca="1" si="148"/>
        <v>-2591540054.1642528</v>
      </c>
      <c r="L3420" s="455">
        <f t="shared" ca="1" si="149"/>
        <v>-624561153053.58496</v>
      </c>
      <c r="M3420" s="471">
        <f t="shared" si="151"/>
        <v>0.05</v>
      </c>
      <c r="N3420" s="475">
        <f t="shared" si="152"/>
        <v>155138</v>
      </c>
    </row>
    <row r="3421" spans="7:14" ht="11.25" customHeight="1" x14ac:dyDescent="0.3">
      <c r="G3421" s="470"/>
      <c r="H3421" s="470">
        <v>3414</v>
      </c>
      <c r="I3421" s="455">
        <f t="shared" ca="1" si="150"/>
        <v>-624561153053.58496</v>
      </c>
      <c r="J3421" s="455">
        <f t="array" ref="J3421">IFERROR(INDEX('Retirement Calculator'!K:K,MATCH('Lorri 401b'!N3421,'Retirement Calculator'!A:A,0),0),0)</f>
        <v>0</v>
      </c>
      <c r="K3421" s="455">
        <f t="shared" ca="1" si="148"/>
        <v>-2602338137.7232704</v>
      </c>
      <c r="L3421" s="455">
        <f t="shared" ca="1" si="149"/>
        <v>-627163491191.30823</v>
      </c>
      <c r="M3421" s="471">
        <f t="shared" si="151"/>
        <v>0.05</v>
      </c>
      <c r="N3421" s="475">
        <f t="shared" si="152"/>
        <v>155169</v>
      </c>
    </row>
    <row r="3422" spans="7:14" ht="11.25" customHeight="1" x14ac:dyDescent="0.3">
      <c r="G3422" s="470"/>
      <c r="H3422" s="470">
        <v>3415</v>
      </c>
      <c r="I3422" s="455">
        <f t="shared" ca="1" si="150"/>
        <v>-627163491191.30823</v>
      </c>
      <c r="J3422" s="455">
        <f t="array" ref="J3422">IFERROR(INDEX('Retirement Calculator'!K:K,MATCH('Lorri 401b'!N3422,'Retirement Calculator'!A:A,0),0),0)</f>
        <v>0</v>
      </c>
      <c r="K3422" s="455">
        <f t="shared" ca="1" si="148"/>
        <v>-2613181213.2971177</v>
      </c>
      <c r="L3422" s="455">
        <f t="shared" ca="1" si="149"/>
        <v>-629776672404.60535</v>
      </c>
      <c r="M3422" s="471">
        <f t="shared" si="151"/>
        <v>0.05</v>
      </c>
      <c r="N3422" s="475">
        <f t="shared" si="152"/>
        <v>155199</v>
      </c>
    </row>
    <row r="3423" spans="7:14" ht="11.25" customHeight="1" x14ac:dyDescent="0.3">
      <c r="G3423" s="470"/>
      <c r="H3423" s="470">
        <v>3416</v>
      </c>
      <c r="I3423" s="455">
        <f t="shared" ca="1" si="150"/>
        <v>-629776672404.60535</v>
      </c>
      <c r="J3423" s="455">
        <f t="array" ref="J3423">IFERROR(INDEX('Retirement Calculator'!K:K,MATCH('Lorri 401b'!N3423,'Retirement Calculator'!A:A,0),0),0)</f>
        <v>0</v>
      </c>
      <c r="K3423" s="455">
        <f t="shared" ca="1" si="148"/>
        <v>-2624069468.3525224</v>
      </c>
      <c r="L3423" s="455">
        <f t="shared" ca="1" si="149"/>
        <v>-632400741872.95789</v>
      </c>
      <c r="M3423" s="471">
        <f t="shared" si="151"/>
        <v>0.05</v>
      </c>
      <c r="N3423" s="475">
        <f t="shared" si="152"/>
        <v>155230</v>
      </c>
    </row>
    <row r="3424" spans="7:14" ht="11.25" customHeight="1" x14ac:dyDescent="0.3">
      <c r="G3424" s="470"/>
      <c r="H3424" s="470">
        <v>3417</v>
      </c>
      <c r="I3424" s="455">
        <f t="shared" ca="1" si="150"/>
        <v>-632400741872.95789</v>
      </c>
      <c r="J3424" s="455">
        <f t="array" ref="J3424">IFERROR(INDEX('Retirement Calculator'!K:K,MATCH('Lorri 401b'!N3424,'Retirement Calculator'!A:A,0),0),0)</f>
        <v>0</v>
      </c>
      <c r="K3424" s="455">
        <f t="shared" ca="1" si="148"/>
        <v>-2635003091.1373243</v>
      </c>
      <c r="L3424" s="455">
        <f t="shared" ca="1" si="149"/>
        <v>-635035744964.09521</v>
      </c>
      <c r="M3424" s="471">
        <f t="shared" si="151"/>
        <v>0.05</v>
      </c>
      <c r="N3424" s="475">
        <f t="shared" si="152"/>
        <v>155261</v>
      </c>
    </row>
    <row r="3425" spans="7:14" ht="11.25" customHeight="1" x14ac:dyDescent="0.3">
      <c r="G3425" s="470"/>
      <c r="H3425" s="470">
        <v>3418</v>
      </c>
      <c r="I3425" s="455">
        <f t="shared" ca="1" si="150"/>
        <v>-635035744964.09521</v>
      </c>
      <c r="J3425" s="455">
        <f t="array" ref="J3425">IFERROR(INDEX('Retirement Calculator'!K:K,MATCH('Lorri 401b'!N3425,'Retirement Calculator'!A:A,0),0),0)</f>
        <v>0</v>
      </c>
      <c r="K3425" s="455">
        <f t="shared" ca="1" si="148"/>
        <v>-2645982270.6837301</v>
      </c>
      <c r="L3425" s="455">
        <f t="shared" ca="1" si="149"/>
        <v>-637681727234.77893</v>
      </c>
      <c r="M3425" s="471">
        <f t="shared" si="151"/>
        <v>0.05</v>
      </c>
      <c r="N3425" s="475">
        <f t="shared" si="152"/>
        <v>155289</v>
      </c>
    </row>
    <row r="3426" spans="7:14" ht="11.25" customHeight="1" x14ac:dyDescent="0.3">
      <c r="G3426" s="470"/>
      <c r="H3426" s="470">
        <v>3419</v>
      </c>
      <c r="I3426" s="455">
        <f t="shared" ca="1" si="150"/>
        <v>-637681727234.77893</v>
      </c>
      <c r="J3426" s="455">
        <f t="array" ref="J3426">IFERROR(INDEX('Retirement Calculator'!K:K,MATCH('Lorri 401b'!N3426,'Retirement Calculator'!A:A,0),0),0)</f>
        <v>0</v>
      </c>
      <c r="K3426" s="455">
        <f t="shared" ca="1" si="148"/>
        <v>-2657007196.8115788</v>
      </c>
      <c r="L3426" s="455">
        <f t="shared" ca="1" si="149"/>
        <v>-640338734431.59045</v>
      </c>
      <c r="M3426" s="471">
        <f t="shared" si="151"/>
        <v>0.05</v>
      </c>
      <c r="N3426" s="475">
        <f t="shared" si="152"/>
        <v>155320</v>
      </c>
    </row>
    <row r="3427" spans="7:14" ht="11.25" customHeight="1" x14ac:dyDescent="0.3">
      <c r="G3427" s="470"/>
      <c r="H3427" s="470">
        <v>3420</v>
      </c>
      <c r="I3427" s="455">
        <f t="shared" ca="1" si="150"/>
        <v>-640338734431.59045</v>
      </c>
      <c r="J3427" s="455">
        <f t="array" ref="J3427">IFERROR(INDEX('Retirement Calculator'!K:K,MATCH('Lorri 401b'!N3427,'Retirement Calculator'!A:A,0),0),0)</f>
        <v>0</v>
      </c>
      <c r="K3427" s="455">
        <f t="shared" ca="1" si="148"/>
        <v>-2668078060.1316271</v>
      </c>
      <c r="L3427" s="455">
        <f t="shared" ca="1" si="149"/>
        <v>-643006812491.72205</v>
      </c>
      <c r="M3427" s="471">
        <f t="shared" si="151"/>
        <v>0.05</v>
      </c>
      <c r="N3427" s="475">
        <f t="shared" si="152"/>
        <v>155350</v>
      </c>
    </row>
    <row r="3428" spans="7:14" ht="11.25" customHeight="1" x14ac:dyDescent="0.3">
      <c r="G3428" s="470"/>
      <c r="H3428" s="470">
        <v>3421</v>
      </c>
      <c r="I3428" s="455">
        <f t="shared" ca="1" si="150"/>
        <v>-643006812491.72205</v>
      </c>
      <c r="J3428" s="455">
        <f t="array" ref="J3428">IFERROR(INDEX('Retirement Calculator'!K:K,MATCH('Lorri 401b'!N3428,'Retirement Calculator'!A:A,0),0),0)</f>
        <v>0</v>
      </c>
      <c r="K3428" s="455">
        <f t="shared" ca="1" si="148"/>
        <v>-2679195052.048842</v>
      </c>
      <c r="L3428" s="455">
        <f t="shared" ca="1" si="149"/>
        <v>-645686007543.77087</v>
      </c>
      <c r="M3428" s="471">
        <f t="shared" si="151"/>
        <v>0.05</v>
      </c>
      <c r="N3428" s="475">
        <f t="shared" si="152"/>
        <v>155381</v>
      </c>
    </row>
    <row r="3429" spans="7:14" ht="11.25" customHeight="1" x14ac:dyDescent="0.3">
      <c r="G3429" s="470"/>
      <c r="H3429" s="470">
        <v>3422</v>
      </c>
      <c r="I3429" s="455">
        <f t="shared" ca="1" si="150"/>
        <v>-645686007543.77087</v>
      </c>
      <c r="J3429" s="455">
        <f t="array" ref="J3429">IFERROR(INDEX('Retirement Calculator'!K:K,MATCH('Lorri 401b'!N3429,'Retirement Calculator'!A:A,0),0),0)</f>
        <v>0</v>
      </c>
      <c r="K3429" s="455">
        <f t="shared" ca="1" si="148"/>
        <v>-2690358364.7657118</v>
      </c>
      <c r="L3429" s="455">
        <f t="shared" ca="1" si="149"/>
        <v>-648376365908.53662</v>
      </c>
      <c r="M3429" s="471">
        <f t="shared" si="151"/>
        <v>0.05</v>
      </c>
      <c r="N3429" s="475">
        <f t="shared" si="152"/>
        <v>155411</v>
      </c>
    </row>
    <row r="3430" spans="7:14" ht="11.25" customHeight="1" x14ac:dyDescent="0.3">
      <c r="G3430" s="470"/>
      <c r="H3430" s="470">
        <v>3423</v>
      </c>
      <c r="I3430" s="455">
        <f t="shared" ca="1" si="150"/>
        <v>-648376365908.53662</v>
      </c>
      <c r="J3430" s="455">
        <f t="array" ref="J3430">IFERROR(INDEX('Retirement Calculator'!K:K,MATCH('Lorri 401b'!N3430,'Retirement Calculator'!A:A,0),0),0)</f>
        <v>0</v>
      </c>
      <c r="K3430" s="455">
        <f t="shared" ca="1" si="148"/>
        <v>-2701568191.2855692</v>
      </c>
      <c r="L3430" s="455">
        <f t="shared" ca="1" si="149"/>
        <v>-651077934099.82214</v>
      </c>
      <c r="M3430" s="471">
        <f t="shared" si="151"/>
        <v>0.05</v>
      </c>
      <c r="N3430" s="475">
        <f t="shared" si="152"/>
        <v>155442</v>
      </c>
    </row>
    <row r="3431" spans="7:14" ht="11.25" customHeight="1" x14ac:dyDescent="0.3">
      <c r="G3431" s="470"/>
      <c r="H3431" s="470">
        <v>3424</v>
      </c>
      <c r="I3431" s="455">
        <f t="shared" ca="1" si="150"/>
        <v>-651077934099.82214</v>
      </c>
      <c r="J3431" s="455">
        <f t="array" ref="J3431">IFERROR(INDEX('Retirement Calculator'!K:K,MATCH('Lorri 401b'!N3431,'Retirement Calculator'!A:A,0),0),0)</f>
        <v>0</v>
      </c>
      <c r="K3431" s="455">
        <f t="shared" ca="1" si="148"/>
        <v>-2712824725.4159255</v>
      </c>
      <c r="L3431" s="455">
        <f t="shared" ca="1" si="149"/>
        <v>-653790758825.23804</v>
      </c>
      <c r="M3431" s="471">
        <f t="shared" si="151"/>
        <v>0.05</v>
      </c>
      <c r="N3431" s="475">
        <f t="shared" si="152"/>
        <v>155473</v>
      </c>
    </row>
    <row r="3432" spans="7:14" ht="11.25" customHeight="1" x14ac:dyDescent="0.3">
      <c r="G3432" s="470"/>
      <c r="H3432" s="470">
        <v>3425</v>
      </c>
      <c r="I3432" s="455">
        <f t="shared" ca="1" si="150"/>
        <v>-653790758825.23804</v>
      </c>
      <c r="J3432" s="455">
        <f t="array" ref="J3432">IFERROR(INDEX('Retirement Calculator'!K:K,MATCH('Lorri 401b'!N3432,'Retirement Calculator'!A:A,0),0),0)</f>
        <v>0</v>
      </c>
      <c r="K3432" s="455">
        <f t="shared" ca="1" si="148"/>
        <v>-2724128161.7718253</v>
      </c>
      <c r="L3432" s="455">
        <f t="shared" ca="1" si="149"/>
        <v>-656514886987.00989</v>
      </c>
      <c r="M3432" s="471">
        <f t="shared" si="151"/>
        <v>0.05</v>
      </c>
      <c r="N3432" s="475">
        <f t="shared" si="152"/>
        <v>155503</v>
      </c>
    </row>
    <row r="3433" spans="7:14" ht="11.25" customHeight="1" x14ac:dyDescent="0.3">
      <c r="G3433" s="470"/>
      <c r="H3433" s="470">
        <v>3426</v>
      </c>
      <c r="I3433" s="455">
        <f t="shared" ca="1" si="150"/>
        <v>-656514886987.00989</v>
      </c>
      <c r="J3433" s="455">
        <f t="array" ref="J3433">IFERROR(INDEX('Retirement Calculator'!K:K,MATCH('Lorri 401b'!N3433,'Retirement Calculator'!A:A,0),0),0)</f>
        <v>0</v>
      </c>
      <c r="K3433" s="455">
        <f t="shared" ca="1" si="148"/>
        <v>-2735478695.7792077</v>
      </c>
      <c r="L3433" s="455">
        <f t="shared" ca="1" si="149"/>
        <v>-659250365682.78906</v>
      </c>
      <c r="M3433" s="471">
        <f t="shared" si="151"/>
        <v>0.05</v>
      </c>
      <c r="N3433" s="475">
        <f t="shared" si="152"/>
        <v>155534</v>
      </c>
    </row>
    <row r="3434" spans="7:14" ht="11.25" customHeight="1" x14ac:dyDescent="0.3">
      <c r="G3434" s="470"/>
      <c r="H3434" s="470">
        <v>3427</v>
      </c>
      <c r="I3434" s="455">
        <f t="shared" ca="1" si="150"/>
        <v>-659250365682.78906</v>
      </c>
      <c r="J3434" s="455">
        <f t="array" ref="J3434">IFERROR(INDEX('Retirement Calculator'!K:K,MATCH('Lorri 401b'!N3434,'Retirement Calculator'!A:A,0),0),0)</f>
        <v>0</v>
      </c>
      <c r="K3434" s="455">
        <f t="shared" ca="1" si="148"/>
        <v>-2746876523.6782875</v>
      </c>
      <c r="L3434" s="455">
        <f t="shared" ca="1" si="149"/>
        <v>-661997242206.46741</v>
      </c>
      <c r="M3434" s="471">
        <f t="shared" si="151"/>
        <v>0.05</v>
      </c>
      <c r="N3434" s="475">
        <f t="shared" si="152"/>
        <v>155564</v>
      </c>
    </row>
    <row r="3435" spans="7:14" ht="11.25" customHeight="1" x14ac:dyDescent="0.3">
      <c r="G3435" s="470"/>
      <c r="H3435" s="470">
        <v>3428</v>
      </c>
      <c r="I3435" s="455">
        <f t="shared" ca="1" si="150"/>
        <v>-661997242206.46741</v>
      </c>
      <c r="J3435" s="455">
        <f t="array" ref="J3435">IFERROR(INDEX('Retirement Calculator'!K:K,MATCH('Lorri 401b'!N3435,'Retirement Calculator'!A:A,0),0),0)</f>
        <v>0</v>
      </c>
      <c r="K3435" s="455">
        <f t="shared" ca="1" si="148"/>
        <v>-2758321842.5269475</v>
      </c>
      <c r="L3435" s="455">
        <f t="shared" ca="1" si="149"/>
        <v>-664755564048.99438</v>
      </c>
      <c r="M3435" s="471">
        <f t="shared" si="151"/>
        <v>0.05</v>
      </c>
      <c r="N3435" s="475">
        <f t="shared" si="152"/>
        <v>155595</v>
      </c>
    </row>
    <row r="3436" spans="7:14" ht="11.25" customHeight="1" x14ac:dyDescent="0.3">
      <c r="G3436" s="470"/>
      <c r="H3436" s="470">
        <v>3429</v>
      </c>
      <c r="I3436" s="455">
        <f t="shared" ca="1" si="150"/>
        <v>-664755564048.99438</v>
      </c>
      <c r="J3436" s="455">
        <f t="array" ref="J3436">IFERROR(INDEX('Retirement Calculator'!K:K,MATCH('Lorri 401b'!N3436,'Retirement Calculator'!A:A,0),0),0)</f>
        <v>0</v>
      </c>
      <c r="K3436" s="455">
        <f t="shared" ca="1" si="148"/>
        <v>-2769814850.204143</v>
      </c>
      <c r="L3436" s="455">
        <f t="shared" ca="1" si="149"/>
        <v>-667525378899.19849</v>
      </c>
      <c r="M3436" s="471">
        <f t="shared" si="151"/>
        <v>0.05</v>
      </c>
      <c r="N3436" s="475">
        <f t="shared" si="152"/>
        <v>155626</v>
      </c>
    </row>
    <row r="3437" spans="7:14" ht="11.25" customHeight="1" x14ac:dyDescent="0.3">
      <c r="G3437" s="470"/>
      <c r="H3437" s="470">
        <v>3430</v>
      </c>
      <c r="I3437" s="455">
        <f t="shared" ca="1" si="150"/>
        <v>-667525378899.19849</v>
      </c>
      <c r="J3437" s="455">
        <f t="array" ref="J3437">IFERROR(INDEX('Retirement Calculator'!K:K,MATCH('Lorri 401b'!N3437,'Retirement Calculator'!A:A,0),0),0)</f>
        <v>0</v>
      </c>
      <c r="K3437" s="455">
        <f t="shared" ca="1" si="148"/>
        <v>-2781355745.4133272</v>
      </c>
      <c r="L3437" s="455">
        <f t="shared" ca="1" si="149"/>
        <v>-670306734644.61182</v>
      </c>
      <c r="M3437" s="471">
        <f t="shared" si="151"/>
        <v>0.05</v>
      </c>
      <c r="N3437" s="475">
        <f t="shared" si="152"/>
        <v>155654</v>
      </c>
    </row>
    <row r="3438" spans="7:14" ht="11.25" customHeight="1" x14ac:dyDescent="0.3">
      <c r="G3438" s="470"/>
      <c r="H3438" s="470">
        <v>3431</v>
      </c>
      <c r="I3438" s="455">
        <f t="shared" ca="1" si="150"/>
        <v>-670306734644.61182</v>
      </c>
      <c r="J3438" s="455">
        <f t="array" ref="J3438">IFERROR(INDEX('Retirement Calculator'!K:K,MATCH('Lorri 401b'!N3438,'Retirement Calculator'!A:A,0),0),0)</f>
        <v>0</v>
      </c>
      <c r="K3438" s="455">
        <f t="shared" ca="1" si="148"/>
        <v>-2792944727.6858826</v>
      </c>
      <c r="L3438" s="455">
        <f t="shared" ca="1" si="149"/>
        <v>-673099679372.29773</v>
      </c>
      <c r="M3438" s="471">
        <f t="shared" si="151"/>
        <v>0.05</v>
      </c>
      <c r="N3438" s="475">
        <f t="shared" si="152"/>
        <v>155685</v>
      </c>
    </row>
    <row r="3439" spans="7:14" ht="11.25" customHeight="1" x14ac:dyDescent="0.3">
      <c r="G3439" s="470"/>
      <c r="H3439" s="470">
        <v>3432</v>
      </c>
      <c r="I3439" s="455">
        <f t="shared" ca="1" si="150"/>
        <v>-673099679372.29773</v>
      </c>
      <c r="J3439" s="455">
        <f t="array" ref="J3439">IFERROR(INDEX('Retirement Calculator'!K:K,MATCH('Lorri 401b'!N3439,'Retirement Calculator'!A:A,0),0),0)</f>
        <v>0</v>
      </c>
      <c r="K3439" s="455">
        <f t="shared" ca="1" si="148"/>
        <v>-2804581997.3845739</v>
      </c>
      <c r="L3439" s="455">
        <f t="shared" ca="1" si="149"/>
        <v>-675904261369.68225</v>
      </c>
      <c r="M3439" s="471">
        <f t="shared" si="151"/>
        <v>0.05</v>
      </c>
      <c r="N3439" s="475">
        <f t="shared" si="152"/>
        <v>155715</v>
      </c>
    </row>
    <row r="3440" spans="7:14" ht="11.25" customHeight="1" x14ac:dyDescent="0.3">
      <c r="G3440" s="470"/>
      <c r="H3440" s="470">
        <v>3433</v>
      </c>
      <c r="I3440" s="455">
        <f t="shared" ca="1" si="150"/>
        <v>-675904261369.68225</v>
      </c>
      <c r="J3440" s="455">
        <f t="array" ref="J3440">IFERROR(INDEX('Retirement Calculator'!K:K,MATCH('Lorri 401b'!N3440,'Retirement Calculator'!A:A,0),0),0)</f>
        <v>0</v>
      </c>
      <c r="K3440" s="455">
        <f t="shared" ca="1" si="148"/>
        <v>-2816267755.7070093</v>
      </c>
      <c r="L3440" s="455">
        <f t="shared" ca="1" si="149"/>
        <v>-678720529125.38928</v>
      </c>
      <c r="M3440" s="471">
        <f t="shared" si="151"/>
        <v>0.05</v>
      </c>
      <c r="N3440" s="475">
        <f t="shared" si="152"/>
        <v>155746</v>
      </c>
    </row>
    <row r="3441" spans="7:14" ht="11.25" customHeight="1" x14ac:dyDescent="0.3">
      <c r="G3441" s="470"/>
      <c r="H3441" s="470">
        <v>3434</v>
      </c>
      <c r="I3441" s="455">
        <f t="shared" ca="1" si="150"/>
        <v>-678720529125.38928</v>
      </c>
      <c r="J3441" s="455">
        <f t="array" ref="J3441">IFERROR(INDEX('Retirement Calculator'!K:K,MATCH('Lorri 401b'!N3441,'Retirement Calculator'!A:A,0),0),0)</f>
        <v>0</v>
      </c>
      <c r="K3441" s="455">
        <f t="shared" ca="1" si="148"/>
        <v>-2828002204.6891222</v>
      </c>
      <c r="L3441" s="455">
        <f t="shared" ca="1" si="149"/>
        <v>-681548531330.07837</v>
      </c>
      <c r="M3441" s="471">
        <f t="shared" si="151"/>
        <v>0.05</v>
      </c>
      <c r="N3441" s="475">
        <f t="shared" si="152"/>
        <v>155776</v>
      </c>
    </row>
    <row r="3442" spans="7:14" ht="11.25" customHeight="1" x14ac:dyDescent="0.3">
      <c r="G3442" s="470"/>
      <c r="H3442" s="470">
        <v>3435</v>
      </c>
      <c r="I3442" s="455">
        <f t="shared" ca="1" si="150"/>
        <v>-681548531330.07837</v>
      </c>
      <c r="J3442" s="455">
        <f t="array" ref="J3442">IFERROR(INDEX('Retirement Calculator'!K:K,MATCH('Lorri 401b'!N3442,'Retirement Calculator'!A:A,0),0),0)</f>
        <v>0</v>
      </c>
      <c r="K3442" s="455">
        <f t="shared" ca="1" si="148"/>
        <v>-2839785547.2086596</v>
      </c>
      <c r="L3442" s="455">
        <f t="shared" ca="1" si="149"/>
        <v>-684388316877.28699</v>
      </c>
      <c r="M3442" s="471">
        <f t="shared" si="151"/>
        <v>0.05</v>
      </c>
      <c r="N3442" s="475">
        <f t="shared" si="152"/>
        <v>155807</v>
      </c>
    </row>
    <row r="3443" spans="7:14" ht="11.25" customHeight="1" x14ac:dyDescent="0.3">
      <c r="G3443" s="470"/>
      <c r="H3443" s="470">
        <v>3436</v>
      </c>
      <c r="I3443" s="455">
        <f t="shared" ca="1" si="150"/>
        <v>-684388316877.28699</v>
      </c>
      <c r="J3443" s="455">
        <f t="array" ref="J3443">IFERROR(INDEX('Retirement Calculator'!K:K,MATCH('Lorri 401b'!N3443,'Retirement Calculator'!A:A,0),0),0)</f>
        <v>0</v>
      </c>
      <c r="K3443" s="455">
        <f t="shared" ca="1" si="148"/>
        <v>-2851617986.9886956</v>
      </c>
      <c r="L3443" s="455">
        <f t="shared" ca="1" si="149"/>
        <v>-687239934864.27563</v>
      </c>
      <c r="M3443" s="471">
        <f t="shared" si="151"/>
        <v>0.05</v>
      </c>
      <c r="N3443" s="475">
        <f t="shared" si="152"/>
        <v>155838</v>
      </c>
    </row>
    <row r="3444" spans="7:14" ht="11.25" customHeight="1" x14ac:dyDescent="0.3">
      <c r="G3444" s="470"/>
      <c r="H3444" s="470">
        <v>3437</v>
      </c>
      <c r="I3444" s="455">
        <f t="shared" ca="1" si="150"/>
        <v>-687239934864.27563</v>
      </c>
      <c r="J3444" s="455">
        <f t="array" ref="J3444">IFERROR(INDEX('Retirement Calculator'!K:K,MATCH('Lorri 401b'!N3444,'Retirement Calculator'!A:A,0),0),0)</f>
        <v>0</v>
      </c>
      <c r="K3444" s="455">
        <f t="shared" ca="1" si="148"/>
        <v>-2863499728.6011486</v>
      </c>
      <c r="L3444" s="455">
        <f t="shared" ca="1" si="149"/>
        <v>-690103434592.87683</v>
      </c>
      <c r="M3444" s="471">
        <f t="shared" si="151"/>
        <v>0.05</v>
      </c>
      <c r="N3444" s="475">
        <f t="shared" si="152"/>
        <v>155868</v>
      </c>
    </row>
    <row r="3445" spans="7:14" ht="11.25" customHeight="1" x14ac:dyDescent="0.3">
      <c r="G3445" s="470"/>
      <c r="H3445" s="470">
        <v>3438</v>
      </c>
      <c r="I3445" s="455">
        <f t="shared" ca="1" si="150"/>
        <v>-690103434592.87683</v>
      </c>
      <c r="J3445" s="455">
        <f t="array" ref="J3445">IFERROR(INDEX('Retirement Calculator'!K:K,MATCH('Lorri 401b'!N3445,'Retirement Calculator'!A:A,0),0),0)</f>
        <v>0</v>
      </c>
      <c r="K3445" s="455">
        <f t="shared" ca="1" si="148"/>
        <v>-2875430977.4703202</v>
      </c>
      <c r="L3445" s="455">
        <f t="shared" ca="1" si="149"/>
        <v>-692978865570.34717</v>
      </c>
      <c r="M3445" s="471">
        <f t="shared" si="151"/>
        <v>0.05</v>
      </c>
      <c r="N3445" s="475">
        <f t="shared" si="152"/>
        <v>155899</v>
      </c>
    </row>
    <row r="3446" spans="7:14" ht="11.25" customHeight="1" x14ac:dyDescent="0.3">
      <c r="G3446" s="470"/>
      <c r="H3446" s="470">
        <v>3439</v>
      </c>
      <c r="I3446" s="455">
        <f t="shared" ca="1" si="150"/>
        <v>-692978865570.34717</v>
      </c>
      <c r="J3446" s="455">
        <f t="array" ref="J3446">IFERROR(INDEX('Retirement Calculator'!K:K,MATCH('Lorri 401b'!N3446,'Retirement Calculator'!A:A,0),0),0)</f>
        <v>0</v>
      </c>
      <c r="K3446" s="455">
        <f t="shared" ca="1" si="148"/>
        <v>-2887411939.8764467</v>
      </c>
      <c r="L3446" s="455">
        <f t="shared" ca="1" si="149"/>
        <v>-695866277510.22363</v>
      </c>
      <c r="M3446" s="471">
        <f t="shared" si="151"/>
        <v>0.05</v>
      </c>
      <c r="N3446" s="475">
        <f t="shared" si="152"/>
        <v>155929</v>
      </c>
    </row>
    <row r="3447" spans="7:14" ht="11.25" customHeight="1" x14ac:dyDescent="0.3">
      <c r="G3447" s="470"/>
      <c r="H3447" s="470">
        <v>3440</v>
      </c>
      <c r="I3447" s="455">
        <f t="shared" ca="1" si="150"/>
        <v>-695866277510.22363</v>
      </c>
      <c r="J3447" s="455">
        <f t="array" ref="J3447">IFERROR(INDEX('Retirement Calculator'!K:K,MATCH('Lorri 401b'!N3447,'Retirement Calculator'!A:A,0),0),0)</f>
        <v>0</v>
      </c>
      <c r="K3447" s="455">
        <f t="shared" ca="1" si="148"/>
        <v>-2899442822.9592652</v>
      </c>
      <c r="L3447" s="455">
        <f t="shared" ca="1" si="149"/>
        <v>-698765720333.18286</v>
      </c>
      <c r="M3447" s="471">
        <f t="shared" si="151"/>
        <v>0.05</v>
      </c>
      <c r="N3447" s="475">
        <f t="shared" si="152"/>
        <v>155960</v>
      </c>
    </row>
    <row r="3448" spans="7:14" ht="11.25" customHeight="1" x14ac:dyDescent="0.3">
      <c r="G3448" s="470"/>
      <c r="H3448" s="470">
        <v>3441</v>
      </c>
      <c r="I3448" s="455">
        <f t="shared" ca="1" si="150"/>
        <v>-698765720333.18286</v>
      </c>
      <c r="J3448" s="455">
        <f t="array" ref="J3448">IFERROR(INDEX('Retirement Calculator'!K:K,MATCH('Lorri 401b'!N3448,'Retirement Calculator'!A:A,0),0),0)</f>
        <v>0</v>
      </c>
      <c r="K3448" s="455">
        <f t="shared" ca="1" si="148"/>
        <v>-2911523834.7215953</v>
      </c>
      <c r="L3448" s="455">
        <f t="shared" ca="1" si="149"/>
        <v>-701677244167.90442</v>
      </c>
      <c r="M3448" s="471">
        <f t="shared" si="151"/>
        <v>0.05</v>
      </c>
      <c r="N3448" s="475">
        <f t="shared" si="152"/>
        <v>155991</v>
      </c>
    </row>
    <row r="3449" spans="7:14" ht="11.25" customHeight="1" x14ac:dyDescent="0.3">
      <c r="G3449" s="470"/>
      <c r="H3449" s="470">
        <v>3442</v>
      </c>
      <c r="I3449" s="455">
        <f t="shared" ca="1" si="150"/>
        <v>-701677244167.90442</v>
      </c>
      <c r="J3449" s="455">
        <f t="array" ref="J3449">IFERROR(INDEX('Retirement Calculator'!K:K,MATCH('Lorri 401b'!N3449,'Retirement Calculator'!A:A,0),0),0)</f>
        <v>0</v>
      </c>
      <c r="K3449" s="455">
        <f t="shared" ca="1" si="148"/>
        <v>-2923655184.0329351</v>
      </c>
      <c r="L3449" s="455">
        <f t="shared" ca="1" si="149"/>
        <v>-704600899351.93738</v>
      </c>
      <c r="M3449" s="471">
        <f t="shared" si="151"/>
        <v>0.05</v>
      </c>
      <c r="N3449" s="475">
        <f t="shared" si="152"/>
        <v>156019</v>
      </c>
    </row>
    <row r="3450" spans="7:14" ht="11.25" customHeight="1" x14ac:dyDescent="0.3">
      <c r="G3450" s="470"/>
      <c r="H3450" s="470">
        <v>3443</v>
      </c>
      <c r="I3450" s="455">
        <f t="shared" ca="1" si="150"/>
        <v>-704600899351.93738</v>
      </c>
      <c r="J3450" s="455">
        <f t="array" ref="J3450">IFERROR(INDEX('Retirement Calculator'!K:K,MATCH('Lorri 401b'!N3450,'Retirement Calculator'!A:A,0),0),0)</f>
        <v>0</v>
      </c>
      <c r="K3450" s="455">
        <f t="shared" ca="1" si="148"/>
        <v>-2935837080.6330724</v>
      </c>
      <c r="L3450" s="455">
        <f t="shared" ca="1" si="149"/>
        <v>-707536736432.57043</v>
      </c>
      <c r="M3450" s="471">
        <f t="shared" si="151"/>
        <v>0.05</v>
      </c>
      <c r="N3450" s="475">
        <f t="shared" si="152"/>
        <v>156050</v>
      </c>
    </row>
    <row r="3451" spans="7:14" ht="11.25" customHeight="1" x14ac:dyDescent="0.3">
      <c r="G3451" s="470"/>
      <c r="H3451" s="470">
        <v>3444</v>
      </c>
      <c r="I3451" s="455">
        <f t="shared" ca="1" si="150"/>
        <v>-707536736432.57043</v>
      </c>
      <c r="J3451" s="455">
        <f t="array" ref="J3451">IFERROR(INDEX('Retirement Calculator'!K:K,MATCH('Lorri 401b'!N3451,'Retirement Calculator'!A:A,0),0),0)</f>
        <v>0</v>
      </c>
      <c r="K3451" s="455">
        <f t="shared" ca="1" si="148"/>
        <v>-2948069735.1357102</v>
      </c>
      <c r="L3451" s="455">
        <f t="shared" ca="1" si="149"/>
        <v>-710484806167.70618</v>
      </c>
      <c r="M3451" s="471">
        <f t="shared" si="151"/>
        <v>0.05</v>
      </c>
      <c r="N3451" s="475">
        <f t="shared" si="152"/>
        <v>156080</v>
      </c>
    </row>
    <row r="3452" spans="7:14" ht="11.25" customHeight="1" x14ac:dyDescent="0.3">
      <c r="G3452" s="470"/>
      <c r="H3452" s="470">
        <v>3445</v>
      </c>
      <c r="I3452" s="455">
        <f t="shared" ca="1" si="150"/>
        <v>-710484806167.70618</v>
      </c>
      <c r="J3452" s="455">
        <f t="array" ref="J3452">IFERROR(INDEX('Retirement Calculator'!K:K,MATCH('Lorri 401b'!N3452,'Retirement Calculator'!A:A,0),0),0)</f>
        <v>0</v>
      </c>
      <c r="K3452" s="455">
        <f t="shared" ca="1" si="148"/>
        <v>-2960353359.0321093</v>
      </c>
      <c r="L3452" s="455">
        <f t="shared" ca="1" si="149"/>
        <v>-713445159526.73828</v>
      </c>
      <c r="M3452" s="471">
        <f t="shared" si="151"/>
        <v>0.05</v>
      </c>
      <c r="N3452" s="475">
        <f t="shared" si="152"/>
        <v>156111</v>
      </c>
    </row>
    <row r="3453" spans="7:14" ht="11.25" customHeight="1" x14ac:dyDescent="0.3">
      <c r="G3453" s="470"/>
      <c r="H3453" s="470">
        <v>3446</v>
      </c>
      <c r="I3453" s="455">
        <f t="shared" ca="1" si="150"/>
        <v>-713445159526.73828</v>
      </c>
      <c r="J3453" s="455">
        <f t="array" ref="J3453">IFERROR(INDEX('Retirement Calculator'!K:K,MATCH('Lorri 401b'!N3453,'Retirement Calculator'!A:A,0),0),0)</f>
        <v>0</v>
      </c>
      <c r="K3453" s="455">
        <f t="shared" ca="1" si="148"/>
        <v>-2972688164.6947427</v>
      </c>
      <c r="L3453" s="455">
        <f t="shared" ca="1" si="149"/>
        <v>-716417847691.43298</v>
      </c>
      <c r="M3453" s="471">
        <f t="shared" si="151"/>
        <v>0.05</v>
      </c>
      <c r="N3453" s="475">
        <f t="shared" si="152"/>
        <v>156141</v>
      </c>
    </row>
    <row r="3454" spans="7:14" ht="11.25" customHeight="1" x14ac:dyDescent="0.3">
      <c r="G3454" s="470"/>
      <c r="H3454" s="470">
        <v>3447</v>
      </c>
      <c r="I3454" s="455">
        <f t="shared" ca="1" si="150"/>
        <v>-716417847691.43298</v>
      </c>
      <c r="J3454" s="455">
        <f t="array" ref="J3454">IFERROR(INDEX('Retirement Calculator'!K:K,MATCH('Lorri 401b'!N3454,'Retirement Calculator'!A:A,0),0),0)</f>
        <v>0</v>
      </c>
      <c r="K3454" s="455">
        <f t="shared" ca="1" si="148"/>
        <v>-2985074365.380971</v>
      </c>
      <c r="L3454" s="455">
        <f t="shared" ca="1" si="149"/>
        <v>-719402922056.81396</v>
      </c>
      <c r="M3454" s="471">
        <f t="shared" si="151"/>
        <v>0.05</v>
      </c>
      <c r="N3454" s="475">
        <f t="shared" si="152"/>
        <v>156172</v>
      </c>
    </row>
    <row r="3455" spans="7:14" ht="11.25" customHeight="1" x14ac:dyDescent="0.3">
      <c r="G3455" s="470"/>
      <c r="H3455" s="470">
        <v>3448</v>
      </c>
      <c r="I3455" s="455">
        <f t="shared" ca="1" si="150"/>
        <v>-719402922056.81396</v>
      </c>
      <c r="J3455" s="455">
        <f t="array" ref="J3455">IFERROR(INDEX('Retirement Calculator'!K:K,MATCH('Lorri 401b'!N3455,'Retirement Calculator'!A:A,0),0),0)</f>
        <v>0</v>
      </c>
      <c r="K3455" s="455">
        <f t="shared" ca="1" si="148"/>
        <v>-2997512175.2367249</v>
      </c>
      <c r="L3455" s="455">
        <f t="shared" ca="1" si="149"/>
        <v>-722400434232.05066</v>
      </c>
      <c r="M3455" s="471">
        <f t="shared" si="151"/>
        <v>0.05</v>
      </c>
      <c r="N3455" s="475">
        <f t="shared" si="152"/>
        <v>156203</v>
      </c>
    </row>
    <row r="3456" spans="7:14" ht="11.25" customHeight="1" x14ac:dyDescent="0.3">
      <c r="G3456" s="470"/>
      <c r="H3456" s="470">
        <v>3449</v>
      </c>
      <c r="I3456" s="455">
        <f t="shared" ca="1" si="150"/>
        <v>-722400434232.05066</v>
      </c>
      <c r="J3456" s="455">
        <f t="array" ref="J3456">IFERROR(INDEX('Retirement Calculator'!K:K,MATCH('Lorri 401b'!N3456,'Retirement Calculator'!A:A,0),0),0)</f>
        <v>0</v>
      </c>
      <c r="K3456" s="455">
        <f t="shared" ca="1" si="148"/>
        <v>-3010001809.300211</v>
      </c>
      <c r="L3456" s="455">
        <f t="shared" ca="1" si="149"/>
        <v>-725410436041.35083</v>
      </c>
      <c r="M3456" s="471">
        <f t="shared" si="151"/>
        <v>0.05</v>
      </c>
      <c r="N3456" s="475">
        <f t="shared" si="152"/>
        <v>156233</v>
      </c>
    </row>
    <row r="3457" spans="7:14" ht="11.25" customHeight="1" x14ac:dyDescent="0.3">
      <c r="G3457" s="470"/>
      <c r="H3457" s="470">
        <v>3450</v>
      </c>
      <c r="I3457" s="455">
        <f t="shared" ca="1" si="150"/>
        <v>-725410436041.35083</v>
      </c>
      <c r="J3457" s="455">
        <f t="array" ref="J3457">IFERROR(INDEX('Retirement Calculator'!K:K,MATCH('Lorri 401b'!N3457,'Retirement Calculator'!A:A,0),0),0)</f>
        <v>0</v>
      </c>
      <c r="K3457" s="455">
        <f t="shared" ca="1" si="148"/>
        <v>-3022543483.5056286</v>
      </c>
      <c r="L3457" s="455">
        <f t="shared" ca="1" si="149"/>
        <v>-728432979524.85645</v>
      </c>
      <c r="M3457" s="471">
        <f t="shared" si="151"/>
        <v>0.05</v>
      </c>
      <c r="N3457" s="475">
        <f t="shared" si="152"/>
        <v>156264</v>
      </c>
    </row>
    <row r="3458" spans="7:14" ht="11.25" customHeight="1" x14ac:dyDescent="0.3">
      <c r="G3458" s="470"/>
      <c r="H3458" s="470">
        <v>3451</v>
      </c>
      <c r="I3458" s="455">
        <f t="shared" ca="1" si="150"/>
        <v>-728432979524.85645</v>
      </c>
      <c r="J3458" s="455">
        <f t="array" ref="J3458">IFERROR(INDEX('Retirement Calculator'!K:K,MATCH('Lorri 401b'!N3458,'Retirement Calculator'!A:A,0),0),0)</f>
        <v>0</v>
      </c>
      <c r="K3458" s="455">
        <f t="shared" ca="1" si="148"/>
        <v>-3035137414.686902</v>
      </c>
      <c r="L3458" s="455">
        <f t="shared" ca="1" si="149"/>
        <v>-731468116939.54333</v>
      </c>
      <c r="M3458" s="471">
        <f t="shared" si="151"/>
        <v>0.05</v>
      </c>
      <c r="N3458" s="475">
        <f t="shared" si="152"/>
        <v>156294</v>
      </c>
    </row>
    <row r="3459" spans="7:14" ht="11.25" customHeight="1" x14ac:dyDescent="0.3">
      <c r="G3459" s="470"/>
      <c r="H3459" s="470">
        <v>3452</v>
      </c>
      <c r="I3459" s="455">
        <f t="shared" ca="1" si="150"/>
        <v>-731468116939.54333</v>
      </c>
      <c r="J3459" s="455">
        <f t="array" ref="J3459">IFERROR(INDEX('Retirement Calculator'!K:K,MATCH('Lorri 401b'!N3459,'Retirement Calculator'!A:A,0),0),0)</f>
        <v>0</v>
      </c>
      <c r="K3459" s="455">
        <f t="shared" ca="1" si="148"/>
        <v>-3047783820.5814304</v>
      </c>
      <c r="L3459" s="455">
        <f t="shared" ca="1" si="149"/>
        <v>-734515900760.12476</v>
      </c>
      <c r="M3459" s="471">
        <f t="shared" si="151"/>
        <v>0.05</v>
      </c>
      <c r="N3459" s="475">
        <f t="shared" si="152"/>
        <v>156325</v>
      </c>
    </row>
    <row r="3460" spans="7:14" ht="11.25" customHeight="1" x14ac:dyDescent="0.3">
      <c r="G3460" s="470"/>
      <c r="H3460" s="470">
        <v>3453</v>
      </c>
      <c r="I3460" s="455">
        <f t="shared" ca="1" si="150"/>
        <v>-734515900760.12476</v>
      </c>
      <c r="J3460" s="455">
        <f t="array" ref="J3460">IFERROR(INDEX('Retirement Calculator'!K:K,MATCH('Lorri 401b'!N3460,'Retirement Calculator'!A:A,0),0),0)</f>
        <v>0</v>
      </c>
      <c r="K3460" s="455">
        <f t="shared" ca="1" si="148"/>
        <v>-3060482919.8338532</v>
      </c>
      <c r="L3460" s="455">
        <f t="shared" ca="1" si="149"/>
        <v>-737576383679.95862</v>
      </c>
      <c r="M3460" s="471">
        <f t="shared" si="151"/>
        <v>0.05</v>
      </c>
      <c r="N3460" s="475">
        <f t="shared" si="152"/>
        <v>156356</v>
      </c>
    </row>
    <row r="3461" spans="7:14" ht="11.25" customHeight="1" x14ac:dyDescent="0.3">
      <c r="G3461" s="470"/>
      <c r="H3461" s="470">
        <v>3454</v>
      </c>
      <c r="I3461" s="455">
        <f t="shared" ca="1" si="150"/>
        <v>-737576383679.95862</v>
      </c>
      <c r="J3461" s="455">
        <f t="array" ref="J3461">IFERROR(INDEX('Retirement Calculator'!K:K,MATCH('Lorri 401b'!N3461,'Retirement Calculator'!A:A,0),0),0)</f>
        <v>0</v>
      </c>
      <c r="K3461" s="455">
        <f t="shared" ca="1" si="148"/>
        <v>-3073234931.9998274</v>
      </c>
      <c r="L3461" s="455">
        <f t="shared" ca="1" si="149"/>
        <v>-740649618611.9585</v>
      </c>
      <c r="M3461" s="471">
        <f t="shared" si="151"/>
        <v>0.05</v>
      </c>
      <c r="N3461" s="475">
        <f t="shared" si="152"/>
        <v>156385</v>
      </c>
    </row>
    <row r="3462" spans="7:14" ht="11.25" customHeight="1" x14ac:dyDescent="0.3">
      <c r="G3462" s="470"/>
      <c r="H3462" s="470">
        <v>3455</v>
      </c>
      <c r="I3462" s="455">
        <f t="shared" ca="1" si="150"/>
        <v>-740649618611.9585</v>
      </c>
      <c r="J3462" s="455">
        <f t="array" ref="J3462">IFERROR(INDEX('Retirement Calculator'!K:K,MATCH('Lorri 401b'!N3462,'Retirement Calculator'!A:A,0),0),0)</f>
        <v>0</v>
      </c>
      <c r="K3462" s="455">
        <f t="shared" ca="1" si="148"/>
        <v>-3086040077.5498271</v>
      </c>
      <c r="L3462" s="455">
        <f t="shared" ca="1" si="149"/>
        <v>-743735658689.5083</v>
      </c>
      <c r="M3462" s="471">
        <f t="shared" si="151"/>
        <v>0.05</v>
      </c>
      <c r="N3462" s="475">
        <f t="shared" si="152"/>
        <v>156416</v>
      </c>
    </row>
    <row r="3463" spans="7:14" ht="11.25" customHeight="1" x14ac:dyDescent="0.3">
      <c r="G3463" s="470"/>
      <c r="H3463" s="470">
        <v>3456</v>
      </c>
      <c r="I3463" s="455">
        <f t="shared" ca="1" si="150"/>
        <v>-743735658689.5083</v>
      </c>
      <c r="J3463" s="455">
        <f t="array" ref="J3463">IFERROR(INDEX('Retirement Calculator'!K:K,MATCH('Lorri 401b'!N3463,'Retirement Calculator'!A:A,0),0),0)</f>
        <v>0</v>
      </c>
      <c r="K3463" s="455">
        <f t="shared" ca="1" si="148"/>
        <v>-3098898577.872951</v>
      </c>
      <c r="L3463" s="455">
        <f t="shared" ca="1" si="149"/>
        <v>-746834557267.38123</v>
      </c>
      <c r="M3463" s="471">
        <f t="shared" si="151"/>
        <v>0.05</v>
      </c>
      <c r="N3463" s="475">
        <f t="shared" si="152"/>
        <v>156446</v>
      </c>
    </row>
    <row r="3464" spans="7:14" ht="11.25" customHeight="1" x14ac:dyDescent="0.3">
      <c r="G3464" s="470"/>
      <c r="H3464" s="470">
        <v>3457</v>
      </c>
      <c r="I3464" s="455">
        <f t="shared" ca="1" si="150"/>
        <v>-746834557267.38123</v>
      </c>
      <c r="J3464" s="455">
        <f t="array" ref="J3464">IFERROR(INDEX('Retirement Calculator'!K:K,MATCH('Lorri 401b'!N3464,'Retirement Calculator'!A:A,0),0),0)</f>
        <v>0</v>
      </c>
      <c r="K3464" s="455">
        <f t="shared" ca="1" si="148"/>
        <v>-3111810655.280755</v>
      </c>
      <c r="L3464" s="455">
        <f t="shared" ca="1" si="149"/>
        <v>-749946367922.66199</v>
      </c>
      <c r="M3464" s="471">
        <f t="shared" si="151"/>
        <v>0.05</v>
      </c>
      <c r="N3464" s="475">
        <f t="shared" si="152"/>
        <v>156477</v>
      </c>
    </row>
    <row r="3465" spans="7:14" ht="11.25" customHeight="1" x14ac:dyDescent="0.3">
      <c r="G3465" s="470"/>
      <c r="H3465" s="470">
        <v>3458</v>
      </c>
      <c r="I3465" s="455">
        <f t="shared" ca="1" si="150"/>
        <v>-749946367922.66199</v>
      </c>
      <c r="J3465" s="455">
        <f t="array" ref="J3465">IFERROR(INDEX('Retirement Calculator'!K:K,MATCH('Lorri 401b'!N3465,'Retirement Calculator'!A:A,0),0),0)</f>
        <v>0</v>
      </c>
      <c r="K3465" s="455">
        <f t="shared" ca="1" si="148"/>
        <v>-3124776533.0110917</v>
      </c>
      <c r="L3465" s="455">
        <f t="shared" ca="1" si="149"/>
        <v>-753071144455.6731</v>
      </c>
      <c r="M3465" s="471">
        <f t="shared" si="151"/>
        <v>0.05</v>
      </c>
      <c r="N3465" s="475">
        <f t="shared" si="152"/>
        <v>156507</v>
      </c>
    </row>
    <row r="3466" spans="7:14" ht="11.25" customHeight="1" x14ac:dyDescent="0.3">
      <c r="G3466" s="470"/>
      <c r="H3466" s="470">
        <v>3459</v>
      </c>
      <c r="I3466" s="455">
        <f t="shared" ca="1" si="150"/>
        <v>-753071144455.6731</v>
      </c>
      <c r="J3466" s="455">
        <f t="array" ref="J3466">IFERROR(INDEX('Retirement Calculator'!K:K,MATCH('Lorri 401b'!N3466,'Retirement Calculator'!A:A,0),0),0)</f>
        <v>0</v>
      </c>
      <c r="K3466" s="455">
        <f t="shared" ca="1" si="148"/>
        <v>-3137796435.2319713</v>
      </c>
      <c r="L3466" s="455">
        <f t="shared" ca="1" si="149"/>
        <v>-756208940890.90503</v>
      </c>
      <c r="M3466" s="471">
        <f t="shared" si="151"/>
        <v>0.05</v>
      </c>
      <c r="N3466" s="475">
        <f t="shared" si="152"/>
        <v>156538</v>
      </c>
    </row>
    <row r="3467" spans="7:14" ht="11.25" customHeight="1" x14ac:dyDescent="0.3">
      <c r="G3467" s="470"/>
      <c r="H3467" s="470">
        <v>3460</v>
      </c>
      <c r="I3467" s="455">
        <f t="shared" ca="1" si="150"/>
        <v>-756208940890.90503</v>
      </c>
      <c r="J3467" s="455">
        <f t="array" ref="J3467">IFERROR(INDEX('Retirement Calculator'!K:K,MATCH('Lorri 401b'!N3467,'Retirement Calculator'!A:A,0),0),0)</f>
        <v>0</v>
      </c>
      <c r="K3467" s="455">
        <f t="shared" ca="1" si="148"/>
        <v>-3150870587.0454378</v>
      </c>
      <c r="L3467" s="455">
        <f t="shared" ca="1" si="149"/>
        <v>-759359811477.95044</v>
      </c>
      <c r="M3467" s="471">
        <f t="shared" si="151"/>
        <v>0.05</v>
      </c>
      <c r="N3467" s="475">
        <f t="shared" si="152"/>
        <v>156569</v>
      </c>
    </row>
    <row r="3468" spans="7:14" ht="11.25" customHeight="1" x14ac:dyDescent="0.3">
      <c r="G3468" s="470"/>
      <c r="H3468" s="470">
        <v>3461</v>
      </c>
      <c r="I3468" s="455">
        <f t="shared" ca="1" si="150"/>
        <v>-759359811477.95044</v>
      </c>
      <c r="J3468" s="455">
        <f t="array" ref="J3468">IFERROR(INDEX('Retirement Calculator'!K:K,MATCH('Lorri 401b'!N3468,'Retirement Calculator'!A:A,0),0),0)</f>
        <v>0</v>
      </c>
      <c r="K3468" s="455">
        <f t="shared" ca="1" si="148"/>
        <v>-3163999214.4914603</v>
      </c>
      <c r="L3468" s="455">
        <f t="shared" ca="1" si="149"/>
        <v>-762523810692.44189</v>
      </c>
      <c r="M3468" s="471">
        <f t="shared" si="151"/>
        <v>0.05</v>
      </c>
      <c r="N3468" s="475">
        <f t="shared" si="152"/>
        <v>156599</v>
      </c>
    </row>
    <row r="3469" spans="7:14" ht="11.25" customHeight="1" x14ac:dyDescent="0.3">
      <c r="G3469" s="470"/>
      <c r="H3469" s="470">
        <v>3462</v>
      </c>
      <c r="I3469" s="455">
        <f t="shared" ca="1" si="150"/>
        <v>-762523810692.44189</v>
      </c>
      <c r="J3469" s="455">
        <f t="array" ref="J3469">IFERROR(INDEX('Retirement Calculator'!K:K,MATCH('Lorri 401b'!N3469,'Retirement Calculator'!A:A,0),0),0)</f>
        <v>0</v>
      </c>
      <c r="K3469" s="455">
        <f t="shared" ca="1" si="148"/>
        <v>-3177182544.5518413</v>
      </c>
      <c r="L3469" s="455">
        <f t="shared" ca="1" si="149"/>
        <v>-765700993236.99377</v>
      </c>
      <c r="M3469" s="471">
        <f t="shared" si="151"/>
        <v>0.05</v>
      </c>
      <c r="N3469" s="475">
        <f t="shared" si="152"/>
        <v>156630</v>
      </c>
    </row>
    <row r="3470" spans="7:14" ht="11.25" customHeight="1" x14ac:dyDescent="0.3">
      <c r="G3470" s="470"/>
      <c r="H3470" s="470">
        <v>3463</v>
      </c>
      <c r="I3470" s="455">
        <f t="shared" ca="1" si="150"/>
        <v>-765700993236.99377</v>
      </c>
      <c r="J3470" s="455">
        <f t="array" ref="J3470">IFERROR(INDEX('Retirement Calculator'!K:K,MATCH('Lorri 401b'!N3470,'Retirement Calculator'!A:A,0),0),0)</f>
        <v>0</v>
      </c>
      <c r="K3470" s="455">
        <f t="shared" ca="1" si="148"/>
        <v>-3190420805.1541405</v>
      </c>
      <c r="L3470" s="455">
        <f t="shared" ca="1" si="149"/>
        <v>-768891414042.14795</v>
      </c>
      <c r="M3470" s="471">
        <f t="shared" si="151"/>
        <v>0.05</v>
      </c>
      <c r="N3470" s="475">
        <f t="shared" si="152"/>
        <v>156660</v>
      </c>
    </row>
    <row r="3471" spans="7:14" ht="11.25" customHeight="1" x14ac:dyDescent="0.3">
      <c r="G3471" s="470"/>
      <c r="H3471" s="470">
        <v>3464</v>
      </c>
      <c r="I3471" s="455">
        <f t="shared" ca="1" si="150"/>
        <v>-768891414042.14795</v>
      </c>
      <c r="J3471" s="455">
        <f t="array" ref="J3471">IFERROR(INDEX('Retirement Calculator'!K:K,MATCH('Lorri 401b'!N3471,'Retirement Calculator'!A:A,0),0),0)</f>
        <v>0</v>
      </c>
      <c r="K3471" s="455">
        <f t="shared" ca="1" si="148"/>
        <v>-3203714225.1756163</v>
      </c>
      <c r="L3471" s="455">
        <f t="shared" ca="1" si="149"/>
        <v>-772095128267.32361</v>
      </c>
      <c r="M3471" s="471">
        <f t="shared" si="151"/>
        <v>0.05</v>
      </c>
      <c r="N3471" s="475">
        <f t="shared" si="152"/>
        <v>156691</v>
      </c>
    </row>
    <row r="3472" spans="7:14" ht="11.25" customHeight="1" x14ac:dyDescent="0.3">
      <c r="G3472" s="470"/>
      <c r="H3472" s="470">
        <v>3465</v>
      </c>
      <c r="I3472" s="455">
        <f t="shared" ca="1" si="150"/>
        <v>-772095128267.32361</v>
      </c>
      <c r="J3472" s="455">
        <f t="array" ref="J3472">IFERROR(INDEX('Retirement Calculator'!K:K,MATCH('Lorri 401b'!N3472,'Retirement Calculator'!A:A,0),0),0)</f>
        <v>0</v>
      </c>
      <c r="K3472" s="455">
        <f t="shared" ca="1" si="148"/>
        <v>-3217063034.4471817</v>
      </c>
      <c r="L3472" s="455">
        <f t="shared" ca="1" si="149"/>
        <v>-775312191301.77075</v>
      </c>
      <c r="M3472" s="471">
        <f t="shared" si="151"/>
        <v>0.05</v>
      </c>
      <c r="N3472" s="475">
        <f t="shared" si="152"/>
        <v>156722</v>
      </c>
    </row>
    <row r="3473" spans="7:14" ht="11.25" customHeight="1" x14ac:dyDescent="0.3">
      <c r="G3473" s="470"/>
      <c r="H3473" s="470">
        <v>3466</v>
      </c>
      <c r="I3473" s="455">
        <f t="shared" ca="1" si="150"/>
        <v>-775312191301.77075</v>
      </c>
      <c r="J3473" s="455">
        <f t="array" ref="J3473">IFERROR(INDEX('Retirement Calculator'!K:K,MATCH('Lorri 401b'!N3473,'Retirement Calculator'!A:A,0),0),0)</f>
        <v>0</v>
      </c>
      <c r="K3473" s="455">
        <f t="shared" ca="1" si="148"/>
        <v>-3230467463.7573781</v>
      </c>
      <c r="L3473" s="455">
        <f t="shared" ca="1" si="149"/>
        <v>-778542658765.52808</v>
      </c>
      <c r="M3473" s="471">
        <f t="shared" si="151"/>
        <v>0.05</v>
      </c>
      <c r="N3473" s="475">
        <f t="shared" si="152"/>
        <v>156750</v>
      </c>
    </row>
    <row r="3474" spans="7:14" ht="11.25" customHeight="1" x14ac:dyDescent="0.3">
      <c r="G3474" s="470"/>
      <c r="H3474" s="470">
        <v>3467</v>
      </c>
      <c r="I3474" s="455">
        <f t="shared" ca="1" si="150"/>
        <v>-778542658765.52808</v>
      </c>
      <c r="J3474" s="455">
        <f t="array" ref="J3474">IFERROR(INDEX('Retirement Calculator'!K:K,MATCH('Lorri 401b'!N3474,'Retirement Calculator'!A:A,0),0),0)</f>
        <v>0</v>
      </c>
      <c r="K3474" s="455">
        <f t="shared" ca="1" si="148"/>
        <v>-3243927744.8563671</v>
      </c>
      <c r="L3474" s="455">
        <f t="shared" ca="1" si="149"/>
        <v>-781786586510.3844</v>
      </c>
      <c r="M3474" s="471">
        <f t="shared" si="151"/>
        <v>0.05</v>
      </c>
      <c r="N3474" s="475">
        <f t="shared" si="152"/>
        <v>156781</v>
      </c>
    </row>
    <row r="3475" spans="7:14" ht="11.25" customHeight="1" x14ac:dyDescent="0.3">
      <c r="G3475" s="470"/>
      <c r="H3475" s="470">
        <v>3468</v>
      </c>
      <c r="I3475" s="455">
        <f t="shared" ca="1" si="150"/>
        <v>-781786586510.3844</v>
      </c>
      <c r="J3475" s="455">
        <f t="array" ref="J3475">IFERROR(INDEX('Retirement Calculator'!K:K,MATCH('Lorri 401b'!N3475,'Retirement Calculator'!A:A,0),0),0)</f>
        <v>0</v>
      </c>
      <c r="K3475" s="455">
        <f t="shared" ca="1" si="148"/>
        <v>-3257444110.4599352</v>
      </c>
      <c r="L3475" s="455">
        <f t="shared" ca="1" si="149"/>
        <v>-785044030620.84436</v>
      </c>
      <c r="M3475" s="471">
        <f t="shared" si="151"/>
        <v>0.05</v>
      </c>
      <c r="N3475" s="475">
        <f t="shared" si="152"/>
        <v>156811</v>
      </c>
    </row>
    <row r="3476" spans="7:14" ht="11.25" customHeight="1" x14ac:dyDescent="0.3">
      <c r="G3476" s="470"/>
      <c r="H3476" s="470">
        <v>3469</v>
      </c>
      <c r="I3476" s="455">
        <f t="shared" ca="1" si="150"/>
        <v>-785044030620.84436</v>
      </c>
      <c r="J3476" s="455">
        <f t="array" ref="J3476">IFERROR(INDEX('Retirement Calculator'!K:K,MATCH('Lorri 401b'!N3476,'Retirement Calculator'!A:A,0),0),0)</f>
        <v>0</v>
      </c>
      <c r="K3476" s="455">
        <f t="shared" ca="1" si="148"/>
        <v>-3271016794.2535181</v>
      </c>
      <c r="L3476" s="455">
        <f t="shared" ca="1" si="149"/>
        <v>-788315047415.0979</v>
      </c>
      <c r="M3476" s="471">
        <f t="shared" si="151"/>
        <v>0.05</v>
      </c>
      <c r="N3476" s="475">
        <f t="shared" si="152"/>
        <v>156842</v>
      </c>
    </row>
    <row r="3477" spans="7:14" ht="11.25" customHeight="1" x14ac:dyDescent="0.3">
      <c r="G3477" s="470"/>
      <c r="H3477" s="470">
        <v>3470</v>
      </c>
      <c r="I3477" s="455">
        <f t="shared" ca="1" si="150"/>
        <v>-788315047415.0979</v>
      </c>
      <c r="J3477" s="455">
        <f t="array" ref="J3477">IFERROR(INDEX('Retirement Calculator'!K:K,MATCH('Lorri 401b'!N3477,'Retirement Calculator'!A:A,0),0),0)</f>
        <v>0</v>
      </c>
      <c r="K3477" s="455">
        <f t="shared" ca="1" si="148"/>
        <v>-3284646030.8962412</v>
      </c>
      <c r="L3477" s="455">
        <f t="shared" ca="1" si="149"/>
        <v>-791599693445.99414</v>
      </c>
      <c r="M3477" s="471">
        <f t="shared" si="151"/>
        <v>0.05</v>
      </c>
      <c r="N3477" s="475">
        <f t="shared" si="152"/>
        <v>156872</v>
      </c>
    </row>
    <row r="3478" spans="7:14" ht="11.25" customHeight="1" x14ac:dyDescent="0.3">
      <c r="G3478" s="470"/>
      <c r="H3478" s="470">
        <v>3471</v>
      </c>
      <c r="I3478" s="455">
        <f t="shared" ca="1" si="150"/>
        <v>-791599693445.99414</v>
      </c>
      <c r="J3478" s="455">
        <f t="array" ref="J3478">IFERROR(INDEX('Retirement Calculator'!K:K,MATCH('Lorri 401b'!N3478,'Retirement Calculator'!A:A,0),0),0)</f>
        <v>0</v>
      </c>
      <c r="K3478" s="455">
        <f t="shared" ca="1" si="148"/>
        <v>-3298332056.0249758</v>
      </c>
      <c r="L3478" s="455">
        <f t="shared" ca="1" si="149"/>
        <v>-794898025502.01917</v>
      </c>
      <c r="M3478" s="471">
        <f t="shared" si="151"/>
        <v>0.05</v>
      </c>
      <c r="N3478" s="475">
        <f t="shared" si="152"/>
        <v>156903</v>
      </c>
    </row>
    <row r="3479" spans="7:14" ht="11.25" customHeight="1" x14ac:dyDescent="0.3">
      <c r="G3479" s="470"/>
      <c r="H3479" s="470">
        <v>3472</v>
      </c>
      <c r="I3479" s="455">
        <f t="shared" ca="1" si="150"/>
        <v>-794898025502.01917</v>
      </c>
      <c r="J3479" s="455">
        <f t="array" ref="J3479">IFERROR(INDEX('Retirement Calculator'!K:K,MATCH('Lorri 401b'!N3479,'Retirement Calculator'!A:A,0),0),0)</f>
        <v>0</v>
      </c>
      <c r="K3479" s="455">
        <f t="shared" ca="1" si="148"/>
        <v>-3312075106.2584133</v>
      </c>
      <c r="L3479" s="455">
        <f t="shared" ca="1" si="149"/>
        <v>-798210100608.27759</v>
      </c>
      <c r="M3479" s="471">
        <f t="shared" si="151"/>
        <v>0.05</v>
      </c>
      <c r="N3479" s="475">
        <f t="shared" si="152"/>
        <v>156934</v>
      </c>
    </row>
    <row r="3480" spans="7:14" ht="11.25" customHeight="1" x14ac:dyDescent="0.3">
      <c r="G3480" s="470"/>
      <c r="H3480" s="470">
        <v>3473</v>
      </c>
      <c r="I3480" s="455">
        <f t="shared" ca="1" si="150"/>
        <v>-798210100608.27759</v>
      </c>
      <c r="J3480" s="455">
        <f t="array" ref="J3480">IFERROR(INDEX('Retirement Calculator'!K:K,MATCH('Lorri 401b'!N3480,'Retirement Calculator'!A:A,0),0),0)</f>
        <v>0</v>
      </c>
      <c r="K3480" s="455">
        <f t="shared" ca="1" si="148"/>
        <v>-3325875419.2011566</v>
      </c>
      <c r="L3480" s="455">
        <f t="shared" ca="1" si="149"/>
        <v>-801535976027.47876</v>
      </c>
      <c r="M3480" s="471">
        <f t="shared" si="151"/>
        <v>0.05</v>
      </c>
      <c r="N3480" s="475">
        <f t="shared" si="152"/>
        <v>156964</v>
      </c>
    </row>
    <row r="3481" spans="7:14" ht="11.25" customHeight="1" x14ac:dyDescent="0.3">
      <c r="G3481" s="470"/>
      <c r="H3481" s="470">
        <v>3474</v>
      </c>
      <c r="I3481" s="455">
        <f t="shared" ca="1" si="150"/>
        <v>-801535976027.47876</v>
      </c>
      <c r="J3481" s="455">
        <f t="array" ref="J3481">IFERROR(INDEX('Retirement Calculator'!K:K,MATCH('Lorri 401b'!N3481,'Retirement Calculator'!A:A,0),0),0)</f>
        <v>0</v>
      </c>
      <c r="K3481" s="455">
        <f t="shared" ca="1" si="148"/>
        <v>-3339733233.4478283</v>
      </c>
      <c r="L3481" s="455">
        <f t="shared" ca="1" si="149"/>
        <v>-804875709260.92664</v>
      </c>
      <c r="M3481" s="471">
        <f t="shared" si="151"/>
        <v>0.05</v>
      </c>
      <c r="N3481" s="475">
        <f t="shared" si="152"/>
        <v>156995</v>
      </c>
    </row>
    <row r="3482" spans="7:14" ht="11.25" customHeight="1" x14ac:dyDescent="0.3">
      <c r="G3482" s="470"/>
      <c r="H3482" s="470">
        <v>3475</v>
      </c>
      <c r="I3482" s="455">
        <f t="shared" ca="1" si="150"/>
        <v>-804875709260.92664</v>
      </c>
      <c r="J3482" s="455">
        <f t="array" ref="J3482">IFERROR(INDEX('Retirement Calculator'!K:K,MATCH('Lorri 401b'!N3482,'Retirement Calculator'!A:A,0),0),0)</f>
        <v>0</v>
      </c>
      <c r="K3482" s="455">
        <f t="shared" ca="1" si="148"/>
        <v>-3353648788.5871944</v>
      </c>
      <c r="L3482" s="455">
        <f t="shared" ca="1" si="149"/>
        <v>-808229358049.51379</v>
      </c>
      <c r="M3482" s="471">
        <f t="shared" si="151"/>
        <v>0.05</v>
      </c>
      <c r="N3482" s="475">
        <f t="shared" si="152"/>
        <v>157025</v>
      </c>
    </row>
    <row r="3483" spans="7:14" ht="11.25" customHeight="1" x14ac:dyDescent="0.3">
      <c r="G3483" s="470"/>
      <c r="H3483" s="470">
        <v>3476</v>
      </c>
      <c r="I3483" s="455">
        <f t="shared" ca="1" si="150"/>
        <v>-808229358049.51379</v>
      </c>
      <c r="J3483" s="455">
        <f t="array" ref="J3483">IFERROR(INDEX('Retirement Calculator'!K:K,MATCH('Lorri 401b'!N3483,'Retirement Calculator'!A:A,0),0),0)</f>
        <v>0</v>
      </c>
      <c r="K3483" s="455">
        <f t="shared" ca="1" si="148"/>
        <v>-3367622325.2063074</v>
      </c>
      <c r="L3483" s="455">
        <f t="shared" ca="1" si="149"/>
        <v>-811596980374.72009</v>
      </c>
      <c r="M3483" s="471">
        <f t="shared" si="151"/>
        <v>0.05</v>
      </c>
      <c r="N3483" s="475">
        <f t="shared" si="152"/>
        <v>157056</v>
      </c>
    </row>
    <row r="3484" spans="7:14" ht="11.25" customHeight="1" x14ac:dyDescent="0.3">
      <c r="G3484" s="470"/>
      <c r="H3484" s="470">
        <v>3477</v>
      </c>
      <c r="I3484" s="455">
        <f t="shared" ca="1" si="150"/>
        <v>-811596980374.72009</v>
      </c>
      <c r="J3484" s="455">
        <f t="array" ref="J3484">IFERROR(INDEX('Retirement Calculator'!K:K,MATCH('Lorri 401b'!N3484,'Retirement Calculator'!A:A,0),0),0)</f>
        <v>0</v>
      </c>
      <c r="K3484" s="455">
        <f t="shared" ca="1" si="148"/>
        <v>-3381654084.8946671</v>
      </c>
      <c r="L3484" s="455">
        <f t="shared" ca="1" si="149"/>
        <v>-814978634459.61475</v>
      </c>
      <c r="M3484" s="471">
        <f t="shared" si="151"/>
        <v>0.05</v>
      </c>
      <c r="N3484" s="475">
        <f t="shared" si="152"/>
        <v>157087</v>
      </c>
    </row>
    <row r="3485" spans="7:14" ht="11.25" customHeight="1" x14ac:dyDescent="0.3">
      <c r="G3485" s="470"/>
      <c r="H3485" s="470">
        <v>3478</v>
      </c>
      <c r="I3485" s="455">
        <f t="shared" ca="1" si="150"/>
        <v>-814978634459.61475</v>
      </c>
      <c r="J3485" s="455">
        <f t="array" ref="J3485">IFERROR(INDEX('Retirement Calculator'!K:K,MATCH('Lorri 401b'!N3485,'Retirement Calculator'!A:A,0),0),0)</f>
        <v>0</v>
      </c>
      <c r="K3485" s="455">
        <f t="shared" ca="1" si="148"/>
        <v>-3395744310.248395</v>
      </c>
      <c r="L3485" s="455">
        <f t="shared" ca="1" si="149"/>
        <v>-818374378769.86316</v>
      </c>
      <c r="M3485" s="471">
        <f t="shared" si="151"/>
        <v>0.05</v>
      </c>
      <c r="N3485" s="475">
        <f t="shared" si="152"/>
        <v>157115</v>
      </c>
    </row>
    <row r="3486" spans="7:14" ht="11.25" customHeight="1" x14ac:dyDescent="0.3">
      <c r="G3486" s="470"/>
      <c r="H3486" s="470">
        <v>3479</v>
      </c>
      <c r="I3486" s="455">
        <f t="shared" ca="1" si="150"/>
        <v>-818374378769.86316</v>
      </c>
      <c r="J3486" s="455">
        <f t="array" ref="J3486">IFERROR(INDEX('Retirement Calculator'!K:K,MATCH('Lorri 401b'!N3486,'Retirement Calculator'!A:A,0),0),0)</f>
        <v>0</v>
      </c>
      <c r="K3486" s="455">
        <f t="shared" ca="1" si="148"/>
        <v>-3409893244.8744297</v>
      </c>
      <c r="L3486" s="455">
        <f t="shared" ca="1" si="149"/>
        <v>-821784272014.73755</v>
      </c>
      <c r="M3486" s="471">
        <f t="shared" si="151"/>
        <v>0.05</v>
      </c>
      <c r="N3486" s="475">
        <f t="shared" si="152"/>
        <v>157146</v>
      </c>
    </row>
    <row r="3487" spans="7:14" ht="11.25" customHeight="1" x14ac:dyDescent="0.3">
      <c r="G3487" s="470"/>
      <c r="H3487" s="470">
        <v>3480</v>
      </c>
      <c r="I3487" s="455">
        <f t="shared" ca="1" si="150"/>
        <v>-821784272014.73755</v>
      </c>
      <c r="J3487" s="455">
        <f t="array" ref="J3487">IFERROR(INDEX('Retirement Calculator'!K:K,MATCH('Lorri 401b'!N3487,'Retirement Calculator'!A:A,0),0),0)</f>
        <v>0</v>
      </c>
      <c r="K3487" s="455">
        <f t="shared" ca="1" si="148"/>
        <v>-3424101133.3947396</v>
      </c>
      <c r="L3487" s="455">
        <f t="shared" ca="1" si="149"/>
        <v>-825208373148.13232</v>
      </c>
      <c r="M3487" s="471">
        <f t="shared" si="151"/>
        <v>0.05</v>
      </c>
      <c r="N3487" s="475">
        <f t="shared" si="152"/>
        <v>157176</v>
      </c>
    </row>
    <row r="3488" spans="7:14" ht="11.25" customHeight="1" x14ac:dyDescent="0.3">
      <c r="G3488" s="470"/>
      <c r="H3488" s="470">
        <v>3481</v>
      </c>
      <c r="I3488" s="455">
        <f t="shared" ca="1" si="150"/>
        <v>-825208373148.13232</v>
      </c>
      <c r="J3488" s="455">
        <f t="array" ref="J3488">IFERROR(INDEX('Retirement Calculator'!K:K,MATCH('Lorri 401b'!N3488,'Retirement Calculator'!A:A,0),0),0)</f>
        <v>0</v>
      </c>
      <c r="K3488" s="455">
        <f t="shared" ca="1" si="148"/>
        <v>-3438368221.4505515</v>
      </c>
      <c r="L3488" s="455">
        <f t="shared" ca="1" si="149"/>
        <v>-828646741369.58289</v>
      </c>
      <c r="M3488" s="471">
        <f t="shared" si="151"/>
        <v>0.05</v>
      </c>
      <c r="N3488" s="475">
        <f t="shared" si="152"/>
        <v>157207</v>
      </c>
    </row>
    <row r="3489" spans="7:14" ht="11.25" customHeight="1" x14ac:dyDescent="0.3">
      <c r="G3489" s="470"/>
      <c r="H3489" s="470">
        <v>3482</v>
      </c>
      <c r="I3489" s="455">
        <f t="shared" ca="1" si="150"/>
        <v>-828646741369.58289</v>
      </c>
      <c r="J3489" s="455">
        <f t="array" ref="J3489">IFERROR(INDEX('Retirement Calculator'!K:K,MATCH('Lorri 401b'!N3489,'Retirement Calculator'!A:A,0),0),0)</f>
        <v>0</v>
      </c>
      <c r="K3489" s="455">
        <f t="shared" ca="1" si="148"/>
        <v>-3452694755.7065954</v>
      </c>
      <c r="L3489" s="455">
        <f t="shared" ca="1" si="149"/>
        <v>-832099436125.28943</v>
      </c>
      <c r="M3489" s="471">
        <f t="shared" si="151"/>
        <v>0.05</v>
      </c>
      <c r="N3489" s="475">
        <f t="shared" si="152"/>
        <v>157237</v>
      </c>
    </row>
    <row r="3490" spans="7:14" ht="11.25" customHeight="1" x14ac:dyDescent="0.3">
      <c r="G3490" s="470"/>
      <c r="H3490" s="470">
        <v>3483</v>
      </c>
      <c r="I3490" s="455">
        <f t="shared" ca="1" si="150"/>
        <v>-832099436125.28943</v>
      </c>
      <c r="J3490" s="455">
        <f t="array" ref="J3490">IFERROR(INDEX('Retirement Calculator'!K:K,MATCH('Lorri 401b'!N3490,'Retirement Calculator'!A:A,0),0),0)</f>
        <v>0</v>
      </c>
      <c r="K3490" s="455">
        <f t="shared" ca="1" si="148"/>
        <v>-3467080983.8553724</v>
      </c>
      <c r="L3490" s="455">
        <f t="shared" ca="1" si="149"/>
        <v>-835566517109.14478</v>
      </c>
      <c r="M3490" s="471">
        <f t="shared" si="151"/>
        <v>0.05</v>
      </c>
      <c r="N3490" s="475">
        <f t="shared" si="152"/>
        <v>157268</v>
      </c>
    </row>
    <row r="3491" spans="7:14" ht="11.25" customHeight="1" x14ac:dyDescent="0.3">
      <c r="G3491" s="470"/>
      <c r="H3491" s="470">
        <v>3484</v>
      </c>
      <c r="I3491" s="455">
        <f t="shared" ca="1" si="150"/>
        <v>-835566517109.14478</v>
      </c>
      <c r="J3491" s="455">
        <f t="array" ref="J3491">IFERROR(INDEX('Retirement Calculator'!K:K,MATCH('Lorri 401b'!N3491,'Retirement Calculator'!A:A,0),0),0)</f>
        <v>0</v>
      </c>
      <c r="K3491" s="455">
        <f t="shared" ca="1" si="148"/>
        <v>-3481527154.6214366</v>
      </c>
      <c r="L3491" s="455">
        <f t="shared" ca="1" si="149"/>
        <v>-839048044263.76624</v>
      </c>
      <c r="M3491" s="471">
        <f t="shared" si="151"/>
        <v>0.05</v>
      </c>
      <c r="N3491" s="475">
        <f t="shared" si="152"/>
        <v>157299</v>
      </c>
    </row>
    <row r="3492" spans="7:14" ht="11.25" customHeight="1" x14ac:dyDescent="0.3">
      <c r="G3492" s="470"/>
      <c r="H3492" s="470">
        <v>3485</v>
      </c>
      <c r="I3492" s="455">
        <f t="shared" ca="1" si="150"/>
        <v>-839048044263.76624</v>
      </c>
      <c r="J3492" s="455">
        <f t="array" ref="J3492">IFERROR(INDEX('Retirement Calculator'!K:K,MATCH('Lorri 401b'!N3492,'Retirement Calculator'!A:A,0),0),0)</f>
        <v>0</v>
      </c>
      <c r="K3492" s="455">
        <f t="shared" ca="1" si="148"/>
        <v>-3496033517.7656927</v>
      </c>
      <c r="L3492" s="455">
        <f t="shared" ca="1" si="149"/>
        <v>-842544077781.53198</v>
      </c>
      <c r="M3492" s="471">
        <f t="shared" si="151"/>
        <v>0.05</v>
      </c>
      <c r="N3492" s="475">
        <f t="shared" si="152"/>
        <v>157329</v>
      </c>
    </row>
    <row r="3493" spans="7:14" ht="11.25" customHeight="1" x14ac:dyDescent="0.3">
      <c r="G3493" s="470"/>
      <c r="H3493" s="470">
        <v>3486</v>
      </c>
      <c r="I3493" s="455">
        <f t="shared" ca="1" si="150"/>
        <v>-842544077781.53198</v>
      </c>
      <c r="J3493" s="455">
        <f t="array" ref="J3493">IFERROR(INDEX('Retirement Calculator'!K:K,MATCH('Lorri 401b'!N3493,'Retirement Calculator'!A:A,0),0),0)</f>
        <v>0</v>
      </c>
      <c r="K3493" s="455">
        <f t="shared" ca="1" si="148"/>
        <v>-3510600324.0897164</v>
      </c>
      <c r="L3493" s="455">
        <f t="shared" ca="1" si="149"/>
        <v>-846054678105.6217</v>
      </c>
      <c r="M3493" s="471">
        <f t="shared" si="151"/>
        <v>0.05</v>
      </c>
      <c r="N3493" s="475">
        <f t="shared" si="152"/>
        <v>157360</v>
      </c>
    </row>
    <row r="3494" spans="7:14" ht="11.25" customHeight="1" x14ac:dyDescent="0.3">
      <c r="G3494" s="470"/>
      <c r="H3494" s="470">
        <v>3487</v>
      </c>
      <c r="I3494" s="455">
        <f t="shared" ca="1" si="150"/>
        <v>-846054678105.6217</v>
      </c>
      <c r="J3494" s="455">
        <f t="array" ref="J3494">IFERROR(INDEX('Retirement Calculator'!K:K,MATCH('Lorri 401b'!N3494,'Retirement Calculator'!A:A,0),0),0)</f>
        <v>0</v>
      </c>
      <c r="K3494" s="455">
        <f t="shared" ca="1" si="148"/>
        <v>-3525227825.4400902</v>
      </c>
      <c r="L3494" s="455">
        <f t="shared" ca="1" si="149"/>
        <v>-849579905931.06177</v>
      </c>
      <c r="M3494" s="471">
        <f t="shared" si="151"/>
        <v>0.05</v>
      </c>
      <c r="N3494" s="475">
        <f t="shared" si="152"/>
        <v>157390</v>
      </c>
    </row>
    <row r="3495" spans="7:14" ht="11.25" customHeight="1" x14ac:dyDescent="0.3">
      <c r="G3495" s="470"/>
      <c r="H3495" s="470">
        <v>3488</v>
      </c>
      <c r="I3495" s="455">
        <f t="shared" ca="1" si="150"/>
        <v>-849579905931.06177</v>
      </c>
      <c r="J3495" s="455">
        <f t="array" ref="J3495">IFERROR(INDEX('Retirement Calculator'!K:K,MATCH('Lorri 401b'!N3495,'Retirement Calculator'!A:A,0),0),0)</f>
        <v>0</v>
      </c>
      <c r="K3495" s="455">
        <f t="shared" ca="1" si="148"/>
        <v>-3539916274.7127571</v>
      </c>
      <c r="L3495" s="455">
        <f t="shared" ca="1" si="149"/>
        <v>-853119822205.77454</v>
      </c>
      <c r="M3495" s="471">
        <f t="shared" si="151"/>
        <v>0.05</v>
      </c>
      <c r="N3495" s="475">
        <f t="shared" si="152"/>
        <v>157421</v>
      </c>
    </row>
    <row r="3496" spans="7:14" ht="11.25" customHeight="1" x14ac:dyDescent="0.3">
      <c r="G3496" s="470"/>
      <c r="H3496" s="470">
        <v>3489</v>
      </c>
      <c r="I3496" s="455">
        <f t="shared" ca="1" si="150"/>
        <v>-853119822205.77454</v>
      </c>
      <c r="J3496" s="455">
        <f t="array" ref="J3496">IFERROR(INDEX('Retirement Calculator'!K:K,MATCH('Lorri 401b'!N3496,'Retirement Calculator'!A:A,0),0),0)</f>
        <v>0</v>
      </c>
      <c r="K3496" s="455">
        <f t="shared" ca="1" si="148"/>
        <v>-3554665925.8573937</v>
      </c>
      <c r="L3496" s="455">
        <f t="shared" ca="1" si="149"/>
        <v>-856674488131.63196</v>
      </c>
      <c r="M3496" s="471">
        <f t="shared" si="151"/>
        <v>0.05</v>
      </c>
      <c r="N3496" s="475">
        <f t="shared" si="152"/>
        <v>157452</v>
      </c>
    </row>
    <row r="3497" spans="7:14" ht="11.25" customHeight="1" x14ac:dyDescent="0.3">
      <c r="G3497" s="470"/>
      <c r="H3497" s="470">
        <v>3490</v>
      </c>
      <c r="I3497" s="455">
        <f t="shared" ca="1" si="150"/>
        <v>-856674488131.63196</v>
      </c>
      <c r="J3497" s="455">
        <f t="array" ref="J3497">IFERROR(INDEX('Retirement Calculator'!K:K,MATCH('Lorri 401b'!N3497,'Retirement Calculator'!A:A,0),0),0)</f>
        <v>0</v>
      </c>
      <c r="K3497" s="455">
        <f t="shared" ca="1" si="148"/>
        <v>-3569477033.8817997</v>
      </c>
      <c r="L3497" s="455">
        <f t="shared" ca="1" si="149"/>
        <v>-860243965165.51379</v>
      </c>
      <c r="M3497" s="471">
        <f t="shared" si="151"/>
        <v>0.05</v>
      </c>
      <c r="N3497" s="475">
        <f t="shared" si="152"/>
        <v>157480</v>
      </c>
    </row>
    <row r="3498" spans="7:14" ht="11.25" customHeight="1" x14ac:dyDescent="0.3">
      <c r="G3498" s="470"/>
      <c r="H3498" s="470">
        <v>3491</v>
      </c>
      <c r="I3498" s="455">
        <f t="shared" ca="1" si="150"/>
        <v>-860243965165.51379</v>
      </c>
      <c r="J3498" s="455">
        <f t="array" ref="J3498">IFERROR(INDEX('Retirement Calculator'!K:K,MATCH('Lorri 401b'!N3498,'Retirement Calculator'!A:A,0),0),0)</f>
        <v>0</v>
      </c>
      <c r="K3498" s="455">
        <f t="shared" ca="1" si="148"/>
        <v>-3584349854.8563075</v>
      </c>
      <c r="L3498" s="455">
        <f t="shared" ca="1" si="149"/>
        <v>-863828315020.37012</v>
      </c>
      <c r="M3498" s="471">
        <f t="shared" si="151"/>
        <v>0.05</v>
      </c>
      <c r="N3498" s="475">
        <f t="shared" si="152"/>
        <v>157511</v>
      </c>
    </row>
    <row r="3499" spans="7:14" ht="11.25" customHeight="1" x14ac:dyDescent="0.3">
      <c r="G3499" s="470"/>
      <c r="H3499" s="470">
        <v>3492</v>
      </c>
      <c r="I3499" s="455">
        <f t="shared" ca="1" si="150"/>
        <v>-863828315020.37012</v>
      </c>
      <c r="J3499" s="455">
        <f t="array" ref="J3499">IFERROR(INDEX('Retirement Calculator'!K:K,MATCH('Lorri 401b'!N3499,'Retirement Calculator'!A:A,0),0),0)</f>
        <v>0</v>
      </c>
      <c r="K3499" s="455">
        <f t="shared" ca="1" si="148"/>
        <v>-3599284645.9182091</v>
      </c>
      <c r="L3499" s="455">
        <f t="shared" ca="1" si="149"/>
        <v>-867427599666.28833</v>
      </c>
      <c r="M3499" s="471">
        <f t="shared" si="151"/>
        <v>0.05</v>
      </c>
      <c r="N3499" s="475">
        <f t="shared" si="152"/>
        <v>157541</v>
      </c>
    </row>
    <row r="3500" spans="7:14" ht="11.25" customHeight="1" x14ac:dyDescent="0.3">
      <c r="G3500" s="470"/>
      <c r="H3500" s="470">
        <v>3493</v>
      </c>
      <c r="I3500" s="455">
        <f t="shared" ca="1" si="150"/>
        <v>-867427599666.28833</v>
      </c>
      <c r="J3500" s="455">
        <f t="array" ref="J3500">IFERROR(INDEX('Retirement Calculator'!K:K,MATCH('Lorri 401b'!N3500,'Retirement Calculator'!A:A,0),0),0)</f>
        <v>0</v>
      </c>
      <c r="K3500" s="455">
        <f t="shared" ca="1" si="148"/>
        <v>-3614281665.2762017</v>
      </c>
      <c r="L3500" s="455">
        <f t="shared" ca="1" si="149"/>
        <v>-871041881331.56458</v>
      </c>
      <c r="M3500" s="471">
        <f t="shared" si="151"/>
        <v>0.05</v>
      </c>
      <c r="N3500" s="475">
        <f t="shared" si="152"/>
        <v>157572</v>
      </c>
    </row>
    <row r="3501" spans="7:14" ht="11.25" customHeight="1" x14ac:dyDescent="0.3">
      <c r="G3501" s="470"/>
      <c r="H3501" s="470">
        <v>3494</v>
      </c>
      <c r="I3501" s="455">
        <f t="shared" ca="1" si="150"/>
        <v>-871041881331.56458</v>
      </c>
      <c r="J3501" s="455">
        <f t="array" ref="J3501">IFERROR(INDEX('Retirement Calculator'!K:K,MATCH('Lorri 401b'!N3501,'Retirement Calculator'!A:A,0),0),0)</f>
        <v>0</v>
      </c>
      <c r="K3501" s="455">
        <f t="shared" ca="1" si="148"/>
        <v>-3629341172.2148523</v>
      </c>
      <c r="L3501" s="455">
        <f t="shared" ca="1" si="149"/>
        <v>-874671222503.77942</v>
      </c>
      <c r="M3501" s="471">
        <f t="shared" si="151"/>
        <v>0.05</v>
      </c>
      <c r="N3501" s="475">
        <f t="shared" si="152"/>
        <v>157602</v>
      </c>
    </row>
    <row r="3502" spans="7:14" ht="11.25" customHeight="1" x14ac:dyDescent="0.3">
      <c r="G3502" s="470"/>
      <c r="H3502" s="470">
        <v>3495</v>
      </c>
      <c r="I3502" s="455">
        <f t="shared" ca="1" si="150"/>
        <v>-874671222503.77942</v>
      </c>
      <c r="J3502" s="455">
        <f t="array" ref="J3502">IFERROR(INDEX('Retirement Calculator'!K:K,MATCH('Lorri 401b'!N3502,'Retirement Calculator'!A:A,0),0),0)</f>
        <v>0</v>
      </c>
      <c r="K3502" s="455">
        <f t="shared" ca="1" si="148"/>
        <v>-3644463427.099081</v>
      </c>
      <c r="L3502" s="455">
        <f t="shared" ca="1" si="149"/>
        <v>-878315685930.87854</v>
      </c>
      <c r="M3502" s="471">
        <f t="shared" si="151"/>
        <v>0.05</v>
      </c>
      <c r="N3502" s="475">
        <f t="shared" si="152"/>
        <v>157633</v>
      </c>
    </row>
    <row r="3503" spans="7:14" ht="11.25" customHeight="1" x14ac:dyDescent="0.3">
      <c r="G3503" s="470"/>
      <c r="H3503" s="470">
        <v>3496</v>
      </c>
      <c r="I3503" s="455">
        <f t="shared" ca="1" si="150"/>
        <v>-878315685930.87854</v>
      </c>
      <c r="J3503" s="455">
        <f t="array" ref="J3503">IFERROR(INDEX('Retirement Calculator'!K:K,MATCH('Lorri 401b'!N3503,'Retirement Calculator'!A:A,0),0),0)</f>
        <v>0</v>
      </c>
      <c r="K3503" s="455">
        <f t="shared" ca="1" si="148"/>
        <v>-3659648691.3786607</v>
      </c>
      <c r="L3503" s="455">
        <f t="shared" ca="1" si="149"/>
        <v>-881975334622.2572</v>
      </c>
      <c r="M3503" s="471">
        <f t="shared" si="151"/>
        <v>0.05</v>
      </c>
      <c r="N3503" s="475">
        <f t="shared" si="152"/>
        <v>157664</v>
      </c>
    </row>
    <row r="3504" spans="7:14" ht="11.25" customHeight="1" x14ac:dyDescent="0.3">
      <c r="G3504" s="470"/>
      <c r="H3504" s="470">
        <v>3497</v>
      </c>
      <c r="I3504" s="455">
        <f t="shared" ca="1" si="150"/>
        <v>-881975334622.2572</v>
      </c>
      <c r="J3504" s="455">
        <f t="array" ref="J3504">IFERROR(INDEX('Retirement Calculator'!K:K,MATCH('Lorri 401b'!N3504,'Retirement Calculator'!A:A,0),0),0)</f>
        <v>0</v>
      </c>
      <c r="K3504" s="455">
        <f t="shared" ca="1" si="148"/>
        <v>-3674897227.5927382</v>
      </c>
      <c r="L3504" s="455">
        <f t="shared" ca="1" si="149"/>
        <v>-885650231849.84998</v>
      </c>
      <c r="M3504" s="471">
        <f t="shared" si="151"/>
        <v>0.05</v>
      </c>
      <c r="N3504" s="475">
        <f t="shared" si="152"/>
        <v>157694</v>
      </c>
    </row>
    <row r="3505" spans="7:14" ht="11.25" customHeight="1" x14ac:dyDescent="0.3">
      <c r="G3505" s="470"/>
      <c r="H3505" s="470">
        <v>3498</v>
      </c>
      <c r="I3505" s="455">
        <f t="shared" ca="1" si="150"/>
        <v>-885650231849.84998</v>
      </c>
      <c r="J3505" s="455">
        <f t="array" ref="J3505">IFERROR(INDEX('Retirement Calculator'!K:K,MATCH('Lorri 401b'!N3505,'Retirement Calculator'!A:A,0),0),0)</f>
        <v>0</v>
      </c>
      <c r="K3505" s="455">
        <f t="shared" ca="1" si="148"/>
        <v>-3690209299.3743753</v>
      </c>
      <c r="L3505" s="455">
        <f t="shared" ca="1" si="149"/>
        <v>-889340441149.22437</v>
      </c>
      <c r="M3505" s="471">
        <f t="shared" si="151"/>
        <v>0.05</v>
      </c>
      <c r="N3505" s="475">
        <f t="shared" si="152"/>
        <v>157725</v>
      </c>
    </row>
    <row r="3506" spans="7:14" ht="11.25" customHeight="1" x14ac:dyDescent="0.3">
      <c r="G3506" s="470"/>
      <c r="H3506" s="470">
        <v>3499</v>
      </c>
      <c r="I3506" s="455">
        <f t="shared" ca="1" si="150"/>
        <v>-889340441149.22437</v>
      </c>
      <c r="J3506" s="455">
        <f t="array" ref="J3506">IFERROR(INDEX('Retirement Calculator'!K:K,MATCH('Lorri 401b'!N3506,'Retirement Calculator'!A:A,0),0),0)</f>
        <v>0</v>
      </c>
      <c r="K3506" s="455">
        <f t="shared" ca="1" si="148"/>
        <v>-3705585171.455101</v>
      </c>
      <c r="L3506" s="455">
        <f t="shared" ca="1" si="149"/>
        <v>-893046026320.67944</v>
      </c>
      <c r="M3506" s="471">
        <f t="shared" si="151"/>
        <v>0.05</v>
      </c>
      <c r="N3506" s="475">
        <f t="shared" si="152"/>
        <v>157755</v>
      </c>
    </row>
    <row r="3507" spans="7:14" ht="11.25" customHeight="1" x14ac:dyDescent="0.3">
      <c r="G3507" s="470"/>
      <c r="H3507" s="470">
        <v>3500</v>
      </c>
      <c r="I3507" s="455">
        <f t="shared" ca="1" si="150"/>
        <v>-893046026320.67944</v>
      </c>
      <c r="J3507" s="455">
        <f t="array" ref="J3507">IFERROR(INDEX('Retirement Calculator'!K:K,MATCH('Lorri 401b'!N3507,'Retirement Calculator'!A:A,0),0),0)</f>
        <v>0</v>
      </c>
      <c r="K3507" s="455">
        <f t="shared" ca="1" si="148"/>
        <v>-3721025109.6694975</v>
      </c>
      <c r="L3507" s="455">
        <f t="shared" ca="1" si="149"/>
        <v>-896767051430.349</v>
      </c>
      <c r="M3507" s="471">
        <f t="shared" si="151"/>
        <v>0.05</v>
      </c>
      <c r="N3507" s="475">
        <f t="shared" si="152"/>
        <v>157786</v>
      </c>
    </row>
    <row r="3508" spans="7:14" ht="11.25" customHeight="1" x14ac:dyDescent="0.3">
      <c r="G3508" s="470"/>
      <c r="H3508" s="470">
        <v>3501</v>
      </c>
      <c r="I3508" s="455">
        <f t="shared" ca="1" si="150"/>
        <v>-896767051430.349</v>
      </c>
      <c r="J3508" s="455">
        <f t="array" ref="J3508">IFERROR(INDEX('Retirement Calculator'!K:K,MATCH('Lorri 401b'!N3508,'Retirement Calculator'!A:A,0),0),0)</f>
        <v>0</v>
      </c>
      <c r="K3508" s="455">
        <f t="shared" ca="1" si="148"/>
        <v>-3736529380.9597874</v>
      </c>
      <c r="L3508" s="455">
        <f t="shared" ca="1" si="149"/>
        <v>-900503580811.30884</v>
      </c>
      <c r="M3508" s="471">
        <f t="shared" si="151"/>
        <v>0.05</v>
      </c>
      <c r="N3508" s="475">
        <f t="shared" si="152"/>
        <v>157817</v>
      </c>
    </row>
    <row r="3509" spans="7:14" ht="11.25" customHeight="1" x14ac:dyDescent="0.3">
      <c r="G3509" s="470"/>
      <c r="H3509" s="470">
        <v>3502</v>
      </c>
      <c r="I3509" s="455">
        <f t="shared" ca="1" si="150"/>
        <v>-900503580811.30884</v>
      </c>
      <c r="J3509" s="455">
        <f t="array" ref="J3509">IFERROR(INDEX('Retirement Calculator'!K:K,MATCH('Lorri 401b'!N3509,'Retirement Calculator'!A:A,0),0),0)</f>
        <v>0</v>
      </c>
      <c r="K3509" s="455">
        <f t="shared" ca="1" si="148"/>
        <v>-3752098253.3804536</v>
      </c>
      <c r="L3509" s="455">
        <f t="shared" ca="1" si="149"/>
        <v>-904255679064.68933</v>
      </c>
      <c r="M3509" s="471">
        <f t="shared" si="151"/>
        <v>0.05</v>
      </c>
      <c r="N3509" s="475">
        <f t="shared" si="152"/>
        <v>157846</v>
      </c>
    </row>
    <row r="3510" spans="7:14" ht="11.25" customHeight="1" x14ac:dyDescent="0.3">
      <c r="G3510" s="470"/>
      <c r="H3510" s="470">
        <v>3503</v>
      </c>
      <c r="I3510" s="455">
        <f t="shared" ca="1" si="150"/>
        <v>-904255679064.68933</v>
      </c>
      <c r="J3510" s="455">
        <f t="array" ref="J3510">IFERROR(INDEX('Retirement Calculator'!K:K,MATCH('Lorri 401b'!N3510,'Retirement Calculator'!A:A,0),0),0)</f>
        <v>0</v>
      </c>
      <c r="K3510" s="455">
        <f t="shared" ca="1" si="148"/>
        <v>-3767731996.1028724</v>
      </c>
      <c r="L3510" s="455">
        <f t="shared" ca="1" si="149"/>
        <v>-908023411060.79224</v>
      </c>
      <c r="M3510" s="471">
        <f t="shared" si="151"/>
        <v>0.05</v>
      </c>
      <c r="N3510" s="475">
        <f t="shared" si="152"/>
        <v>157877</v>
      </c>
    </row>
    <row r="3511" spans="7:14" ht="11.25" customHeight="1" x14ac:dyDescent="0.3">
      <c r="G3511" s="470"/>
      <c r="H3511" s="470">
        <v>3504</v>
      </c>
      <c r="I3511" s="455">
        <f t="shared" ca="1" si="150"/>
        <v>-908023411060.79224</v>
      </c>
      <c r="J3511" s="455">
        <f t="array" ref="J3511">IFERROR(INDEX('Retirement Calculator'!K:K,MATCH('Lorri 401b'!N3511,'Retirement Calculator'!A:A,0),0),0)</f>
        <v>0</v>
      </c>
      <c r="K3511" s="455">
        <f t="shared" ca="1" si="148"/>
        <v>-3783430879.4199677</v>
      </c>
      <c r="L3511" s="455">
        <f t="shared" ca="1" si="149"/>
        <v>-911806841940.21216</v>
      </c>
      <c r="M3511" s="471">
        <f t="shared" si="151"/>
        <v>0.05</v>
      </c>
      <c r="N3511" s="475">
        <f t="shared" si="152"/>
        <v>157907</v>
      </c>
    </row>
    <row r="3512" spans="7:14" ht="11.25" customHeight="1" x14ac:dyDescent="0.3">
      <c r="G3512" s="470"/>
      <c r="H3512" s="470">
        <v>3505</v>
      </c>
      <c r="I3512" s="455">
        <f t="shared" ca="1" si="150"/>
        <v>-911806841940.21216</v>
      </c>
      <c r="J3512" s="455">
        <f t="array" ref="J3512">IFERROR(INDEX('Retirement Calculator'!K:K,MATCH('Lorri 401b'!N3512,'Retirement Calculator'!A:A,0),0),0)</f>
        <v>0</v>
      </c>
      <c r="K3512" s="455">
        <f t="shared" ca="1" si="148"/>
        <v>-3799195174.7508841</v>
      </c>
      <c r="L3512" s="455">
        <f t="shared" ca="1" si="149"/>
        <v>-915606037114.96301</v>
      </c>
      <c r="M3512" s="471">
        <f t="shared" si="151"/>
        <v>0.05</v>
      </c>
      <c r="N3512" s="475">
        <f t="shared" si="152"/>
        <v>157938</v>
      </c>
    </row>
    <row r="3513" spans="7:14" ht="11.25" customHeight="1" x14ac:dyDescent="0.3">
      <c r="G3513" s="470"/>
      <c r="H3513" s="470">
        <v>3506</v>
      </c>
      <c r="I3513" s="455">
        <f t="shared" ca="1" si="150"/>
        <v>-915606037114.96301</v>
      </c>
      <c r="J3513" s="455">
        <f t="array" ref="J3513">IFERROR(INDEX('Retirement Calculator'!K:K,MATCH('Lorri 401b'!N3513,'Retirement Calculator'!A:A,0),0),0)</f>
        <v>0</v>
      </c>
      <c r="K3513" s="455">
        <f t="shared" ca="1" si="148"/>
        <v>-3815025154.645679</v>
      </c>
      <c r="L3513" s="455">
        <f t="shared" ca="1" si="149"/>
        <v>-919421062269.60864</v>
      </c>
      <c r="M3513" s="471">
        <f t="shared" si="151"/>
        <v>0.05</v>
      </c>
      <c r="N3513" s="475">
        <f t="shared" si="152"/>
        <v>157968</v>
      </c>
    </row>
    <row r="3514" spans="7:14" ht="11.25" customHeight="1" x14ac:dyDescent="0.3">
      <c r="G3514" s="470"/>
      <c r="H3514" s="470">
        <v>3507</v>
      </c>
      <c r="I3514" s="455">
        <f t="shared" ca="1" si="150"/>
        <v>-919421062269.60864</v>
      </c>
      <c r="J3514" s="455">
        <f t="array" ref="J3514">IFERROR(INDEX('Retirement Calculator'!K:K,MATCH('Lorri 401b'!N3514,'Retirement Calculator'!A:A,0),0),0)</f>
        <v>0</v>
      </c>
      <c r="K3514" s="455">
        <f t="shared" ca="1" si="148"/>
        <v>-3830921092.7900357</v>
      </c>
      <c r="L3514" s="455">
        <f t="shared" ca="1" si="149"/>
        <v>-923251983362.39868</v>
      </c>
      <c r="M3514" s="471">
        <f t="shared" si="151"/>
        <v>0.05</v>
      </c>
      <c r="N3514" s="475">
        <f t="shared" si="152"/>
        <v>157999</v>
      </c>
    </row>
    <row r="3515" spans="7:14" ht="11.25" customHeight="1" x14ac:dyDescent="0.3">
      <c r="G3515" s="470"/>
      <c r="H3515" s="470">
        <v>3508</v>
      </c>
      <c r="I3515" s="455">
        <f t="shared" ca="1" si="150"/>
        <v>-923251983362.39868</v>
      </c>
      <c r="J3515" s="455">
        <f t="array" ref="J3515">IFERROR(INDEX('Retirement Calculator'!K:K,MATCH('Lorri 401b'!N3515,'Retirement Calculator'!A:A,0),0),0)</f>
        <v>0</v>
      </c>
      <c r="K3515" s="455">
        <f t="shared" ca="1" si="148"/>
        <v>-3846883264.009994</v>
      </c>
      <c r="L3515" s="455">
        <f t="shared" ca="1" si="149"/>
        <v>-927098866626.40869</v>
      </c>
      <c r="M3515" s="471">
        <f t="shared" si="151"/>
        <v>0.05</v>
      </c>
      <c r="N3515" s="475">
        <f t="shared" si="152"/>
        <v>158030</v>
      </c>
    </row>
    <row r="3516" spans="7:14" ht="11.25" customHeight="1" x14ac:dyDescent="0.3">
      <c r="G3516" s="470"/>
      <c r="H3516" s="470">
        <v>3509</v>
      </c>
      <c r="I3516" s="455">
        <f t="shared" ca="1" si="150"/>
        <v>-927098866626.40869</v>
      </c>
      <c r="J3516" s="455">
        <f t="array" ref="J3516">IFERROR(INDEX('Retirement Calculator'!K:K,MATCH('Lorri 401b'!N3516,'Retirement Calculator'!A:A,0),0),0)</f>
        <v>0</v>
      </c>
      <c r="K3516" s="455">
        <f t="shared" ca="1" si="148"/>
        <v>-3862911944.2767024</v>
      </c>
      <c r="L3516" s="455">
        <f t="shared" ca="1" si="149"/>
        <v>-930961778570.68542</v>
      </c>
      <c r="M3516" s="471">
        <f t="shared" si="151"/>
        <v>0.05</v>
      </c>
      <c r="N3516" s="475">
        <f t="shared" si="152"/>
        <v>158060</v>
      </c>
    </row>
    <row r="3517" spans="7:14" ht="11.25" customHeight="1" x14ac:dyDescent="0.3">
      <c r="G3517" s="470"/>
      <c r="H3517" s="470">
        <v>3510</v>
      </c>
      <c r="I3517" s="455">
        <f t="shared" ca="1" si="150"/>
        <v>-930961778570.68542</v>
      </c>
      <c r="J3517" s="455">
        <f t="array" ref="J3517">IFERROR(INDEX('Retirement Calculator'!K:K,MATCH('Lorri 401b'!N3517,'Retirement Calculator'!A:A,0),0),0)</f>
        <v>0</v>
      </c>
      <c r="K3517" s="455">
        <f t="shared" ca="1" si="148"/>
        <v>-3879007410.7111893</v>
      </c>
      <c r="L3517" s="455">
        <f t="shared" ca="1" si="149"/>
        <v>-934840785981.39661</v>
      </c>
      <c r="M3517" s="471">
        <f t="shared" si="151"/>
        <v>0.05</v>
      </c>
      <c r="N3517" s="475">
        <f t="shared" si="152"/>
        <v>158091</v>
      </c>
    </row>
    <row r="3518" spans="7:14" ht="11.25" customHeight="1" x14ac:dyDescent="0.3">
      <c r="G3518" s="470"/>
      <c r="H3518" s="470">
        <v>3511</v>
      </c>
      <c r="I3518" s="455">
        <f t="shared" ca="1" si="150"/>
        <v>-934840785981.39661</v>
      </c>
      <c r="J3518" s="455">
        <f t="array" ref="J3518">IFERROR(INDEX('Retirement Calculator'!K:K,MATCH('Lorri 401b'!N3518,'Retirement Calculator'!A:A,0),0),0)</f>
        <v>0</v>
      </c>
      <c r="K3518" s="455">
        <f t="shared" ca="1" si="148"/>
        <v>-3895169941.5891519</v>
      </c>
      <c r="L3518" s="455">
        <f t="shared" ca="1" si="149"/>
        <v>-938735955922.98572</v>
      </c>
      <c r="M3518" s="471">
        <f t="shared" si="151"/>
        <v>0.05</v>
      </c>
      <c r="N3518" s="475">
        <f t="shared" si="152"/>
        <v>158121</v>
      </c>
    </row>
    <row r="3519" spans="7:14" ht="11.25" customHeight="1" x14ac:dyDescent="0.3">
      <c r="G3519" s="470"/>
      <c r="H3519" s="470">
        <v>3512</v>
      </c>
      <c r="I3519" s="455">
        <f t="shared" ca="1" si="150"/>
        <v>-938735955922.98572</v>
      </c>
      <c r="J3519" s="455">
        <f t="array" ref="J3519">IFERROR(INDEX('Retirement Calculator'!K:K,MATCH('Lorri 401b'!N3519,'Retirement Calculator'!A:A,0),0),0)</f>
        <v>0</v>
      </c>
      <c r="K3519" s="455">
        <f t="shared" ca="1" si="148"/>
        <v>-3911399816.3457737</v>
      </c>
      <c r="L3519" s="455">
        <f t="shared" ca="1" si="149"/>
        <v>-942647355739.33154</v>
      </c>
      <c r="M3519" s="471">
        <f t="shared" si="151"/>
        <v>0.05</v>
      </c>
      <c r="N3519" s="475">
        <f t="shared" si="152"/>
        <v>158152</v>
      </c>
    </row>
    <row r="3520" spans="7:14" ht="11.25" customHeight="1" x14ac:dyDescent="0.3">
      <c r="G3520" s="470"/>
      <c r="H3520" s="470">
        <v>3513</v>
      </c>
      <c r="I3520" s="455">
        <f t="shared" ca="1" si="150"/>
        <v>-942647355739.33154</v>
      </c>
      <c r="J3520" s="455">
        <f t="array" ref="J3520">IFERROR(INDEX('Retirement Calculator'!K:K,MATCH('Lorri 401b'!N3520,'Retirement Calculator'!A:A,0),0),0)</f>
        <v>0</v>
      </c>
      <c r="K3520" s="455">
        <f t="shared" ca="1" si="148"/>
        <v>-3927697315.5805473</v>
      </c>
      <c r="L3520" s="455">
        <f t="shared" ca="1" si="149"/>
        <v>-946575053054.91211</v>
      </c>
      <c r="M3520" s="471">
        <f t="shared" si="151"/>
        <v>0.05</v>
      </c>
      <c r="N3520" s="475">
        <f t="shared" si="152"/>
        <v>158183</v>
      </c>
    </row>
    <row r="3521" spans="7:14" ht="11.25" customHeight="1" x14ac:dyDescent="0.3">
      <c r="G3521" s="470"/>
      <c r="H3521" s="470">
        <v>3514</v>
      </c>
      <c r="I3521" s="455">
        <f t="shared" ca="1" si="150"/>
        <v>-946575053054.91211</v>
      </c>
      <c r="J3521" s="455">
        <f t="array" ref="J3521">IFERROR(INDEX('Retirement Calculator'!K:K,MATCH('Lorri 401b'!N3521,'Retirement Calculator'!A:A,0),0),0)</f>
        <v>0</v>
      </c>
      <c r="K3521" s="455">
        <f t="shared" ca="1" si="148"/>
        <v>-3944062721.0621338</v>
      </c>
      <c r="L3521" s="455">
        <f t="shared" ca="1" si="149"/>
        <v>-950519115775.97424</v>
      </c>
      <c r="M3521" s="471">
        <f t="shared" si="151"/>
        <v>0.05</v>
      </c>
      <c r="N3521" s="475">
        <f t="shared" si="152"/>
        <v>158211</v>
      </c>
    </row>
    <row r="3522" spans="7:14" ht="11.25" customHeight="1" x14ac:dyDescent="0.3">
      <c r="G3522" s="470"/>
      <c r="H3522" s="470">
        <v>3515</v>
      </c>
      <c r="I3522" s="455">
        <f t="shared" ca="1" si="150"/>
        <v>-950519115775.97424</v>
      </c>
      <c r="J3522" s="455">
        <f t="array" ref="J3522">IFERROR(INDEX('Retirement Calculator'!K:K,MATCH('Lorri 401b'!N3522,'Retirement Calculator'!A:A,0),0),0)</f>
        <v>0</v>
      </c>
      <c r="K3522" s="455">
        <f t="shared" ca="1" si="148"/>
        <v>-3960496315.7332258</v>
      </c>
      <c r="L3522" s="455">
        <f t="shared" ca="1" si="149"/>
        <v>-954479612091.70752</v>
      </c>
      <c r="M3522" s="471">
        <f t="shared" si="151"/>
        <v>0.05</v>
      </c>
      <c r="N3522" s="475">
        <f t="shared" si="152"/>
        <v>158242</v>
      </c>
    </row>
    <row r="3523" spans="7:14" ht="11.25" customHeight="1" x14ac:dyDescent="0.3">
      <c r="G3523" s="470"/>
      <c r="H3523" s="470">
        <v>3516</v>
      </c>
      <c r="I3523" s="455">
        <f t="shared" ca="1" si="150"/>
        <v>-954479612091.70752</v>
      </c>
      <c r="J3523" s="455">
        <f t="array" ref="J3523">IFERROR(INDEX('Retirement Calculator'!K:K,MATCH('Lorri 401b'!N3523,'Retirement Calculator'!A:A,0),0),0)</f>
        <v>0</v>
      </c>
      <c r="K3523" s="455">
        <f t="shared" ca="1" si="148"/>
        <v>-3976998383.7154479</v>
      </c>
      <c r="L3523" s="455">
        <f t="shared" ca="1" si="149"/>
        <v>-958456610475.42297</v>
      </c>
      <c r="M3523" s="471">
        <f t="shared" si="151"/>
        <v>0.05</v>
      </c>
      <c r="N3523" s="475">
        <f t="shared" si="152"/>
        <v>158272</v>
      </c>
    </row>
    <row r="3524" spans="7:14" ht="11.25" customHeight="1" x14ac:dyDescent="0.3">
      <c r="G3524" s="470"/>
      <c r="H3524" s="470">
        <v>3517</v>
      </c>
      <c r="I3524" s="455">
        <f t="shared" ca="1" si="150"/>
        <v>-958456610475.42297</v>
      </c>
      <c r="J3524" s="455">
        <f t="array" ref="J3524">IFERROR(INDEX('Retirement Calculator'!K:K,MATCH('Lorri 401b'!N3524,'Retirement Calculator'!A:A,0),0),0)</f>
        <v>0</v>
      </c>
      <c r="K3524" s="455">
        <f t="shared" ca="1" si="148"/>
        <v>-3993569210.3142624</v>
      </c>
      <c r="L3524" s="455">
        <f t="shared" ca="1" si="149"/>
        <v>-962450179685.73718</v>
      </c>
      <c r="M3524" s="471">
        <f t="shared" si="151"/>
        <v>0.05</v>
      </c>
      <c r="N3524" s="475">
        <f t="shared" si="152"/>
        <v>158303</v>
      </c>
    </row>
    <row r="3525" spans="7:14" ht="11.25" customHeight="1" x14ac:dyDescent="0.3">
      <c r="G3525" s="470"/>
      <c r="H3525" s="470">
        <v>3518</v>
      </c>
      <c r="I3525" s="455">
        <f t="shared" ca="1" si="150"/>
        <v>-962450179685.73718</v>
      </c>
      <c r="J3525" s="455">
        <f t="array" ref="J3525">IFERROR(INDEX('Retirement Calculator'!K:K,MATCH('Lorri 401b'!N3525,'Retirement Calculator'!A:A,0),0),0)</f>
        <v>0</v>
      </c>
      <c r="K3525" s="455">
        <f t="shared" ca="1" si="148"/>
        <v>-4010209082.0239048</v>
      </c>
      <c r="L3525" s="455">
        <f t="shared" ca="1" si="149"/>
        <v>-966460388767.76111</v>
      </c>
      <c r="M3525" s="471">
        <f t="shared" si="151"/>
        <v>0.05</v>
      </c>
      <c r="N3525" s="475">
        <f t="shared" si="152"/>
        <v>158333</v>
      </c>
    </row>
    <row r="3526" spans="7:14" ht="11.25" customHeight="1" x14ac:dyDescent="0.3">
      <c r="G3526" s="470"/>
      <c r="H3526" s="470">
        <v>3519</v>
      </c>
      <c r="I3526" s="455">
        <f t="shared" ca="1" si="150"/>
        <v>-966460388767.76111</v>
      </c>
      <c r="J3526" s="455">
        <f t="array" ref="J3526">IFERROR(INDEX('Retirement Calculator'!K:K,MATCH('Lorri 401b'!N3526,'Retirement Calculator'!A:A,0),0),0)</f>
        <v>0</v>
      </c>
      <c r="K3526" s="455">
        <f t="shared" ca="1" si="148"/>
        <v>-4026918286.5323377</v>
      </c>
      <c r="L3526" s="455">
        <f t="shared" ca="1" si="149"/>
        <v>-970487307054.29346</v>
      </c>
      <c r="M3526" s="471">
        <f t="shared" si="151"/>
        <v>0.05</v>
      </c>
      <c r="N3526" s="475">
        <f t="shared" si="152"/>
        <v>158364</v>
      </c>
    </row>
    <row r="3527" spans="7:14" ht="11.25" customHeight="1" x14ac:dyDescent="0.3">
      <c r="G3527" s="470"/>
      <c r="H3527" s="470">
        <v>3520</v>
      </c>
      <c r="I3527" s="455">
        <f t="shared" ca="1" si="150"/>
        <v>-970487307054.29346</v>
      </c>
      <c r="J3527" s="455">
        <f t="array" ref="J3527">IFERROR(INDEX('Retirement Calculator'!K:K,MATCH('Lorri 401b'!N3527,'Retirement Calculator'!A:A,0),0),0)</f>
        <v>0</v>
      </c>
      <c r="K3527" s="455">
        <f t="shared" ca="1" si="148"/>
        <v>-4043697112.7262225</v>
      </c>
      <c r="L3527" s="455">
        <f t="shared" ca="1" si="149"/>
        <v>-974531004167.01965</v>
      </c>
      <c r="M3527" s="471">
        <f t="shared" si="151"/>
        <v>0.05</v>
      </c>
      <c r="N3527" s="475">
        <f t="shared" si="152"/>
        <v>158395</v>
      </c>
    </row>
    <row r="3528" spans="7:14" ht="11.25" customHeight="1" x14ac:dyDescent="0.3">
      <c r="G3528" s="470"/>
      <c r="H3528" s="470">
        <v>3521</v>
      </c>
      <c r="I3528" s="455">
        <f t="shared" ca="1" si="150"/>
        <v>-974531004167.01965</v>
      </c>
      <c r="J3528" s="455">
        <f t="array" ref="J3528">IFERROR(INDEX('Retirement Calculator'!K:K,MATCH('Lorri 401b'!N3528,'Retirement Calculator'!A:A,0),0),0)</f>
        <v>0</v>
      </c>
      <c r="K3528" s="455">
        <f t="shared" ca="1" si="148"/>
        <v>-4060545850.6959152</v>
      </c>
      <c r="L3528" s="455">
        <f t="shared" ca="1" si="149"/>
        <v>-978591550017.71558</v>
      </c>
      <c r="M3528" s="471">
        <f t="shared" si="151"/>
        <v>0.05</v>
      </c>
      <c r="N3528" s="475">
        <f t="shared" si="152"/>
        <v>158425</v>
      </c>
    </row>
    <row r="3529" spans="7:14" ht="11.25" customHeight="1" x14ac:dyDescent="0.3">
      <c r="G3529" s="470"/>
      <c r="H3529" s="470">
        <v>3522</v>
      </c>
      <c r="I3529" s="455">
        <f t="shared" ca="1" si="150"/>
        <v>-978591550017.71558</v>
      </c>
      <c r="J3529" s="455">
        <f t="array" ref="J3529">IFERROR(INDEX('Retirement Calculator'!K:K,MATCH('Lorri 401b'!N3529,'Retirement Calculator'!A:A,0),0),0)</f>
        <v>0</v>
      </c>
      <c r="K3529" s="455">
        <f t="shared" ca="1" si="148"/>
        <v>-4077464791.7404814</v>
      </c>
      <c r="L3529" s="455">
        <f t="shared" ca="1" si="149"/>
        <v>-982669014809.45605</v>
      </c>
      <c r="M3529" s="471">
        <f t="shared" si="151"/>
        <v>0.05</v>
      </c>
      <c r="N3529" s="475">
        <f t="shared" si="152"/>
        <v>158456</v>
      </c>
    </row>
    <row r="3530" spans="7:14" ht="11.25" customHeight="1" x14ac:dyDescent="0.3">
      <c r="G3530" s="470"/>
      <c r="H3530" s="470">
        <v>3523</v>
      </c>
      <c r="I3530" s="455">
        <f t="shared" ca="1" si="150"/>
        <v>-982669014809.45605</v>
      </c>
      <c r="J3530" s="455">
        <f t="array" ref="J3530">IFERROR(INDEX('Retirement Calculator'!K:K,MATCH('Lorri 401b'!N3530,'Retirement Calculator'!A:A,0),0),0)</f>
        <v>0</v>
      </c>
      <c r="K3530" s="455">
        <f t="shared" ca="1" si="148"/>
        <v>-4094454228.3727331</v>
      </c>
      <c r="L3530" s="455">
        <f t="shared" ca="1" si="149"/>
        <v>-986763469037.82874</v>
      </c>
      <c r="M3530" s="471">
        <f t="shared" si="151"/>
        <v>0.05</v>
      </c>
      <c r="N3530" s="475">
        <f t="shared" si="152"/>
        <v>158486</v>
      </c>
    </row>
    <row r="3531" spans="7:14" ht="11.25" customHeight="1" x14ac:dyDescent="0.3">
      <c r="G3531" s="470"/>
      <c r="H3531" s="470">
        <v>3524</v>
      </c>
      <c r="I3531" s="455">
        <f t="shared" ca="1" si="150"/>
        <v>-986763469037.82874</v>
      </c>
      <c r="J3531" s="455">
        <f t="array" ref="J3531">IFERROR(INDEX('Retirement Calculator'!K:K,MATCH('Lorri 401b'!N3531,'Retirement Calculator'!A:A,0),0),0)</f>
        <v>0</v>
      </c>
      <c r="K3531" s="455">
        <f t="shared" ca="1" si="148"/>
        <v>-4111514454.3242865</v>
      </c>
      <c r="L3531" s="455">
        <f t="shared" ca="1" si="149"/>
        <v>-990874983492.15308</v>
      </c>
      <c r="M3531" s="471">
        <f t="shared" si="151"/>
        <v>0.05</v>
      </c>
      <c r="N3531" s="475">
        <f t="shared" si="152"/>
        <v>158517</v>
      </c>
    </row>
    <row r="3532" spans="7:14" ht="11.25" customHeight="1" x14ac:dyDescent="0.3">
      <c r="G3532" s="470"/>
      <c r="H3532" s="470">
        <v>3525</v>
      </c>
      <c r="I3532" s="455">
        <f t="shared" ca="1" si="150"/>
        <v>-990874983492.15308</v>
      </c>
      <c r="J3532" s="455">
        <f t="array" ref="J3532">IFERROR(INDEX('Retirement Calculator'!K:K,MATCH('Lorri 401b'!N3532,'Retirement Calculator'!A:A,0),0),0)</f>
        <v>0</v>
      </c>
      <c r="K3532" s="455">
        <f t="shared" ca="1" si="148"/>
        <v>-4128645764.5506377</v>
      </c>
      <c r="L3532" s="455">
        <f t="shared" ca="1" si="149"/>
        <v>-995003629256.70374</v>
      </c>
      <c r="M3532" s="471">
        <f t="shared" si="151"/>
        <v>0.05</v>
      </c>
      <c r="N3532" s="475">
        <f t="shared" si="152"/>
        <v>158548</v>
      </c>
    </row>
    <row r="3533" spans="7:14" ht="11.25" customHeight="1" x14ac:dyDescent="0.3">
      <c r="G3533" s="470"/>
      <c r="H3533" s="470">
        <v>3526</v>
      </c>
      <c r="I3533" s="455">
        <f t="shared" ca="1" si="150"/>
        <v>-995003629256.70374</v>
      </c>
      <c r="J3533" s="455">
        <f t="array" ref="J3533">IFERROR(INDEX('Retirement Calculator'!K:K,MATCH('Lorri 401b'!N3533,'Retirement Calculator'!A:A,0),0),0)</f>
        <v>0</v>
      </c>
      <c r="K3533" s="455">
        <f t="shared" ca="1" si="148"/>
        <v>-4145848455.2362657</v>
      </c>
      <c r="L3533" s="455">
        <f t="shared" ca="1" si="149"/>
        <v>-999149477711.93994</v>
      </c>
      <c r="M3533" s="471">
        <f t="shared" si="151"/>
        <v>0.05</v>
      </c>
      <c r="N3533" s="475">
        <f t="shared" si="152"/>
        <v>158576</v>
      </c>
    </row>
    <row r="3534" spans="7:14" ht="11.25" customHeight="1" x14ac:dyDescent="0.3">
      <c r="G3534" s="470"/>
      <c r="H3534" s="470">
        <v>3527</v>
      </c>
      <c r="I3534" s="455">
        <f t="shared" ca="1" si="150"/>
        <v>-999149477711.93994</v>
      </c>
      <c r="J3534" s="455">
        <f t="array" ref="J3534">IFERROR(INDEX('Retirement Calculator'!K:K,MATCH('Lorri 401b'!N3534,'Retirement Calculator'!A:A,0),0),0)</f>
        <v>0</v>
      </c>
      <c r="K3534" s="455">
        <f t="shared" ca="1" si="148"/>
        <v>-4163122823.7997499</v>
      </c>
      <c r="L3534" s="455">
        <f t="shared" ca="1" si="149"/>
        <v>-1003312600535.7397</v>
      </c>
      <c r="M3534" s="471">
        <f t="shared" si="151"/>
        <v>0.05</v>
      </c>
      <c r="N3534" s="475">
        <f t="shared" si="152"/>
        <v>158607</v>
      </c>
    </row>
    <row r="3535" spans="7:14" ht="11.25" customHeight="1" x14ac:dyDescent="0.3">
      <c r="G3535" s="470"/>
      <c r="H3535" s="470">
        <v>3528</v>
      </c>
      <c r="I3535" s="455">
        <f t="shared" ca="1" si="150"/>
        <v>-1003312600535.7397</v>
      </c>
      <c r="J3535" s="455">
        <f t="array" ref="J3535">IFERROR(INDEX('Retirement Calculator'!K:K,MATCH('Lorri 401b'!N3535,'Retirement Calculator'!A:A,0),0),0)</f>
        <v>0</v>
      </c>
      <c r="K3535" s="455">
        <f t="shared" ca="1" si="148"/>
        <v>-4180469168.8989148</v>
      </c>
      <c r="L3535" s="455">
        <f t="shared" ca="1" si="149"/>
        <v>-1007493069704.6387</v>
      </c>
      <c r="M3535" s="471">
        <f t="shared" si="151"/>
        <v>0.05</v>
      </c>
      <c r="N3535" s="475">
        <f t="shared" si="152"/>
        <v>158637</v>
      </c>
    </row>
    <row r="3536" spans="7:14" ht="11.25" customHeight="1" x14ac:dyDescent="0.3">
      <c r="G3536" s="470"/>
      <c r="H3536" s="470">
        <v>3529</v>
      </c>
      <c r="I3536" s="455">
        <f t="shared" ca="1" si="150"/>
        <v>-1007493069704.6387</v>
      </c>
      <c r="J3536" s="455">
        <f t="array" ref="J3536">IFERROR(INDEX('Retirement Calculator'!K:K,MATCH('Lorri 401b'!N3536,'Retirement Calculator'!A:A,0),0),0)</f>
        <v>0</v>
      </c>
      <c r="K3536" s="455">
        <f t="shared" ca="1" si="148"/>
        <v>-4197887790.4359946</v>
      </c>
      <c r="L3536" s="455">
        <f t="shared" ca="1" si="149"/>
        <v>-1011690957495.0747</v>
      </c>
      <c r="M3536" s="471">
        <f t="shared" si="151"/>
        <v>0.05</v>
      </c>
      <c r="N3536" s="475">
        <f t="shared" si="152"/>
        <v>158668</v>
      </c>
    </row>
    <row r="3537" spans="7:14" ht="11.25" customHeight="1" x14ac:dyDescent="0.3">
      <c r="G3537" s="470"/>
      <c r="H3537" s="470">
        <v>3530</v>
      </c>
      <c r="I3537" s="455">
        <f t="shared" ca="1" si="150"/>
        <v>-1011690957495.0747</v>
      </c>
      <c r="J3537" s="455">
        <f t="array" ref="J3537">IFERROR(INDEX('Retirement Calculator'!K:K,MATCH('Lorri 401b'!N3537,'Retirement Calculator'!A:A,0),0),0)</f>
        <v>0</v>
      </c>
      <c r="K3537" s="455">
        <f t="shared" ca="1" si="148"/>
        <v>-4215378989.5628119</v>
      </c>
      <c r="L3537" s="455">
        <f t="shared" ca="1" si="149"/>
        <v>-1015906336484.6376</v>
      </c>
      <c r="M3537" s="471">
        <f t="shared" si="151"/>
        <v>0.05</v>
      </c>
      <c r="N3537" s="475">
        <f t="shared" si="152"/>
        <v>158698</v>
      </c>
    </row>
    <row r="3538" spans="7:14" ht="11.25" customHeight="1" x14ac:dyDescent="0.3">
      <c r="G3538" s="470"/>
      <c r="H3538" s="470">
        <v>3531</v>
      </c>
      <c r="I3538" s="455">
        <f t="shared" ca="1" si="150"/>
        <v>-1015906336484.6376</v>
      </c>
      <c r="J3538" s="455">
        <f t="array" ref="J3538">IFERROR(INDEX('Retirement Calculator'!K:K,MATCH('Lorri 401b'!N3538,'Retirement Calculator'!A:A,0),0),0)</f>
        <v>0</v>
      </c>
      <c r="K3538" s="455">
        <f t="shared" ca="1" si="148"/>
        <v>-4232943068.6859899</v>
      </c>
      <c r="L3538" s="455">
        <f t="shared" ca="1" si="149"/>
        <v>-1020139279553.3236</v>
      </c>
      <c r="M3538" s="471">
        <f t="shared" si="151"/>
        <v>0.05</v>
      </c>
      <c r="N3538" s="475">
        <f t="shared" si="152"/>
        <v>158729</v>
      </c>
    </row>
    <row r="3539" spans="7:14" ht="11.25" customHeight="1" x14ac:dyDescent="0.3">
      <c r="G3539" s="470"/>
      <c r="H3539" s="470">
        <v>3532</v>
      </c>
      <c r="I3539" s="455">
        <f t="shared" ca="1" si="150"/>
        <v>-1020139279553.3236</v>
      </c>
      <c r="J3539" s="455">
        <f t="array" ref="J3539">IFERROR(INDEX('Retirement Calculator'!K:K,MATCH('Lorri 401b'!N3539,'Retirement Calculator'!A:A,0),0),0)</f>
        <v>0</v>
      </c>
      <c r="K3539" s="455">
        <f t="shared" ca="1" si="148"/>
        <v>-4250580331.4721818</v>
      </c>
      <c r="L3539" s="455">
        <f t="shared" ca="1" si="149"/>
        <v>-1024389859884.7958</v>
      </c>
      <c r="M3539" s="471">
        <f t="shared" si="151"/>
        <v>0.05</v>
      </c>
      <c r="N3539" s="475">
        <f t="shared" si="152"/>
        <v>158760</v>
      </c>
    </row>
    <row r="3540" spans="7:14" ht="11.25" customHeight="1" x14ac:dyDescent="0.3">
      <c r="G3540" s="470"/>
      <c r="H3540" s="470">
        <v>3533</v>
      </c>
      <c r="I3540" s="455">
        <f t="shared" ca="1" si="150"/>
        <v>-1024389859884.7958</v>
      </c>
      <c r="J3540" s="455">
        <f t="array" ref="J3540">IFERROR(INDEX('Retirement Calculator'!K:K,MATCH('Lorri 401b'!N3540,'Retirement Calculator'!A:A,0),0),0)</f>
        <v>0</v>
      </c>
      <c r="K3540" s="455">
        <f t="shared" ca="1" si="148"/>
        <v>-4268291082.8533154</v>
      </c>
      <c r="L3540" s="455">
        <f t="shared" ca="1" si="149"/>
        <v>-1028658150967.649</v>
      </c>
      <c r="M3540" s="471">
        <f t="shared" si="151"/>
        <v>0.05</v>
      </c>
      <c r="N3540" s="475">
        <f t="shared" si="152"/>
        <v>158790</v>
      </c>
    </row>
    <row r="3541" spans="7:14" ht="11.25" customHeight="1" x14ac:dyDescent="0.3">
      <c r="G3541" s="470"/>
      <c r="H3541" s="470">
        <v>3534</v>
      </c>
      <c r="I3541" s="455">
        <f t="shared" ca="1" si="150"/>
        <v>-1028658150967.649</v>
      </c>
      <c r="J3541" s="455">
        <f t="array" ref="J3541">IFERROR(INDEX('Retirement Calculator'!K:K,MATCH('Lorri 401b'!N3541,'Retirement Calculator'!A:A,0),0),0)</f>
        <v>0</v>
      </c>
      <c r="K3541" s="455">
        <f t="shared" ca="1" si="148"/>
        <v>-4286075629.0318708</v>
      </c>
      <c r="L3541" s="455">
        <f t="shared" ca="1" si="149"/>
        <v>-1032944226596.6809</v>
      </c>
      <c r="M3541" s="471">
        <f t="shared" si="151"/>
        <v>0.05</v>
      </c>
      <c r="N3541" s="475">
        <f t="shared" si="152"/>
        <v>158821</v>
      </c>
    </row>
    <row r="3542" spans="7:14" ht="11.25" customHeight="1" x14ac:dyDescent="0.3">
      <c r="G3542" s="470"/>
      <c r="H3542" s="470">
        <v>3535</v>
      </c>
      <c r="I3542" s="455">
        <f t="shared" ca="1" si="150"/>
        <v>-1032944226596.6809</v>
      </c>
      <c r="J3542" s="455">
        <f t="array" ref="J3542">IFERROR(INDEX('Retirement Calculator'!K:K,MATCH('Lorri 401b'!N3542,'Retirement Calculator'!A:A,0),0),0)</f>
        <v>0</v>
      </c>
      <c r="K3542" s="455">
        <f t="shared" ca="1" si="148"/>
        <v>-4303934277.4861708</v>
      </c>
      <c r="L3542" s="455">
        <f t="shared" ca="1" si="149"/>
        <v>-1037248160874.1671</v>
      </c>
      <c r="M3542" s="471">
        <f t="shared" si="151"/>
        <v>0.05</v>
      </c>
      <c r="N3542" s="475">
        <f t="shared" si="152"/>
        <v>158851</v>
      </c>
    </row>
    <row r="3543" spans="7:14" ht="11.25" customHeight="1" x14ac:dyDescent="0.3">
      <c r="G3543" s="470"/>
      <c r="H3543" s="470">
        <v>3536</v>
      </c>
      <c r="I3543" s="455">
        <f t="shared" ca="1" si="150"/>
        <v>-1037248160874.1671</v>
      </c>
      <c r="J3543" s="455">
        <f t="array" ref="J3543">IFERROR(INDEX('Retirement Calculator'!K:K,MATCH('Lorri 401b'!N3543,'Retirement Calculator'!A:A,0),0),0)</f>
        <v>0</v>
      </c>
      <c r="K3543" s="455">
        <f t="shared" ca="1" si="148"/>
        <v>-4321867336.9756966</v>
      </c>
      <c r="L3543" s="455">
        <f t="shared" ca="1" si="149"/>
        <v>-1041570028211.1428</v>
      </c>
      <c r="M3543" s="471">
        <f t="shared" si="151"/>
        <v>0.05</v>
      </c>
      <c r="N3543" s="475">
        <f t="shared" si="152"/>
        <v>158882</v>
      </c>
    </row>
    <row r="3544" spans="7:14" ht="11.25" customHeight="1" x14ac:dyDescent="0.3">
      <c r="G3544" s="470"/>
      <c r="H3544" s="470">
        <v>3537</v>
      </c>
      <c r="I3544" s="455">
        <f t="shared" ca="1" si="150"/>
        <v>-1041570028211.1428</v>
      </c>
      <c r="J3544" s="455">
        <f t="array" ref="J3544">IFERROR(INDEX('Retirement Calculator'!K:K,MATCH('Lorri 401b'!N3544,'Retirement Calculator'!A:A,0),0),0)</f>
        <v>0</v>
      </c>
      <c r="K3544" s="455">
        <f t="shared" ca="1" si="148"/>
        <v>-4339875117.5464287</v>
      </c>
      <c r="L3544" s="455">
        <f t="shared" ca="1" si="149"/>
        <v>-1045909903328.6892</v>
      </c>
      <c r="M3544" s="471">
        <f t="shared" si="151"/>
        <v>0.05</v>
      </c>
      <c r="N3544" s="475">
        <f t="shared" si="152"/>
        <v>158913</v>
      </c>
    </row>
    <row r="3545" spans="7:14" ht="11.25" customHeight="1" x14ac:dyDescent="0.3">
      <c r="G3545" s="470"/>
      <c r="H3545" s="470">
        <v>3538</v>
      </c>
      <c r="I3545" s="455">
        <f t="shared" ca="1" si="150"/>
        <v>-1045909903328.6892</v>
      </c>
      <c r="J3545" s="455">
        <f t="array" ref="J3545">IFERROR(INDEX('Retirement Calculator'!K:K,MATCH('Lorri 401b'!N3545,'Retirement Calculator'!A:A,0),0),0)</f>
        <v>0</v>
      </c>
      <c r="K3545" s="455">
        <f t="shared" ca="1" si="148"/>
        <v>-4357957930.5362053</v>
      </c>
      <c r="L3545" s="455">
        <f t="shared" ca="1" si="149"/>
        <v>-1050267861259.2255</v>
      </c>
      <c r="M3545" s="471">
        <f t="shared" si="151"/>
        <v>0.05</v>
      </c>
      <c r="N3545" s="475">
        <f t="shared" si="152"/>
        <v>158941</v>
      </c>
    </row>
    <row r="3546" spans="7:14" ht="11.25" customHeight="1" x14ac:dyDescent="0.3">
      <c r="G3546" s="470"/>
      <c r="H3546" s="470">
        <v>3539</v>
      </c>
      <c r="I3546" s="455">
        <f t="shared" ca="1" si="150"/>
        <v>-1050267861259.2255</v>
      </c>
      <c r="J3546" s="455">
        <f t="array" ref="J3546">IFERROR(INDEX('Retirement Calculator'!K:K,MATCH('Lorri 401b'!N3546,'Retirement Calculator'!A:A,0),0),0)</f>
        <v>0</v>
      </c>
      <c r="K3546" s="455">
        <f t="shared" ca="1" si="148"/>
        <v>-4376116088.5801058</v>
      </c>
      <c r="L3546" s="455">
        <f t="shared" ca="1" si="149"/>
        <v>-1054643977347.8055</v>
      </c>
      <c r="M3546" s="471">
        <f t="shared" si="151"/>
        <v>0.05</v>
      </c>
      <c r="N3546" s="475">
        <f t="shared" si="152"/>
        <v>158972</v>
      </c>
    </row>
    <row r="3547" spans="7:14" ht="11.25" customHeight="1" x14ac:dyDescent="0.3">
      <c r="G3547" s="470"/>
      <c r="H3547" s="470">
        <v>3540</v>
      </c>
      <c r="I3547" s="455">
        <f t="shared" ca="1" si="150"/>
        <v>-1054643977347.8055</v>
      </c>
      <c r="J3547" s="455">
        <f t="array" ref="J3547">IFERROR(INDEX('Retirement Calculator'!K:K,MATCH('Lorri 401b'!N3547,'Retirement Calculator'!A:A,0),0),0)</f>
        <v>0</v>
      </c>
      <c r="K3547" s="455">
        <f t="shared" ca="1" si="148"/>
        <v>-4394349905.6158562</v>
      </c>
      <c r="L3547" s="455">
        <f t="shared" ca="1" si="149"/>
        <v>-1059038327253.4214</v>
      </c>
      <c r="M3547" s="471">
        <f t="shared" si="151"/>
        <v>0.05</v>
      </c>
      <c r="N3547" s="475">
        <f t="shared" si="152"/>
        <v>159002</v>
      </c>
    </row>
    <row r="3548" spans="7:14" ht="11.25" customHeight="1" x14ac:dyDescent="0.3">
      <c r="G3548" s="470"/>
      <c r="H3548" s="470">
        <v>3541</v>
      </c>
      <c r="I3548" s="455">
        <f t="shared" ca="1" si="150"/>
        <v>-1059038327253.4214</v>
      </c>
      <c r="J3548" s="455">
        <f t="array" ref="J3548">IFERROR(INDEX('Retirement Calculator'!K:K,MATCH('Lorri 401b'!N3548,'Retirement Calculator'!A:A,0),0),0)</f>
        <v>0</v>
      </c>
      <c r="K3548" s="455">
        <f t="shared" ca="1" si="148"/>
        <v>-4412659696.8892565</v>
      </c>
      <c r="L3548" s="455">
        <f t="shared" ca="1" si="149"/>
        <v>-1063450986950.3107</v>
      </c>
      <c r="M3548" s="471">
        <f t="shared" si="151"/>
        <v>0.05</v>
      </c>
      <c r="N3548" s="475">
        <f t="shared" si="152"/>
        <v>159033</v>
      </c>
    </row>
    <row r="3549" spans="7:14" ht="11.25" customHeight="1" x14ac:dyDescent="0.3">
      <c r="G3549" s="470"/>
      <c r="H3549" s="470">
        <v>3542</v>
      </c>
      <c r="I3549" s="455">
        <f t="shared" ca="1" si="150"/>
        <v>-1063450986950.3107</v>
      </c>
      <c r="J3549" s="455">
        <f t="array" ref="J3549">IFERROR(INDEX('Retirement Calculator'!K:K,MATCH('Lorri 401b'!N3549,'Retirement Calculator'!A:A,0),0),0)</f>
        <v>0</v>
      </c>
      <c r="K3549" s="455">
        <f t="shared" ca="1" si="148"/>
        <v>-4431045778.9596281</v>
      </c>
      <c r="L3549" s="455">
        <f t="shared" ca="1" si="149"/>
        <v>-1067882032729.2703</v>
      </c>
      <c r="M3549" s="471">
        <f t="shared" si="151"/>
        <v>0.05</v>
      </c>
      <c r="N3549" s="475">
        <f t="shared" si="152"/>
        <v>159063</v>
      </c>
    </row>
    <row r="3550" spans="7:14" ht="11.25" customHeight="1" x14ac:dyDescent="0.3">
      <c r="G3550" s="470"/>
      <c r="H3550" s="470">
        <v>3543</v>
      </c>
      <c r="I3550" s="455">
        <f t="shared" ca="1" si="150"/>
        <v>-1067882032729.2703</v>
      </c>
      <c r="J3550" s="455">
        <f t="array" ref="J3550">IFERROR(INDEX('Retirement Calculator'!K:K,MATCH('Lorri 401b'!N3550,'Retirement Calculator'!A:A,0),0),0)</f>
        <v>0</v>
      </c>
      <c r="K3550" s="455">
        <f t="shared" ca="1" si="148"/>
        <v>-4449508469.7052927</v>
      </c>
      <c r="L3550" s="455">
        <f t="shared" ca="1" si="149"/>
        <v>-1072331541198.9756</v>
      </c>
      <c r="M3550" s="471">
        <f t="shared" si="151"/>
        <v>0.05</v>
      </c>
      <c r="N3550" s="475">
        <f t="shared" si="152"/>
        <v>159094</v>
      </c>
    </row>
    <row r="3551" spans="7:14" ht="11.25" customHeight="1" x14ac:dyDescent="0.3">
      <c r="G3551" s="470"/>
      <c r="H3551" s="470">
        <v>3544</v>
      </c>
      <c r="I3551" s="455">
        <f t="shared" ca="1" si="150"/>
        <v>-1072331541198.9756</v>
      </c>
      <c r="J3551" s="455">
        <f t="array" ref="J3551">IFERROR(INDEX('Retirement Calculator'!K:K,MATCH('Lorri 401b'!N3551,'Retirement Calculator'!A:A,0),0),0)</f>
        <v>0</v>
      </c>
      <c r="K3551" s="455">
        <f t="shared" ca="1" si="148"/>
        <v>-4468048088.3290644</v>
      </c>
      <c r="L3551" s="455">
        <f t="shared" ca="1" si="149"/>
        <v>-1076799589287.3047</v>
      </c>
      <c r="M3551" s="471">
        <f t="shared" si="151"/>
        <v>0.05</v>
      </c>
      <c r="N3551" s="475">
        <f t="shared" si="152"/>
        <v>159125</v>
      </c>
    </row>
    <row r="3552" spans="7:14" ht="11.25" customHeight="1" x14ac:dyDescent="0.3">
      <c r="G3552" s="470"/>
      <c r="H3552" s="470">
        <v>3545</v>
      </c>
      <c r="I3552" s="455">
        <f t="shared" ca="1" si="150"/>
        <v>-1076799589287.3047</v>
      </c>
      <c r="J3552" s="455">
        <f t="array" ref="J3552">IFERROR(INDEX('Retirement Calculator'!K:K,MATCH('Lorri 401b'!N3552,'Retirement Calculator'!A:A,0),0),0)</f>
        <v>0</v>
      </c>
      <c r="K3552" s="455">
        <f t="shared" ca="1" si="148"/>
        <v>-4486664955.3637686</v>
      </c>
      <c r="L3552" s="455">
        <f t="shared" ca="1" si="149"/>
        <v>-1081286254242.6685</v>
      </c>
      <c r="M3552" s="471">
        <f t="shared" si="151"/>
        <v>0.05</v>
      </c>
      <c r="N3552" s="475">
        <f t="shared" si="152"/>
        <v>159155</v>
      </c>
    </row>
    <row r="3553" spans="7:14" ht="11.25" customHeight="1" x14ac:dyDescent="0.3">
      <c r="G3553" s="470"/>
      <c r="H3553" s="470">
        <v>3546</v>
      </c>
      <c r="I3553" s="455">
        <f t="shared" ca="1" si="150"/>
        <v>-1081286254242.6685</v>
      </c>
      <c r="J3553" s="455">
        <f t="array" ref="J3553">IFERROR(INDEX('Retirement Calculator'!K:K,MATCH('Lorri 401b'!N3553,'Retirement Calculator'!A:A,0),0),0)</f>
        <v>0</v>
      </c>
      <c r="K3553" s="455">
        <f t="shared" ca="1" si="148"/>
        <v>-4505359392.6777849</v>
      </c>
      <c r="L3553" s="455">
        <f t="shared" ca="1" si="149"/>
        <v>-1085791613635.3462</v>
      </c>
      <c r="M3553" s="471">
        <f t="shared" si="151"/>
        <v>0.05</v>
      </c>
      <c r="N3553" s="475">
        <f t="shared" si="152"/>
        <v>159186</v>
      </c>
    </row>
    <row r="3554" spans="7:14" ht="11.25" customHeight="1" x14ac:dyDescent="0.3">
      <c r="G3554" s="470"/>
      <c r="H3554" s="470">
        <v>3547</v>
      </c>
      <c r="I3554" s="455">
        <f t="shared" ca="1" si="150"/>
        <v>-1085791613635.3462</v>
      </c>
      <c r="J3554" s="455">
        <f t="array" ref="J3554">IFERROR(INDEX('Retirement Calculator'!K:K,MATCH('Lorri 401b'!N3554,'Retirement Calculator'!A:A,0),0),0)</f>
        <v>0</v>
      </c>
      <c r="K3554" s="455">
        <f t="shared" ca="1" si="148"/>
        <v>-4524131723.4806089</v>
      </c>
      <c r="L3554" s="455">
        <f t="shared" ca="1" si="149"/>
        <v>-1090315745358.8268</v>
      </c>
      <c r="M3554" s="471">
        <f t="shared" si="151"/>
        <v>0.05</v>
      </c>
      <c r="N3554" s="475">
        <f t="shared" si="152"/>
        <v>159216</v>
      </c>
    </row>
    <row r="3555" spans="7:14" ht="11.25" customHeight="1" x14ac:dyDescent="0.3">
      <c r="G3555" s="470"/>
      <c r="H3555" s="470">
        <v>3548</v>
      </c>
      <c r="I3555" s="455">
        <f t="shared" ca="1" si="150"/>
        <v>-1090315745358.8268</v>
      </c>
      <c r="J3555" s="455">
        <f t="array" ref="J3555">IFERROR(INDEX('Retirement Calculator'!K:K,MATCH('Lorri 401b'!N3555,'Retirement Calculator'!A:A,0),0),0)</f>
        <v>0</v>
      </c>
      <c r="K3555" s="455">
        <f t="shared" ca="1" si="148"/>
        <v>-4542982272.3284445</v>
      </c>
      <c r="L3555" s="455">
        <f t="shared" ca="1" si="149"/>
        <v>-1094858727631.1553</v>
      </c>
      <c r="M3555" s="471">
        <f t="shared" si="151"/>
        <v>0.05</v>
      </c>
      <c r="N3555" s="475">
        <f t="shared" si="152"/>
        <v>159247</v>
      </c>
    </row>
    <row r="3556" spans="7:14" ht="11.25" customHeight="1" x14ac:dyDescent="0.3">
      <c r="G3556" s="470"/>
      <c r="H3556" s="470">
        <v>3549</v>
      </c>
      <c r="I3556" s="455">
        <f t="shared" ca="1" si="150"/>
        <v>-1094858727631.1553</v>
      </c>
      <c r="J3556" s="455">
        <f t="array" ref="J3556">IFERROR(INDEX('Retirement Calculator'!K:K,MATCH('Lorri 401b'!N3556,'Retirement Calculator'!A:A,0),0),0)</f>
        <v>0</v>
      </c>
      <c r="K3556" s="455">
        <f t="shared" ca="1" si="148"/>
        <v>-4561911365.1298132</v>
      </c>
      <c r="L3556" s="455">
        <f t="shared" ca="1" si="149"/>
        <v>-1099420638996.285</v>
      </c>
      <c r="M3556" s="471">
        <f t="shared" si="151"/>
        <v>0.05</v>
      </c>
      <c r="N3556" s="475">
        <f t="shared" si="152"/>
        <v>159278</v>
      </c>
    </row>
    <row r="3557" spans="7:14" ht="11.25" customHeight="1" x14ac:dyDescent="0.3">
      <c r="G3557" s="470"/>
      <c r="H3557" s="470">
        <v>3550</v>
      </c>
      <c r="I3557" s="455">
        <f t="shared" ca="1" si="150"/>
        <v>-1099420638996.285</v>
      </c>
      <c r="J3557" s="455">
        <f t="array" ref="J3557">IFERROR(INDEX('Retirement Calculator'!K:K,MATCH('Lorri 401b'!N3557,'Retirement Calculator'!A:A,0),0),0)</f>
        <v>0</v>
      </c>
      <c r="K3557" s="455">
        <f t="shared" ca="1" si="148"/>
        <v>-4580919329.1511879</v>
      </c>
      <c r="L3557" s="455">
        <f t="shared" ca="1" si="149"/>
        <v>-1104001558325.4363</v>
      </c>
      <c r="M3557" s="471">
        <f t="shared" si="151"/>
        <v>0.05</v>
      </c>
      <c r="N3557" s="475">
        <f t="shared" si="152"/>
        <v>159307</v>
      </c>
    </row>
    <row r="3558" spans="7:14" ht="11.25" customHeight="1" x14ac:dyDescent="0.3">
      <c r="G3558" s="470"/>
      <c r="H3558" s="470">
        <v>3551</v>
      </c>
      <c r="I3558" s="455">
        <f t="shared" ca="1" si="150"/>
        <v>-1104001558325.4363</v>
      </c>
      <c r="J3558" s="455">
        <f t="array" ref="J3558">IFERROR(INDEX('Retirement Calculator'!K:K,MATCH('Lorri 401b'!N3558,'Retirement Calculator'!A:A,0),0),0)</f>
        <v>0</v>
      </c>
      <c r="K3558" s="455">
        <f t="shared" ca="1" si="148"/>
        <v>-4600006493.0226507</v>
      </c>
      <c r="L3558" s="455">
        <f t="shared" ca="1" si="149"/>
        <v>-1108601564818.459</v>
      </c>
      <c r="M3558" s="471">
        <f t="shared" si="151"/>
        <v>0.05</v>
      </c>
      <c r="N3558" s="475">
        <f t="shared" si="152"/>
        <v>159338</v>
      </c>
    </row>
    <row r="3559" spans="7:14" ht="11.25" customHeight="1" x14ac:dyDescent="0.3">
      <c r="G3559" s="470"/>
      <c r="H3559" s="470">
        <v>3552</v>
      </c>
      <c r="I3559" s="455">
        <f t="shared" ca="1" si="150"/>
        <v>-1108601564818.459</v>
      </c>
      <c r="J3559" s="455">
        <f t="array" ref="J3559">IFERROR(INDEX('Retirement Calculator'!K:K,MATCH('Lorri 401b'!N3559,'Retirement Calculator'!A:A,0),0),0)</f>
        <v>0</v>
      </c>
      <c r="K3559" s="455">
        <f t="shared" ca="1" si="148"/>
        <v>-4619173186.7435789</v>
      </c>
      <c r="L3559" s="455">
        <f t="shared" ca="1" si="149"/>
        <v>-1113220738005.2026</v>
      </c>
      <c r="M3559" s="471">
        <f t="shared" si="151"/>
        <v>0.05</v>
      </c>
      <c r="N3559" s="475">
        <f t="shared" si="152"/>
        <v>159368</v>
      </c>
    </row>
    <row r="3560" spans="7:14" ht="11.25" customHeight="1" x14ac:dyDescent="0.3">
      <c r="G3560" s="470"/>
      <c r="H3560" s="470">
        <v>3553</v>
      </c>
      <c r="I3560" s="455">
        <f t="shared" ca="1" si="150"/>
        <v>-1113220738005.2026</v>
      </c>
      <c r="J3560" s="455">
        <f t="array" ref="J3560">IFERROR(INDEX('Retirement Calculator'!K:K,MATCH('Lorri 401b'!N3560,'Retirement Calculator'!A:A,0),0),0)</f>
        <v>0</v>
      </c>
      <c r="K3560" s="455">
        <f t="shared" ca="1" si="148"/>
        <v>-4638419741.688344</v>
      </c>
      <c r="L3560" s="455">
        <f t="shared" ca="1" si="149"/>
        <v>-1117859157746.8909</v>
      </c>
      <c r="M3560" s="471">
        <f t="shared" si="151"/>
        <v>0.05</v>
      </c>
      <c r="N3560" s="475">
        <f t="shared" si="152"/>
        <v>159399</v>
      </c>
    </row>
    <row r="3561" spans="7:14" ht="11.25" customHeight="1" x14ac:dyDescent="0.3">
      <c r="G3561" s="470"/>
      <c r="H3561" s="470">
        <v>3554</v>
      </c>
      <c r="I3561" s="455">
        <f t="shared" ca="1" si="150"/>
        <v>-1117859157746.8909</v>
      </c>
      <c r="J3561" s="455">
        <f t="array" ref="J3561">IFERROR(INDEX('Retirement Calculator'!K:K,MATCH('Lorri 401b'!N3561,'Retirement Calculator'!A:A,0),0),0)</f>
        <v>0</v>
      </c>
      <c r="K3561" s="455">
        <f t="shared" ca="1" si="148"/>
        <v>-4657746490.6120453</v>
      </c>
      <c r="L3561" s="455">
        <f t="shared" ca="1" si="149"/>
        <v>-1122516904237.5029</v>
      </c>
      <c r="M3561" s="471">
        <f t="shared" si="151"/>
        <v>0.05</v>
      </c>
      <c r="N3561" s="475">
        <f t="shared" si="152"/>
        <v>159429</v>
      </c>
    </row>
    <row r="3562" spans="7:14" ht="11.25" customHeight="1" x14ac:dyDescent="0.3">
      <c r="G3562" s="470"/>
      <c r="H3562" s="470">
        <v>3555</v>
      </c>
      <c r="I3562" s="455">
        <f t="shared" ca="1" si="150"/>
        <v>-1122516904237.5029</v>
      </c>
      <c r="J3562" s="455">
        <f t="array" ref="J3562">IFERROR(INDEX('Retirement Calculator'!K:K,MATCH('Lorri 401b'!N3562,'Retirement Calculator'!A:A,0),0),0)</f>
        <v>0</v>
      </c>
      <c r="K3562" s="455">
        <f t="shared" ca="1" si="148"/>
        <v>-4677153767.6562624</v>
      </c>
      <c r="L3562" s="455">
        <f t="shared" ca="1" si="149"/>
        <v>-1127194058005.1592</v>
      </c>
      <c r="M3562" s="471">
        <f t="shared" si="151"/>
        <v>0.05</v>
      </c>
      <c r="N3562" s="475">
        <f t="shared" si="152"/>
        <v>159460</v>
      </c>
    </row>
    <row r="3563" spans="7:14" ht="11.25" customHeight="1" x14ac:dyDescent="0.3">
      <c r="G3563" s="470"/>
      <c r="H3563" s="470">
        <v>3556</v>
      </c>
      <c r="I3563" s="455">
        <f t="shared" ca="1" si="150"/>
        <v>-1127194058005.1592</v>
      </c>
      <c r="J3563" s="455">
        <f t="array" ref="J3563">IFERROR(INDEX('Retirement Calculator'!K:K,MATCH('Lorri 401b'!N3563,'Retirement Calculator'!A:A,0),0),0)</f>
        <v>0</v>
      </c>
      <c r="K3563" s="455">
        <f t="shared" ca="1" si="148"/>
        <v>-4696641908.3548298</v>
      </c>
      <c r="L3563" s="455">
        <f t="shared" ca="1" si="149"/>
        <v>-1131890699913.5139</v>
      </c>
      <c r="M3563" s="471">
        <f t="shared" si="151"/>
        <v>0.05</v>
      </c>
      <c r="N3563" s="475">
        <f t="shared" si="152"/>
        <v>159491</v>
      </c>
    </row>
    <row r="3564" spans="7:14" ht="11.25" customHeight="1" x14ac:dyDescent="0.3">
      <c r="G3564" s="470"/>
      <c r="H3564" s="470">
        <v>3557</v>
      </c>
      <c r="I3564" s="455">
        <f t="shared" ca="1" si="150"/>
        <v>-1131890699913.5139</v>
      </c>
      <c r="J3564" s="455">
        <f t="array" ref="J3564">IFERROR(INDEX('Retirement Calculator'!K:K,MATCH('Lorri 401b'!N3564,'Retirement Calculator'!A:A,0),0),0)</f>
        <v>0</v>
      </c>
      <c r="K3564" s="455">
        <f t="shared" ca="1" si="148"/>
        <v>-4716211249.6396408</v>
      </c>
      <c r="L3564" s="455">
        <f t="shared" ca="1" si="149"/>
        <v>-1136606911163.1536</v>
      </c>
      <c r="M3564" s="471">
        <f t="shared" si="151"/>
        <v>0.05</v>
      </c>
      <c r="N3564" s="475">
        <f t="shared" si="152"/>
        <v>159521</v>
      </c>
    </row>
    <row r="3565" spans="7:14" ht="11.25" customHeight="1" x14ac:dyDescent="0.3">
      <c r="G3565" s="470"/>
      <c r="H3565" s="470">
        <v>3558</v>
      </c>
      <c r="I3565" s="455">
        <f t="shared" ca="1" si="150"/>
        <v>-1136606911163.1536</v>
      </c>
      <c r="J3565" s="455">
        <f t="array" ref="J3565">IFERROR(INDEX('Retirement Calculator'!K:K,MATCH('Lorri 401b'!N3565,'Retirement Calculator'!A:A,0),0),0)</f>
        <v>0</v>
      </c>
      <c r="K3565" s="455">
        <f t="shared" ca="1" si="148"/>
        <v>-4735862129.8464727</v>
      </c>
      <c r="L3565" s="455">
        <f t="shared" ca="1" si="149"/>
        <v>-1141342773293</v>
      </c>
      <c r="M3565" s="471">
        <f t="shared" si="151"/>
        <v>0.05</v>
      </c>
      <c r="N3565" s="475">
        <f t="shared" si="152"/>
        <v>159552</v>
      </c>
    </row>
    <row r="3566" spans="7:14" ht="11.25" customHeight="1" x14ac:dyDescent="0.3">
      <c r="G3566" s="470"/>
      <c r="H3566" s="470">
        <v>3559</v>
      </c>
      <c r="I3566" s="455">
        <f t="shared" ca="1" si="150"/>
        <v>-1141342773293</v>
      </c>
      <c r="J3566" s="455">
        <f t="array" ref="J3566">IFERROR(INDEX('Retirement Calculator'!K:K,MATCH('Lorri 401b'!N3566,'Retirement Calculator'!A:A,0),0),0)</f>
        <v>0</v>
      </c>
      <c r="K3566" s="455">
        <f t="shared" ca="1" si="148"/>
        <v>-4755594888.7208328</v>
      </c>
      <c r="L3566" s="455">
        <f t="shared" ca="1" si="149"/>
        <v>-1146098368181.7209</v>
      </c>
      <c r="M3566" s="471">
        <f t="shared" si="151"/>
        <v>0.05</v>
      </c>
      <c r="N3566" s="475">
        <f t="shared" si="152"/>
        <v>159582</v>
      </c>
    </row>
    <row r="3567" spans="7:14" ht="11.25" customHeight="1" x14ac:dyDescent="0.3">
      <c r="G3567" s="470"/>
      <c r="H3567" s="470">
        <v>3560</v>
      </c>
      <c r="I3567" s="455">
        <f t="shared" ca="1" si="150"/>
        <v>-1146098368181.7209</v>
      </c>
      <c r="J3567" s="455">
        <f t="array" ref="J3567">IFERROR(INDEX('Retirement Calculator'!K:K,MATCH('Lorri 401b'!N3567,'Retirement Calculator'!A:A,0),0),0)</f>
        <v>0</v>
      </c>
      <c r="K3567" s="455">
        <f t="shared" ca="1" si="148"/>
        <v>-4775409867.4238377</v>
      </c>
      <c r="L3567" s="455">
        <f t="shared" ca="1" si="149"/>
        <v>-1150873778049.1448</v>
      </c>
      <c r="M3567" s="471">
        <f t="shared" si="151"/>
        <v>0.05</v>
      </c>
      <c r="N3567" s="475">
        <f t="shared" si="152"/>
        <v>159613</v>
      </c>
    </row>
    <row r="3568" spans="7:14" ht="11.25" customHeight="1" x14ac:dyDescent="0.3">
      <c r="G3568" s="470"/>
      <c r="H3568" s="470">
        <v>3561</v>
      </c>
      <c r="I3568" s="455">
        <f t="shared" ca="1" si="150"/>
        <v>-1150873778049.1448</v>
      </c>
      <c r="J3568" s="455">
        <f t="array" ref="J3568">IFERROR(INDEX('Retirement Calculator'!K:K,MATCH('Lorri 401b'!N3568,'Retirement Calculator'!A:A,0),0),0)</f>
        <v>0</v>
      </c>
      <c r="K3568" s="455">
        <f t="shared" ca="1" si="148"/>
        <v>-4795307408.5381031</v>
      </c>
      <c r="L3568" s="455">
        <f t="shared" ca="1" si="149"/>
        <v>-1155669085457.6829</v>
      </c>
      <c r="M3568" s="471">
        <f t="shared" si="151"/>
        <v>0.05</v>
      </c>
      <c r="N3568" s="475">
        <f t="shared" si="152"/>
        <v>159644</v>
      </c>
    </row>
    <row r="3569" spans="7:14" ht="11.25" customHeight="1" x14ac:dyDescent="0.3">
      <c r="G3569" s="470"/>
      <c r="H3569" s="470">
        <v>3562</v>
      </c>
      <c r="I3569" s="455">
        <f t="shared" ca="1" si="150"/>
        <v>-1155669085457.6829</v>
      </c>
      <c r="J3569" s="455">
        <f t="array" ref="J3569">IFERROR(INDEX('Retirement Calculator'!K:K,MATCH('Lorri 401b'!N3569,'Retirement Calculator'!A:A,0),0),0)</f>
        <v>0</v>
      </c>
      <c r="K3569" s="455">
        <f t="shared" ca="1" si="148"/>
        <v>-4815287856.073679</v>
      </c>
      <c r="L3569" s="455">
        <f t="shared" ca="1" si="149"/>
        <v>-1160484373313.7566</v>
      </c>
      <c r="M3569" s="471">
        <f t="shared" si="151"/>
        <v>0.05</v>
      </c>
      <c r="N3569" s="475">
        <f t="shared" si="152"/>
        <v>159672</v>
      </c>
    </row>
    <row r="3570" spans="7:14" ht="11.25" customHeight="1" x14ac:dyDescent="0.3">
      <c r="G3570" s="470"/>
      <c r="H3570" s="470">
        <v>3563</v>
      </c>
      <c r="I3570" s="455">
        <f t="shared" ca="1" si="150"/>
        <v>-1160484373313.7566</v>
      </c>
      <c r="J3570" s="455">
        <f t="array" ref="J3570">IFERROR(INDEX('Retirement Calculator'!K:K,MATCH('Lorri 401b'!N3570,'Retirement Calculator'!A:A,0),0),0)</f>
        <v>0</v>
      </c>
      <c r="K3570" s="455">
        <f t="shared" ca="1" si="148"/>
        <v>-4835351555.4739857</v>
      </c>
      <c r="L3570" s="455">
        <f t="shared" ca="1" si="149"/>
        <v>-1165319724869.2305</v>
      </c>
      <c r="M3570" s="471">
        <f t="shared" si="151"/>
        <v>0.05</v>
      </c>
      <c r="N3570" s="475">
        <f t="shared" si="152"/>
        <v>159703</v>
      </c>
    </row>
    <row r="3571" spans="7:14" ht="11.25" customHeight="1" x14ac:dyDescent="0.3">
      <c r="G3571" s="470"/>
      <c r="H3571" s="470">
        <v>3564</v>
      </c>
      <c r="I3571" s="455">
        <f t="shared" ca="1" si="150"/>
        <v>-1165319724869.2305</v>
      </c>
      <c r="J3571" s="455">
        <f t="array" ref="J3571">IFERROR(INDEX('Retirement Calculator'!K:K,MATCH('Lorri 401b'!N3571,'Retirement Calculator'!A:A,0),0),0)</f>
        <v>0</v>
      </c>
      <c r="K3571" s="455">
        <f t="shared" ca="1" si="148"/>
        <v>-4855498853.6217937</v>
      </c>
      <c r="L3571" s="455">
        <f t="shared" ca="1" si="149"/>
        <v>-1170175223722.8523</v>
      </c>
      <c r="M3571" s="471">
        <f t="shared" si="151"/>
        <v>0.05</v>
      </c>
      <c r="N3571" s="475">
        <f t="shared" si="152"/>
        <v>159733</v>
      </c>
    </row>
    <row r="3572" spans="7:14" ht="11.25" customHeight="1" x14ac:dyDescent="0.3">
      <c r="G3572" s="470"/>
      <c r="H3572" s="470">
        <v>3565</v>
      </c>
      <c r="I3572" s="455">
        <f t="shared" ca="1" si="150"/>
        <v>-1170175223722.8523</v>
      </c>
      <c r="J3572" s="455">
        <f t="array" ref="J3572">IFERROR(INDEX('Retirement Calculator'!K:K,MATCH('Lorri 401b'!N3572,'Retirement Calculator'!A:A,0),0),0)</f>
        <v>0</v>
      </c>
      <c r="K3572" s="455">
        <f t="shared" ca="1" si="148"/>
        <v>-4875730098.8452177</v>
      </c>
      <c r="L3572" s="455">
        <f t="shared" ca="1" si="149"/>
        <v>-1175050953821.6975</v>
      </c>
      <c r="M3572" s="471">
        <f t="shared" si="151"/>
        <v>0.05</v>
      </c>
      <c r="N3572" s="475">
        <f t="shared" si="152"/>
        <v>159764</v>
      </c>
    </row>
    <row r="3573" spans="7:14" ht="11.25" customHeight="1" x14ac:dyDescent="0.3">
      <c r="G3573" s="470"/>
      <c r="H3573" s="470">
        <v>3566</v>
      </c>
      <c r="I3573" s="455">
        <f t="shared" ca="1" si="150"/>
        <v>-1175050953821.6975</v>
      </c>
      <c r="J3573" s="455">
        <f t="array" ref="J3573">IFERROR(INDEX('Retirement Calculator'!K:K,MATCH('Lorri 401b'!N3573,'Retirement Calculator'!A:A,0),0),0)</f>
        <v>0</v>
      </c>
      <c r="K3573" s="455">
        <f t="shared" ca="1" si="148"/>
        <v>-4896045640.9237394</v>
      </c>
      <c r="L3573" s="455">
        <f t="shared" ca="1" si="149"/>
        <v>-1179946999462.6213</v>
      </c>
      <c r="M3573" s="471">
        <f t="shared" si="151"/>
        <v>0.05</v>
      </c>
      <c r="N3573" s="475">
        <f t="shared" si="152"/>
        <v>159794</v>
      </c>
    </row>
    <row r="3574" spans="7:14" ht="11.25" customHeight="1" x14ac:dyDescent="0.3">
      <c r="G3574" s="470"/>
      <c r="H3574" s="470">
        <v>3567</v>
      </c>
      <c r="I3574" s="455">
        <f t="shared" ca="1" si="150"/>
        <v>-1179946999462.6213</v>
      </c>
      <c r="J3574" s="455">
        <f t="array" ref="J3574">IFERROR(INDEX('Retirement Calculator'!K:K,MATCH('Lorri 401b'!N3574,'Retirement Calculator'!A:A,0),0),0)</f>
        <v>0</v>
      </c>
      <c r="K3574" s="455">
        <f t="shared" ca="1" si="148"/>
        <v>-4916445831.0942554</v>
      </c>
      <c r="L3574" s="455">
        <f t="shared" ca="1" si="149"/>
        <v>-1184863445293.7156</v>
      </c>
      <c r="M3574" s="471">
        <f t="shared" si="151"/>
        <v>0.05</v>
      </c>
      <c r="N3574" s="475">
        <f t="shared" si="152"/>
        <v>159825</v>
      </c>
    </row>
    <row r="3575" spans="7:14" ht="11.25" customHeight="1" x14ac:dyDescent="0.3">
      <c r="G3575" s="470"/>
      <c r="H3575" s="470">
        <v>3568</v>
      </c>
      <c r="I3575" s="455">
        <f t="shared" ca="1" si="150"/>
        <v>-1184863445293.7156</v>
      </c>
      <c r="J3575" s="455">
        <f t="array" ref="J3575">IFERROR(INDEX('Retirement Calculator'!K:K,MATCH('Lorri 401b'!N3575,'Retirement Calculator'!A:A,0),0),0)</f>
        <v>0</v>
      </c>
      <c r="K3575" s="455">
        <f t="shared" ca="1" si="148"/>
        <v>-4936931022.057148</v>
      </c>
      <c r="L3575" s="455">
        <f t="shared" ca="1" si="149"/>
        <v>-1189800376315.7727</v>
      </c>
      <c r="M3575" s="471">
        <f t="shared" si="151"/>
        <v>0.05</v>
      </c>
      <c r="N3575" s="475">
        <f t="shared" si="152"/>
        <v>159856</v>
      </c>
    </row>
    <row r="3576" spans="7:14" ht="11.25" customHeight="1" x14ac:dyDescent="0.3">
      <c r="G3576" s="470"/>
      <c r="H3576" s="470">
        <v>3569</v>
      </c>
      <c r="I3576" s="455">
        <f t="shared" ca="1" si="150"/>
        <v>-1189800376315.7727</v>
      </c>
      <c r="J3576" s="455">
        <f t="array" ref="J3576">IFERROR(INDEX('Retirement Calculator'!K:K,MATCH('Lorri 401b'!N3576,'Retirement Calculator'!A:A,0),0),0)</f>
        <v>0</v>
      </c>
      <c r="K3576" s="455">
        <f t="shared" ca="1" si="148"/>
        <v>-4957501567.9823866</v>
      </c>
      <c r="L3576" s="455">
        <f t="shared" ca="1" si="149"/>
        <v>-1194757877883.7551</v>
      </c>
      <c r="M3576" s="471">
        <f t="shared" si="151"/>
        <v>0.05</v>
      </c>
      <c r="N3576" s="475">
        <f t="shared" si="152"/>
        <v>159886</v>
      </c>
    </row>
    <row r="3577" spans="7:14" ht="11.25" customHeight="1" x14ac:dyDescent="0.3">
      <c r="G3577" s="470"/>
      <c r="H3577" s="470">
        <v>3570</v>
      </c>
      <c r="I3577" s="455">
        <f t="shared" ca="1" si="150"/>
        <v>-1194757877883.7551</v>
      </c>
      <c r="J3577" s="455">
        <f t="array" ref="J3577">IFERROR(INDEX('Retirement Calculator'!K:K,MATCH('Lorri 401b'!N3577,'Retirement Calculator'!A:A,0),0),0)</f>
        <v>0</v>
      </c>
      <c r="K3577" s="455">
        <f t="shared" ca="1" si="148"/>
        <v>-4978157824.515646</v>
      </c>
      <c r="L3577" s="455">
        <f t="shared" ca="1" si="149"/>
        <v>-1199736035708.2708</v>
      </c>
      <c r="M3577" s="471">
        <f t="shared" si="151"/>
        <v>0.05</v>
      </c>
      <c r="N3577" s="475">
        <f t="shared" si="152"/>
        <v>159917</v>
      </c>
    </row>
    <row r="3578" spans="7:14" ht="11.25" customHeight="1" x14ac:dyDescent="0.3">
      <c r="G3578" s="470"/>
      <c r="H3578" s="470">
        <v>3571</v>
      </c>
      <c r="I3578" s="455">
        <f t="shared" ca="1" si="150"/>
        <v>-1199736035708.2708</v>
      </c>
      <c r="J3578" s="455">
        <f t="array" ref="J3578">IFERROR(INDEX('Retirement Calculator'!K:K,MATCH('Lorri 401b'!N3578,'Retirement Calculator'!A:A,0),0),0)</f>
        <v>0</v>
      </c>
      <c r="K3578" s="455">
        <f t="shared" ref="K3578:K3832" ca="1" si="153">IPMT(M3578/12,1,12,-I3578+J3578,,0)</f>
        <v>-4998900148.784461</v>
      </c>
      <c r="L3578" s="455">
        <f t="shared" ref="L3578:L3832" ca="1" si="154">I3578-J3578+K3578</f>
        <v>-1204734935857.0552</v>
      </c>
      <c r="M3578" s="471">
        <f t="shared" si="151"/>
        <v>0.05</v>
      </c>
      <c r="N3578" s="475">
        <f t="shared" si="152"/>
        <v>159947</v>
      </c>
    </row>
    <row r="3579" spans="7:14" ht="11.25" customHeight="1" x14ac:dyDescent="0.3">
      <c r="G3579" s="470"/>
      <c r="H3579" s="470">
        <v>3572</v>
      </c>
      <c r="I3579" s="455">
        <f t="shared" ref="I3579:I3833" ca="1" si="155">L3578</f>
        <v>-1204734935857.0552</v>
      </c>
      <c r="J3579" s="455">
        <f t="array" ref="J3579">IFERROR(INDEX('Retirement Calculator'!K:K,MATCH('Lorri 401b'!N3579,'Retirement Calculator'!A:A,0),0),0)</f>
        <v>0</v>
      </c>
      <c r="K3579" s="455">
        <f t="shared" ca="1" si="153"/>
        <v>-5019728899.4043961</v>
      </c>
      <c r="L3579" s="455">
        <f t="shared" ca="1" si="154"/>
        <v>-1209754664756.4595</v>
      </c>
      <c r="M3579" s="471">
        <f t="shared" ref="M3579:M3833" si="156">M3578</f>
        <v>0.05</v>
      </c>
      <c r="N3579" s="475">
        <f t="shared" ref="N3579:N3833" si="157">EDATE(N3578,1)</f>
        <v>159978</v>
      </c>
    </row>
    <row r="3580" spans="7:14" ht="11.25" customHeight="1" x14ac:dyDescent="0.3">
      <c r="G3580" s="470"/>
      <c r="H3580" s="470">
        <v>3573</v>
      </c>
      <c r="I3580" s="455">
        <f t="shared" ca="1" si="155"/>
        <v>-1209754664756.4595</v>
      </c>
      <c r="J3580" s="455">
        <f t="array" ref="J3580">IFERROR(INDEX('Retirement Calculator'!K:K,MATCH('Lorri 401b'!N3580,'Retirement Calculator'!A:A,0),0),0)</f>
        <v>0</v>
      </c>
      <c r="K3580" s="455">
        <f t="shared" ca="1" si="153"/>
        <v>-5040644436.4852476</v>
      </c>
      <c r="L3580" s="455">
        <f t="shared" ca="1" si="154"/>
        <v>-1214795309192.9448</v>
      </c>
      <c r="M3580" s="471">
        <f t="shared" si="156"/>
        <v>0.05</v>
      </c>
      <c r="N3580" s="475">
        <f t="shared" si="157"/>
        <v>160009</v>
      </c>
    </row>
    <row r="3581" spans="7:14" ht="11.25" customHeight="1" x14ac:dyDescent="0.3">
      <c r="G3581" s="470"/>
      <c r="H3581" s="470">
        <v>3574</v>
      </c>
      <c r="I3581" s="455">
        <f t="shared" ca="1" si="155"/>
        <v>-1214795309192.9448</v>
      </c>
      <c r="J3581" s="455">
        <f t="array" ref="J3581">IFERROR(INDEX('Retirement Calculator'!K:K,MATCH('Lorri 401b'!N3581,'Retirement Calculator'!A:A,0),0),0)</f>
        <v>0</v>
      </c>
      <c r="K3581" s="455">
        <f t="shared" ca="1" si="153"/>
        <v>-5061647121.63727</v>
      </c>
      <c r="L3581" s="455">
        <f t="shared" ca="1" si="154"/>
        <v>-1219856956314.582</v>
      </c>
      <c r="M3581" s="471">
        <f t="shared" si="156"/>
        <v>0.05</v>
      </c>
      <c r="N3581" s="475">
        <f t="shared" si="157"/>
        <v>160037</v>
      </c>
    </row>
    <row r="3582" spans="7:14" ht="11.25" customHeight="1" x14ac:dyDescent="0.3">
      <c r="G3582" s="470"/>
      <c r="H3582" s="470">
        <v>3575</v>
      </c>
      <c r="I3582" s="455">
        <f t="shared" ca="1" si="155"/>
        <v>-1219856956314.582</v>
      </c>
      <c r="J3582" s="455">
        <f t="array" ref="J3582">IFERROR(INDEX('Retirement Calculator'!K:K,MATCH('Lorri 401b'!N3582,'Retirement Calculator'!A:A,0),0),0)</f>
        <v>0</v>
      </c>
      <c r="K3582" s="455">
        <f t="shared" ca="1" si="153"/>
        <v>-5082737317.9774246</v>
      </c>
      <c r="L3582" s="455">
        <f t="shared" ca="1" si="154"/>
        <v>-1224939693632.5596</v>
      </c>
      <c r="M3582" s="471">
        <f t="shared" si="156"/>
        <v>0.05</v>
      </c>
      <c r="N3582" s="475">
        <f t="shared" si="157"/>
        <v>160068</v>
      </c>
    </row>
    <row r="3583" spans="7:14" ht="11.25" customHeight="1" x14ac:dyDescent="0.3">
      <c r="G3583" s="470"/>
      <c r="H3583" s="470">
        <v>3576</v>
      </c>
      <c r="I3583" s="455">
        <f t="shared" ca="1" si="155"/>
        <v>-1224939693632.5596</v>
      </c>
      <c r="J3583" s="455">
        <f t="array" ref="J3583">IFERROR(INDEX('Retirement Calculator'!K:K,MATCH('Lorri 401b'!N3583,'Retirement Calculator'!A:A,0),0),0)</f>
        <v>0</v>
      </c>
      <c r="K3583" s="455">
        <f t="shared" ca="1" si="153"/>
        <v>-5103915390.1356649</v>
      </c>
      <c r="L3583" s="455">
        <f t="shared" ca="1" si="154"/>
        <v>-1230043609022.6953</v>
      </c>
      <c r="M3583" s="471">
        <f t="shared" si="156"/>
        <v>0.05</v>
      </c>
      <c r="N3583" s="475">
        <f t="shared" si="157"/>
        <v>160098</v>
      </c>
    </row>
    <row r="3584" spans="7:14" ht="11.25" customHeight="1" x14ac:dyDescent="0.3">
      <c r="G3584" s="470"/>
      <c r="H3584" s="470">
        <v>3577</v>
      </c>
      <c r="I3584" s="455">
        <f t="shared" ca="1" si="155"/>
        <v>-1230043609022.6953</v>
      </c>
      <c r="J3584" s="455">
        <f t="array" ref="J3584">IFERROR(INDEX('Retirement Calculator'!K:K,MATCH('Lorri 401b'!N3584,'Retirement Calculator'!A:A,0),0),0)</f>
        <v>0</v>
      </c>
      <c r="K3584" s="455">
        <f t="shared" ca="1" si="153"/>
        <v>-5125181704.2612305</v>
      </c>
      <c r="L3584" s="455">
        <f t="shared" ca="1" si="154"/>
        <v>-1235168790726.9565</v>
      </c>
      <c r="M3584" s="471">
        <f t="shared" si="156"/>
        <v>0.05</v>
      </c>
      <c r="N3584" s="475">
        <f t="shared" si="157"/>
        <v>160129</v>
      </c>
    </row>
    <row r="3585" spans="7:14" ht="11.25" customHeight="1" x14ac:dyDescent="0.3">
      <c r="G3585" s="470"/>
      <c r="H3585" s="470">
        <v>3578</v>
      </c>
      <c r="I3585" s="455">
        <f t="shared" ca="1" si="155"/>
        <v>-1235168790726.9565</v>
      </c>
      <c r="J3585" s="455">
        <f t="array" ref="J3585">IFERROR(INDEX('Retirement Calculator'!K:K,MATCH('Lorri 401b'!N3585,'Retirement Calculator'!A:A,0),0),0)</f>
        <v>0</v>
      </c>
      <c r="K3585" s="455">
        <f t="shared" ca="1" si="153"/>
        <v>-5146536628.028986</v>
      </c>
      <c r="L3585" s="455">
        <f t="shared" ca="1" si="154"/>
        <v>-1240315327354.9856</v>
      </c>
      <c r="M3585" s="471">
        <f t="shared" si="156"/>
        <v>0.05</v>
      </c>
      <c r="N3585" s="475">
        <f t="shared" si="157"/>
        <v>160159</v>
      </c>
    </row>
    <row r="3586" spans="7:14" ht="11.25" customHeight="1" x14ac:dyDescent="0.3">
      <c r="G3586" s="470"/>
      <c r="H3586" s="470">
        <v>3579</v>
      </c>
      <c r="I3586" s="455">
        <f t="shared" ca="1" si="155"/>
        <v>-1240315327354.9856</v>
      </c>
      <c r="J3586" s="455">
        <f t="array" ref="J3586">IFERROR(INDEX('Retirement Calculator'!K:K,MATCH('Lorri 401b'!N3586,'Retirement Calculator'!A:A,0),0),0)</f>
        <v>0</v>
      </c>
      <c r="K3586" s="455">
        <f t="shared" ca="1" si="153"/>
        <v>-5167980530.6457729</v>
      </c>
      <c r="L3586" s="455">
        <f t="shared" ca="1" si="154"/>
        <v>-1245483307885.6313</v>
      </c>
      <c r="M3586" s="471">
        <f t="shared" si="156"/>
        <v>0.05</v>
      </c>
      <c r="N3586" s="475">
        <f t="shared" si="157"/>
        <v>160190</v>
      </c>
    </row>
    <row r="3587" spans="7:14" ht="11.25" customHeight="1" x14ac:dyDescent="0.3">
      <c r="G3587" s="470"/>
      <c r="H3587" s="470">
        <v>3580</v>
      </c>
      <c r="I3587" s="455">
        <f t="shared" ca="1" si="155"/>
        <v>-1245483307885.6313</v>
      </c>
      <c r="J3587" s="455">
        <f t="array" ref="J3587">IFERROR(INDEX('Retirement Calculator'!K:K,MATCH('Lorri 401b'!N3587,'Retirement Calculator'!A:A,0),0),0)</f>
        <v>0</v>
      </c>
      <c r="K3587" s="455">
        <f t="shared" ca="1" si="153"/>
        <v>-5189513782.8567972</v>
      </c>
      <c r="L3587" s="455">
        <f t="shared" ca="1" si="154"/>
        <v>-1250672821668.488</v>
      </c>
      <c r="M3587" s="471">
        <f t="shared" si="156"/>
        <v>0.05</v>
      </c>
      <c r="N3587" s="475">
        <f t="shared" si="157"/>
        <v>160221</v>
      </c>
    </row>
    <row r="3588" spans="7:14" ht="11.25" customHeight="1" x14ac:dyDescent="0.3">
      <c r="G3588" s="470"/>
      <c r="H3588" s="470">
        <v>3581</v>
      </c>
      <c r="I3588" s="455">
        <f t="shared" ca="1" si="155"/>
        <v>-1250672821668.488</v>
      </c>
      <c r="J3588" s="455">
        <f t="array" ref="J3588">IFERROR(INDEX('Retirement Calculator'!K:K,MATCH('Lorri 401b'!N3588,'Retirement Calculator'!A:A,0),0),0)</f>
        <v>0</v>
      </c>
      <c r="K3588" s="455">
        <f t="shared" ca="1" si="153"/>
        <v>-5211136756.952033</v>
      </c>
      <c r="L3588" s="455">
        <f t="shared" ca="1" si="154"/>
        <v>-1255883958425.4402</v>
      </c>
      <c r="M3588" s="471">
        <f t="shared" si="156"/>
        <v>0.05</v>
      </c>
      <c r="N3588" s="475">
        <f t="shared" si="157"/>
        <v>160251</v>
      </c>
    </row>
    <row r="3589" spans="7:14" ht="11.25" customHeight="1" x14ac:dyDescent="0.3">
      <c r="G3589" s="470"/>
      <c r="H3589" s="470">
        <v>3582</v>
      </c>
      <c r="I3589" s="455">
        <f t="shared" ca="1" si="155"/>
        <v>-1255883958425.4402</v>
      </c>
      <c r="J3589" s="455">
        <f t="array" ref="J3589">IFERROR(INDEX('Retirement Calculator'!K:K,MATCH('Lorri 401b'!N3589,'Retirement Calculator'!A:A,0),0),0)</f>
        <v>0</v>
      </c>
      <c r="K3589" s="455">
        <f t="shared" ca="1" si="153"/>
        <v>-5232849826.7726669</v>
      </c>
      <c r="L3589" s="455">
        <f t="shared" ca="1" si="154"/>
        <v>-1261116808252.2129</v>
      </c>
      <c r="M3589" s="471">
        <f t="shared" si="156"/>
        <v>0.05</v>
      </c>
      <c r="N3589" s="475">
        <f t="shared" si="157"/>
        <v>160282</v>
      </c>
    </row>
    <row r="3590" spans="7:14" ht="11.25" customHeight="1" x14ac:dyDescent="0.3">
      <c r="G3590" s="470"/>
      <c r="H3590" s="470">
        <v>3583</v>
      </c>
      <c r="I3590" s="455">
        <f t="shared" ca="1" si="155"/>
        <v>-1261116808252.2129</v>
      </c>
      <c r="J3590" s="455">
        <f t="array" ref="J3590">IFERROR(INDEX('Retirement Calculator'!K:K,MATCH('Lorri 401b'!N3590,'Retirement Calculator'!A:A,0),0),0)</f>
        <v>0</v>
      </c>
      <c r="K3590" s="455">
        <f t="shared" ca="1" si="153"/>
        <v>-5254653367.7175541</v>
      </c>
      <c r="L3590" s="455">
        <f t="shared" ca="1" si="154"/>
        <v>-1266371461619.9304</v>
      </c>
      <c r="M3590" s="471">
        <f t="shared" si="156"/>
        <v>0.05</v>
      </c>
      <c r="N3590" s="475">
        <f t="shared" si="157"/>
        <v>160312</v>
      </c>
    </row>
    <row r="3591" spans="7:14" ht="11.25" customHeight="1" x14ac:dyDescent="0.3">
      <c r="G3591" s="470"/>
      <c r="H3591" s="470">
        <v>3584</v>
      </c>
      <c r="I3591" s="455">
        <f t="shared" ca="1" si="155"/>
        <v>-1266371461619.9304</v>
      </c>
      <c r="J3591" s="455">
        <f t="array" ref="J3591">IFERROR(INDEX('Retirement Calculator'!K:K,MATCH('Lorri 401b'!N3591,'Retirement Calculator'!A:A,0),0),0)</f>
        <v>0</v>
      </c>
      <c r="K3591" s="455">
        <f t="shared" ca="1" si="153"/>
        <v>-5276547756.7497101</v>
      </c>
      <c r="L3591" s="455">
        <f t="shared" ca="1" si="154"/>
        <v>-1271648009376.6802</v>
      </c>
      <c r="M3591" s="471">
        <f t="shared" si="156"/>
        <v>0.05</v>
      </c>
      <c r="N3591" s="475">
        <f t="shared" si="157"/>
        <v>160343</v>
      </c>
    </row>
    <row r="3592" spans="7:14" ht="11.25" customHeight="1" x14ac:dyDescent="0.3">
      <c r="G3592" s="470"/>
      <c r="H3592" s="470">
        <v>3585</v>
      </c>
      <c r="I3592" s="455">
        <f t="shared" ca="1" si="155"/>
        <v>-1271648009376.6802</v>
      </c>
      <c r="J3592" s="455">
        <f t="array" ref="J3592">IFERROR(INDEX('Retirement Calculator'!K:K,MATCH('Lorri 401b'!N3592,'Retirement Calculator'!A:A,0),0),0)</f>
        <v>0</v>
      </c>
      <c r="K3592" s="455">
        <f t="shared" ca="1" si="153"/>
        <v>-5298533372.4028339</v>
      </c>
      <c r="L3592" s="455">
        <f t="shared" ca="1" si="154"/>
        <v>-1276946542749.083</v>
      </c>
      <c r="M3592" s="471">
        <f t="shared" si="156"/>
        <v>0.05</v>
      </c>
      <c r="N3592" s="475">
        <f t="shared" si="157"/>
        <v>160374</v>
      </c>
    </row>
    <row r="3593" spans="7:14" ht="11.25" customHeight="1" x14ac:dyDescent="0.3">
      <c r="G3593" s="470"/>
      <c r="H3593" s="470">
        <v>3586</v>
      </c>
      <c r="I3593" s="455">
        <f t="shared" ca="1" si="155"/>
        <v>-1276946542749.083</v>
      </c>
      <c r="J3593" s="455">
        <f t="array" ref="J3593">IFERROR(INDEX('Retirement Calculator'!K:K,MATCH('Lorri 401b'!N3593,'Retirement Calculator'!A:A,0),0),0)</f>
        <v>0</v>
      </c>
      <c r="K3593" s="455">
        <f t="shared" ca="1" si="153"/>
        <v>-5320610594.7878456</v>
      </c>
      <c r="L3593" s="455">
        <f t="shared" ca="1" si="154"/>
        <v>-1282267153343.8708</v>
      </c>
      <c r="M3593" s="471">
        <f t="shared" si="156"/>
        <v>0.05</v>
      </c>
      <c r="N3593" s="475">
        <f t="shared" si="157"/>
        <v>160402</v>
      </c>
    </row>
    <row r="3594" spans="7:14" ht="11.25" customHeight="1" x14ac:dyDescent="0.3">
      <c r="G3594" s="470"/>
      <c r="H3594" s="470">
        <v>3587</v>
      </c>
      <c r="I3594" s="455">
        <f t="shared" ca="1" si="155"/>
        <v>-1282267153343.8708</v>
      </c>
      <c r="J3594" s="455">
        <f t="array" ref="J3594">IFERROR(INDEX('Retirement Calculator'!K:K,MATCH('Lorri 401b'!N3594,'Retirement Calculator'!A:A,0),0),0)</f>
        <v>0</v>
      </c>
      <c r="K3594" s="455">
        <f t="shared" ca="1" si="153"/>
        <v>-5342779805.5994616</v>
      </c>
      <c r="L3594" s="455">
        <f t="shared" ca="1" si="154"/>
        <v>-1287609933149.4702</v>
      </c>
      <c r="M3594" s="471">
        <f t="shared" si="156"/>
        <v>0.05</v>
      </c>
      <c r="N3594" s="475">
        <f t="shared" si="157"/>
        <v>160433</v>
      </c>
    </row>
    <row r="3595" spans="7:14" ht="11.25" customHeight="1" x14ac:dyDescent="0.3">
      <c r="G3595" s="470"/>
      <c r="H3595" s="470">
        <v>3588</v>
      </c>
      <c r="I3595" s="455">
        <f t="shared" ca="1" si="155"/>
        <v>-1287609933149.4702</v>
      </c>
      <c r="J3595" s="455">
        <f t="array" ref="J3595">IFERROR(INDEX('Retirement Calculator'!K:K,MATCH('Lorri 401b'!N3595,'Retirement Calculator'!A:A,0),0),0)</f>
        <v>0</v>
      </c>
      <c r="K3595" s="455">
        <f t="shared" ca="1" si="153"/>
        <v>-5365041388.1227922</v>
      </c>
      <c r="L3595" s="455">
        <f t="shared" ca="1" si="154"/>
        <v>-1292974974537.593</v>
      </c>
      <c r="M3595" s="471">
        <f t="shared" si="156"/>
        <v>0.05</v>
      </c>
      <c r="N3595" s="475">
        <f t="shared" si="157"/>
        <v>160463</v>
      </c>
    </row>
    <row r="3596" spans="7:14" ht="11.25" customHeight="1" x14ac:dyDescent="0.3">
      <c r="G3596" s="470"/>
      <c r="H3596" s="470">
        <v>3589</v>
      </c>
      <c r="I3596" s="455">
        <f t="shared" ca="1" si="155"/>
        <v>-1292974974537.593</v>
      </c>
      <c r="J3596" s="455">
        <f t="array" ref="J3596">IFERROR(INDEX('Retirement Calculator'!K:K,MATCH('Lorri 401b'!N3596,'Retirement Calculator'!A:A,0),0),0)</f>
        <v>0</v>
      </c>
      <c r="K3596" s="455">
        <f t="shared" ca="1" si="153"/>
        <v>-5387395727.2399712</v>
      </c>
      <c r="L3596" s="455">
        <f t="shared" ca="1" si="154"/>
        <v>-1298362370264.833</v>
      </c>
      <c r="M3596" s="471">
        <f t="shared" si="156"/>
        <v>0.05</v>
      </c>
      <c r="N3596" s="475">
        <f t="shared" si="157"/>
        <v>160494</v>
      </c>
    </row>
    <row r="3597" spans="7:14" ht="11.25" customHeight="1" x14ac:dyDescent="0.3">
      <c r="G3597" s="470"/>
      <c r="H3597" s="470">
        <v>3590</v>
      </c>
      <c r="I3597" s="455">
        <f t="shared" ca="1" si="155"/>
        <v>-1298362370264.833</v>
      </c>
      <c r="J3597" s="455">
        <f t="array" ref="J3597">IFERROR(INDEX('Retirement Calculator'!K:K,MATCH('Lorri 401b'!N3597,'Retirement Calculator'!A:A,0),0),0)</f>
        <v>0</v>
      </c>
      <c r="K3597" s="455">
        <f t="shared" ca="1" si="153"/>
        <v>-5409843209.4368038</v>
      </c>
      <c r="L3597" s="455">
        <f t="shared" ca="1" si="154"/>
        <v>-1303772213474.2698</v>
      </c>
      <c r="M3597" s="471">
        <f t="shared" si="156"/>
        <v>0.05</v>
      </c>
      <c r="N3597" s="475">
        <f t="shared" si="157"/>
        <v>160524</v>
      </c>
    </row>
    <row r="3598" spans="7:14" ht="11.25" customHeight="1" x14ac:dyDescent="0.3">
      <c r="G3598" s="470"/>
      <c r="H3598" s="470">
        <v>3591</v>
      </c>
      <c r="I3598" s="455">
        <f t="shared" ca="1" si="155"/>
        <v>-1303772213474.2698</v>
      </c>
      <c r="J3598" s="455">
        <f t="array" ref="J3598">IFERROR(INDEX('Retirement Calculator'!K:K,MATCH('Lorri 401b'!N3598,'Retirement Calculator'!A:A,0),0),0)</f>
        <v>0</v>
      </c>
      <c r="K3598" s="455">
        <f t="shared" ca="1" si="153"/>
        <v>-5432384222.8094578</v>
      </c>
      <c r="L3598" s="455">
        <f t="shared" ca="1" si="154"/>
        <v>-1309204597697.0793</v>
      </c>
      <c r="M3598" s="471">
        <f t="shared" si="156"/>
        <v>0.05</v>
      </c>
      <c r="N3598" s="475">
        <f t="shared" si="157"/>
        <v>160555</v>
      </c>
    </row>
    <row r="3599" spans="7:14" ht="11.25" customHeight="1" x14ac:dyDescent="0.3">
      <c r="G3599" s="470"/>
      <c r="H3599" s="470">
        <v>3592</v>
      </c>
      <c r="I3599" s="455">
        <f t="shared" ca="1" si="155"/>
        <v>-1309204597697.0793</v>
      </c>
      <c r="J3599" s="455">
        <f t="array" ref="J3599">IFERROR(INDEX('Retirement Calculator'!K:K,MATCH('Lorri 401b'!N3599,'Retirement Calculator'!A:A,0),0),0)</f>
        <v>0</v>
      </c>
      <c r="K3599" s="455">
        <f t="shared" ca="1" si="153"/>
        <v>-5455019157.0711641</v>
      </c>
      <c r="L3599" s="455">
        <f t="shared" ca="1" si="154"/>
        <v>-1314659616854.1504</v>
      </c>
      <c r="M3599" s="471">
        <f t="shared" si="156"/>
        <v>0.05</v>
      </c>
      <c r="N3599" s="475">
        <f t="shared" si="157"/>
        <v>160586</v>
      </c>
    </row>
    <row r="3600" spans="7:14" ht="11.25" customHeight="1" x14ac:dyDescent="0.3">
      <c r="G3600" s="470"/>
      <c r="H3600" s="470">
        <v>3593</v>
      </c>
      <c r="I3600" s="455">
        <f t="shared" ca="1" si="155"/>
        <v>-1314659616854.1504</v>
      </c>
      <c r="J3600" s="455">
        <f t="array" ref="J3600">IFERROR(INDEX('Retirement Calculator'!K:K,MATCH('Lorri 401b'!N3600,'Retirement Calculator'!A:A,0),0),0)</f>
        <v>0</v>
      </c>
      <c r="K3600" s="455">
        <f t="shared" ca="1" si="153"/>
        <v>-5477748403.55896</v>
      </c>
      <c r="L3600" s="455">
        <f t="shared" ca="1" si="154"/>
        <v>-1320137365257.7095</v>
      </c>
      <c r="M3600" s="471">
        <f t="shared" si="156"/>
        <v>0.05</v>
      </c>
      <c r="N3600" s="475">
        <f t="shared" si="157"/>
        <v>160616</v>
      </c>
    </row>
    <row r="3601" spans="7:14" ht="11.25" customHeight="1" x14ac:dyDescent="0.3">
      <c r="G3601" s="470"/>
      <c r="H3601" s="470">
        <v>3594</v>
      </c>
      <c r="I3601" s="455">
        <f t="shared" ca="1" si="155"/>
        <v>-1320137365257.7095</v>
      </c>
      <c r="J3601" s="455">
        <f t="array" ref="J3601">IFERROR(INDEX('Retirement Calculator'!K:K,MATCH('Lorri 401b'!N3601,'Retirement Calculator'!A:A,0),0),0)</f>
        <v>0</v>
      </c>
      <c r="K3601" s="455">
        <f t="shared" ca="1" si="153"/>
        <v>-5500572355.2404556</v>
      </c>
      <c r="L3601" s="455">
        <f t="shared" ca="1" si="154"/>
        <v>-1325637937612.95</v>
      </c>
      <c r="M3601" s="471">
        <f t="shared" si="156"/>
        <v>0.05</v>
      </c>
      <c r="N3601" s="475">
        <f t="shared" si="157"/>
        <v>160647</v>
      </c>
    </row>
    <row r="3602" spans="7:14" ht="11.25" customHeight="1" x14ac:dyDescent="0.3">
      <c r="G3602" s="470"/>
      <c r="H3602" s="470">
        <v>3595</v>
      </c>
      <c r="I3602" s="455">
        <f t="shared" ca="1" si="155"/>
        <v>-1325637937612.95</v>
      </c>
      <c r="J3602" s="455">
        <f t="array" ref="J3602">IFERROR(INDEX('Retirement Calculator'!K:K,MATCH('Lorri 401b'!N3602,'Retirement Calculator'!A:A,0),0),0)</f>
        <v>0</v>
      </c>
      <c r="K3602" s="455">
        <f t="shared" ca="1" si="153"/>
        <v>-5523491406.7206249</v>
      </c>
      <c r="L3602" s="455">
        <f t="shared" ca="1" si="154"/>
        <v>-1331161429019.6707</v>
      </c>
      <c r="M3602" s="471">
        <f t="shared" si="156"/>
        <v>0.05</v>
      </c>
      <c r="N3602" s="475">
        <f t="shared" si="157"/>
        <v>160677</v>
      </c>
    </row>
    <row r="3603" spans="7:14" ht="11.25" customHeight="1" x14ac:dyDescent="0.3">
      <c r="G3603" s="470"/>
      <c r="H3603" s="470">
        <v>3596</v>
      </c>
      <c r="I3603" s="455">
        <f t="shared" ca="1" si="155"/>
        <v>-1331161429019.6707</v>
      </c>
      <c r="J3603" s="455">
        <f t="array" ref="J3603">IFERROR(INDEX('Retirement Calculator'!K:K,MATCH('Lorri 401b'!N3603,'Retirement Calculator'!A:A,0),0),0)</f>
        <v>0</v>
      </c>
      <c r="K3603" s="455">
        <f t="shared" ca="1" si="153"/>
        <v>-5546505954.2486277</v>
      </c>
      <c r="L3603" s="455">
        <f t="shared" ca="1" si="154"/>
        <v>-1336707934973.9192</v>
      </c>
      <c r="M3603" s="471">
        <f t="shared" si="156"/>
        <v>0.05</v>
      </c>
      <c r="N3603" s="475">
        <f t="shared" si="157"/>
        <v>160708</v>
      </c>
    </row>
    <row r="3604" spans="7:14" ht="11.25" customHeight="1" x14ac:dyDescent="0.3">
      <c r="G3604" s="470"/>
      <c r="H3604" s="470">
        <v>3597</v>
      </c>
      <c r="I3604" s="455">
        <f t="shared" ca="1" si="155"/>
        <v>-1336707934973.9192</v>
      </c>
      <c r="J3604" s="455">
        <f t="array" ref="J3604">IFERROR(INDEX('Retirement Calculator'!K:K,MATCH('Lorri 401b'!N3604,'Retirement Calculator'!A:A,0),0),0)</f>
        <v>0</v>
      </c>
      <c r="K3604" s="455">
        <f t="shared" ca="1" si="153"/>
        <v>-5569616395.7246628</v>
      </c>
      <c r="L3604" s="455">
        <f t="shared" ca="1" si="154"/>
        <v>-1342277551369.6438</v>
      </c>
      <c r="M3604" s="471">
        <f t="shared" si="156"/>
        <v>0.05</v>
      </c>
      <c r="N3604" s="475">
        <f t="shared" si="157"/>
        <v>160739</v>
      </c>
    </row>
    <row r="3605" spans="7:14" ht="11.25" customHeight="1" x14ac:dyDescent="0.3">
      <c r="G3605" s="470"/>
      <c r="H3605" s="470">
        <v>3598</v>
      </c>
      <c r="I3605" s="455">
        <f t="shared" ca="1" si="155"/>
        <v>-1342277551369.6438</v>
      </c>
      <c r="J3605" s="455">
        <f t="array" ref="J3605">IFERROR(INDEX('Retirement Calculator'!K:K,MATCH('Lorri 401b'!N3605,'Retirement Calculator'!A:A,0),0),0)</f>
        <v>0</v>
      </c>
      <c r="K3605" s="455">
        <f t="shared" ca="1" si="153"/>
        <v>-5592823130.7068491</v>
      </c>
      <c r="L3605" s="455">
        <f t="shared" ca="1" si="154"/>
        <v>-1347870374500.3506</v>
      </c>
      <c r="M3605" s="471">
        <f t="shared" si="156"/>
        <v>0.05</v>
      </c>
      <c r="N3605" s="475">
        <f t="shared" si="157"/>
        <v>160768</v>
      </c>
    </row>
    <row r="3606" spans="7:14" ht="11.25" customHeight="1" x14ac:dyDescent="0.3">
      <c r="G3606" s="470"/>
      <c r="H3606" s="470">
        <v>3599</v>
      </c>
      <c r="I3606" s="455">
        <f t="shared" ca="1" si="155"/>
        <v>-1347870374500.3506</v>
      </c>
      <c r="J3606" s="455">
        <f t="array" ref="J3606">IFERROR(INDEX('Retirement Calculator'!K:K,MATCH('Lorri 401b'!N3606,'Retirement Calculator'!A:A,0),0),0)</f>
        <v>0</v>
      </c>
      <c r="K3606" s="455">
        <f t="shared" ca="1" si="153"/>
        <v>-5616126560.4181271</v>
      </c>
      <c r="L3606" s="455">
        <f t="shared" ca="1" si="154"/>
        <v>-1353486501060.7688</v>
      </c>
      <c r="M3606" s="471">
        <f t="shared" si="156"/>
        <v>0.05</v>
      </c>
      <c r="N3606" s="475">
        <f t="shared" si="157"/>
        <v>160799</v>
      </c>
    </row>
    <row r="3607" spans="7:14" ht="11.25" customHeight="1" x14ac:dyDescent="0.3">
      <c r="G3607" s="470"/>
      <c r="H3607" s="470">
        <v>3600</v>
      </c>
      <c r="I3607" s="455">
        <f t="shared" ca="1" si="155"/>
        <v>-1353486501060.7688</v>
      </c>
      <c r="J3607" s="455">
        <f t="array" ref="J3607">IFERROR(INDEX('Retirement Calculator'!K:K,MATCH('Lorri 401b'!N3607,'Retirement Calculator'!A:A,0),0),0)</f>
        <v>0</v>
      </c>
      <c r="K3607" s="455">
        <f t="shared" ca="1" si="153"/>
        <v>-5639527087.7532034</v>
      </c>
      <c r="L3607" s="455">
        <f t="shared" ca="1" si="154"/>
        <v>-1359126028148.522</v>
      </c>
      <c r="M3607" s="471">
        <f t="shared" si="156"/>
        <v>0.05</v>
      </c>
      <c r="N3607" s="475">
        <f t="shared" si="157"/>
        <v>160829</v>
      </c>
    </row>
    <row r="3608" spans="7:14" ht="11.25" customHeight="1" x14ac:dyDescent="0.3">
      <c r="G3608" s="470"/>
      <c r="H3608" s="470">
        <v>3601</v>
      </c>
      <c r="I3608" s="455">
        <f t="shared" ca="1" si="155"/>
        <v>-1359126028148.522</v>
      </c>
      <c r="J3608" s="455">
        <f t="array" ref="J3608">IFERROR(INDEX('Retirement Calculator'!K:K,MATCH('Lorri 401b'!N3608,'Retirement Calculator'!A:A,0),0),0)</f>
        <v>0</v>
      </c>
      <c r="K3608" s="455">
        <f t="shared" ca="1" si="153"/>
        <v>-5663025117.2855082</v>
      </c>
      <c r="L3608" s="455">
        <f t="shared" ca="1" si="154"/>
        <v>-1364789053265.8074</v>
      </c>
      <c r="M3608" s="471">
        <f t="shared" si="156"/>
        <v>0.05</v>
      </c>
      <c r="N3608" s="475">
        <f t="shared" si="157"/>
        <v>160860</v>
      </c>
    </row>
    <row r="3609" spans="7:14" ht="11.25" customHeight="1" x14ac:dyDescent="0.3">
      <c r="G3609" s="470"/>
      <c r="H3609" s="470">
        <v>3602</v>
      </c>
      <c r="I3609" s="455">
        <f t="shared" ca="1" si="155"/>
        <v>-1364789053265.8074</v>
      </c>
      <c r="J3609" s="455">
        <f t="array" ref="J3609">IFERROR(INDEX('Retirement Calculator'!K:K,MATCH('Lorri 401b'!N3609,'Retirement Calculator'!A:A,0),0),0)</f>
        <v>0</v>
      </c>
      <c r="K3609" s="455">
        <f t="shared" ca="1" si="153"/>
        <v>-5686621055.2741976</v>
      </c>
      <c r="L3609" s="455">
        <f t="shared" ca="1" si="154"/>
        <v>-1370475674321.0815</v>
      </c>
      <c r="M3609" s="471">
        <f t="shared" si="156"/>
        <v>0.05</v>
      </c>
      <c r="N3609" s="475">
        <f t="shared" si="157"/>
        <v>160890</v>
      </c>
    </row>
    <row r="3610" spans="7:14" ht="11.25" customHeight="1" x14ac:dyDescent="0.3">
      <c r="G3610" s="470"/>
      <c r="H3610" s="470">
        <v>3603</v>
      </c>
      <c r="I3610" s="455">
        <f t="shared" ca="1" si="155"/>
        <v>-1370475674321.0815</v>
      </c>
      <c r="J3610" s="455">
        <f t="array" ref="J3610">IFERROR(INDEX('Retirement Calculator'!K:K,MATCH('Lorri 401b'!N3610,'Retirement Calculator'!A:A,0),0),0)</f>
        <v>0</v>
      </c>
      <c r="K3610" s="455">
        <f t="shared" ca="1" si="153"/>
        <v>-5710315309.6711731</v>
      </c>
      <c r="L3610" s="455">
        <f t="shared" ca="1" si="154"/>
        <v>-1376185989630.7527</v>
      </c>
      <c r="M3610" s="471">
        <f t="shared" si="156"/>
        <v>0.05</v>
      </c>
      <c r="N3610" s="475">
        <f t="shared" si="157"/>
        <v>160921</v>
      </c>
    </row>
    <row r="3611" spans="7:14" ht="11.25" customHeight="1" x14ac:dyDescent="0.3">
      <c r="G3611" s="470"/>
      <c r="H3611" s="470">
        <v>3604</v>
      </c>
      <c r="I3611" s="455">
        <f t="shared" ca="1" si="155"/>
        <v>-1376185989630.7527</v>
      </c>
      <c r="J3611" s="455">
        <f t="array" ref="J3611">IFERROR(INDEX('Retirement Calculator'!K:K,MATCH('Lorri 401b'!N3611,'Retirement Calculator'!A:A,0),0),0)</f>
        <v>0</v>
      </c>
      <c r="K3611" s="455">
        <f t="shared" ca="1" si="153"/>
        <v>-5734108290.1281357</v>
      </c>
      <c r="L3611" s="455">
        <f t="shared" ca="1" si="154"/>
        <v>-1381920097920.8809</v>
      </c>
      <c r="M3611" s="471">
        <f t="shared" si="156"/>
        <v>0.05</v>
      </c>
      <c r="N3611" s="475">
        <f t="shared" si="157"/>
        <v>160952</v>
      </c>
    </row>
    <row r="3612" spans="7:14" ht="11.25" customHeight="1" x14ac:dyDescent="0.3">
      <c r="G3612" s="470"/>
      <c r="H3612" s="470">
        <v>3605</v>
      </c>
      <c r="I3612" s="455">
        <f t="shared" ca="1" si="155"/>
        <v>-1381920097920.8809</v>
      </c>
      <c r="J3612" s="455">
        <f t="array" ref="J3612">IFERROR(INDEX('Retirement Calculator'!K:K,MATCH('Lorri 401b'!N3612,'Retirement Calculator'!A:A,0),0),0)</f>
        <v>0</v>
      </c>
      <c r="K3612" s="455">
        <f t="shared" ca="1" si="153"/>
        <v>-5758000408.0036697</v>
      </c>
      <c r="L3612" s="455">
        <f t="shared" ca="1" si="154"/>
        <v>-1387678098328.8845</v>
      </c>
      <c r="M3612" s="471">
        <f t="shared" si="156"/>
        <v>0.05</v>
      </c>
      <c r="N3612" s="475">
        <f t="shared" si="157"/>
        <v>160982</v>
      </c>
    </row>
    <row r="3613" spans="7:14" ht="11.25" customHeight="1" x14ac:dyDescent="0.3">
      <c r="G3613" s="470"/>
      <c r="H3613" s="470">
        <v>3606</v>
      </c>
      <c r="I3613" s="455">
        <f t="shared" ca="1" si="155"/>
        <v>-1387678098328.8845</v>
      </c>
      <c r="J3613" s="455">
        <f t="array" ref="J3613">IFERROR(INDEX('Retirement Calculator'!K:K,MATCH('Lorri 401b'!N3613,'Retirement Calculator'!A:A,0),0),0)</f>
        <v>0</v>
      </c>
      <c r="K3613" s="455">
        <f t="shared" ca="1" si="153"/>
        <v>-5781992076.3703518</v>
      </c>
      <c r="L3613" s="455">
        <f t="shared" ca="1" si="154"/>
        <v>-1393460090405.2549</v>
      </c>
      <c r="M3613" s="471">
        <f t="shared" si="156"/>
        <v>0.05</v>
      </c>
      <c r="N3613" s="475">
        <f t="shared" si="157"/>
        <v>161013</v>
      </c>
    </row>
    <row r="3614" spans="7:14" ht="11.25" customHeight="1" x14ac:dyDescent="0.3">
      <c r="G3614" s="470"/>
      <c r="H3614" s="470">
        <v>3607</v>
      </c>
      <c r="I3614" s="455">
        <f t="shared" ca="1" si="155"/>
        <v>-1393460090405.2549</v>
      </c>
      <c r="J3614" s="455">
        <f t="array" ref="J3614">IFERROR(INDEX('Retirement Calculator'!K:K,MATCH('Lorri 401b'!N3614,'Retirement Calculator'!A:A,0),0),0)</f>
        <v>0</v>
      </c>
      <c r="K3614" s="455">
        <f t="shared" ca="1" si="153"/>
        <v>-5806083710.0218954</v>
      </c>
      <c r="L3614" s="455">
        <f t="shared" ca="1" si="154"/>
        <v>-1399266174115.2769</v>
      </c>
      <c r="M3614" s="471">
        <f t="shared" si="156"/>
        <v>0.05</v>
      </c>
      <c r="N3614" s="475">
        <f t="shared" si="157"/>
        <v>161043</v>
      </c>
    </row>
    <row r="3615" spans="7:14" ht="11.25" customHeight="1" x14ac:dyDescent="0.3">
      <c r="G3615" s="470"/>
      <c r="H3615" s="470">
        <v>3608</v>
      </c>
      <c r="I3615" s="455">
        <f t="shared" ca="1" si="155"/>
        <v>-1399266174115.2769</v>
      </c>
      <c r="J3615" s="455">
        <f t="array" ref="J3615">IFERROR(INDEX('Retirement Calculator'!K:K,MATCH('Lorri 401b'!N3615,'Retirement Calculator'!A:A,0),0),0)</f>
        <v>0</v>
      </c>
      <c r="K3615" s="455">
        <f t="shared" ca="1" si="153"/>
        <v>-5830275725.48032</v>
      </c>
      <c r="L3615" s="455">
        <f t="shared" ca="1" si="154"/>
        <v>-1405096449840.7571</v>
      </c>
      <c r="M3615" s="471">
        <f t="shared" si="156"/>
        <v>0.05</v>
      </c>
      <c r="N3615" s="475">
        <f t="shared" si="157"/>
        <v>161074</v>
      </c>
    </row>
    <row r="3616" spans="7:14" ht="11.25" customHeight="1" x14ac:dyDescent="0.3">
      <c r="G3616" s="470"/>
      <c r="H3616" s="470">
        <v>3609</v>
      </c>
      <c r="I3616" s="455">
        <f t="shared" ca="1" si="155"/>
        <v>-1405096449840.7571</v>
      </c>
      <c r="J3616" s="455">
        <f t="array" ref="J3616">IFERROR(INDEX('Retirement Calculator'!K:K,MATCH('Lorri 401b'!N3616,'Retirement Calculator'!A:A,0),0),0)</f>
        <v>0</v>
      </c>
      <c r="K3616" s="455">
        <f t="shared" ca="1" si="153"/>
        <v>-5854568541.0031548</v>
      </c>
      <c r="L3616" s="455">
        <f t="shared" ca="1" si="154"/>
        <v>-1410951018381.7603</v>
      </c>
      <c r="M3616" s="471">
        <f t="shared" si="156"/>
        <v>0.05</v>
      </c>
      <c r="N3616" s="475">
        <f t="shared" si="157"/>
        <v>161105</v>
      </c>
    </row>
    <row r="3617" spans="7:14" ht="11.25" customHeight="1" x14ac:dyDescent="0.3">
      <c r="G3617" s="470"/>
      <c r="H3617" s="470">
        <v>3610</v>
      </c>
      <c r="I3617" s="455">
        <f t="shared" ca="1" si="155"/>
        <v>-1410951018381.7603</v>
      </c>
      <c r="J3617" s="455">
        <f t="array" ref="J3617">IFERROR(INDEX('Retirement Calculator'!K:K,MATCH('Lorri 401b'!N3617,'Retirement Calculator'!A:A,0),0),0)</f>
        <v>0</v>
      </c>
      <c r="K3617" s="455">
        <f t="shared" ca="1" si="153"/>
        <v>-5878962576.5906677</v>
      </c>
      <c r="L3617" s="455">
        <f t="shared" ca="1" si="154"/>
        <v>-1416829980958.3508</v>
      </c>
      <c r="M3617" s="471">
        <f t="shared" si="156"/>
        <v>0.05</v>
      </c>
      <c r="N3617" s="475">
        <f t="shared" si="157"/>
        <v>161133</v>
      </c>
    </row>
    <row r="3618" spans="7:14" ht="11.25" customHeight="1" x14ac:dyDescent="0.3">
      <c r="G3618" s="470"/>
      <c r="H3618" s="470">
        <v>3611</v>
      </c>
      <c r="I3618" s="455">
        <f t="shared" ca="1" si="155"/>
        <v>-1416829980958.3508</v>
      </c>
      <c r="J3618" s="455">
        <f t="array" ref="J3618">IFERROR(INDEX('Retirement Calculator'!K:K,MATCH('Lorri 401b'!N3618,'Retirement Calculator'!A:A,0),0),0)</f>
        <v>0</v>
      </c>
      <c r="K3618" s="455">
        <f t="shared" ca="1" si="153"/>
        <v>-5903458253.9931288</v>
      </c>
      <c r="L3618" s="455">
        <f t="shared" ca="1" si="154"/>
        <v>-1422733439212.344</v>
      </c>
      <c r="M3618" s="471">
        <f t="shared" si="156"/>
        <v>0.05</v>
      </c>
      <c r="N3618" s="475">
        <f t="shared" si="157"/>
        <v>161164</v>
      </c>
    </row>
    <row r="3619" spans="7:14" ht="11.25" customHeight="1" x14ac:dyDescent="0.3">
      <c r="G3619" s="470"/>
      <c r="H3619" s="470">
        <v>3612</v>
      </c>
      <c r="I3619" s="455">
        <f t="shared" ca="1" si="155"/>
        <v>-1422733439212.344</v>
      </c>
      <c r="J3619" s="455">
        <f t="array" ref="J3619">IFERROR(INDEX('Retirement Calculator'!K:K,MATCH('Lorri 401b'!N3619,'Retirement Calculator'!A:A,0),0),0)</f>
        <v>0</v>
      </c>
      <c r="K3619" s="455">
        <f t="shared" ca="1" si="153"/>
        <v>-5928055996.7180996</v>
      </c>
      <c r="L3619" s="455">
        <f t="shared" ca="1" si="154"/>
        <v>-1428661495209.062</v>
      </c>
      <c r="M3619" s="471">
        <f t="shared" si="156"/>
        <v>0.05</v>
      </c>
      <c r="N3619" s="475">
        <f t="shared" si="157"/>
        <v>161194</v>
      </c>
    </row>
    <row r="3620" spans="7:14" ht="11.25" customHeight="1" x14ac:dyDescent="0.3">
      <c r="G3620" s="470"/>
      <c r="H3620" s="470">
        <v>3613</v>
      </c>
      <c r="I3620" s="455">
        <f t="shared" ca="1" si="155"/>
        <v>-1428661495209.062</v>
      </c>
      <c r="J3620" s="455">
        <f t="array" ref="J3620">IFERROR(INDEX('Retirement Calculator'!K:K,MATCH('Lorri 401b'!N3620,'Retirement Calculator'!A:A,0),0),0)</f>
        <v>0</v>
      </c>
      <c r="K3620" s="455">
        <f t="shared" ca="1" si="153"/>
        <v>-5952756230.0377579</v>
      </c>
      <c r="L3620" s="455">
        <f t="shared" ca="1" si="154"/>
        <v>-1434614251439.0999</v>
      </c>
      <c r="M3620" s="471">
        <f t="shared" si="156"/>
        <v>0.05</v>
      </c>
      <c r="N3620" s="475">
        <f t="shared" si="157"/>
        <v>161225</v>
      </c>
    </row>
    <row r="3621" spans="7:14" ht="11.25" customHeight="1" x14ac:dyDescent="0.3">
      <c r="G3621" s="470"/>
      <c r="H3621" s="470">
        <v>3614</v>
      </c>
      <c r="I3621" s="455">
        <f t="shared" ca="1" si="155"/>
        <v>-1434614251439.0999</v>
      </c>
      <c r="J3621" s="455">
        <f t="array" ref="J3621">IFERROR(INDEX('Retirement Calculator'!K:K,MATCH('Lorri 401b'!N3621,'Retirement Calculator'!A:A,0),0),0)</f>
        <v>0</v>
      </c>
      <c r="K3621" s="455">
        <f t="shared" ca="1" si="153"/>
        <v>-5977559380.9962492</v>
      </c>
      <c r="L3621" s="455">
        <f t="shared" ca="1" si="154"/>
        <v>-1440591810820.0962</v>
      </c>
      <c r="M3621" s="471">
        <f t="shared" si="156"/>
        <v>0.05</v>
      </c>
      <c r="N3621" s="475">
        <f t="shared" si="157"/>
        <v>161255</v>
      </c>
    </row>
    <row r="3622" spans="7:14" ht="11.25" customHeight="1" x14ac:dyDescent="0.3">
      <c r="G3622" s="470"/>
      <c r="H3622" s="470">
        <v>3615</v>
      </c>
      <c r="I3622" s="455">
        <f t="shared" ca="1" si="155"/>
        <v>-1440591810820.0962</v>
      </c>
      <c r="J3622" s="455">
        <f t="array" ref="J3622">IFERROR(INDEX('Retirement Calculator'!K:K,MATCH('Lorri 401b'!N3622,'Retirement Calculator'!A:A,0),0),0)</f>
        <v>0</v>
      </c>
      <c r="K3622" s="455">
        <f t="shared" ca="1" si="153"/>
        <v>-6002465878.4170675</v>
      </c>
      <c r="L3622" s="455">
        <f t="shared" ca="1" si="154"/>
        <v>-1446594276698.5132</v>
      </c>
      <c r="M3622" s="471">
        <f t="shared" si="156"/>
        <v>0.05</v>
      </c>
      <c r="N3622" s="475">
        <f t="shared" si="157"/>
        <v>161286</v>
      </c>
    </row>
    <row r="3623" spans="7:14" ht="11.25" customHeight="1" x14ac:dyDescent="0.3">
      <c r="G3623" s="470"/>
      <c r="H3623" s="470">
        <v>3616</v>
      </c>
      <c r="I3623" s="455">
        <f t="shared" ca="1" si="155"/>
        <v>-1446594276698.5132</v>
      </c>
      <c r="J3623" s="455">
        <f t="array" ref="J3623">IFERROR(INDEX('Retirement Calculator'!K:K,MATCH('Lorri 401b'!N3623,'Retirement Calculator'!A:A,0),0),0)</f>
        <v>0</v>
      </c>
      <c r="K3623" s="455">
        <f t="shared" ca="1" si="153"/>
        <v>-6027476152.9104719</v>
      </c>
      <c r="L3623" s="455">
        <f t="shared" ca="1" si="154"/>
        <v>-1452621752851.4236</v>
      </c>
      <c r="M3623" s="471">
        <f t="shared" si="156"/>
        <v>0.05</v>
      </c>
      <c r="N3623" s="475">
        <f t="shared" si="157"/>
        <v>161317</v>
      </c>
    </row>
    <row r="3624" spans="7:14" ht="11.25" customHeight="1" x14ac:dyDescent="0.3">
      <c r="G3624" s="470"/>
      <c r="H3624" s="470">
        <v>3617</v>
      </c>
      <c r="I3624" s="455">
        <f t="shared" ca="1" si="155"/>
        <v>-1452621752851.4236</v>
      </c>
      <c r="J3624" s="455">
        <f t="array" ref="J3624">IFERROR(INDEX('Retirement Calculator'!K:K,MATCH('Lorri 401b'!N3624,'Retirement Calculator'!A:A,0),0),0)</f>
        <v>0</v>
      </c>
      <c r="K3624" s="455">
        <f t="shared" ca="1" si="153"/>
        <v>-6052590636.8809319</v>
      </c>
      <c r="L3624" s="455">
        <f t="shared" ca="1" si="154"/>
        <v>-1458674343488.3044</v>
      </c>
      <c r="M3624" s="471">
        <f t="shared" si="156"/>
        <v>0.05</v>
      </c>
      <c r="N3624" s="475">
        <f t="shared" si="157"/>
        <v>161347</v>
      </c>
    </row>
    <row r="3625" spans="7:14" ht="11.25" customHeight="1" x14ac:dyDescent="0.3">
      <c r="G3625" s="470"/>
      <c r="H3625" s="470">
        <v>3618</v>
      </c>
      <c r="I3625" s="455">
        <f t="shared" ca="1" si="155"/>
        <v>-1458674343488.3044</v>
      </c>
      <c r="J3625" s="455">
        <f t="array" ref="J3625">IFERROR(INDEX('Retirement Calculator'!K:K,MATCH('Lorri 401b'!N3625,'Retirement Calculator'!A:A,0),0),0)</f>
        <v>0</v>
      </c>
      <c r="K3625" s="455">
        <f t="shared" ca="1" si="153"/>
        <v>-6077809764.5346022</v>
      </c>
      <c r="L3625" s="455">
        <f t="shared" ca="1" si="154"/>
        <v>-1464752153252.8391</v>
      </c>
      <c r="M3625" s="471">
        <f t="shared" si="156"/>
        <v>0.05</v>
      </c>
      <c r="N3625" s="475">
        <f t="shared" si="157"/>
        <v>161378</v>
      </c>
    </row>
    <row r="3626" spans="7:14" ht="11.25" customHeight="1" x14ac:dyDescent="0.3">
      <c r="G3626" s="470"/>
      <c r="H3626" s="470">
        <v>3619</v>
      </c>
      <c r="I3626" s="455">
        <f t="shared" ca="1" si="155"/>
        <v>-1464752153252.8391</v>
      </c>
      <c r="J3626" s="455">
        <f t="array" ref="J3626">IFERROR(INDEX('Retirement Calculator'!K:K,MATCH('Lorri 401b'!N3626,'Retirement Calculator'!A:A,0),0),0)</f>
        <v>0</v>
      </c>
      <c r="K3626" s="455">
        <f t="shared" ca="1" si="153"/>
        <v>-6103133971.8868294</v>
      </c>
      <c r="L3626" s="455">
        <f t="shared" ca="1" si="154"/>
        <v>-1470855287224.7258</v>
      </c>
      <c r="M3626" s="471">
        <f t="shared" si="156"/>
        <v>0.05</v>
      </c>
      <c r="N3626" s="475">
        <f t="shared" si="157"/>
        <v>161408</v>
      </c>
    </row>
    <row r="3627" spans="7:14" ht="11.25" customHeight="1" x14ac:dyDescent="0.3">
      <c r="G3627" s="470"/>
      <c r="H3627" s="470">
        <v>3620</v>
      </c>
      <c r="I3627" s="455">
        <f t="shared" ca="1" si="155"/>
        <v>-1470855287224.7258</v>
      </c>
      <c r="J3627" s="455">
        <f t="array" ref="J3627">IFERROR(INDEX('Retirement Calculator'!K:K,MATCH('Lorri 401b'!N3627,'Retirement Calculator'!A:A,0),0),0)</f>
        <v>0</v>
      </c>
      <c r="K3627" s="455">
        <f t="shared" ca="1" si="153"/>
        <v>-6128563696.7696905</v>
      </c>
      <c r="L3627" s="455">
        <f t="shared" ca="1" si="154"/>
        <v>-1476983850921.4956</v>
      </c>
      <c r="M3627" s="471">
        <f t="shared" si="156"/>
        <v>0.05</v>
      </c>
      <c r="N3627" s="475">
        <f t="shared" si="157"/>
        <v>161439</v>
      </c>
    </row>
    <row r="3628" spans="7:14" ht="11.25" customHeight="1" x14ac:dyDescent="0.3">
      <c r="G3628" s="470"/>
      <c r="H3628" s="470">
        <v>3621</v>
      </c>
      <c r="I3628" s="455">
        <f t="shared" ca="1" si="155"/>
        <v>-1476983850921.4956</v>
      </c>
      <c r="J3628" s="455">
        <f t="array" ref="J3628">IFERROR(INDEX('Retirement Calculator'!K:K,MATCH('Lorri 401b'!N3628,'Retirement Calculator'!A:A,0),0),0)</f>
        <v>0</v>
      </c>
      <c r="K3628" s="455">
        <f t="shared" ca="1" si="153"/>
        <v>-6154099378.8395653</v>
      </c>
      <c r="L3628" s="455">
        <f t="shared" ca="1" si="154"/>
        <v>-1483137950300.3352</v>
      </c>
      <c r="M3628" s="471">
        <f t="shared" si="156"/>
        <v>0.05</v>
      </c>
      <c r="N3628" s="475">
        <f t="shared" si="157"/>
        <v>161470</v>
      </c>
    </row>
    <row r="3629" spans="7:14" ht="11.25" customHeight="1" x14ac:dyDescent="0.3">
      <c r="G3629" s="470"/>
      <c r="H3629" s="470">
        <v>3622</v>
      </c>
      <c r="I3629" s="455">
        <f t="shared" ca="1" si="155"/>
        <v>-1483137950300.3352</v>
      </c>
      <c r="J3629" s="455">
        <f t="array" ref="J3629">IFERROR(INDEX('Retirement Calculator'!K:K,MATCH('Lorri 401b'!N3629,'Retirement Calculator'!A:A,0),0),0)</f>
        <v>0</v>
      </c>
      <c r="K3629" s="455">
        <f t="shared" ca="1" si="153"/>
        <v>-6179741459.5847301</v>
      </c>
      <c r="L3629" s="455">
        <f t="shared" ca="1" si="154"/>
        <v>-1489317691759.9199</v>
      </c>
      <c r="M3629" s="471">
        <f t="shared" si="156"/>
        <v>0.05</v>
      </c>
      <c r="N3629" s="475">
        <f t="shared" si="157"/>
        <v>161498</v>
      </c>
    </row>
    <row r="3630" spans="7:14" ht="11.25" customHeight="1" x14ac:dyDescent="0.3">
      <c r="G3630" s="470"/>
      <c r="H3630" s="470">
        <v>3623</v>
      </c>
      <c r="I3630" s="455">
        <f t="shared" ca="1" si="155"/>
        <v>-1489317691759.9199</v>
      </c>
      <c r="J3630" s="455">
        <f t="array" ref="J3630">IFERROR(INDEX('Retirement Calculator'!K:K,MATCH('Lorri 401b'!N3630,'Retirement Calculator'!A:A,0),0),0)</f>
        <v>0</v>
      </c>
      <c r="K3630" s="455">
        <f t="shared" ca="1" si="153"/>
        <v>-6205490382.3329992</v>
      </c>
      <c r="L3630" s="455">
        <f t="shared" ca="1" si="154"/>
        <v>-1495523182142.2529</v>
      </c>
      <c r="M3630" s="471">
        <f t="shared" si="156"/>
        <v>0.05</v>
      </c>
      <c r="N3630" s="475">
        <f t="shared" si="157"/>
        <v>161529</v>
      </c>
    </row>
    <row r="3631" spans="7:14" ht="11.25" customHeight="1" x14ac:dyDescent="0.3">
      <c r="G3631" s="470"/>
      <c r="H3631" s="470">
        <v>3624</v>
      </c>
      <c r="I3631" s="455">
        <f t="shared" ca="1" si="155"/>
        <v>-1495523182142.2529</v>
      </c>
      <c r="J3631" s="455">
        <f t="array" ref="J3631">IFERROR(INDEX('Retirement Calculator'!K:K,MATCH('Lorri 401b'!N3631,'Retirement Calculator'!A:A,0),0),0)</f>
        <v>0</v>
      </c>
      <c r="K3631" s="455">
        <f t="shared" ca="1" si="153"/>
        <v>-6231346592.259387</v>
      </c>
      <c r="L3631" s="455">
        <f t="shared" ca="1" si="154"/>
        <v>-1501754528734.5122</v>
      </c>
      <c r="M3631" s="471">
        <f t="shared" si="156"/>
        <v>0.05</v>
      </c>
      <c r="N3631" s="475">
        <f t="shared" si="157"/>
        <v>161559</v>
      </c>
    </row>
    <row r="3632" spans="7:14" ht="11.25" customHeight="1" x14ac:dyDescent="0.3">
      <c r="G3632" s="470"/>
      <c r="H3632" s="470">
        <v>3625</v>
      </c>
      <c r="I3632" s="455">
        <f t="shared" ca="1" si="155"/>
        <v>-1501754528734.5122</v>
      </c>
      <c r="J3632" s="455">
        <f t="array" ref="J3632">IFERROR(INDEX('Retirement Calculator'!K:K,MATCH('Lorri 401b'!N3632,'Retirement Calculator'!A:A,0),0),0)</f>
        <v>0</v>
      </c>
      <c r="K3632" s="455">
        <f t="shared" ca="1" si="153"/>
        <v>-6257310536.3938007</v>
      </c>
      <c r="L3632" s="455">
        <f t="shared" ca="1" si="154"/>
        <v>-1508011839270.906</v>
      </c>
      <c r="M3632" s="471">
        <f t="shared" si="156"/>
        <v>0.05</v>
      </c>
      <c r="N3632" s="475">
        <f t="shared" si="157"/>
        <v>161590</v>
      </c>
    </row>
    <row r="3633" spans="7:14" ht="11.25" customHeight="1" x14ac:dyDescent="0.3">
      <c r="G3633" s="470"/>
      <c r="H3633" s="470">
        <v>3626</v>
      </c>
      <c r="I3633" s="455">
        <f t="shared" ca="1" si="155"/>
        <v>-1508011839270.906</v>
      </c>
      <c r="J3633" s="455">
        <f t="array" ref="J3633">IFERROR(INDEX('Retirement Calculator'!K:K,MATCH('Lorri 401b'!N3633,'Retirement Calculator'!A:A,0),0),0)</f>
        <v>0</v>
      </c>
      <c r="K3633" s="455">
        <f t="shared" ca="1" si="153"/>
        <v>-6283382663.6287746</v>
      </c>
      <c r="L3633" s="455">
        <f t="shared" ca="1" si="154"/>
        <v>-1514295221934.5347</v>
      </c>
      <c r="M3633" s="471">
        <f t="shared" si="156"/>
        <v>0.05</v>
      </c>
      <c r="N3633" s="475">
        <f t="shared" si="157"/>
        <v>161620</v>
      </c>
    </row>
    <row r="3634" spans="7:14" ht="11.25" customHeight="1" x14ac:dyDescent="0.3">
      <c r="G3634" s="470"/>
      <c r="H3634" s="470">
        <v>3627</v>
      </c>
      <c r="I3634" s="455">
        <f t="shared" ca="1" si="155"/>
        <v>-1514295221934.5347</v>
      </c>
      <c r="J3634" s="455">
        <f t="array" ref="J3634">IFERROR(INDEX('Retirement Calculator'!K:K,MATCH('Lorri 401b'!N3634,'Retirement Calculator'!A:A,0),0),0)</f>
        <v>0</v>
      </c>
      <c r="K3634" s="455">
        <f t="shared" ca="1" si="153"/>
        <v>-6309563424.7272282</v>
      </c>
      <c r="L3634" s="455">
        <f t="shared" ca="1" si="154"/>
        <v>-1520604785359.262</v>
      </c>
      <c r="M3634" s="471">
        <f t="shared" si="156"/>
        <v>0.05</v>
      </c>
      <c r="N3634" s="475">
        <f t="shared" si="157"/>
        <v>161651</v>
      </c>
    </row>
    <row r="3635" spans="7:14" ht="11.25" customHeight="1" x14ac:dyDescent="0.3">
      <c r="G3635" s="470"/>
      <c r="H3635" s="470">
        <v>3628</v>
      </c>
      <c r="I3635" s="455">
        <f t="shared" ca="1" si="155"/>
        <v>-1520604785359.262</v>
      </c>
      <c r="J3635" s="455">
        <f t="array" ref="J3635">IFERROR(INDEX('Retirement Calculator'!K:K,MATCH('Lorri 401b'!N3635,'Retirement Calculator'!A:A,0),0),0)</f>
        <v>0</v>
      </c>
      <c r="K3635" s="455">
        <f t="shared" ca="1" si="153"/>
        <v>-6335853272.3302584</v>
      </c>
      <c r="L3635" s="455">
        <f t="shared" ca="1" si="154"/>
        <v>-1526940638631.5923</v>
      </c>
      <c r="M3635" s="471">
        <f t="shared" si="156"/>
        <v>0.05</v>
      </c>
      <c r="N3635" s="475">
        <f t="shared" si="157"/>
        <v>161682</v>
      </c>
    </row>
    <row r="3636" spans="7:14" ht="11.25" customHeight="1" x14ac:dyDescent="0.3">
      <c r="G3636" s="470"/>
      <c r="H3636" s="470">
        <v>3629</v>
      </c>
      <c r="I3636" s="455">
        <f t="shared" ca="1" si="155"/>
        <v>-1526940638631.5923</v>
      </c>
      <c r="J3636" s="455">
        <f t="array" ref="J3636">IFERROR(INDEX('Retirement Calculator'!K:K,MATCH('Lorri 401b'!N3636,'Retirement Calculator'!A:A,0),0),0)</f>
        <v>0</v>
      </c>
      <c r="K3636" s="455">
        <f t="shared" ca="1" si="153"/>
        <v>-6362252660.9649677</v>
      </c>
      <c r="L3636" s="455">
        <f t="shared" ca="1" si="154"/>
        <v>-1533302891292.5574</v>
      </c>
      <c r="M3636" s="471">
        <f t="shared" si="156"/>
        <v>0.05</v>
      </c>
      <c r="N3636" s="475">
        <f t="shared" si="157"/>
        <v>161712</v>
      </c>
    </row>
    <row r="3637" spans="7:14" ht="11.25" customHeight="1" x14ac:dyDescent="0.3">
      <c r="G3637" s="470"/>
      <c r="H3637" s="470">
        <v>3630</v>
      </c>
      <c r="I3637" s="455">
        <f t="shared" ca="1" si="155"/>
        <v>-1533302891292.5574</v>
      </c>
      <c r="J3637" s="455">
        <f t="array" ref="J3637">IFERROR(INDEX('Retirement Calculator'!K:K,MATCH('Lorri 401b'!N3637,'Retirement Calculator'!A:A,0),0),0)</f>
        <v>0</v>
      </c>
      <c r="K3637" s="455">
        <f t="shared" ca="1" si="153"/>
        <v>-6388762047.0523224</v>
      </c>
      <c r="L3637" s="455">
        <f t="shared" ca="1" si="154"/>
        <v>-1539691653339.6096</v>
      </c>
      <c r="M3637" s="471">
        <f t="shared" si="156"/>
        <v>0.05</v>
      </c>
      <c r="N3637" s="475">
        <f t="shared" si="157"/>
        <v>161743</v>
      </c>
    </row>
    <row r="3638" spans="7:14" ht="11.25" customHeight="1" x14ac:dyDescent="0.3">
      <c r="G3638" s="470"/>
      <c r="H3638" s="470">
        <v>3631</v>
      </c>
      <c r="I3638" s="455">
        <f t="shared" ca="1" si="155"/>
        <v>-1539691653339.6096</v>
      </c>
      <c r="J3638" s="455">
        <f t="array" ref="J3638">IFERROR(INDEX('Retirement Calculator'!K:K,MATCH('Lorri 401b'!N3638,'Retirement Calculator'!A:A,0),0),0)</f>
        <v>0</v>
      </c>
      <c r="K3638" s="455">
        <f t="shared" ca="1" si="153"/>
        <v>-6415381888.91504</v>
      </c>
      <c r="L3638" s="455">
        <f t="shared" ca="1" si="154"/>
        <v>-1546107035228.5247</v>
      </c>
      <c r="M3638" s="471">
        <f t="shared" si="156"/>
        <v>0.05</v>
      </c>
      <c r="N3638" s="475">
        <f t="shared" si="157"/>
        <v>161773</v>
      </c>
    </row>
    <row r="3639" spans="7:14" ht="11.25" customHeight="1" x14ac:dyDescent="0.3">
      <c r="G3639" s="470"/>
      <c r="H3639" s="470">
        <v>3632</v>
      </c>
      <c r="I3639" s="455">
        <f t="shared" ca="1" si="155"/>
        <v>-1546107035228.5247</v>
      </c>
      <c r="J3639" s="455">
        <f t="array" ref="J3639">IFERROR(INDEX('Retirement Calculator'!K:K,MATCH('Lorri 401b'!N3639,'Retirement Calculator'!A:A,0),0),0)</f>
        <v>0</v>
      </c>
      <c r="K3639" s="455">
        <f t="shared" ca="1" si="153"/>
        <v>-6442112646.7855196</v>
      </c>
      <c r="L3639" s="455">
        <f t="shared" ca="1" si="154"/>
        <v>-1552549147875.3101</v>
      </c>
      <c r="M3639" s="471">
        <f t="shared" si="156"/>
        <v>0.05</v>
      </c>
      <c r="N3639" s="475">
        <f t="shared" si="157"/>
        <v>161804</v>
      </c>
    </row>
    <row r="3640" spans="7:14" ht="11.25" customHeight="1" x14ac:dyDescent="0.3">
      <c r="G3640" s="470"/>
      <c r="H3640" s="470">
        <v>3633</v>
      </c>
      <c r="I3640" s="455">
        <f t="shared" ca="1" si="155"/>
        <v>-1552549147875.3101</v>
      </c>
      <c r="J3640" s="455">
        <f t="array" ref="J3640">IFERROR(INDEX('Retirement Calculator'!K:K,MATCH('Lorri 401b'!N3640,'Retirement Calculator'!A:A,0),0),0)</f>
        <v>0</v>
      </c>
      <c r="K3640" s="455">
        <f t="shared" ca="1" si="153"/>
        <v>-6468954782.8137922</v>
      </c>
      <c r="L3640" s="455">
        <f t="shared" ca="1" si="154"/>
        <v>-1559018102658.1238</v>
      </c>
      <c r="M3640" s="471">
        <f t="shared" si="156"/>
        <v>0.05</v>
      </c>
      <c r="N3640" s="475">
        <f t="shared" si="157"/>
        <v>161835</v>
      </c>
    </row>
    <row r="3641" spans="7:14" ht="11.25" customHeight="1" x14ac:dyDescent="0.3">
      <c r="G3641" s="470"/>
      <c r="H3641" s="470">
        <v>3634</v>
      </c>
      <c r="I3641" s="455">
        <f t="shared" ca="1" si="155"/>
        <v>-1559018102658.1238</v>
      </c>
      <c r="J3641" s="455">
        <f t="array" ref="J3641">IFERROR(INDEX('Retirement Calculator'!K:K,MATCH('Lorri 401b'!N3641,'Retirement Calculator'!A:A,0),0),0)</f>
        <v>0</v>
      </c>
      <c r="K3641" s="455">
        <f t="shared" ca="1" si="153"/>
        <v>-6495908761.0755157</v>
      </c>
      <c r="L3641" s="455">
        <f t="shared" ca="1" si="154"/>
        <v>-1565514011419.1992</v>
      </c>
      <c r="M3641" s="471">
        <f t="shared" si="156"/>
        <v>0.05</v>
      </c>
      <c r="N3641" s="475">
        <f t="shared" si="157"/>
        <v>161863</v>
      </c>
    </row>
    <row r="3642" spans="7:14" ht="11.25" customHeight="1" x14ac:dyDescent="0.3">
      <c r="G3642" s="470"/>
      <c r="H3642" s="470">
        <v>3635</v>
      </c>
      <c r="I3642" s="455">
        <f t="shared" ca="1" si="155"/>
        <v>-1565514011419.1992</v>
      </c>
      <c r="J3642" s="455">
        <f t="array" ref="J3642">IFERROR(INDEX('Retirement Calculator'!K:K,MATCH('Lorri 401b'!N3642,'Retirement Calculator'!A:A,0),0),0)</f>
        <v>0</v>
      </c>
      <c r="K3642" s="455">
        <f t="shared" ca="1" si="153"/>
        <v>-6522975047.5799971</v>
      </c>
      <c r="L3642" s="455">
        <f t="shared" ca="1" si="154"/>
        <v>-1572036986466.7793</v>
      </c>
      <c r="M3642" s="471">
        <f t="shared" si="156"/>
        <v>0.05</v>
      </c>
      <c r="N3642" s="475">
        <f t="shared" si="157"/>
        <v>161894</v>
      </c>
    </row>
    <row r="3643" spans="7:14" ht="11.25" customHeight="1" x14ac:dyDescent="0.3">
      <c r="G3643" s="470"/>
      <c r="H3643" s="470">
        <v>3636</v>
      </c>
      <c r="I3643" s="455">
        <f t="shared" ca="1" si="155"/>
        <v>-1572036986466.7793</v>
      </c>
      <c r="J3643" s="455">
        <f t="array" ref="J3643">IFERROR(INDEX('Retirement Calculator'!K:K,MATCH('Lorri 401b'!N3643,'Retirement Calculator'!A:A,0),0),0)</f>
        <v>0</v>
      </c>
      <c r="K3643" s="455">
        <f t="shared" ca="1" si="153"/>
        <v>-6550154110.2782469</v>
      </c>
      <c r="L3643" s="455">
        <f t="shared" ca="1" si="154"/>
        <v>-1578587140577.0576</v>
      </c>
      <c r="M3643" s="471">
        <f t="shared" si="156"/>
        <v>0.05</v>
      </c>
      <c r="N3643" s="475">
        <f t="shared" si="157"/>
        <v>161924</v>
      </c>
    </row>
    <row r="3644" spans="7:14" ht="11.25" customHeight="1" x14ac:dyDescent="0.3">
      <c r="G3644" s="470"/>
      <c r="H3644" s="470">
        <v>3637</v>
      </c>
      <c r="I3644" s="455">
        <f t="shared" ca="1" si="155"/>
        <v>-1578587140577.0576</v>
      </c>
      <c r="J3644" s="455">
        <f t="array" ref="J3644">IFERROR(INDEX('Retirement Calculator'!K:K,MATCH('Lorri 401b'!N3644,'Retirement Calculator'!A:A,0),0),0)</f>
        <v>0</v>
      </c>
      <c r="K3644" s="455">
        <f t="shared" ca="1" si="153"/>
        <v>-6577446419.0710735</v>
      </c>
      <c r="L3644" s="455">
        <f t="shared" ca="1" si="154"/>
        <v>-1585164586996.1287</v>
      </c>
      <c r="M3644" s="471">
        <f t="shared" si="156"/>
        <v>0.05</v>
      </c>
      <c r="N3644" s="475">
        <f t="shared" si="157"/>
        <v>161955</v>
      </c>
    </row>
    <row r="3645" spans="7:14" ht="11.25" customHeight="1" x14ac:dyDescent="0.3">
      <c r="G3645" s="470"/>
      <c r="H3645" s="470">
        <v>3638</v>
      </c>
      <c r="I3645" s="455">
        <f t="shared" ca="1" si="155"/>
        <v>-1585164586996.1287</v>
      </c>
      <c r="J3645" s="455">
        <f t="array" ref="J3645">IFERROR(INDEX('Retirement Calculator'!K:K,MATCH('Lorri 401b'!N3645,'Retirement Calculator'!A:A,0),0),0)</f>
        <v>0</v>
      </c>
      <c r="K3645" s="455">
        <f t="shared" ca="1" si="153"/>
        <v>-6604852445.8172026</v>
      </c>
      <c r="L3645" s="455">
        <f t="shared" ca="1" si="154"/>
        <v>-1591769439441.9458</v>
      </c>
      <c r="M3645" s="471">
        <f t="shared" si="156"/>
        <v>0.05</v>
      </c>
      <c r="N3645" s="475">
        <f t="shared" si="157"/>
        <v>161985</v>
      </c>
    </row>
    <row r="3646" spans="7:14" ht="11.25" customHeight="1" x14ac:dyDescent="0.3">
      <c r="G3646" s="470"/>
      <c r="H3646" s="470">
        <v>3639</v>
      </c>
      <c r="I3646" s="455">
        <f t="shared" ca="1" si="155"/>
        <v>-1591769439441.9458</v>
      </c>
      <c r="J3646" s="455">
        <f t="array" ref="J3646">IFERROR(INDEX('Retirement Calculator'!K:K,MATCH('Lorri 401b'!N3646,'Retirement Calculator'!A:A,0),0),0)</f>
        <v>0</v>
      </c>
      <c r="K3646" s="455">
        <f t="shared" ca="1" si="153"/>
        <v>-6632372664.3414412</v>
      </c>
      <c r="L3646" s="455">
        <f t="shared" ca="1" si="154"/>
        <v>-1598401812106.2874</v>
      </c>
      <c r="M3646" s="471">
        <f t="shared" si="156"/>
        <v>0.05</v>
      </c>
      <c r="N3646" s="475">
        <f t="shared" si="157"/>
        <v>162016</v>
      </c>
    </row>
    <row r="3647" spans="7:14" ht="11.25" customHeight="1" x14ac:dyDescent="0.3">
      <c r="G3647" s="470"/>
      <c r="H3647" s="470">
        <v>3640</v>
      </c>
      <c r="I3647" s="455">
        <f t="shared" ca="1" si="155"/>
        <v>-1598401812106.2874</v>
      </c>
      <c r="J3647" s="455">
        <f t="array" ref="J3647">IFERROR(INDEX('Retirement Calculator'!K:K,MATCH('Lorri 401b'!N3647,'Retirement Calculator'!A:A,0),0),0)</f>
        <v>0</v>
      </c>
      <c r="K3647" s="455">
        <f t="shared" ca="1" si="153"/>
        <v>-6660007550.4428635</v>
      </c>
      <c r="L3647" s="455">
        <f t="shared" ca="1" si="154"/>
        <v>-1605061819656.7302</v>
      </c>
      <c r="M3647" s="471">
        <f t="shared" si="156"/>
        <v>0.05</v>
      </c>
      <c r="N3647" s="475">
        <f t="shared" si="157"/>
        <v>162047</v>
      </c>
    </row>
    <row r="3648" spans="7:14" ht="11.25" customHeight="1" x14ac:dyDescent="0.3">
      <c r="G3648" s="470"/>
      <c r="H3648" s="470">
        <v>3641</v>
      </c>
      <c r="I3648" s="455">
        <f t="shared" ca="1" si="155"/>
        <v>-1605061819656.7302</v>
      </c>
      <c r="J3648" s="455">
        <f t="array" ref="J3648">IFERROR(INDEX('Retirement Calculator'!K:K,MATCH('Lorri 401b'!N3648,'Retirement Calculator'!A:A,0),0),0)</f>
        <v>0</v>
      </c>
      <c r="K3648" s="455">
        <f t="shared" ca="1" si="153"/>
        <v>-6687757581.9030428</v>
      </c>
      <c r="L3648" s="455">
        <f t="shared" ca="1" si="154"/>
        <v>-1611749577238.6333</v>
      </c>
      <c r="M3648" s="471">
        <f t="shared" si="156"/>
        <v>0.05</v>
      </c>
      <c r="N3648" s="475">
        <f t="shared" si="157"/>
        <v>162077</v>
      </c>
    </row>
    <row r="3649" spans="7:14" ht="11.25" customHeight="1" x14ac:dyDescent="0.3">
      <c r="G3649" s="470"/>
      <c r="H3649" s="470">
        <v>3642</v>
      </c>
      <c r="I3649" s="455">
        <f t="shared" ca="1" si="155"/>
        <v>-1611749577238.6333</v>
      </c>
      <c r="J3649" s="455">
        <f t="array" ref="J3649">IFERROR(INDEX('Retirement Calculator'!K:K,MATCH('Lorri 401b'!N3649,'Retirement Calculator'!A:A,0),0),0)</f>
        <v>0</v>
      </c>
      <c r="K3649" s="455">
        <f t="shared" ca="1" si="153"/>
        <v>-6715623238.4943056</v>
      </c>
      <c r="L3649" s="455">
        <f t="shared" ca="1" si="154"/>
        <v>-1618465200477.1277</v>
      </c>
      <c r="M3649" s="471">
        <f t="shared" si="156"/>
        <v>0.05</v>
      </c>
      <c r="N3649" s="475">
        <f t="shared" si="157"/>
        <v>162108</v>
      </c>
    </row>
    <row r="3650" spans="7:14" ht="11.25" customHeight="1" x14ac:dyDescent="0.3">
      <c r="G3650" s="470"/>
      <c r="H3650" s="470">
        <v>3643</v>
      </c>
      <c r="I3650" s="455">
        <f t="shared" ca="1" si="155"/>
        <v>-1618465200477.1277</v>
      </c>
      <c r="J3650" s="455">
        <f t="array" ref="J3650">IFERROR(INDEX('Retirement Calculator'!K:K,MATCH('Lorri 401b'!N3650,'Retirement Calculator'!A:A,0),0),0)</f>
        <v>0</v>
      </c>
      <c r="K3650" s="455">
        <f t="shared" ca="1" si="153"/>
        <v>-6743605001.9880323</v>
      </c>
      <c r="L3650" s="455">
        <f t="shared" ca="1" si="154"/>
        <v>-1625208805479.1157</v>
      </c>
      <c r="M3650" s="471">
        <f t="shared" si="156"/>
        <v>0.05</v>
      </c>
      <c r="N3650" s="475">
        <f t="shared" si="157"/>
        <v>162138</v>
      </c>
    </row>
    <row r="3651" spans="7:14" ht="11.25" customHeight="1" x14ac:dyDescent="0.3">
      <c r="G3651" s="470"/>
      <c r="H3651" s="470">
        <v>3644</v>
      </c>
      <c r="I3651" s="455">
        <f t="shared" ca="1" si="155"/>
        <v>-1625208805479.1157</v>
      </c>
      <c r="J3651" s="455">
        <f t="array" ref="J3651">IFERROR(INDEX('Retirement Calculator'!K:K,MATCH('Lorri 401b'!N3651,'Retirement Calculator'!A:A,0),0),0)</f>
        <v>0</v>
      </c>
      <c r="K3651" s="455">
        <f t="shared" ca="1" si="153"/>
        <v>-6771703356.162982</v>
      </c>
      <c r="L3651" s="455">
        <f t="shared" ca="1" si="154"/>
        <v>-1631980508835.2788</v>
      </c>
      <c r="M3651" s="471">
        <f t="shared" si="156"/>
        <v>0.05</v>
      </c>
      <c r="N3651" s="475">
        <f t="shared" si="157"/>
        <v>162169</v>
      </c>
    </row>
    <row r="3652" spans="7:14" ht="11.25" customHeight="1" x14ac:dyDescent="0.3">
      <c r="G3652" s="470"/>
      <c r="H3652" s="470">
        <v>3645</v>
      </c>
      <c r="I3652" s="455">
        <f t="shared" ca="1" si="155"/>
        <v>-1631980508835.2788</v>
      </c>
      <c r="J3652" s="455">
        <f t="array" ref="J3652">IFERROR(INDEX('Retirement Calculator'!K:K,MATCH('Lorri 401b'!N3652,'Retirement Calculator'!A:A,0),0),0)</f>
        <v>0</v>
      </c>
      <c r="K3652" s="455">
        <f t="shared" ca="1" si="153"/>
        <v>-6799918786.8136616</v>
      </c>
      <c r="L3652" s="455">
        <f t="shared" ca="1" si="154"/>
        <v>-1638780427622.0925</v>
      </c>
      <c r="M3652" s="471">
        <f t="shared" si="156"/>
        <v>0.05</v>
      </c>
      <c r="N3652" s="475">
        <f t="shared" si="157"/>
        <v>162200</v>
      </c>
    </row>
    <row r="3653" spans="7:14" ht="11.25" customHeight="1" x14ac:dyDescent="0.3">
      <c r="G3653" s="470"/>
      <c r="H3653" s="470">
        <v>3646</v>
      </c>
      <c r="I3653" s="455">
        <f t="shared" ca="1" si="155"/>
        <v>-1638780427622.0925</v>
      </c>
      <c r="J3653" s="455">
        <f t="array" ref="J3653">IFERROR(INDEX('Retirement Calculator'!K:K,MATCH('Lorri 401b'!N3653,'Retirement Calculator'!A:A,0),0),0)</f>
        <v>0</v>
      </c>
      <c r="K3653" s="455">
        <f t="shared" ca="1" si="153"/>
        <v>-6828251781.7587185</v>
      </c>
      <c r="L3653" s="455">
        <f t="shared" ca="1" si="154"/>
        <v>-1645608679403.8513</v>
      </c>
      <c r="M3653" s="471">
        <f t="shared" si="156"/>
        <v>0.05</v>
      </c>
      <c r="N3653" s="475">
        <f t="shared" si="157"/>
        <v>162229</v>
      </c>
    </row>
    <row r="3654" spans="7:14" ht="11.25" customHeight="1" x14ac:dyDescent="0.3">
      <c r="G3654" s="470"/>
      <c r="H3654" s="470">
        <v>3647</v>
      </c>
      <c r="I3654" s="455">
        <f t="shared" ca="1" si="155"/>
        <v>-1645608679403.8513</v>
      </c>
      <c r="J3654" s="455">
        <f t="array" ref="J3654">IFERROR(INDEX('Retirement Calculator'!K:K,MATCH('Lorri 401b'!N3654,'Retirement Calculator'!A:A,0),0),0)</f>
        <v>0</v>
      </c>
      <c r="K3654" s="455">
        <f t="shared" ca="1" si="153"/>
        <v>-6856702830.8493805</v>
      </c>
      <c r="L3654" s="455">
        <f t="shared" ca="1" si="154"/>
        <v>-1652465382234.7007</v>
      </c>
      <c r="M3654" s="471">
        <f t="shared" si="156"/>
        <v>0.05</v>
      </c>
      <c r="N3654" s="475">
        <f t="shared" si="157"/>
        <v>162260</v>
      </c>
    </row>
    <row r="3655" spans="7:14" ht="11.25" customHeight="1" x14ac:dyDescent="0.3">
      <c r="G3655" s="470"/>
      <c r="H3655" s="470">
        <v>3648</v>
      </c>
      <c r="I3655" s="455">
        <f t="shared" ca="1" si="155"/>
        <v>-1652465382234.7007</v>
      </c>
      <c r="J3655" s="455">
        <f t="array" ref="J3655">IFERROR(INDEX('Retirement Calculator'!K:K,MATCH('Lorri 401b'!N3655,'Retirement Calculator'!A:A,0),0),0)</f>
        <v>0</v>
      </c>
      <c r="K3655" s="455">
        <f t="shared" ca="1" si="153"/>
        <v>-6885272425.9779196</v>
      </c>
      <c r="L3655" s="455">
        <f t="shared" ca="1" si="154"/>
        <v>-1659350654660.6787</v>
      </c>
      <c r="M3655" s="471">
        <f t="shared" si="156"/>
        <v>0.05</v>
      </c>
      <c r="N3655" s="475">
        <f t="shared" si="157"/>
        <v>162290</v>
      </c>
    </row>
    <row r="3656" spans="7:14" ht="11.25" customHeight="1" x14ac:dyDescent="0.3">
      <c r="G3656" s="470"/>
      <c r="H3656" s="470">
        <v>3649</v>
      </c>
      <c r="I3656" s="455">
        <f t="shared" ca="1" si="155"/>
        <v>-1659350654660.6787</v>
      </c>
      <c r="J3656" s="455">
        <f t="array" ref="J3656">IFERROR(INDEX('Retirement Calculator'!K:K,MATCH('Lorri 401b'!N3656,'Retirement Calculator'!A:A,0),0),0)</f>
        <v>0</v>
      </c>
      <c r="K3656" s="455">
        <f t="shared" ca="1" si="153"/>
        <v>-6913961061.0861616</v>
      </c>
      <c r="L3656" s="455">
        <f t="shared" ca="1" si="154"/>
        <v>-1666264615721.7649</v>
      </c>
      <c r="M3656" s="471">
        <f t="shared" si="156"/>
        <v>0.05</v>
      </c>
      <c r="N3656" s="475">
        <f t="shared" si="157"/>
        <v>162321</v>
      </c>
    </row>
    <row r="3657" spans="7:14" ht="11.25" customHeight="1" x14ac:dyDescent="0.3">
      <c r="G3657" s="470"/>
      <c r="H3657" s="470">
        <v>3650</v>
      </c>
      <c r="I3657" s="455">
        <f t="shared" ca="1" si="155"/>
        <v>-1666264615721.7649</v>
      </c>
      <c r="J3657" s="455">
        <f t="array" ref="J3657">IFERROR(INDEX('Retirement Calculator'!K:K,MATCH('Lorri 401b'!N3657,'Retirement Calculator'!A:A,0),0),0)</f>
        <v>0</v>
      </c>
      <c r="K3657" s="455">
        <f t="shared" ca="1" si="153"/>
        <v>-6942769232.1740198</v>
      </c>
      <c r="L3657" s="455">
        <f t="shared" ca="1" si="154"/>
        <v>-1673207384953.939</v>
      </c>
      <c r="M3657" s="471">
        <f t="shared" si="156"/>
        <v>0.05</v>
      </c>
      <c r="N3657" s="475">
        <f t="shared" si="157"/>
        <v>162351</v>
      </c>
    </row>
    <row r="3658" spans="7:14" ht="11.25" customHeight="1" x14ac:dyDescent="0.3">
      <c r="G3658" s="470"/>
      <c r="H3658" s="470">
        <v>3651</v>
      </c>
      <c r="I3658" s="455">
        <f t="shared" ca="1" si="155"/>
        <v>-1673207384953.939</v>
      </c>
      <c r="J3658" s="455">
        <f t="array" ref="J3658">IFERROR(INDEX('Retirement Calculator'!K:K,MATCH('Lorri 401b'!N3658,'Retirement Calculator'!A:A,0),0),0)</f>
        <v>0</v>
      </c>
      <c r="K3658" s="455">
        <f t="shared" ca="1" si="153"/>
        <v>-6971697437.3080788</v>
      </c>
      <c r="L3658" s="455">
        <f t="shared" ca="1" si="154"/>
        <v>-1680179082391.2471</v>
      </c>
      <c r="M3658" s="471">
        <f t="shared" si="156"/>
        <v>0.05</v>
      </c>
      <c r="N3658" s="475">
        <f t="shared" si="157"/>
        <v>162382</v>
      </c>
    </row>
    <row r="3659" spans="7:14" ht="11.25" customHeight="1" x14ac:dyDescent="0.3">
      <c r="G3659" s="470"/>
      <c r="H3659" s="470">
        <v>3652</v>
      </c>
      <c r="I3659" s="455">
        <f t="shared" ca="1" si="155"/>
        <v>-1680179082391.2471</v>
      </c>
      <c r="J3659" s="455">
        <f t="array" ref="J3659">IFERROR(INDEX('Retirement Calculator'!K:K,MATCH('Lorri 401b'!N3659,'Retirement Calculator'!A:A,0),0),0)</f>
        <v>0</v>
      </c>
      <c r="K3659" s="455">
        <f t="shared" ca="1" si="153"/>
        <v>-7000746176.6301956</v>
      </c>
      <c r="L3659" s="455">
        <f t="shared" ca="1" si="154"/>
        <v>-1687179828567.8772</v>
      </c>
      <c r="M3659" s="471">
        <f t="shared" si="156"/>
        <v>0.05</v>
      </c>
      <c r="N3659" s="475">
        <f t="shared" si="157"/>
        <v>162413</v>
      </c>
    </row>
    <row r="3660" spans="7:14" ht="11.25" customHeight="1" x14ac:dyDescent="0.3">
      <c r="G3660" s="470"/>
      <c r="H3660" s="470">
        <v>3653</v>
      </c>
      <c r="I3660" s="455">
        <f t="shared" ca="1" si="155"/>
        <v>-1687179828567.8772</v>
      </c>
      <c r="J3660" s="455">
        <f t="array" ref="J3660">IFERROR(INDEX('Retirement Calculator'!K:K,MATCH('Lorri 401b'!N3660,'Retirement Calculator'!A:A,0),0),0)</f>
        <v>0</v>
      </c>
      <c r="K3660" s="455">
        <f t="shared" ca="1" si="153"/>
        <v>-7029915952.3661547</v>
      </c>
      <c r="L3660" s="455">
        <f t="shared" ca="1" si="154"/>
        <v>-1694209744520.2434</v>
      </c>
      <c r="M3660" s="471">
        <f t="shared" si="156"/>
        <v>0.05</v>
      </c>
      <c r="N3660" s="475">
        <f t="shared" si="157"/>
        <v>162443</v>
      </c>
    </row>
    <row r="3661" spans="7:14" ht="11.25" customHeight="1" x14ac:dyDescent="0.3">
      <c r="G3661" s="470"/>
      <c r="H3661" s="470">
        <v>3654</v>
      </c>
      <c r="I3661" s="455">
        <f t="shared" ca="1" si="155"/>
        <v>-1694209744520.2434</v>
      </c>
      <c r="J3661" s="455">
        <f t="array" ref="J3661">IFERROR(INDEX('Retirement Calculator'!K:K,MATCH('Lorri 401b'!N3661,'Retirement Calculator'!A:A,0),0),0)</f>
        <v>0</v>
      </c>
      <c r="K3661" s="455">
        <f t="shared" ca="1" si="153"/>
        <v>-7059207268.8343477</v>
      </c>
      <c r="L3661" s="455">
        <f t="shared" ca="1" si="154"/>
        <v>-1701268951789.0776</v>
      </c>
      <c r="M3661" s="471">
        <f t="shared" si="156"/>
        <v>0.05</v>
      </c>
      <c r="N3661" s="475">
        <f t="shared" si="157"/>
        <v>162474</v>
      </c>
    </row>
    <row r="3662" spans="7:14" ht="11.25" customHeight="1" x14ac:dyDescent="0.3">
      <c r="G3662" s="470"/>
      <c r="H3662" s="470">
        <v>3655</v>
      </c>
      <c r="I3662" s="455">
        <f t="shared" ca="1" si="155"/>
        <v>-1701268951789.0776</v>
      </c>
      <c r="J3662" s="455">
        <f t="array" ref="J3662">IFERROR(INDEX('Retirement Calculator'!K:K,MATCH('Lorri 401b'!N3662,'Retirement Calculator'!A:A,0),0),0)</f>
        <v>0</v>
      </c>
      <c r="K3662" s="455">
        <f t="shared" ca="1" si="153"/>
        <v>-7088620632.4544897</v>
      </c>
      <c r="L3662" s="455">
        <f t="shared" ca="1" si="154"/>
        <v>-1708357572421.5322</v>
      </c>
      <c r="M3662" s="471">
        <f t="shared" si="156"/>
        <v>0.05</v>
      </c>
      <c r="N3662" s="475">
        <f t="shared" si="157"/>
        <v>162504</v>
      </c>
    </row>
    <row r="3663" spans="7:14" ht="11.25" customHeight="1" x14ac:dyDescent="0.3">
      <c r="G3663" s="470"/>
      <c r="H3663" s="470">
        <v>3656</v>
      </c>
      <c r="I3663" s="455">
        <f t="shared" ca="1" si="155"/>
        <v>-1708357572421.5322</v>
      </c>
      <c r="J3663" s="455">
        <f t="array" ref="J3663">IFERROR(INDEX('Retirement Calculator'!K:K,MATCH('Lorri 401b'!N3663,'Retirement Calculator'!A:A,0),0),0)</f>
        <v>0</v>
      </c>
      <c r="K3663" s="455">
        <f t="shared" ca="1" si="153"/>
        <v>-7118156551.7563839</v>
      </c>
      <c r="L3663" s="455">
        <f t="shared" ca="1" si="154"/>
        <v>-1715475728973.2886</v>
      </c>
      <c r="M3663" s="471">
        <f t="shared" si="156"/>
        <v>0.05</v>
      </c>
      <c r="N3663" s="475">
        <f t="shared" si="157"/>
        <v>162535</v>
      </c>
    </row>
    <row r="3664" spans="7:14" ht="11.25" customHeight="1" x14ac:dyDescent="0.3">
      <c r="G3664" s="470"/>
      <c r="H3664" s="470">
        <v>3657</v>
      </c>
      <c r="I3664" s="455">
        <f t="shared" ca="1" si="155"/>
        <v>-1715475728973.2886</v>
      </c>
      <c r="J3664" s="455">
        <f t="array" ref="J3664">IFERROR(INDEX('Retirement Calculator'!K:K,MATCH('Lorri 401b'!N3664,'Retirement Calculator'!A:A,0),0),0)</f>
        <v>0</v>
      </c>
      <c r="K3664" s="455">
        <f t="shared" ca="1" si="153"/>
        <v>-7147815537.3887024</v>
      </c>
      <c r="L3664" s="455">
        <f t="shared" ca="1" si="154"/>
        <v>-1722623544510.6772</v>
      </c>
      <c r="M3664" s="471">
        <f t="shared" si="156"/>
        <v>0.05</v>
      </c>
      <c r="N3664" s="475">
        <f t="shared" si="157"/>
        <v>162566</v>
      </c>
    </row>
    <row r="3665" spans="7:14" ht="11.25" customHeight="1" x14ac:dyDescent="0.3">
      <c r="G3665" s="470"/>
      <c r="H3665" s="470">
        <v>3658</v>
      </c>
      <c r="I3665" s="455">
        <f t="shared" ca="1" si="155"/>
        <v>-1722623544510.6772</v>
      </c>
      <c r="J3665" s="455">
        <f t="array" ref="J3665">IFERROR(INDEX('Retirement Calculator'!K:K,MATCH('Lorri 401b'!N3665,'Retirement Calculator'!A:A,0),0),0)</f>
        <v>0</v>
      </c>
      <c r="K3665" s="455">
        <f t="shared" ca="1" si="153"/>
        <v>-7177598102.127821</v>
      </c>
      <c r="L3665" s="455">
        <f t="shared" ca="1" si="154"/>
        <v>-1729801142612.8052</v>
      </c>
      <c r="M3665" s="471">
        <f t="shared" si="156"/>
        <v>0.05</v>
      </c>
      <c r="N3665" s="475">
        <f t="shared" si="157"/>
        <v>162594</v>
      </c>
    </row>
    <row r="3666" spans="7:14" ht="11.25" customHeight="1" x14ac:dyDescent="0.3">
      <c r="G3666" s="470"/>
      <c r="H3666" s="470">
        <v>3659</v>
      </c>
      <c r="I3666" s="455">
        <f t="shared" ca="1" si="155"/>
        <v>-1729801142612.8052</v>
      </c>
      <c r="J3666" s="455">
        <f t="array" ref="J3666">IFERROR(INDEX('Retirement Calculator'!K:K,MATCH('Lorri 401b'!N3666,'Retirement Calculator'!A:A,0),0),0)</f>
        <v>0</v>
      </c>
      <c r="K3666" s="455">
        <f t="shared" ca="1" si="153"/>
        <v>-7207504760.8866882</v>
      </c>
      <c r="L3666" s="455">
        <f t="shared" ca="1" si="154"/>
        <v>-1737008647373.6919</v>
      </c>
      <c r="M3666" s="471">
        <f t="shared" si="156"/>
        <v>0.05</v>
      </c>
      <c r="N3666" s="475">
        <f t="shared" si="157"/>
        <v>162625</v>
      </c>
    </row>
    <row r="3667" spans="7:14" ht="11.25" customHeight="1" x14ac:dyDescent="0.3">
      <c r="G3667" s="470"/>
      <c r="H3667" s="470">
        <v>3660</v>
      </c>
      <c r="I3667" s="455">
        <f t="shared" ca="1" si="155"/>
        <v>-1737008647373.6919</v>
      </c>
      <c r="J3667" s="455">
        <f t="array" ref="J3667">IFERROR(INDEX('Retirement Calculator'!K:K,MATCH('Lorri 401b'!N3667,'Retirement Calculator'!A:A,0),0),0)</f>
        <v>0</v>
      </c>
      <c r="K3667" s="455">
        <f t="shared" ca="1" si="153"/>
        <v>-7237536030.7237158</v>
      </c>
      <c r="L3667" s="455">
        <f t="shared" ca="1" si="154"/>
        <v>-1744246183404.4155</v>
      </c>
      <c r="M3667" s="471">
        <f t="shared" si="156"/>
        <v>0.05</v>
      </c>
      <c r="N3667" s="475">
        <f t="shared" si="157"/>
        <v>162655</v>
      </c>
    </row>
    <row r="3668" spans="7:14" ht="11.25" customHeight="1" x14ac:dyDescent="0.3">
      <c r="G3668" s="470"/>
      <c r="H3668" s="470">
        <v>3661</v>
      </c>
      <c r="I3668" s="455">
        <f t="shared" ca="1" si="155"/>
        <v>-1744246183404.4155</v>
      </c>
      <c r="J3668" s="455">
        <f t="array" ref="J3668">IFERROR(INDEX('Retirement Calculator'!K:K,MATCH('Lorri 401b'!N3668,'Retirement Calculator'!A:A,0),0),0)</f>
        <v>0</v>
      </c>
      <c r="K3668" s="455">
        <f t="shared" ca="1" si="153"/>
        <v>-7267692430.8517323</v>
      </c>
      <c r="L3668" s="455">
        <f t="shared" ca="1" si="154"/>
        <v>-1751513875835.2673</v>
      </c>
      <c r="M3668" s="471">
        <f t="shared" si="156"/>
        <v>0.05</v>
      </c>
      <c r="N3668" s="475">
        <f t="shared" si="157"/>
        <v>162686</v>
      </c>
    </row>
    <row r="3669" spans="7:14" ht="11.25" customHeight="1" x14ac:dyDescent="0.3">
      <c r="G3669" s="470"/>
      <c r="H3669" s="470">
        <v>3662</v>
      </c>
      <c r="I3669" s="455">
        <f t="shared" ca="1" si="155"/>
        <v>-1751513875835.2673</v>
      </c>
      <c r="J3669" s="455">
        <f t="array" ref="J3669">IFERROR(INDEX('Retirement Calculator'!K:K,MATCH('Lorri 401b'!N3669,'Retirement Calculator'!A:A,0),0),0)</f>
        <v>0</v>
      </c>
      <c r="K3669" s="455">
        <f t="shared" ca="1" si="153"/>
        <v>-7297974482.6469479</v>
      </c>
      <c r="L3669" s="455">
        <f t="shared" ca="1" si="154"/>
        <v>-1758811850317.9143</v>
      </c>
      <c r="M3669" s="471">
        <f t="shared" si="156"/>
        <v>0.05</v>
      </c>
      <c r="N3669" s="475">
        <f t="shared" si="157"/>
        <v>162716</v>
      </c>
    </row>
    <row r="3670" spans="7:14" ht="11.25" customHeight="1" x14ac:dyDescent="0.3">
      <c r="G3670" s="470"/>
      <c r="H3670" s="470">
        <v>3663</v>
      </c>
      <c r="I3670" s="455">
        <f t="shared" ca="1" si="155"/>
        <v>-1758811850317.9143</v>
      </c>
      <c r="J3670" s="455">
        <f t="array" ref="J3670">IFERROR(INDEX('Retirement Calculator'!K:K,MATCH('Lorri 401b'!N3670,'Retirement Calculator'!A:A,0),0),0)</f>
        <v>0</v>
      </c>
      <c r="K3670" s="455">
        <f t="shared" ca="1" si="153"/>
        <v>-7328382709.6579762</v>
      </c>
      <c r="L3670" s="455">
        <f t="shared" ca="1" si="154"/>
        <v>-1766140233027.5723</v>
      </c>
      <c r="M3670" s="471">
        <f t="shared" si="156"/>
        <v>0.05</v>
      </c>
      <c r="N3670" s="475">
        <f t="shared" si="157"/>
        <v>162747</v>
      </c>
    </row>
    <row r="3671" spans="7:14" ht="11.25" customHeight="1" x14ac:dyDescent="0.3">
      <c r="G3671" s="470"/>
      <c r="H3671" s="470">
        <v>3664</v>
      </c>
      <c r="I3671" s="455">
        <f t="shared" ca="1" si="155"/>
        <v>-1766140233027.5723</v>
      </c>
      <c r="J3671" s="455">
        <f t="array" ref="J3671">IFERROR(INDEX('Retirement Calculator'!K:K,MATCH('Lorri 401b'!N3671,'Retirement Calculator'!A:A,0),0),0)</f>
        <v>0</v>
      </c>
      <c r="K3671" s="455">
        <f t="shared" ca="1" si="153"/>
        <v>-7358917637.6148844</v>
      </c>
      <c r="L3671" s="455">
        <f t="shared" ca="1" si="154"/>
        <v>-1773499150665.1873</v>
      </c>
      <c r="M3671" s="471">
        <f t="shared" si="156"/>
        <v>0.05</v>
      </c>
      <c r="N3671" s="475">
        <f t="shared" si="157"/>
        <v>162778</v>
      </c>
    </row>
    <row r="3672" spans="7:14" ht="11.25" customHeight="1" x14ac:dyDescent="0.3">
      <c r="G3672" s="470"/>
      <c r="H3672" s="470">
        <v>3665</v>
      </c>
      <c r="I3672" s="455">
        <f t="shared" ca="1" si="155"/>
        <v>-1773499150665.1873</v>
      </c>
      <c r="J3672" s="455">
        <f t="array" ref="J3672">IFERROR(INDEX('Retirement Calculator'!K:K,MATCH('Lorri 401b'!N3672,'Retirement Calculator'!A:A,0),0),0)</f>
        <v>0</v>
      </c>
      <c r="K3672" s="455">
        <f t="shared" ca="1" si="153"/>
        <v>-7389579794.4382801</v>
      </c>
      <c r="L3672" s="455">
        <f t="shared" ca="1" si="154"/>
        <v>-1780888730459.6255</v>
      </c>
      <c r="M3672" s="471">
        <f t="shared" si="156"/>
        <v>0.05</v>
      </c>
      <c r="N3672" s="475">
        <f t="shared" si="157"/>
        <v>162808</v>
      </c>
    </row>
    <row r="3673" spans="7:14" ht="11.25" customHeight="1" x14ac:dyDescent="0.3">
      <c r="G3673" s="470"/>
      <c r="H3673" s="470">
        <v>3666</v>
      </c>
      <c r="I3673" s="455">
        <f t="shared" ca="1" si="155"/>
        <v>-1780888730459.6255</v>
      </c>
      <c r="J3673" s="455">
        <f t="array" ref="J3673">IFERROR(INDEX('Retirement Calculator'!K:K,MATCH('Lorri 401b'!N3673,'Retirement Calculator'!A:A,0),0),0)</f>
        <v>0</v>
      </c>
      <c r="K3673" s="455">
        <f t="shared" ca="1" si="153"/>
        <v>-7420369710.2484388</v>
      </c>
      <c r="L3673" s="455">
        <f t="shared" ca="1" si="154"/>
        <v>-1788309100169.874</v>
      </c>
      <c r="M3673" s="471">
        <f t="shared" si="156"/>
        <v>0.05</v>
      </c>
      <c r="N3673" s="475">
        <f t="shared" si="157"/>
        <v>162839</v>
      </c>
    </row>
    <row r="3674" spans="7:14" ht="11.25" customHeight="1" x14ac:dyDescent="0.3">
      <c r="G3674" s="470"/>
      <c r="H3674" s="470">
        <v>3667</v>
      </c>
      <c r="I3674" s="455">
        <f t="shared" ca="1" si="155"/>
        <v>-1788309100169.874</v>
      </c>
      <c r="J3674" s="455">
        <f t="array" ref="J3674">IFERROR(INDEX('Retirement Calculator'!K:K,MATCH('Lorri 401b'!N3674,'Retirement Calculator'!A:A,0),0),0)</f>
        <v>0</v>
      </c>
      <c r="K3674" s="455">
        <f t="shared" ca="1" si="153"/>
        <v>-7451287917.3744764</v>
      </c>
      <c r="L3674" s="455">
        <f t="shared" ca="1" si="154"/>
        <v>-1795760388087.2485</v>
      </c>
      <c r="M3674" s="471">
        <f t="shared" si="156"/>
        <v>0.05</v>
      </c>
      <c r="N3674" s="475">
        <f t="shared" si="157"/>
        <v>162869</v>
      </c>
    </row>
    <row r="3675" spans="7:14" ht="11.25" customHeight="1" x14ac:dyDescent="0.3">
      <c r="G3675" s="470"/>
      <c r="H3675" s="470">
        <v>3668</v>
      </c>
      <c r="I3675" s="455">
        <f t="shared" ca="1" si="155"/>
        <v>-1795760388087.2485</v>
      </c>
      <c r="J3675" s="455">
        <f t="array" ref="J3675">IFERROR(INDEX('Retirement Calculator'!K:K,MATCH('Lorri 401b'!N3675,'Retirement Calculator'!A:A,0),0),0)</f>
        <v>0</v>
      </c>
      <c r="K3675" s="455">
        <f t="shared" ca="1" si="153"/>
        <v>-7482334950.3635359</v>
      </c>
      <c r="L3675" s="455">
        <f t="shared" ca="1" si="154"/>
        <v>-1803242723037.6121</v>
      </c>
      <c r="M3675" s="471">
        <f t="shared" si="156"/>
        <v>0.05</v>
      </c>
      <c r="N3675" s="475">
        <f t="shared" si="157"/>
        <v>162900</v>
      </c>
    </row>
    <row r="3676" spans="7:14" ht="11.25" customHeight="1" x14ac:dyDescent="0.3">
      <c r="G3676" s="470"/>
      <c r="H3676" s="470">
        <v>3669</v>
      </c>
      <c r="I3676" s="455">
        <f t="shared" ca="1" si="155"/>
        <v>-1803242723037.6121</v>
      </c>
      <c r="J3676" s="455">
        <f t="array" ref="J3676">IFERROR(INDEX('Retirement Calculator'!K:K,MATCH('Lorri 401b'!N3676,'Retirement Calculator'!A:A,0),0),0)</f>
        <v>0</v>
      </c>
      <c r="K3676" s="455">
        <f t="shared" ca="1" si="153"/>
        <v>-7513511345.9900503</v>
      </c>
      <c r="L3676" s="455">
        <f t="shared" ca="1" si="154"/>
        <v>-1810756234383.6021</v>
      </c>
      <c r="M3676" s="471">
        <f t="shared" si="156"/>
        <v>0.05</v>
      </c>
      <c r="N3676" s="475">
        <f t="shared" si="157"/>
        <v>162931</v>
      </c>
    </row>
    <row r="3677" spans="7:14" ht="11.25" customHeight="1" x14ac:dyDescent="0.3">
      <c r="G3677" s="470"/>
      <c r="H3677" s="470">
        <v>3670</v>
      </c>
      <c r="I3677" s="455">
        <f t="shared" ca="1" si="155"/>
        <v>-1810756234383.6021</v>
      </c>
      <c r="J3677" s="455">
        <f t="array" ref="J3677">IFERROR(INDEX('Retirement Calculator'!K:K,MATCH('Lorri 401b'!N3677,'Retirement Calculator'!A:A,0),0),0)</f>
        <v>0</v>
      </c>
      <c r="K3677" s="455">
        <f t="shared" ca="1" si="153"/>
        <v>-7544817643.265008</v>
      </c>
      <c r="L3677" s="455">
        <f t="shared" ca="1" si="154"/>
        <v>-1818301052026.8669</v>
      </c>
      <c r="M3677" s="471">
        <f t="shared" si="156"/>
        <v>0.05</v>
      </c>
      <c r="N3677" s="475">
        <f t="shared" si="157"/>
        <v>162959</v>
      </c>
    </row>
    <row r="3678" spans="7:14" ht="11.25" customHeight="1" x14ac:dyDescent="0.3">
      <c r="G3678" s="470"/>
      <c r="H3678" s="470">
        <v>3671</v>
      </c>
      <c r="I3678" s="455">
        <f t="shared" ca="1" si="155"/>
        <v>-1818301052026.8669</v>
      </c>
      <c r="J3678" s="455">
        <f t="array" ref="J3678">IFERROR(INDEX('Retirement Calculator'!K:K,MATCH('Lorri 401b'!N3678,'Retirement Calculator'!A:A,0),0),0)</f>
        <v>0</v>
      </c>
      <c r="K3678" s="455">
        <f t="shared" ca="1" si="153"/>
        <v>-7576254383.4452791</v>
      </c>
      <c r="L3678" s="455">
        <f t="shared" ca="1" si="154"/>
        <v>-1825877306410.3123</v>
      </c>
      <c r="M3678" s="471">
        <f t="shared" si="156"/>
        <v>0.05</v>
      </c>
      <c r="N3678" s="475">
        <f t="shared" si="157"/>
        <v>162990</v>
      </c>
    </row>
    <row r="3679" spans="7:14" ht="11.25" customHeight="1" x14ac:dyDescent="0.3">
      <c r="G3679" s="470"/>
      <c r="H3679" s="470">
        <v>3672</v>
      </c>
      <c r="I3679" s="455">
        <f t="shared" ca="1" si="155"/>
        <v>-1825877306410.3123</v>
      </c>
      <c r="J3679" s="455">
        <f t="array" ref="J3679">IFERROR(INDEX('Retirement Calculator'!K:K,MATCH('Lorri 401b'!N3679,'Retirement Calculator'!A:A,0),0),0)</f>
        <v>0</v>
      </c>
      <c r="K3679" s="455">
        <f t="shared" ca="1" si="153"/>
        <v>-7607822110.0429678</v>
      </c>
      <c r="L3679" s="455">
        <f t="shared" ca="1" si="154"/>
        <v>-1833485128520.3552</v>
      </c>
      <c r="M3679" s="471">
        <f t="shared" si="156"/>
        <v>0.05</v>
      </c>
      <c r="N3679" s="475">
        <f t="shared" si="157"/>
        <v>163020</v>
      </c>
    </row>
    <row r="3680" spans="7:14" ht="11.25" customHeight="1" x14ac:dyDescent="0.3">
      <c r="G3680" s="470"/>
      <c r="H3680" s="470">
        <v>3673</v>
      </c>
      <c r="I3680" s="455">
        <f t="shared" ca="1" si="155"/>
        <v>-1833485128520.3552</v>
      </c>
      <c r="J3680" s="455">
        <f t="array" ref="J3680">IFERROR(INDEX('Retirement Calculator'!K:K,MATCH('Lorri 401b'!N3680,'Retirement Calculator'!A:A,0),0),0)</f>
        <v>0</v>
      </c>
      <c r="K3680" s="455">
        <f t="shared" ca="1" si="153"/>
        <v>-7639521368.8348122</v>
      </c>
      <c r="L3680" s="455">
        <f t="shared" ca="1" si="154"/>
        <v>-1841124649889.1899</v>
      </c>
      <c r="M3680" s="471">
        <f t="shared" si="156"/>
        <v>0.05</v>
      </c>
      <c r="N3680" s="475">
        <f t="shared" si="157"/>
        <v>163051</v>
      </c>
    </row>
    <row r="3681" spans="7:14" ht="11.25" customHeight="1" x14ac:dyDescent="0.3">
      <c r="G3681" s="470"/>
      <c r="H3681" s="470">
        <v>3674</v>
      </c>
      <c r="I3681" s="455">
        <f t="shared" ca="1" si="155"/>
        <v>-1841124649889.1899</v>
      </c>
      <c r="J3681" s="455">
        <f t="array" ref="J3681">IFERROR(INDEX('Retirement Calculator'!K:K,MATCH('Lorri 401b'!N3681,'Retirement Calculator'!A:A,0),0),0)</f>
        <v>0</v>
      </c>
      <c r="K3681" s="455">
        <f t="shared" ca="1" si="153"/>
        <v>-7671352707.8716249</v>
      </c>
      <c r="L3681" s="455">
        <f t="shared" ca="1" si="154"/>
        <v>-1848796002597.0615</v>
      </c>
      <c r="M3681" s="471">
        <f t="shared" si="156"/>
        <v>0.05</v>
      </c>
      <c r="N3681" s="475">
        <f t="shared" si="157"/>
        <v>163081</v>
      </c>
    </row>
    <row r="3682" spans="7:14" ht="11.25" customHeight="1" x14ac:dyDescent="0.3">
      <c r="G3682" s="470"/>
      <c r="H3682" s="470">
        <v>3675</v>
      </c>
      <c r="I3682" s="455">
        <f t="shared" ca="1" si="155"/>
        <v>-1848796002597.0615</v>
      </c>
      <c r="J3682" s="455">
        <f t="array" ref="J3682">IFERROR(INDEX('Retirement Calculator'!K:K,MATCH('Lorri 401b'!N3682,'Retirement Calculator'!A:A,0),0),0)</f>
        <v>0</v>
      </c>
      <c r="K3682" s="455">
        <f t="shared" ca="1" si="153"/>
        <v>-7703316677.4877577</v>
      </c>
      <c r="L3682" s="455">
        <f t="shared" ca="1" si="154"/>
        <v>-1856499319274.5493</v>
      </c>
      <c r="M3682" s="471">
        <f t="shared" si="156"/>
        <v>0.05</v>
      </c>
      <c r="N3682" s="475">
        <f t="shared" si="157"/>
        <v>163112</v>
      </c>
    </row>
    <row r="3683" spans="7:14" ht="11.25" customHeight="1" x14ac:dyDescent="0.3">
      <c r="G3683" s="470"/>
      <c r="H3683" s="470">
        <v>3676</v>
      </c>
      <c r="I3683" s="455">
        <f t="shared" ca="1" si="155"/>
        <v>-1856499319274.5493</v>
      </c>
      <c r="J3683" s="455">
        <f t="array" ref="J3683">IFERROR(INDEX('Retirement Calculator'!K:K,MATCH('Lorri 401b'!N3683,'Retirement Calculator'!A:A,0),0),0)</f>
        <v>0</v>
      </c>
      <c r="K3683" s="455">
        <f t="shared" ca="1" si="153"/>
        <v>-7735413830.3106213</v>
      </c>
      <c r="L3683" s="455">
        <f t="shared" ca="1" si="154"/>
        <v>-1864234733104.8599</v>
      </c>
      <c r="M3683" s="471">
        <f t="shared" si="156"/>
        <v>0.05</v>
      </c>
      <c r="N3683" s="475">
        <f t="shared" si="157"/>
        <v>163143</v>
      </c>
    </row>
    <row r="3684" spans="7:14" ht="11.25" customHeight="1" x14ac:dyDescent="0.3">
      <c r="G3684" s="470"/>
      <c r="H3684" s="470">
        <v>3677</v>
      </c>
      <c r="I3684" s="455">
        <f t="shared" ca="1" si="155"/>
        <v>-1864234733104.8599</v>
      </c>
      <c r="J3684" s="455">
        <f t="array" ref="J3684">IFERROR(INDEX('Retirement Calculator'!K:K,MATCH('Lorri 401b'!N3684,'Retirement Calculator'!A:A,0),0),0)</f>
        <v>0</v>
      </c>
      <c r="K3684" s="455">
        <f t="shared" ca="1" si="153"/>
        <v>-7767644721.2702503</v>
      </c>
      <c r="L3684" s="455">
        <f t="shared" ca="1" si="154"/>
        <v>-1872002377826.1301</v>
      </c>
      <c r="M3684" s="471">
        <f t="shared" si="156"/>
        <v>0.05</v>
      </c>
      <c r="N3684" s="475">
        <f t="shared" si="157"/>
        <v>163173</v>
      </c>
    </row>
    <row r="3685" spans="7:14" ht="11.25" customHeight="1" x14ac:dyDescent="0.3">
      <c r="G3685" s="470"/>
      <c r="H3685" s="470">
        <v>3678</v>
      </c>
      <c r="I3685" s="455">
        <f t="shared" ca="1" si="155"/>
        <v>-1872002377826.1301</v>
      </c>
      <c r="J3685" s="455">
        <f t="array" ref="J3685">IFERROR(INDEX('Retirement Calculator'!K:K,MATCH('Lorri 401b'!N3685,'Retirement Calculator'!A:A,0),0),0)</f>
        <v>0</v>
      </c>
      <c r="K3685" s="455">
        <f t="shared" ca="1" si="153"/>
        <v>-7800009907.6088762</v>
      </c>
      <c r="L3685" s="455">
        <f t="shared" ca="1" si="154"/>
        <v>-1879802387733.739</v>
      </c>
      <c r="M3685" s="471">
        <f t="shared" si="156"/>
        <v>0.05</v>
      </c>
      <c r="N3685" s="475">
        <f t="shared" si="157"/>
        <v>163204</v>
      </c>
    </row>
    <row r="3686" spans="7:14" ht="11.25" customHeight="1" x14ac:dyDescent="0.3">
      <c r="G3686" s="470"/>
      <c r="H3686" s="470">
        <v>3679</v>
      </c>
      <c r="I3686" s="455">
        <f t="shared" ca="1" si="155"/>
        <v>-1879802387733.739</v>
      </c>
      <c r="J3686" s="455">
        <f t="array" ref="J3686">IFERROR(INDEX('Retirement Calculator'!K:K,MATCH('Lorri 401b'!N3686,'Retirement Calculator'!A:A,0),0),0)</f>
        <v>0</v>
      </c>
      <c r="K3686" s="455">
        <f t="shared" ca="1" si="153"/>
        <v>-7832509948.8905783</v>
      </c>
      <c r="L3686" s="455">
        <f t="shared" ca="1" si="154"/>
        <v>-1887634897682.6296</v>
      </c>
      <c r="M3686" s="471">
        <f t="shared" si="156"/>
        <v>0.05</v>
      </c>
      <c r="N3686" s="475">
        <f t="shared" si="157"/>
        <v>163234</v>
      </c>
    </row>
    <row r="3687" spans="7:14" ht="11.25" customHeight="1" x14ac:dyDescent="0.3">
      <c r="G3687" s="470"/>
      <c r="H3687" s="470">
        <v>3680</v>
      </c>
      <c r="I3687" s="455">
        <f t="shared" ca="1" si="155"/>
        <v>-1887634897682.6296</v>
      </c>
      <c r="J3687" s="455">
        <f t="array" ref="J3687">IFERROR(INDEX('Retirement Calculator'!K:K,MATCH('Lorri 401b'!N3687,'Retirement Calculator'!A:A,0),0),0)</f>
        <v>0</v>
      </c>
      <c r="K3687" s="455">
        <f t="shared" ca="1" si="153"/>
        <v>-7865145407.0109568</v>
      </c>
      <c r="L3687" s="455">
        <f t="shared" ca="1" si="154"/>
        <v>-1895500043089.6406</v>
      </c>
      <c r="M3687" s="471">
        <f t="shared" si="156"/>
        <v>0.05</v>
      </c>
      <c r="N3687" s="475">
        <f t="shared" si="157"/>
        <v>163265</v>
      </c>
    </row>
    <row r="3688" spans="7:14" ht="11.25" customHeight="1" x14ac:dyDescent="0.3">
      <c r="G3688" s="470"/>
      <c r="H3688" s="470">
        <v>3681</v>
      </c>
      <c r="I3688" s="455">
        <f t="shared" ca="1" si="155"/>
        <v>-1895500043089.6406</v>
      </c>
      <c r="J3688" s="455">
        <f t="array" ref="J3688">IFERROR(INDEX('Retirement Calculator'!K:K,MATCH('Lorri 401b'!N3688,'Retirement Calculator'!A:A,0),0),0)</f>
        <v>0</v>
      </c>
      <c r="K3688" s="455">
        <f t="shared" ca="1" si="153"/>
        <v>-7897916846.2068357</v>
      </c>
      <c r="L3688" s="455">
        <f t="shared" ca="1" si="154"/>
        <v>-1903397959935.8474</v>
      </c>
      <c r="M3688" s="471">
        <f t="shared" si="156"/>
        <v>0.05</v>
      </c>
      <c r="N3688" s="475">
        <f t="shared" si="157"/>
        <v>163296</v>
      </c>
    </row>
    <row r="3689" spans="7:14" ht="11.25" customHeight="1" x14ac:dyDescent="0.3">
      <c r="G3689" s="470"/>
      <c r="H3689" s="470">
        <v>3682</v>
      </c>
      <c r="I3689" s="455">
        <f t="shared" ca="1" si="155"/>
        <v>-1903397959935.8474</v>
      </c>
      <c r="J3689" s="455">
        <f t="array" ref="J3689">IFERROR(INDEX('Retirement Calculator'!K:K,MATCH('Lorri 401b'!N3689,'Retirement Calculator'!A:A,0),0),0)</f>
        <v>0</v>
      </c>
      <c r="K3689" s="455">
        <f t="shared" ca="1" si="153"/>
        <v>-7930824833.0660305</v>
      </c>
      <c r="L3689" s="455">
        <f t="shared" ca="1" si="154"/>
        <v>-1911328784768.9133</v>
      </c>
      <c r="M3689" s="471">
        <f t="shared" si="156"/>
        <v>0.05</v>
      </c>
      <c r="N3689" s="475">
        <f t="shared" si="157"/>
        <v>163324</v>
      </c>
    </row>
    <row r="3690" spans="7:14" ht="11.25" customHeight="1" x14ac:dyDescent="0.3">
      <c r="G3690" s="470"/>
      <c r="H3690" s="470">
        <v>3683</v>
      </c>
      <c r="I3690" s="455">
        <f t="shared" ca="1" si="155"/>
        <v>-1911328784768.9133</v>
      </c>
      <c r="J3690" s="455">
        <f t="array" ref="J3690">IFERROR(INDEX('Retirement Calculator'!K:K,MATCH('Lorri 401b'!N3690,'Retirement Calculator'!A:A,0),0),0)</f>
        <v>0</v>
      </c>
      <c r="K3690" s="455">
        <f t="shared" ca="1" si="153"/>
        <v>-7963869936.5371389</v>
      </c>
      <c r="L3690" s="455">
        <f t="shared" ca="1" si="154"/>
        <v>-1919292654705.4504</v>
      </c>
      <c r="M3690" s="471">
        <f t="shared" si="156"/>
        <v>0.05</v>
      </c>
      <c r="N3690" s="475">
        <f t="shared" si="157"/>
        <v>163355</v>
      </c>
    </row>
    <row r="3691" spans="7:14" ht="11.25" customHeight="1" x14ac:dyDescent="0.3">
      <c r="G3691" s="470"/>
      <c r="H3691" s="470">
        <v>3684</v>
      </c>
      <c r="I3691" s="455">
        <f t="shared" ca="1" si="155"/>
        <v>-1919292654705.4504</v>
      </c>
      <c r="J3691" s="455">
        <f t="array" ref="J3691">IFERROR(INDEX('Retirement Calculator'!K:K,MATCH('Lorri 401b'!N3691,'Retirement Calculator'!A:A,0),0),0)</f>
        <v>0</v>
      </c>
      <c r="K3691" s="455">
        <f t="shared" ca="1" si="153"/>
        <v>-7997052727.9393768</v>
      </c>
      <c r="L3691" s="455">
        <f t="shared" ca="1" si="154"/>
        <v>-1927289707433.3899</v>
      </c>
      <c r="M3691" s="471">
        <f t="shared" si="156"/>
        <v>0.05</v>
      </c>
      <c r="N3691" s="475">
        <f t="shared" si="157"/>
        <v>163385</v>
      </c>
    </row>
    <row r="3692" spans="7:14" ht="11.25" customHeight="1" x14ac:dyDescent="0.3">
      <c r="G3692" s="470"/>
      <c r="H3692" s="470">
        <v>3685</v>
      </c>
      <c r="I3692" s="455">
        <f t="shared" ca="1" si="155"/>
        <v>-1927289707433.3899</v>
      </c>
      <c r="J3692" s="455">
        <f t="array" ref="J3692">IFERROR(INDEX('Retirement Calculator'!K:K,MATCH('Lorri 401b'!N3692,'Retirement Calculator'!A:A,0),0),0)</f>
        <v>0</v>
      </c>
      <c r="K3692" s="455">
        <f t="shared" ca="1" si="153"/>
        <v>-8030373780.9724579</v>
      </c>
      <c r="L3692" s="455">
        <f t="shared" ca="1" si="154"/>
        <v>-1935320081214.3623</v>
      </c>
      <c r="M3692" s="471">
        <f t="shared" si="156"/>
        <v>0.05</v>
      </c>
      <c r="N3692" s="475">
        <f t="shared" si="157"/>
        <v>163416</v>
      </c>
    </row>
    <row r="3693" spans="7:14" ht="11.25" customHeight="1" x14ac:dyDescent="0.3">
      <c r="G3693" s="470"/>
      <c r="H3693" s="470">
        <v>3686</v>
      </c>
      <c r="I3693" s="455">
        <f t="shared" ca="1" si="155"/>
        <v>-1935320081214.3623</v>
      </c>
      <c r="J3693" s="455">
        <f t="array" ref="J3693">IFERROR(INDEX('Retirement Calculator'!K:K,MATCH('Lorri 401b'!N3693,'Retirement Calculator'!A:A,0),0),0)</f>
        <v>0</v>
      </c>
      <c r="K3693" s="455">
        <f t="shared" ca="1" si="153"/>
        <v>-8063833671.7265091</v>
      </c>
      <c r="L3693" s="455">
        <f t="shared" ca="1" si="154"/>
        <v>-1943383914886.0889</v>
      </c>
      <c r="M3693" s="471">
        <f t="shared" si="156"/>
        <v>0.05</v>
      </c>
      <c r="N3693" s="475">
        <f t="shared" si="157"/>
        <v>163446</v>
      </c>
    </row>
    <row r="3694" spans="7:14" ht="11.25" customHeight="1" x14ac:dyDescent="0.3">
      <c r="G3694" s="470"/>
      <c r="H3694" s="470">
        <v>3687</v>
      </c>
      <c r="I3694" s="455">
        <f t="shared" ca="1" si="155"/>
        <v>-1943383914886.0889</v>
      </c>
      <c r="J3694" s="455">
        <f t="array" ref="J3694">IFERROR(INDEX('Retirement Calculator'!K:K,MATCH('Lorri 401b'!N3694,'Retirement Calculator'!A:A,0),0),0)</f>
        <v>0</v>
      </c>
      <c r="K3694" s="455">
        <f t="shared" ca="1" si="153"/>
        <v>-8097432978.6920366</v>
      </c>
      <c r="L3694" s="455">
        <f t="shared" ca="1" si="154"/>
        <v>-1951481347864.781</v>
      </c>
      <c r="M3694" s="471">
        <f t="shared" si="156"/>
        <v>0.05</v>
      </c>
      <c r="N3694" s="475">
        <f t="shared" si="157"/>
        <v>163477</v>
      </c>
    </row>
    <row r="3695" spans="7:14" ht="11.25" customHeight="1" x14ac:dyDescent="0.3">
      <c r="G3695" s="470"/>
      <c r="H3695" s="470">
        <v>3688</v>
      </c>
      <c r="I3695" s="455">
        <f t="shared" ca="1" si="155"/>
        <v>-1951481347864.781</v>
      </c>
      <c r="J3695" s="455">
        <f t="array" ref="J3695">IFERROR(INDEX('Retirement Calculator'!K:K,MATCH('Lorri 401b'!N3695,'Retirement Calculator'!A:A,0),0),0)</f>
        <v>0</v>
      </c>
      <c r="K3695" s="455">
        <f t="shared" ca="1" si="153"/>
        <v>-8131172282.7699194</v>
      </c>
      <c r="L3695" s="455">
        <f t="shared" ca="1" si="154"/>
        <v>-1959612520147.551</v>
      </c>
      <c r="M3695" s="471">
        <f t="shared" si="156"/>
        <v>0.05</v>
      </c>
      <c r="N3695" s="475">
        <f t="shared" si="157"/>
        <v>163508</v>
      </c>
    </row>
    <row r="3696" spans="7:14" ht="11.25" customHeight="1" x14ac:dyDescent="0.3">
      <c r="G3696" s="470"/>
      <c r="H3696" s="470">
        <v>3689</v>
      </c>
      <c r="I3696" s="455">
        <f t="shared" ca="1" si="155"/>
        <v>-1959612520147.551</v>
      </c>
      <c r="J3696" s="455">
        <f t="array" ref="J3696">IFERROR(INDEX('Retirement Calculator'!K:K,MATCH('Lorri 401b'!N3696,'Retirement Calculator'!A:A,0),0),0)</f>
        <v>0</v>
      </c>
      <c r="K3696" s="455">
        <f t="shared" ca="1" si="153"/>
        <v>-8165052167.2814627</v>
      </c>
      <c r="L3696" s="455">
        <f t="shared" ca="1" si="154"/>
        <v>-1967777572314.8325</v>
      </c>
      <c r="M3696" s="471">
        <f t="shared" si="156"/>
        <v>0.05</v>
      </c>
      <c r="N3696" s="475">
        <f t="shared" si="157"/>
        <v>163538</v>
      </c>
    </row>
    <row r="3697" spans="7:14" ht="11.25" customHeight="1" x14ac:dyDescent="0.3">
      <c r="G3697" s="470"/>
      <c r="H3697" s="470">
        <v>3690</v>
      </c>
      <c r="I3697" s="455">
        <f t="shared" ca="1" si="155"/>
        <v>-1967777572314.8325</v>
      </c>
      <c r="J3697" s="455">
        <f t="array" ref="J3697">IFERROR(INDEX('Retirement Calculator'!K:K,MATCH('Lorri 401b'!N3697,'Retirement Calculator'!A:A,0),0),0)</f>
        <v>0</v>
      </c>
      <c r="K3697" s="455">
        <f t="shared" ca="1" si="153"/>
        <v>-8199073217.9784689</v>
      </c>
      <c r="L3697" s="455">
        <f t="shared" ca="1" si="154"/>
        <v>-1975976645532.811</v>
      </c>
      <c r="M3697" s="471">
        <f t="shared" si="156"/>
        <v>0.05</v>
      </c>
      <c r="N3697" s="475">
        <f t="shared" si="157"/>
        <v>163569</v>
      </c>
    </row>
    <row r="3698" spans="7:14" ht="11.25" customHeight="1" x14ac:dyDescent="0.3">
      <c r="G3698" s="470"/>
      <c r="H3698" s="470">
        <v>3691</v>
      </c>
      <c r="I3698" s="455">
        <f t="shared" ca="1" si="155"/>
        <v>-1975976645532.811</v>
      </c>
      <c r="J3698" s="455">
        <f t="array" ref="J3698">IFERROR(INDEX('Retirement Calculator'!K:K,MATCH('Lorri 401b'!N3698,'Retirement Calculator'!A:A,0),0),0)</f>
        <v>0</v>
      </c>
      <c r="K3698" s="455">
        <f t="shared" ca="1" si="153"/>
        <v>-8233236023.0533791</v>
      </c>
      <c r="L3698" s="455">
        <f t="shared" ca="1" si="154"/>
        <v>-1984209881555.8645</v>
      </c>
      <c r="M3698" s="471">
        <f t="shared" si="156"/>
        <v>0.05</v>
      </c>
      <c r="N3698" s="475">
        <f t="shared" si="157"/>
        <v>163599</v>
      </c>
    </row>
    <row r="3699" spans="7:14" ht="11.25" customHeight="1" x14ac:dyDescent="0.3">
      <c r="G3699" s="470"/>
      <c r="H3699" s="470">
        <v>3692</v>
      </c>
      <c r="I3699" s="455">
        <f t="shared" ca="1" si="155"/>
        <v>-1984209881555.8645</v>
      </c>
      <c r="J3699" s="455">
        <f t="array" ref="J3699">IFERROR(INDEX('Retirement Calculator'!K:K,MATCH('Lorri 401b'!N3699,'Retirement Calculator'!A:A,0),0),0)</f>
        <v>0</v>
      </c>
      <c r="K3699" s="455">
        <f t="shared" ca="1" si="153"/>
        <v>-8267541173.149436</v>
      </c>
      <c r="L3699" s="455">
        <f t="shared" ca="1" si="154"/>
        <v>-1992477422729.0139</v>
      </c>
      <c r="M3699" s="471">
        <f t="shared" si="156"/>
        <v>0.05</v>
      </c>
      <c r="N3699" s="475">
        <f t="shared" si="157"/>
        <v>163630</v>
      </c>
    </row>
    <row r="3700" spans="7:14" ht="11.25" customHeight="1" x14ac:dyDescent="0.3">
      <c r="G3700" s="470"/>
      <c r="H3700" s="470">
        <v>3693</v>
      </c>
      <c r="I3700" s="455">
        <f t="shared" ca="1" si="155"/>
        <v>-1992477422729.0139</v>
      </c>
      <c r="J3700" s="455">
        <f t="array" ref="J3700">IFERROR(INDEX('Retirement Calculator'!K:K,MATCH('Lorri 401b'!N3700,'Retirement Calculator'!A:A,0),0),0)</f>
        <v>0</v>
      </c>
      <c r="K3700" s="455">
        <f t="shared" ca="1" si="153"/>
        <v>-8301989261.3708916</v>
      </c>
      <c r="L3700" s="455">
        <f t="shared" ca="1" si="154"/>
        <v>-2000779411990.3848</v>
      </c>
      <c r="M3700" s="471">
        <f t="shared" si="156"/>
        <v>0.05</v>
      </c>
      <c r="N3700" s="475">
        <f t="shared" si="157"/>
        <v>163661</v>
      </c>
    </row>
    <row r="3701" spans="7:14" ht="11.25" customHeight="1" x14ac:dyDescent="0.3">
      <c r="G3701" s="470"/>
      <c r="H3701" s="470">
        <v>3694</v>
      </c>
      <c r="I3701" s="455">
        <f t="shared" ca="1" si="155"/>
        <v>-2000779411990.3848</v>
      </c>
      <c r="J3701" s="455">
        <f t="array" ref="J3701">IFERROR(INDEX('Retirement Calculator'!K:K,MATCH('Lorri 401b'!N3701,'Retirement Calculator'!A:A,0),0),0)</f>
        <v>0</v>
      </c>
      <c r="K3701" s="455">
        <f t="shared" ca="1" si="153"/>
        <v>-8336580883.2932701</v>
      </c>
      <c r="L3701" s="455">
        <f t="shared" ca="1" si="154"/>
        <v>-2009115992873.678</v>
      </c>
      <c r="M3701" s="471">
        <f t="shared" si="156"/>
        <v>0.05</v>
      </c>
      <c r="N3701" s="475">
        <f t="shared" si="157"/>
        <v>163690</v>
      </c>
    </row>
    <row r="3702" spans="7:14" ht="11.25" customHeight="1" x14ac:dyDescent="0.3">
      <c r="G3702" s="470"/>
      <c r="H3702" s="470">
        <v>3695</v>
      </c>
      <c r="I3702" s="455">
        <f t="shared" ca="1" si="155"/>
        <v>-2009115992873.678</v>
      </c>
      <c r="J3702" s="455">
        <f t="array" ref="J3702">IFERROR(INDEX('Retirement Calculator'!K:K,MATCH('Lorri 401b'!N3702,'Retirement Calculator'!A:A,0),0),0)</f>
        <v>0</v>
      </c>
      <c r="K3702" s="455">
        <f t="shared" ca="1" si="153"/>
        <v>-8371316636.9736586</v>
      </c>
      <c r="L3702" s="455">
        <f t="shared" ca="1" si="154"/>
        <v>-2017487309510.6516</v>
      </c>
      <c r="M3702" s="471">
        <f t="shared" si="156"/>
        <v>0.05</v>
      </c>
      <c r="N3702" s="475">
        <f t="shared" si="157"/>
        <v>163721</v>
      </c>
    </row>
    <row r="3703" spans="7:14" ht="11.25" customHeight="1" x14ac:dyDescent="0.3">
      <c r="G3703" s="470"/>
      <c r="H3703" s="470">
        <v>3696</v>
      </c>
      <c r="I3703" s="455">
        <f t="shared" ca="1" si="155"/>
        <v>-2017487309510.6516</v>
      </c>
      <c r="J3703" s="455">
        <f t="array" ref="J3703">IFERROR(INDEX('Retirement Calculator'!K:K,MATCH('Lorri 401b'!N3703,'Retirement Calculator'!A:A,0),0),0)</f>
        <v>0</v>
      </c>
      <c r="K3703" s="455">
        <f t="shared" ca="1" si="153"/>
        <v>-8406197122.9610481</v>
      </c>
      <c r="L3703" s="455">
        <f t="shared" ca="1" si="154"/>
        <v>-2025893506633.6125</v>
      </c>
      <c r="M3703" s="471">
        <f t="shared" si="156"/>
        <v>0.05</v>
      </c>
      <c r="N3703" s="475">
        <f t="shared" si="157"/>
        <v>163751</v>
      </c>
    </row>
    <row r="3704" spans="7:14" ht="11.25" customHeight="1" x14ac:dyDescent="0.3">
      <c r="G3704" s="470"/>
      <c r="H3704" s="470">
        <v>3697</v>
      </c>
      <c r="I3704" s="455">
        <f t="shared" ca="1" si="155"/>
        <v>-2025893506633.6125</v>
      </c>
      <c r="J3704" s="455">
        <f t="array" ref="J3704">IFERROR(INDEX('Retirement Calculator'!K:K,MATCH('Lorri 401b'!N3704,'Retirement Calculator'!A:A,0),0),0)</f>
        <v>0</v>
      </c>
      <c r="K3704" s="455">
        <f t="shared" ca="1" si="153"/>
        <v>-8441222944.3067188</v>
      </c>
      <c r="L3704" s="455">
        <f t="shared" ca="1" si="154"/>
        <v>-2034334729577.9192</v>
      </c>
      <c r="M3704" s="471">
        <f t="shared" si="156"/>
        <v>0.05</v>
      </c>
      <c r="N3704" s="475">
        <f t="shared" si="157"/>
        <v>163782</v>
      </c>
    </row>
    <row r="3705" spans="7:14" ht="11.25" customHeight="1" x14ac:dyDescent="0.3">
      <c r="G3705" s="470"/>
      <c r="H3705" s="470">
        <v>3698</v>
      </c>
      <c r="I3705" s="455">
        <f t="shared" ca="1" si="155"/>
        <v>-2034334729577.9192</v>
      </c>
      <c r="J3705" s="455">
        <f t="array" ref="J3705">IFERROR(INDEX('Retirement Calculator'!K:K,MATCH('Lorri 401b'!N3705,'Retirement Calculator'!A:A,0),0),0)</f>
        <v>0</v>
      </c>
      <c r="K3705" s="455">
        <f t="shared" ca="1" si="153"/>
        <v>-8476394706.5746632</v>
      </c>
      <c r="L3705" s="455">
        <f t="shared" ca="1" si="154"/>
        <v>-2042811124284.4939</v>
      </c>
      <c r="M3705" s="471">
        <f t="shared" si="156"/>
        <v>0.05</v>
      </c>
      <c r="N3705" s="475">
        <f t="shared" si="157"/>
        <v>163812</v>
      </c>
    </row>
    <row r="3706" spans="7:14" ht="11.25" customHeight="1" x14ac:dyDescent="0.3">
      <c r="G3706" s="470"/>
      <c r="H3706" s="470">
        <v>3699</v>
      </c>
      <c r="I3706" s="455">
        <f t="shared" ca="1" si="155"/>
        <v>-2042811124284.4939</v>
      </c>
      <c r="J3706" s="455">
        <f t="array" ref="J3706">IFERROR(INDEX('Retirement Calculator'!K:K,MATCH('Lorri 401b'!N3706,'Retirement Calculator'!A:A,0),0),0)</f>
        <v>0</v>
      </c>
      <c r="K3706" s="455">
        <f t="shared" ca="1" si="153"/>
        <v>-8511713017.8520565</v>
      </c>
      <c r="L3706" s="455">
        <f t="shared" ca="1" si="154"/>
        <v>-2051322837302.3459</v>
      </c>
      <c r="M3706" s="471">
        <f t="shared" si="156"/>
        <v>0.05</v>
      </c>
      <c r="N3706" s="475">
        <f t="shared" si="157"/>
        <v>163843</v>
      </c>
    </row>
    <row r="3707" spans="7:14" ht="11.25" customHeight="1" x14ac:dyDescent="0.3">
      <c r="G3707" s="470"/>
      <c r="H3707" s="470">
        <v>3700</v>
      </c>
      <c r="I3707" s="455">
        <f t="shared" ca="1" si="155"/>
        <v>-2051322837302.3459</v>
      </c>
      <c r="J3707" s="455">
        <f t="array" ref="J3707">IFERROR(INDEX('Retirement Calculator'!K:K,MATCH('Lorri 401b'!N3707,'Retirement Calculator'!A:A,0),0),0)</f>
        <v>0</v>
      </c>
      <c r="K3707" s="455">
        <f t="shared" ca="1" si="153"/>
        <v>-8547178488.7597742</v>
      </c>
      <c r="L3707" s="455">
        <f t="shared" ca="1" si="154"/>
        <v>-2059870015791.1057</v>
      </c>
      <c r="M3707" s="471">
        <f t="shared" si="156"/>
        <v>0.05</v>
      </c>
      <c r="N3707" s="475">
        <f t="shared" si="157"/>
        <v>163874</v>
      </c>
    </row>
    <row r="3708" spans="7:14" ht="11.25" customHeight="1" x14ac:dyDescent="0.3">
      <c r="G3708" s="470"/>
      <c r="H3708" s="470">
        <v>3701</v>
      </c>
      <c r="I3708" s="455">
        <f t="shared" ca="1" si="155"/>
        <v>-2059870015791.1057</v>
      </c>
      <c r="J3708" s="455">
        <f t="array" ref="J3708">IFERROR(INDEX('Retirement Calculator'!K:K,MATCH('Lorri 401b'!N3708,'Retirement Calculator'!A:A,0),0),0)</f>
        <v>0</v>
      </c>
      <c r="K3708" s="455">
        <f t="shared" ca="1" si="153"/>
        <v>-8582791732.4629402</v>
      </c>
      <c r="L3708" s="455">
        <f t="shared" ca="1" si="154"/>
        <v>-2068452807523.5686</v>
      </c>
      <c r="M3708" s="471">
        <f t="shared" si="156"/>
        <v>0.05</v>
      </c>
      <c r="N3708" s="475">
        <f t="shared" si="157"/>
        <v>163904</v>
      </c>
    </row>
    <row r="3709" spans="7:14" ht="11.25" customHeight="1" x14ac:dyDescent="0.3">
      <c r="G3709" s="470"/>
      <c r="H3709" s="470">
        <v>3702</v>
      </c>
      <c r="I3709" s="455">
        <f t="shared" ca="1" si="155"/>
        <v>-2068452807523.5686</v>
      </c>
      <c r="J3709" s="455">
        <f t="array" ref="J3709">IFERROR(INDEX('Retirement Calculator'!K:K,MATCH('Lorri 401b'!N3709,'Retirement Calculator'!A:A,0),0),0)</f>
        <v>0</v>
      </c>
      <c r="K3709" s="455">
        <f t="shared" ca="1" si="153"/>
        <v>-8618553364.6815357</v>
      </c>
      <c r="L3709" s="455">
        <f t="shared" ca="1" si="154"/>
        <v>-2077071360888.2502</v>
      </c>
      <c r="M3709" s="471">
        <f t="shared" si="156"/>
        <v>0.05</v>
      </c>
      <c r="N3709" s="475">
        <f t="shared" si="157"/>
        <v>163935</v>
      </c>
    </row>
    <row r="3710" spans="7:14" ht="11.25" customHeight="1" x14ac:dyDescent="0.3">
      <c r="G3710" s="470"/>
      <c r="H3710" s="470">
        <v>3703</v>
      </c>
      <c r="I3710" s="455">
        <f t="shared" ca="1" si="155"/>
        <v>-2077071360888.2502</v>
      </c>
      <c r="J3710" s="455">
        <f t="array" ref="J3710">IFERROR(INDEX('Retirement Calculator'!K:K,MATCH('Lorri 401b'!N3710,'Retirement Calculator'!A:A,0),0),0)</f>
        <v>0</v>
      </c>
      <c r="K3710" s="455">
        <f t="shared" ca="1" si="153"/>
        <v>-8654464003.7010441</v>
      </c>
      <c r="L3710" s="455">
        <f t="shared" ca="1" si="154"/>
        <v>-2085725824891.9512</v>
      </c>
      <c r="M3710" s="471">
        <f t="shared" si="156"/>
        <v>0.05</v>
      </c>
      <c r="N3710" s="475">
        <f t="shared" si="157"/>
        <v>163965</v>
      </c>
    </row>
    <row r="3711" spans="7:14" ht="11.25" customHeight="1" x14ac:dyDescent="0.3">
      <c r="G3711" s="470"/>
      <c r="H3711" s="470">
        <v>3704</v>
      </c>
      <c r="I3711" s="455">
        <f t="shared" ca="1" si="155"/>
        <v>-2085725824891.9512</v>
      </c>
      <c r="J3711" s="455">
        <f t="array" ref="J3711">IFERROR(INDEX('Retirement Calculator'!K:K,MATCH('Lorri 401b'!N3711,'Retirement Calculator'!A:A,0),0),0)</f>
        <v>0</v>
      </c>
      <c r="K3711" s="455">
        <f t="shared" ca="1" si="153"/>
        <v>-8690524270.3831291</v>
      </c>
      <c r="L3711" s="455">
        <f t="shared" ca="1" si="154"/>
        <v>-2094416349162.3342</v>
      </c>
      <c r="M3711" s="471">
        <f t="shared" si="156"/>
        <v>0.05</v>
      </c>
      <c r="N3711" s="475">
        <f t="shared" si="157"/>
        <v>163996</v>
      </c>
    </row>
    <row r="3712" spans="7:14" ht="11.25" customHeight="1" x14ac:dyDescent="0.3">
      <c r="G3712" s="470"/>
      <c r="H3712" s="470">
        <v>3705</v>
      </c>
      <c r="I3712" s="455">
        <f t="shared" ca="1" si="155"/>
        <v>-2094416349162.3342</v>
      </c>
      <c r="J3712" s="455">
        <f t="array" ref="J3712">IFERROR(INDEX('Retirement Calculator'!K:K,MATCH('Lorri 401b'!N3712,'Retirement Calculator'!A:A,0),0),0)</f>
        <v>0</v>
      </c>
      <c r="K3712" s="455">
        <f t="shared" ca="1" si="153"/>
        <v>-8726734788.1763916</v>
      </c>
      <c r="L3712" s="455">
        <f t="shared" ca="1" si="154"/>
        <v>-2103143083950.5107</v>
      </c>
      <c r="M3712" s="471">
        <f t="shared" si="156"/>
        <v>0.05</v>
      </c>
      <c r="N3712" s="475">
        <f t="shared" si="157"/>
        <v>164027</v>
      </c>
    </row>
    <row r="3713" spans="7:14" ht="11.25" customHeight="1" x14ac:dyDescent="0.3">
      <c r="G3713" s="470"/>
      <c r="H3713" s="470">
        <v>3706</v>
      </c>
      <c r="I3713" s="455">
        <f t="shared" ca="1" si="155"/>
        <v>-2103143083950.5107</v>
      </c>
      <c r="J3713" s="455">
        <f t="array" ref="J3713">IFERROR(INDEX('Retirement Calculator'!K:K,MATCH('Lorri 401b'!N3713,'Retirement Calculator'!A:A,0),0),0)</f>
        <v>0</v>
      </c>
      <c r="K3713" s="455">
        <f t="shared" ca="1" si="153"/>
        <v>-8763096183.1271286</v>
      </c>
      <c r="L3713" s="455">
        <f t="shared" ca="1" si="154"/>
        <v>-2111906180133.6379</v>
      </c>
      <c r="M3713" s="471">
        <f t="shared" si="156"/>
        <v>0.05</v>
      </c>
      <c r="N3713" s="475">
        <f t="shared" si="157"/>
        <v>164055</v>
      </c>
    </row>
    <row r="3714" spans="7:14" ht="11.25" customHeight="1" x14ac:dyDescent="0.3">
      <c r="G3714" s="470"/>
      <c r="H3714" s="470">
        <v>3707</v>
      </c>
      <c r="I3714" s="455">
        <f t="shared" ca="1" si="155"/>
        <v>-2111906180133.6379</v>
      </c>
      <c r="J3714" s="455">
        <f t="array" ref="J3714">IFERROR(INDEX('Retirement Calculator'!K:K,MATCH('Lorri 401b'!N3714,'Retirement Calculator'!A:A,0),0),0)</f>
        <v>0</v>
      </c>
      <c r="K3714" s="455">
        <f t="shared" ca="1" si="153"/>
        <v>-8799609083.8901596</v>
      </c>
      <c r="L3714" s="455">
        <f t="shared" ca="1" si="154"/>
        <v>-2120705789217.5281</v>
      </c>
      <c r="M3714" s="471">
        <f t="shared" si="156"/>
        <v>0.05</v>
      </c>
      <c r="N3714" s="475">
        <f t="shared" si="157"/>
        <v>164086</v>
      </c>
    </row>
    <row r="3715" spans="7:14" ht="11.25" customHeight="1" x14ac:dyDescent="0.3">
      <c r="G3715" s="470"/>
      <c r="H3715" s="470">
        <v>3708</v>
      </c>
      <c r="I3715" s="455">
        <f t="shared" ca="1" si="155"/>
        <v>-2120705789217.5281</v>
      </c>
      <c r="J3715" s="455">
        <f t="array" ref="J3715">IFERROR(INDEX('Retirement Calculator'!K:K,MATCH('Lorri 401b'!N3715,'Retirement Calculator'!A:A,0),0),0)</f>
        <v>0</v>
      </c>
      <c r="K3715" s="455">
        <f t="shared" ca="1" si="153"/>
        <v>-8836274121.7397003</v>
      </c>
      <c r="L3715" s="455">
        <f t="shared" ca="1" si="154"/>
        <v>-2129542063339.2678</v>
      </c>
      <c r="M3715" s="471">
        <f t="shared" si="156"/>
        <v>0.05</v>
      </c>
      <c r="N3715" s="475">
        <f t="shared" si="157"/>
        <v>164116</v>
      </c>
    </row>
    <row r="3716" spans="7:14" ht="11.25" customHeight="1" x14ac:dyDescent="0.3">
      <c r="G3716" s="470"/>
      <c r="H3716" s="470">
        <v>3709</v>
      </c>
      <c r="I3716" s="455">
        <f t="shared" ca="1" si="155"/>
        <v>-2129542063339.2678</v>
      </c>
      <c r="J3716" s="455">
        <f t="array" ref="J3716">IFERROR(INDEX('Retirement Calculator'!K:K,MATCH('Lorri 401b'!N3716,'Retirement Calculator'!A:A,0),0),0)</f>
        <v>0</v>
      </c>
      <c r="K3716" s="455">
        <f t="shared" ca="1" si="153"/>
        <v>-8873091930.5802822</v>
      </c>
      <c r="L3716" s="455">
        <f t="shared" ca="1" si="154"/>
        <v>-2138415155269.8481</v>
      </c>
      <c r="M3716" s="471">
        <f t="shared" si="156"/>
        <v>0.05</v>
      </c>
      <c r="N3716" s="475">
        <f t="shared" si="157"/>
        <v>164147</v>
      </c>
    </row>
    <row r="3717" spans="7:14" ht="11.25" customHeight="1" x14ac:dyDescent="0.3">
      <c r="G3717" s="470"/>
      <c r="H3717" s="470">
        <v>3710</v>
      </c>
      <c r="I3717" s="455">
        <f t="shared" ca="1" si="155"/>
        <v>-2138415155269.8481</v>
      </c>
      <c r="J3717" s="455">
        <f t="array" ref="J3717">IFERROR(INDEX('Retirement Calculator'!K:K,MATCH('Lorri 401b'!N3717,'Retirement Calculator'!A:A,0),0),0)</f>
        <v>0</v>
      </c>
      <c r="K3717" s="455">
        <f t="shared" ca="1" si="153"/>
        <v>-8910063146.9577007</v>
      </c>
      <c r="L3717" s="455">
        <f t="shared" ca="1" si="154"/>
        <v>-2147325218416.8059</v>
      </c>
      <c r="M3717" s="471">
        <f t="shared" si="156"/>
        <v>0.05</v>
      </c>
      <c r="N3717" s="475">
        <f t="shared" si="157"/>
        <v>164177</v>
      </c>
    </row>
    <row r="3718" spans="7:14" ht="11.25" customHeight="1" x14ac:dyDescent="0.3">
      <c r="G3718" s="470"/>
      <c r="H3718" s="470">
        <v>3711</v>
      </c>
      <c r="I3718" s="455">
        <f t="shared" ca="1" si="155"/>
        <v>-2147325218416.8059</v>
      </c>
      <c r="J3718" s="455">
        <f t="array" ref="J3718">IFERROR(INDEX('Retirement Calculator'!K:K,MATCH('Lorri 401b'!N3718,'Retirement Calculator'!A:A,0),0),0)</f>
        <v>0</v>
      </c>
      <c r="K3718" s="455">
        <f t="shared" ca="1" si="153"/>
        <v>-8947188410.0700245</v>
      </c>
      <c r="L3718" s="455">
        <f t="shared" ca="1" si="154"/>
        <v>-2156272406826.876</v>
      </c>
      <c r="M3718" s="471">
        <f t="shared" si="156"/>
        <v>0.05</v>
      </c>
      <c r="N3718" s="475">
        <f t="shared" si="157"/>
        <v>164208</v>
      </c>
    </row>
    <row r="3719" spans="7:14" ht="11.25" customHeight="1" x14ac:dyDescent="0.3">
      <c r="G3719" s="470"/>
      <c r="H3719" s="470">
        <v>3712</v>
      </c>
      <c r="I3719" s="455">
        <f t="shared" ca="1" si="155"/>
        <v>-2156272406826.876</v>
      </c>
      <c r="J3719" s="455">
        <f t="array" ref="J3719">IFERROR(INDEX('Retirement Calculator'!K:K,MATCH('Lorri 401b'!N3719,'Retirement Calculator'!A:A,0),0),0)</f>
        <v>0</v>
      </c>
      <c r="K3719" s="455">
        <f t="shared" ca="1" si="153"/>
        <v>-8984468361.7786484</v>
      </c>
      <c r="L3719" s="455">
        <f t="shared" ca="1" si="154"/>
        <v>-2165256875188.6545</v>
      </c>
      <c r="M3719" s="471">
        <f t="shared" si="156"/>
        <v>0.05</v>
      </c>
      <c r="N3719" s="475">
        <f t="shared" si="157"/>
        <v>164239</v>
      </c>
    </row>
    <row r="3720" spans="7:14" ht="11.25" customHeight="1" x14ac:dyDescent="0.3">
      <c r="G3720" s="470"/>
      <c r="H3720" s="470">
        <v>3713</v>
      </c>
      <c r="I3720" s="455">
        <f t="shared" ca="1" si="155"/>
        <v>-2165256875188.6545</v>
      </c>
      <c r="J3720" s="455">
        <f t="array" ref="J3720">IFERROR(INDEX('Retirement Calculator'!K:K,MATCH('Lorri 401b'!N3720,'Retirement Calculator'!A:A,0),0),0)</f>
        <v>0</v>
      </c>
      <c r="K3720" s="455">
        <f t="shared" ca="1" si="153"/>
        <v>-9021903646.6193943</v>
      </c>
      <c r="L3720" s="455">
        <f t="shared" ca="1" si="154"/>
        <v>-2174278778835.2739</v>
      </c>
      <c r="M3720" s="471">
        <f t="shared" si="156"/>
        <v>0.05</v>
      </c>
      <c r="N3720" s="475">
        <f t="shared" si="157"/>
        <v>164269</v>
      </c>
    </row>
    <row r="3721" spans="7:14" ht="11.25" customHeight="1" x14ac:dyDescent="0.3">
      <c r="G3721" s="470"/>
      <c r="H3721" s="470">
        <v>3714</v>
      </c>
      <c r="I3721" s="455">
        <f t="shared" ca="1" si="155"/>
        <v>-2174278778835.2739</v>
      </c>
      <c r="J3721" s="455">
        <f t="array" ref="J3721">IFERROR(INDEX('Retirement Calculator'!K:K,MATCH('Lorri 401b'!N3721,'Retirement Calculator'!A:A,0),0),0)</f>
        <v>0</v>
      </c>
      <c r="K3721" s="455">
        <f t="shared" ca="1" si="153"/>
        <v>-9059494911.8136425</v>
      </c>
      <c r="L3721" s="455">
        <f t="shared" ca="1" si="154"/>
        <v>-2183338273747.0876</v>
      </c>
      <c r="M3721" s="471">
        <f t="shared" si="156"/>
        <v>0.05</v>
      </c>
      <c r="N3721" s="475">
        <f t="shared" si="157"/>
        <v>164300</v>
      </c>
    </row>
    <row r="3722" spans="7:14" ht="11.25" customHeight="1" x14ac:dyDescent="0.3">
      <c r="G3722" s="470"/>
      <c r="H3722" s="470">
        <v>3715</v>
      </c>
      <c r="I3722" s="455">
        <f t="shared" ca="1" si="155"/>
        <v>-2183338273747.0876</v>
      </c>
      <c r="J3722" s="455">
        <f t="array" ref="J3722">IFERROR(INDEX('Retirement Calculator'!K:K,MATCH('Lorri 401b'!N3722,'Retirement Calculator'!A:A,0),0),0)</f>
        <v>0</v>
      </c>
      <c r="K3722" s="455">
        <f t="shared" ca="1" si="153"/>
        <v>-9097242807.2795315</v>
      </c>
      <c r="L3722" s="455">
        <f t="shared" ca="1" si="154"/>
        <v>-2192435516554.3672</v>
      </c>
      <c r="M3722" s="471">
        <f t="shared" si="156"/>
        <v>0.05</v>
      </c>
      <c r="N3722" s="475">
        <f t="shared" si="157"/>
        <v>164330</v>
      </c>
    </row>
    <row r="3723" spans="7:14" ht="11.25" customHeight="1" x14ac:dyDescent="0.3">
      <c r="G3723" s="470"/>
      <c r="H3723" s="470">
        <v>3716</v>
      </c>
      <c r="I3723" s="455">
        <f t="shared" ca="1" si="155"/>
        <v>-2192435516554.3672</v>
      </c>
      <c r="J3723" s="455">
        <f t="array" ref="J3723">IFERROR(INDEX('Retirement Calculator'!K:K,MATCH('Lorri 401b'!N3723,'Retirement Calculator'!A:A,0),0),0)</f>
        <v>0</v>
      </c>
      <c r="K3723" s="455">
        <f t="shared" ca="1" si="153"/>
        <v>-9135147985.6431961</v>
      </c>
      <c r="L3723" s="455">
        <f t="shared" ca="1" si="154"/>
        <v>-2201570664540.0103</v>
      </c>
      <c r="M3723" s="471">
        <f t="shared" si="156"/>
        <v>0.05</v>
      </c>
      <c r="N3723" s="475">
        <f t="shared" si="157"/>
        <v>164361</v>
      </c>
    </row>
    <row r="3724" spans="7:14" ht="11.25" customHeight="1" x14ac:dyDescent="0.3">
      <c r="G3724" s="470"/>
      <c r="H3724" s="470">
        <v>3717</v>
      </c>
      <c r="I3724" s="455">
        <f t="shared" ca="1" si="155"/>
        <v>-2201570664540.0103</v>
      </c>
      <c r="J3724" s="455">
        <f t="array" ref="J3724">IFERROR(INDEX('Retirement Calculator'!K:K,MATCH('Lorri 401b'!N3724,'Retirement Calculator'!A:A,0),0),0)</f>
        <v>0</v>
      </c>
      <c r="K3724" s="455">
        <f t="shared" ca="1" si="153"/>
        <v>-9173211102.250042</v>
      </c>
      <c r="L3724" s="455">
        <f t="shared" ca="1" si="154"/>
        <v>-2210743875642.2603</v>
      </c>
      <c r="M3724" s="471">
        <f t="shared" si="156"/>
        <v>0.05</v>
      </c>
      <c r="N3724" s="475">
        <f t="shared" si="157"/>
        <v>164392</v>
      </c>
    </row>
    <row r="3725" spans="7:14" ht="11.25" customHeight="1" x14ac:dyDescent="0.3">
      <c r="G3725" s="470"/>
      <c r="H3725" s="470">
        <v>3718</v>
      </c>
      <c r="I3725" s="455">
        <f t="shared" ca="1" si="155"/>
        <v>-2210743875642.2603</v>
      </c>
      <c r="J3725" s="455">
        <f t="array" ref="J3725">IFERROR(INDEX('Retirement Calculator'!K:K,MATCH('Lorri 401b'!N3725,'Retirement Calculator'!A:A,0),0),0)</f>
        <v>0</v>
      </c>
      <c r="K3725" s="455">
        <f t="shared" ca="1" si="153"/>
        <v>-9211432815.1760845</v>
      </c>
      <c r="L3725" s="455">
        <f t="shared" ca="1" si="154"/>
        <v>-2219955308457.4365</v>
      </c>
      <c r="M3725" s="471">
        <f t="shared" si="156"/>
        <v>0.05</v>
      </c>
      <c r="N3725" s="475">
        <f t="shared" si="157"/>
        <v>164420</v>
      </c>
    </row>
    <row r="3726" spans="7:14" ht="11.25" customHeight="1" x14ac:dyDescent="0.3">
      <c r="G3726" s="470"/>
      <c r="H3726" s="470">
        <v>3719</v>
      </c>
      <c r="I3726" s="455">
        <f t="shared" ca="1" si="155"/>
        <v>-2219955308457.4365</v>
      </c>
      <c r="J3726" s="455">
        <f t="array" ref="J3726">IFERROR(INDEX('Retirement Calculator'!K:K,MATCH('Lorri 401b'!N3726,'Retirement Calculator'!A:A,0),0),0)</f>
        <v>0</v>
      </c>
      <c r="K3726" s="455">
        <f t="shared" ca="1" si="153"/>
        <v>-9249813785.2393188</v>
      </c>
      <c r="L3726" s="455">
        <f t="shared" ca="1" si="154"/>
        <v>-2229205122242.6758</v>
      </c>
      <c r="M3726" s="471">
        <f t="shared" si="156"/>
        <v>0.05</v>
      </c>
      <c r="N3726" s="475">
        <f t="shared" si="157"/>
        <v>164451</v>
      </c>
    </row>
    <row r="3727" spans="7:14" ht="11.25" customHeight="1" x14ac:dyDescent="0.3">
      <c r="G3727" s="470"/>
      <c r="H3727" s="470">
        <v>3720</v>
      </c>
      <c r="I3727" s="455">
        <f t="shared" ca="1" si="155"/>
        <v>-2229205122242.6758</v>
      </c>
      <c r="J3727" s="455">
        <f t="array" ref="J3727">IFERROR(INDEX('Retirement Calculator'!K:K,MATCH('Lorri 401b'!N3727,'Retirement Calculator'!A:A,0),0),0)</f>
        <v>0</v>
      </c>
      <c r="K3727" s="455">
        <f t="shared" ca="1" si="153"/>
        <v>-9288354676.0111485</v>
      </c>
      <c r="L3727" s="455">
        <f t="shared" ca="1" si="154"/>
        <v>-2238493476918.687</v>
      </c>
      <c r="M3727" s="471">
        <f t="shared" si="156"/>
        <v>0.05</v>
      </c>
      <c r="N3727" s="475">
        <f t="shared" si="157"/>
        <v>164481</v>
      </c>
    </row>
    <row r="3728" spans="7:14" ht="11.25" customHeight="1" x14ac:dyDescent="0.3">
      <c r="G3728" s="470"/>
      <c r="H3728" s="470">
        <v>3721</v>
      </c>
      <c r="I3728" s="455">
        <f t="shared" ca="1" si="155"/>
        <v>-2238493476918.687</v>
      </c>
      <c r="J3728" s="455">
        <f t="array" ref="J3728">IFERROR(INDEX('Retirement Calculator'!K:K,MATCH('Lorri 401b'!N3728,'Retirement Calculator'!A:A,0),0),0)</f>
        <v>0</v>
      </c>
      <c r="K3728" s="455">
        <f t="shared" ca="1" si="153"/>
        <v>-9327056153.8278618</v>
      </c>
      <c r="L3728" s="455">
        <f t="shared" ca="1" si="154"/>
        <v>-2247820533072.5146</v>
      </c>
      <c r="M3728" s="471">
        <f t="shared" si="156"/>
        <v>0.05</v>
      </c>
      <c r="N3728" s="475">
        <f t="shared" si="157"/>
        <v>164512</v>
      </c>
    </row>
    <row r="3729" spans="7:14" ht="11.25" customHeight="1" x14ac:dyDescent="0.3">
      <c r="G3729" s="470"/>
      <c r="H3729" s="470">
        <v>3722</v>
      </c>
      <c r="I3729" s="455">
        <f t="shared" ca="1" si="155"/>
        <v>-2247820533072.5146</v>
      </c>
      <c r="J3729" s="455">
        <f t="array" ref="J3729">IFERROR(INDEX('Retirement Calculator'!K:K,MATCH('Lorri 401b'!N3729,'Retirement Calculator'!A:A,0),0),0)</f>
        <v>0</v>
      </c>
      <c r="K3729" s="455">
        <f t="shared" ca="1" si="153"/>
        <v>-9365918887.802145</v>
      </c>
      <c r="L3729" s="455">
        <f t="shared" ca="1" si="154"/>
        <v>-2257186451960.3169</v>
      </c>
      <c r="M3729" s="471">
        <f t="shared" si="156"/>
        <v>0.05</v>
      </c>
      <c r="N3729" s="475">
        <f t="shared" si="157"/>
        <v>164542</v>
      </c>
    </row>
    <row r="3730" spans="7:14" ht="11.25" customHeight="1" x14ac:dyDescent="0.3">
      <c r="G3730" s="470"/>
      <c r="H3730" s="470">
        <v>3723</v>
      </c>
      <c r="I3730" s="455">
        <f t="shared" ca="1" si="155"/>
        <v>-2257186451960.3169</v>
      </c>
      <c r="J3730" s="455">
        <f t="array" ref="J3730">IFERROR(INDEX('Retirement Calculator'!K:K,MATCH('Lorri 401b'!N3730,'Retirement Calculator'!A:A,0),0),0)</f>
        <v>0</v>
      </c>
      <c r="K3730" s="455">
        <f t="shared" ca="1" si="153"/>
        <v>-9404943549.8346539</v>
      </c>
      <c r="L3730" s="455">
        <f t="shared" ca="1" si="154"/>
        <v>-2266591395510.1514</v>
      </c>
      <c r="M3730" s="471">
        <f t="shared" si="156"/>
        <v>0.05</v>
      </c>
      <c r="N3730" s="475">
        <f t="shared" si="157"/>
        <v>164573</v>
      </c>
    </row>
    <row r="3731" spans="7:14" ht="11.25" customHeight="1" x14ac:dyDescent="0.3">
      <c r="G3731" s="470"/>
      <c r="H3731" s="470">
        <v>3724</v>
      </c>
      <c r="I3731" s="455">
        <f t="shared" ca="1" si="155"/>
        <v>-2266591395510.1514</v>
      </c>
      <c r="J3731" s="455">
        <f t="array" ref="J3731">IFERROR(INDEX('Retirement Calculator'!K:K,MATCH('Lorri 401b'!N3731,'Retirement Calculator'!A:A,0),0),0)</f>
        <v>0</v>
      </c>
      <c r="K3731" s="455">
        <f t="shared" ca="1" si="153"/>
        <v>-9444130814.6256313</v>
      </c>
      <c r="L3731" s="455">
        <f t="shared" ca="1" si="154"/>
        <v>-2276035526324.7769</v>
      </c>
      <c r="M3731" s="471">
        <f t="shared" si="156"/>
        <v>0.05</v>
      </c>
      <c r="N3731" s="475">
        <f t="shared" si="157"/>
        <v>164604</v>
      </c>
    </row>
    <row r="3732" spans="7:14" ht="11.25" customHeight="1" x14ac:dyDescent="0.3">
      <c r="G3732" s="470"/>
      <c r="H3732" s="470">
        <v>3725</v>
      </c>
      <c r="I3732" s="455">
        <f t="shared" ca="1" si="155"/>
        <v>-2276035526324.7769</v>
      </c>
      <c r="J3732" s="455">
        <f t="array" ref="J3732">IFERROR(INDEX('Retirement Calculator'!K:K,MATCH('Lorri 401b'!N3732,'Retirement Calculator'!A:A,0),0),0)</f>
        <v>0</v>
      </c>
      <c r="K3732" s="455">
        <f t="shared" ca="1" si="153"/>
        <v>-9483481359.6865692</v>
      </c>
      <c r="L3732" s="455">
        <f t="shared" ca="1" si="154"/>
        <v>-2285519007684.4634</v>
      </c>
      <c r="M3732" s="471">
        <f t="shared" si="156"/>
        <v>0.05</v>
      </c>
      <c r="N3732" s="475">
        <f t="shared" si="157"/>
        <v>164634</v>
      </c>
    </row>
    <row r="3733" spans="7:14" ht="11.25" customHeight="1" x14ac:dyDescent="0.3">
      <c r="G3733" s="470"/>
      <c r="H3733" s="470">
        <v>3726</v>
      </c>
      <c r="I3733" s="455">
        <f t="shared" ca="1" si="155"/>
        <v>-2285519007684.4634</v>
      </c>
      <c r="J3733" s="455">
        <f t="array" ref="J3733">IFERROR(INDEX('Retirement Calculator'!K:K,MATCH('Lorri 401b'!N3733,'Retirement Calculator'!A:A,0),0),0)</f>
        <v>0</v>
      </c>
      <c r="K3733" s="455">
        <f t="shared" ca="1" si="153"/>
        <v>-9522995865.3519306</v>
      </c>
      <c r="L3733" s="455">
        <f t="shared" ca="1" si="154"/>
        <v>-2295042003549.8154</v>
      </c>
      <c r="M3733" s="471">
        <f t="shared" si="156"/>
        <v>0.05</v>
      </c>
      <c r="N3733" s="475">
        <f t="shared" si="157"/>
        <v>164665</v>
      </c>
    </row>
    <row r="3734" spans="7:14" ht="11.25" customHeight="1" x14ac:dyDescent="0.3">
      <c r="G3734" s="470"/>
      <c r="H3734" s="470">
        <v>3727</v>
      </c>
      <c r="I3734" s="455">
        <f t="shared" ca="1" si="155"/>
        <v>-2295042003549.8154</v>
      </c>
      <c r="J3734" s="455">
        <f t="array" ref="J3734">IFERROR(INDEX('Retirement Calculator'!K:K,MATCH('Lorri 401b'!N3734,'Retirement Calculator'!A:A,0),0),0)</f>
        <v>0</v>
      </c>
      <c r="K3734" s="455">
        <f t="shared" ca="1" si="153"/>
        <v>-9562675014.7908974</v>
      </c>
      <c r="L3734" s="455">
        <f t="shared" ca="1" si="154"/>
        <v>-2304604678564.6064</v>
      </c>
      <c r="M3734" s="471">
        <f t="shared" si="156"/>
        <v>0.05</v>
      </c>
      <c r="N3734" s="475">
        <f t="shared" si="157"/>
        <v>164695</v>
      </c>
    </row>
    <row r="3735" spans="7:14" ht="11.25" customHeight="1" x14ac:dyDescent="0.3">
      <c r="G3735" s="470"/>
      <c r="H3735" s="470">
        <v>3728</v>
      </c>
      <c r="I3735" s="455">
        <f t="shared" ca="1" si="155"/>
        <v>-2304604678564.6064</v>
      </c>
      <c r="J3735" s="455">
        <f t="array" ref="J3735">IFERROR(INDEX('Retirement Calculator'!K:K,MATCH('Lorri 401b'!N3735,'Retirement Calculator'!A:A,0),0),0)</f>
        <v>0</v>
      </c>
      <c r="K3735" s="455">
        <f t="shared" ca="1" si="153"/>
        <v>-9602519494.0191936</v>
      </c>
      <c r="L3735" s="455">
        <f t="shared" ca="1" si="154"/>
        <v>-2314207198058.6255</v>
      </c>
      <c r="M3735" s="471">
        <f t="shared" si="156"/>
        <v>0.05</v>
      </c>
      <c r="N3735" s="475">
        <f t="shared" si="157"/>
        <v>164726</v>
      </c>
    </row>
    <row r="3736" spans="7:14" ht="11.25" customHeight="1" x14ac:dyDescent="0.3">
      <c r="G3736" s="470"/>
      <c r="H3736" s="470">
        <v>3729</v>
      </c>
      <c r="I3736" s="455">
        <f t="shared" ca="1" si="155"/>
        <v>-2314207198058.6255</v>
      </c>
      <c r="J3736" s="455">
        <f t="array" ref="J3736">IFERROR(INDEX('Retirement Calculator'!K:K,MATCH('Lorri 401b'!N3736,'Retirement Calculator'!A:A,0),0),0)</f>
        <v>0</v>
      </c>
      <c r="K3736" s="455">
        <f t="shared" ca="1" si="153"/>
        <v>-9642529991.9109402</v>
      </c>
      <c r="L3736" s="455">
        <f t="shared" ca="1" si="154"/>
        <v>-2323849728050.5366</v>
      </c>
      <c r="M3736" s="471">
        <f t="shared" si="156"/>
        <v>0.05</v>
      </c>
      <c r="N3736" s="475">
        <f t="shared" si="157"/>
        <v>164757</v>
      </c>
    </row>
    <row r="3737" spans="7:14" ht="11.25" customHeight="1" x14ac:dyDescent="0.3">
      <c r="G3737" s="470"/>
      <c r="H3737" s="470">
        <v>3730</v>
      </c>
      <c r="I3737" s="455">
        <f t="shared" ca="1" si="155"/>
        <v>-2323849728050.5366</v>
      </c>
      <c r="J3737" s="455">
        <f t="array" ref="J3737">IFERROR(INDEX('Retirement Calculator'!K:K,MATCH('Lorri 401b'!N3737,'Retirement Calculator'!A:A,0),0),0)</f>
        <v>0</v>
      </c>
      <c r="K3737" s="455">
        <f t="shared" ca="1" si="153"/>
        <v>-9682707200.2105694</v>
      </c>
      <c r="L3737" s="455">
        <f t="shared" ca="1" si="154"/>
        <v>-2333532435250.7471</v>
      </c>
      <c r="M3737" s="471">
        <f t="shared" si="156"/>
        <v>0.05</v>
      </c>
      <c r="N3737" s="475">
        <f t="shared" si="157"/>
        <v>164785</v>
      </c>
    </row>
    <row r="3738" spans="7:14" ht="11.25" customHeight="1" x14ac:dyDescent="0.3">
      <c r="G3738" s="470"/>
      <c r="H3738" s="470">
        <v>3731</v>
      </c>
      <c r="I3738" s="455">
        <f t="shared" ca="1" si="155"/>
        <v>-2333532435250.7471</v>
      </c>
      <c r="J3738" s="455">
        <f t="array" ref="J3738">IFERROR(INDEX('Retirement Calculator'!K:K,MATCH('Lorri 401b'!N3738,'Retirement Calculator'!A:A,0),0),0)</f>
        <v>0</v>
      </c>
      <c r="K3738" s="455">
        <f t="shared" ca="1" si="153"/>
        <v>-9723051813.5447788</v>
      </c>
      <c r="L3738" s="455">
        <f t="shared" ca="1" si="154"/>
        <v>-2343255487064.292</v>
      </c>
      <c r="M3738" s="471">
        <f t="shared" si="156"/>
        <v>0.05</v>
      </c>
      <c r="N3738" s="475">
        <f t="shared" si="157"/>
        <v>164816</v>
      </c>
    </row>
    <row r="3739" spans="7:14" ht="11.25" customHeight="1" x14ac:dyDescent="0.3">
      <c r="G3739" s="470"/>
      <c r="H3739" s="470">
        <v>3732</v>
      </c>
      <c r="I3739" s="455">
        <f t="shared" ca="1" si="155"/>
        <v>-2343255487064.292</v>
      </c>
      <c r="J3739" s="455">
        <f t="array" ref="J3739">IFERROR(INDEX('Retirement Calculator'!K:K,MATCH('Lorri 401b'!N3739,'Retirement Calculator'!A:A,0),0),0)</f>
        <v>0</v>
      </c>
      <c r="K3739" s="455">
        <f t="shared" ca="1" si="153"/>
        <v>-9763564529.4345493</v>
      </c>
      <c r="L3739" s="455">
        <f t="shared" ca="1" si="154"/>
        <v>-2353019051593.7266</v>
      </c>
      <c r="M3739" s="471">
        <f t="shared" si="156"/>
        <v>0.05</v>
      </c>
      <c r="N3739" s="475">
        <f t="shared" si="157"/>
        <v>164846</v>
      </c>
    </row>
    <row r="3740" spans="7:14" ht="11.25" customHeight="1" x14ac:dyDescent="0.3">
      <c r="G3740" s="470"/>
      <c r="H3740" s="470">
        <v>3733</v>
      </c>
      <c r="I3740" s="455">
        <f t="shared" ca="1" si="155"/>
        <v>-2353019051593.7266</v>
      </c>
      <c r="J3740" s="455">
        <f t="array" ref="J3740">IFERROR(INDEX('Retirement Calculator'!K:K,MATCH('Lorri 401b'!N3740,'Retirement Calculator'!A:A,0),0),0)</f>
        <v>0</v>
      </c>
      <c r="K3740" s="455">
        <f t="shared" ca="1" si="153"/>
        <v>-9804246048.3071938</v>
      </c>
      <c r="L3740" s="455">
        <f t="shared" ca="1" si="154"/>
        <v>-2362823297642.0337</v>
      </c>
      <c r="M3740" s="471">
        <f t="shared" si="156"/>
        <v>0.05</v>
      </c>
      <c r="N3740" s="475">
        <f t="shared" si="157"/>
        <v>164877</v>
      </c>
    </row>
    <row r="3741" spans="7:14" ht="11.25" customHeight="1" x14ac:dyDescent="0.3">
      <c r="G3741" s="470"/>
      <c r="H3741" s="470">
        <v>3734</v>
      </c>
      <c r="I3741" s="455">
        <f t="shared" ca="1" si="155"/>
        <v>-2362823297642.0337</v>
      </c>
      <c r="J3741" s="455">
        <f t="array" ref="J3741">IFERROR(INDEX('Retirement Calculator'!K:K,MATCH('Lorri 401b'!N3741,'Retirement Calculator'!A:A,0),0),0)</f>
        <v>0</v>
      </c>
      <c r="K3741" s="455">
        <f t="shared" ca="1" si="153"/>
        <v>-9845097073.5084743</v>
      </c>
      <c r="L3741" s="455">
        <f t="shared" ca="1" si="154"/>
        <v>-2372668394715.542</v>
      </c>
      <c r="M3741" s="471">
        <f t="shared" si="156"/>
        <v>0.05</v>
      </c>
      <c r="N3741" s="475">
        <f t="shared" si="157"/>
        <v>164907</v>
      </c>
    </row>
    <row r="3742" spans="7:14" ht="11.25" customHeight="1" x14ac:dyDescent="0.3">
      <c r="G3742" s="470"/>
      <c r="H3742" s="470">
        <v>3735</v>
      </c>
      <c r="I3742" s="455">
        <f t="shared" ca="1" si="155"/>
        <v>-2372668394715.542</v>
      </c>
      <c r="J3742" s="455">
        <f t="array" ref="J3742">IFERROR(INDEX('Retirement Calculator'!K:K,MATCH('Lorri 401b'!N3742,'Retirement Calculator'!A:A,0),0),0)</f>
        <v>0</v>
      </c>
      <c r="K3742" s="455">
        <f t="shared" ca="1" si="153"/>
        <v>-9886118311.3147583</v>
      </c>
      <c r="L3742" s="455">
        <f t="shared" ca="1" si="154"/>
        <v>-2382554513026.8569</v>
      </c>
      <c r="M3742" s="471">
        <f t="shared" si="156"/>
        <v>0.05</v>
      </c>
      <c r="N3742" s="475">
        <f t="shared" si="157"/>
        <v>164938</v>
      </c>
    </row>
    <row r="3743" spans="7:14" ht="11.25" customHeight="1" x14ac:dyDescent="0.3">
      <c r="G3743" s="470"/>
      <c r="H3743" s="470">
        <v>3736</v>
      </c>
      <c r="I3743" s="455">
        <f t="shared" ca="1" si="155"/>
        <v>-2382554513026.8569</v>
      </c>
      <c r="J3743" s="455">
        <f t="array" ref="J3743">IFERROR(INDEX('Retirement Calculator'!K:K,MATCH('Lorri 401b'!N3743,'Retirement Calculator'!A:A,0),0),0)</f>
        <v>0</v>
      </c>
      <c r="K3743" s="455">
        <f t="shared" ca="1" si="153"/>
        <v>-9927310470.9452362</v>
      </c>
      <c r="L3743" s="455">
        <f t="shared" ca="1" si="154"/>
        <v>-2392481823497.8022</v>
      </c>
      <c r="M3743" s="471">
        <f t="shared" si="156"/>
        <v>0.05</v>
      </c>
      <c r="N3743" s="475">
        <f t="shared" si="157"/>
        <v>164969</v>
      </c>
    </row>
    <row r="3744" spans="7:14" ht="11.25" customHeight="1" x14ac:dyDescent="0.3">
      <c r="G3744" s="470"/>
      <c r="H3744" s="470">
        <v>3737</v>
      </c>
      <c r="I3744" s="455">
        <f t="shared" ca="1" si="155"/>
        <v>-2392481823497.8022</v>
      </c>
      <c r="J3744" s="455">
        <f t="array" ref="J3744">IFERROR(INDEX('Retirement Calculator'!K:K,MATCH('Lorri 401b'!N3744,'Retirement Calculator'!A:A,0),0),0)</f>
        <v>0</v>
      </c>
      <c r="K3744" s="455">
        <f t="shared" ca="1" si="153"/>
        <v>-9968674264.5741768</v>
      </c>
      <c r="L3744" s="455">
        <f t="shared" ca="1" si="154"/>
        <v>-2402450497762.3765</v>
      </c>
      <c r="M3744" s="471">
        <f t="shared" si="156"/>
        <v>0.05</v>
      </c>
      <c r="N3744" s="475">
        <f t="shared" si="157"/>
        <v>164999</v>
      </c>
    </row>
    <row r="3745" spans="7:14" ht="11.25" customHeight="1" x14ac:dyDescent="0.3">
      <c r="G3745" s="470"/>
      <c r="H3745" s="470">
        <v>3738</v>
      </c>
      <c r="I3745" s="455">
        <f t="shared" ca="1" si="155"/>
        <v>-2402450497762.3765</v>
      </c>
      <c r="J3745" s="455">
        <f t="array" ref="J3745">IFERROR(INDEX('Retirement Calculator'!K:K,MATCH('Lorri 401b'!N3745,'Retirement Calculator'!A:A,0),0),0)</f>
        <v>0</v>
      </c>
      <c r="K3745" s="455">
        <f t="shared" ca="1" si="153"/>
        <v>-10010210407.343235</v>
      </c>
      <c r="L3745" s="455">
        <f t="shared" ca="1" si="154"/>
        <v>-2412460708169.7197</v>
      </c>
      <c r="M3745" s="471">
        <f t="shared" si="156"/>
        <v>0.05</v>
      </c>
      <c r="N3745" s="475">
        <f t="shared" si="157"/>
        <v>165030</v>
      </c>
    </row>
    <row r="3746" spans="7:14" ht="11.25" customHeight="1" x14ac:dyDescent="0.3">
      <c r="G3746" s="470"/>
      <c r="H3746" s="470">
        <v>3739</v>
      </c>
      <c r="I3746" s="455">
        <f t="shared" ca="1" si="155"/>
        <v>-2412460708169.7197</v>
      </c>
      <c r="J3746" s="455">
        <f t="array" ref="J3746">IFERROR(INDEX('Retirement Calculator'!K:K,MATCH('Lorri 401b'!N3746,'Retirement Calculator'!A:A,0),0),0)</f>
        <v>0</v>
      </c>
      <c r="K3746" s="455">
        <f t="shared" ca="1" si="153"/>
        <v>-10051919617.373833</v>
      </c>
      <c r="L3746" s="455">
        <f t="shared" ca="1" si="154"/>
        <v>-2422512627787.0938</v>
      </c>
      <c r="M3746" s="471">
        <f t="shared" si="156"/>
        <v>0.05</v>
      </c>
      <c r="N3746" s="475">
        <f t="shared" si="157"/>
        <v>165060</v>
      </c>
    </row>
    <row r="3747" spans="7:14" ht="11.25" customHeight="1" x14ac:dyDescent="0.3">
      <c r="G3747" s="470"/>
      <c r="H3747" s="470">
        <v>3740</v>
      </c>
      <c r="I3747" s="455">
        <f t="shared" ca="1" si="155"/>
        <v>-2422512627787.0938</v>
      </c>
      <c r="J3747" s="455">
        <f t="array" ref="J3747">IFERROR(INDEX('Retirement Calculator'!K:K,MATCH('Lorri 401b'!N3747,'Retirement Calculator'!A:A,0),0),0)</f>
        <v>0</v>
      </c>
      <c r="K3747" s="455">
        <f t="shared" ca="1" si="153"/>
        <v>-10093802615.779556</v>
      </c>
      <c r="L3747" s="455">
        <f t="shared" ca="1" si="154"/>
        <v>-2432606430402.8735</v>
      </c>
      <c r="M3747" s="471">
        <f t="shared" si="156"/>
        <v>0.05</v>
      </c>
      <c r="N3747" s="475">
        <f t="shared" si="157"/>
        <v>165091</v>
      </c>
    </row>
    <row r="3748" spans="7:14" ht="11.25" customHeight="1" x14ac:dyDescent="0.3">
      <c r="G3748" s="470"/>
      <c r="H3748" s="470">
        <v>3741</v>
      </c>
      <c r="I3748" s="455">
        <f t="shared" ca="1" si="155"/>
        <v>-2432606430402.8735</v>
      </c>
      <c r="J3748" s="455">
        <f t="array" ref="J3748">IFERROR(INDEX('Retirement Calculator'!K:K,MATCH('Lorri 401b'!N3748,'Retirement Calculator'!A:A,0),0),0)</f>
        <v>0</v>
      </c>
      <c r="K3748" s="455">
        <f t="shared" ca="1" si="153"/>
        <v>-10135860126.67864</v>
      </c>
      <c r="L3748" s="455">
        <f t="shared" ca="1" si="154"/>
        <v>-2442742290529.5522</v>
      </c>
      <c r="M3748" s="471">
        <f t="shared" si="156"/>
        <v>0.05</v>
      </c>
      <c r="N3748" s="475">
        <f t="shared" si="157"/>
        <v>165122</v>
      </c>
    </row>
    <row r="3749" spans="7:14" ht="11.25" customHeight="1" x14ac:dyDescent="0.3">
      <c r="G3749" s="470"/>
      <c r="H3749" s="470">
        <v>3742</v>
      </c>
      <c r="I3749" s="455">
        <f t="shared" ca="1" si="155"/>
        <v>-2442742290529.5522</v>
      </c>
      <c r="J3749" s="455">
        <f t="array" ref="J3749">IFERROR(INDEX('Retirement Calculator'!K:K,MATCH('Lorri 401b'!N3749,'Retirement Calculator'!A:A,0),0),0)</f>
        <v>0</v>
      </c>
      <c r="K3749" s="455">
        <f t="shared" ca="1" si="153"/>
        <v>-10178092877.206467</v>
      </c>
      <c r="L3749" s="455">
        <f t="shared" ca="1" si="154"/>
        <v>-2452920383406.7588</v>
      </c>
      <c r="M3749" s="471">
        <f t="shared" si="156"/>
        <v>0.05</v>
      </c>
      <c r="N3749" s="475">
        <f t="shared" si="157"/>
        <v>165151</v>
      </c>
    </row>
    <row r="3750" spans="7:14" ht="11.25" customHeight="1" x14ac:dyDescent="0.3">
      <c r="G3750" s="470"/>
      <c r="H3750" s="470">
        <v>3743</v>
      </c>
      <c r="I3750" s="455">
        <f t="shared" ca="1" si="155"/>
        <v>-2452920383406.7588</v>
      </c>
      <c r="J3750" s="455">
        <f t="array" ref="J3750">IFERROR(INDEX('Retirement Calculator'!K:K,MATCH('Lorri 401b'!N3750,'Retirement Calculator'!A:A,0),0),0)</f>
        <v>0</v>
      </c>
      <c r="K3750" s="455">
        <f t="shared" ca="1" si="153"/>
        <v>-10220501597.528162</v>
      </c>
      <c r="L3750" s="455">
        <f t="shared" ca="1" si="154"/>
        <v>-2463140885004.2871</v>
      </c>
      <c r="M3750" s="471">
        <f t="shared" si="156"/>
        <v>0.05</v>
      </c>
      <c r="N3750" s="475">
        <f t="shared" si="157"/>
        <v>165182</v>
      </c>
    </row>
    <row r="3751" spans="7:14" ht="11.25" customHeight="1" x14ac:dyDescent="0.3">
      <c r="G3751" s="470"/>
      <c r="H3751" s="470">
        <v>3744</v>
      </c>
      <c r="I3751" s="455">
        <f t="shared" ca="1" si="155"/>
        <v>-2463140885004.2871</v>
      </c>
      <c r="J3751" s="455">
        <f t="array" ref="J3751">IFERROR(INDEX('Retirement Calculator'!K:K,MATCH('Lorri 401b'!N3751,'Retirement Calculator'!A:A,0),0),0)</f>
        <v>0</v>
      </c>
      <c r="K3751" s="455">
        <f t="shared" ca="1" si="153"/>
        <v>-10263087020.851196</v>
      </c>
      <c r="L3751" s="455">
        <f t="shared" ca="1" si="154"/>
        <v>-2473403972025.1382</v>
      </c>
      <c r="M3751" s="471">
        <f t="shared" si="156"/>
        <v>0.05</v>
      </c>
      <c r="N3751" s="475">
        <f t="shared" si="157"/>
        <v>165212</v>
      </c>
    </row>
    <row r="3752" spans="7:14" ht="11.25" customHeight="1" x14ac:dyDescent="0.3">
      <c r="G3752" s="470"/>
      <c r="H3752" s="470">
        <v>3745</v>
      </c>
      <c r="I3752" s="455">
        <f t="shared" ca="1" si="155"/>
        <v>-2473403972025.1382</v>
      </c>
      <c r="J3752" s="455">
        <f t="array" ref="J3752">IFERROR(INDEX('Retirement Calculator'!K:K,MATCH('Lorri 401b'!N3752,'Retirement Calculator'!A:A,0),0),0)</f>
        <v>0</v>
      </c>
      <c r="K3752" s="455">
        <f t="shared" ca="1" si="153"/>
        <v>-10305849883.438076</v>
      </c>
      <c r="L3752" s="455">
        <f t="shared" ca="1" si="154"/>
        <v>-2483709821908.5762</v>
      </c>
      <c r="M3752" s="471">
        <f t="shared" si="156"/>
        <v>0.05</v>
      </c>
      <c r="N3752" s="475">
        <f t="shared" si="157"/>
        <v>165243</v>
      </c>
    </row>
    <row r="3753" spans="7:14" ht="11.25" customHeight="1" x14ac:dyDescent="0.3">
      <c r="G3753" s="470"/>
      <c r="H3753" s="470">
        <v>3746</v>
      </c>
      <c r="I3753" s="455">
        <f t="shared" ca="1" si="155"/>
        <v>-2483709821908.5762</v>
      </c>
      <c r="J3753" s="455">
        <f t="array" ref="J3753">IFERROR(INDEX('Retirement Calculator'!K:K,MATCH('Lorri 401b'!N3753,'Retirement Calculator'!A:A,0),0),0)</f>
        <v>0</v>
      </c>
      <c r="K3753" s="455">
        <f t="shared" ca="1" si="153"/>
        <v>-10348790924.619068</v>
      </c>
      <c r="L3753" s="455">
        <f t="shared" ca="1" si="154"/>
        <v>-2494058612833.1953</v>
      </c>
      <c r="M3753" s="471">
        <f t="shared" si="156"/>
        <v>0.05</v>
      </c>
      <c r="N3753" s="475">
        <f t="shared" si="157"/>
        <v>165273</v>
      </c>
    </row>
    <row r="3754" spans="7:14" ht="11.25" customHeight="1" x14ac:dyDescent="0.3">
      <c r="G3754" s="470"/>
      <c r="H3754" s="470">
        <v>3747</v>
      </c>
      <c r="I3754" s="455">
        <f t="shared" ca="1" si="155"/>
        <v>-2494058612833.1953</v>
      </c>
      <c r="J3754" s="455">
        <f t="array" ref="J3754">IFERROR(INDEX('Retirement Calculator'!K:K,MATCH('Lorri 401b'!N3754,'Retirement Calculator'!A:A,0),0),0)</f>
        <v>0</v>
      </c>
      <c r="K3754" s="455">
        <f t="shared" ca="1" si="153"/>
        <v>-10391910886.804981</v>
      </c>
      <c r="L3754" s="455">
        <f t="shared" ca="1" si="154"/>
        <v>-2504450523720.0005</v>
      </c>
      <c r="M3754" s="471">
        <f t="shared" si="156"/>
        <v>0.05</v>
      </c>
      <c r="N3754" s="475">
        <f t="shared" si="157"/>
        <v>165304</v>
      </c>
    </row>
    <row r="3755" spans="7:14" ht="11.25" customHeight="1" x14ac:dyDescent="0.3">
      <c r="G3755" s="470"/>
      <c r="H3755" s="470">
        <v>3748</v>
      </c>
      <c r="I3755" s="455">
        <f t="shared" ca="1" si="155"/>
        <v>-2504450523720.0005</v>
      </c>
      <c r="J3755" s="455">
        <f t="array" ref="J3755">IFERROR(INDEX('Retirement Calculator'!K:K,MATCH('Lorri 401b'!N3755,'Retirement Calculator'!A:A,0),0),0)</f>
        <v>0</v>
      </c>
      <c r="K3755" s="455">
        <f t="shared" ca="1" si="153"/>
        <v>-10435210515.500002</v>
      </c>
      <c r="L3755" s="455">
        <f t="shared" ca="1" si="154"/>
        <v>-2514885734235.5005</v>
      </c>
      <c r="M3755" s="471">
        <f t="shared" si="156"/>
        <v>0.05</v>
      </c>
      <c r="N3755" s="475">
        <f t="shared" si="157"/>
        <v>165335</v>
      </c>
    </row>
    <row r="3756" spans="7:14" ht="11.25" customHeight="1" x14ac:dyDescent="0.3">
      <c r="G3756" s="470"/>
      <c r="H3756" s="470">
        <v>3749</v>
      </c>
      <c r="I3756" s="455">
        <f t="shared" ca="1" si="155"/>
        <v>-2514885734235.5005</v>
      </c>
      <c r="J3756" s="455">
        <f t="array" ref="J3756">IFERROR(INDEX('Retirement Calculator'!K:K,MATCH('Lorri 401b'!N3756,'Retirement Calculator'!A:A,0),0),0)</f>
        <v>0</v>
      </c>
      <c r="K3756" s="455">
        <f t="shared" ca="1" si="153"/>
        <v>-10478690559.314585</v>
      </c>
      <c r="L3756" s="455">
        <f t="shared" ca="1" si="154"/>
        <v>-2525364424794.8149</v>
      </c>
      <c r="M3756" s="471">
        <f t="shared" si="156"/>
        <v>0.05</v>
      </c>
      <c r="N3756" s="475">
        <f t="shared" si="157"/>
        <v>165365</v>
      </c>
    </row>
    <row r="3757" spans="7:14" ht="11.25" customHeight="1" x14ac:dyDescent="0.3">
      <c r="G3757" s="470"/>
      <c r="H3757" s="470">
        <v>3750</v>
      </c>
      <c r="I3757" s="455">
        <f t="shared" ca="1" si="155"/>
        <v>-2525364424794.8149</v>
      </c>
      <c r="J3757" s="455">
        <f t="array" ref="J3757">IFERROR(INDEX('Retirement Calculator'!K:K,MATCH('Lorri 401b'!N3757,'Retirement Calculator'!A:A,0),0),0)</f>
        <v>0</v>
      </c>
      <c r="K3757" s="455">
        <f t="shared" ca="1" si="153"/>
        <v>-10522351769.978395</v>
      </c>
      <c r="L3757" s="455">
        <f t="shared" ca="1" si="154"/>
        <v>-2535886776564.7935</v>
      </c>
      <c r="M3757" s="471">
        <f t="shared" si="156"/>
        <v>0.05</v>
      </c>
      <c r="N3757" s="475">
        <f t="shared" si="157"/>
        <v>165396</v>
      </c>
    </row>
    <row r="3758" spans="7:14" ht="11.25" customHeight="1" x14ac:dyDescent="0.3">
      <c r="G3758" s="470"/>
      <c r="H3758" s="470">
        <v>3751</v>
      </c>
      <c r="I3758" s="455">
        <f t="shared" ca="1" si="155"/>
        <v>-2535886776564.7935</v>
      </c>
      <c r="J3758" s="455">
        <f t="array" ref="J3758">IFERROR(INDEX('Retirement Calculator'!K:K,MATCH('Lorri 401b'!N3758,'Retirement Calculator'!A:A,0),0),0)</f>
        <v>0</v>
      </c>
      <c r="K3758" s="455">
        <f t="shared" ca="1" si="153"/>
        <v>-10566194902.353306</v>
      </c>
      <c r="L3758" s="455">
        <f t="shared" ca="1" si="154"/>
        <v>-2546452971467.147</v>
      </c>
      <c r="M3758" s="471">
        <f t="shared" si="156"/>
        <v>0.05</v>
      </c>
      <c r="N3758" s="475">
        <f t="shared" si="157"/>
        <v>165426</v>
      </c>
    </row>
    <row r="3759" spans="7:14" ht="11.25" customHeight="1" x14ac:dyDescent="0.3">
      <c r="G3759" s="470"/>
      <c r="H3759" s="470">
        <v>3752</v>
      </c>
      <c r="I3759" s="455">
        <f t="shared" ca="1" si="155"/>
        <v>-2546452971467.147</v>
      </c>
      <c r="J3759" s="455">
        <f t="array" ref="J3759">IFERROR(INDEX('Retirement Calculator'!K:K,MATCH('Lorri 401b'!N3759,'Retirement Calculator'!A:A,0),0),0)</f>
        <v>0</v>
      </c>
      <c r="K3759" s="455">
        <f t="shared" ca="1" si="153"/>
        <v>-10610220714.446445</v>
      </c>
      <c r="L3759" s="455">
        <f t="shared" ca="1" si="154"/>
        <v>-2557063192181.5933</v>
      </c>
      <c r="M3759" s="471">
        <f t="shared" si="156"/>
        <v>0.05</v>
      </c>
      <c r="N3759" s="475">
        <f t="shared" si="157"/>
        <v>165457</v>
      </c>
    </row>
    <row r="3760" spans="7:14" ht="11.25" customHeight="1" x14ac:dyDescent="0.3">
      <c r="G3760" s="470"/>
      <c r="H3760" s="470">
        <v>3753</v>
      </c>
      <c r="I3760" s="455">
        <f t="shared" ca="1" si="155"/>
        <v>-2557063192181.5933</v>
      </c>
      <c r="J3760" s="455">
        <f t="array" ref="J3760">IFERROR(INDEX('Retirement Calculator'!K:K,MATCH('Lorri 401b'!N3760,'Retirement Calculator'!A:A,0),0),0)</f>
        <v>0</v>
      </c>
      <c r="K3760" s="455">
        <f t="shared" ca="1" si="153"/>
        <v>-10654429967.423306</v>
      </c>
      <c r="L3760" s="455">
        <f t="shared" ca="1" si="154"/>
        <v>-2567717622149.0166</v>
      </c>
      <c r="M3760" s="471">
        <f t="shared" si="156"/>
        <v>0.05</v>
      </c>
      <c r="N3760" s="475">
        <f t="shared" si="157"/>
        <v>165488</v>
      </c>
    </row>
    <row r="3761" spans="7:14" ht="11.25" customHeight="1" x14ac:dyDescent="0.3">
      <c r="G3761" s="470"/>
      <c r="H3761" s="470">
        <v>3754</v>
      </c>
      <c r="I3761" s="455">
        <f t="shared" ca="1" si="155"/>
        <v>-2567717622149.0166</v>
      </c>
      <c r="J3761" s="455">
        <f t="array" ref="J3761">IFERROR(INDEX('Retirement Calculator'!K:K,MATCH('Lorri 401b'!N3761,'Retirement Calculator'!A:A,0),0),0)</f>
        <v>0</v>
      </c>
      <c r="K3761" s="455">
        <f t="shared" ca="1" si="153"/>
        <v>-10698823425.620903</v>
      </c>
      <c r="L3761" s="455">
        <f t="shared" ca="1" si="154"/>
        <v>-2578416445574.6377</v>
      </c>
      <c r="M3761" s="471">
        <f t="shared" si="156"/>
        <v>0.05</v>
      </c>
      <c r="N3761" s="475">
        <f t="shared" si="157"/>
        <v>165516</v>
      </c>
    </row>
    <row r="3762" spans="7:14" ht="11.25" customHeight="1" x14ac:dyDescent="0.3">
      <c r="G3762" s="470"/>
      <c r="H3762" s="470">
        <v>3755</v>
      </c>
      <c r="I3762" s="455">
        <f t="shared" ca="1" si="155"/>
        <v>-2578416445574.6377</v>
      </c>
      <c r="J3762" s="455">
        <f t="array" ref="J3762">IFERROR(INDEX('Retirement Calculator'!K:K,MATCH('Lorri 401b'!N3762,'Retirement Calculator'!A:A,0),0),0)</f>
        <v>0</v>
      </c>
      <c r="K3762" s="455">
        <f t="shared" ca="1" si="153"/>
        <v>-10743401856.560989</v>
      </c>
      <c r="L3762" s="455">
        <f t="shared" ca="1" si="154"/>
        <v>-2589159847431.1987</v>
      </c>
      <c r="M3762" s="471">
        <f t="shared" si="156"/>
        <v>0.05</v>
      </c>
      <c r="N3762" s="475">
        <f t="shared" si="157"/>
        <v>165547</v>
      </c>
    </row>
    <row r="3763" spans="7:14" ht="11.25" customHeight="1" x14ac:dyDescent="0.3">
      <c r="G3763" s="470"/>
      <c r="H3763" s="470">
        <v>3756</v>
      </c>
      <c r="I3763" s="455">
        <f t="shared" ca="1" si="155"/>
        <v>-2589159847431.1987</v>
      </c>
      <c r="J3763" s="455">
        <f t="array" ref="J3763">IFERROR(INDEX('Retirement Calculator'!K:K,MATCH('Lorri 401b'!N3763,'Retirement Calculator'!A:A,0),0),0)</f>
        <v>0</v>
      </c>
      <c r="K3763" s="455">
        <f t="shared" ca="1" si="153"/>
        <v>-10788166030.963327</v>
      </c>
      <c r="L3763" s="455">
        <f t="shared" ca="1" si="154"/>
        <v>-2599948013462.1621</v>
      </c>
      <c r="M3763" s="471">
        <f t="shared" si="156"/>
        <v>0.05</v>
      </c>
      <c r="N3763" s="475">
        <f t="shared" si="157"/>
        <v>165577</v>
      </c>
    </row>
    <row r="3764" spans="7:14" ht="11.25" customHeight="1" x14ac:dyDescent="0.3">
      <c r="G3764" s="470"/>
      <c r="H3764" s="470">
        <v>3757</v>
      </c>
      <c r="I3764" s="455">
        <f t="shared" ca="1" si="155"/>
        <v>-2599948013462.1621</v>
      </c>
      <c r="J3764" s="455">
        <f t="array" ref="J3764">IFERROR(INDEX('Retirement Calculator'!K:K,MATCH('Lorri 401b'!N3764,'Retirement Calculator'!A:A,0),0),0)</f>
        <v>0</v>
      </c>
      <c r="K3764" s="455">
        <f t="shared" ca="1" si="153"/>
        <v>-10833116722.759008</v>
      </c>
      <c r="L3764" s="455">
        <f t="shared" ca="1" si="154"/>
        <v>-2610781130184.9209</v>
      </c>
      <c r="M3764" s="471">
        <f t="shared" si="156"/>
        <v>0.05</v>
      </c>
      <c r="N3764" s="475">
        <f t="shared" si="157"/>
        <v>165608</v>
      </c>
    </row>
    <row r="3765" spans="7:14" ht="11.25" customHeight="1" x14ac:dyDescent="0.3">
      <c r="G3765" s="470"/>
      <c r="H3765" s="470">
        <v>3758</v>
      </c>
      <c r="I3765" s="455">
        <f t="shared" ca="1" si="155"/>
        <v>-2610781130184.9209</v>
      </c>
      <c r="J3765" s="455">
        <f t="array" ref="J3765">IFERROR(INDEX('Retirement Calculator'!K:K,MATCH('Lorri 401b'!N3765,'Retirement Calculator'!A:A,0),0),0)</f>
        <v>0</v>
      </c>
      <c r="K3765" s="455">
        <f t="shared" ca="1" si="153"/>
        <v>-10878254709.103836</v>
      </c>
      <c r="L3765" s="455">
        <f t="shared" ca="1" si="154"/>
        <v>-2621659384894.0249</v>
      </c>
      <c r="M3765" s="471">
        <f t="shared" si="156"/>
        <v>0.05</v>
      </c>
      <c r="N3765" s="475">
        <f t="shared" si="157"/>
        <v>165638</v>
      </c>
    </row>
    <row r="3766" spans="7:14" ht="11.25" customHeight="1" x14ac:dyDescent="0.3">
      <c r="G3766" s="470"/>
      <c r="H3766" s="470">
        <v>3759</v>
      </c>
      <c r="I3766" s="455">
        <f t="shared" ca="1" si="155"/>
        <v>-2621659384894.0249</v>
      </c>
      <c r="J3766" s="455">
        <f t="array" ref="J3766">IFERROR(INDEX('Retirement Calculator'!K:K,MATCH('Lorri 401b'!N3766,'Retirement Calculator'!A:A,0),0),0)</f>
        <v>0</v>
      </c>
      <c r="K3766" s="455">
        <f t="shared" ca="1" si="153"/>
        <v>-10923580770.391769</v>
      </c>
      <c r="L3766" s="455">
        <f t="shared" ca="1" si="154"/>
        <v>-2632582965664.4165</v>
      </c>
      <c r="M3766" s="471">
        <f t="shared" si="156"/>
        <v>0.05</v>
      </c>
      <c r="N3766" s="475">
        <f t="shared" si="157"/>
        <v>165669</v>
      </c>
    </row>
    <row r="3767" spans="7:14" ht="11.25" customHeight="1" x14ac:dyDescent="0.3">
      <c r="G3767" s="470"/>
      <c r="H3767" s="470">
        <v>3760</v>
      </c>
      <c r="I3767" s="455">
        <f t="shared" ca="1" si="155"/>
        <v>-2632582965664.4165</v>
      </c>
      <c r="J3767" s="455">
        <f t="array" ref="J3767">IFERROR(INDEX('Retirement Calculator'!K:K,MATCH('Lorri 401b'!N3767,'Retirement Calculator'!A:A,0),0),0)</f>
        <v>0</v>
      </c>
      <c r="K3767" s="455">
        <f t="shared" ca="1" si="153"/>
        <v>-10969095690.268402</v>
      </c>
      <c r="L3767" s="455">
        <f t="shared" ca="1" si="154"/>
        <v>-2643552061354.6851</v>
      </c>
      <c r="M3767" s="471">
        <f t="shared" si="156"/>
        <v>0.05</v>
      </c>
      <c r="N3767" s="475">
        <f t="shared" si="157"/>
        <v>165700</v>
      </c>
    </row>
    <row r="3768" spans="7:14" ht="11.25" customHeight="1" x14ac:dyDescent="0.3">
      <c r="G3768" s="470"/>
      <c r="H3768" s="470">
        <v>3761</v>
      </c>
      <c r="I3768" s="455">
        <f t="shared" ca="1" si="155"/>
        <v>-2643552061354.6851</v>
      </c>
      <c r="J3768" s="455">
        <f t="array" ref="J3768">IFERROR(INDEX('Retirement Calculator'!K:K,MATCH('Lorri 401b'!N3768,'Retirement Calculator'!A:A,0),0),0)</f>
        <v>0</v>
      </c>
      <c r="K3768" s="455">
        <f t="shared" ca="1" si="153"/>
        <v>-11014800255.644522</v>
      </c>
      <c r="L3768" s="455">
        <f t="shared" ca="1" si="154"/>
        <v>-2654566861610.3296</v>
      </c>
      <c r="M3768" s="471">
        <f t="shared" si="156"/>
        <v>0.05</v>
      </c>
      <c r="N3768" s="475">
        <f t="shared" si="157"/>
        <v>165730</v>
      </c>
    </row>
    <row r="3769" spans="7:14" ht="11.25" customHeight="1" x14ac:dyDescent="0.3">
      <c r="G3769" s="470"/>
      <c r="H3769" s="470">
        <v>3762</v>
      </c>
      <c r="I3769" s="455">
        <f t="shared" ca="1" si="155"/>
        <v>-2654566861610.3296</v>
      </c>
      <c r="J3769" s="455">
        <f t="array" ref="J3769">IFERROR(INDEX('Retirement Calculator'!K:K,MATCH('Lorri 401b'!N3769,'Retirement Calculator'!A:A,0),0),0)</f>
        <v>0</v>
      </c>
      <c r="K3769" s="455">
        <f t="shared" ca="1" si="153"/>
        <v>-11060695256.709707</v>
      </c>
      <c r="L3769" s="455">
        <f t="shared" ca="1" si="154"/>
        <v>-2665627556867.0391</v>
      </c>
      <c r="M3769" s="471">
        <f t="shared" si="156"/>
        <v>0.05</v>
      </c>
      <c r="N3769" s="475">
        <f t="shared" si="157"/>
        <v>165761</v>
      </c>
    </row>
    <row r="3770" spans="7:14" ht="11.25" customHeight="1" x14ac:dyDescent="0.3">
      <c r="G3770" s="470"/>
      <c r="H3770" s="470">
        <v>3763</v>
      </c>
      <c r="I3770" s="455">
        <f t="shared" ca="1" si="155"/>
        <v>-2665627556867.0391</v>
      </c>
      <c r="J3770" s="455">
        <f t="array" ref="J3770">IFERROR(INDEX('Retirement Calculator'!K:K,MATCH('Lorri 401b'!N3770,'Retirement Calculator'!A:A,0),0),0)</f>
        <v>0</v>
      </c>
      <c r="K3770" s="455">
        <f t="shared" ca="1" si="153"/>
        <v>-11106781486.945995</v>
      </c>
      <c r="L3770" s="455">
        <f t="shared" ca="1" si="154"/>
        <v>-2676734338353.9849</v>
      </c>
      <c r="M3770" s="471">
        <f t="shared" si="156"/>
        <v>0.05</v>
      </c>
      <c r="N3770" s="475">
        <f t="shared" si="157"/>
        <v>165791</v>
      </c>
    </row>
    <row r="3771" spans="7:14" ht="11.25" customHeight="1" x14ac:dyDescent="0.3">
      <c r="G3771" s="470"/>
      <c r="H3771" s="470">
        <v>3764</v>
      </c>
      <c r="I3771" s="455">
        <f t="shared" ca="1" si="155"/>
        <v>-2676734338353.9849</v>
      </c>
      <c r="J3771" s="455">
        <f t="array" ref="J3771">IFERROR(INDEX('Retirement Calculator'!K:K,MATCH('Lorri 401b'!N3771,'Retirement Calculator'!A:A,0),0),0)</f>
        <v>0</v>
      </c>
      <c r="K3771" s="455">
        <f t="shared" ca="1" si="153"/>
        <v>-11153059743.141603</v>
      </c>
      <c r="L3771" s="455">
        <f t="shared" ca="1" si="154"/>
        <v>-2687887398097.1265</v>
      </c>
      <c r="M3771" s="471">
        <f t="shared" si="156"/>
        <v>0.05</v>
      </c>
      <c r="N3771" s="475">
        <f t="shared" si="157"/>
        <v>165822</v>
      </c>
    </row>
    <row r="3772" spans="7:14" ht="11.25" customHeight="1" x14ac:dyDescent="0.3">
      <c r="G3772" s="470"/>
      <c r="H3772" s="470">
        <v>3765</v>
      </c>
      <c r="I3772" s="455">
        <f t="shared" ca="1" si="155"/>
        <v>-2687887398097.1265</v>
      </c>
      <c r="J3772" s="455">
        <f t="array" ref="J3772">IFERROR(INDEX('Retirement Calculator'!K:K,MATCH('Lorri 401b'!N3772,'Retirement Calculator'!A:A,0),0),0)</f>
        <v>0</v>
      </c>
      <c r="K3772" s="455">
        <f t="shared" ca="1" si="153"/>
        <v>-11199530825.404694</v>
      </c>
      <c r="L3772" s="455">
        <f t="shared" ca="1" si="154"/>
        <v>-2699086928922.5313</v>
      </c>
      <c r="M3772" s="471">
        <f t="shared" si="156"/>
        <v>0.05</v>
      </c>
      <c r="N3772" s="475">
        <f t="shared" si="157"/>
        <v>165853</v>
      </c>
    </row>
    <row r="3773" spans="7:14" ht="11.25" customHeight="1" x14ac:dyDescent="0.3">
      <c r="G3773" s="470"/>
      <c r="H3773" s="470">
        <v>3766</v>
      </c>
      <c r="I3773" s="455">
        <f t="shared" ca="1" si="155"/>
        <v>-2699086928922.5313</v>
      </c>
      <c r="J3773" s="455">
        <f t="array" ref="J3773">IFERROR(INDEX('Retirement Calculator'!K:K,MATCH('Lorri 401b'!N3773,'Retirement Calculator'!A:A,0),0),0)</f>
        <v>0</v>
      </c>
      <c r="K3773" s="455">
        <f t="shared" ca="1" si="153"/>
        <v>-11246195537.177214</v>
      </c>
      <c r="L3773" s="455">
        <f t="shared" ca="1" si="154"/>
        <v>-2710333124459.7085</v>
      </c>
      <c r="M3773" s="471">
        <f t="shared" si="156"/>
        <v>0.05</v>
      </c>
      <c r="N3773" s="475">
        <f t="shared" si="157"/>
        <v>165881</v>
      </c>
    </row>
    <row r="3774" spans="7:14" ht="11.25" customHeight="1" x14ac:dyDescent="0.3">
      <c r="G3774" s="470"/>
      <c r="H3774" s="470">
        <v>3767</v>
      </c>
      <c r="I3774" s="455">
        <f t="shared" ca="1" si="155"/>
        <v>-2710333124459.7085</v>
      </c>
      <c r="J3774" s="455">
        <f t="array" ref="J3774">IFERROR(INDEX('Retirement Calculator'!K:K,MATCH('Lorri 401b'!N3774,'Retirement Calculator'!A:A,0),0),0)</f>
        <v>0</v>
      </c>
      <c r="K3774" s="455">
        <f t="shared" ca="1" si="153"/>
        <v>-11293054685.248785</v>
      </c>
      <c r="L3774" s="455">
        <f t="shared" ca="1" si="154"/>
        <v>-2721626179144.9575</v>
      </c>
      <c r="M3774" s="471">
        <f t="shared" si="156"/>
        <v>0.05</v>
      </c>
      <c r="N3774" s="475">
        <f t="shared" si="157"/>
        <v>165912</v>
      </c>
    </row>
    <row r="3775" spans="7:14" ht="11.25" customHeight="1" x14ac:dyDescent="0.3">
      <c r="G3775" s="470"/>
      <c r="H3775" s="470">
        <v>3768</v>
      </c>
      <c r="I3775" s="455">
        <f t="shared" ca="1" si="155"/>
        <v>-2721626179144.9575</v>
      </c>
      <c r="J3775" s="455">
        <f t="array" ref="J3775">IFERROR(INDEX('Retirement Calculator'!K:K,MATCH('Lorri 401b'!N3775,'Retirement Calculator'!A:A,0),0),0)</f>
        <v>0</v>
      </c>
      <c r="K3775" s="455">
        <f t="shared" ca="1" si="153"/>
        <v>-11340109079.770657</v>
      </c>
      <c r="L3775" s="455">
        <f t="shared" ca="1" si="154"/>
        <v>-2732966288224.728</v>
      </c>
      <c r="M3775" s="471">
        <f t="shared" si="156"/>
        <v>0.05</v>
      </c>
      <c r="N3775" s="475">
        <f t="shared" si="157"/>
        <v>165942</v>
      </c>
    </row>
    <row r="3776" spans="7:14" ht="11.25" customHeight="1" x14ac:dyDescent="0.3">
      <c r="G3776" s="470"/>
      <c r="H3776" s="470">
        <v>3769</v>
      </c>
      <c r="I3776" s="455">
        <f t="shared" ca="1" si="155"/>
        <v>-2732966288224.728</v>
      </c>
      <c r="J3776" s="455">
        <f t="array" ref="J3776">IFERROR(INDEX('Retirement Calculator'!K:K,MATCH('Lorri 401b'!N3776,'Retirement Calculator'!A:A,0),0),0)</f>
        <v>0</v>
      </c>
      <c r="K3776" s="455">
        <f t="shared" ca="1" si="153"/>
        <v>-11387359534.269699</v>
      </c>
      <c r="L3776" s="455">
        <f t="shared" ca="1" si="154"/>
        <v>-2744353647758.9976</v>
      </c>
      <c r="M3776" s="471">
        <f t="shared" si="156"/>
        <v>0.05</v>
      </c>
      <c r="N3776" s="475">
        <f t="shared" si="157"/>
        <v>165973</v>
      </c>
    </row>
    <row r="3777" spans="7:14" ht="11.25" customHeight="1" x14ac:dyDescent="0.3">
      <c r="G3777" s="470"/>
      <c r="H3777" s="470">
        <v>3770</v>
      </c>
      <c r="I3777" s="455">
        <f t="shared" ca="1" si="155"/>
        <v>-2744353647758.9976</v>
      </c>
      <c r="J3777" s="455">
        <f t="array" ref="J3777">IFERROR(INDEX('Retirement Calculator'!K:K,MATCH('Lorri 401b'!N3777,'Retirement Calculator'!A:A,0),0),0)</f>
        <v>0</v>
      </c>
      <c r="K3777" s="455">
        <f t="shared" ca="1" si="153"/>
        <v>-11434806865.662489</v>
      </c>
      <c r="L3777" s="455">
        <f t="shared" ca="1" si="154"/>
        <v>-2755788454624.6602</v>
      </c>
      <c r="M3777" s="471">
        <f t="shared" si="156"/>
        <v>0.05</v>
      </c>
      <c r="N3777" s="475">
        <f t="shared" si="157"/>
        <v>166003</v>
      </c>
    </row>
    <row r="3778" spans="7:14" ht="11.25" customHeight="1" x14ac:dyDescent="0.3">
      <c r="G3778" s="470"/>
      <c r="H3778" s="470">
        <v>3771</v>
      </c>
      <c r="I3778" s="455">
        <f t="shared" ca="1" si="155"/>
        <v>-2755788454624.6602</v>
      </c>
      <c r="J3778" s="455">
        <f t="array" ref="J3778">IFERROR(INDEX('Retirement Calculator'!K:K,MATCH('Lorri 401b'!N3778,'Retirement Calculator'!A:A,0),0),0)</f>
        <v>0</v>
      </c>
      <c r="K3778" s="455">
        <f t="shared" ca="1" si="153"/>
        <v>-11482451894.269417</v>
      </c>
      <c r="L3778" s="455">
        <f t="shared" ca="1" si="154"/>
        <v>-2767270906518.9297</v>
      </c>
      <c r="M3778" s="471">
        <f t="shared" si="156"/>
        <v>0.05</v>
      </c>
      <c r="N3778" s="475">
        <f t="shared" si="157"/>
        <v>166034</v>
      </c>
    </row>
    <row r="3779" spans="7:14" ht="11.25" customHeight="1" x14ac:dyDescent="0.3">
      <c r="G3779" s="470"/>
      <c r="H3779" s="470">
        <v>3772</v>
      </c>
      <c r="I3779" s="455">
        <f t="shared" ca="1" si="155"/>
        <v>-2767270906518.9297</v>
      </c>
      <c r="J3779" s="455">
        <f t="array" ref="J3779">IFERROR(INDEX('Retirement Calculator'!K:K,MATCH('Lorri 401b'!N3779,'Retirement Calculator'!A:A,0),0),0)</f>
        <v>0</v>
      </c>
      <c r="K3779" s="455">
        <f t="shared" ca="1" si="153"/>
        <v>-11530295443.828873</v>
      </c>
      <c r="L3779" s="455">
        <f t="shared" ca="1" si="154"/>
        <v>-2778801201962.7588</v>
      </c>
      <c r="M3779" s="471">
        <f t="shared" si="156"/>
        <v>0.05</v>
      </c>
      <c r="N3779" s="475">
        <f t="shared" si="157"/>
        <v>166065</v>
      </c>
    </row>
    <row r="3780" spans="7:14" ht="11.25" customHeight="1" x14ac:dyDescent="0.3">
      <c r="G3780" s="470"/>
      <c r="H3780" s="470">
        <v>3773</v>
      </c>
      <c r="I3780" s="455">
        <f t="shared" ca="1" si="155"/>
        <v>-2778801201962.7588</v>
      </c>
      <c r="J3780" s="455">
        <f t="array" ref="J3780">IFERROR(INDEX('Retirement Calculator'!K:K,MATCH('Lorri 401b'!N3780,'Retirement Calculator'!A:A,0),0),0)</f>
        <v>0</v>
      </c>
      <c r="K3780" s="455">
        <f t="shared" ca="1" si="153"/>
        <v>-11578338341.511496</v>
      </c>
      <c r="L3780" s="455">
        <f t="shared" ca="1" si="154"/>
        <v>-2790379540304.2705</v>
      </c>
      <c r="M3780" s="471">
        <f t="shared" si="156"/>
        <v>0.05</v>
      </c>
      <c r="N3780" s="475">
        <f t="shared" si="157"/>
        <v>166095</v>
      </c>
    </row>
    <row r="3781" spans="7:14" ht="11.25" customHeight="1" x14ac:dyDescent="0.3">
      <c r="G3781" s="470"/>
      <c r="H3781" s="470">
        <v>3774</v>
      </c>
      <c r="I3781" s="455">
        <f t="shared" ca="1" si="155"/>
        <v>-2790379540304.2705</v>
      </c>
      <c r="J3781" s="455">
        <f t="array" ref="J3781">IFERROR(INDEX('Retirement Calculator'!K:K,MATCH('Lorri 401b'!N3781,'Retirement Calculator'!A:A,0),0),0)</f>
        <v>0</v>
      </c>
      <c r="K3781" s="455">
        <f t="shared" ca="1" si="153"/>
        <v>-11626581417.93446</v>
      </c>
      <c r="L3781" s="455">
        <f t="shared" ca="1" si="154"/>
        <v>-2802006121722.2051</v>
      </c>
      <c r="M3781" s="471">
        <f t="shared" si="156"/>
        <v>0.05</v>
      </c>
      <c r="N3781" s="475">
        <f t="shared" si="157"/>
        <v>166126</v>
      </c>
    </row>
    <row r="3782" spans="7:14" ht="11.25" customHeight="1" x14ac:dyDescent="0.3">
      <c r="G3782" s="470"/>
      <c r="H3782" s="470">
        <v>3775</v>
      </c>
      <c r="I3782" s="455">
        <f t="shared" ca="1" si="155"/>
        <v>-2802006121722.2051</v>
      </c>
      <c r="J3782" s="455">
        <f t="array" ref="J3782">IFERROR(INDEX('Retirement Calculator'!K:K,MATCH('Lorri 401b'!N3782,'Retirement Calculator'!A:A,0),0),0)</f>
        <v>0</v>
      </c>
      <c r="K3782" s="455">
        <f t="shared" ca="1" si="153"/>
        <v>-11675025507.175854</v>
      </c>
      <c r="L3782" s="455">
        <f t="shared" ca="1" si="154"/>
        <v>-2813681147229.3809</v>
      </c>
      <c r="M3782" s="471">
        <f t="shared" si="156"/>
        <v>0.05</v>
      </c>
      <c r="N3782" s="475">
        <f t="shared" si="157"/>
        <v>166156</v>
      </c>
    </row>
    <row r="3783" spans="7:14" ht="11.25" customHeight="1" x14ac:dyDescent="0.3">
      <c r="G3783" s="470"/>
      <c r="H3783" s="470">
        <v>3776</v>
      </c>
      <c r="I3783" s="455">
        <f t="shared" ca="1" si="155"/>
        <v>-2813681147229.3809</v>
      </c>
      <c r="J3783" s="455">
        <f t="array" ref="J3783">IFERROR(INDEX('Retirement Calculator'!K:K,MATCH('Lorri 401b'!N3783,'Retirement Calculator'!A:A,0),0),0)</f>
        <v>0</v>
      </c>
      <c r="K3783" s="455">
        <f t="shared" ca="1" si="153"/>
        <v>-11723671446.789087</v>
      </c>
      <c r="L3783" s="455">
        <f t="shared" ca="1" si="154"/>
        <v>-2825404818676.1699</v>
      </c>
      <c r="M3783" s="471">
        <f t="shared" si="156"/>
        <v>0.05</v>
      </c>
      <c r="N3783" s="475">
        <f t="shared" si="157"/>
        <v>166187</v>
      </c>
    </row>
    <row r="3784" spans="7:14" ht="11.25" customHeight="1" x14ac:dyDescent="0.3">
      <c r="G3784" s="470"/>
      <c r="H3784" s="470">
        <v>3777</v>
      </c>
      <c r="I3784" s="455">
        <f t="shared" ca="1" si="155"/>
        <v>-2825404818676.1699</v>
      </c>
      <c r="J3784" s="455">
        <f t="array" ref="J3784">IFERROR(INDEX('Retirement Calculator'!K:K,MATCH('Lorri 401b'!N3784,'Retirement Calculator'!A:A,0),0),0)</f>
        <v>0</v>
      </c>
      <c r="K3784" s="455">
        <f t="shared" ca="1" si="153"/>
        <v>-11772520077.817375</v>
      </c>
      <c r="L3784" s="455">
        <f t="shared" ca="1" si="154"/>
        <v>-2837177338753.9873</v>
      </c>
      <c r="M3784" s="471">
        <f t="shared" si="156"/>
        <v>0.05</v>
      </c>
      <c r="N3784" s="475">
        <f t="shared" si="157"/>
        <v>166218</v>
      </c>
    </row>
    <row r="3785" spans="7:14" ht="11.25" customHeight="1" x14ac:dyDescent="0.3">
      <c r="G3785" s="470"/>
      <c r="H3785" s="470">
        <v>3778</v>
      </c>
      <c r="I3785" s="455">
        <f t="shared" ca="1" si="155"/>
        <v>-2837177338753.9873</v>
      </c>
      <c r="J3785" s="455">
        <f t="array" ref="J3785">IFERROR(INDEX('Retirement Calculator'!K:K,MATCH('Lorri 401b'!N3785,'Retirement Calculator'!A:A,0),0),0)</f>
        <v>0</v>
      </c>
      <c r="K3785" s="455">
        <f t="shared" ca="1" si="153"/>
        <v>-11821572244.808281</v>
      </c>
      <c r="L3785" s="455">
        <f t="shared" ca="1" si="154"/>
        <v>-2848998910998.7954</v>
      </c>
      <c r="M3785" s="471">
        <f t="shared" si="156"/>
        <v>0.05</v>
      </c>
      <c r="N3785" s="475">
        <f t="shared" si="157"/>
        <v>166246</v>
      </c>
    </row>
    <row r="3786" spans="7:14" ht="11.25" customHeight="1" x14ac:dyDescent="0.3">
      <c r="G3786" s="470"/>
      <c r="H3786" s="470">
        <v>3779</v>
      </c>
      <c r="I3786" s="455">
        <f t="shared" ca="1" si="155"/>
        <v>-2848998910998.7954</v>
      </c>
      <c r="J3786" s="455">
        <f t="array" ref="J3786">IFERROR(INDEX('Retirement Calculator'!K:K,MATCH('Lorri 401b'!N3786,'Retirement Calculator'!A:A,0),0),0)</f>
        <v>0</v>
      </c>
      <c r="K3786" s="455">
        <f t="shared" ca="1" si="153"/>
        <v>-11870828795.828314</v>
      </c>
      <c r="L3786" s="455">
        <f t="shared" ca="1" si="154"/>
        <v>-2860869739794.6235</v>
      </c>
      <c r="M3786" s="471">
        <f t="shared" si="156"/>
        <v>0.05</v>
      </c>
      <c r="N3786" s="475">
        <f t="shared" si="157"/>
        <v>166277</v>
      </c>
    </row>
    <row r="3787" spans="7:14" ht="11.25" customHeight="1" x14ac:dyDescent="0.3">
      <c r="G3787" s="470"/>
      <c r="H3787" s="470">
        <v>3780</v>
      </c>
      <c r="I3787" s="455">
        <f t="shared" ca="1" si="155"/>
        <v>-2860869739794.6235</v>
      </c>
      <c r="J3787" s="455">
        <f t="array" ref="J3787">IFERROR(INDEX('Retirement Calculator'!K:K,MATCH('Lorri 401b'!N3787,'Retirement Calculator'!A:A,0),0),0)</f>
        <v>0</v>
      </c>
      <c r="K3787" s="455">
        <f t="shared" ca="1" si="153"/>
        <v>-11920290582.477598</v>
      </c>
      <c r="L3787" s="455">
        <f t="shared" ca="1" si="154"/>
        <v>-2872790030377.1011</v>
      </c>
      <c r="M3787" s="471">
        <f t="shared" si="156"/>
        <v>0.05</v>
      </c>
      <c r="N3787" s="475">
        <f t="shared" si="157"/>
        <v>166307</v>
      </c>
    </row>
    <row r="3788" spans="7:14" ht="11.25" customHeight="1" x14ac:dyDescent="0.3">
      <c r="G3788" s="470"/>
      <c r="H3788" s="470">
        <v>3781</v>
      </c>
      <c r="I3788" s="455">
        <f t="shared" ca="1" si="155"/>
        <v>-2872790030377.1011</v>
      </c>
      <c r="J3788" s="455">
        <f t="array" ref="J3788">IFERROR(INDEX('Retirement Calculator'!K:K,MATCH('Lorri 401b'!N3788,'Retirement Calculator'!A:A,0),0),0)</f>
        <v>0</v>
      </c>
      <c r="K3788" s="455">
        <f t="shared" ca="1" si="153"/>
        <v>-11969958459.904587</v>
      </c>
      <c r="L3788" s="455">
        <f t="shared" ca="1" si="154"/>
        <v>-2884759988837.0059</v>
      </c>
      <c r="M3788" s="471">
        <f t="shared" si="156"/>
        <v>0.05</v>
      </c>
      <c r="N3788" s="475">
        <f t="shared" si="157"/>
        <v>166338</v>
      </c>
    </row>
    <row r="3789" spans="7:14" ht="11.25" customHeight="1" x14ac:dyDescent="0.3">
      <c r="G3789" s="470"/>
      <c r="H3789" s="470">
        <v>3782</v>
      </c>
      <c r="I3789" s="455">
        <f t="shared" ca="1" si="155"/>
        <v>-2884759988837.0059</v>
      </c>
      <c r="J3789" s="455">
        <f t="array" ref="J3789">IFERROR(INDEX('Retirement Calculator'!K:K,MATCH('Lorri 401b'!N3789,'Retirement Calculator'!A:A,0),0),0)</f>
        <v>0</v>
      </c>
      <c r="K3789" s="455">
        <f t="shared" ca="1" si="153"/>
        <v>-12019833286.820858</v>
      </c>
      <c r="L3789" s="455">
        <f t="shared" ca="1" si="154"/>
        <v>-2896779822123.8267</v>
      </c>
      <c r="M3789" s="471">
        <f t="shared" si="156"/>
        <v>0.05</v>
      </c>
      <c r="N3789" s="475">
        <f t="shared" si="157"/>
        <v>166368</v>
      </c>
    </row>
    <row r="3790" spans="7:14" ht="11.25" customHeight="1" x14ac:dyDescent="0.3">
      <c r="G3790" s="470"/>
      <c r="H3790" s="470">
        <v>3783</v>
      </c>
      <c r="I3790" s="455">
        <f t="shared" ca="1" si="155"/>
        <v>-2896779822123.8267</v>
      </c>
      <c r="J3790" s="455">
        <f t="array" ref="J3790">IFERROR(INDEX('Retirement Calculator'!K:K,MATCH('Lorri 401b'!N3790,'Retirement Calculator'!A:A,0),0),0)</f>
        <v>0</v>
      </c>
      <c r="K3790" s="455">
        <f t="shared" ca="1" si="153"/>
        <v>-12069915925.515944</v>
      </c>
      <c r="L3790" s="455">
        <f t="shared" ca="1" si="154"/>
        <v>-2908849738049.3428</v>
      </c>
      <c r="M3790" s="471">
        <f t="shared" si="156"/>
        <v>0.05</v>
      </c>
      <c r="N3790" s="475">
        <f t="shared" si="157"/>
        <v>166399</v>
      </c>
    </row>
    <row r="3791" spans="7:14" ht="11.25" customHeight="1" x14ac:dyDescent="0.3">
      <c r="G3791" s="470"/>
      <c r="H3791" s="470">
        <v>3784</v>
      </c>
      <c r="I3791" s="455">
        <f t="shared" ca="1" si="155"/>
        <v>-2908849738049.3428</v>
      </c>
      <c r="J3791" s="455">
        <f t="array" ref="J3791">IFERROR(INDEX('Retirement Calculator'!K:K,MATCH('Lorri 401b'!N3791,'Retirement Calculator'!A:A,0),0),0)</f>
        <v>0</v>
      </c>
      <c r="K3791" s="455">
        <f t="shared" ca="1" si="153"/>
        <v>-12120207241.872261</v>
      </c>
      <c r="L3791" s="455">
        <f t="shared" ca="1" si="154"/>
        <v>-2920969945291.2148</v>
      </c>
      <c r="M3791" s="471">
        <f t="shared" si="156"/>
        <v>0.05</v>
      </c>
      <c r="N3791" s="475">
        <f t="shared" si="157"/>
        <v>166430</v>
      </c>
    </row>
    <row r="3792" spans="7:14" ht="11.25" customHeight="1" x14ac:dyDescent="0.3">
      <c r="G3792" s="470"/>
      <c r="H3792" s="470">
        <v>3785</v>
      </c>
      <c r="I3792" s="455">
        <f t="shared" ca="1" si="155"/>
        <v>-2920969945291.2148</v>
      </c>
      <c r="J3792" s="455">
        <f t="array" ref="J3792">IFERROR(INDEX('Retirement Calculator'!K:K,MATCH('Lorri 401b'!N3792,'Retirement Calculator'!A:A,0),0),0)</f>
        <v>0</v>
      </c>
      <c r="K3792" s="455">
        <f t="shared" ca="1" si="153"/>
        <v>-12170708105.380062</v>
      </c>
      <c r="L3792" s="455">
        <f t="shared" ca="1" si="154"/>
        <v>-2933140653396.5947</v>
      </c>
      <c r="M3792" s="471">
        <f t="shared" si="156"/>
        <v>0.05</v>
      </c>
      <c r="N3792" s="475">
        <f t="shared" si="157"/>
        <v>166460</v>
      </c>
    </row>
    <row r="3793" spans="7:14" ht="11.25" customHeight="1" x14ac:dyDescent="0.3">
      <c r="G3793" s="470"/>
      <c r="H3793" s="470">
        <v>3786</v>
      </c>
      <c r="I3793" s="455">
        <f t="shared" ca="1" si="155"/>
        <v>-2933140653396.5947</v>
      </c>
      <c r="J3793" s="455">
        <f t="array" ref="J3793">IFERROR(INDEX('Retirement Calculator'!K:K,MATCH('Lorri 401b'!N3793,'Retirement Calculator'!A:A,0),0),0)</f>
        <v>0</v>
      </c>
      <c r="K3793" s="455">
        <f t="shared" ca="1" si="153"/>
        <v>-12221419389.152477</v>
      </c>
      <c r="L3793" s="455">
        <f t="shared" ca="1" si="154"/>
        <v>-2945362072785.7471</v>
      </c>
      <c r="M3793" s="471">
        <f t="shared" si="156"/>
        <v>0.05</v>
      </c>
      <c r="N3793" s="475">
        <f t="shared" si="157"/>
        <v>166491</v>
      </c>
    </row>
    <row r="3794" spans="7:14" ht="11.25" customHeight="1" x14ac:dyDescent="0.3">
      <c r="G3794" s="470"/>
      <c r="H3794" s="470">
        <v>3787</v>
      </c>
      <c r="I3794" s="455">
        <f t="shared" ca="1" si="155"/>
        <v>-2945362072785.7471</v>
      </c>
      <c r="J3794" s="455">
        <f t="array" ref="J3794">IFERROR(INDEX('Retirement Calculator'!K:K,MATCH('Lorri 401b'!N3794,'Retirement Calculator'!A:A,0),0),0)</f>
        <v>0</v>
      </c>
      <c r="K3794" s="455">
        <f t="shared" ca="1" si="153"/>
        <v>-12272341969.940613</v>
      </c>
      <c r="L3794" s="455">
        <f t="shared" ca="1" si="154"/>
        <v>-2957634414755.6875</v>
      </c>
      <c r="M3794" s="471">
        <f t="shared" si="156"/>
        <v>0.05</v>
      </c>
      <c r="N3794" s="475">
        <f t="shared" si="157"/>
        <v>166521</v>
      </c>
    </row>
    <row r="3795" spans="7:14" ht="11.25" customHeight="1" x14ac:dyDescent="0.3">
      <c r="G3795" s="470"/>
      <c r="H3795" s="470">
        <v>3788</v>
      </c>
      <c r="I3795" s="455">
        <f t="shared" ca="1" si="155"/>
        <v>-2957634414755.6875</v>
      </c>
      <c r="J3795" s="455">
        <f t="array" ref="J3795">IFERROR(INDEX('Retirement Calculator'!K:K,MATCH('Lorri 401b'!N3795,'Retirement Calculator'!A:A,0),0),0)</f>
        <v>0</v>
      </c>
      <c r="K3795" s="455">
        <f t="shared" ca="1" si="153"/>
        <v>-12323476728.148697</v>
      </c>
      <c r="L3795" s="455">
        <f t="shared" ca="1" si="154"/>
        <v>-2969957891483.8364</v>
      </c>
      <c r="M3795" s="471">
        <f t="shared" si="156"/>
        <v>0.05</v>
      </c>
      <c r="N3795" s="475">
        <f t="shared" si="157"/>
        <v>166552</v>
      </c>
    </row>
    <row r="3796" spans="7:14" ht="11.25" customHeight="1" x14ac:dyDescent="0.3">
      <c r="G3796" s="470"/>
      <c r="H3796" s="470">
        <v>3789</v>
      </c>
      <c r="I3796" s="455">
        <f t="shared" ca="1" si="155"/>
        <v>-2969957891483.8364</v>
      </c>
      <c r="J3796" s="455">
        <f t="array" ref="J3796">IFERROR(INDEX('Retirement Calculator'!K:K,MATCH('Lorri 401b'!N3796,'Retirement Calculator'!A:A,0),0),0)</f>
        <v>0</v>
      </c>
      <c r="K3796" s="455">
        <f t="shared" ca="1" si="153"/>
        <v>-12374824547.849318</v>
      </c>
      <c r="L3796" s="455">
        <f t="shared" ca="1" si="154"/>
        <v>-2982332716031.6855</v>
      </c>
      <c r="M3796" s="471">
        <f t="shared" si="156"/>
        <v>0.05</v>
      </c>
      <c r="N3796" s="475">
        <f t="shared" si="157"/>
        <v>166583</v>
      </c>
    </row>
    <row r="3797" spans="7:14" ht="11.25" customHeight="1" x14ac:dyDescent="0.3">
      <c r="G3797" s="470"/>
      <c r="H3797" s="470">
        <v>3790</v>
      </c>
      <c r="I3797" s="455">
        <f t="shared" ca="1" si="155"/>
        <v>-2982332716031.6855</v>
      </c>
      <c r="J3797" s="455">
        <f t="array" ref="J3797">IFERROR(INDEX('Retirement Calculator'!K:K,MATCH('Lorri 401b'!N3797,'Retirement Calculator'!A:A,0),0),0)</f>
        <v>0</v>
      </c>
      <c r="K3797" s="455">
        <f t="shared" ca="1" si="153"/>
        <v>-12426386316.798689</v>
      </c>
      <c r="L3797" s="455">
        <f t="shared" ca="1" si="154"/>
        <v>-2994759102348.4844</v>
      </c>
      <c r="M3797" s="471">
        <f t="shared" si="156"/>
        <v>0.05</v>
      </c>
      <c r="N3797" s="475">
        <f t="shared" si="157"/>
        <v>166612</v>
      </c>
    </row>
    <row r="3798" spans="7:14" ht="11.25" customHeight="1" x14ac:dyDescent="0.3">
      <c r="G3798" s="470"/>
      <c r="H3798" s="470">
        <v>3791</v>
      </c>
      <c r="I3798" s="455">
        <f t="shared" ca="1" si="155"/>
        <v>-2994759102348.4844</v>
      </c>
      <c r="J3798" s="455">
        <f t="array" ref="J3798">IFERROR(INDEX('Retirement Calculator'!K:K,MATCH('Lorri 401b'!N3798,'Retirement Calculator'!A:A,0),0),0)</f>
        <v>0</v>
      </c>
      <c r="K3798" s="455">
        <f t="shared" ca="1" si="153"/>
        <v>-12478162926.452019</v>
      </c>
      <c r="L3798" s="455">
        <f t="shared" ca="1" si="154"/>
        <v>-3007237265274.9365</v>
      </c>
      <c r="M3798" s="471">
        <f t="shared" si="156"/>
        <v>0.05</v>
      </c>
      <c r="N3798" s="475">
        <f t="shared" si="157"/>
        <v>166643</v>
      </c>
    </row>
    <row r="3799" spans="7:14" ht="11.25" customHeight="1" x14ac:dyDescent="0.3">
      <c r="G3799" s="470"/>
      <c r="H3799" s="470">
        <v>3792</v>
      </c>
      <c r="I3799" s="455">
        <f t="shared" ca="1" si="155"/>
        <v>-3007237265274.9365</v>
      </c>
      <c r="J3799" s="455">
        <f t="array" ref="J3799">IFERROR(INDEX('Retirement Calculator'!K:K,MATCH('Lorri 401b'!N3799,'Retirement Calculator'!A:A,0),0),0)</f>
        <v>0</v>
      </c>
      <c r="K3799" s="455">
        <f t="shared" ca="1" si="153"/>
        <v>-12530155271.978903</v>
      </c>
      <c r="L3799" s="455">
        <f t="shared" ca="1" si="154"/>
        <v>-3019767420546.9155</v>
      </c>
      <c r="M3799" s="471">
        <f t="shared" si="156"/>
        <v>0.05</v>
      </c>
      <c r="N3799" s="475">
        <f t="shared" si="157"/>
        <v>166673</v>
      </c>
    </row>
    <row r="3800" spans="7:14" ht="11.25" customHeight="1" x14ac:dyDescent="0.3">
      <c r="G3800" s="470"/>
      <c r="H3800" s="470">
        <v>3793</v>
      </c>
      <c r="I3800" s="455">
        <f t="shared" ca="1" si="155"/>
        <v>-3019767420546.9155</v>
      </c>
      <c r="J3800" s="455">
        <f t="array" ref="J3800">IFERROR(INDEX('Retirement Calculator'!K:K,MATCH('Lorri 401b'!N3800,'Retirement Calculator'!A:A,0),0),0)</f>
        <v>0</v>
      </c>
      <c r="K3800" s="455">
        <f t="shared" ca="1" si="153"/>
        <v>-12582364252.278814</v>
      </c>
      <c r="L3800" s="455">
        <f t="shared" ca="1" si="154"/>
        <v>-3032349784799.1943</v>
      </c>
      <c r="M3800" s="471">
        <f t="shared" si="156"/>
        <v>0.05</v>
      </c>
      <c r="N3800" s="475">
        <f t="shared" si="157"/>
        <v>166704</v>
      </c>
    </row>
    <row r="3801" spans="7:14" ht="11.25" customHeight="1" x14ac:dyDescent="0.3">
      <c r="G3801" s="470"/>
      <c r="H3801" s="470">
        <v>3794</v>
      </c>
      <c r="I3801" s="455">
        <f t="shared" ca="1" si="155"/>
        <v>-3032349784799.1943</v>
      </c>
      <c r="J3801" s="455">
        <f t="array" ref="J3801">IFERROR(INDEX('Retirement Calculator'!K:K,MATCH('Lorri 401b'!N3801,'Retirement Calculator'!A:A,0),0),0)</f>
        <v>0</v>
      </c>
      <c r="K3801" s="455">
        <f t="shared" ca="1" si="153"/>
        <v>-12634790769.996643</v>
      </c>
      <c r="L3801" s="455">
        <f t="shared" ca="1" si="154"/>
        <v>-3044984575569.1909</v>
      </c>
      <c r="M3801" s="471">
        <f t="shared" si="156"/>
        <v>0.05</v>
      </c>
      <c r="N3801" s="475">
        <f t="shared" si="157"/>
        <v>166734</v>
      </c>
    </row>
    <row r="3802" spans="7:14" ht="11.25" customHeight="1" x14ac:dyDescent="0.3">
      <c r="G3802" s="470"/>
      <c r="H3802" s="470">
        <v>3795</v>
      </c>
      <c r="I3802" s="455">
        <f t="shared" ca="1" si="155"/>
        <v>-3044984575569.1909</v>
      </c>
      <c r="J3802" s="455">
        <f t="array" ref="J3802">IFERROR(INDEX('Retirement Calculator'!K:K,MATCH('Lorri 401b'!N3802,'Retirement Calculator'!A:A,0),0),0)</f>
        <v>0</v>
      </c>
      <c r="K3802" s="455">
        <f t="shared" ca="1" si="153"/>
        <v>-12687435731.538296</v>
      </c>
      <c r="L3802" s="455">
        <f t="shared" ca="1" si="154"/>
        <v>-3057672011300.729</v>
      </c>
      <c r="M3802" s="471">
        <f t="shared" si="156"/>
        <v>0.05</v>
      </c>
      <c r="N3802" s="475">
        <f t="shared" si="157"/>
        <v>166765</v>
      </c>
    </row>
    <row r="3803" spans="7:14" ht="11.25" customHeight="1" x14ac:dyDescent="0.3">
      <c r="G3803" s="470"/>
      <c r="H3803" s="470">
        <v>3796</v>
      </c>
      <c r="I3803" s="455">
        <f t="shared" ca="1" si="155"/>
        <v>-3057672011300.729</v>
      </c>
      <c r="J3803" s="455">
        <f t="array" ref="J3803">IFERROR(INDEX('Retirement Calculator'!K:K,MATCH('Lorri 401b'!N3803,'Retirement Calculator'!A:A,0),0),0)</f>
        <v>0</v>
      </c>
      <c r="K3803" s="455">
        <f t="shared" ca="1" si="153"/>
        <v>-12740300047.08637</v>
      </c>
      <c r="L3803" s="455">
        <f t="shared" ca="1" si="154"/>
        <v>-3070412311347.8154</v>
      </c>
      <c r="M3803" s="471">
        <f t="shared" si="156"/>
        <v>0.05</v>
      </c>
      <c r="N3803" s="475">
        <f t="shared" si="157"/>
        <v>166796</v>
      </c>
    </row>
    <row r="3804" spans="7:14" ht="11.25" customHeight="1" x14ac:dyDescent="0.3">
      <c r="G3804" s="470"/>
      <c r="H3804" s="470">
        <v>3797</v>
      </c>
      <c r="I3804" s="455">
        <f t="shared" ca="1" si="155"/>
        <v>-3070412311347.8154</v>
      </c>
      <c r="J3804" s="455">
        <f t="array" ref="J3804">IFERROR(INDEX('Retirement Calculator'!K:K,MATCH('Lorri 401b'!N3804,'Retirement Calculator'!A:A,0),0),0)</f>
        <v>0</v>
      </c>
      <c r="K3804" s="455">
        <f t="shared" ca="1" si="153"/>
        <v>-12793384630.615898</v>
      </c>
      <c r="L3804" s="455">
        <f t="shared" ca="1" si="154"/>
        <v>-3083205695978.4312</v>
      </c>
      <c r="M3804" s="471">
        <f t="shared" si="156"/>
        <v>0.05</v>
      </c>
      <c r="N3804" s="475">
        <f t="shared" si="157"/>
        <v>166826</v>
      </c>
    </row>
    <row r="3805" spans="7:14" ht="11.25" customHeight="1" x14ac:dyDescent="0.3">
      <c r="G3805" s="470"/>
      <c r="H3805" s="470">
        <v>3798</v>
      </c>
      <c r="I3805" s="455">
        <f t="shared" ca="1" si="155"/>
        <v>-3083205695978.4312</v>
      </c>
      <c r="J3805" s="455">
        <f t="array" ref="J3805">IFERROR(INDEX('Retirement Calculator'!K:K,MATCH('Lorri 401b'!N3805,'Retirement Calculator'!A:A,0),0),0)</f>
        <v>0</v>
      </c>
      <c r="K3805" s="455">
        <f t="shared" ca="1" si="153"/>
        <v>-12846690399.91013</v>
      </c>
      <c r="L3805" s="455">
        <f t="shared" ca="1" si="154"/>
        <v>-3096052386378.3413</v>
      </c>
      <c r="M3805" s="471">
        <f t="shared" si="156"/>
        <v>0.05</v>
      </c>
      <c r="N3805" s="475">
        <f t="shared" si="157"/>
        <v>166857</v>
      </c>
    </row>
    <row r="3806" spans="7:14" ht="11.25" customHeight="1" x14ac:dyDescent="0.3">
      <c r="G3806" s="470"/>
      <c r="H3806" s="470">
        <v>3799</v>
      </c>
      <c r="I3806" s="455">
        <f t="shared" ca="1" si="155"/>
        <v>-3096052386378.3413</v>
      </c>
      <c r="J3806" s="455">
        <f t="array" ref="J3806">IFERROR(INDEX('Retirement Calculator'!K:K,MATCH('Lorri 401b'!N3806,'Retirement Calculator'!A:A,0),0),0)</f>
        <v>0</v>
      </c>
      <c r="K3806" s="455">
        <f t="shared" ca="1" si="153"/>
        <v>-12900218276.576422</v>
      </c>
      <c r="L3806" s="455">
        <f t="shared" ca="1" si="154"/>
        <v>-3108952604654.918</v>
      </c>
      <c r="M3806" s="471">
        <f t="shared" si="156"/>
        <v>0.05</v>
      </c>
      <c r="N3806" s="475">
        <f t="shared" si="157"/>
        <v>166887</v>
      </c>
    </row>
    <row r="3807" spans="7:14" ht="11.25" customHeight="1" x14ac:dyDescent="0.3">
      <c r="G3807" s="470"/>
      <c r="H3807" s="470">
        <v>3800</v>
      </c>
      <c r="I3807" s="455">
        <f t="shared" ca="1" si="155"/>
        <v>-3108952604654.918</v>
      </c>
      <c r="J3807" s="455">
        <f t="array" ref="J3807">IFERROR(INDEX('Retirement Calculator'!K:K,MATCH('Lorri 401b'!N3807,'Retirement Calculator'!A:A,0),0),0)</f>
        <v>0</v>
      </c>
      <c r="K3807" s="455">
        <f t="shared" ca="1" si="153"/>
        <v>-12953969186.062159</v>
      </c>
      <c r="L3807" s="455">
        <f t="shared" ca="1" si="154"/>
        <v>-3121906573840.98</v>
      </c>
      <c r="M3807" s="471">
        <f t="shared" si="156"/>
        <v>0.05</v>
      </c>
      <c r="N3807" s="475">
        <f t="shared" si="157"/>
        <v>166918</v>
      </c>
    </row>
    <row r="3808" spans="7:14" ht="11.25" customHeight="1" x14ac:dyDescent="0.3">
      <c r="G3808" s="470"/>
      <c r="H3808" s="470">
        <v>3801</v>
      </c>
      <c r="I3808" s="455">
        <f t="shared" ca="1" si="155"/>
        <v>-3121906573840.98</v>
      </c>
      <c r="J3808" s="455">
        <f t="array" ref="J3808">IFERROR(INDEX('Retirement Calculator'!K:K,MATCH('Lorri 401b'!N3808,'Retirement Calculator'!A:A,0),0),0)</f>
        <v>0</v>
      </c>
      <c r="K3808" s="455">
        <f t="shared" ca="1" si="153"/>
        <v>-13007944057.67075</v>
      </c>
      <c r="L3808" s="455">
        <f t="shared" ca="1" si="154"/>
        <v>-3134914517898.6509</v>
      </c>
      <c r="M3808" s="471">
        <f t="shared" si="156"/>
        <v>0.05</v>
      </c>
      <c r="N3808" s="475">
        <f t="shared" si="157"/>
        <v>166949</v>
      </c>
    </row>
    <row r="3809" spans="7:14" ht="11.25" customHeight="1" x14ac:dyDescent="0.3">
      <c r="G3809" s="470"/>
      <c r="H3809" s="470">
        <v>3802</v>
      </c>
      <c r="I3809" s="455">
        <f t="shared" ca="1" si="155"/>
        <v>-3134914517898.6509</v>
      </c>
      <c r="J3809" s="455">
        <f t="array" ref="J3809">IFERROR(INDEX('Retirement Calculator'!K:K,MATCH('Lorri 401b'!N3809,'Retirement Calculator'!A:A,0),0),0)</f>
        <v>0</v>
      </c>
      <c r="K3809" s="455">
        <f t="shared" ca="1" si="153"/>
        <v>-13062143824.577711</v>
      </c>
      <c r="L3809" s="455">
        <f t="shared" ca="1" si="154"/>
        <v>-3147976661723.2285</v>
      </c>
      <c r="M3809" s="471">
        <f t="shared" si="156"/>
        <v>0.05</v>
      </c>
      <c r="N3809" s="475">
        <f t="shared" si="157"/>
        <v>166977</v>
      </c>
    </row>
    <row r="3810" spans="7:14" ht="11.25" customHeight="1" x14ac:dyDescent="0.3">
      <c r="G3810" s="470"/>
      <c r="H3810" s="470">
        <v>3803</v>
      </c>
      <c r="I3810" s="455">
        <f t="shared" ca="1" si="155"/>
        <v>-3147976661723.2285</v>
      </c>
      <c r="J3810" s="455">
        <f t="array" ref="J3810">IFERROR(INDEX('Retirement Calculator'!K:K,MATCH('Lorri 401b'!N3810,'Retirement Calculator'!A:A,0),0),0)</f>
        <v>0</v>
      </c>
      <c r="K3810" s="455">
        <f t="shared" ca="1" si="153"/>
        <v>-13116569423.846785</v>
      </c>
      <c r="L3810" s="455">
        <f t="shared" ca="1" si="154"/>
        <v>-3161093231147.0752</v>
      </c>
      <c r="M3810" s="471">
        <f t="shared" si="156"/>
        <v>0.05</v>
      </c>
      <c r="N3810" s="475">
        <f t="shared" si="157"/>
        <v>167008</v>
      </c>
    </row>
    <row r="3811" spans="7:14" ht="11.25" customHeight="1" x14ac:dyDescent="0.3">
      <c r="G3811" s="470"/>
      <c r="H3811" s="470">
        <v>3804</v>
      </c>
      <c r="I3811" s="455">
        <f t="shared" ca="1" si="155"/>
        <v>-3161093231147.0752</v>
      </c>
      <c r="J3811" s="455">
        <f t="array" ref="J3811">IFERROR(INDEX('Retirement Calculator'!K:K,MATCH('Lorri 401b'!N3811,'Retirement Calculator'!A:A,0),0),0)</f>
        <v>0</v>
      </c>
      <c r="K3811" s="455">
        <f t="shared" ca="1" si="153"/>
        <v>-13171221796.446146</v>
      </c>
      <c r="L3811" s="455">
        <f t="shared" ca="1" si="154"/>
        <v>-3174264452943.5215</v>
      </c>
      <c r="M3811" s="471">
        <f t="shared" si="156"/>
        <v>0.05</v>
      </c>
      <c r="N3811" s="475">
        <f t="shared" si="157"/>
        <v>167038</v>
      </c>
    </row>
    <row r="3812" spans="7:14" ht="11.25" customHeight="1" x14ac:dyDescent="0.3">
      <c r="G3812" s="470"/>
      <c r="H3812" s="470">
        <v>3805</v>
      </c>
      <c r="I3812" s="455">
        <f t="shared" ca="1" si="155"/>
        <v>-3174264452943.5215</v>
      </c>
      <c r="J3812" s="455">
        <f t="array" ref="J3812">IFERROR(INDEX('Retirement Calculator'!K:K,MATCH('Lorri 401b'!N3812,'Retirement Calculator'!A:A,0),0),0)</f>
        <v>0</v>
      </c>
      <c r="K3812" s="455">
        <f t="shared" ca="1" si="153"/>
        <v>-13226101887.264673</v>
      </c>
      <c r="L3812" s="455">
        <f t="shared" ca="1" si="154"/>
        <v>-3187490554830.7861</v>
      </c>
      <c r="M3812" s="471">
        <f t="shared" si="156"/>
        <v>0.05</v>
      </c>
      <c r="N3812" s="475">
        <f t="shared" si="157"/>
        <v>167069</v>
      </c>
    </row>
    <row r="3813" spans="7:14" ht="11.25" customHeight="1" x14ac:dyDescent="0.3">
      <c r="G3813" s="470"/>
      <c r="H3813" s="470">
        <v>3806</v>
      </c>
      <c r="I3813" s="455">
        <f t="shared" ca="1" si="155"/>
        <v>-3187490554830.7861</v>
      </c>
      <c r="J3813" s="455">
        <f t="array" ref="J3813">IFERROR(INDEX('Retirement Calculator'!K:K,MATCH('Lorri 401b'!N3813,'Retirement Calculator'!A:A,0),0),0)</f>
        <v>0</v>
      </c>
      <c r="K3813" s="455">
        <f t="shared" ca="1" si="153"/>
        <v>-13281210645.128275</v>
      </c>
      <c r="L3813" s="455">
        <f t="shared" ca="1" si="154"/>
        <v>-3200771765475.9146</v>
      </c>
      <c r="M3813" s="471">
        <f t="shared" si="156"/>
        <v>0.05</v>
      </c>
      <c r="N3813" s="475">
        <f t="shared" si="157"/>
        <v>167099</v>
      </c>
    </row>
    <row r="3814" spans="7:14" ht="11.25" customHeight="1" x14ac:dyDescent="0.3">
      <c r="G3814" s="470"/>
      <c r="H3814" s="470">
        <v>3807</v>
      </c>
      <c r="I3814" s="455">
        <f t="shared" ca="1" si="155"/>
        <v>-3200771765475.9146</v>
      </c>
      <c r="J3814" s="455">
        <f t="array" ref="J3814">IFERROR(INDEX('Retirement Calculator'!K:K,MATCH('Lorri 401b'!N3814,'Retirement Calculator'!A:A,0),0),0)</f>
        <v>0</v>
      </c>
      <c r="K3814" s="455">
        <f t="shared" ca="1" si="153"/>
        <v>-13336549022.816311</v>
      </c>
      <c r="L3814" s="455">
        <f t="shared" ca="1" si="154"/>
        <v>-3214108314498.731</v>
      </c>
      <c r="M3814" s="471">
        <f t="shared" si="156"/>
        <v>0.05</v>
      </c>
      <c r="N3814" s="475">
        <f t="shared" si="157"/>
        <v>167130</v>
      </c>
    </row>
    <row r="3815" spans="7:14" ht="11.25" customHeight="1" x14ac:dyDescent="0.3">
      <c r="G3815" s="470"/>
      <c r="H3815" s="470">
        <v>3808</v>
      </c>
      <c r="I3815" s="455">
        <f t="shared" ca="1" si="155"/>
        <v>-3214108314498.731</v>
      </c>
      <c r="J3815" s="455">
        <f t="array" ref="J3815">IFERROR(INDEX('Retirement Calculator'!K:K,MATCH('Lorri 401b'!N3815,'Retirement Calculator'!A:A,0),0),0)</f>
        <v>0</v>
      </c>
      <c r="K3815" s="455">
        <f t="shared" ca="1" si="153"/>
        <v>-13392117977.078045</v>
      </c>
      <c r="L3815" s="455">
        <f t="shared" ca="1" si="154"/>
        <v>-3227500432475.8091</v>
      </c>
      <c r="M3815" s="471">
        <f t="shared" si="156"/>
        <v>0.05</v>
      </c>
      <c r="N3815" s="475">
        <f t="shared" si="157"/>
        <v>167161</v>
      </c>
    </row>
    <row r="3816" spans="7:14" ht="11.25" customHeight="1" x14ac:dyDescent="0.3">
      <c r="G3816" s="470"/>
      <c r="H3816" s="470">
        <v>3809</v>
      </c>
      <c r="I3816" s="455">
        <f t="shared" ca="1" si="155"/>
        <v>-3227500432475.8091</v>
      </c>
      <c r="J3816" s="455">
        <f t="array" ref="J3816">IFERROR(INDEX('Retirement Calculator'!K:K,MATCH('Lorri 401b'!N3816,'Retirement Calculator'!A:A,0),0),0)</f>
        <v>0</v>
      </c>
      <c r="K3816" s="455">
        <f t="shared" ca="1" si="153"/>
        <v>-13447918468.649204</v>
      </c>
      <c r="L3816" s="455">
        <f t="shared" ca="1" si="154"/>
        <v>-3240948350944.4585</v>
      </c>
      <c r="M3816" s="471">
        <f t="shared" si="156"/>
        <v>0.05</v>
      </c>
      <c r="N3816" s="475">
        <f t="shared" si="157"/>
        <v>167191</v>
      </c>
    </row>
    <row r="3817" spans="7:14" ht="11.25" customHeight="1" x14ac:dyDescent="0.3">
      <c r="G3817" s="470"/>
      <c r="H3817" s="470">
        <v>3810</v>
      </c>
      <c r="I3817" s="455">
        <f t="shared" ca="1" si="155"/>
        <v>-3240948350944.4585</v>
      </c>
      <c r="J3817" s="455">
        <f t="array" ref="J3817">IFERROR(INDEX('Retirement Calculator'!K:K,MATCH('Lorri 401b'!N3817,'Retirement Calculator'!A:A,0),0),0)</f>
        <v>0</v>
      </c>
      <c r="K3817" s="455">
        <f t="shared" ca="1" si="153"/>
        <v>-13503951462.268578</v>
      </c>
      <c r="L3817" s="455">
        <f t="shared" ca="1" si="154"/>
        <v>-3254452302406.7271</v>
      </c>
      <c r="M3817" s="471">
        <f t="shared" si="156"/>
        <v>0.05</v>
      </c>
      <c r="N3817" s="475">
        <f t="shared" si="157"/>
        <v>167222</v>
      </c>
    </row>
    <row r="3818" spans="7:14" ht="11.25" customHeight="1" x14ac:dyDescent="0.3">
      <c r="G3818" s="470"/>
      <c r="H3818" s="470">
        <v>3811</v>
      </c>
      <c r="I3818" s="455">
        <f t="shared" ca="1" si="155"/>
        <v>-3254452302406.7271</v>
      </c>
      <c r="J3818" s="455">
        <f t="array" ref="J3818">IFERROR(INDEX('Retirement Calculator'!K:K,MATCH('Lorri 401b'!N3818,'Retirement Calculator'!A:A,0),0),0)</f>
        <v>0</v>
      </c>
      <c r="K3818" s="455">
        <f t="shared" ca="1" si="153"/>
        <v>-13560217926.694696</v>
      </c>
      <c r="L3818" s="455">
        <f t="shared" ca="1" si="154"/>
        <v>-3268012520333.4219</v>
      </c>
      <c r="M3818" s="471">
        <f t="shared" si="156"/>
        <v>0.05</v>
      </c>
      <c r="N3818" s="475">
        <f t="shared" si="157"/>
        <v>167252</v>
      </c>
    </row>
    <row r="3819" spans="7:14" ht="11.25" customHeight="1" x14ac:dyDescent="0.3">
      <c r="G3819" s="470"/>
      <c r="H3819" s="470">
        <v>3812</v>
      </c>
      <c r="I3819" s="455">
        <f t="shared" ca="1" si="155"/>
        <v>-3268012520333.4219</v>
      </c>
      <c r="J3819" s="455">
        <f t="array" ref="J3819">IFERROR(INDEX('Retirement Calculator'!K:K,MATCH('Lorri 401b'!N3819,'Retirement Calculator'!A:A,0),0),0)</f>
        <v>0</v>
      </c>
      <c r="K3819" s="455">
        <f t="shared" ca="1" si="153"/>
        <v>-13616718834.722591</v>
      </c>
      <c r="L3819" s="455">
        <f t="shared" ca="1" si="154"/>
        <v>-3281629239168.1445</v>
      </c>
      <c r="M3819" s="471">
        <f t="shared" si="156"/>
        <v>0.05</v>
      </c>
      <c r="N3819" s="475">
        <f t="shared" si="157"/>
        <v>167283</v>
      </c>
    </row>
    <row r="3820" spans="7:14" ht="11.25" customHeight="1" x14ac:dyDescent="0.3">
      <c r="G3820" s="470"/>
      <c r="H3820" s="470">
        <v>3813</v>
      </c>
      <c r="I3820" s="455">
        <f t="shared" ca="1" si="155"/>
        <v>-3281629239168.1445</v>
      </c>
      <c r="J3820" s="455">
        <f t="array" ref="J3820">IFERROR(INDEX('Retirement Calculator'!K:K,MATCH('Lorri 401b'!N3820,'Retirement Calculator'!A:A,0),0),0)</f>
        <v>0</v>
      </c>
      <c r="K3820" s="455">
        <f t="shared" ca="1" si="153"/>
        <v>-13673455163.200602</v>
      </c>
      <c r="L3820" s="455">
        <f t="shared" ca="1" si="154"/>
        <v>-3295302694331.3452</v>
      </c>
      <c r="M3820" s="471">
        <f t="shared" si="156"/>
        <v>0.05</v>
      </c>
      <c r="N3820" s="475">
        <f t="shared" si="157"/>
        <v>167314</v>
      </c>
    </row>
    <row r="3821" spans="7:14" ht="11.25" customHeight="1" x14ac:dyDescent="0.3">
      <c r="G3821" s="470"/>
      <c r="H3821" s="470">
        <v>3814</v>
      </c>
      <c r="I3821" s="455">
        <f t="shared" ca="1" si="155"/>
        <v>-3295302694331.3452</v>
      </c>
      <c r="J3821" s="455">
        <f t="array" ref="J3821">IFERROR(INDEX('Retirement Calculator'!K:K,MATCH('Lorri 401b'!N3821,'Retirement Calculator'!A:A,0),0),0)</f>
        <v>0</v>
      </c>
      <c r="K3821" s="455">
        <f t="shared" ca="1" si="153"/>
        <v>-13730427893.047272</v>
      </c>
      <c r="L3821" s="455">
        <f t="shared" ca="1" si="154"/>
        <v>-3309033122224.3926</v>
      </c>
      <c r="M3821" s="471">
        <f t="shared" si="156"/>
        <v>0.05</v>
      </c>
      <c r="N3821" s="475">
        <f t="shared" si="157"/>
        <v>167342</v>
      </c>
    </row>
    <row r="3822" spans="7:14" ht="11.25" customHeight="1" x14ac:dyDescent="0.3">
      <c r="G3822" s="470"/>
      <c r="H3822" s="470">
        <v>3815</v>
      </c>
      <c r="I3822" s="455">
        <f t="shared" ca="1" si="155"/>
        <v>-3309033122224.3926</v>
      </c>
      <c r="J3822" s="455">
        <f t="array" ref="J3822">IFERROR(INDEX('Retirement Calculator'!K:K,MATCH('Lorri 401b'!N3822,'Retirement Calculator'!A:A,0),0),0)</f>
        <v>0</v>
      </c>
      <c r="K3822" s="455">
        <f t="shared" ca="1" si="153"/>
        <v>-13787638009.268303</v>
      </c>
      <c r="L3822" s="455">
        <f t="shared" ca="1" si="154"/>
        <v>-3322820760233.6606</v>
      </c>
      <c r="M3822" s="471">
        <f t="shared" si="156"/>
        <v>0.05</v>
      </c>
      <c r="N3822" s="475">
        <f t="shared" si="157"/>
        <v>167373</v>
      </c>
    </row>
    <row r="3823" spans="7:14" ht="11.25" customHeight="1" x14ac:dyDescent="0.3">
      <c r="G3823" s="470"/>
      <c r="H3823" s="470">
        <v>3816</v>
      </c>
      <c r="I3823" s="455">
        <f t="shared" ca="1" si="155"/>
        <v>-3322820760233.6606</v>
      </c>
      <c r="J3823" s="455">
        <f t="array" ref="J3823">IFERROR(INDEX('Retirement Calculator'!K:K,MATCH('Lorri 401b'!N3823,'Retirement Calculator'!A:A,0),0),0)</f>
        <v>0</v>
      </c>
      <c r="K3823" s="455">
        <f t="shared" ca="1" si="153"/>
        <v>-13845086500.973585</v>
      </c>
      <c r="L3823" s="455">
        <f t="shared" ca="1" si="154"/>
        <v>-3336665846734.6343</v>
      </c>
      <c r="M3823" s="471">
        <f t="shared" si="156"/>
        <v>0.05</v>
      </c>
      <c r="N3823" s="475">
        <f t="shared" si="157"/>
        <v>167403</v>
      </c>
    </row>
    <row r="3824" spans="7:14" ht="11.25" customHeight="1" x14ac:dyDescent="0.3">
      <c r="G3824" s="470"/>
      <c r="H3824" s="470">
        <v>3817</v>
      </c>
      <c r="I3824" s="455">
        <f t="shared" ca="1" si="155"/>
        <v>-3336665846734.6343</v>
      </c>
      <c r="J3824" s="455">
        <f t="array" ref="J3824">IFERROR(INDEX('Retirement Calculator'!K:K,MATCH('Lorri 401b'!N3824,'Retirement Calculator'!A:A,0),0),0)</f>
        <v>0</v>
      </c>
      <c r="K3824" s="455">
        <f t="shared" ca="1" si="153"/>
        <v>-13902774361.39431</v>
      </c>
      <c r="L3824" s="455">
        <f t="shared" ca="1" si="154"/>
        <v>-3350568621096.0288</v>
      </c>
      <c r="M3824" s="471">
        <f t="shared" si="156"/>
        <v>0.05</v>
      </c>
      <c r="N3824" s="475">
        <f t="shared" si="157"/>
        <v>167434</v>
      </c>
    </row>
    <row r="3825" spans="7:14" ht="11.25" customHeight="1" x14ac:dyDescent="0.3">
      <c r="G3825" s="470"/>
      <c r="H3825" s="470">
        <v>3818</v>
      </c>
      <c r="I3825" s="455">
        <f t="shared" ca="1" si="155"/>
        <v>-3350568621096.0288</v>
      </c>
      <c r="J3825" s="455">
        <f t="array" ref="J3825">IFERROR(INDEX('Retirement Calculator'!K:K,MATCH('Lorri 401b'!N3825,'Retirement Calculator'!A:A,0),0),0)</f>
        <v>0</v>
      </c>
      <c r="K3825" s="455">
        <f t="shared" ca="1" si="153"/>
        <v>-13960702587.90012</v>
      </c>
      <c r="L3825" s="455">
        <f t="shared" ca="1" si="154"/>
        <v>-3364529323683.9287</v>
      </c>
      <c r="M3825" s="471">
        <f t="shared" si="156"/>
        <v>0.05</v>
      </c>
      <c r="N3825" s="475">
        <f t="shared" si="157"/>
        <v>167464</v>
      </c>
    </row>
    <row r="3826" spans="7:14" ht="11.25" customHeight="1" x14ac:dyDescent="0.3">
      <c r="G3826" s="470"/>
      <c r="H3826" s="470">
        <v>3819</v>
      </c>
      <c r="I3826" s="455">
        <f t="shared" ca="1" si="155"/>
        <v>-3364529323683.9287</v>
      </c>
      <c r="J3826" s="455">
        <f t="array" ref="J3826">IFERROR(INDEX('Retirement Calculator'!K:K,MATCH('Lorri 401b'!N3826,'Retirement Calculator'!A:A,0),0),0)</f>
        <v>0</v>
      </c>
      <c r="K3826" s="455">
        <f t="shared" ca="1" si="153"/>
        <v>-14018872182.016369</v>
      </c>
      <c r="L3826" s="455">
        <f t="shared" ca="1" si="154"/>
        <v>-3378548195865.9453</v>
      </c>
      <c r="M3826" s="471">
        <f t="shared" si="156"/>
        <v>0.05</v>
      </c>
      <c r="N3826" s="475">
        <f t="shared" si="157"/>
        <v>167495</v>
      </c>
    </row>
    <row r="3827" spans="7:14" ht="11.25" customHeight="1" x14ac:dyDescent="0.3">
      <c r="G3827" s="470"/>
      <c r="H3827" s="470">
        <v>3820</v>
      </c>
      <c r="I3827" s="455">
        <f t="shared" ca="1" si="155"/>
        <v>-3378548195865.9453</v>
      </c>
      <c r="J3827" s="455">
        <f t="array" ref="J3827">IFERROR(INDEX('Retirement Calculator'!K:K,MATCH('Lorri 401b'!N3827,'Retirement Calculator'!A:A,0),0),0)</f>
        <v>0</v>
      </c>
      <c r="K3827" s="455">
        <f t="shared" ca="1" si="153"/>
        <v>-14077284149.441439</v>
      </c>
      <c r="L3827" s="455">
        <f t="shared" ca="1" si="154"/>
        <v>-3392625480015.3867</v>
      </c>
      <c r="M3827" s="471">
        <f t="shared" si="156"/>
        <v>0.05</v>
      </c>
      <c r="N3827" s="475">
        <f t="shared" si="157"/>
        <v>167526</v>
      </c>
    </row>
    <row r="3828" spans="7:14" ht="11.25" customHeight="1" x14ac:dyDescent="0.3">
      <c r="G3828" s="470"/>
      <c r="H3828" s="470">
        <v>3821</v>
      </c>
      <c r="I3828" s="455">
        <f t="shared" ca="1" si="155"/>
        <v>-3392625480015.3867</v>
      </c>
      <c r="J3828" s="455">
        <f t="array" ref="J3828">IFERROR(INDEX('Retirement Calculator'!K:K,MATCH('Lorri 401b'!N3828,'Retirement Calculator'!A:A,0),0),0)</f>
        <v>0</v>
      </c>
      <c r="K3828" s="455">
        <f t="shared" ca="1" si="153"/>
        <v>-14135939500.064112</v>
      </c>
      <c r="L3828" s="455">
        <f t="shared" ca="1" si="154"/>
        <v>-3406761419515.4507</v>
      </c>
      <c r="M3828" s="471">
        <f t="shared" si="156"/>
        <v>0.05</v>
      </c>
      <c r="N3828" s="475">
        <f t="shared" si="157"/>
        <v>167556</v>
      </c>
    </row>
    <row r="3829" spans="7:14" ht="11.25" customHeight="1" x14ac:dyDescent="0.3">
      <c r="G3829" s="470"/>
      <c r="H3829" s="470">
        <v>3822</v>
      </c>
      <c r="I3829" s="455">
        <f t="shared" ca="1" si="155"/>
        <v>-3406761419515.4507</v>
      </c>
      <c r="J3829" s="455">
        <f t="array" ref="J3829">IFERROR(INDEX('Retirement Calculator'!K:K,MATCH('Lorri 401b'!N3829,'Retirement Calculator'!A:A,0),0),0)</f>
        <v>0</v>
      </c>
      <c r="K3829" s="455">
        <f t="shared" ca="1" si="153"/>
        <v>-14194839247.981045</v>
      </c>
      <c r="L3829" s="455">
        <f t="shared" ca="1" si="154"/>
        <v>-3420956258763.4316</v>
      </c>
      <c r="M3829" s="471">
        <f t="shared" si="156"/>
        <v>0.05</v>
      </c>
      <c r="N3829" s="475">
        <f t="shared" si="157"/>
        <v>167587</v>
      </c>
    </row>
    <row r="3830" spans="7:14" ht="11.25" customHeight="1" x14ac:dyDescent="0.3">
      <c r="G3830" s="470"/>
      <c r="H3830" s="470">
        <v>3823</v>
      </c>
      <c r="I3830" s="455">
        <f t="shared" ca="1" si="155"/>
        <v>-3420956258763.4316</v>
      </c>
      <c r="J3830" s="455">
        <f t="array" ref="J3830">IFERROR(INDEX('Retirement Calculator'!K:K,MATCH('Lorri 401b'!N3830,'Retirement Calculator'!A:A,0),0),0)</f>
        <v>0</v>
      </c>
      <c r="K3830" s="455">
        <f t="shared" ca="1" si="153"/>
        <v>-14253984411.514297</v>
      </c>
      <c r="L3830" s="455">
        <f t="shared" ca="1" si="154"/>
        <v>-3435210243174.9458</v>
      </c>
      <c r="M3830" s="471">
        <f t="shared" si="156"/>
        <v>0.05</v>
      </c>
      <c r="N3830" s="475">
        <f t="shared" si="157"/>
        <v>167617</v>
      </c>
    </row>
    <row r="3831" spans="7:14" ht="11.25" customHeight="1" x14ac:dyDescent="0.3">
      <c r="G3831" s="470"/>
      <c r="H3831" s="470">
        <v>3824</v>
      </c>
      <c r="I3831" s="455">
        <f t="shared" ca="1" si="155"/>
        <v>-3435210243174.9458</v>
      </c>
      <c r="J3831" s="455">
        <f t="array" ref="J3831">IFERROR(INDEX('Retirement Calculator'!K:K,MATCH('Lorri 401b'!N3831,'Retirement Calculator'!A:A,0),0),0)</f>
        <v>0</v>
      </c>
      <c r="K3831" s="455">
        <f t="shared" ca="1" si="153"/>
        <v>-14313376013.228939</v>
      </c>
      <c r="L3831" s="455">
        <f t="shared" ca="1" si="154"/>
        <v>-3449523619188.1748</v>
      </c>
      <c r="M3831" s="471">
        <f t="shared" si="156"/>
        <v>0.05</v>
      </c>
      <c r="N3831" s="475">
        <f t="shared" si="157"/>
        <v>167648</v>
      </c>
    </row>
    <row r="3832" spans="7:14" ht="11.25" customHeight="1" x14ac:dyDescent="0.3">
      <c r="G3832" s="470"/>
      <c r="H3832" s="470">
        <v>3825</v>
      </c>
      <c r="I3832" s="455">
        <f t="shared" ca="1" si="155"/>
        <v>-3449523619188.1748</v>
      </c>
      <c r="J3832" s="455">
        <f t="array" ref="J3832">IFERROR(INDEX('Retirement Calculator'!K:K,MATCH('Lorri 401b'!N3832,'Retirement Calculator'!A:A,0),0),0)</f>
        <v>0</v>
      </c>
      <c r="K3832" s="455">
        <f t="shared" ca="1" si="153"/>
        <v>-14373015079.950726</v>
      </c>
      <c r="L3832" s="455">
        <f t="shared" ca="1" si="154"/>
        <v>-3463896634268.1255</v>
      </c>
      <c r="M3832" s="471">
        <f t="shared" si="156"/>
        <v>0.05</v>
      </c>
      <c r="N3832" s="475">
        <f t="shared" si="157"/>
        <v>167679</v>
      </c>
    </row>
    <row r="3833" spans="7:14" ht="11.25" customHeight="1" x14ac:dyDescent="0.3">
      <c r="G3833" s="470"/>
      <c r="H3833" s="470">
        <v>3826</v>
      </c>
      <c r="I3833" s="455">
        <f t="shared" ca="1" si="155"/>
        <v>-3463896634268.1255</v>
      </c>
      <c r="J3833" s="455">
        <f t="array" ref="J3833">IFERROR(INDEX('Retirement Calculator'!K:K,MATCH('Lorri 401b'!N3833,'Retirement Calculator'!A:A,0),0),0)</f>
        <v>0</v>
      </c>
      <c r="K3833" s="455">
        <f t="shared" ref="K3833:K4087" ca="1" si="158">IPMT(M3833/12,1,12,-I3833+J3833,,0)</f>
        <v>-14432902642.783855</v>
      </c>
      <c r="L3833" s="455">
        <f t="shared" ref="L3833:L4087" ca="1" si="159">I3833-J3833+K3833</f>
        <v>-3478329536910.9092</v>
      </c>
      <c r="M3833" s="471">
        <f t="shared" si="156"/>
        <v>0.05</v>
      </c>
      <c r="N3833" s="475">
        <f t="shared" si="157"/>
        <v>167707</v>
      </c>
    </row>
    <row r="3834" spans="7:14" ht="11.25" customHeight="1" x14ac:dyDescent="0.3">
      <c r="G3834" s="470"/>
      <c r="H3834" s="470">
        <v>3827</v>
      </c>
      <c r="I3834" s="455">
        <f t="shared" ref="I3834:I4088" ca="1" si="160">L3833</f>
        <v>-3478329536910.9092</v>
      </c>
      <c r="J3834" s="455">
        <f t="array" ref="J3834">IFERROR(INDEX('Retirement Calculator'!K:K,MATCH('Lorri 401b'!N3834,'Retirement Calculator'!A:A,0),0),0)</f>
        <v>0</v>
      </c>
      <c r="K3834" s="455">
        <f t="shared" ca="1" si="158"/>
        <v>-14493039737.128788</v>
      </c>
      <c r="L3834" s="455">
        <f t="shared" ca="1" si="159"/>
        <v>-3492822576648.0381</v>
      </c>
      <c r="M3834" s="471">
        <f t="shared" ref="M3834:M4088" si="161">M3833</f>
        <v>0.05</v>
      </c>
      <c r="N3834" s="475">
        <f t="shared" ref="N3834:N4088" si="162">EDATE(N3833,1)</f>
        <v>167738</v>
      </c>
    </row>
    <row r="3835" spans="7:14" ht="11.25" customHeight="1" x14ac:dyDescent="0.3">
      <c r="G3835" s="470"/>
      <c r="H3835" s="470">
        <v>3828</v>
      </c>
      <c r="I3835" s="455">
        <f t="shared" ca="1" si="160"/>
        <v>-3492822576648.0381</v>
      </c>
      <c r="J3835" s="455">
        <f t="array" ref="J3835">IFERROR(INDEX('Retirement Calculator'!K:K,MATCH('Lorri 401b'!N3835,'Retirement Calculator'!A:A,0),0),0)</f>
        <v>0</v>
      </c>
      <c r="K3835" s="455">
        <f t="shared" ca="1" si="158"/>
        <v>-14553427402.700159</v>
      </c>
      <c r="L3835" s="455">
        <f t="shared" ca="1" si="159"/>
        <v>-3507376004050.7383</v>
      </c>
      <c r="M3835" s="471">
        <f t="shared" si="161"/>
        <v>0.05</v>
      </c>
      <c r="N3835" s="475">
        <f t="shared" si="162"/>
        <v>167768</v>
      </c>
    </row>
    <row r="3836" spans="7:14" ht="11.25" customHeight="1" x14ac:dyDescent="0.3">
      <c r="G3836" s="470"/>
      <c r="H3836" s="470">
        <v>3829</v>
      </c>
      <c r="I3836" s="455">
        <f t="shared" ca="1" si="160"/>
        <v>-3507376004050.7383</v>
      </c>
      <c r="J3836" s="455">
        <f t="array" ref="J3836">IFERROR(INDEX('Retirement Calculator'!K:K,MATCH('Lorri 401b'!N3836,'Retirement Calculator'!A:A,0),0),0)</f>
        <v>0</v>
      </c>
      <c r="K3836" s="455">
        <f t="shared" ca="1" si="158"/>
        <v>-14614066683.544743</v>
      </c>
      <c r="L3836" s="455">
        <f t="shared" ca="1" si="159"/>
        <v>-3521990070734.2832</v>
      </c>
      <c r="M3836" s="471">
        <f t="shared" si="161"/>
        <v>0.05</v>
      </c>
      <c r="N3836" s="475">
        <f t="shared" si="162"/>
        <v>167799</v>
      </c>
    </row>
    <row r="3837" spans="7:14" ht="11.25" customHeight="1" x14ac:dyDescent="0.3">
      <c r="G3837" s="470"/>
      <c r="H3837" s="470">
        <v>3830</v>
      </c>
      <c r="I3837" s="455">
        <f t="shared" ca="1" si="160"/>
        <v>-3521990070734.2832</v>
      </c>
      <c r="J3837" s="455">
        <f t="array" ref="J3837">IFERROR(INDEX('Retirement Calculator'!K:K,MATCH('Lorri 401b'!N3837,'Retirement Calculator'!A:A,0),0),0)</f>
        <v>0</v>
      </c>
      <c r="K3837" s="455">
        <f t="shared" ca="1" si="158"/>
        <v>-14674958628.059513</v>
      </c>
      <c r="L3837" s="455">
        <f t="shared" ca="1" si="159"/>
        <v>-3536665029362.3428</v>
      </c>
      <c r="M3837" s="471">
        <f t="shared" si="161"/>
        <v>0.05</v>
      </c>
      <c r="N3837" s="475">
        <f t="shared" si="162"/>
        <v>167829</v>
      </c>
    </row>
    <row r="3838" spans="7:14" ht="11.25" customHeight="1" x14ac:dyDescent="0.3">
      <c r="G3838" s="470"/>
      <c r="H3838" s="470">
        <v>3831</v>
      </c>
      <c r="I3838" s="455">
        <f t="shared" ca="1" si="160"/>
        <v>-3536665029362.3428</v>
      </c>
      <c r="J3838" s="455">
        <f t="array" ref="J3838">IFERROR(INDEX('Retirement Calculator'!K:K,MATCH('Lorri 401b'!N3838,'Retirement Calculator'!A:A,0),0),0)</f>
        <v>0</v>
      </c>
      <c r="K3838" s="455">
        <f t="shared" ca="1" si="158"/>
        <v>-14736104289.009762</v>
      </c>
      <c r="L3838" s="455">
        <f t="shared" ca="1" si="159"/>
        <v>-3551401133651.3525</v>
      </c>
      <c r="M3838" s="471">
        <f t="shared" si="161"/>
        <v>0.05</v>
      </c>
      <c r="N3838" s="475">
        <f t="shared" si="162"/>
        <v>167860</v>
      </c>
    </row>
    <row r="3839" spans="7:14" ht="11.25" customHeight="1" x14ac:dyDescent="0.3">
      <c r="G3839" s="470"/>
      <c r="H3839" s="470">
        <v>3832</v>
      </c>
      <c r="I3839" s="455">
        <f t="shared" ca="1" si="160"/>
        <v>-3551401133651.3525</v>
      </c>
      <c r="J3839" s="455">
        <f t="array" ref="J3839">IFERROR(INDEX('Retirement Calculator'!K:K,MATCH('Lorri 401b'!N3839,'Retirement Calculator'!A:A,0),0),0)</f>
        <v>0</v>
      </c>
      <c r="K3839" s="455">
        <f t="shared" ca="1" si="158"/>
        <v>-14797504723.547302</v>
      </c>
      <c r="L3839" s="455">
        <f t="shared" ca="1" si="159"/>
        <v>-3566198638374.8999</v>
      </c>
      <c r="M3839" s="471">
        <f t="shared" si="161"/>
        <v>0.05</v>
      </c>
      <c r="N3839" s="475">
        <f t="shared" si="162"/>
        <v>167891</v>
      </c>
    </row>
    <row r="3840" spans="7:14" ht="11.25" customHeight="1" x14ac:dyDescent="0.3">
      <c r="G3840" s="470"/>
      <c r="H3840" s="470">
        <v>3833</v>
      </c>
      <c r="I3840" s="455">
        <f t="shared" ca="1" si="160"/>
        <v>-3566198638374.8999</v>
      </c>
      <c r="J3840" s="455">
        <f t="array" ref="J3840">IFERROR(INDEX('Retirement Calculator'!K:K,MATCH('Lorri 401b'!N3840,'Retirement Calculator'!A:A,0),0),0)</f>
        <v>0</v>
      </c>
      <c r="K3840" s="455">
        <f t="shared" ca="1" si="158"/>
        <v>-14859160993.228752</v>
      </c>
      <c r="L3840" s="455">
        <f t="shared" ca="1" si="159"/>
        <v>-3581057799368.1284</v>
      </c>
      <c r="M3840" s="471">
        <f t="shared" si="161"/>
        <v>0.05</v>
      </c>
      <c r="N3840" s="475">
        <f t="shared" si="162"/>
        <v>167921</v>
      </c>
    </row>
    <row r="3841" spans="7:14" ht="11.25" customHeight="1" x14ac:dyDescent="0.3">
      <c r="G3841" s="470"/>
      <c r="H3841" s="470">
        <v>3834</v>
      </c>
      <c r="I3841" s="455">
        <f t="shared" ca="1" si="160"/>
        <v>-3581057799368.1284</v>
      </c>
      <c r="J3841" s="455">
        <f t="array" ref="J3841">IFERROR(INDEX('Retirement Calculator'!K:K,MATCH('Lorri 401b'!N3841,'Retirement Calculator'!A:A,0),0),0)</f>
        <v>0</v>
      </c>
      <c r="K3841" s="455">
        <f t="shared" ca="1" si="158"/>
        <v>-14921074164.033869</v>
      </c>
      <c r="L3841" s="455">
        <f t="shared" ca="1" si="159"/>
        <v>-3595978873532.1621</v>
      </c>
      <c r="M3841" s="471">
        <f t="shared" si="161"/>
        <v>0.05</v>
      </c>
      <c r="N3841" s="475">
        <f t="shared" si="162"/>
        <v>167952</v>
      </c>
    </row>
    <row r="3842" spans="7:14" ht="11.25" customHeight="1" x14ac:dyDescent="0.3">
      <c r="G3842" s="470"/>
      <c r="H3842" s="470">
        <v>3835</v>
      </c>
      <c r="I3842" s="455">
        <f t="shared" ca="1" si="160"/>
        <v>-3595978873532.1621</v>
      </c>
      <c r="J3842" s="455">
        <f t="array" ref="J3842">IFERROR(INDEX('Retirement Calculator'!K:K,MATCH('Lorri 401b'!N3842,'Retirement Calculator'!A:A,0),0),0)</f>
        <v>0</v>
      </c>
      <c r="K3842" s="455">
        <f t="shared" ca="1" si="158"/>
        <v>-14983245306.384008</v>
      </c>
      <c r="L3842" s="455">
        <f t="shared" ca="1" si="159"/>
        <v>-3610962118838.5459</v>
      </c>
      <c r="M3842" s="471">
        <f t="shared" si="161"/>
        <v>0.05</v>
      </c>
      <c r="N3842" s="475">
        <f t="shared" si="162"/>
        <v>167982</v>
      </c>
    </row>
    <row r="3843" spans="7:14" ht="11.25" customHeight="1" x14ac:dyDescent="0.3">
      <c r="G3843" s="470"/>
      <c r="H3843" s="470">
        <v>3836</v>
      </c>
      <c r="I3843" s="455">
        <f t="shared" ca="1" si="160"/>
        <v>-3610962118838.5459</v>
      </c>
      <c r="J3843" s="455">
        <f t="array" ref="J3843">IFERROR(INDEX('Retirement Calculator'!K:K,MATCH('Lorri 401b'!N3843,'Retirement Calculator'!A:A,0),0),0)</f>
        <v>0</v>
      </c>
      <c r="K3843" s="455">
        <f t="shared" ca="1" si="158"/>
        <v>-15045675495.160608</v>
      </c>
      <c r="L3843" s="455">
        <f t="shared" ca="1" si="159"/>
        <v>-3626007794333.7065</v>
      </c>
      <c r="M3843" s="471">
        <f t="shared" si="161"/>
        <v>0.05</v>
      </c>
      <c r="N3843" s="475">
        <f t="shared" si="162"/>
        <v>168013</v>
      </c>
    </row>
    <row r="3844" spans="7:14" ht="11.25" customHeight="1" x14ac:dyDescent="0.3">
      <c r="G3844" s="470"/>
      <c r="H3844" s="470">
        <v>3837</v>
      </c>
      <c r="I3844" s="455">
        <f t="shared" ca="1" si="160"/>
        <v>-3626007794333.7065</v>
      </c>
      <c r="J3844" s="455">
        <f t="array" ref="J3844">IFERROR(INDEX('Retirement Calculator'!K:K,MATCH('Lorri 401b'!N3844,'Retirement Calculator'!A:A,0),0),0)</f>
        <v>0</v>
      </c>
      <c r="K3844" s="455">
        <f t="shared" ca="1" si="158"/>
        <v>-15108365809.723778</v>
      </c>
      <c r="L3844" s="455">
        <f t="shared" ca="1" si="159"/>
        <v>-3641116160143.4302</v>
      </c>
      <c r="M3844" s="471">
        <f t="shared" si="161"/>
        <v>0.05</v>
      </c>
      <c r="N3844" s="475">
        <f t="shared" si="162"/>
        <v>168044</v>
      </c>
    </row>
    <row r="3845" spans="7:14" ht="11.25" customHeight="1" x14ac:dyDescent="0.3">
      <c r="G3845" s="470"/>
      <c r="H3845" s="470">
        <v>3838</v>
      </c>
      <c r="I3845" s="455">
        <f t="shared" ca="1" si="160"/>
        <v>-3641116160143.4302</v>
      </c>
      <c r="J3845" s="455">
        <f t="array" ref="J3845">IFERROR(INDEX('Retirement Calculator'!K:K,MATCH('Lorri 401b'!N3845,'Retirement Calculator'!A:A,0),0),0)</f>
        <v>0</v>
      </c>
      <c r="K3845" s="455">
        <f t="shared" ca="1" si="158"/>
        <v>-15171317333.93096</v>
      </c>
      <c r="L3845" s="455">
        <f t="shared" ca="1" si="159"/>
        <v>-3656287477477.3613</v>
      </c>
      <c r="M3845" s="471">
        <f t="shared" si="161"/>
        <v>0.05</v>
      </c>
      <c r="N3845" s="475">
        <f t="shared" si="162"/>
        <v>168073</v>
      </c>
    </row>
    <row r="3846" spans="7:14" ht="11.25" customHeight="1" x14ac:dyDescent="0.3">
      <c r="G3846" s="470"/>
      <c r="H3846" s="470">
        <v>3839</v>
      </c>
      <c r="I3846" s="455">
        <f t="shared" ca="1" si="160"/>
        <v>-3656287477477.3613</v>
      </c>
      <c r="J3846" s="455">
        <f t="array" ref="J3846">IFERROR(INDEX('Retirement Calculator'!K:K,MATCH('Lorri 401b'!N3846,'Retirement Calculator'!A:A,0),0),0)</f>
        <v>0</v>
      </c>
      <c r="K3846" s="455">
        <f t="shared" ca="1" si="158"/>
        <v>-15234531156.155672</v>
      </c>
      <c r="L3846" s="455">
        <f t="shared" ca="1" si="159"/>
        <v>-3671522008633.5171</v>
      </c>
      <c r="M3846" s="471">
        <f t="shared" si="161"/>
        <v>0.05</v>
      </c>
      <c r="N3846" s="475">
        <f t="shared" si="162"/>
        <v>168104</v>
      </c>
    </row>
    <row r="3847" spans="7:14" ht="11.25" customHeight="1" x14ac:dyDescent="0.3">
      <c r="G3847" s="470"/>
      <c r="H3847" s="470">
        <v>3840</v>
      </c>
      <c r="I3847" s="455">
        <f t="shared" ca="1" si="160"/>
        <v>-3671522008633.5171</v>
      </c>
      <c r="J3847" s="455">
        <f t="array" ref="J3847">IFERROR(INDEX('Retirement Calculator'!K:K,MATCH('Lorri 401b'!N3847,'Retirement Calculator'!A:A,0),0),0)</f>
        <v>0</v>
      </c>
      <c r="K3847" s="455">
        <f t="shared" ca="1" si="158"/>
        <v>-15298008369.30632</v>
      </c>
      <c r="L3847" s="455">
        <f t="shared" ca="1" si="159"/>
        <v>-3686820017002.8232</v>
      </c>
      <c r="M3847" s="471">
        <f t="shared" si="161"/>
        <v>0.05</v>
      </c>
      <c r="N3847" s="475">
        <f t="shared" si="162"/>
        <v>168134</v>
      </c>
    </row>
    <row r="3848" spans="7:14" ht="11.25" customHeight="1" x14ac:dyDescent="0.3">
      <c r="G3848" s="470"/>
      <c r="H3848" s="470">
        <v>3841</v>
      </c>
      <c r="I3848" s="455">
        <f t="shared" ca="1" si="160"/>
        <v>-3686820017002.8232</v>
      </c>
      <c r="J3848" s="455">
        <f t="array" ref="J3848">IFERROR(INDEX('Retirement Calculator'!K:K,MATCH('Lorri 401b'!N3848,'Retirement Calculator'!A:A,0),0),0)</f>
        <v>0</v>
      </c>
      <c r="K3848" s="455">
        <f t="shared" ca="1" si="158"/>
        <v>-15361750070.845097</v>
      </c>
      <c r="L3848" s="455">
        <f t="shared" ca="1" si="159"/>
        <v>-3702181767073.6685</v>
      </c>
      <c r="M3848" s="471">
        <f t="shared" si="161"/>
        <v>0.05</v>
      </c>
      <c r="N3848" s="475">
        <f t="shared" si="162"/>
        <v>168165</v>
      </c>
    </row>
    <row r="3849" spans="7:14" ht="11.25" customHeight="1" x14ac:dyDescent="0.3">
      <c r="G3849" s="470"/>
      <c r="H3849" s="470">
        <v>3842</v>
      </c>
      <c r="I3849" s="455">
        <f t="shared" ca="1" si="160"/>
        <v>-3702181767073.6685</v>
      </c>
      <c r="J3849" s="455">
        <f t="array" ref="J3849">IFERROR(INDEX('Retirement Calculator'!K:K,MATCH('Lorri 401b'!N3849,'Retirement Calculator'!A:A,0),0),0)</f>
        <v>0</v>
      </c>
      <c r="K3849" s="455">
        <f t="shared" ca="1" si="158"/>
        <v>-15425757362.80695</v>
      </c>
      <c r="L3849" s="455">
        <f t="shared" ca="1" si="159"/>
        <v>-3717607524436.4756</v>
      </c>
      <c r="M3849" s="471">
        <f t="shared" si="161"/>
        <v>0.05</v>
      </c>
      <c r="N3849" s="475">
        <f t="shared" si="162"/>
        <v>168195</v>
      </c>
    </row>
    <row r="3850" spans="7:14" ht="11.25" customHeight="1" x14ac:dyDescent="0.3">
      <c r="G3850" s="470"/>
      <c r="H3850" s="470">
        <v>3843</v>
      </c>
      <c r="I3850" s="455">
        <f t="shared" ca="1" si="160"/>
        <v>-3717607524436.4756</v>
      </c>
      <c r="J3850" s="455">
        <f t="array" ref="J3850">IFERROR(INDEX('Retirement Calculator'!K:K,MATCH('Lorri 401b'!N3850,'Retirement Calculator'!A:A,0),0),0)</f>
        <v>0</v>
      </c>
      <c r="K3850" s="455">
        <f t="shared" ca="1" si="158"/>
        <v>-15490031351.818647</v>
      </c>
      <c r="L3850" s="455">
        <f t="shared" ca="1" si="159"/>
        <v>-3733097555788.2944</v>
      </c>
      <c r="M3850" s="471">
        <f t="shared" si="161"/>
        <v>0.05</v>
      </c>
      <c r="N3850" s="475">
        <f t="shared" si="162"/>
        <v>168226</v>
      </c>
    </row>
    <row r="3851" spans="7:14" ht="11.25" customHeight="1" x14ac:dyDescent="0.3">
      <c r="G3851" s="470"/>
      <c r="H3851" s="470">
        <v>3844</v>
      </c>
      <c r="I3851" s="455">
        <f t="shared" ca="1" si="160"/>
        <v>-3733097555788.2944</v>
      </c>
      <c r="J3851" s="455">
        <f t="array" ref="J3851">IFERROR(INDEX('Retirement Calculator'!K:K,MATCH('Lorri 401b'!N3851,'Retirement Calculator'!A:A,0),0),0)</f>
        <v>0</v>
      </c>
      <c r="K3851" s="455">
        <f t="shared" ca="1" si="158"/>
        <v>-15554573149.117893</v>
      </c>
      <c r="L3851" s="455">
        <f t="shared" ca="1" si="159"/>
        <v>-3748652128937.4121</v>
      </c>
      <c r="M3851" s="471">
        <f t="shared" si="161"/>
        <v>0.05</v>
      </c>
      <c r="N3851" s="475">
        <f t="shared" si="162"/>
        <v>168257</v>
      </c>
    </row>
    <row r="3852" spans="7:14" ht="11.25" customHeight="1" x14ac:dyDescent="0.3">
      <c r="G3852" s="470"/>
      <c r="H3852" s="470">
        <v>3845</v>
      </c>
      <c r="I3852" s="455">
        <f t="shared" ca="1" si="160"/>
        <v>-3748652128937.4121</v>
      </c>
      <c r="J3852" s="455">
        <f t="array" ref="J3852">IFERROR(INDEX('Retirement Calculator'!K:K,MATCH('Lorri 401b'!N3852,'Retirement Calculator'!A:A,0),0),0)</f>
        <v>0</v>
      </c>
      <c r="K3852" s="455">
        <f t="shared" ca="1" si="158"/>
        <v>-15619383870.572552</v>
      </c>
      <c r="L3852" s="455">
        <f t="shared" ca="1" si="159"/>
        <v>-3764271512807.9849</v>
      </c>
      <c r="M3852" s="471">
        <f t="shared" si="161"/>
        <v>0.05</v>
      </c>
      <c r="N3852" s="475">
        <f t="shared" si="162"/>
        <v>168287</v>
      </c>
    </row>
    <row r="3853" spans="7:14" ht="11.25" customHeight="1" x14ac:dyDescent="0.3">
      <c r="G3853" s="470"/>
      <c r="H3853" s="470">
        <v>3846</v>
      </c>
      <c r="I3853" s="455">
        <f t="shared" ca="1" si="160"/>
        <v>-3764271512807.9849</v>
      </c>
      <c r="J3853" s="455">
        <f t="array" ref="J3853">IFERROR(INDEX('Retirement Calculator'!K:K,MATCH('Lorri 401b'!N3853,'Retirement Calculator'!A:A,0),0),0)</f>
        <v>0</v>
      </c>
      <c r="K3853" s="455">
        <f t="shared" ca="1" si="158"/>
        <v>-15684464636.699934</v>
      </c>
      <c r="L3853" s="455">
        <f t="shared" ca="1" si="159"/>
        <v>-3779955977444.6846</v>
      </c>
      <c r="M3853" s="471">
        <f t="shared" si="161"/>
        <v>0.05</v>
      </c>
      <c r="N3853" s="475">
        <f t="shared" si="162"/>
        <v>168318</v>
      </c>
    </row>
    <row r="3854" spans="7:14" ht="11.25" customHeight="1" x14ac:dyDescent="0.3">
      <c r="G3854" s="470"/>
      <c r="H3854" s="470">
        <v>3847</v>
      </c>
      <c r="I3854" s="455">
        <f t="shared" ca="1" si="160"/>
        <v>-3779955977444.6846</v>
      </c>
      <c r="J3854" s="455">
        <f t="array" ref="J3854">IFERROR(INDEX('Retirement Calculator'!K:K,MATCH('Lorri 401b'!N3854,'Retirement Calculator'!A:A,0),0),0)</f>
        <v>0</v>
      </c>
      <c r="K3854" s="455">
        <f t="shared" ca="1" si="158"/>
        <v>-15749816572.686186</v>
      </c>
      <c r="L3854" s="455">
        <f t="shared" ca="1" si="159"/>
        <v>-3795705794017.3706</v>
      </c>
      <c r="M3854" s="471">
        <f t="shared" si="161"/>
        <v>0.05</v>
      </c>
      <c r="N3854" s="475">
        <f t="shared" si="162"/>
        <v>168348</v>
      </c>
    </row>
    <row r="3855" spans="7:14" ht="11.25" customHeight="1" x14ac:dyDescent="0.3">
      <c r="G3855" s="470"/>
      <c r="H3855" s="470">
        <v>3848</v>
      </c>
      <c r="I3855" s="455">
        <f t="shared" ca="1" si="160"/>
        <v>-3795705794017.3706</v>
      </c>
      <c r="J3855" s="455">
        <f t="array" ref="J3855">IFERROR(INDEX('Retirement Calculator'!K:K,MATCH('Lorri 401b'!N3855,'Retirement Calculator'!A:A,0),0),0)</f>
        <v>0</v>
      </c>
      <c r="K3855" s="455">
        <f t="shared" ca="1" si="158"/>
        <v>-15815440808.40571</v>
      </c>
      <c r="L3855" s="455">
        <f t="shared" ca="1" si="159"/>
        <v>-3811521234825.7764</v>
      </c>
      <c r="M3855" s="471">
        <f t="shared" si="161"/>
        <v>0.05</v>
      </c>
      <c r="N3855" s="475">
        <f t="shared" si="162"/>
        <v>168379</v>
      </c>
    </row>
    <row r="3856" spans="7:14" ht="11.25" customHeight="1" x14ac:dyDescent="0.3">
      <c r="G3856" s="470"/>
      <c r="H3856" s="470">
        <v>3849</v>
      </c>
      <c r="I3856" s="455">
        <f t="shared" ca="1" si="160"/>
        <v>-3811521234825.7764</v>
      </c>
      <c r="J3856" s="455">
        <f t="array" ref="J3856">IFERROR(INDEX('Retirement Calculator'!K:K,MATCH('Lorri 401b'!N3856,'Retirement Calculator'!A:A,0),0),0)</f>
        <v>0</v>
      </c>
      <c r="K3856" s="455">
        <f t="shared" ca="1" si="158"/>
        <v>-15881338478.440735</v>
      </c>
      <c r="L3856" s="455">
        <f t="shared" ca="1" si="159"/>
        <v>-3827402573304.2173</v>
      </c>
      <c r="M3856" s="471">
        <f t="shared" si="161"/>
        <v>0.05</v>
      </c>
      <c r="N3856" s="475">
        <f t="shared" si="162"/>
        <v>168410</v>
      </c>
    </row>
    <row r="3857" spans="7:14" ht="11.25" customHeight="1" x14ac:dyDescent="0.3">
      <c r="G3857" s="470"/>
      <c r="H3857" s="470">
        <v>3850</v>
      </c>
      <c r="I3857" s="455">
        <f t="shared" ca="1" si="160"/>
        <v>-3827402573304.2173</v>
      </c>
      <c r="J3857" s="455">
        <f t="array" ref="J3857">IFERROR(INDEX('Retirement Calculator'!K:K,MATCH('Lorri 401b'!N3857,'Retirement Calculator'!A:A,0),0),0)</f>
        <v>0</v>
      </c>
      <c r="K3857" s="455">
        <f t="shared" ca="1" si="158"/>
        <v>-15947510722.100903</v>
      </c>
      <c r="L3857" s="455">
        <f t="shared" ca="1" si="159"/>
        <v>-3843350084026.3184</v>
      </c>
      <c r="M3857" s="471">
        <f t="shared" si="161"/>
        <v>0.05</v>
      </c>
      <c r="N3857" s="475">
        <f t="shared" si="162"/>
        <v>168438</v>
      </c>
    </row>
    <row r="3858" spans="7:14" ht="11.25" customHeight="1" x14ac:dyDescent="0.3">
      <c r="G3858" s="470"/>
      <c r="H3858" s="470">
        <v>3851</v>
      </c>
      <c r="I3858" s="455">
        <f t="shared" ca="1" si="160"/>
        <v>-3843350084026.3184</v>
      </c>
      <c r="J3858" s="455">
        <f t="array" ref="J3858">IFERROR(INDEX('Retirement Calculator'!K:K,MATCH('Lorri 401b'!N3858,'Retirement Calculator'!A:A,0),0),0)</f>
        <v>0</v>
      </c>
      <c r="K3858" s="455">
        <f t="shared" ca="1" si="158"/>
        <v>-16013958683.442993</v>
      </c>
      <c r="L3858" s="455">
        <f t="shared" ca="1" si="159"/>
        <v>-3859364042709.7612</v>
      </c>
      <c r="M3858" s="471">
        <f t="shared" si="161"/>
        <v>0.05</v>
      </c>
      <c r="N3858" s="475">
        <f t="shared" si="162"/>
        <v>168469</v>
      </c>
    </row>
    <row r="3859" spans="7:14" ht="11.25" customHeight="1" x14ac:dyDescent="0.3">
      <c r="G3859" s="470"/>
      <c r="H3859" s="470">
        <v>3852</v>
      </c>
      <c r="I3859" s="455">
        <f t="shared" ca="1" si="160"/>
        <v>-3859364042709.7612</v>
      </c>
      <c r="J3859" s="455">
        <f t="array" ref="J3859">IFERROR(INDEX('Retirement Calculator'!K:K,MATCH('Lorri 401b'!N3859,'Retirement Calculator'!A:A,0),0),0)</f>
        <v>0</v>
      </c>
      <c r="K3859" s="455">
        <f t="shared" ca="1" si="158"/>
        <v>-16080683511.290672</v>
      </c>
      <c r="L3859" s="455">
        <f t="shared" ca="1" si="159"/>
        <v>-3875444726221.0518</v>
      </c>
      <c r="M3859" s="471">
        <f t="shared" si="161"/>
        <v>0.05</v>
      </c>
      <c r="N3859" s="475">
        <f t="shared" si="162"/>
        <v>168499</v>
      </c>
    </row>
    <row r="3860" spans="7:14" ht="11.25" customHeight="1" x14ac:dyDescent="0.3">
      <c r="G3860" s="470"/>
      <c r="H3860" s="470">
        <v>3853</v>
      </c>
      <c r="I3860" s="455">
        <f t="shared" ca="1" si="160"/>
        <v>-3875444726221.0518</v>
      </c>
      <c r="J3860" s="455">
        <f t="array" ref="J3860">IFERROR(INDEX('Retirement Calculator'!K:K,MATCH('Lorri 401b'!N3860,'Retirement Calculator'!A:A,0),0),0)</f>
        <v>0</v>
      </c>
      <c r="K3860" s="455">
        <f t="shared" ca="1" si="158"/>
        <v>-16147686359.254381</v>
      </c>
      <c r="L3860" s="455">
        <f t="shared" ca="1" si="159"/>
        <v>-3891592412580.3062</v>
      </c>
      <c r="M3860" s="471">
        <f t="shared" si="161"/>
        <v>0.05</v>
      </c>
      <c r="N3860" s="475">
        <f t="shared" si="162"/>
        <v>168530</v>
      </c>
    </row>
    <row r="3861" spans="7:14" ht="11.25" customHeight="1" x14ac:dyDescent="0.3">
      <c r="G3861" s="470"/>
      <c r="H3861" s="470">
        <v>3854</v>
      </c>
      <c r="I3861" s="455">
        <f t="shared" ca="1" si="160"/>
        <v>-3891592412580.3062</v>
      </c>
      <c r="J3861" s="455">
        <f t="array" ref="J3861">IFERROR(INDEX('Retirement Calculator'!K:K,MATCH('Lorri 401b'!N3861,'Retirement Calculator'!A:A,0),0),0)</f>
        <v>0</v>
      </c>
      <c r="K3861" s="455">
        <f t="shared" ca="1" si="158"/>
        <v>-16214968385.751276</v>
      </c>
      <c r="L3861" s="455">
        <f t="shared" ca="1" si="159"/>
        <v>-3907807380966.0576</v>
      </c>
      <c r="M3861" s="471">
        <f t="shared" si="161"/>
        <v>0.05</v>
      </c>
      <c r="N3861" s="475">
        <f t="shared" si="162"/>
        <v>168560</v>
      </c>
    </row>
    <row r="3862" spans="7:14" ht="11.25" customHeight="1" x14ac:dyDescent="0.3">
      <c r="G3862" s="470"/>
      <c r="H3862" s="470">
        <v>3855</v>
      </c>
      <c r="I3862" s="455">
        <f t="shared" ca="1" si="160"/>
        <v>-3907807380966.0576</v>
      </c>
      <c r="J3862" s="455">
        <f t="array" ref="J3862">IFERROR(INDEX('Retirement Calculator'!K:K,MATCH('Lorri 401b'!N3862,'Retirement Calculator'!A:A,0),0),0)</f>
        <v>0</v>
      </c>
      <c r="K3862" s="455">
        <f t="shared" ca="1" si="158"/>
        <v>-16282530754.02524</v>
      </c>
      <c r="L3862" s="455">
        <f t="shared" ca="1" si="159"/>
        <v>-3924089911720.083</v>
      </c>
      <c r="M3862" s="471">
        <f t="shared" si="161"/>
        <v>0.05</v>
      </c>
      <c r="N3862" s="475">
        <f t="shared" si="162"/>
        <v>168591</v>
      </c>
    </row>
    <row r="3863" spans="7:14" ht="11.25" customHeight="1" x14ac:dyDescent="0.3">
      <c r="G3863" s="470"/>
      <c r="H3863" s="470">
        <v>3856</v>
      </c>
      <c r="I3863" s="455">
        <f t="shared" ca="1" si="160"/>
        <v>-3924089911720.083</v>
      </c>
      <c r="J3863" s="455">
        <f t="array" ref="J3863">IFERROR(INDEX('Retirement Calculator'!K:K,MATCH('Lorri 401b'!N3863,'Retirement Calculator'!A:A,0),0),0)</f>
        <v>0</v>
      </c>
      <c r="K3863" s="455">
        <f t="shared" ca="1" si="158"/>
        <v>-16350374632.167009</v>
      </c>
      <c r="L3863" s="455">
        <f t="shared" ca="1" si="159"/>
        <v>-3940440286352.25</v>
      </c>
      <c r="M3863" s="471">
        <f t="shared" si="161"/>
        <v>0.05</v>
      </c>
      <c r="N3863" s="475">
        <f t="shared" si="162"/>
        <v>168622</v>
      </c>
    </row>
    <row r="3864" spans="7:14" ht="11.25" customHeight="1" x14ac:dyDescent="0.3">
      <c r="G3864" s="470"/>
      <c r="H3864" s="470">
        <v>3857</v>
      </c>
      <c r="I3864" s="455">
        <f t="shared" ca="1" si="160"/>
        <v>-3940440286352.25</v>
      </c>
      <c r="J3864" s="455">
        <f t="array" ref="J3864">IFERROR(INDEX('Retirement Calculator'!K:K,MATCH('Lorri 401b'!N3864,'Retirement Calculator'!A:A,0),0),0)</f>
        <v>0</v>
      </c>
      <c r="K3864" s="455">
        <f t="shared" ca="1" si="158"/>
        <v>-16418501193.134375</v>
      </c>
      <c r="L3864" s="455">
        <f t="shared" ca="1" si="159"/>
        <v>-3956858787545.3843</v>
      </c>
      <c r="M3864" s="471">
        <f t="shared" si="161"/>
        <v>0.05</v>
      </c>
      <c r="N3864" s="475">
        <f t="shared" si="162"/>
        <v>168652</v>
      </c>
    </row>
    <row r="3865" spans="7:14" ht="11.25" customHeight="1" x14ac:dyDescent="0.3">
      <c r="G3865" s="470"/>
      <c r="H3865" s="470">
        <v>3858</v>
      </c>
      <c r="I3865" s="455">
        <f t="shared" ca="1" si="160"/>
        <v>-3956858787545.3843</v>
      </c>
      <c r="J3865" s="455">
        <f t="array" ref="J3865">IFERROR(INDEX('Retirement Calculator'!K:K,MATCH('Lorri 401b'!N3865,'Retirement Calculator'!A:A,0),0),0)</f>
        <v>0</v>
      </c>
      <c r="K3865" s="455">
        <f t="shared" ca="1" si="158"/>
        <v>-16486911614.772434</v>
      </c>
      <c r="L3865" s="455">
        <f t="shared" ca="1" si="159"/>
        <v>-3973345699160.1567</v>
      </c>
      <c r="M3865" s="471">
        <f t="shared" si="161"/>
        <v>0.05</v>
      </c>
      <c r="N3865" s="475">
        <f t="shared" si="162"/>
        <v>168683</v>
      </c>
    </row>
    <row r="3866" spans="7:14" ht="11.25" customHeight="1" x14ac:dyDescent="0.3">
      <c r="G3866" s="470"/>
      <c r="H3866" s="470">
        <v>3859</v>
      </c>
      <c r="I3866" s="455">
        <f t="shared" ca="1" si="160"/>
        <v>-3973345699160.1567</v>
      </c>
      <c r="J3866" s="455">
        <f t="array" ref="J3866">IFERROR(INDEX('Retirement Calculator'!K:K,MATCH('Lorri 401b'!N3866,'Retirement Calculator'!A:A,0),0),0)</f>
        <v>0</v>
      </c>
      <c r="K3866" s="455">
        <f t="shared" ca="1" si="158"/>
        <v>-16555607079.833986</v>
      </c>
      <c r="L3866" s="455">
        <f t="shared" ca="1" si="159"/>
        <v>-3989901306239.9907</v>
      </c>
      <c r="M3866" s="471">
        <f t="shared" si="161"/>
        <v>0.05</v>
      </c>
      <c r="N3866" s="475">
        <f t="shared" si="162"/>
        <v>168713</v>
      </c>
    </row>
    <row r="3867" spans="7:14" ht="11.25" customHeight="1" x14ac:dyDescent="0.3">
      <c r="G3867" s="470"/>
      <c r="H3867" s="470">
        <v>3860</v>
      </c>
      <c r="I3867" s="455">
        <f t="shared" ca="1" si="160"/>
        <v>-3989901306239.9907</v>
      </c>
      <c r="J3867" s="455">
        <f t="array" ref="J3867">IFERROR(INDEX('Retirement Calculator'!K:K,MATCH('Lorri 401b'!N3867,'Retirement Calculator'!A:A,0),0),0)</f>
        <v>0</v>
      </c>
      <c r="K3867" s="455">
        <f t="shared" ca="1" si="158"/>
        <v>-16624588775.999962</v>
      </c>
      <c r="L3867" s="455">
        <f t="shared" ca="1" si="159"/>
        <v>-4006525895015.9907</v>
      </c>
      <c r="M3867" s="471">
        <f t="shared" si="161"/>
        <v>0.05</v>
      </c>
      <c r="N3867" s="475">
        <f t="shared" si="162"/>
        <v>168744</v>
      </c>
    </row>
    <row r="3868" spans="7:14" ht="11.25" customHeight="1" x14ac:dyDescent="0.3">
      <c r="G3868" s="470"/>
      <c r="H3868" s="470">
        <v>3861</v>
      </c>
      <c r="I3868" s="455">
        <f t="shared" ca="1" si="160"/>
        <v>-4006525895015.9907</v>
      </c>
      <c r="J3868" s="455">
        <f t="array" ref="J3868">IFERROR(INDEX('Retirement Calculator'!K:K,MATCH('Lorri 401b'!N3868,'Retirement Calculator'!A:A,0),0),0)</f>
        <v>0</v>
      </c>
      <c r="K3868" s="455">
        <f t="shared" ca="1" si="158"/>
        <v>-16693857895.899961</v>
      </c>
      <c r="L3868" s="455">
        <f t="shared" ca="1" si="159"/>
        <v>-4023219752911.8906</v>
      </c>
      <c r="M3868" s="471">
        <f t="shared" si="161"/>
        <v>0.05</v>
      </c>
      <c r="N3868" s="475">
        <f t="shared" si="162"/>
        <v>168775</v>
      </c>
    </row>
    <row r="3869" spans="7:14" ht="11.25" customHeight="1" x14ac:dyDescent="0.3">
      <c r="G3869" s="470"/>
      <c r="H3869" s="470">
        <v>3862</v>
      </c>
      <c r="I3869" s="455">
        <f t="shared" ca="1" si="160"/>
        <v>-4023219752911.8906</v>
      </c>
      <c r="J3869" s="455">
        <f t="array" ref="J3869">IFERROR(INDEX('Retirement Calculator'!K:K,MATCH('Lorri 401b'!N3869,'Retirement Calculator'!A:A,0),0),0)</f>
        <v>0</v>
      </c>
      <c r="K3869" s="455">
        <f t="shared" ca="1" si="158"/>
        <v>-16763415637.132879</v>
      </c>
      <c r="L3869" s="455">
        <f t="shared" ca="1" si="159"/>
        <v>-4039983168549.0234</v>
      </c>
      <c r="M3869" s="471">
        <f t="shared" si="161"/>
        <v>0.05</v>
      </c>
      <c r="N3869" s="475">
        <f t="shared" si="162"/>
        <v>168803</v>
      </c>
    </row>
    <row r="3870" spans="7:14" ht="11.25" customHeight="1" x14ac:dyDescent="0.3">
      <c r="G3870" s="470"/>
      <c r="H3870" s="470">
        <v>3863</v>
      </c>
      <c r="I3870" s="455">
        <f t="shared" ca="1" si="160"/>
        <v>-4039983168549.0234</v>
      </c>
      <c r="J3870" s="455">
        <f t="array" ref="J3870">IFERROR(INDEX('Retirement Calculator'!K:K,MATCH('Lorri 401b'!N3870,'Retirement Calculator'!A:A,0),0),0)</f>
        <v>0</v>
      </c>
      <c r="K3870" s="455">
        <f t="shared" ca="1" si="158"/>
        <v>-16833263202.2876</v>
      </c>
      <c r="L3870" s="455">
        <f t="shared" ca="1" si="159"/>
        <v>-4056816431751.311</v>
      </c>
      <c r="M3870" s="471">
        <f t="shared" si="161"/>
        <v>0.05</v>
      </c>
      <c r="N3870" s="475">
        <f t="shared" si="162"/>
        <v>168834</v>
      </c>
    </row>
    <row r="3871" spans="7:14" ht="11.25" customHeight="1" x14ac:dyDescent="0.3">
      <c r="G3871" s="470"/>
      <c r="H3871" s="470">
        <v>3864</v>
      </c>
      <c r="I3871" s="455">
        <f t="shared" ca="1" si="160"/>
        <v>-4056816431751.311</v>
      </c>
      <c r="J3871" s="455">
        <f t="array" ref="J3871">IFERROR(INDEX('Retirement Calculator'!K:K,MATCH('Lorri 401b'!N3871,'Retirement Calculator'!A:A,0),0),0)</f>
        <v>0</v>
      </c>
      <c r="K3871" s="455">
        <f t="shared" ca="1" si="158"/>
        <v>-16903401798.963797</v>
      </c>
      <c r="L3871" s="455">
        <f t="shared" ca="1" si="159"/>
        <v>-4073719833550.2749</v>
      </c>
      <c r="M3871" s="471">
        <f t="shared" si="161"/>
        <v>0.05</v>
      </c>
      <c r="N3871" s="475">
        <f t="shared" si="162"/>
        <v>168864</v>
      </c>
    </row>
    <row r="3872" spans="7:14" ht="11.25" customHeight="1" x14ac:dyDescent="0.3">
      <c r="G3872" s="470"/>
      <c r="H3872" s="470">
        <v>3865</v>
      </c>
      <c r="I3872" s="455">
        <f t="shared" ca="1" si="160"/>
        <v>-4073719833550.2749</v>
      </c>
      <c r="J3872" s="455">
        <f t="array" ref="J3872">IFERROR(INDEX('Retirement Calculator'!K:K,MATCH('Lorri 401b'!N3872,'Retirement Calculator'!A:A,0),0),0)</f>
        <v>0</v>
      </c>
      <c r="K3872" s="455">
        <f t="shared" ca="1" si="158"/>
        <v>-16973832639.792814</v>
      </c>
      <c r="L3872" s="455">
        <f t="shared" ca="1" si="159"/>
        <v>-4090693666190.0679</v>
      </c>
      <c r="M3872" s="471">
        <f t="shared" si="161"/>
        <v>0.05</v>
      </c>
      <c r="N3872" s="475">
        <f t="shared" si="162"/>
        <v>168895</v>
      </c>
    </row>
    <row r="3873" spans="7:14" ht="11.25" customHeight="1" x14ac:dyDescent="0.3">
      <c r="G3873" s="470"/>
      <c r="H3873" s="470">
        <v>3866</v>
      </c>
      <c r="I3873" s="455">
        <f t="shared" ca="1" si="160"/>
        <v>-4090693666190.0679</v>
      </c>
      <c r="J3873" s="455">
        <f t="array" ref="J3873">IFERROR(INDEX('Retirement Calculator'!K:K,MATCH('Lorri 401b'!N3873,'Retirement Calculator'!A:A,0),0),0)</f>
        <v>0</v>
      </c>
      <c r="K3873" s="455">
        <f t="shared" ca="1" si="158"/>
        <v>-17044556942.458616</v>
      </c>
      <c r="L3873" s="455">
        <f t="shared" ca="1" si="159"/>
        <v>-4107738223132.5264</v>
      </c>
      <c r="M3873" s="471">
        <f t="shared" si="161"/>
        <v>0.05</v>
      </c>
      <c r="N3873" s="475">
        <f t="shared" si="162"/>
        <v>168925</v>
      </c>
    </row>
    <row r="3874" spans="7:14" ht="11.25" customHeight="1" x14ac:dyDescent="0.3">
      <c r="G3874" s="470"/>
      <c r="H3874" s="470">
        <v>3867</v>
      </c>
      <c r="I3874" s="455">
        <f t="shared" ca="1" si="160"/>
        <v>-4107738223132.5264</v>
      </c>
      <c r="J3874" s="455">
        <f t="array" ref="J3874">IFERROR(INDEX('Retirement Calculator'!K:K,MATCH('Lorri 401b'!N3874,'Retirement Calculator'!A:A,0),0),0)</f>
        <v>0</v>
      </c>
      <c r="K3874" s="455">
        <f t="shared" ca="1" si="158"/>
        <v>-17115575929.718859</v>
      </c>
      <c r="L3874" s="455">
        <f t="shared" ca="1" si="159"/>
        <v>-4124853799062.2451</v>
      </c>
      <c r="M3874" s="471">
        <f t="shared" si="161"/>
        <v>0.05</v>
      </c>
      <c r="N3874" s="475">
        <f t="shared" si="162"/>
        <v>168956</v>
      </c>
    </row>
    <row r="3875" spans="7:14" ht="11.25" customHeight="1" x14ac:dyDescent="0.3">
      <c r="G3875" s="470"/>
      <c r="H3875" s="470">
        <v>3868</v>
      </c>
      <c r="I3875" s="455">
        <f t="shared" ca="1" si="160"/>
        <v>-4124853799062.2451</v>
      </c>
      <c r="J3875" s="455">
        <f t="array" ref="J3875">IFERROR(INDEX('Retirement Calculator'!K:K,MATCH('Lorri 401b'!N3875,'Retirement Calculator'!A:A,0),0),0)</f>
        <v>0</v>
      </c>
      <c r="K3875" s="455">
        <f t="shared" ca="1" si="158"/>
        <v>-17186890829.426022</v>
      </c>
      <c r="L3875" s="455">
        <f t="shared" ca="1" si="159"/>
        <v>-4142040689891.6709</v>
      </c>
      <c r="M3875" s="471">
        <f t="shared" si="161"/>
        <v>0.05</v>
      </c>
      <c r="N3875" s="475">
        <f t="shared" si="162"/>
        <v>168987</v>
      </c>
    </row>
    <row r="3876" spans="7:14" ht="11.25" customHeight="1" x14ac:dyDescent="0.3">
      <c r="G3876" s="470"/>
      <c r="H3876" s="470">
        <v>3869</v>
      </c>
      <c r="I3876" s="455">
        <f t="shared" ca="1" si="160"/>
        <v>-4142040689891.6709</v>
      </c>
      <c r="J3876" s="455">
        <f t="array" ref="J3876">IFERROR(INDEX('Retirement Calculator'!K:K,MATCH('Lorri 401b'!N3876,'Retirement Calculator'!A:A,0),0),0)</f>
        <v>0</v>
      </c>
      <c r="K3876" s="455">
        <f t="shared" ca="1" si="158"/>
        <v>-17258502874.548626</v>
      </c>
      <c r="L3876" s="455">
        <f t="shared" ca="1" si="159"/>
        <v>-4159299192766.2197</v>
      </c>
      <c r="M3876" s="471">
        <f t="shared" si="161"/>
        <v>0.05</v>
      </c>
      <c r="N3876" s="475">
        <f t="shared" si="162"/>
        <v>169017</v>
      </c>
    </row>
    <row r="3877" spans="7:14" ht="11.25" customHeight="1" x14ac:dyDescent="0.3">
      <c r="G3877" s="470"/>
      <c r="H3877" s="470">
        <v>3870</v>
      </c>
      <c r="I3877" s="455">
        <f t="shared" ca="1" si="160"/>
        <v>-4159299192766.2197</v>
      </c>
      <c r="J3877" s="455">
        <f t="array" ref="J3877">IFERROR(INDEX('Retirement Calculator'!K:K,MATCH('Lorri 401b'!N3877,'Retirement Calculator'!A:A,0),0),0)</f>
        <v>0</v>
      </c>
      <c r="K3877" s="455">
        <f t="shared" ca="1" si="158"/>
        <v>-17330413303.192581</v>
      </c>
      <c r="L3877" s="455">
        <f t="shared" ca="1" si="159"/>
        <v>-4176629606069.4121</v>
      </c>
      <c r="M3877" s="471">
        <f t="shared" si="161"/>
        <v>0.05</v>
      </c>
      <c r="N3877" s="475">
        <f t="shared" si="162"/>
        <v>169048</v>
      </c>
    </row>
    <row r="3878" spans="7:14" ht="11.25" customHeight="1" x14ac:dyDescent="0.3">
      <c r="G3878" s="470"/>
      <c r="H3878" s="470">
        <v>3871</v>
      </c>
      <c r="I3878" s="455">
        <f t="shared" ca="1" si="160"/>
        <v>-4176629606069.4121</v>
      </c>
      <c r="J3878" s="455">
        <f t="array" ref="J3878">IFERROR(INDEX('Retirement Calculator'!K:K,MATCH('Lorri 401b'!N3878,'Retirement Calculator'!A:A,0),0),0)</f>
        <v>0</v>
      </c>
      <c r="K3878" s="455">
        <f t="shared" ca="1" si="158"/>
        <v>-17402623358.622551</v>
      </c>
      <c r="L3878" s="455">
        <f t="shared" ca="1" si="159"/>
        <v>-4194032229428.0347</v>
      </c>
      <c r="M3878" s="471">
        <f t="shared" si="161"/>
        <v>0.05</v>
      </c>
      <c r="N3878" s="475">
        <f t="shared" si="162"/>
        <v>169078</v>
      </c>
    </row>
    <row r="3879" spans="7:14" ht="11.25" customHeight="1" x14ac:dyDescent="0.3">
      <c r="G3879" s="470"/>
      <c r="H3879" s="470">
        <v>3872</v>
      </c>
      <c r="I3879" s="455">
        <f t="shared" ca="1" si="160"/>
        <v>-4194032229428.0347</v>
      </c>
      <c r="J3879" s="455">
        <f t="array" ref="J3879">IFERROR(INDEX('Retirement Calculator'!K:K,MATCH('Lorri 401b'!N3879,'Retirement Calculator'!A:A,0),0),0)</f>
        <v>0</v>
      </c>
      <c r="K3879" s="455">
        <f t="shared" ca="1" si="158"/>
        <v>-17475134289.283478</v>
      </c>
      <c r="L3879" s="455">
        <f t="shared" ca="1" si="159"/>
        <v>-4211507363717.3184</v>
      </c>
      <c r="M3879" s="471">
        <f t="shared" si="161"/>
        <v>0.05</v>
      </c>
      <c r="N3879" s="475">
        <f t="shared" si="162"/>
        <v>169109</v>
      </c>
    </row>
    <row r="3880" spans="7:14" ht="11.25" customHeight="1" x14ac:dyDescent="0.3">
      <c r="G3880" s="470"/>
      <c r="H3880" s="470">
        <v>3873</v>
      </c>
      <c r="I3880" s="455">
        <f t="shared" ca="1" si="160"/>
        <v>-4211507363717.3184</v>
      </c>
      <c r="J3880" s="455">
        <f t="array" ref="J3880">IFERROR(INDEX('Retirement Calculator'!K:K,MATCH('Lorri 401b'!N3880,'Retirement Calculator'!A:A,0),0),0)</f>
        <v>0</v>
      </c>
      <c r="K3880" s="455">
        <f t="shared" ca="1" si="158"/>
        <v>-17547947348.822159</v>
      </c>
      <c r="L3880" s="455">
        <f t="shared" ca="1" si="159"/>
        <v>-4229055311066.1406</v>
      </c>
      <c r="M3880" s="471">
        <f t="shared" si="161"/>
        <v>0.05</v>
      </c>
      <c r="N3880" s="475">
        <f t="shared" si="162"/>
        <v>169140</v>
      </c>
    </row>
    <row r="3881" spans="7:14" ht="11.25" customHeight="1" x14ac:dyDescent="0.3">
      <c r="G3881" s="470"/>
      <c r="H3881" s="470">
        <v>3874</v>
      </c>
      <c r="I3881" s="455">
        <f t="shared" ca="1" si="160"/>
        <v>-4229055311066.1406</v>
      </c>
      <c r="J3881" s="455">
        <f t="array" ref="J3881">IFERROR(INDEX('Retirement Calculator'!K:K,MATCH('Lorri 401b'!N3881,'Retirement Calculator'!A:A,0),0),0)</f>
        <v>0</v>
      </c>
      <c r="K3881" s="455">
        <f t="shared" ca="1" si="158"/>
        <v>-17621063796.108917</v>
      </c>
      <c r="L3881" s="455">
        <f t="shared" ca="1" si="159"/>
        <v>-4246676374862.2495</v>
      </c>
      <c r="M3881" s="471">
        <f t="shared" si="161"/>
        <v>0.05</v>
      </c>
      <c r="N3881" s="475">
        <f t="shared" si="162"/>
        <v>169168</v>
      </c>
    </row>
    <row r="3882" spans="7:14" ht="11.25" customHeight="1" x14ac:dyDescent="0.3">
      <c r="G3882" s="470"/>
      <c r="H3882" s="470">
        <v>3875</v>
      </c>
      <c r="I3882" s="455">
        <f t="shared" ca="1" si="160"/>
        <v>-4246676374862.2495</v>
      </c>
      <c r="J3882" s="455">
        <f t="array" ref="J3882">IFERROR(INDEX('Retirement Calculator'!K:K,MATCH('Lorri 401b'!N3882,'Retirement Calculator'!A:A,0),0),0)</f>
        <v>0</v>
      </c>
      <c r="K3882" s="455">
        <f t="shared" ca="1" si="158"/>
        <v>-17694484895.259377</v>
      </c>
      <c r="L3882" s="455">
        <f t="shared" ca="1" si="159"/>
        <v>-4264370859757.5088</v>
      </c>
      <c r="M3882" s="471">
        <f t="shared" si="161"/>
        <v>0.05</v>
      </c>
      <c r="N3882" s="475">
        <f t="shared" si="162"/>
        <v>169199</v>
      </c>
    </row>
    <row r="3883" spans="7:14" ht="11.25" customHeight="1" x14ac:dyDescent="0.3">
      <c r="G3883" s="470"/>
      <c r="H3883" s="470">
        <v>3876</v>
      </c>
      <c r="I3883" s="455">
        <f t="shared" ca="1" si="160"/>
        <v>-4264370859757.5088</v>
      </c>
      <c r="J3883" s="455">
        <f t="array" ref="J3883">IFERROR(INDEX('Retirement Calculator'!K:K,MATCH('Lorri 401b'!N3883,'Retirement Calculator'!A:A,0),0),0)</f>
        <v>0</v>
      </c>
      <c r="K3883" s="455">
        <f t="shared" ca="1" si="158"/>
        <v>-17768211915.656288</v>
      </c>
      <c r="L3883" s="455">
        <f t="shared" ca="1" si="159"/>
        <v>-4282139071673.165</v>
      </c>
      <c r="M3883" s="471">
        <f t="shared" si="161"/>
        <v>0.05</v>
      </c>
      <c r="N3883" s="475">
        <f t="shared" si="162"/>
        <v>169229</v>
      </c>
    </row>
    <row r="3884" spans="7:14" ht="11.25" customHeight="1" x14ac:dyDescent="0.3">
      <c r="G3884" s="470"/>
      <c r="H3884" s="470">
        <v>3877</v>
      </c>
      <c r="I3884" s="455">
        <f t="shared" ca="1" si="160"/>
        <v>-4282139071673.165</v>
      </c>
      <c r="J3884" s="455">
        <f t="array" ref="J3884">IFERROR(INDEX('Retirement Calculator'!K:K,MATCH('Lorri 401b'!N3884,'Retirement Calculator'!A:A,0),0),0)</f>
        <v>0</v>
      </c>
      <c r="K3884" s="455">
        <f t="shared" ca="1" si="158"/>
        <v>-17842246131.971519</v>
      </c>
      <c r="L3884" s="455">
        <f t="shared" ca="1" si="159"/>
        <v>-4299981317805.1367</v>
      </c>
      <c r="M3884" s="471">
        <f t="shared" si="161"/>
        <v>0.05</v>
      </c>
      <c r="N3884" s="475">
        <f t="shared" si="162"/>
        <v>169260</v>
      </c>
    </row>
    <row r="3885" spans="7:14" ht="11.25" customHeight="1" x14ac:dyDescent="0.3">
      <c r="G3885" s="470"/>
      <c r="H3885" s="470">
        <v>3878</v>
      </c>
      <c r="I3885" s="455">
        <f t="shared" ca="1" si="160"/>
        <v>-4299981317805.1367</v>
      </c>
      <c r="J3885" s="455">
        <f t="array" ref="J3885">IFERROR(INDEX('Retirement Calculator'!K:K,MATCH('Lorri 401b'!N3885,'Retirement Calculator'!A:A,0),0),0)</f>
        <v>0</v>
      </c>
      <c r="K3885" s="455">
        <f t="shared" ca="1" si="158"/>
        <v>-17916588824.188068</v>
      </c>
      <c r="L3885" s="455">
        <f t="shared" ca="1" si="159"/>
        <v>-4317897906629.3247</v>
      </c>
      <c r="M3885" s="471">
        <f t="shared" si="161"/>
        <v>0.05</v>
      </c>
      <c r="N3885" s="475">
        <f t="shared" si="162"/>
        <v>169290</v>
      </c>
    </row>
    <row r="3886" spans="7:14" ht="11.25" customHeight="1" x14ac:dyDescent="0.3">
      <c r="G3886" s="470"/>
      <c r="H3886" s="470">
        <v>3879</v>
      </c>
      <c r="I3886" s="455">
        <f t="shared" ca="1" si="160"/>
        <v>-4317897906629.3247</v>
      </c>
      <c r="J3886" s="455">
        <f t="array" ref="J3886">IFERROR(INDEX('Retirement Calculator'!K:K,MATCH('Lorri 401b'!N3886,'Retirement Calculator'!A:A,0),0),0)</f>
        <v>0</v>
      </c>
      <c r="K3886" s="455">
        <f t="shared" ca="1" si="158"/>
        <v>-17991241277.622185</v>
      </c>
      <c r="L3886" s="455">
        <f t="shared" ca="1" si="159"/>
        <v>-4335889147906.9468</v>
      </c>
      <c r="M3886" s="471">
        <f t="shared" si="161"/>
        <v>0.05</v>
      </c>
      <c r="N3886" s="475">
        <f t="shared" si="162"/>
        <v>169321</v>
      </c>
    </row>
    <row r="3887" spans="7:14" ht="11.25" customHeight="1" x14ac:dyDescent="0.3">
      <c r="G3887" s="470"/>
      <c r="H3887" s="470">
        <v>3880</v>
      </c>
      <c r="I3887" s="455">
        <f t="shared" ca="1" si="160"/>
        <v>-4335889147906.9468</v>
      </c>
      <c r="J3887" s="455">
        <f t="array" ref="J3887">IFERROR(INDEX('Retirement Calculator'!K:K,MATCH('Lorri 401b'!N3887,'Retirement Calculator'!A:A,0),0),0)</f>
        <v>0</v>
      </c>
      <c r="K3887" s="455">
        <f t="shared" ca="1" si="158"/>
        <v>-18066204782.94561</v>
      </c>
      <c r="L3887" s="455">
        <f t="shared" ca="1" si="159"/>
        <v>-4353955352689.8926</v>
      </c>
      <c r="M3887" s="471">
        <f t="shared" si="161"/>
        <v>0.05</v>
      </c>
      <c r="N3887" s="475">
        <f t="shared" si="162"/>
        <v>169352</v>
      </c>
    </row>
    <row r="3888" spans="7:14" ht="11.25" customHeight="1" x14ac:dyDescent="0.3">
      <c r="G3888" s="470"/>
      <c r="H3888" s="470">
        <v>3881</v>
      </c>
      <c r="I3888" s="455">
        <f t="shared" ca="1" si="160"/>
        <v>-4353955352689.8926</v>
      </c>
      <c r="J3888" s="455">
        <f t="array" ref="J3888">IFERROR(INDEX('Retirement Calculator'!K:K,MATCH('Lorri 401b'!N3888,'Retirement Calculator'!A:A,0),0),0)</f>
        <v>0</v>
      </c>
      <c r="K3888" s="455">
        <f t="shared" ca="1" si="158"/>
        <v>-18141480636.207886</v>
      </c>
      <c r="L3888" s="455">
        <f t="shared" ca="1" si="159"/>
        <v>-4372096833326.1006</v>
      </c>
      <c r="M3888" s="471">
        <f t="shared" si="161"/>
        <v>0.05</v>
      </c>
      <c r="N3888" s="475">
        <f t="shared" si="162"/>
        <v>169382</v>
      </c>
    </row>
    <row r="3889" spans="7:14" ht="11.25" customHeight="1" x14ac:dyDescent="0.3">
      <c r="G3889" s="470"/>
      <c r="H3889" s="470">
        <v>3882</v>
      </c>
      <c r="I3889" s="455">
        <f t="shared" ca="1" si="160"/>
        <v>-4372096833326.1006</v>
      </c>
      <c r="J3889" s="455">
        <f t="array" ref="J3889">IFERROR(INDEX('Retirement Calculator'!K:K,MATCH('Lorri 401b'!N3889,'Retirement Calculator'!A:A,0),0),0)</f>
        <v>0</v>
      </c>
      <c r="K3889" s="455">
        <f t="shared" ca="1" si="158"/>
        <v>-18217070138.858753</v>
      </c>
      <c r="L3889" s="455">
        <f t="shared" ca="1" si="159"/>
        <v>-4390313903464.9595</v>
      </c>
      <c r="M3889" s="471">
        <f t="shared" si="161"/>
        <v>0.05</v>
      </c>
      <c r="N3889" s="475">
        <f t="shared" si="162"/>
        <v>169413</v>
      </c>
    </row>
    <row r="3890" spans="7:14" ht="11.25" customHeight="1" x14ac:dyDescent="0.3">
      <c r="G3890" s="470"/>
      <c r="H3890" s="470">
        <v>3883</v>
      </c>
      <c r="I3890" s="455">
        <f t="shared" ca="1" si="160"/>
        <v>-4390313903464.9595</v>
      </c>
      <c r="J3890" s="455">
        <f t="array" ref="J3890">IFERROR(INDEX('Retirement Calculator'!K:K,MATCH('Lorri 401b'!N3890,'Retirement Calculator'!A:A,0),0),0)</f>
        <v>0</v>
      </c>
      <c r="K3890" s="455">
        <f t="shared" ca="1" si="158"/>
        <v>-18292974597.770664</v>
      </c>
      <c r="L3890" s="455">
        <f t="shared" ca="1" si="159"/>
        <v>-4408606878062.7305</v>
      </c>
      <c r="M3890" s="471">
        <f t="shared" si="161"/>
        <v>0.05</v>
      </c>
      <c r="N3890" s="475">
        <f t="shared" si="162"/>
        <v>169443</v>
      </c>
    </row>
    <row r="3891" spans="7:14" ht="11.25" customHeight="1" x14ac:dyDescent="0.3">
      <c r="G3891" s="470"/>
      <c r="H3891" s="470">
        <v>3884</v>
      </c>
      <c r="I3891" s="455">
        <f t="shared" ca="1" si="160"/>
        <v>-4408606878062.7305</v>
      </c>
      <c r="J3891" s="455">
        <f t="array" ref="J3891">IFERROR(INDEX('Retirement Calculator'!K:K,MATCH('Lorri 401b'!N3891,'Retirement Calculator'!A:A,0),0),0)</f>
        <v>0</v>
      </c>
      <c r="K3891" s="455">
        <f t="shared" ca="1" si="158"/>
        <v>-18369195325.261375</v>
      </c>
      <c r="L3891" s="455">
        <f t="shared" ca="1" si="159"/>
        <v>-4426976073387.9922</v>
      </c>
      <c r="M3891" s="471">
        <f t="shared" si="161"/>
        <v>0.05</v>
      </c>
      <c r="N3891" s="475">
        <f t="shared" si="162"/>
        <v>169474</v>
      </c>
    </row>
    <row r="3892" spans="7:14" ht="11.25" customHeight="1" x14ac:dyDescent="0.3">
      <c r="G3892" s="470"/>
      <c r="H3892" s="470">
        <v>3885</v>
      </c>
      <c r="I3892" s="455">
        <f t="shared" ca="1" si="160"/>
        <v>-4426976073387.9922</v>
      </c>
      <c r="J3892" s="455">
        <f t="array" ref="J3892">IFERROR(INDEX('Retirement Calculator'!K:K,MATCH('Lorri 401b'!N3892,'Retirement Calculator'!A:A,0),0),0)</f>
        <v>0</v>
      </c>
      <c r="K3892" s="455">
        <f t="shared" ca="1" si="158"/>
        <v>-18445733639.116634</v>
      </c>
      <c r="L3892" s="455">
        <f t="shared" ca="1" si="159"/>
        <v>-4445421807027.1084</v>
      </c>
      <c r="M3892" s="471">
        <f t="shared" si="161"/>
        <v>0.05</v>
      </c>
      <c r="N3892" s="475">
        <f t="shared" si="162"/>
        <v>169505</v>
      </c>
    </row>
    <row r="3893" spans="7:14" ht="11.25" customHeight="1" x14ac:dyDescent="0.3">
      <c r="G3893" s="470"/>
      <c r="H3893" s="470">
        <v>3886</v>
      </c>
      <c r="I3893" s="455">
        <f t="shared" ca="1" si="160"/>
        <v>-4445421807027.1084</v>
      </c>
      <c r="J3893" s="455">
        <f t="array" ref="J3893">IFERROR(INDEX('Retirement Calculator'!K:K,MATCH('Lorri 401b'!N3893,'Retirement Calculator'!A:A,0),0),0)</f>
        <v>0</v>
      </c>
      <c r="K3893" s="455">
        <f t="shared" ca="1" si="158"/>
        <v>-18522590862.612953</v>
      </c>
      <c r="L3893" s="455">
        <f t="shared" ca="1" si="159"/>
        <v>-4463944397889.7217</v>
      </c>
      <c r="M3893" s="471">
        <f t="shared" si="161"/>
        <v>0.05</v>
      </c>
      <c r="N3893" s="475">
        <f t="shared" si="162"/>
        <v>169534</v>
      </c>
    </row>
    <row r="3894" spans="7:14" ht="11.25" customHeight="1" x14ac:dyDescent="0.3">
      <c r="G3894" s="470"/>
      <c r="H3894" s="470">
        <v>3887</v>
      </c>
      <c r="I3894" s="455">
        <f t="shared" ca="1" si="160"/>
        <v>-4463944397889.7217</v>
      </c>
      <c r="J3894" s="455">
        <f t="array" ref="J3894">IFERROR(INDEX('Retirement Calculator'!K:K,MATCH('Lorri 401b'!N3894,'Retirement Calculator'!A:A,0),0),0)</f>
        <v>0</v>
      </c>
      <c r="K3894" s="455">
        <f t="shared" ca="1" si="158"/>
        <v>-18599768324.540508</v>
      </c>
      <c r="L3894" s="455">
        <f t="shared" ca="1" si="159"/>
        <v>-4482544166214.2617</v>
      </c>
      <c r="M3894" s="471">
        <f t="shared" si="161"/>
        <v>0.05</v>
      </c>
      <c r="N3894" s="475">
        <f t="shared" si="162"/>
        <v>169565</v>
      </c>
    </row>
    <row r="3895" spans="7:14" ht="11.25" customHeight="1" x14ac:dyDescent="0.3">
      <c r="G3895" s="470"/>
      <c r="H3895" s="470">
        <v>3888</v>
      </c>
      <c r="I3895" s="455">
        <f t="shared" ca="1" si="160"/>
        <v>-4482544166214.2617</v>
      </c>
      <c r="J3895" s="455">
        <f t="array" ref="J3895">IFERROR(INDEX('Retirement Calculator'!K:K,MATCH('Lorri 401b'!N3895,'Retirement Calculator'!A:A,0),0),0)</f>
        <v>0</v>
      </c>
      <c r="K3895" s="455">
        <f t="shared" ca="1" si="158"/>
        <v>-18677267359.226089</v>
      </c>
      <c r="L3895" s="455">
        <f t="shared" ca="1" si="159"/>
        <v>-4501221433573.4883</v>
      </c>
      <c r="M3895" s="471">
        <f t="shared" si="161"/>
        <v>0.05</v>
      </c>
      <c r="N3895" s="475">
        <f t="shared" si="162"/>
        <v>169595</v>
      </c>
    </row>
    <row r="3896" spans="7:14" ht="11.25" customHeight="1" x14ac:dyDescent="0.3">
      <c r="G3896" s="470"/>
      <c r="H3896" s="470">
        <v>3889</v>
      </c>
      <c r="I3896" s="455">
        <f t="shared" ca="1" si="160"/>
        <v>-4501221433573.4883</v>
      </c>
      <c r="J3896" s="455">
        <f t="array" ref="J3896">IFERROR(INDEX('Retirement Calculator'!K:K,MATCH('Lorri 401b'!N3896,'Retirement Calculator'!A:A,0),0),0)</f>
        <v>0</v>
      </c>
      <c r="K3896" s="455">
        <f t="shared" ca="1" si="158"/>
        <v>-18755089306.556202</v>
      </c>
      <c r="L3896" s="455">
        <f t="shared" ca="1" si="159"/>
        <v>-4519976522880.0449</v>
      </c>
      <c r="M3896" s="471">
        <f t="shared" si="161"/>
        <v>0.05</v>
      </c>
      <c r="N3896" s="475">
        <f t="shared" si="162"/>
        <v>169626</v>
      </c>
    </row>
    <row r="3897" spans="7:14" ht="11.25" customHeight="1" x14ac:dyDescent="0.3">
      <c r="G3897" s="470"/>
      <c r="H3897" s="470">
        <v>3890</v>
      </c>
      <c r="I3897" s="455">
        <f t="shared" ca="1" si="160"/>
        <v>-4519976522880.0449</v>
      </c>
      <c r="J3897" s="455">
        <f t="array" ref="J3897">IFERROR(INDEX('Retirement Calculator'!K:K,MATCH('Lorri 401b'!N3897,'Retirement Calculator'!A:A,0),0),0)</f>
        <v>0</v>
      </c>
      <c r="K3897" s="455">
        <f t="shared" ca="1" si="158"/>
        <v>-18833235512.000187</v>
      </c>
      <c r="L3897" s="455">
        <f t="shared" ca="1" si="159"/>
        <v>-4538809758392.0449</v>
      </c>
      <c r="M3897" s="471">
        <f t="shared" si="161"/>
        <v>0.05</v>
      </c>
      <c r="N3897" s="475">
        <f t="shared" si="162"/>
        <v>169656</v>
      </c>
    </row>
    <row r="3898" spans="7:14" ht="11.25" customHeight="1" x14ac:dyDescent="0.3">
      <c r="G3898" s="470"/>
      <c r="H3898" s="470">
        <v>3891</v>
      </c>
      <c r="I3898" s="455">
        <f t="shared" ca="1" si="160"/>
        <v>-4538809758392.0449</v>
      </c>
      <c r="J3898" s="455">
        <f t="array" ref="J3898">IFERROR(INDEX('Retirement Calculator'!K:K,MATCH('Lorri 401b'!N3898,'Retirement Calculator'!A:A,0),0),0)</f>
        <v>0</v>
      </c>
      <c r="K3898" s="455">
        <f t="shared" ca="1" si="158"/>
        <v>-18911707326.633522</v>
      </c>
      <c r="L3898" s="455">
        <f t="shared" ca="1" si="159"/>
        <v>-4557721465718.6787</v>
      </c>
      <c r="M3898" s="471">
        <f t="shared" si="161"/>
        <v>0.05</v>
      </c>
      <c r="N3898" s="475">
        <f t="shared" si="162"/>
        <v>169687</v>
      </c>
    </row>
    <row r="3899" spans="7:14" ht="11.25" customHeight="1" x14ac:dyDescent="0.3">
      <c r="G3899" s="470"/>
      <c r="H3899" s="470">
        <v>3892</v>
      </c>
      <c r="I3899" s="455">
        <f t="shared" ca="1" si="160"/>
        <v>-4557721465718.6787</v>
      </c>
      <c r="J3899" s="455">
        <f t="array" ref="J3899">IFERROR(INDEX('Retirement Calculator'!K:K,MATCH('Lorri 401b'!N3899,'Retirement Calculator'!A:A,0),0),0)</f>
        <v>0</v>
      </c>
      <c r="K3899" s="455">
        <f t="shared" ca="1" si="158"/>
        <v>-18990506107.16116</v>
      </c>
      <c r="L3899" s="455">
        <f t="shared" ca="1" si="159"/>
        <v>-4576711971825.8398</v>
      </c>
      <c r="M3899" s="471">
        <f t="shared" si="161"/>
        <v>0.05</v>
      </c>
      <c r="N3899" s="475">
        <f t="shared" si="162"/>
        <v>169718</v>
      </c>
    </row>
    <row r="3900" spans="7:14" ht="11.25" customHeight="1" x14ac:dyDescent="0.3">
      <c r="G3900" s="470"/>
      <c r="H3900" s="470">
        <v>3893</v>
      </c>
      <c r="I3900" s="455">
        <f t="shared" ca="1" si="160"/>
        <v>-4576711971825.8398</v>
      </c>
      <c r="J3900" s="455">
        <f t="array" ref="J3900">IFERROR(INDEX('Retirement Calculator'!K:K,MATCH('Lorri 401b'!N3900,'Retirement Calculator'!A:A,0),0),0)</f>
        <v>0</v>
      </c>
      <c r="K3900" s="455">
        <f t="shared" ca="1" si="158"/>
        <v>-19069633215.940998</v>
      </c>
      <c r="L3900" s="455">
        <f t="shared" ca="1" si="159"/>
        <v>-4595781605041.7813</v>
      </c>
      <c r="M3900" s="471">
        <f t="shared" si="161"/>
        <v>0.05</v>
      </c>
      <c r="N3900" s="475">
        <f t="shared" si="162"/>
        <v>169748</v>
      </c>
    </row>
    <row r="3901" spans="7:14" ht="11.25" customHeight="1" x14ac:dyDescent="0.3">
      <c r="G3901" s="470"/>
      <c r="H3901" s="470">
        <v>3894</v>
      </c>
      <c r="I3901" s="455">
        <f t="shared" ca="1" si="160"/>
        <v>-4595781605041.7813</v>
      </c>
      <c r="J3901" s="455">
        <f t="array" ref="J3901">IFERROR(INDEX('Retirement Calculator'!K:K,MATCH('Lorri 401b'!N3901,'Retirement Calculator'!A:A,0),0),0)</f>
        <v>0</v>
      </c>
      <c r="K3901" s="455">
        <f t="shared" ca="1" si="158"/>
        <v>-19149090021.007423</v>
      </c>
      <c r="L3901" s="455">
        <f t="shared" ca="1" si="159"/>
        <v>-4614930695062.7891</v>
      </c>
      <c r="M3901" s="471">
        <f t="shared" si="161"/>
        <v>0.05</v>
      </c>
      <c r="N3901" s="475">
        <f t="shared" si="162"/>
        <v>169779</v>
      </c>
    </row>
    <row r="3902" spans="7:14" ht="11.25" customHeight="1" x14ac:dyDescent="0.3">
      <c r="G3902" s="470"/>
      <c r="H3902" s="470">
        <v>3895</v>
      </c>
      <c r="I3902" s="455">
        <f t="shared" ca="1" si="160"/>
        <v>-4614930695062.7891</v>
      </c>
      <c r="J3902" s="455">
        <f t="array" ref="J3902">IFERROR(INDEX('Retirement Calculator'!K:K,MATCH('Lorri 401b'!N3902,'Retirement Calculator'!A:A,0),0),0)</f>
        <v>0</v>
      </c>
      <c r="K3902" s="455">
        <f t="shared" ca="1" si="158"/>
        <v>-19228877896.094955</v>
      </c>
      <c r="L3902" s="455">
        <f t="shared" ca="1" si="159"/>
        <v>-4634159572958.8838</v>
      </c>
      <c r="M3902" s="471">
        <f t="shared" si="161"/>
        <v>0.05</v>
      </c>
      <c r="N3902" s="475">
        <f t="shared" si="162"/>
        <v>169809</v>
      </c>
    </row>
    <row r="3903" spans="7:14" ht="11.25" customHeight="1" x14ac:dyDescent="0.3">
      <c r="G3903" s="470"/>
      <c r="H3903" s="470">
        <v>3896</v>
      </c>
      <c r="I3903" s="455">
        <f t="shared" ca="1" si="160"/>
        <v>-4634159572958.8838</v>
      </c>
      <c r="J3903" s="455">
        <f t="array" ref="J3903">IFERROR(INDEX('Retirement Calculator'!K:K,MATCH('Lorri 401b'!N3903,'Retirement Calculator'!A:A,0),0),0)</f>
        <v>0</v>
      </c>
      <c r="K3903" s="455">
        <f t="shared" ca="1" si="158"/>
        <v>-19308998220.662014</v>
      </c>
      <c r="L3903" s="455">
        <f t="shared" ca="1" si="159"/>
        <v>-4653468571179.5459</v>
      </c>
      <c r="M3903" s="471">
        <f t="shared" si="161"/>
        <v>0.05</v>
      </c>
      <c r="N3903" s="475">
        <f t="shared" si="162"/>
        <v>169840</v>
      </c>
    </row>
    <row r="3904" spans="7:14" ht="11.25" customHeight="1" x14ac:dyDescent="0.3">
      <c r="G3904" s="470"/>
      <c r="H3904" s="470">
        <v>3897</v>
      </c>
      <c r="I3904" s="455">
        <f t="shared" ca="1" si="160"/>
        <v>-4653468571179.5459</v>
      </c>
      <c r="J3904" s="455">
        <f t="array" ref="J3904">IFERROR(INDEX('Retirement Calculator'!K:K,MATCH('Lorri 401b'!N3904,'Retirement Calculator'!A:A,0),0),0)</f>
        <v>0</v>
      </c>
      <c r="K3904" s="455">
        <f t="shared" ca="1" si="158"/>
        <v>-19389452379.914776</v>
      </c>
      <c r="L3904" s="455">
        <f t="shared" ca="1" si="159"/>
        <v>-4672858023559.4609</v>
      </c>
      <c r="M3904" s="471">
        <f t="shared" si="161"/>
        <v>0.05</v>
      </c>
      <c r="N3904" s="475">
        <f t="shared" si="162"/>
        <v>169871</v>
      </c>
    </row>
    <row r="3905" spans="7:14" ht="11.25" customHeight="1" x14ac:dyDescent="0.3">
      <c r="G3905" s="470"/>
      <c r="H3905" s="470">
        <v>3898</v>
      </c>
      <c r="I3905" s="455">
        <f t="shared" ca="1" si="160"/>
        <v>-4672858023559.4609</v>
      </c>
      <c r="J3905" s="455">
        <f t="array" ref="J3905">IFERROR(INDEX('Retirement Calculator'!K:K,MATCH('Lorri 401b'!N3905,'Retirement Calculator'!A:A,0),0),0)</f>
        <v>0</v>
      </c>
      <c r="K3905" s="455">
        <f t="shared" ca="1" si="158"/>
        <v>-19470241764.831085</v>
      </c>
      <c r="L3905" s="455">
        <f t="shared" ca="1" si="159"/>
        <v>-4692328265324.292</v>
      </c>
      <c r="M3905" s="471">
        <f t="shared" si="161"/>
        <v>0.05</v>
      </c>
      <c r="N3905" s="475">
        <f t="shared" si="162"/>
        <v>169899</v>
      </c>
    </row>
    <row r="3906" spans="7:14" ht="11.25" customHeight="1" x14ac:dyDescent="0.3">
      <c r="G3906" s="470"/>
      <c r="H3906" s="470">
        <v>3899</v>
      </c>
      <c r="I3906" s="455">
        <f t="shared" ca="1" si="160"/>
        <v>-4692328265324.292</v>
      </c>
      <c r="J3906" s="455">
        <f t="array" ref="J3906">IFERROR(INDEX('Retirement Calculator'!K:K,MATCH('Lorri 401b'!N3906,'Retirement Calculator'!A:A,0),0),0)</f>
        <v>0</v>
      </c>
      <c r="K3906" s="455">
        <f t="shared" ca="1" si="158"/>
        <v>-19551367772.184551</v>
      </c>
      <c r="L3906" s="455">
        <f t="shared" ca="1" si="159"/>
        <v>-4711879633096.4766</v>
      </c>
      <c r="M3906" s="471">
        <f t="shared" si="161"/>
        <v>0.05</v>
      </c>
      <c r="N3906" s="475">
        <f t="shared" si="162"/>
        <v>169930</v>
      </c>
    </row>
    <row r="3907" spans="7:14" ht="11.25" customHeight="1" x14ac:dyDescent="0.3">
      <c r="G3907" s="470"/>
      <c r="H3907" s="470">
        <v>3900</v>
      </c>
      <c r="I3907" s="455">
        <f t="shared" ca="1" si="160"/>
        <v>-4711879633096.4766</v>
      </c>
      <c r="J3907" s="455">
        <f t="array" ref="J3907">IFERROR(INDEX('Retirement Calculator'!K:K,MATCH('Lorri 401b'!N3907,'Retirement Calculator'!A:A,0),0),0)</f>
        <v>0</v>
      </c>
      <c r="K3907" s="455">
        <f t="shared" ca="1" si="158"/>
        <v>-19632831804.568653</v>
      </c>
      <c r="L3907" s="455">
        <f t="shared" ca="1" si="159"/>
        <v>-4731512464901.0449</v>
      </c>
      <c r="M3907" s="471">
        <f t="shared" si="161"/>
        <v>0.05</v>
      </c>
      <c r="N3907" s="475">
        <f t="shared" si="162"/>
        <v>169960</v>
      </c>
    </row>
    <row r="3908" spans="7:14" ht="11.25" customHeight="1" x14ac:dyDescent="0.3">
      <c r="G3908" s="470"/>
      <c r="H3908" s="470">
        <v>3901</v>
      </c>
      <c r="I3908" s="455">
        <f t="shared" ca="1" si="160"/>
        <v>-4731512464901.0449</v>
      </c>
      <c r="J3908" s="455">
        <f t="array" ref="J3908">IFERROR(INDEX('Retirement Calculator'!K:K,MATCH('Lorri 401b'!N3908,'Retirement Calculator'!A:A,0),0),0)</f>
        <v>0</v>
      </c>
      <c r="K3908" s="455">
        <f t="shared" ca="1" si="158"/>
        <v>-19714635270.421021</v>
      </c>
      <c r="L3908" s="455">
        <f t="shared" ca="1" si="159"/>
        <v>-4751227100171.4658</v>
      </c>
      <c r="M3908" s="471">
        <f t="shared" si="161"/>
        <v>0.05</v>
      </c>
      <c r="N3908" s="475">
        <f t="shared" si="162"/>
        <v>169991</v>
      </c>
    </row>
    <row r="3909" spans="7:14" ht="11.25" customHeight="1" x14ac:dyDescent="0.3">
      <c r="G3909" s="470"/>
      <c r="H3909" s="470">
        <v>3902</v>
      </c>
      <c r="I3909" s="455">
        <f t="shared" ca="1" si="160"/>
        <v>-4751227100171.4658</v>
      </c>
      <c r="J3909" s="455">
        <f t="array" ref="J3909">IFERROR(INDEX('Retirement Calculator'!K:K,MATCH('Lorri 401b'!N3909,'Retirement Calculator'!A:A,0),0),0)</f>
        <v>0</v>
      </c>
      <c r="K3909" s="455">
        <f t="shared" ca="1" si="158"/>
        <v>-19796779584.047775</v>
      </c>
      <c r="L3909" s="455">
        <f t="shared" ca="1" si="159"/>
        <v>-4771023879755.5137</v>
      </c>
      <c r="M3909" s="471">
        <f t="shared" si="161"/>
        <v>0.05</v>
      </c>
      <c r="N3909" s="475">
        <f t="shared" si="162"/>
        <v>170021</v>
      </c>
    </row>
    <row r="3910" spans="7:14" ht="11.25" customHeight="1" x14ac:dyDescent="0.3">
      <c r="G3910" s="470"/>
      <c r="H3910" s="470">
        <v>3903</v>
      </c>
      <c r="I3910" s="455">
        <f t="shared" ca="1" si="160"/>
        <v>-4771023879755.5137</v>
      </c>
      <c r="J3910" s="455">
        <f t="array" ref="J3910">IFERROR(INDEX('Retirement Calculator'!K:K,MATCH('Lorri 401b'!N3910,'Retirement Calculator'!A:A,0),0),0)</f>
        <v>0</v>
      </c>
      <c r="K3910" s="455">
        <f t="shared" ca="1" si="158"/>
        <v>-19879266165.647972</v>
      </c>
      <c r="L3910" s="455">
        <f t="shared" ca="1" si="159"/>
        <v>-4790903145921.1621</v>
      </c>
      <c r="M3910" s="471">
        <f t="shared" si="161"/>
        <v>0.05</v>
      </c>
      <c r="N3910" s="475">
        <f t="shared" si="162"/>
        <v>170052</v>
      </c>
    </row>
    <row r="3911" spans="7:14" ht="11.25" customHeight="1" x14ac:dyDescent="0.3">
      <c r="G3911" s="470"/>
      <c r="H3911" s="470">
        <v>3904</v>
      </c>
      <c r="I3911" s="455">
        <f t="shared" ca="1" si="160"/>
        <v>-4790903145921.1621</v>
      </c>
      <c r="J3911" s="455">
        <f t="array" ref="J3911">IFERROR(INDEX('Retirement Calculator'!K:K,MATCH('Lorri 401b'!N3911,'Retirement Calculator'!A:A,0),0),0)</f>
        <v>0</v>
      </c>
      <c r="K3911" s="455">
        <f t="shared" ca="1" si="158"/>
        <v>-19962096441.338177</v>
      </c>
      <c r="L3911" s="455">
        <f t="shared" ca="1" si="159"/>
        <v>-4810865242362.5</v>
      </c>
      <c r="M3911" s="471">
        <f t="shared" si="161"/>
        <v>0.05</v>
      </c>
      <c r="N3911" s="475">
        <f t="shared" si="162"/>
        <v>170083</v>
      </c>
    </row>
    <row r="3912" spans="7:14" ht="11.25" customHeight="1" x14ac:dyDescent="0.3">
      <c r="G3912" s="470"/>
      <c r="H3912" s="470">
        <v>3905</v>
      </c>
      <c r="I3912" s="455">
        <f t="shared" ca="1" si="160"/>
        <v>-4810865242362.5</v>
      </c>
      <c r="J3912" s="455">
        <f t="array" ref="J3912">IFERROR(INDEX('Retirement Calculator'!K:K,MATCH('Lorri 401b'!N3912,'Retirement Calculator'!A:A,0),0),0)</f>
        <v>0</v>
      </c>
      <c r="K3912" s="455">
        <f t="shared" ca="1" si="158"/>
        <v>-20045271843.177082</v>
      </c>
      <c r="L3912" s="455">
        <f t="shared" ca="1" si="159"/>
        <v>-4830910514205.6768</v>
      </c>
      <c r="M3912" s="471">
        <f t="shared" si="161"/>
        <v>0.05</v>
      </c>
      <c r="N3912" s="475">
        <f t="shared" si="162"/>
        <v>170113</v>
      </c>
    </row>
    <row r="3913" spans="7:14" ht="11.25" customHeight="1" x14ac:dyDescent="0.3">
      <c r="G3913" s="470"/>
      <c r="H3913" s="470">
        <v>3906</v>
      </c>
      <c r="I3913" s="455">
        <f t="shared" ca="1" si="160"/>
        <v>-4830910514205.6768</v>
      </c>
      <c r="J3913" s="455">
        <f t="array" ref="J3913">IFERROR(INDEX('Retirement Calculator'!K:K,MATCH('Lorri 401b'!N3913,'Retirement Calculator'!A:A,0),0),0)</f>
        <v>0</v>
      </c>
      <c r="K3913" s="455">
        <f t="shared" ca="1" si="158"/>
        <v>-20128793809.190319</v>
      </c>
      <c r="L3913" s="455">
        <f t="shared" ca="1" si="159"/>
        <v>-4851039308014.8672</v>
      </c>
      <c r="M3913" s="471">
        <f t="shared" si="161"/>
        <v>0.05</v>
      </c>
      <c r="N3913" s="475">
        <f t="shared" si="162"/>
        <v>170144</v>
      </c>
    </row>
    <row r="3914" spans="7:14" ht="11.25" customHeight="1" x14ac:dyDescent="0.3">
      <c r="G3914" s="470"/>
      <c r="H3914" s="470">
        <v>3907</v>
      </c>
      <c r="I3914" s="455">
        <f t="shared" ca="1" si="160"/>
        <v>-4851039308014.8672</v>
      </c>
      <c r="J3914" s="455">
        <f t="array" ref="J3914">IFERROR(INDEX('Retirement Calculator'!K:K,MATCH('Lorri 401b'!N3914,'Retirement Calculator'!A:A,0),0),0)</f>
        <v>0</v>
      </c>
      <c r="K3914" s="455">
        <f t="shared" ca="1" si="158"/>
        <v>-20212663783.395279</v>
      </c>
      <c r="L3914" s="455">
        <f t="shared" ca="1" si="159"/>
        <v>-4871251971798.2627</v>
      </c>
      <c r="M3914" s="471">
        <f t="shared" si="161"/>
        <v>0.05</v>
      </c>
      <c r="N3914" s="475">
        <f t="shared" si="162"/>
        <v>170174</v>
      </c>
    </row>
    <row r="3915" spans="7:14" ht="11.25" customHeight="1" x14ac:dyDescent="0.3">
      <c r="G3915" s="470"/>
      <c r="H3915" s="470">
        <v>3908</v>
      </c>
      <c r="I3915" s="455">
        <f t="shared" ca="1" si="160"/>
        <v>-4871251971798.2627</v>
      </c>
      <c r="J3915" s="455">
        <f t="array" ref="J3915">IFERROR(INDEX('Retirement Calculator'!K:K,MATCH('Lorri 401b'!N3915,'Retirement Calculator'!A:A,0),0),0)</f>
        <v>0</v>
      </c>
      <c r="K3915" s="455">
        <f t="shared" ca="1" si="158"/>
        <v>-20296883215.826096</v>
      </c>
      <c r="L3915" s="455">
        <f t="shared" ca="1" si="159"/>
        <v>-4891548855014.0889</v>
      </c>
      <c r="M3915" s="471">
        <f t="shared" si="161"/>
        <v>0.05</v>
      </c>
      <c r="N3915" s="475">
        <f t="shared" si="162"/>
        <v>170205</v>
      </c>
    </row>
    <row r="3916" spans="7:14" ht="11.25" customHeight="1" x14ac:dyDescent="0.3">
      <c r="G3916" s="470"/>
      <c r="H3916" s="470">
        <v>3909</v>
      </c>
      <c r="I3916" s="455">
        <f t="shared" ca="1" si="160"/>
        <v>-4891548855014.0889</v>
      </c>
      <c r="J3916" s="455">
        <f t="array" ref="J3916">IFERROR(INDEX('Retirement Calculator'!K:K,MATCH('Lorri 401b'!N3916,'Retirement Calculator'!A:A,0),0),0)</f>
        <v>0</v>
      </c>
      <c r="K3916" s="455">
        <f t="shared" ca="1" si="158"/>
        <v>-20381453562.558704</v>
      </c>
      <c r="L3916" s="455">
        <f t="shared" ca="1" si="159"/>
        <v>-4911930308576.6475</v>
      </c>
      <c r="M3916" s="471">
        <f t="shared" si="161"/>
        <v>0.05</v>
      </c>
      <c r="N3916" s="475">
        <f t="shared" si="162"/>
        <v>170236</v>
      </c>
    </row>
    <row r="3917" spans="7:14" ht="11.25" customHeight="1" x14ac:dyDescent="0.3">
      <c r="G3917" s="470"/>
      <c r="H3917" s="470">
        <v>3910</v>
      </c>
      <c r="I3917" s="455">
        <f t="shared" ca="1" si="160"/>
        <v>-4911930308576.6475</v>
      </c>
      <c r="J3917" s="455">
        <f t="array" ref="J3917">IFERROR(INDEX('Retirement Calculator'!K:K,MATCH('Lorri 401b'!N3917,'Retirement Calculator'!A:A,0),0),0)</f>
        <v>0</v>
      </c>
      <c r="K3917" s="455">
        <f t="shared" ca="1" si="158"/>
        <v>-20466376285.736031</v>
      </c>
      <c r="L3917" s="455">
        <f t="shared" ca="1" si="159"/>
        <v>-4932396684862.3838</v>
      </c>
      <c r="M3917" s="471">
        <f t="shared" si="161"/>
        <v>0.05</v>
      </c>
      <c r="N3917" s="475">
        <f t="shared" si="162"/>
        <v>170264</v>
      </c>
    </row>
    <row r="3918" spans="7:14" ht="11.25" customHeight="1" x14ac:dyDescent="0.3">
      <c r="G3918" s="470"/>
      <c r="H3918" s="470">
        <v>3911</v>
      </c>
      <c r="I3918" s="455">
        <f t="shared" ca="1" si="160"/>
        <v>-4932396684862.3838</v>
      </c>
      <c r="J3918" s="455">
        <f t="array" ref="J3918">IFERROR(INDEX('Retirement Calculator'!K:K,MATCH('Lorri 401b'!N3918,'Retirement Calculator'!A:A,0),0),0)</f>
        <v>0</v>
      </c>
      <c r="K3918" s="455">
        <f t="shared" ca="1" si="158"/>
        <v>-20551652853.593266</v>
      </c>
      <c r="L3918" s="455">
        <f t="shared" ca="1" si="159"/>
        <v>-4952948337715.9775</v>
      </c>
      <c r="M3918" s="471">
        <f t="shared" si="161"/>
        <v>0.05</v>
      </c>
      <c r="N3918" s="475">
        <f t="shared" si="162"/>
        <v>170295</v>
      </c>
    </row>
    <row r="3919" spans="7:14" ht="11.25" customHeight="1" x14ac:dyDescent="0.3">
      <c r="G3919" s="470"/>
      <c r="H3919" s="470">
        <v>3912</v>
      </c>
      <c r="I3919" s="455">
        <f t="shared" ca="1" si="160"/>
        <v>-4952948337715.9775</v>
      </c>
      <c r="J3919" s="455">
        <f t="array" ref="J3919">IFERROR(INDEX('Retirement Calculator'!K:K,MATCH('Lorri 401b'!N3919,'Retirement Calculator'!A:A,0),0),0)</f>
        <v>0</v>
      </c>
      <c r="K3919" s="455">
        <f t="shared" ca="1" si="158"/>
        <v>-20637284740.483238</v>
      </c>
      <c r="L3919" s="455">
        <f t="shared" ca="1" si="159"/>
        <v>-4973585622456.4609</v>
      </c>
      <c r="M3919" s="471">
        <f t="shared" si="161"/>
        <v>0.05</v>
      </c>
      <c r="N3919" s="475">
        <f t="shared" si="162"/>
        <v>170325</v>
      </c>
    </row>
    <row r="3920" spans="7:14" ht="11.25" customHeight="1" x14ac:dyDescent="0.3">
      <c r="G3920" s="470"/>
      <c r="H3920" s="470">
        <v>3913</v>
      </c>
      <c r="I3920" s="455">
        <f t="shared" ca="1" si="160"/>
        <v>-4973585622456.4609</v>
      </c>
      <c r="J3920" s="455">
        <f t="array" ref="J3920">IFERROR(INDEX('Retirement Calculator'!K:K,MATCH('Lorri 401b'!N3920,'Retirement Calculator'!A:A,0),0),0)</f>
        <v>0</v>
      </c>
      <c r="K3920" s="455">
        <f t="shared" ca="1" si="158"/>
        <v>-20723273426.90192</v>
      </c>
      <c r="L3920" s="455">
        <f t="shared" ca="1" si="159"/>
        <v>-4994308895883.3633</v>
      </c>
      <c r="M3920" s="471">
        <f t="shared" si="161"/>
        <v>0.05</v>
      </c>
      <c r="N3920" s="475">
        <f t="shared" si="162"/>
        <v>170356</v>
      </c>
    </row>
    <row r="3921" spans="7:14" ht="11.25" customHeight="1" x14ac:dyDescent="0.3">
      <c r="G3921" s="470"/>
      <c r="H3921" s="470">
        <v>3914</v>
      </c>
      <c r="I3921" s="455">
        <f t="shared" ca="1" si="160"/>
        <v>-4994308895883.3633</v>
      </c>
      <c r="J3921" s="455">
        <f t="array" ref="J3921">IFERROR(INDEX('Retirement Calculator'!K:K,MATCH('Lorri 401b'!N3921,'Retirement Calculator'!A:A,0),0),0)</f>
        <v>0</v>
      </c>
      <c r="K3921" s="455">
        <f t="shared" ca="1" si="158"/>
        <v>-20809620399.514015</v>
      </c>
      <c r="L3921" s="455">
        <f t="shared" ca="1" si="159"/>
        <v>-5015118516282.877</v>
      </c>
      <c r="M3921" s="471">
        <f t="shared" si="161"/>
        <v>0.05</v>
      </c>
      <c r="N3921" s="475">
        <f t="shared" si="162"/>
        <v>170386</v>
      </c>
    </row>
    <row r="3922" spans="7:14" ht="11.25" customHeight="1" x14ac:dyDescent="0.3">
      <c r="G3922" s="470"/>
      <c r="H3922" s="470">
        <v>3915</v>
      </c>
      <c r="I3922" s="455">
        <f t="shared" ca="1" si="160"/>
        <v>-5015118516282.877</v>
      </c>
      <c r="J3922" s="455">
        <f t="array" ref="J3922">IFERROR(INDEX('Retirement Calculator'!K:K,MATCH('Lorri 401b'!N3922,'Retirement Calculator'!A:A,0),0),0)</f>
        <v>0</v>
      </c>
      <c r="K3922" s="455">
        <f t="shared" ca="1" si="158"/>
        <v>-20896327151.178654</v>
      </c>
      <c r="L3922" s="455">
        <f t="shared" ca="1" si="159"/>
        <v>-5036014843434.0557</v>
      </c>
      <c r="M3922" s="471">
        <f t="shared" si="161"/>
        <v>0.05</v>
      </c>
      <c r="N3922" s="475">
        <f t="shared" si="162"/>
        <v>170417</v>
      </c>
    </row>
    <row r="3923" spans="7:14" ht="11.25" customHeight="1" x14ac:dyDescent="0.3">
      <c r="G3923" s="470"/>
      <c r="H3923" s="470">
        <v>3916</v>
      </c>
      <c r="I3923" s="455">
        <f t="shared" ca="1" si="160"/>
        <v>-5036014843434.0557</v>
      </c>
      <c r="J3923" s="455">
        <f t="array" ref="J3923">IFERROR(INDEX('Retirement Calculator'!K:K,MATCH('Lorri 401b'!N3923,'Retirement Calculator'!A:A,0),0),0)</f>
        <v>0</v>
      </c>
      <c r="K3923" s="455">
        <f t="shared" ca="1" si="158"/>
        <v>-20983395180.975231</v>
      </c>
      <c r="L3923" s="455">
        <f t="shared" ca="1" si="159"/>
        <v>-5056998238615.0313</v>
      </c>
      <c r="M3923" s="471">
        <f t="shared" si="161"/>
        <v>0.05</v>
      </c>
      <c r="N3923" s="475">
        <f t="shared" si="162"/>
        <v>170448</v>
      </c>
    </row>
    <row r="3924" spans="7:14" ht="11.25" customHeight="1" x14ac:dyDescent="0.3">
      <c r="G3924" s="470"/>
      <c r="H3924" s="470">
        <v>3917</v>
      </c>
      <c r="I3924" s="455">
        <f t="shared" ca="1" si="160"/>
        <v>-5056998238615.0313</v>
      </c>
      <c r="J3924" s="455">
        <f t="array" ref="J3924">IFERROR(INDEX('Retirement Calculator'!K:K,MATCH('Lorri 401b'!N3924,'Retirement Calculator'!A:A,0),0),0)</f>
        <v>0</v>
      </c>
      <c r="K3924" s="455">
        <f t="shared" ca="1" si="158"/>
        <v>-21070825994.229298</v>
      </c>
      <c r="L3924" s="455">
        <f t="shared" ca="1" si="159"/>
        <v>-5078069064609.2607</v>
      </c>
      <c r="M3924" s="471">
        <f t="shared" si="161"/>
        <v>0.05</v>
      </c>
      <c r="N3924" s="475">
        <f t="shared" si="162"/>
        <v>170478</v>
      </c>
    </row>
    <row r="3925" spans="7:14" ht="11.25" customHeight="1" x14ac:dyDescent="0.3">
      <c r="G3925" s="470"/>
      <c r="H3925" s="470">
        <v>3918</v>
      </c>
      <c r="I3925" s="455">
        <f t="shared" ca="1" si="160"/>
        <v>-5078069064609.2607</v>
      </c>
      <c r="J3925" s="455">
        <f t="array" ref="J3925">IFERROR(INDEX('Retirement Calculator'!K:K,MATCH('Lorri 401b'!N3925,'Retirement Calculator'!A:A,0),0),0)</f>
        <v>0</v>
      </c>
      <c r="K3925" s="455">
        <f t="shared" ca="1" si="158"/>
        <v>-21158621102.538586</v>
      </c>
      <c r="L3925" s="455">
        <f t="shared" ca="1" si="159"/>
        <v>-5099227685711.7998</v>
      </c>
      <c r="M3925" s="471">
        <f t="shared" si="161"/>
        <v>0.05</v>
      </c>
      <c r="N3925" s="475">
        <f t="shared" si="162"/>
        <v>170509</v>
      </c>
    </row>
    <row r="3926" spans="7:14" ht="11.25" customHeight="1" x14ac:dyDescent="0.3">
      <c r="G3926" s="470"/>
      <c r="H3926" s="470">
        <v>3919</v>
      </c>
      <c r="I3926" s="455">
        <f t="shared" ca="1" si="160"/>
        <v>-5099227685711.7998</v>
      </c>
      <c r="J3926" s="455">
        <f t="array" ref="J3926">IFERROR(INDEX('Retirement Calculator'!K:K,MATCH('Lorri 401b'!N3926,'Retirement Calculator'!A:A,0),0),0)</f>
        <v>0</v>
      </c>
      <c r="K3926" s="455">
        <f t="shared" ca="1" si="158"/>
        <v>-21246782023.799164</v>
      </c>
      <c r="L3926" s="455">
        <f t="shared" ca="1" si="159"/>
        <v>-5120474467735.5986</v>
      </c>
      <c r="M3926" s="471">
        <f t="shared" si="161"/>
        <v>0.05</v>
      </c>
      <c r="N3926" s="475">
        <f t="shared" si="162"/>
        <v>170539</v>
      </c>
    </row>
    <row r="3927" spans="7:14" ht="11.25" customHeight="1" x14ac:dyDescent="0.3">
      <c r="G3927" s="470"/>
      <c r="H3927" s="470">
        <v>3920</v>
      </c>
      <c r="I3927" s="455">
        <f t="shared" ca="1" si="160"/>
        <v>-5120474467735.5986</v>
      </c>
      <c r="J3927" s="455">
        <f t="array" ref="J3927">IFERROR(INDEX('Retirement Calculator'!K:K,MATCH('Lorri 401b'!N3927,'Retirement Calculator'!A:A,0),0),0)</f>
        <v>0</v>
      </c>
      <c r="K3927" s="455">
        <f t="shared" ca="1" si="158"/>
        <v>-21335310282.231659</v>
      </c>
      <c r="L3927" s="455">
        <f t="shared" ca="1" si="159"/>
        <v>-5141809778017.8301</v>
      </c>
      <c r="M3927" s="471">
        <f t="shared" si="161"/>
        <v>0.05</v>
      </c>
      <c r="N3927" s="475">
        <f t="shared" si="162"/>
        <v>170570</v>
      </c>
    </row>
    <row r="3928" spans="7:14" ht="11.25" customHeight="1" x14ac:dyDescent="0.3">
      <c r="G3928" s="470"/>
      <c r="H3928" s="470">
        <v>3921</v>
      </c>
      <c r="I3928" s="455">
        <f t="shared" ca="1" si="160"/>
        <v>-5141809778017.8301</v>
      </c>
      <c r="J3928" s="455">
        <f t="array" ref="J3928">IFERROR(INDEX('Retirement Calculator'!K:K,MATCH('Lorri 401b'!N3928,'Retirement Calculator'!A:A,0),0),0)</f>
        <v>0</v>
      </c>
      <c r="K3928" s="455">
        <f t="shared" ca="1" si="158"/>
        <v>-21424207408.407623</v>
      </c>
      <c r="L3928" s="455">
        <f t="shared" ca="1" si="159"/>
        <v>-5163233985426.2373</v>
      </c>
      <c r="M3928" s="471">
        <f t="shared" si="161"/>
        <v>0.05</v>
      </c>
      <c r="N3928" s="475">
        <f t="shared" si="162"/>
        <v>170601</v>
      </c>
    </row>
    <row r="3929" spans="7:14" ht="11.25" customHeight="1" x14ac:dyDescent="0.3">
      <c r="G3929" s="470"/>
      <c r="H3929" s="470">
        <v>3922</v>
      </c>
      <c r="I3929" s="455">
        <f t="shared" ca="1" si="160"/>
        <v>-5163233985426.2373</v>
      </c>
      <c r="J3929" s="455">
        <f t="array" ref="J3929">IFERROR(INDEX('Retirement Calculator'!K:K,MATCH('Lorri 401b'!N3929,'Retirement Calculator'!A:A,0),0),0)</f>
        <v>0</v>
      </c>
      <c r="K3929" s="455">
        <f t="shared" ca="1" si="158"/>
        <v>-21513474939.27599</v>
      </c>
      <c r="L3929" s="455">
        <f t="shared" ca="1" si="159"/>
        <v>-5184747460365.5137</v>
      </c>
      <c r="M3929" s="471">
        <f t="shared" si="161"/>
        <v>0.05</v>
      </c>
      <c r="N3929" s="475">
        <f t="shared" si="162"/>
        <v>170629</v>
      </c>
    </row>
    <row r="3930" spans="7:14" ht="11.25" customHeight="1" x14ac:dyDescent="0.3">
      <c r="G3930" s="470"/>
      <c r="H3930" s="470">
        <v>3923</v>
      </c>
      <c r="I3930" s="455">
        <f t="shared" ca="1" si="160"/>
        <v>-5184747460365.5137</v>
      </c>
      <c r="J3930" s="455">
        <f t="array" ref="J3930">IFERROR(INDEX('Retirement Calculator'!K:K,MATCH('Lorri 401b'!N3930,'Retirement Calculator'!A:A,0),0),0)</f>
        <v>0</v>
      </c>
      <c r="K3930" s="455">
        <f t="shared" ca="1" si="158"/>
        <v>-21603114418.18964</v>
      </c>
      <c r="L3930" s="455">
        <f t="shared" ca="1" si="159"/>
        <v>-5206350574783.7031</v>
      </c>
      <c r="M3930" s="471">
        <f t="shared" si="161"/>
        <v>0.05</v>
      </c>
      <c r="N3930" s="475">
        <f t="shared" si="162"/>
        <v>170660</v>
      </c>
    </row>
    <row r="3931" spans="7:14" ht="11.25" customHeight="1" x14ac:dyDescent="0.3">
      <c r="G3931" s="470"/>
      <c r="H3931" s="470">
        <v>3924</v>
      </c>
      <c r="I3931" s="455">
        <f t="shared" ca="1" si="160"/>
        <v>-5206350574783.7031</v>
      </c>
      <c r="J3931" s="455">
        <f t="array" ref="J3931">IFERROR(INDEX('Retirement Calculator'!K:K,MATCH('Lorri 401b'!N3931,'Retirement Calculator'!A:A,0),0),0)</f>
        <v>0</v>
      </c>
      <c r="K3931" s="455">
        <f t="shared" ca="1" si="158"/>
        <v>-21693127394.932095</v>
      </c>
      <c r="L3931" s="455">
        <f t="shared" ca="1" si="159"/>
        <v>-5228043702178.6348</v>
      </c>
      <c r="M3931" s="471">
        <f t="shared" si="161"/>
        <v>0.05</v>
      </c>
      <c r="N3931" s="475">
        <f t="shared" si="162"/>
        <v>170690</v>
      </c>
    </row>
    <row r="3932" spans="7:14" ht="11.25" customHeight="1" x14ac:dyDescent="0.3">
      <c r="G3932" s="470"/>
      <c r="H3932" s="470">
        <v>3925</v>
      </c>
      <c r="I3932" s="455">
        <f t="shared" ca="1" si="160"/>
        <v>-5228043702178.6348</v>
      </c>
      <c r="J3932" s="455">
        <f t="array" ref="J3932">IFERROR(INDEX('Retirement Calculator'!K:K,MATCH('Lorri 401b'!N3932,'Retirement Calculator'!A:A,0),0),0)</f>
        <v>0</v>
      </c>
      <c r="K3932" s="455">
        <f t="shared" ca="1" si="158"/>
        <v>-21783515425.744312</v>
      </c>
      <c r="L3932" s="455">
        <f t="shared" ca="1" si="159"/>
        <v>-5249827217604.3789</v>
      </c>
      <c r="M3932" s="471">
        <f t="shared" si="161"/>
        <v>0.05</v>
      </c>
      <c r="N3932" s="475">
        <f t="shared" si="162"/>
        <v>170721</v>
      </c>
    </row>
    <row r="3933" spans="7:14" ht="11.25" customHeight="1" x14ac:dyDescent="0.3">
      <c r="G3933" s="470"/>
      <c r="H3933" s="470">
        <v>3926</v>
      </c>
      <c r="I3933" s="455">
        <f t="shared" ca="1" si="160"/>
        <v>-5249827217604.3789</v>
      </c>
      <c r="J3933" s="455">
        <f t="array" ref="J3933">IFERROR(INDEX('Retirement Calculator'!K:K,MATCH('Lorri 401b'!N3933,'Retirement Calculator'!A:A,0),0),0)</f>
        <v>0</v>
      </c>
      <c r="K3933" s="455">
        <f t="shared" ca="1" si="158"/>
        <v>-21874280073.351578</v>
      </c>
      <c r="L3933" s="455">
        <f t="shared" ca="1" si="159"/>
        <v>-5271701497677.7305</v>
      </c>
      <c r="M3933" s="471">
        <f t="shared" si="161"/>
        <v>0.05</v>
      </c>
      <c r="N3933" s="475">
        <f t="shared" si="162"/>
        <v>170751</v>
      </c>
    </row>
    <row r="3934" spans="7:14" ht="11.25" customHeight="1" x14ac:dyDescent="0.3">
      <c r="G3934" s="470"/>
      <c r="H3934" s="470">
        <v>3927</v>
      </c>
      <c r="I3934" s="455">
        <f t="shared" ca="1" si="160"/>
        <v>-5271701497677.7305</v>
      </c>
      <c r="J3934" s="455">
        <f t="array" ref="J3934">IFERROR(INDEX('Retirement Calculator'!K:K,MATCH('Lorri 401b'!N3934,'Retirement Calculator'!A:A,0),0),0)</f>
        <v>0</v>
      </c>
      <c r="K3934" s="455">
        <f t="shared" ca="1" si="158"/>
        <v>-21965422906.990543</v>
      </c>
      <c r="L3934" s="455">
        <f t="shared" ca="1" si="159"/>
        <v>-5293666920584.7207</v>
      </c>
      <c r="M3934" s="471">
        <f t="shared" si="161"/>
        <v>0.05</v>
      </c>
      <c r="N3934" s="475">
        <f t="shared" si="162"/>
        <v>170782</v>
      </c>
    </row>
    <row r="3935" spans="7:14" ht="11.25" customHeight="1" x14ac:dyDescent="0.3">
      <c r="G3935" s="470"/>
      <c r="H3935" s="470">
        <v>3928</v>
      </c>
      <c r="I3935" s="455">
        <f t="shared" ca="1" si="160"/>
        <v>-5293666920584.7207</v>
      </c>
      <c r="J3935" s="455">
        <f t="array" ref="J3935">IFERROR(INDEX('Retirement Calculator'!K:K,MATCH('Lorri 401b'!N3935,'Retirement Calculator'!A:A,0),0),0)</f>
        <v>0</v>
      </c>
      <c r="K3935" s="455">
        <f t="shared" ca="1" si="158"/>
        <v>-22056945502.436337</v>
      </c>
      <c r="L3935" s="455">
        <f t="shared" ca="1" si="159"/>
        <v>-5315723866087.1572</v>
      </c>
      <c r="M3935" s="471">
        <f t="shared" si="161"/>
        <v>0.05</v>
      </c>
      <c r="N3935" s="475">
        <f t="shared" si="162"/>
        <v>170813</v>
      </c>
    </row>
    <row r="3936" spans="7:14" ht="11.25" customHeight="1" x14ac:dyDescent="0.3">
      <c r="G3936" s="470"/>
      <c r="H3936" s="470">
        <v>3929</v>
      </c>
      <c r="I3936" s="455">
        <f t="shared" ca="1" si="160"/>
        <v>-5315723866087.1572</v>
      </c>
      <c r="J3936" s="455">
        <f t="array" ref="J3936">IFERROR(INDEX('Retirement Calculator'!K:K,MATCH('Lorri 401b'!N3936,'Retirement Calculator'!A:A,0),0),0)</f>
        <v>0</v>
      </c>
      <c r="K3936" s="455">
        <f t="shared" ca="1" si="158"/>
        <v>-22148849442.029823</v>
      </c>
      <c r="L3936" s="455">
        <f t="shared" ca="1" si="159"/>
        <v>-5337872715529.1875</v>
      </c>
      <c r="M3936" s="471">
        <f t="shared" si="161"/>
        <v>0.05</v>
      </c>
      <c r="N3936" s="475">
        <f t="shared" si="162"/>
        <v>170843</v>
      </c>
    </row>
    <row r="3937" spans="7:14" ht="11.25" customHeight="1" x14ac:dyDescent="0.3">
      <c r="G3937" s="470"/>
      <c r="H3937" s="470">
        <v>3930</v>
      </c>
      <c r="I3937" s="455">
        <f t="shared" ca="1" si="160"/>
        <v>-5337872715529.1875</v>
      </c>
      <c r="J3937" s="455">
        <f t="array" ref="J3937">IFERROR(INDEX('Retirement Calculator'!K:K,MATCH('Lorri 401b'!N3937,'Retirement Calculator'!A:A,0),0),0)</f>
        <v>0</v>
      </c>
      <c r="K3937" s="455">
        <f t="shared" ca="1" si="158"/>
        <v>-22241136314.704948</v>
      </c>
      <c r="L3937" s="455">
        <f t="shared" ca="1" si="159"/>
        <v>-5360113851843.8926</v>
      </c>
      <c r="M3937" s="471">
        <f t="shared" si="161"/>
        <v>0.05</v>
      </c>
      <c r="N3937" s="475">
        <f t="shared" si="162"/>
        <v>170874</v>
      </c>
    </row>
    <row r="3938" spans="7:14" ht="11.25" customHeight="1" x14ac:dyDescent="0.3">
      <c r="G3938" s="470"/>
      <c r="H3938" s="470">
        <v>3931</v>
      </c>
      <c r="I3938" s="455">
        <f t="shared" ca="1" si="160"/>
        <v>-5360113851843.8926</v>
      </c>
      <c r="J3938" s="455">
        <f t="array" ref="J3938">IFERROR(INDEX('Retirement Calculator'!K:K,MATCH('Lorri 401b'!N3938,'Retirement Calculator'!A:A,0),0),0)</f>
        <v>0</v>
      </c>
      <c r="K3938" s="455">
        <f t="shared" ca="1" si="158"/>
        <v>-22333807716.01622</v>
      </c>
      <c r="L3938" s="455">
        <f t="shared" ca="1" si="159"/>
        <v>-5382447659559.9092</v>
      </c>
      <c r="M3938" s="471">
        <f t="shared" si="161"/>
        <v>0.05</v>
      </c>
      <c r="N3938" s="475">
        <f t="shared" si="162"/>
        <v>170904</v>
      </c>
    </row>
    <row r="3939" spans="7:14" ht="11.25" customHeight="1" x14ac:dyDescent="0.3">
      <c r="G3939" s="470"/>
      <c r="H3939" s="470">
        <v>3932</v>
      </c>
      <c r="I3939" s="455">
        <f t="shared" ca="1" si="160"/>
        <v>-5382447659559.9092</v>
      </c>
      <c r="J3939" s="455">
        <f t="array" ref="J3939">IFERROR(INDEX('Retirement Calculator'!K:K,MATCH('Lorri 401b'!N3939,'Retirement Calculator'!A:A,0),0),0)</f>
        <v>0</v>
      </c>
      <c r="K3939" s="455">
        <f t="shared" ca="1" si="158"/>
        <v>-22426865248.166286</v>
      </c>
      <c r="L3939" s="455">
        <f t="shared" ca="1" si="159"/>
        <v>-5404874524808.0752</v>
      </c>
      <c r="M3939" s="471">
        <f t="shared" si="161"/>
        <v>0.05</v>
      </c>
      <c r="N3939" s="475">
        <f t="shared" si="162"/>
        <v>170935</v>
      </c>
    </row>
    <row r="3940" spans="7:14" ht="11.25" customHeight="1" x14ac:dyDescent="0.3">
      <c r="G3940" s="470"/>
      <c r="H3940" s="470">
        <v>3933</v>
      </c>
      <c r="I3940" s="455">
        <f t="shared" ca="1" si="160"/>
        <v>-5404874524808.0752</v>
      </c>
      <c r="J3940" s="455">
        <f t="array" ref="J3940">IFERROR(INDEX('Retirement Calculator'!K:K,MATCH('Lorri 401b'!N3940,'Retirement Calculator'!A:A,0),0),0)</f>
        <v>0</v>
      </c>
      <c r="K3940" s="455">
        <f t="shared" ca="1" si="158"/>
        <v>-22520310520.033646</v>
      </c>
      <c r="L3940" s="455">
        <f t="shared" ca="1" si="159"/>
        <v>-5427394835328.1084</v>
      </c>
      <c r="M3940" s="471">
        <f t="shared" si="161"/>
        <v>0.05</v>
      </c>
      <c r="N3940" s="475">
        <f t="shared" si="162"/>
        <v>170966</v>
      </c>
    </row>
    <row r="3941" spans="7:14" ht="11.25" customHeight="1" x14ac:dyDescent="0.3">
      <c r="G3941" s="470"/>
      <c r="H3941" s="470">
        <v>3934</v>
      </c>
      <c r="I3941" s="455">
        <f t="shared" ca="1" si="160"/>
        <v>-5427394835328.1084</v>
      </c>
      <c r="J3941" s="455">
        <f t="array" ref="J3941">IFERROR(INDEX('Retirement Calculator'!K:K,MATCH('Lorri 401b'!N3941,'Retirement Calculator'!A:A,0),0),0)</f>
        <v>0</v>
      </c>
      <c r="K3941" s="455">
        <f t="shared" ca="1" si="158"/>
        <v>-22614145147.200451</v>
      </c>
      <c r="L3941" s="455">
        <f t="shared" ca="1" si="159"/>
        <v>-5450008980475.3086</v>
      </c>
      <c r="M3941" s="471">
        <f t="shared" si="161"/>
        <v>0.05</v>
      </c>
      <c r="N3941" s="475">
        <f t="shared" si="162"/>
        <v>170995</v>
      </c>
    </row>
    <row r="3942" spans="7:14" ht="11.25" customHeight="1" x14ac:dyDescent="0.3">
      <c r="G3942" s="470"/>
      <c r="H3942" s="470">
        <v>3935</v>
      </c>
      <c r="I3942" s="455">
        <f t="shared" ca="1" si="160"/>
        <v>-5450008980475.3086</v>
      </c>
      <c r="J3942" s="455">
        <f t="array" ref="J3942">IFERROR(INDEX('Retirement Calculator'!K:K,MATCH('Lorri 401b'!N3942,'Retirement Calculator'!A:A,0),0),0)</f>
        <v>0</v>
      </c>
      <c r="K3942" s="455">
        <f t="shared" ca="1" si="158"/>
        <v>-22708370751.980453</v>
      </c>
      <c r="L3942" s="455">
        <f t="shared" ca="1" si="159"/>
        <v>-5472717351227.2891</v>
      </c>
      <c r="M3942" s="471">
        <f t="shared" si="161"/>
        <v>0.05</v>
      </c>
      <c r="N3942" s="475">
        <f t="shared" si="162"/>
        <v>171026</v>
      </c>
    </row>
    <row r="3943" spans="7:14" ht="11.25" customHeight="1" x14ac:dyDescent="0.3">
      <c r="G3943" s="470"/>
      <c r="H3943" s="470">
        <v>3936</v>
      </c>
      <c r="I3943" s="455">
        <f t="shared" ca="1" si="160"/>
        <v>-5472717351227.2891</v>
      </c>
      <c r="J3943" s="455">
        <f t="array" ref="J3943">IFERROR(INDEX('Retirement Calculator'!K:K,MATCH('Lorri 401b'!N3943,'Retirement Calculator'!A:A,0),0),0)</f>
        <v>0</v>
      </c>
      <c r="K3943" s="455">
        <f t="shared" ca="1" si="158"/>
        <v>-22802988963.447037</v>
      </c>
      <c r="L3943" s="455">
        <f t="shared" ca="1" si="159"/>
        <v>-5495520340190.7363</v>
      </c>
      <c r="M3943" s="471">
        <f t="shared" si="161"/>
        <v>0.05</v>
      </c>
      <c r="N3943" s="475">
        <f t="shared" si="162"/>
        <v>171056</v>
      </c>
    </row>
    <row r="3944" spans="7:14" ht="11.25" customHeight="1" x14ac:dyDescent="0.3">
      <c r="G3944" s="470"/>
      <c r="H3944" s="470">
        <v>3937</v>
      </c>
      <c r="I3944" s="455">
        <f t="shared" ca="1" si="160"/>
        <v>-5495520340190.7363</v>
      </c>
      <c r="J3944" s="455">
        <f t="array" ref="J3944">IFERROR(INDEX('Retirement Calculator'!K:K,MATCH('Lorri 401b'!N3944,'Retirement Calculator'!A:A,0),0),0)</f>
        <v>0</v>
      </c>
      <c r="K3944" s="455">
        <f t="shared" ca="1" si="158"/>
        <v>-22898001417.461403</v>
      </c>
      <c r="L3944" s="455">
        <f t="shared" ca="1" si="159"/>
        <v>-5518418341608.1973</v>
      </c>
      <c r="M3944" s="471">
        <f t="shared" si="161"/>
        <v>0.05</v>
      </c>
      <c r="N3944" s="475">
        <f t="shared" si="162"/>
        <v>171087</v>
      </c>
    </row>
    <row r="3945" spans="7:14" ht="11.25" customHeight="1" x14ac:dyDescent="0.3">
      <c r="G3945" s="470"/>
      <c r="H3945" s="470">
        <v>3938</v>
      </c>
      <c r="I3945" s="455">
        <f t="shared" ca="1" si="160"/>
        <v>-5518418341608.1973</v>
      </c>
      <c r="J3945" s="455">
        <f t="array" ref="J3945">IFERROR(INDEX('Retirement Calculator'!K:K,MATCH('Lorri 401b'!N3945,'Retirement Calculator'!A:A,0),0),0)</f>
        <v>0</v>
      </c>
      <c r="K3945" s="455">
        <f t="shared" ca="1" si="158"/>
        <v>-22993409756.700821</v>
      </c>
      <c r="L3945" s="455">
        <f t="shared" ca="1" si="159"/>
        <v>-5541411751364.8984</v>
      </c>
      <c r="M3945" s="471">
        <f t="shared" si="161"/>
        <v>0.05</v>
      </c>
      <c r="N3945" s="475">
        <f t="shared" si="162"/>
        <v>171117</v>
      </c>
    </row>
    <row r="3946" spans="7:14" ht="11.25" customHeight="1" x14ac:dyDescent="0.3">
      <c r="G3946" s="470"/>
      <c r="H3946" s="470">
        <v>3939</v>
      </c>
      <c r="I3946" s="455">
        <f t="shared" ca="1" si="160"/>
        <v>-5541411751364.8984</v>
      </c>
      <c r="J3946" s="455">
        <f t="array" ref="J3946">IFERROR(INDEX('Retirement Calculator'!K:K,MATCH('Lorri 401b'!N3946,'Retirement Calculator'!A:A,0),0),0)</f>
        <v>0</v>
      </c>
      <c r="K3946" s="455">
        <f t="shared" ca="1" si="158"/>
        <v>-23089215630.687077</v>
      </c>
      <c r="L3946" s="455">
        <f t="shared" ca="1" si="159"/>
        <v>-5564500966995.5859</v>
      </c>
      <c r="M3946" s="471">
        <f t="shared" si="161"/>
        <v>0.05</v>
      </c>
      <c r="N3946" s="475">
        <f t="shared" si="162"/>
        <v>171148</v>
      </c>
    </row>
    <row r="3947" spans="7:14" ht="11.25" customHeight="1" x14ac:dyDescent="0.3">
      <c r="G3947" s="470"/>
      <c r="H3947" s="470">
        <v>3940</v>
      </c>
      <c r="I3947" s="455">
        <f t="shared" ca="1" si="160"/>
        <v>-5564500966995.5859</v>
      </c>
      <c r="J3947" s="455">
        <f t="array" ref="J3947">IFERROR(INDEX('Retirement Calculator'!K:K,MATCH('Lorri 401b'!N3947,'Retirement Calculator'!A:A,0),0),0)</f>
        <v>0</v>
      </c>
      <c r="K3947" s="455">
        <f t="shared" ca="1" si="158"/>
        <v>-23185420695.814941</v>
      </c>
      <c r="L3947" s="455">
        <f t="shared" ca="1" si="159"/>
        <v>-5587686387691.4004</v>
      </c>
      <c r="M3947" s="471">
        <f t="shared" si="161"/>
        <v>0.05</v>
      </c>
      <c r="N3947" s="475">
        <f t="shared" si="162"/>
        <v>171179</v>
      </c>
    </row>
    <row r="3948" spans="7:14" ht="11.25" customHeight="1" x14ac:dyDescent="0.3">
      <c r="G3948" s="470"/>
      <c r="H3948" s="470">
        <v>3941</v>
      </c>
      <c r="I3948" s="455">
        <f t="shared" ca="1" si="160"/>
        <v>-5587686387691.4004</v>
      </c>
      <c r="J3948" s="455">
        <f t="array" ref="J3948">IFERROR(INDEX('Retirement Calculator'!K:K,MATCH('Lorri 401b'!N3948,'Retirement Calculator'!A:A,0),0),0)</f>
        <v>0</v>
      </c>
      <c r="K3948" s="455">
        <f t="shared" ca="1" si="158"/>
        <v>-23282026615.380836</v>
      </c>
      <c r="L3948" s="455">
        <f t="shared" ca="1" si="159"/>
        <v>-5610968414306.7813</v>
      </c>
      <c r="M3948" s="471">
        <f t="shared" si="161"/>
        <v>0.05</v>
      </c>
      <c r="N3948" s="475">
        <f t="shared" si="162"/>
        <v>171209</v>
      </c>
    </row>
    <row r="3949" spans="7:14" ht="11.25" customHeight="1" x14ac:dyDescent="0.3">
      <c r="G3949" s="470"/>
      <c r="H3949" s="470">
        <v>3942</v>
      </c>
      <c r="I3949" s="455">
        <f t="shared" ca="1" si="160"/>
        <v>-5610968414306.7813</v>
      </c>
      <c r="J3949" s="455">
        <f t="array" ref="J3949">IFERROR(INDEX('Retirement Calculator'!K:K,MATCH('Lorri 401b'!N3949,'Retirement Calculator'!A:A,0),0),0)</f>
        <v>0</v>
      </c>
      <c r="K3949" s="455">
        <f t="shared" ca="1" si="158"/>
        <v>-23379035059.611588</v>
      </c>
      <c r="L3949" s="455">
        <f t="shared" ca="1" si="159"/>
        <v>-5634347449366.3926</v>
      </c>
      <c r="M3949" s="471">
        <f t="shared" si="161"/>
        <v>0.05</v>
      </c>
      <c r="N3949" s="475">
        <f t="shared" si="162"/>
        <v>171240</v>
      </c>
    </row>
    <row r="3950" spans="7:14" ht="11.25" customHeight="1" x14ac:dyDescent="0.3">
      <c r="G3950" s="470"/>
      <c r="H3950" s="470">
        <v>3943</v>
      </c>
      <c r="I3950" s="455">
        <f t="shared" ca="1" si="160"/>
        <v>-5634347449366.3926</v>
      </c>
      <c r="J3950" s="455">
        <f t="array" ref="J3950">IFERROR(INDEX('Retirement Calculator'!K:K,MATCH('Lorri 401b'!N3950,'Retirement Calculator'!A:A,0),0),0)</f>
        <v>0</v>
      </c>
      <c r="K3950" s="455">
        <f t="shared" ca="1" si="158"/>
        <v>-23476447705.693302</v>
      </c>
      <c r="L3950" s="455">
        <f t="shared" ca="1" si="159"/>
        <v>-5657823897072.0859</v>
      </c>
      <c r="M3950" s="471">
        <f t="shared" si="161"/>
        <v>0.05</v>
      </c>
      <c r="N3950" s="475">
        <f t="shared" si="162"/>
        <v>171270</v>
      </c>
    </row>
    <row r="3951" spans="7:14" ht="11.25" customHeight="1" x14ac:dyDescent="0.3">
      <c r="G3951" s="470"/>
      <c r="H3951" s="470">
        <v>3944</v>
      </c>
      <c r="I3951" s="455">
        <f t="shared" ca="1" si="160"/>
        <v>-5657823897072.0859</v>
      </c>
      <c r="J3951" s="455">
        <f t="array" ref="J3951">IFERROR(INDEX('Retirement Calculator'!K:K,MATCH('Lorri 401b'!N3951,'Retirement Calculator'!A:A,0),0),0)</f>
        <v>0</v>
      </c>
      <c r="K3951" s="455">
        <f t="shared" ca="1" si="158"/>
        <v>-23574266237.800358</v>
      </c>
      <c r="L3951" s="455">
        <f t="shared" ca="1" si="159"/>
        <v>-5681398163309.8867</v>
      </c>
      <c r="M3951" s="471">
        <f t="shared" si="161"/>
        <v>0.05</v>
      </c>
      <c r="N3951" s="475">
        <f t="shared" si="162"/>
        <v>171301</v>
      </c>
    </row>
    <row r="3952" spans="7:14" ht="11.25" customHeight="1" x14ac:dyDescent="0.3">
      <c r="G3952" s="470"/>
      <c r="H3952" s="470">
        <v>3945</v>
      </c>
      <c r="I3952" s="455">
        <f t="shared" ca="1" si="160"/>
        <v>-5681398163309.8867</v>
      </c>
      <c r="J3952" s="455">
        <f t="array" ref="J3952">IFERROR(INDEX('Retirement Calculator'!K:K,MATCH('Lorri 401b'!N3952,'Retirement Calculator'!A:A,0),0),0)</f>
        <v>0</v>
      </c>
      <c r="K3952" s="455">
        <f t="shared" ca="1" si="158"/>
        <v>-23672492347.124527</v>
      </c>
      <c r="L3952" s="455">
        <f t="shared" ca="1" si="159"/>
        <v>-5705070655657.0117</v>
      </c>
      <c r="M3952" s="471">
        <f t="shared" si="161"/>
        <v>0.05</v>
      </c>
      <c r="N3952" s="475">
        <f t="shared" si="162"/>
        <v>171332</v>
      </c>
    </row>
    <row r="3953" spans="7:14" ht="11.25" customHeight="1" x14ac:dyDescent="0.3">
      <c r="G3953" s="470"/>
      <c r="H3953" s="470">
        <v>3946</v>
      </c>
      <c r="I3953" s="455">
        <f t="shared" ca="1" si="160"/>
        <v>-5705070655657.0117</v>
      </c>
      <c r="J3953" s="455">
        <f t="array" ref="J3953">IFERROR(INDEX('Retirement Calculator'!K:K,MATCH('Lorri 401b'!N3953,'Retirement Calculator'!A:A,0),0),0)</f>
        <v>0</v>
      </c>
      <c r="K3953" s="455">
        <f t="shared" ca="1" si="158"/>
        <v>-23771127731.904217</v>
      </c>
      <c r="L3953" s="455">
        <f t="shared" ca="1" si="159"/>
        <v>-5728841783388.916</v>
      </c>
      <c r="M3953" s="471">
        <f t="shared" si="161"/>
        <v>0.05</v>
      </c>
      <c r="N3953" s="475">
        <f t="shared" si="162"/>
        <v>171360</v>
      </c>
    </row>
    <row r="3954" spans="7:14" ht="11.25" customHeight="1" x14ac:dyDescent="0.3">
      <c r="G3954" s="470"/>
      <c r="H3954" s="470">
        <v>3947</v>
      </c>
      <c r="I3954" s="455">
        <f t="shared" ca="1" si="160"/>
        <v>-5728841783388.916</v>
      </c>
      <c r="J3954" s="455">
        <f t="array" ref="J3954">IFERROR(INDEX('Retirement Calculator'!K:K,MATCH('Lorri 401b'!N3954,'Retirement Calculator'!A:A,0),0),0)</f>
        <v>0</v>
      </c>
      <c r="K3954" s="455">
        <f t="shared" ca="1" si="158"/>
        <v>-23870174097.453815</v>
      </c>
      <c r="L3954" s="455">
        <f t="shared" ca="1" si="159"/>
        <v>-5752711957486.3701</v>
      </c>
      <c r="M3954" s="471">
        <f t="shared" si="161"/>
        <v>0.05</v>
      </c>
      <c r="N3954" s="475">
        <f t="shared" si="162"/>
        <v>171391</v>
      </c>
    </row>
    <row r="3955" spans="7:14" ht="11.25" customHeight="1" x14ac:dyDescent="0.3">
      <c r="G3955" s="470"/>
      <c r="H3955" s="470">
        <v>3948</v>
      </c>
      <c r="I3955" s="455">
        <f t="shared" ca="1" si="160"/>
        <v>-5752711957486.3701</v>
      </c>
      <c r="J3955" s="455">
        <f t="array" ref="J3955">IFERROR(INDEX('Retirement Calculator'!K:K,MATCH('Lorri 401b'!N3955,'Retirement Calculator'!A:A,0),0),0)</f>
        <v>0</v>
      </c>
      <c r="K3955" s="455">
        <f t="shared" ca="1" si="158"/>
        <v>-23969633156.193207</v>
      </c>
      <c r="L3955" s="455">
        <f t="shared" ca="1" si="159"/>
        <v>-5776681590642.5635</v>
      </c>
      <c r="M3955" s="471">
        <f t="shared" si="161"/>
        <v>0.05</v>
      </c>
      <c r="N3955" s="475">
        <f t="shared" si="162"/>
        <v>171421</v>
      </c>
    </row>
    <row r="3956" spans="7:14" ht="11.25" customHeight="1" x14ac:dyDescent="0.3">
      <c r="G3956" s="470"/>
      <c r="H3956" s="470">
        <v>3949</v>
      </c>
      <c r="I3956" s="455">
        <f t="shared" ca="1" si="160"/>
        <v>-5776681590642.5635</v>
      </c>
      <c r="J3956" s="455">
        <f t="array" ref="J3956">IFERROR(INDEX('Retirement Calculator'!K:K,MATCH('Lorri 401b'!N3956,'Retirement Calculator'!A:A,0),0),0)</f>
        <v>0</v>
      </c>
      <c r="K3956" s="455">
        <f t="shared" ca="1" si="158"/>
        <v>-24069506627.677349</v>
      </c>
      <c r="L3956" s="455">
        <f t="shared" ca="1" si="159"/>
        <v>-5800751097270.2412</v>
      </c>
      <c r="M3956" s="471">
        <f t="shared" si="161"/>
        <v>0.05</v>
      </c>
      <c r="N3956" s="475">
        <f t="shared" si="162"/>
        <v>171452</v>
      </c>
    </row>
    <row r="3957" spans="7:14" ht="11.25" customHeight="1" x14ac:dyDescent="0.3">
      <c r="G3957" s="470"/>
      <c r="H3957" s="470">
        <v>3950</v>
      </c>
      <c r="I3957" s="455">
        <f t="shared" ca="1" si="160"/>
        <v>-5800751097270.2412</v>
      </c>
      <c r="J3957" s="455">
        <f t="array" ref="J3957">IFERROR(INDEX('Retirement Calculator'!K:K,MATCH('Lorri 401b'!N3957,'Retirement Calculator'!A:A,0),0),0)</f>
        <v>0</v>
      </c>
      <c r="K3957" s="455">
        <f t="shared" ca="1" si="158"/>
        <v>-24169796238.626003</v>
      </c>
      <c r="L3957" s="455">
        <f t="shared" ca="1" si="159"/>
        <v>-5824920893508.8672</v>
      </c>
      <c r="M3957" s="471">
        <f t="shared" si="161"/>
        <v>0.05</v>
      </c>
      <c r="N3957" s="475">
        <f t="shared" si="162"/>
        <v>171482</v>
      </c>
    </row>
    <row r="3958" spans="7:14" ht="11.25" customHeight="1" x14ac:dyDescent="0.3">
      <c r="G3958" s="470"/>
      <c r="H3958" s="470">
        <v>3951</v>
      </c>
      <c r="I3958" s="455">
        <f t="shared" ca="1" si="160"/>
        <v>-5824920893508.8672</v>
      </c>
      <c r="J3958" s="455">
        <f t="array" ref="J3958">IFERROR(INDEX('Retirement Calculator'!K:K,MATCH('Lorri 401b'!N3958,'Retirement Calculator'!A:A,0),0),0)</f>
        <v>0</v>
      </c>
      <c r="K3958" s="455">
        <f t="shared" ca="1" si="158"/>
        <v>-24270503722.953613</v>
      </c>
      <c r="L3958" s="455">
        <f t="shared" ca="1" si="159"/>
        <v>-5849191397231.8203</v>
      </c>
      <c r="M3958" s="471">
        <f t="shared" si="161"/>
        <v>0.05</v>
      </c>
      <c r="N3958" s="475">
        <f t="shared" si="162"/>
        <v>171513</v>
      </c>
    </row>
    <row r="3959" spans="7:14" ht="11.25" customHeight="1" x14ac:dyDescent="0.3">
      <c r="G3959" s="470"/>
      <c r="H3959" s="470">
        <v>3952</v>
      </c>
      <c r="I3959" s="455">
        <f t="shared" ca="1" si="160"/>
        <v>-5849191397231.8203</v>
      </c>
      <c r="J3959" s="455">
        <f t="array" ref="J3959">IFERROR(INDEX('Retirement Calculator'!K:K,MATCH('Lorri 401b'!N3959,'Retirement Calculator'!A:A,0),0),0)</f>
        <v>0</v>
      </c>
      <c r="K3959" s="455">
        <f t="shared" ca="1" si="158"/>
        <v>-24371630821.799252</v>
      </c>
      <c r="L3959" s="455">
        <f t="shared" ca="1" si="159"/>
        <v>-5873563028053.6191</v>
      </c>
      <c r="M3959" s="471">
        <f t="shared" si="161"/>
        <v>0.05</v>
      </c>
      <c r="N3959" s="475">
        <f t="shared" si="162"/>
        <v>171544</v>
      </c>
    </row>
    <row r="3960" spans="7:14" ht="11.25" customHeight="1" x14ac:dyDescent="0.3">
      <c r="G3960" s="470"/>
      <c r="H3960" s="470">
        <v>3953</v>
      </c>
      <c r="I3960" s="455">
        <f t="shared" ca="1" si="160"/>
        <v>-5873563028053.6191</v>
      </c>
      <c r="J3960" s="455">
        <f t="array" ref="J3960">IFERROR(INDEX('Retirement Calculator'!K:K,MATCH('Lorri 401b'!N3960,'Retirement Calculator'!A:A,0),0),0)</f>
        <v>0</v>
      </c>
      <c r="K3960" s="455">
        <f t="shared" ca="1" si="158"/>
        <v>-24473179283.556747</v>
      </c>
      <c r="L3960" s="455">
        <f t="shared" ca="1" si="159"/>
        <v>-5898036207337.1758</v>
      </c>
      <c r="M3960" s="471">
        <f t="shared" si="161"/>
        <v>0.05</v>
      </c>
      <c r="N3960" s="475">
        <f t="shared" si="162"/>
        <v>171574</v>
      </c>
    </row>
    <row r="3961" spans="7:14" ht="11.25" customHeight="1" x14ac:dyDescent="0.3">
      <c r="G3961" s="470"/>
      <c r="H3961" s="470">
        <v>3954</v>
      </c>
      <c r="I3961" s="455">
        <f t="shared" ca="1" si="160"/>
        <v>-5898036207337.1758</v>
      </c>
      <c r="J3961" s="455">
        <f t="array" ref="J3961">IFERROR(INDEX('Retirement Calculator'!K:K,MATCH('Lorri 401b'!N3961,'Retirement Calculator'!A:A,0),0),0)</f>
        <v>0</v>
      </c>
      <c r="K3961" s="455">
        <f t="shared" ca="1" si="158"/>
        <v>-24575150863.9049</v>
      </c>
      <c r="L3961" s="455">
        <f t="shared" ca="1" si="159"/>
        <v>-5922611358201.0811</v>
      </c>
      <c r="M3961" s="471">
        <f t="shared" si="161"/>
        <v>0.05</v>
      </c>
      <c r="N3961" s="475">
        <f t="shared" si="162"/>
        <v>171605</v>
      </c>
    </row>
    <row r="3962" spans="7:14" ht="11.25" customHeight="1" x14ac:dyDescent="0.3">
      <c r="G3962" s="470"/>
      <c r="H3962" s="470">
        <v>3955</v>
      </c>
      <c r="I3962" s="455">
        <f t="shared" ca="1" si="160"/>
        <v>-5922611358201.0811</v>
      </c>
      <c r="J3962" s="455">
        <f t="array" ref="J3962">IFERROR(INDEX('Retirement Calculator'!K:K,MATCH('Lorri 401b'!N3962,'Retirement Calculator'!A:A,0),0),0)</f>
        <v>0</v>
      </c>
      <c r="K3962" s="455">
        <f t="shared" ca="1" si="158"/>
        <v>-24677547325.837837</v>
      </c>
      <c r="L3962" s="455">
        <f t="shared" ca="1" si="159"/>
        <v>-5947288905526.9189</v>
      </c>
      <c r="M3962" s="471">
        <f t="shared" si="161"/>
        <v>0.05</v>
      </c>
      <c r="N3962" s="475">
        <f t="shared" si="162"/>
        <v>171635</v>
      </c>
    </row>
    <row r="3963" spans="7:14" ht="11.25" customHeight="1" x14ac:dyDescent="0.3">
      <c r="G3963" s="470"/>
      <c r="H3963" s="470">
        <v>3956</v>
      </c>
      <c r="I3963" s="455">
        <f t="shared" ca="1" si="160"/>
        <v>-5947288905526.9189</v>
      </c>
      <c r="J3963" s="455">
        <f t="array" ref="J3963">IFERROR(INDEX('Retirement Calculator'!K:K,MATCH('Lorri 401b'!N3963,'Retirement Calculator'!A:A,0),0),0)</f>
        <v>0</v>
      </c>
      <c r="K3963" s="455">
        <f t="shared" ca="1" si="158"/>
        <v>-24780370439.695496</v>
      </c>
      <c r="L3963" s="455">
        <f t="shared" ca="1" si="159"/>
        <v>-5972069275966.6143</v>
      </c>
      <c r="M3963" s="471">
        <f t="shared" si="161"/>
        <v>0.05</v>
      </c>
      <c r="N3963" s="475">
        <f t="shared" si="162"/>
        <v>171666</v>
      </c>
    </row>
    <row r="3964" spans="7:14" ht="11.25" customHeight="1" x14ac:dyDescent="0.3">
      <c r="G3964" s="470"/>
      <c r="H3964" s="470">
        <v>3957</v>
      </c>
      <c r="I3964" s="455">
        <f t="shared" ca="1" si="160"/>
        <v>-5972069275966.6143</v>
      </c>
      <c r="J3964" s="455">
        <f t="array" ref="J3964">IFERROR(INDEX('Retirement Calculator'!K:K,MATCH('Lorri 401b'!N3964,'Retirement Calculator'!A:A,0),0),0)</f>
        <v>0</v>
      </c>
      <c r="K3964" s="455">
        <f t="shared" ca="1" si="158"/>
        <v>-24883621983.194225</v>
      </c>
      <c r="L3964" s="455">
        <f t="shared" ca="1" si="159"/>
        <v>-5996952897949.8086</v>
      </c>
      <c r="M3964" s="471">
        <f t="shared" si="161"/>
        <v>0.05</v>
      </c>
      <c r="N3964" s="475">
        <f t="shared" si="162"/>
        <v>171697</v>
      </c>
    </row>
    <row r="3965" spans="7:14" ht="11.25" customHeight="1" x14ac:dyDescent="0.3">
      <c r="G3965" s="470"/>
      <c r="H3965" s="470">
        <v>3958</v>
      </c>
      <c r="I3965" s="455">
        <f t="shared" ca="1" si="160"/>
        <v>-5996952897949.8086</v>
      </c>
      <c r="J3965" s="455">
        <f t="array" ref="J3965">IFERROR(INDEX('Retirement Calculator'!K:K,MATCH('Lorri 401b'!N3965,'Retirement Calculator'!A:A,0),0),0)</f>
        <v>0</v>
      </c>
      <c r="K3965" s="455">
        <f t="shared" ca="1" si="158"/>
        <v>-24987303741.457535</v>
      </c>
      <c r="L3965" s="455">
        <f t="shared" ca="1" si="159"/>
        <v>-6021940201691.2666</v>
      </c>
      <c r="M3965" s="471">
        <f t="shared" si="161"/>
        <v>0.05</v>
      </c>
      <c r="N3965" s="475">
        <f t="shared" si="162"/>
        <v>171725</v>
      </c>
    </row>
    <row r="3966" spans="7:14" ht="11.25" customHeight="1" x14ac:dyDescent="0.3">
      <c r="G3966" s="470"/>
      <c r="H3966" s="470">
        <v>3959</v>
      </c>
      <c r="I3966" s="455">
        <f t="shared" ca="1" si="160"/>
        <v>-6021940201691.2666</v>
      </c>
      <c r="J3966" s="455">
        <f t="array" ref="J3966">IFERROR(INDEX('Retirement Calculator'!K:K,MATCH('Lorri 401b'!N3966,'Retirement Calculator'!A:A,0),0),0)</f>
        <v>0</v>
      </c>
      <c r="K3966" s="455">
        <f t="shared" ca="1" si="158"/>
        <v>-25091417507.046944</v>
      </c>
      <c r="L3966" s="455">
        <f t="shared" ca="1" si="159"/>
        <v>-6047031619198.3135</v>
      </c>
      <c r="M3966" s="471">
        <f t="shared" si="161"/>
        <v>0.05</v>
      </c>
      <c r="N3966" s="475">
        <f t="shared" si="162"/>
        <v>171756</v>
      </c>
    </row>
    <row r="3967" spans="7:14" ht="11.25" customHeight="1" x14ac:dyDescent="0.3">
      <c r="G3967" s="470"/>
      <c r="H3967" s="470">
        <v>3960</v>
      </c>
      <c r="I3967" s="455">
        <f t="shared" ca="1" si="160"/>
        <v>-6047031619198.3135</v>
      </c>
      <c r="J3967" s="455">
        <f t="array" ref="J3967">IFERROR(INDEX('Retirement Calculator'!K:K,MATCH('Lorri 401b'!N3967,'Retirement Calculator'!A:A,0),0),0)</f>
        <v>0</v>
      </c>
      <c r="K3967" s="455">
        <f t="shared" ca="1" si="158"/>
        <v>-25195965079.992973</v>
      </c>
      <c r="L3967" s="455">
        <f t="shared" ca="1" si="159"/>
        <v>-6072227584278.3066</v>
      </c>
      <c r="M3967" s="471">
        <f t="shared" si="161"/>
        <v>0.05</v>
      </c>
      <c r="N3967" s="475">
        <f t="shared" si="162"/>
        <v>171786</v>
      </c>
    </row>
    <row r="3968" spans="7:14" ht="11.25" customHeight="1" x14ac:dyDescent="0.3">
      <c r="G3968" s="470"/>
      <c r="H3968" s="470">
        <v>3961</v>
      </c>
      <c r="I3968" s="455">
        <f t="shared" ca="1" si="160"/>
        <v>-6072227584278.3066</v>
      </c>
      <c r="J3968" s="455">
        <f t="array" ref="J3968">IFERROR(INDEX('Retirement Calculator'!K:K,MATCH('Lorri 401b'!N3968,'Retirement Calculator'!A:A,0),0),0)</f>
        <v>0</v>
      </c>
      <c r="K3968" s="455">
        <f t="shared" ca="1" si="158"/>
        <v>-25300948267.826279</v>
      </c>
      <c r="L3968" s="455">
        <f t="shared" ca="1" si="159"/>
        <v>-6097528532546.1328</v>
      </c>
      <c r="M3968" s="471">
        <f t="shared" si="161"/>
        <v>0.05</v>
      </c>
      <c r="N3968" s="475">
        <f t="shared" si="162"/>
        <v>171817</v>
      </c>
    </row>
    <row r="3969" spans="7:14" ht="11.25" customHeight="1" x14ac:dyDescent="0.3">
      <c r="G3969" s="470"/>
      <c r="H3969" s="470">
        <v>3962</v>
      </c>
      <c r="I3969" s="455">
        <f t="shared" ca="1" si="160"/>
        <v>-6097528532546.1328</v>
      </c>
      <c r="J3969" s="455">
        <f t="array" ref="J3969">IFERROR(INDEX('Retirement Calculator'!K:K,MATCH('Lorri 401b'!N3969,'Retirement Calculator'!A:A,0),0),0)</f>
        <v>0</v>
      </c>
      <c r="K3969" s="455">
        <f t="shared" ca="1" si="158"/>
        <v>-25406368885.608887</v>
      </c>
      <c r="L3969" s="455">
        <f t="shared" ca="1" si="159"/>
        <v>-6122934901431.7422</v>
      </c>
      <c r="M3969" s="471">
        <f t="shared" si="161"/>
        <v>0.05</v>
      </c>
      <c r="N3969" s="475">
        <f t="shared" si="162"/>
        <v>171847</v>
      </c>
    </row>
    <row r="3970" spans="7:14" ht="11.25" customHeight="1" x14ac:dyDescent="0.3">
      <c r="G3970" s="470"/>
      <c r="H3970" s="470">
        <v>3963</v>
      </c>
      <c r="I3970" s="455">
        <f t="shared" ca="1" si="160"/>
        <v>-6122934901431.7422</v>
      </c>
      <c r="J3970" s="455">
        <f t="array" ref="J3970">IFERROR(INDEX('Retirement Calculator'!K:K,MATCH('Lorri 401b'!N3970,'Retirement Calculator'!A:A,0),0),0)</f>
        <v>0</v>
      </c>
      <c r="K3970" s="455">
        <f t="shared" ca="1" si="158"/>
        <v>-25512228755.965591</v>
      </c>
      <c r="L3970" s="455">
        <f t="shared" ca="1" si="159"/>
        <v>-6148447130187.708</v>
      </c>
      <c r="M3970" s="471">
        <f t="shared" si="161"/>
        <v>0.05</v>
      </c>
      <c r="N3970" s="475">
        <f t="shared" si="162"/>
        <v>171878</v>
      </c>
    </row>
    <row r="3971" spans="7:14" ht="11.25" customHeight="1" x14ac:dyDescent="0.3">
      <c r="G3971" s="470"/>
      <c r="H3971" s="470">
        <v>3964</v>
      </c>
      <c r="I3971" s="455">
        <f t="shared" ca="1" si="160"/>
        <v>-6148447130187.708</v>
      </c>
      <c r="J3971" s="455">
        <f t="array" ref="J3971">IFERROR(INDEX('Retirement Calculator'!K:K,MATCH('Lorri 401b'!N3971,'Retirement Calculator'!A:A,0),0),0)</f>
        <v>0</v>
      </c>
      <c r="K3971" s="455">
        <f t="shared" ca="1" si="158"/>
        <v>-25618529709.115448</v>
      </c>
      <c r="L3971" s="455">
        <f t="shared" ca="1" si="159"/>
        <v>-6174065659896.8232</v>
      </c>
      <c r="M3971" s="471">
        <f t="shared" si="161"/>
        <v>0.05</v>
      </c>
      <c r="N3971" s="475">
        <f t="shared" si="162"/>
        <v>171909</v>
      </c>
    </row>
    <row r="3972" spans="7:14" ht="11.25" customHeight="1" x14ac:dyDescent="0.3">
      <c r="G3972" s="470"/>
      <c r="H3972" s="470">
        <v>3965</v>
      </c>
      <c r="I3972" s="455">
        <f t="shared" ca="1" si="160"/>
        <v>-6174065659896.8232</v>
      </c>
      <c r="J3972" s="455">
        <f t="array" ref="J3972">IFERROR(INDEX('Retirement Calculator'!K:K,MATCH('Lorri 401b'!N3972,'Retirement Calculator'!A:A,0),0),0)</f>
        <v>0</v>
      </c>
      <c r="K3972" s="455">
        <f t="shared" ca="1" si="158"/>
        <v>-25725273582.903431</v>
      </c>
      <c r="L3972" s="455">
        <f t="shared" ca="1" si="159"/>
        <v>-6199790933479.7266</v>
      </c>
      <c r="M3972" s="471">
        <f t="shared" si="161"/>
        <v>0.05</v>
      </c>
      <c r="N3972" s="475">
        <f t="shared" si="162"/>
        <v>171939</v>
      </c>
    </row>
    <row r="3973" spans="7:14" ht="11.25" customHeight="1" x14ac:dyDescent="0.3">
      <c r="G3973" s="470"/>
      <c r="H3973" s="470">
        <v>3966</v>
      </c>
      <c r="I3973" s="455">
        <f t="shared" ca="1" si="160"/>
        <v>-6199790933479.7266</v>
      </c>
      <c r="J3973" s="455">
        <f t="array" ref="J3973">IFERROR(INDEX('Retirement Calculator'!K:K,MATCH('Lorri 401b'!N3973,'Retirement Calculator'!A:A,0),0),0)</f>
        <v>0</v>
      </c>
      <c r="K3973" s="455">
        <f t="shared" ca="1" si="158"/>
        <v>-25832462222.832195</v>
      </c>
      <c r="L3973" s="455">
        <f t="shared" ca="1" si="159"/>
        <v>-6225623395702.5586</v>
      </c>
      <c r="M3973" s="471">
        <f t="shared" si="161"/>
        <v>0.05</v>
      </c>
      <c r="N3973" s="475">
        <f t="shared" si="162"/>
        <v>171970</v>
      </c>
    </row>
    <row r="3974" spans="7:14" ht="11.25" customHeight="1" x14ac:dyDescent="0.3">
      <c r="G3974" s="470"/>
      <c r="H3974" s="470">
        <v>3967</v>
      </c>
      <c r="I3974" s="455">
        <f t="shared" ca="1" si="160"/>
        <v>-6225623395702.5586</v>
      </c>
      <c r="J3974" s="455">
        <f t="array" ref="J3974">IFERROR(INDEX('Retirement Calculator'!K:K,MATCH('Lorri 401b'!N3974,'Retirement Calculator'!A:A,0),0),0)</f>
        <v>0</v>
      </c>
      <c r="K3974" s="455">
        <f t="shared" ca="1" si="158"/>
        <v>-25940097482.093994</v>
      </c>
      <c r="L3974" s="455">
        <f t="shared" ca="1" si="159"/>
        <v>-6251563493184.6523</v>
      </c>
      <c r="M3974" s="471">
        <f t="shared" si="161"/>
        <v>0.05</v>
      </c>
      <c r="N3974" s="475">
        <f t="shared" si="162"/>
        <v>172000</v>
      </c>
    </row>
    <row r="3975" spans="7:14" ht="11.25" customHeight="1" x14ac:dyDescent="0.3">
      <c r="G3975" s="470"/>
      <c r="H3975" s="470">
        <v>3968</v>
      </c>
      <c r="I3975" s="455">
        <f t="shared" ca="1" si="160"/>
        <v>-6251563493184.6523</v>
      </c>
      <c r="J3975" s="455">
        <f t="array" ref="J3975">IFERROR(INDEX('Retirement Calculator'!K:K,MATCH('Lorri 401b'!N3975,'Retirement Calculator'!A:A,0),0),0)</f>
        <v>0</v>
      </c>
      <c r="K3975" s="455">
        <f t="shared" ca="1" si="158"/>
        <v>-26048181221.602718</v>
      </c>
      <c r="L3975" s="455">
        <f t="shared" ca="1" si="159"/>
        <v>-6277611674406.2549</v>
      </c>
      <c r="M3975" s="471">
        <f t="shared" si="161"/>
        <v>0.05</v>
      </c>
      <c r="N3975" s="475">
        <f t="shared" si="162"/>
        <v>172031</v>
      </c>
    </row>
    <row r="3976" spans="7:14" ht="11.25" customHeight="1" x14ac:dyDescent="0.3">
      <c r="G3976" s="470"/>
      <c r="H3976" s="470">
        <v>3969</v>
      </c>
      <c r="I3976" s="455">
        <f t="shared" ca="1" si="160"/>
        <v>-6277611674406.2549</v>
      </c>
      <c r="J3976" s="455">
        <f t="array" ref="J3976">IFERROR(INDEX('Retirement Calculator'!K:K,MATCH('Lorri 401b'!N3976,'Retirement Calculator'!A:A,0),0),0)</f>
        <v>0</v>
      </c>
      <c r="K3976" s="455">
        <f t="shared" ca="1" si="158"/>
        <v>-26156715310.026062</v>
      </c>
      <c r="L3976" s="455">
        <f t="shared" ca="1" si="159"/>
        <v>-6303768389716.2813</v>
      </c>
      <c r="M3976" s="471">
        <f t="shared" si="161"/>
        <v>0.05</v>
      </c>
      <c r="N3976" s="475">
        <f t="shared" si="162"/>
        <v>172062</v>
      </c>
    </row>
    <row r="3977" spans="7:14" ht="11.25" customHeight="1" x14ac:dyDescent="0.3">
      <c r="G3977" s="470"/>
      <c r="H3977" s="470">
        <v>3970</v>
      </c>
      <c r="I3977" s="455">
        <f t="shared" ca="1" si="160"/>
        <v>-6303768389716.2813</v>
      </c>
      <c r="J3977" s="455">
        <f t="array" ref="J3977">IFERROR(INDEX('Retirement Calculator'!K:K,MATCH('Lorri 401b'!N3977,'Retirement Calculator'!A:A,0),0),0)</f>
        <v>0</v>
      </c>
      <c r="K3977" s="455">
        <f t="shared" ca="1" si="158"/>
        <v>-26265701623.817837</v>
      </c>
      <c r="L3977" s="455">
        <f t="shared" ca="1" si="159"/>
        <v>-6330034091340.0986</v>
      </c>
      <c r="M3977" s="471">
        <f t="shared" si="161"/>
        <v>0.05</v>
      </c>
      <c r="N3977" s="475">
        <f t="shared" si="162"/>
        <v>172090</v>
      </c>
    </row>
    <row r="3978" spans="7:14" ht="11.25" customHeight="1" x14ac:dyDescent="0.3">
      <c r="G3978" s="470"/>
      <c r="H3978" s="470">
        <v>3971</v>
      </c>
      <c r="I3978" s="455">
        <f t="shared" ca="1" si="160"/>
        <v>-6330034091340.0986</v>
      </c>
      <c r="J3978" s="455">
        <f t="array" ref="J3978">IFERROR(INDEX('Retirement Calculator'!K:K,MATCH('Lorri 401b'!N3978,'Retirement Calculator'!A:A,0),0),0)</f>
        <v>0</v>
      </c>
      <c r="K3978" s="455">
        <f t="shared" ca="1" si="158"/>
        <v>-26375142047.250412</v>
      </c>
      <c r="L3978" s="455">
        <f t="shared" ca="1" si="159"/>
        <v>-6356409233387.3486</v>
      </c>
      <c r="M3978" s="471">
        <f t="shared" si="161"/>
        <v>0.05</v>
      </c>
      <c r="N3978" s="475">
        <f t="shared" si="162"/>
        <v>172121</v>
      </c>
    </row>
    <row r="3979" spans="7:14" ht="11.25" customHeight="1" x14ac:dyDescent="0.3">
      <c r="G3979" s="470"/>
      <c r="H3979" s="470">
        <v>3972</v>
      </c>
      <c r="I3979" s="455">
        <f t="shared" ca="1" si="160"/>
        <v>-6356409233387.3486</v>
      </c>
      <c r="J3979" s="455">
        <f t="array" ref="J3979">IFERROR(INDEX('Retirement Calculator'!K:K,MATCH('Lorri 401b'!N3979,'Retirement Calculator'!A:A,0),0),0)</f>
        <v>0</v>
      </c>
      <c r="K3979" s="455">
        <f t="shared" ca="1" si="158"/>
        <v>-26485038472.447285</v>
      </c>
      <c r="L3979" s="455">
        <f t="shared" ca="1" si="159"/>
        <v>-6382894271859.7959</v>
      </c>
      <c r="M3979" s="471">
        <f t="shared" si="161"/>
        <v>0.05</v>
      </c>
      <c r="N3979" s="475">
        <f t="shared" si="162"/>
        <v>172151</v>
      </c>
    </row>
    <row r="3980" spans="7:14" ht="11.25" customHeight="1" x14ac:dyDescent="0.3">
      <c r="G3980" s="470"/>
      <c r="H3980" s="470">
        <v>3973</v>
      </c>
      <c r="I3980" s="455">
        <f t="shared" ca="1" si="160"/>
        <v>-6382894271859.7959</v>
      </c>
      <c r="J3980" s="455">
        <f t="array" ref="J3980">IFERROR(INDEX('Retirement Calculator'!K:K,MATCH('Lorri 401b'!N3980,'Retirement Calculator'!A:A,0),0),0)</f>
        <v>0</v>
      </c>
      <c r="K3980" s="455">
        <f t="shared" ca="1" si="158"/>
        <v>-26595392799.415817</v>
      </c>
      <c r="L3980" s="455">
        <f t="shared" ca="1" si="159"/>
        <v>-6409489664659.2119</v>
      </c>
      <c r="M3980" s="471">
        <f t="shared" si="161"/>
        <v>0.05</v>
      </c>
      <c r="N3980" s="475">
        <f t="shared" si="162"/>
        <v>172182</v>
      </c>
    </row>
    <row r="3981" spans="7:14" ht="11.25" customHeight="1" x14ac:dyDescent="0.3">
      <c r="G3981" s="470"/>
      <c r="H3981" s="470">
        <v>3974</v>
      </c>
      <c r="I3981" s="455">
        <f t="shared" ca="1" si="160"/>
        <v>-6409489664659.2119</v>
      </c>
      <c r="J3981" s="455">
        <f t="array" ref="J3981">IFERROR(INDEX('Retirement Calculator'!K:K,MATCH('Lorri 401b'!N3981,'Retirement Calculator'!A:A,0),0),0)</f>
        <v>0</v>
      </c>
      <c r="K3981" s="455">
        <f t="shared" ca="1" si="158"/>
        <v>-26706206936.080048</v>
      </c>
      <c r="L3981" s="455">
        <f t="shared" ca="1" si="159"/>
        <v>-6436195871595.292</v>
      </c>
      <c r="M3981" s="471">
        <f t="shared" si="161"/>
        <v>0.05</v>
      </c>
      <c r="N3981" s="475">
        <f t="shared" si="162"/>
        <v>172212</v>
      </c>
    </row>
    <row r="3982" spans="7:14" ht="11.25" customHeight="1" x14ac:dyDescent="0.3">
      <c r="G3982" s="470"/>
      <c r="H3982" s="470">
        <v>3975</v>
      </c>
      <c r="I3982" s="455">
        <f t="shared" ca="1" si="160"/>
        <v>-6436195871595.292</v>
      </c>
      <c r="J3982" s="455">
        <f t="array" ref="J3982">IFERROR(INDEX('Retirement Calculator'!K:K,MATCH('Lorri 401b'!N3982,'Retirement Calculator'!A:A,0),0),0)</f>
        <v>0</v>
      </c>
      <c r="K3982" s="455">
        <f t="shared" ca="1" si="158"/>
        <v>-26817482798.313717</v>
      </c>
      <c r="L3982" s="455">
        <f t="shared" ca="1" si="159"/>
        <v>-6463013354393.6055</v>
      </c>
      <c r="M3982" s="471">
        <f t="shared" si="161"/>
        <v>0.05</v>
      </c>
      <c r="N3982" s="475">
        <f t="shared" si="162"/>
        <v>172243</v>
      </c>
    </row>
    <row r="3983" spans="7:14" ht="11.25" customHeight="1" x14ac:dyDescent="0.3">
      <c r="G3983" s="470"/>
      <c r="H3983" s="470">
        <v>3976</v>
      </c>
      <c r="I3983" s="455">
        <f t="shared" ca="1" si="160"/>
        <v>-6463013354393.6055</v>
      </c>
      <c r="J3983" s="455">
        <f t="array" ref="J3983">IFERROR(INDEX('Retirement Calculator'!K:K,MATCH('Lorri 401b'!N3983,'Retirement Calculator'!A:A,0),0),0)</f>
        <v>0</v>
      </c>
      <c r="K3983" s="455">
        <f t="shared" ca="1" si="158"/>
        <v>-26929222309.973354</v>
      </c>
      <c r="L3983" s="455">
        <f t="shared" ca="1" si="159"/>
        <v>-6489942576703.5791</v>
      </c>
      <c r="M3983" s="471">
        <f t="shared" si="161"/>
        <v>0.05</v>
      </c>
      <c r="N3983" s="475">
        <f t="shared" si="162"/>
        <v>172274</v>
      </c>
    </row>
    <row r="3984" spans="7:14" ht="11.25" customHeight="1" x14ac:dyDescent="0.3">
      <c r="G3984" s="470"/>
      <c r="H3984" s="470">
        <v>3977</v>
      </c>
      <c r="I3984" s="455">
        <f t="shared" ca="1" si="160"/>
        <v>-6489942576703.5791</v>
      </c>
      <c r="J3984" s="455">
        <f t="array" ref="J3984">IFERROR(INDEX('Retirement Calculator'!K:K,MATCH('Lorri 401b'!N3984,'Retirement Calculator'!A:A,0),0),0)</f>
        <v>0</v>
      </c>
      <c r="K3984" s="455">
        <f t="shared" ca="1" si="158"/>
        <v>-27041427402.93158</v>
      </c>
      <c r="L3984" s="455">
        <f t="shared" ca="1" si="159"/>
        <v>-6516984004106.5107</v>
      </c>
      <c r="M3984" s="471">
        <f t="shared" si="161"/>
        <v>0.05</v>
      </c>
      <c r="N3984" s="475">
        <f t="shared" si="162"/>
        <v>172304</v>
      </c>
    </row>
    <row r="3985" spans="7:14" ht="11.25" customHeight="1" x14ac:dyDescent="0.3">
      <c r="G3985" s="470"/>
      <c r="H3985" s="470">
        <v>3978</v>
      </c>
      <c r="I3985" s="455">
        <f t="shared" ca="1" si="160"/>
        <v>-6516984004106.5107</v>
      </c>
      <c r="J3985" s="455">
        <f t="array" ref="J3985">IFERROR(INDEX('Retirement Calculator'!K:K,MATCH('Lorri 401b'!N3985,'Retirement Calculator'!A:A,0),0),0)</f>
        <v>0</v>
      </c>
      <c r="K3985" s="455">
        <f t="shared" ca="1" si="158"/>
        <v>-27154100017.110462</v>
      </c>
      <c r="L3985" s="455">
        <f t="shared" ca="1" si="159"/>
        <v>-6544138104123.6211</v>
      </c>
      <c r="M3985" s="471">
        <f t="shared" si="161"/>
        <v>0.05</v>
      </c>
      <c r="N3985" s="475">
        <f t="shared" si="162"/>
        <v>172335</v>
      </c>
    </row>
    <row r="3986" spans="7:14" ht="11.25" customHeight="1" x14ac:dyDescent="0.3">
      <c r="G3986" s="470"/>
      <c r="H3986" s="470">
        <v>3979</v>
      </c>
      <c r="I3986" s="455">
        <f t="shared" ca="1" si="160"/>
        <v>-6544138104123.6211</v>
      </c>
      <c r="J3986" s="455">
        <f t="array" ref="J3986">IFERROR(INDEX('Retirement Calculator'!K:K,MATCH('Lorri 401b'!N3986,'Retirement Calculator'!A:A,0),0),0)</f>
        <v>0</v>
      </c>
      <c r="K3986" s="455">
        <f t="shared" ca="1" si="158"/>
        <v>-27267242100.515087</v>
      </c>
      <c r="L3986" s="455">
        <f t="shared" ca="1" si="159"/>
        <v>-6571405346224.1357</v>
      </c>
      <c r="M3986" s="471">
        <f t="shared" si="161"/>
        <v>0.05</v>
      </c>
      <c r="N3986" s="475">
        <f t="shared" si="162"/>
        <v>172365</v>
      </c>
    </row>
    <row r="3987" spans="7:14" ht="11.25" customHeight="1" x14ac:dyDescent="0.3">
      <c r="G3987" s="470"/>
      <c r="H3987" s="470">
        <v>3980</v>
      </c>
      <c r="I3987" s="455">
        <f t="shared" ca="1" si="160"/>
        <v>-6571405346224.1357</v>
      </c>
      <c r="J3987" s="455">
        <f t="array" ref="J3987">IFERROR(INDEX('Retirement Calculator'!K:K,MATCH('Lorri 401b'!N3987,'Retirement Calculator'!A:A,0),0),0)</f>
        <v>0</v>
      </c>
      <c r="K3987" s="455">
        <f t="shared" ca="1" si="158"/>
        <v>-27380855609.267231</v>
      </c>
      <c r="L3987" s="455">
        <f t="shared" ca="1" si="159"/>
        <v>-6598786201833.4033</v>
      </c>
      <c r="M3987" s="471">
        <f t="shared" si="161"/>
        <v>0.05</v>
      </c>
      <c r="N3987" s="475">
        <f t="shared" si="162"/>
        <v>172396</v>
      </c>
    </row>
    <row r="3988" spans="7:14" ht="11.25" customHeight="1" x14ac:dyDescent="0.3">
      <c r="G3988" s="470"/>
      <c r="H3988" s="470">
        <v>3981</v>
      </c>
      <c r="I3988" s="455">
        <f t="shared" ca="1" si="160"/>
        <v>-6598786201833.4033</v>
      </c>
      <c r="J3988" s="455">
        <f t="array" ref="J3988">IFERROR(INDEX('Retirement Calculator'!K:K,MATCH('Lorri 401b'!N3988,'Retirement Calculator'!A:A,0),0),0)</f>
        <v>0</v>
      </c>
      <c r="K3988" s="455">
        <f t="shared" ca="1" si="158"/>
        <v>-27494942507.639179</v>
      </c>
      <c r="L3988" s="455">
        <f t="shared" ca="1" si="159"/>
        <v>-6626281144341.043</v>
      </c>
      <c r="M3988" s="471">
        <f t="shared" si="161"/>
        <v>0.05</v>
      </c>
      <c r="N3988" s="475">
        <f t="shared" si="162"/>
        <v>172427</v>
      </c>
    </row>
    <row r="3989" spans="7:14" ht="11.25" customHeight="1" x14ac:dyDescent="0.3">
      <c r="G3989" s="470"/>
      <c r="H3989" s="470">
        <v>3982</v>
      </c>
      <c r="I3989" s="455">
        <f t="shared" ca="1" si="160"/>
        <v>-6626281144341.043</v>
      </c>
      <c r="J3989" s="455">
        <f t="array" ref="J3989">IFERROR(INDEX('Retirement Calculator'!K:K,MATCH('Lorri 401b'!N3989,'Retirement Calculator'!A:A,0),0),0)</f>
        <v>0</v>
      </c>
      <c r="K3989" s="455">
        <f t="shared" ca="1" si="158"/>
        <v>-27609504768.087677</v>
      </c>
      <c r="L3989" s="455">
        <f t="shared" ca="1" si="159"/>
        <v>-6653890649109.1309</v>
      </c>
      <c r="M3989" s="471">
        <f t="shared" si="161"/>
        <v>0.05</v>
      </c>
      <c r="N3989" s="475">
        <f t="shared" si="162"/>
        <v>172456</v>
      </c>
    </row>
    <row r="3990" spans="7:14" ht="11.25" customHeight="1" x14ac:dyDescent="0.3">
      <c r="G3990" s="470"/>
      <c r="H3990" s="470">
        <v>3983</v>
      </c>
      <c r="I3990" s="455">
        <f t="shared" ca="1" si="160"/>
        <v>-6653890649109.1309</v>
      </c>
      <c r="J3990" s="455">
        <f t="array" ref="J3990">IFERROR(INDEX('Retirement Calculator'!K:K,MATCH('Lorri 401b'!N3990,'Retirement Calculator'!A:A,0),0),0)</f>
        <v>0</v>
      </c>
      <c r="K3990" s="455">
        <f t="shared" ca="1" si="158"/>
        <v>-27724544371.288044</v>
      </c>
      <c r="L3990" s="455">
        <f t="shared" ca="1" si="159"/>
        <v>-6681615193480.4189</v>
      </c>
      <c r="M3990" s="471">
        <f t="shared" si="161"/>
        <v>0.05</v>
      </c>
      <c r="N3990" s="475">
        <f t="shared" si="162"/>
        <v>172487</v>
      </c>
    </row>
    <row r="3991" spans="7:14" ht="11.25" customHeight="1" x14ac:dyDescent="0.3">
      <c r="G3991" s="470"/>
      <c r="H3991" s="470">
        <v>3984</v>
      </c>
      <c r="I3991" s="455">
        <f t="shared" ca="1" si="160"/>
        <v>-6681615193480.4189</v>
      </c>
      <c r="J3991" s="455">
        <f t="array" ref="J3991">IFERROR(INDEX('Retirement Calculator'!K:K,MATCH('Lorri 401b'!N3991,'Retirement Calculator'!A:A,0),0),0)</f>
        <v>0</v>
      </c>
      <c r="K3991" s="455">
        <f t="shared" ca="1" si="158"/>
        <v>-27840063306.168411</v>
      </c>
      <c r="L3991" s="455">
        <f t="shared" ca="1" si="159"/>
        <v>-6709455256786.5869</v>
      </c>
      <c r="M3991" s="471">
        <f t="shared" si="161"/>
        <v>0.05</v>
      </c>
      <c r="N3991" s="475">
        <f t="shared" si="162"/>
        <v>172517</v>
      </c>
    </row>
    <row r="3992" spans="7:14" ht="11.25" customHeight="1" x14ac:dyDescent="0.3">
      <c r="G3992" s="470"/>
      <c r="H3992" s="470">
        <v>3985</v>
      </c>
      <c r="I3992" s="455">
        <f t="shared" ca="1" si="160"/>
        <v>-6709455256786.5869</v>
      </c>
      <c r="J3992" s="455">
        <f t="array" ref="J3992">IFERROR(INDEX('Retirement Calculator'!K:K,MATCH('Lorri 401b'!N3992,'Retirement Calculator'!A:A,0),0),0)</f>
        <v>0</v>
      </c>
      <c r="K3992" s="455">
        <f t="shared" ca="1" si="158"/>
        <v>-27956063569.944111</v>
      </c>
      <c r="L3992" s="455">
        <f t="shared" ca="1" si="159"/>
        <v>-6737411320356.5313</v>
      </c>
      <c r="M3992" s="471">
        <f t="shared" si="161"/>
        <v>0.05</v>
      </c>
      <c r="N3992" s="475">
        <f t="shared" si="162"/>
        <v>172548</v>
      </c>
    </row>
    <row r="3993" spans="7:14" ht="11.25" customHeight="1" x14ac:dyDescent="0.3">
      <c r="G3993" s="470"/>
      <c r="H3993" s="470">
        <v>3986</v>
      </c>
      <c r="I3993" s="455">
        <f t="shared" ca="1" si="160"/>
        <v>-6737411320356.5313</v>
      </c>
      <c r="J3993" s="455">
        <f t="array" ref="J3993">IFERROR(INDEX('Retirement Calculator'!K:K,MATCH('Lorri 401b'!N3993,'Retirement Calculator'!A:A,0),0),0)</f>
        <v>0</v>
      </c>
      <c r="K3993" s="455">
        <f t="shared" ca="1" si="158"/>
        <v>-28072547168.152214</v>
      </c>
      <c r="L3993" s="455">
        <f t="shared" ca="1" si="159"/>
        <v>-6765483867524.6836</v>
      </c>
      <c r="M3993" s="471">
        <f t="shared" si="161"/>
        <v>0.05</v>
      </c>
      <c r="N3993" s="475">
        <f t="shared" si="162"/>
        <v>172578</v>
      </c>
    </row>
    <row r="3994" spans="7:14" ht="11.25" customHeight="1" x14ac:dyDescent="0.3">
      <c r="G3994" s="470"/>
      <c r="H3994" s="470">
        <v>3987</v>
      </c>
      <c r="I3994" s="455">
        <f t="shared" ca="1" si="160"/>
        <v>-6765483867524.6836</v>
      </c>
      <c r="J3994" s="455">
        <f t="array" ref="J3994">IFERROR(INDEX('Retirement Calculator'!K:K,MATCH('Lorri 401b'!N3994,'Retirement Calculator'!A:A,0),0),0)</f>
        <v>0</v>
      </c>
      <c r="K3994" s="455">
        <f t="shared" ca="1" si="158"/>
        <v>-28189516114.68618</v>
      </c>
      <c r="L3994" s="455">
        <f t="shared" ca="1" si="159"/>
        <v>-6793673383639.3701</v>
      </c>
      <c r="M3994" s="471">
        <f t="shared" si="161"/>
        <v>0.05</v>
      </c>
      <c r="N3994" s="475">
        <f t="shared" si="162"/>
        <v>172609</v>
      </c>
    </row>
    <row r="3995" spans="7:14" ht="11.25" customHeight="1" x14ac:dyDescent="0.3">
      <c r="G3995" s="470"/>
      <c r="H3995" s="470">
        <v>3988</v>
      </c>
      <c r="I3995" s="455">
        <f t="shared" ca="1" si="160"/>
        <v>-6793673383639.3701</v>
      </c>
      <c r="J3995" s="455">
        <f t="array" ref="J3995">IFERROR(INDEX('Retirement Calculator'!K:K,MATCH('Lorri 401b'!N3995,'Retirement Calculator'!A:A,0),0),0)</f>
        <v>0</v>
      </c>
      <c r="K3995" s="455">
        <f t="shared" ca="1" si="158"/>
        <v>-28306972431.830708</v>
      </c>
      <c r="L3995" s="455">
        <f t="shared" ca="1" si="159"/>
        <v>-6821980356071.2012</v>
      </c>
      <c r="M3995" s="471">
        <f t="shared" si="161"/>
        <v>0.05</v>
      </c>
      <c r="N3995" s="475">
        <f t="shared" si="162"/>
        <v>172640</v>
      </c>
    </row>
    <row r="3996" spans="7:14" ht="11.25" customHeight="1" x14ac:dyDescent="0.3">
      <c r="G3996" s="470"/>
      <c r="H3996" s="470">
        <v>3989</v>
      </c>
      <c r="I3996" s="455">
        <f t="shared" ca="1" si="160"/>
        <v>-6821980356071.2012</v>
      </c>
      <c r="J3996" s="455">
        <f t="array" ref="J3996">IFERROR(INDEX('Retirement Calculator'!K:K,MATCH('Lorri 401b'!N3996,'Retirement Calculator'!A:A,0),0),0)</f>
        <v>0</v>
      </c>
      <c r="K3996" s="455">
        <f t="shared" ca="1" si="158"/>
        <v>-28424918150.296673</v>
      </c>
      <c r="L3996" s="455">
        <f t="shared" ca="1" si="159"/>
        <v>-6850405274221.498</v>
      </c>
      <c r="M3996" s="471">
        <f t="shared" si="161"/>
        <v>0.05</v>
      </c>
      <c r="N3996" s="475">
        <f t="shared" si="162"/>
        <v>172670</v>
      </c>
    </row>
    <row r="3997" spans="7:14" ht="11.25" customHeight="1" x14ac:dyDescent="0.3">
      <c r="G3997" s="470"/>
      <c r="H3997" s="470">
        <v>3990</v>
      </c>
      <c r="I3997" s="455">
        <f t="shared" ca="1" si="160"/>
        <v>-6850405274221.498</v>
      </c>
      <c r="J3997" s="455">
        <f t="array" ref="J3997">IFERROR(INDEX('Retirement Calculator'!K:K,MATCH('Lorri 401b'!N3997,'Retirement Calculator'!A:A,0),0),0)</f>
        <v>0</v>
      </c>
      <c r="K3997" s="455">
        <f t="shared" ca="1" si="158"/>
        <v>-28543355309.256241</v>
      </c>
      <c r="L3997" s="455">
        <f t="shared" ca="1" si="159"/>
        <v>-6878948629530.7539</v>
      </c>
      <c r="M3997" s="471">
        <f t="shared" si="161"/>
        <v>0.05</v>
      </c>
      <c r="N3997" s="475">
        <f t="shared" si="162"/>
        <v>172701</v>
      </c>
    </row>
    <row r="3998" spans="7:14" ht="11.25" customHeight="1" x14ac:dyDescent="0.3">
      <c r="G3998" s="470"/>
      <c r="H3998" s="470">
        <v>3991</v>
      </c>
      <c r="I3998" s="455">
        <f t="shared" ca="1" si="160"/>
        <v>-6878948629530.7539</v>
      </c>
      <c r="J3998" s="455">
        <f t="array" ref="J3998">IFERROR(INDEX('Retirement Calculator'!K:K,MATCH('Lorri 401b'!N3998,'Retirement Calculator'!A:A,0),0),0)</f>
        <v>0</v>
      </c>
      <c r="K3998" s="455">
        <f t="shared" ca="1" si="158"/>
        <v>-28662285956.378139</v>
      </c>
      <c r="L3998" s="455">
        <f t="shared" ca="1" si="159"/>
        <v>-6907610915487.1318</v>
      </c>
      <c r="M3998" s="471">
        <f t="shared" si="161"/>
        <v>0.05</v>
      </c>
      <c r="N3998" s="475">
        <f t="shared" si="162"/>
        <v>172731</v>
      </c>
    </row>
    <row r="3999" spans="7:14" ht="11.25" customHeight="1" x14ac:dyDescent="0.3">
      <c r="G3999" s="470"/>
      <c r="H3999" s="470">
        <v>3992</v>
      </c>
      <c r="I3999" s="455">
        <f t="shared" ca="1" si="160"/>
        <v>-6907610915487.1318</v>
      </c>
      <c r="J3999" s="455">
        <f t="array" ref="J3999">IFERROR(INDEX('Retirement Calculator'!K:K,MATCH('Lorri 401b'!N3999,'Retirement Calculator'!A:A,0),0),0)</f>
        <v>0</v>
      </c>
      <c r="K3999" s="455">
        <f t="shared" ca="1" si="158"/>
        <v>-28781712147.863049</v>
      </c>
      <c r="L3999" s="455">
        <f t="shared" ca="1" si="159"/>
        <v>-6936392627634.9951</v>
      </c>
      <c r="M3999" s="471">
        <f t="shared" si="161"/>
        <v>0.05</v>
      </c>
      <c r="N3999" s="475">
        <f t="shared" si="162"/>
        <v>172762</v>
      </c>
    </row>
    <row r="4000" spans="7:14" ht="11.25" customHeight="1" x14ac:dyDescent="0.3">
      <c r="G4000" s="470"/>
      <c r="H4000" s="470">
        <v>3993</v>
      </c>
      <c r="I4000" s="455">
        <f t="shared" ca="1" si="160"/>
        <v>-6936392627634.9951</v>
      </c>
      <c r="J4000" s="455">
        <f t="array" ref="J4000">IFERROR(INDEX('Retirement Calculator'!K:K,MATCH('Lorri 401b'!N4000,'Retirement Calculator'!A:A,0),0),0)</f>
        <v>0</v>
      </c>
      <c r="K4000" s="455">
        <f t="shared" ca="1" si="158"/>
        <v>-28901635948.479141</v>
      </c>
      <c r="L4000" s="455">
        <f t="shared" ca="1" si="159"/>
        <v>-6965294263583.4746</v>
      </c>
      <c r="M4000" s="471">
        <f t="shared" si="161"/>
        <v>0.05</v>
      </c>
      <c r="N4000" s="475">
        <f t="shared" si="162"/>
        <v>172793</v>
      </c>
    </row>
    <row r="4001" spans="7:14" ht="11.25" customHeight="1" x14ac:dyDescent="0.3">
      <c r="G4001" s="470"/>
      <c r="H4001" s="470">
        <v>3994</v>
      </c>
      <c r="I4001" s="455">
        <f t="shared" ca="1" si="160"/>
        <v>-6965294263583.4746</v>
      </c>
      <c r="J4001" s="455">
        <f t="array" ref="J4001">IFERROR(INDEX('Retirement Calculator'!K:K,MATCH('Lorri 401b'!N4001,'Retirement Calculator'!A:A,0),0),0)</f>
        <v>0</v>
      </c>
      <c r="K4001" s="455">
        <f t="shared" ca="1" si="158"/>
        <v>-29022059431.597809</v>
      </c>
      <c r="L4001" s="455">
        <f t="shared" ca="1" si="159"/>
        <v>-6994316323015.0723</v>
      </c>
      <c r="M4001" s="471">
        <f t="shared" si="161"/>
        <v>0.05</v>
      </c>
      <c r="N4001" s="475">
        <f t="shared" si="162"/>
        <v>172821</v>
      </c>
    </row>
    <row r="4002" spans="7:14" ht="11.25" customHeight="1" x14ac:dyDescent="0.3">
      <c r="G4002" s="470"/>
      <c r="H4002" s="470">
        <v>3995</v>
      </c>
      <c r="I4002" s="455">
        <f t="shared" ca="1" si="160"/>
        <v>-6994316323015.0723</v>
      </c>
      <c r="J4002" s="455">
        <f t="array" ref="J4002">IFERROR(INDEX('Retirement Calculator'!K:K,MATCH('Lorri 401b'!N4002,'Retirement Calculator'!A:A,0),0),0)</f>
        <v>0</v>
      </c>
      <c r="K4002" s="455">
        <f t="shared" ca="1" si="158"/>
        <v>-29142984679.229465</v>
      </c>
      <c r="L4002" s="455">
        <f t="shared" ca="1" si="159"/>
        <v>-7023459307694.3018</v>
      </c>
      <c r="M4002" s="471">
        <f t="shared" si="161"/>
        <v>0.05</v>
      </c>
      <c r="N4002" s="475">
        <f t="shared" si="162"/>
        <v>172852</v>
      </c>
    </row>
    <row r="4003" spans="7:14" ht="11.25" customHeight="1" x14ac:dyDescent="0.3">
      <c r="G4003" s="470"/>
      <c r="H4003" s="470">
        <v>3996</v>
      </c>
      <c r="I4003" s="455">
        <f t="shared" ca="1" si="160"/>
        <v>-7023459307694.3018</v>
      </c>
      <c r="J4003" s="455">
        <f t="array" ref="J4003">IFERROR(INDEX('Retirement Calculator'!K:K,MATCH('Lorri 401b'!N4003,'Retirement Calculator'!A:A,0),0),0)</f>
        <v>0</v>
      </c>
      <c r="K4003" s="455">
        <f t="shared" ca="1" si="158"/>
        <v>-29264413782.059593</v>
      </c>
      <c r="L4003" s="455">
        <f t="shared" ca="1" si="159"/>
        <v>-7052723721476.3613</v>
      </c>
      <c r="M4003" s="471">
        <f t="shared" si="161"/>
        <v>0.05</v>
      </c>
      <c r="N4003" s="475">
        <f t="shared" si="162"/>
        <v>172882</v>
      </c>
    </row>
    <row r="4004" spans="7:14" ht="11.25" customHeight="1" x14ac:dyDescent="0.3">
      <c r="G4004" s="470"/>
      <c r="H4004" s="470">
        <v>3997</v>
      </c>
      <c r="I4004" s="455">
        <f t="shared" ca="1" si="160"/>
        <v>-7052723721476.3613</v>
      </c>
      <c r="J4004" s="455">
        <f t="array" ref="J4004">IFERROR(INDEX('Retirement Calculator'!K:K,MATCH('Lorri 401b'!N4004,'Retirement Calculator'!A:A,0),0),0)</f>
        <v>0</v>
      </c>
      <c r="K4004" s="455">
        <f t="shared" ca="1" si="158"/>
        <v>-29386348839.484837</v>
      </c>
      <c r="L4004" s="455">
        <f t="shared" ca="1" si="159"/>
        <v>-7082110070315.8457</v>
      </c>
      <c r="M4004" s="471">
        <f t="shared" si="161"/>
        <v>0.05</v>
      </c>
      <c r="N4004" s="475">
        <f t="shared" si="162"/>
        <v>172913</v>
      </c>
    </row>
    <row r="4005" spans="7:14" ht="11.25" customHeight="1" x14ac:dyDescent="0.3">
      <c r="G4005" s="470"/>
      <c r="H4005" s="470">
        <v>3998</v>
      </c>
      <c r="I4005" s="455">
        <f t="shared" ca="1" si="160"/>
        <v>-7082110070315.8457</v>
      </c>
      <c r="J4005" s="455">
        <f t="array" ref="J4005">IFERROR(INDEX('Retirement Calculator'!K:K,MATCH('Lorri 401b'!N4005,'Retirement Calculator'!A:A,0),0),0)</f>
        <v>0</v>
      </c>
      <c r="K4005" s="455">
        <f t="shared" ca="1" si="158"/>
        <v>-29508791959.649357</v>
      </c>
      <c r="L4005" s="455">
        <f t="shared" ca="1" si="159"/>
        <v>-7111618862275.4951</v>
      </c>
      <c r="M4005" s="471">
        <f t="shared" si="161"/>
        <v>0.05</v>
      </c>
      <c r="N4005" s="475">
        <f t="shared" si="162"/>
        <v>172943</v>
      </c>
    </row>
    <row r="4006" spans="7:14" ht="11.25" customHeight="1" x14ac:dyDescent="0.3">
      <c r="G4006" s="470"/>
      <c r="H4006" s="470">
        <v>3999</v>
      </c>
      <c r="I4006" s="455">
        <f t="shared" ca="1" si="160"/>
        <v>-7111618862275.4951</v>
      </c>
      <c r="J4006" s="455">
        <f t="array" ref="J4006">IFERROR(INDEX('Retirement Calculator'!K:K,MATCH('Lorri 401b'!N4006,'Retirement Calculator'!A:A,0),0),0)</f>
        <v>0</v>
      </c>
      <c r="K4006" s="455">
        <f t="shared" ca="1" si="158"/>
        <v>-29631745259.481228</v>
      </c>
      <c r="L4006" s="455">
        <f t="shared" ca="1" si="159"/>
        <v>-7141250607534.9766</v>
      </c>
      <c r="M4006" s="471">
        <f t="shared" si="161"/>
        <v>0.05</v>
      </c>
      <c r="N4006" s="475">
        <f t="shared" si="162"/>
        <v>172974</v>
      </c>
    </row>
    <row r="4007" spans="7:14" ht="11.25" customHeight="1" x14ac:dyDescent="0.3">
      <c r="G4007" s="470"/>
      <c r="H4007" s="470">
        <v>4000</v>
      </c>
      <c r="I4007" s="455">
        <f t="shared" ca="1" si="160"/>
        <v>-7141250607534.9766</v>
      </c>
      <c r="J4007" s="455">
        <f t="array" ref="J4007">IFERROR(INDEX('Retirement Calculator'!K:K,MATCH('Lorri 401b'!N4007,'Retirement Calculator'!A:A,0),0),0)</f>
        <v>0</v>
      </c>
      <c r="K4007" s="455">
        <f t="shared" ca="1" si="158"/>
        <v>-29755210864.729069</v>
      </c>
      <c r="L4007" s="455">
        <f t="shared" ca="1" si="159"/>
        <v>-7171005818399.7061</v>
      </c>
      <c r="M4007" s="471">
        <f t="shared" si="161"/>
        <v>0.05</v>
      </c>
      <c r="N4007" s="475">
        <f t="shared" si="162"/>
        <v>173005</v>
      </c>
    </row>
    <row r="4008" spans="7:14" ht="11.25" customHeight="1" x14ac:dyDescent="0.3">
      <c r="G4008" s="470"/>
      <c r="H4008" s="470">
        <v>4001</v>
      </c>
      <c r="I4008" s="455">
        <f t="shared" ca="1" si="160"/>
        <v>-7171005818399.7061</v>
      </c>
      <c r="J4008" s="455">
        <f t="array" ref="J4008">IFERROR(INDEX('Retirement Calculator'!K:K,MATCH('Lorri 401b'!N4008,'Retirement Calculator'!A:A,0),0),0)</f>
        <v>0</v>
      </c>
      <c r="K4008" s="455">
        <f t="shared" ca="1" si="158"/>
        <v>-29879190909.998775</v>
      </c>
      <c r="L4008" s="455">
        <f t="shared" ca="1" si="159"/>
        <v>-7200885009309.7051</v>
      </c>
      <c r="M4008" s="471">
        <f t="shared" si="161"/>
        <v>0.05</v>
      </c>
      <c r="N4008" s="475">
        <f t="shared" si="162"/>
        <v>173035</v>
      </c>
    </row>
    <row r="4009" spans="7:14" ht="11.25" customHeight="1" x14ac:dyDescent="0.3">
      <c r="G4009" s="470"/>
      <c r="H4009" s="470">
        <v>4002</v>
      </c>
      <c r="I4009" s="455">
        <f t="shared" ca="1" si="160"/>
        <v>-7200885009309.7051</v>
      </c>
      <c r="J4009" s="455">
        <f t="array" ref="J4009">IFERROR(INDEX('Retirement Calculator'!K:K,MATCH('Lorri 401b'!N4009,'Retirement Calculator'!A:A,0),0),0)</f>
        <v>0</v>
      </c>
      <c r="K4009" s="455">
        <f t="shared" ca="1" si="158"/>
        <v>-30003687538.790436</v>
      </c>
      <c r="L4009" s="455">
        <f t="shared" ca="1" si="159"/>
        <v>-7230888696848.4951</v>
      </c>
      <c r="M4009" s="471">
        <f t="shared" si="161"/>
        <v>0.05</v>
      </c>
      <c r="N4009" s="475">
        <f t="shared" si="162"/>
        <v>173066</v>
      </c>
    </row>
    <row r="4010" spans="7:14" ht="11.25" customHeight="1" x14ac:dyDescent="0.3">
      <c r="G4010" s="470"/>
      <c r="H4010" s="470">
        <v>4003</v>
      </c>
      <c r="I4010" s="455">
        <f t="shared" ca="1" si="160"/>
        <v>-7230888696848.4951</v>
      </c>
      <c r="J4010" s="455">
        <f t="array" ref="J4010">IFERROR(INDEX('Retirement Calculator'!K:K,MATCH('Lorri 401b'!N4010,'Retirement Calculator'!A:A,0),0),0)</f>
        <v>0</v>
      </c>
      <c r="K4010" s="455">
        <f t="shared" ca="1" si="158"/>
        <v>-30128702903.535397</v>
      </c>
      <c r="L4010" s="455">
        <f t="shared" ca="1" si="159"/>
        <v>-7261017399752.0303</v>
      </c>
      <c r="M4010" s="471">
        <f t="shared" si="161"/>
        <v>0.05</v>
      </c>
      <c r="N4010" s="475">
        <f t="shared" si="162"/>
        <v>173096</v>
      </c>
    </row>
    <row r="4011" spans="7:14" ht="11.25" customHeight="1" x14ac:dyDescent="0.3">
      <c r="G4011" s="470"/>
      <c r="H4011" s="470">
        <v>4004</v>
      </c>
      <c r="I4011" s="455">
        <f t="shared" ca="1" si="160"/>
        <v>-7261017399752.0303</v>
      </c>
      <c r="J4011" s="455">
        <f t="array" ref="J4011">IFERROR(INDEX('Retirement Calculator'!K:K,MATCH('Lorri 401b'!N4011,'Retirement Calculator'!A:A,0),0),0)</f>
        <v>0</v>
      </c>
      <c r="K4011" s="455">
        <f t="shared" ca="1" si="158"/>
        <v>-30254239165.633457</v>
      </c>
      <c r="L4011" s="455">
        <f t="shared" ca="1" si="159"/>
        <v>-7291271638917.6641</v>
      </c>
      <c r="M4011" s="471">
        <f t="shared" si="161"/>
        <v>0.05</v>
      </c>
      <c r="N4011" s="475">
        <f t="shared" si="162"/>
        <v>173127</v>
      </c>
    </row>
    <row r="4012" spans="7:14" ht="11.25" customHeight="1" x14ac:dyDescent="0.3">
      <c r="G4012" s="470"/>
      <c r="H4012" s="470">
        <v>4005</v>
      </c>
      <c r="I4012" s="455">
        <f t="shared" ca="1" si="160"/>
        <v>-7291271638917.6641</v>
      </c>
      <c r="J4012" s="455">
        <f t="array" ref="J4012">IFERROR(INDEX('Retirement Calculator'!K:K,MATCH('Lorri 401b'!N4012,'Retirement Calculator'!A:A,0),0),0)</f>
        <v>0</v>
      </c>
      <c r="K4012" s="455">
        <f t="shared" ca="1" si="158"/>
        <v>-30380298495.490265</v>
      </c>
      <c r="L4012" s="455">
        <f t="shared" ca="1" si="159"/>
        <v>-7321651937413.1543</v>
      </c>
      <c r="M4012" s="471">
        <f t="shared" si="161"/>
        <v>0.05</v>
      </c>
      <c r="N4012" s="475">
        <f t="shared" si="162"/>
        <v>173158</v>
      </c>
    </row>
    <row r="4013" spans="7:14" ht="11.25" customHeight="1" x14ac:dyDescent="0.3">
      <c r="G4013" s="470"/>
      <c r="H4013" s="470">
        <v>4006</v>
      </c>
      <c r="I4013" s="455">
        <f t="shared" ca="1" si="160"/>
        <v>-7321651937413.1543</v>
      </c>
      <c r="J4013" s="455">
        <f t="array" ref="J4013">IFERROR(INDEX('Retirement Calculator'!K:K,MATCH('Lorri 401b'!N4013,'Retirement Calculator'!A:A,0),0),0)</f>
        <v>0</v>
      </c>
      <c r="K4013" s="455">
        <f t="shared" ca="1" si="158"/>
        <v>-30506883072.55481</v>
      </c>
      <c r="L4013" s="455">
        <f t="shared" ca="1" si="159"/>
        <v>-7352158820485.709</v>
      </c>
      <c r="M4013" s="471">
        <f t="shared" si="161"/>
        <v>0.05</v>
      </c>
      <c r="N4013" s="475">
        <f t="shared" si="162"/>
        <v>173186</v>
      </c>
    </row>
    <row r="4014" spans="7:14" ht="11.25" customHeight="1" x14ac:dyDescent="0.3">
      <c r="G4014" s="470"/>
      <c r="H4014" s="470">
        <v>4007</v>
      </c>
      <c r="I4014" s="455">
        <f t="shared" ca="1" si="160"/>
        <v>-7352158820485.709</v>
      </c>
      <c r="J4014" s="455">
        <f t="array" ref="J4014">IFERROR(INDEX('Retirement Calculator'!K:K,MATCH('Lorri 401b'!N4014,'Retirement Calculator'!A:A,0),0),0)</f>
        <v>0</v>
      </c>
      <c r="K4014" s="455">
        <f t="shared" ca="1" si="158"/>
        <v>-30633995085.357121</v>
      </c>
      <c r="L4014" s="455">
        <f t="shared" ca="1" si="159"/>
        <v>-7382792815571.0664</v>
      </c>
      <c r="M4014" s="471">
        <f t="shared" si="161"/>
        <v>0.05</v>
      </c>
      <c r="N4014" s="475">
        <f t="shared" si="162"/>
        <v>173217</v>
      </c>
    </row>
    <row r="4015" spans="7:14" ht="11.25" customHeight="1" x14ac:dyDescent="0.3">
      <c r="G4015" s="470"/>
      <c r="H4015" s="470">
        <v>4008</v>
      </c>
      <c r="I4015" s="455">
        <f t="shared" ca="1" si="160"/>
        <v>-7382792815571.0664</v>
      </c>
      <c r="J4015" s="455">
        <f t="array" ref="J4015">IFERROR(INDEX('Retirement Calculator'!K:K,MATCH('Lorri 401b'!N4015,'Retirement Calculator'!A:A,0),0),0)</f>
        <v>0</v>
      </c>
      <c r="K4015" s="455">
        <f t="shared" ca="1" si="158"/>
        <v>-30761636731.546108</v>
      </c>
      <c r="L4015" s="455">
        <f t="shared" ca="1" si="159"/>
        <v>-7413554452302.6123</v>
      </c>
      <c r="M4015" s="471">
        <f t="shared" si="161"/>
        <v>0.05</v>
      </c>
      <c r="N4015" s="475">
        <f t="shared" si="162"/>
        <v>173247</v>
      </c>
    </row>
    <row r="4016" spans="7:14" ht="11.25" customHeight="1" x14ac:dyDescent="0.3">
      <c r="G4016" s="470"/>
      <c r="H4016" s="470">
        <v>4009</v>
      </c>
      <c r="I4016" s="455">
        <f t="shared" ca="1" si="160"/>
        <v>-7413554452302.6123</v>
      </c>
      <c r="J4016" s="455">
        <f t="array" ref="J4016">IFERROR(INDEX('Retirement Calculator'!K:K,MATCH('Lorri 401b'!N4016,'Retirement Calculator'!A:A,0),0),0)</f>
        <v>0</v>
      </c>
      <c r="K4016" s="455">
        <f t="shared" ca="1" si="158"/>
        <v>-30889810217.927555</v>
      </c>
      <c r="L4016" s="455">
        <f t="shared" ca="1" si="159"/>
        <v>-7444444262520.54</v>
      </c>
      <c r="M4016" s="471">
        <f t="shared" si="161"/>
        <v>0.05</v>
      </c>
      <c r="N4016" s="475">
        <f t="shared" si="162"/>
        <v>173278</v>
      </c>
    </row>
    <row r="4017" spans="7:14" ht="11.25" customHeight="1" x14ac:dyDescent="0.3">
      <c r="G4017" s="470"/>
      <c r="H4017" s="470">
        <v>4010</v>
      </c>
      <c r="I4017" s="455">
        <f t="shared" ca="1" si="160"/>
        <v>-7444444262520.54</v>
      </c>
      <c r="J4017" s="455">
        <f t="array" ref="J4017">IFERROR(INDEX('Retirement Calculator'!K:K,MATCH('Lorri 401b'!N4017,'Retirement Calculator'!A:A,0),0),0)</f>
        <v>0</v>
      </c>
      <c r="K4017" s="455">
        <f t="shared" ca="1" si="158"/>
        <v>-31018517760.502247</v>
      </c>
      <c r="L4017" s="455">
        <f t="shared" ca="1" si="159"/>
        <v>-7475462780281.042</v>
      </c>
      <c r="M4017" s="471">
        <f t="shared" si="161"/>
        <v>0.05</v>
      </c>
      <c r="N4017" s="475">
        <f t="shared" si="162"/>
        <v>173308</v>
      </c>
    </row>
    <row r="4018" spans="7:14" ht="11.25" customHeight="1" x14ac:dyDescent="0.3">
      <c r="G4018" s="470"/>
      <c r="H4018" s="470">
        <v>4011</v>
      </c>
      <c r="I4018" s="455">
        <f t="shared" ca="1" si="160"/>
        <v>-7475462780281.042</v>
      </c>
      <c r="J4018" s="455">
        <f t="array" ref="J4018">IFERROR(INDEX('Retirement Calculator'!K:K,MATCH('Lorri 401b'!N4018,'Retirement Calculator'!A:A,0),0),0)</f>
        <v>0</v>
      </c>
      <c r="K4018" s="455">
        <f t="shared" ca="1" si="158"/>
        <v>-31147761584.504341</v>
      </c>
      <c r="L4018" s="455">
        <f t="shared" ca="1" si="159"/>
        <v>-7506610541865.5459</v>
      </c>
      <c r="M4018" s="471">
        <f t="shared" si="161"/>
        <v>0.05</v>
      </c>
      <c r="N4018" s="475">
        <f t="shared" si="162"/>
        <v>173339</v>
      </c>
    </row>
    <row r="4019" spans="7:14" ht="11.25" customHeight="1" x14ac:dyDescent="0.3">
      <c r="G4019" s="470"/>
      <c r="H4019" s="470">
        <v>4012</v>
      </c>
      <c r="I4019" s="455">
        <f t="shared" ca="1" si="160"/>
        <v>-7506610541865.5459</v>
      </c>
      <c r="J4019" s="455">
        <f t="array" ref="J4019">IFERROR(INDEX('Retirement Calculator'!K:K,MATCH('Lorri 401b'!N4019,'Retirement Calculator'!A:A,0),0),0)</f>
        <v>0</v>
      </c>
      <c r="K4019" s="455">
        <f t="shared" ca="1" si="158"/>
        <v>-31277543924.439774</v>
      </c>
      <c r="L4019" s="455">
        <f t="shared" ca="1" si="159"/>
        <v>-7537888085789.9854</v>
      </c>
      <c r="M4019" s="471">
        <f t="shared" si="161"/>
        <v>0.05</v>
      </c>
      <c r="N4019" s="475">
        <f t="shared" si="162"/>
        <v>173370</v>
      </c>
    </row>
    <row r="4020" spans="7:14" ht="11.25" customHeight="1" x14ac:dyDescent="0.3">
      <c r="G4020" s="470"/>
      <c r="H4020" s="470">
        <v>4013</v>
      </c>
      <c r="I4020" s="455">
        <f t="shared" ca="1" si="160"/>
        <v>-7537888085789.9854</v>
      </c>
      <c r="J4020" s="455">
        <f t="array" ref="J4020">IFERROR(INDEX('Retirement Calculator'!K:K,MATCH('Lorri 401b'!N4020,'Retirement Calculator'!A:A,0),0),0)</f>
        <v>0</v>
      </c>
      <c r="K4020" s="455">
        <f t="shared" ca="1" si="158"/>
        <v>-31407867024.124939</v>
      </c>
      <c r="L4020" s="455">
        <f t="shared" ca="1" si="159"/>
        <v>-7569295952814.1104</v>
      </c>
      <c r="M4020" s="471">
        <f t="shared" si="161"/>
        <v>0.05</v>
      </c>
      <c r="N4020" s="475">
        <f t="shared" si="162"/>
        <v>173400</v>
      </c>
    </row>
    <row r="4021" spans="7:14" ht="11.25" customHeight="1" x14ac:dyDescent="0.3">
      <c r="G4021" s="470"/>
      <c r="H4021" s="470">
        <v>4014</v>
      </c>
      <c r="I4021" s="455">
        <f t="shared" ca="1" si="160"/>
        <v>-7569295952814.1104</v>
      </c>
      <c r="J4021" s="455">
        <f t="array" ref="J4021">IFERROR(INDEX('Retirement Calculator'!K:K,MATCH('Lorri 401b'!N4021,'Retirement Calculator'!A:A,0),0),0)</f>
        <v>0</v>
      </c>
      <c r="K4021" s="455">
        <f t="shared" ca="1" si="158"/>
        <v>-31538733136.725464</v>
      </c>
      <c r="L4021" s="455">
        <f t="shared" ca="1" si="159"/>
        <v>-7600834685950.8359</v>
      </c>
      <c r="M4021" s="471">
        <f t="shared" si="161"/>
        <v>0.05</v>
      </c>
      <c r="N4021" s="475">
        <f t="shared" si="162"/>
        <v>173431</v>
      </c>
    </row>
    <row r="4022" spans="7:14" ht="11.25" customHeight="1" x14ac:dyDescent="0.3">
      <c r="G4022" s="470"/>
      <c r="H4022" s="470">
        <v>4015</v>
      </c>
      <c r="I4022" s="455">
        <f t="shared" ca="1" si="160"/>
        <v>-7600834685950.8359</v>
      </c>
      <c r="J4022" s="455">
        <f t="array" ref="J4022">IFERROR(INDEX('Retirement Calculator'!K:K,MATCH('Lorri 401b'!N4022,'Retirement Calculator'!A:A,0),0),0)</f>
        <v>0</v>
      </c>
      <c r="K4022" s="455">
        <f t="shared" ca="1" si="158"/>
        <v>-31670144524.795147</v>
      </c>
      <c r="L4022" s="455">
        <f t="shared" ca="1" si="159"/>
        <v>-7632504830475.6309</v>
      </c>
      <c r="M4022" s="471">
        <f t="shared" si="161"/>
        <v>0.05</v>
      </c>
      <c r="N4022" s="475">
        <f t="shared" si="162"/>
        <v>173461</v>
      </c>
    </row>
    <row r="4023" spans="7:14" ht="11.25" customHeight="1" x14ac:dyDescent="0.3">
      <c r="G4023" s="470"/>
      <c r="H4023" s="470">
        <v>4016</v>
      </c>
      <c r="I4023" s="455">
        <f t="shared" ca="1" si="160"/>
        <v>-7632504830475.6309</v>
      </c>
      <c r="J4023" s="455">
        <f t="array" ref="J4023">IFERROR(INDEX('Retirement Calculator'!K:K,MATCH('Lorri 401b'!N4023,'Retirement Calculator'!A:A,0),0),0)</f>
        <v>0</v>
      </c>
      <c r="K4023" s="455">
        <f t="shared" ca="1" si="158"/>
        <v>-31802103460.315128</v>
      </c>
      <c r="L4023" s="455">
        <f t="shared" ca="1" si="159"/>
        <v>-7664306933935.9463</v>
      </c>
      <c r="M4023" s="471">
        <f t="shared" si="161"/>
        <v>0.05</v>
      </c>
      <c r="N4023" s="475">
        <f t="shared" si="162"/>
        <v>173492</v>
      </c>
    </row>
    <row r="4024" spans="7:14" ht="11.25" customHeight="1" x14ac:dyDescent="0.3">
      <c r="G4024" s="470"/>
      <c r="H4024" s="470">
        <v>4017</v>
      </c>
      <c r="I4024" s="455">
        <f t="shared" ca="1" si="160"/>
        <v>-7664306933935.9463</v>
      </c>
      <c r="J4024" s="455">
        <f t="array" ref="J4024">IFERROR(INDEX('Retirement Calculator'!K:K,MATCH('Lorri 401b'!N4024,'Retirement Calculator'!A:A,0),0),0)</f>
        <v>0</v>
      </c>
      <c r="K4024" s="455">
        <f t="shared" ca="1" si="158"/>
        <v>-31934612224.733109</v>
      </c>
      <c r="L4024" s="455">
        <f t="shared" ca="1" si="159"/>
        <v>-7696241546160.6797</v>
      </c>
      <c r="M4024" s="471">
        <f t="shared" si="161"/>
        <v>0.05</v>
      </c>
      <c r="N4024" s="475">
        <f t="shared" si="162"/>
        <v>173523</v>
      </c>
    </row>
    <row r="4025" spans="7:14" ht="11.25" customHeight="1" x14ac:dyDescent="0.3">
      <c r="G4025" s="470"/>
      <c r="H4025" s="470">
        <v>4018</v>
      </c>
      <c r="I4025" s="455">
        <f t="shared" ca="1" si="160"/>
        <v>-7696241546160.6797</v>
      </c>
      <c r="J4025" s="455">
        <f t="array" ref="J4025">IFERROR(INDEX('Retirement Calculator'!K:K,MATCH('Lorri 401b'!N4025,'Retirement Calculator'!A:A,0),0),0)</f>
        <v>0</v>
      </c>
      <c r="K4025" s="455">
        <f t="shared" ca="1" si="158"/>
        <v>-32067673109.002834</v>
      </c>
      <c r="L4025" s="455">
        <f t="shared" ca="1" si="159"/>
        <v>-7728309219269.6826</v>
      </c>
      <c r="M4025" s="471">
        <f t="shared" si="161"/>
        <v>0.05</v>
      </c>
      <c r="N4025" s="475">
        <f t="shared" si="162"/>
        <v>173551</v>
      </c>
    </row>
    <row r="4026" spans="7:14" ht="11.25" customHeight="1" x14ac:dyDescent="0.3">
      <c r="G4026" s="470"/>
      <c r="H4026" s="470">
        <v>4019</v>
      </c>
      <c r="I4026" s="455">
        <f t="shared" ca="1" si="160"/>
        <v>-7728309219269.6826</v>
      </c>
      <c r="J4026" s="455">
        <f t="array" ref="J4026">IFERROR(INDEX('Retirement Calculator'!K:K,MATCH('Lorri 401b'!N4026,'Retirement Calculator'!A:A,0),0),0)</f>
        <v>0</v>
      </c>
      <c r="K4026" s="455">
        <f t="shared" ca="1" si="158"/>
        <v>-32201288413.623676</v>
      </c>
      <c r="L4026" s="455">
        <f t="shared" ca="1" si="159"/>
        <v>-7760510507683.3066</v>
      </c>
      <c r="M4026" s="471">
        <f t="shared" si="161"/>
        <v>0.05</v>
      </c>
      <c r="N4026" s="475">
        <f t="shared" si="162"/>
        <v>173582</v>
      </c>
    </row>
    <row r="4027" spans="7:14" ht="11.25" customHeight="1" x14ac:dyDescent="0.3">
      <c r="G4027" s="470"/>
      <c r="H4027" s="470">
        <v>4020</v>
      </c>
      <c r="I4027" s="455">
        <f t="shared" ca="1" si="160"/>
        <v>-7760510507683.3066</v>
      </c>
      <c r="J4027" s="455">
        <f t="array" ref="J4027">IFERROR(INDEX('Retirement Calculator'!K:K,MATCH('Lorri 401b'!N4027,'Retirement Calculator'!A:A,0),0),0)</f>
        <v>0</v>
      </c>
      <c r="K4027" s="455">
        <f t="shared" ca="1" si="158"/>
        <v>-32335460448.680443</v>
      </c>
      <c r="L4027" s="455">
        <f t="shared" ca="1" si="159"/>
        <v>-7792845968131.9873</v>
      </c>
      <c r="M4027" s="471">
        <f t="shared" si="161"/>
        <v>0.05</v>
      </c>
      <c r="N4027" s="475">
        <f t="shared" si="162"/>
        <v>173612</v>
      </c>
    </row>
    <row r="4028" spans="7:14" ht="11.25" customHeight="1" x14ac:dyDescent="0.3">
      <c r="G4028" s="470"/>
      <c r="H4028" s="470">
        <v>4021</v>
      </c>
      <c r="I4028" s="455">
        <f t="shared" ca="1" si="160"/>
        <v>-7792845968131.9873</v>
      </c>
      <c r="J4028" s="455">
        <f t="array" ref="J4028">IFERROR(INDEX('Retirement Calculator'!K:K,MATCH('Lorri 401b'!N4028,'Retirement Calculator'!A:A,0),0),0)</f>
        <v>0</v>
      </c>
      <c r="K4028" s="455">
        <f t="shared" ca="1" si="158"/>
        <v>-32470191533.883274</v>
      </c>
      <c r="L4028" s="455">
        <f t="shared" ca="1" si="159"/>
        <v>-7825316159665.8701</v>
      </c>
      <c r="M4028" s="471">
        <f t="shared" si="161"/>
        <v>0.05</v>
      </c>
      <c r="N4028" s="475">
        <f t="shared" si="162"/>
        <v>173643</v>
      </c>
    </row>
    <row r="4029" spans="7:14" ht="11.25" customHeight="1" x14ac:dyDescent="0.3">
      <c r="G4029" s="470"/>
      <c r="H4029" s="470">
        <v>4022</v>
      </c>
      <c r="I4029" s="455">
        <f t="shared" ca="1" si="160"/>
        <v>-7825316159665.8701</v>
      </c>
      <c r="J4029" s="455">
        <f t="array" ref="J4029">IFERROR(INDEX('Retirement Calculator'!K:K,MATCH('Lorri 401b'!N4029,'Retirement Calculator'!A:A,0),0),0)</f>
        <v>0</v>
      </c>
      <c r="K4029" s="455">
        <f t="shared" ca="1" si="158"/>
        <v>-32605483998.607792</v>
      </c>
      <c r="L4029" s="455">
        <f t="shared" ca="1" si="159"/>
        <v>-7857921643664.4775</v>
      </c>
      <c r="M4029" s="471">
        <f t="shared" si="161"/>
        <v>0.05</v>
      </c>
      <c r="N4029" s="475">
        <f t="shared" si="162"/>
        <v>173673</v>
      </c>
    </row>
    <row r="4030" spans="7:14" ht="11.25" customHeight="1" x14ac:dyDescent="0.3">
      <c r="G4030" s="470"/>
      <c r="H4030" s="470">
        <v>4023</v>
      </c>
      <c r="I4030" s="455">
        <f t="shared" ca="1" si="160"/>
        <v>-7857921643664.4775</v>
      </c>
      <c r="J4030" s="455">
        <f t="array" ref="J4030">IFERROR(INDEX('Retirement Calculator'!K:K,MATCH('Lorri 401b'!N4030,'Retirement Calculator'!A:A,0),0),0)</f>
        <v>0</v>
      </c>
      <c r="K4030" s="455">
        <f t="shared" ca="1" si="158"/>
        <v>-32741340181.935322</v>
      </c>
      <c r="L4030" s="455">
        <f t="shared" ca="1" si="159"/>
        <v>-7890662983846.4131</v>
      </c>
      <c r="M4030" s="471">
        <f t="shared" si="161"/>
        <v>0.05</v>
      </c>
      <c r="N4030" s="475">
        <f t="shared" si="162"/>
        <v>173704</v>
      </c>
    </row>
    <row r="4031" spans="7:14" ht="11.25" customHeight="1" x14ac:dyDescent="0.3">
      <c r="G4031" s="470"/>
      <c r="H4031" s="470">
        <v>4024</v>
      </c>
      <c r="I4031" s="455">
        <f t="shared" ca="1" si="160"/>
        <v>-7890662983846.4131</v>
      </c>
      <c r="J4031" s="455">
        <f t="array" ref="J4031">IFERROR(INDEX('Retirement Calculator'!K:K,MATCH('Lorri 401b'!N4031,'Retirement Calculator'!A:A,0),0),0)</f>
        <v>0</v>
      </c>
      <c r="K4031" s="455">
        <f t="shared" ca="1" si="158"/>
        <v>-32877762432.693386</v>
      </c>
      <c r="L4031" s="455">
        <f t="shared" ca="1" si="159"/>
        <v>-7923540746279.1064</v>
      </c>
      <c r="M4031" s="471">
        <f t="shared" si="161"/>
        <v>0.05</v>
      </c>
      <c r="N4031" s="475">
        <f t="shared" si="162"/>
        <v>173735</v>
      </c>
    </row>
    <row r="4032" spans="7:14" ht="11.25" customHeight="1" x14ac:dyDescent="0.3">
      <c r="G4032" s="470"/>
      <c r="H4032" s="470">
        <v>4025</v>
      </c>
      <c r="I4032" s="455">
        <f t="shared" ca="1" si="160"/>
        <v>-7923540746279.1064</v>
      </c>
      <c r="J4032" s="455">
        <f t="array" ref="J4032">IFERROR(INDEX('Retirement Calculator'!K:K,MATCH('Lorri 401b'!N4032,'Retirement Calculator'!A:A,0),0),0)</f>
        <v>0</v>
      </c>
      <c r="K4032" s="455">
        <f t="shared" ca="1" si="158"/>
        <v>-33014753109.496277</v>
      </c>
      <c r="L4032" s="455">
        <f t="shared" ca="1" si="159"/>
        <v>-7956555499388.6025</v>
      </c>
      <c r="M4032" s="471">
        <f t="shared" si="161"/>
        <v>0.05</v>
      </c>
      <c r="N4032" s="475">
        <f t="shared" si="162"/>
        <v>173765</v>
      </c>
    </row>
    <row r="4033" spans="7:14" ht="11.25" customHeight="1" x14ac:dyDescent="0.3">
      <c r="G4033" s="470"/>
      <c r="H4033" s="470">
        <v>4026</v>
      </c>
      <c r="I4033" s="455">
        <f t="shared" ca="1" si="160"/>
        <v>-7956555499388.6025</v>
      </c>
      <c r="J4033" s="455">
        <f t="array" ref="J4033">IFERROR(INDEX('Retirement Calculator'!K:K,MATCH('Lorri 401b'!N4033,'Retirement Calculator'!A:A,0),0),0)</f>
        <v>0</v>
      </c>
      <c r="K4033" s="455">
        <f t="shared" ca="1" si="158"/>
        <v>-33152314580.785843</v>
      </c>
      <c r="L4033" s="455">
        <f t="shared" ca="1" si="159"/>
        <v>-7989707813969.3887</v>
      </c>
      <c r="M4033" s="471">
        <f t="shared" si="161"/>
        <v>0.05</v>
      </c>
      <c r="N4033" s="475">
        <f t="shared" si="162"/>
        <v>173796</v>
      </c>
    </row>
    <row r="4034" spans="7:14" ht="11.25" customHeight="1" x14ac:dyDescent="0.3">
      <c r="G4034" s="470"/>
      <c r="H4034" s="470">
        <v>4027</v>
      </c>
      <c r="I4034" s="455">
        <f t="shared" ca="1" si="160"/>
        <v>-7989707813969.3887</v>
      </c>
      <c r="J4034" s="455">
        <f t="array" ref="J4034">IFERROR(INDEX('Retirement Calculator'!K:K,MATCH('Lorri 401b'!N4034,'Retirement Calculator'!A:A,0),0),0)</f>
        <v>0</v>
      </c>
      <c r="K4034" s="455">
        <f t="shared" ca="1" si="158"/>
        <v>-33290449224.872452</v>
      </c>
      <c r="L4034" s="455">
        <f t="shared" ca="1" si="159"/>
        <v>-8022998263194.2607</v>
      </c>
      <c r="M4034" s="471">
        <f t="shared" si="161"/>
        <v>0.05</v>
      </c>
      <c r="N4034" s="475">
        <f t="shared" si="162"/>
        <v>173826</v>
      </c>
    </row>
    <row r="4035" spans="7:14" ht="11.25" customHeight="1" x14ac:dyDescent="0.3">
      <c r="G4035" s="470"/>
      <c r="H4035" s="470">
        <v>4028</v>
      </c>
      <c r="I4035" s="455">
        <f t="shared" ca="1" si="160"/>
        <v>-8022998263194.2607</v>
      </c>
      <c r="J4035" s="455">
        <f t="array" ref="J4035">IFERROR(INDEX('Retirement Calculator'!K:K,MATCH('Lorri 401b'!N4035,'Retirement Calculator'!A:A,0),0),0)</f>
        <v>0</v>
      </c>
      <c r="K4035" s="455">
        <f t="shared" ca="1" si="158"/>
        <v>-33429159429.976086</v>
      </c>
      <c r="L4035" s="455">
        <f t="shared" ca="1" si="159"/>
        <v>-8056427422624.2373</v>
      </c>
      <c r="M4035" s="471">
        <f t="shared" si="161"/>
        <v>0.05</v>
      </c>
      <c r="N4035" s="475">
        <f t="shared" si="162"/>
        <v>173857</v>
      </c>
    </row>
    <row r="4036" spans="7:14" ht="11.25" customHeight="1" x14ac:dyDescent="0.3">
      <c r="G4036" s="470"/>
      <c r="H4036" s="470">
        <v>4029</v>
      </c>
      <c r="I4036" s="455">
        <f t="shared" ca="1" si="160"/>
        <v>-8056427422624.2373</v>
      </c>
      <c r="J4036" s="455">
        <f t="array" ref="J4036">IFERROR(INDEX('Retirement Calculator'!K:K,MATCH('Lorri 401b'!N4036,'Retirement Calculator'!A:A,0),0),0)</f>
        <v>0</v>
      </c>
      <c r="K4036" s="455">
        <f t="shared" ca="1" si="158"/>
        <v>-33568447594.267654</v>
      </c>
      <c r="L4036" s="455">
        <f t="shared" ca="1" si="159"/>
        <v>-8089995870218.5049</v>
      </c>
      <c r="M4036" s="471">
        <f t="shared" si="161"/>
        <v>0.05</v>
      </c>
      <c r="N4036" s="475">
        <f t="shared" si="162"/>
        <v>173888</v>
      </c>
    </row>
    <row r="4037" spans="7:14" ht="11.25" customHeight="1" x14ac:dyDescent="0.3">
      <c r="G4037" s="470"/>
      <c r="H4037" s="470">
        <v>4030</v>
      </c>
      <c r="I4037" s="455">
        <f t="shared" ca="1" si="160"/>
        <v>-8089995870218.5049</v>
      </c>
      <c r="J4037" s="455">
        <f t="array" ref="J4037">IFERROR(INDEX('Retirement Calculator'!K:K,MATCH('Lorri 401b'!N4037,'Retirement Calculator'!A:A,0),0),0)</f>
        <v>0</v>
      </c>
      <c r="K4037" s="455">
        <f t="shared" ca="1" si="158"/>
        <v>-33708316125.910435</v>
      </c>
      <c r="L4037" s="455">
        <f t="shared" ca="1" si="159"/>
        <v>-8123704186344.415</v>
      </c>
      <c r="M4037" s="471">
        <f t="shared" si="161"/>
        <v>0.05</v>
      </c>
      <c r="N4037" s="475">
        <f t="shared" si="162"/>
        <v>173917</v>
      </c>
    </row>
    <row r="4038" spans="7:14" ht="11.25" customHeight="1" x14ac:dyDescent="0.3">
      <c r="G4038" s="470"/>
      <c r="H4038" s="470">
        <v>4031</v>
      </c>
      <c r="I4038" s="455">
        <f t="shared" ca="1" si="160"/>
        <v>-8123704186344.415</v>
      </c>
      <c r="J4038" s="455">
        <f t="array" ref="J4038">IFERROR(INDEX('Retirement Calculator'!K:K,MATCH('Lorri 401b'!N4038,'Retirement Calculator'!A:A,0),0),0)</f>
        <v>0</v>
      </c>
      <c r="K4038" s="455">
        <f t="shared" ca="1" si="158"/>
        <v>-33848767443.10173</v>
      </c>
      <c r="L4038" s="455">
        <f t="shared" ca="1" si="159"/>
        <v>-8157552953787.5166</v>
      </c>
      <c r="M4038" s="471">
        <f t="shared" si="161"/>
        <v>0.05</v>
      </c>
      <c r="N4038" s="475">
        <f t="shared" si="162"/>
        <v>173948</v>
      </c>
    </row>
    <row r="4039" spans="7:14" ht="11.25" customHeight="1" x14ac:dyDescent="0.3">
      <c r="G4039" s="470"/>
      <c r="H4039" s="470">
        <v>4032</v>
      </c>
      <c r="I4039" s="455">
        <f t="shared" ca="1" si="160"/>
        <v>-8157552953787.5166</v>
      </c>
      <c r="J4039" s="455">
        <f t="array" ref="J4039">IFERROR(INDEX('Retirement Calculator'!K:K,MATCH('Lorri 401b'!N4039,'Retirement Calculator'!A:A,0),0),0)</f>
        <v>0</v>
      </c>
      <c r="K4039" s="455">
        <f t="shared" ca="1" si="158"/>
        <v>-33989803974.114651</v>
      </c>
      <c r="L4039" s="455">
        <f t="shared" ca="1" si="159"/>
        <v>-8191542757761.6309</v>
      </c>
      <c r="M4039" s="471">
        <f t="shared" si="161"/>
        <v>0.05</v>
      </c>
      <c r="N4039" s="475">
        <f t="shared" si="162"/>
        <v>173978</v>
      </c>
    </row>
    <row r="4040" spans="7:14" ht="11.25" customHeight="1" x14ac:dyDescent="0.3">
      <c r="G4040" s="470"/>
      <c r="H4040" s="470">
        <v>4033</v>
      </c>
      <c r="I4040" s="455">
        <f t="shared" ca="1" si="160"/>
        <v>-8191542757761.6309</v>
      </c>
      <c r="J4040" s="455">
        <f t="array" ref="J4040">IFERROR(INDEX('Retirement Calculator'!K:K,MATCH('Lorri 401b'!N4040,'Retirement Calculator'!A:A,0),0),0)</f>
        <v>0</v>
      </c>
      <c r="K4040" s="455">
        <f t="shared" ca="1" si="158"/>
        <v>-34131428157.34013</v>
      </c>
      <c r="L4040" s="455">
        <f t="shared" ca="1" si="159"/>
        <v>-8225674185918.9707</v>
      </c>
      <c r="M4040" s="471">
        <f t="shared" si="161"/>
        <v>0.05</v>
      </c>
      <c r="N4040" s="475">
        <f t="shared" si="162"/>
        <v>174009</v>
      </c>
    </row>
    <row r="4041" spans="7:14" ht="11.25" customHeight="1" x14ac:dyDescent="0.3">
      <c r="G4041" s="470"/>
      <c r="H4041" s="470">
        <v>4034</v>
      </c>
      <c r="I4041" s="455">
        <f t="shared" ca="1" si="160"/>
        <v>-8225674185918.9707</v>
      </c>
      <c r="J4041" s="455">
        <f t="array" ref="J4041">IFERROR(INDEX('Retirement Calculator'!K:K,MATCH('Lorri 401b'!N4041,'Retirement Calculator'!A:A,0),0),0)</f>
        <v>0</v>
      </c>
      <c r="K4041" s="455">
        <f t="shared" ca="1" si="158"/>
        <v>-34273642441.329048</v>
      </c>
      <c r="L4041" s="455">
        <f t="shared" ca="1" si="159"/>
        <v>-8259947828360.2998</v>
      </c>
      <c r="M4041" s="471">
        <f t="shared" si="161"/>
        <v>0.05</v>
      </c>
      <c r="N4041" s="475">
        <f t="shared" si="162"/>
        <v>174039</v>
      </c>
    </row>
    <row r="4042" spans="7:14" ht="11.25" customHeight="1" x14ac:dyDescent="0.3">
      <c r="G4042" s="470"/>
      <c r="H4042" s="470">
        <v>4035</v>
      </c>
      <c r="I4042" s="455">
        <f t="shared" ca="1" si="160"/>
        <v>-8259947828360.2998</v>
      </c>
      <c r="J4042" s="455">
        <f t="array" ref="J4042">IFERROR(INDEX('Retirement Calculator'!K:K,MATCH('Lorri 401b'!N4042,'Retirement Calculator'!A:A,0),0),0)</f>
        <v>0</v>
      </c>
      <c r="K4042" s="455">
        <f t="shared" ca="1" si="158"/>
        <v>-34416449284.834579</v>
      </c>
      <c r="L4042" s="455">
        <f t="shared" ca="1" si="159"/>
        <v>-8294364277645.1348</v>
      </c>
      <c r="M4042" s="471">
        <f t="shared" si="161"/>
        <v>0.05</v>
      </c>
      <c r="N4042" s="475">
        <f t="shared" si="162"/>
        <v>174070</v>
      </c>
    </row>
    <row r="4043" spans="7:14" ht="11.25" customHeight="1" x14ac:dyDescent="0.3">
      <c r="G4043" s="470"/>
      <c r="H4043" s="470">
        <v>4036</v>
      </c>
      <c r="I4043" s="455">
        <f t="shared" ca="1" si="160"/>
        <v>-8294364277645.1348</v>
      </c>
      <c r="J4043" s="455">
        <f t="array" ref="J4043">IFERROR(INDEX('Retirement Calculator'!K:K,MATCH('Lorri 401b'!N4043,'Retirement Calculator'!A:A,0),0),0)</f>
        <v>0</v>
      </c>
      <c r="K4043" s="455">
        <f t="shared" ca="1" si="158"/>
        <v>-34559851156.854729</v>
      </c>
      <c r="L4043" s="455">
        <f t="shared" ca="1" si="159"/>
        <v>-8328924128801.9893</v>
      </c>
      <c r="M4043" s="471">
        <f t="shared" si="161"/>
        <v>0.05</v>
      </c>
      <c r="N4043" s="475">
        <f t="shared" si="162"/>
        <v>174101</v>
      </c>
    </row>
    <row r="4044" spans="7:14" ht="11.25" customHeight="1" x14ac:dyDescent="0.3">
      <c r="G4044" s="470"/>
      <c r="H4044" s="470">
        <v>4037</v>
      </c>
      <c r="I4044" s="455">
        <f t="shared" ca="1" si="160"/>
        <v>-8328924128801.9893</v>
      </c>
      <c r="J4044" s="455">
        <f t="array" ref="J4044">IFERROR(INDEX('Retirement Calculator'!K:K,MATCH('Lorri 401b'!N4044,'Retirement Calculator'!A:A,0),0),0)</f>
        <v>0</v>
      </c>
      <c r="K4044" s="455">
        <f t="shared" ca="1" si="158"/>
        <v>-34703850536.674957</v>
      </c>
      <c r="L4044" s="455">
        <f t="shared" ca="1" si="159"/>
        <v>-8363627979338.6641</v>
      </c>
      <c r="M4044" s="471">
        <f t="shared" si="161"/>
        <v>0.05</v>
      </c>
      <c r="N4044" s="475">
        <f t="shared" si="162"/>
        <v>174131</v>
      </c>
    </row>
    <row r="4045" spans="7:14" ht="11.25" customHeight="1" x14ac:dyDescent="0.3">
      <c r="G4045" s="470"/>
      <c r="H4045" s="470">
        <v>4038</v>
      </c>
      <c r="I4045" s="455">
        <f t="shared" ca="1" si="160"/>
        <v>-8363627979338.6641</v>
      </c>
      <c r="J4045" s="455">
        <f t="array" ref="J4045">IFERROR(INDEX('Retirement Calculator'!K:K,MATCH('Lorri 401b'!N4045,'Retirement Calculator'!A:A,0),0),0)</f>
        <v>0</v>
      </c>
      <c r="K4045" s="455">
        <f t="shared" ca="1" si="158"/>
        <v>-34848449913.911102</v>
      </c>
      <c r="L4045" s="455">
        <f t="shared" ca="1" si="159"/>
        <v>-8398476429252.5752</v>
      </c>
      <c r="M4045" s="471">
        <f t="shared" si="161"/>
        <v>0.05</v>
      </c>
      <c r="N4045" s="475">
        <f t="shared" si="162"/>
        <v>174162</v>
      </c>
    </row>
    <row r="4046" spans="7:14" ht="11.25" customHeight="1" x14ac:dyDescent="0.3">
      <c r="G4046" s="470"/>
      <c r="H4046" s="470">
        <v>4039</v>
      </c>
      <c r="I4046" s="455">
        <f t="shared" ca="1" si="160"/>
        <v>-8398476429252.5752</v>
      </c>
      <c r="J4046" s="455">
        <f t="array" ref="J4046">IFERROR(INDEX('Retirement Calculator'!K:K,MATCH('Lorri 401b'!N4046,'Retirement Calculator'!A:A,0),0),0)</f>
        <v>0</v>
      </c>
      <c r="K4046" s="455">
        <f t="shared" ca="1" si="158"/>
        <v>-34993651788.552399</v>
      </c>
      <c r="L4046" s="455">
        <f t="shared" ca="1" si="159"/>
        <v>-8433470081041.1279</v>
      </c>
      <c r="M4046" s="471">
        <f t="shared" si="161"/>
        <v>0.05</v>
      </c>
      <c r="N4046" s="475">
        <f t="shared" si="162"/>
        <v>174192</v>
      </c>
    </row>
    <row r="4047" spans="7:14" ht="11.25" customHeight="1" x14ac:dyDescent="0.3">
      <c r="G4047" s="470"/>
      <c r="H4047" s="470">
        <v>4040</v>
      </c>
      <c r="I4047" s="455">
        <f t="shared" ca="1" si="160"/>
        <v>-8433470081041.1279</v>
      </c>
      <c r="J4047" s="455">
        <f t="array" ref="J4047">IFERROR(INDEX('Retirement Calculator'!K:K,MATCH('Lorri 401b'!N4047,'Retirement Calculator'!A:A,0),0),0)</f>
        <v>0</v>
      </c>
      <c r="K4047" s="455">
        <f t="shared" ca="1" si="158"/>
        <v>-35139458671.0047</v>
      </c>
      <c r="L4047" s="455">
        <f t="shared" ca="1" si="159"/>
        <v>-8468609539712.1328</v>
      </c>
      <c r="M4047" s="471">
        <f t="shared" si="161"/>
        <v>0.05</v>
      </c>
      <c r="N4047" s="475">
        <f t="shared" si="162"/>
        <v>174223</v>
      </c>
    </row>
    <row r="4048" spans="7:14" ht="11.25" customHeight="1" x14ac:dyDescent="0.3">
      <c r="G4048" s="470"/>
      <c r="H4048" s="470">
        <v>4041</v>
      </c>
      <c r="I4048" s="455">
        <f t="shared" ca="1" si="160"/>
        <v>-8468609539712.1328</v>
      </c>
      <c r="J4048" s="455">
        <f t="array" ref="J4048">IFERROR(INDEX('Retirement Calculator'!K:K,MATCH('Lorri 401b'!N4048,'Retirement Calculator'!A:A,0),0),0)</f>
        <v>0</v>
      </c>
      <c r="K4048" s="455">
        <f t="shared" ca="1" si="158"/>
        <v>-35285873082.133888</v>
      </c>
      <c r="L4048" s="455">
        <f t="shared" ca="1" si="159"/>
        <v>-8503895412794.2666</v>
      </c>
      <c r="M4048" s="471">
        <f t="shared" si="161"/>
        <v>0.05</v>
      </c>
      <c r="N4048" s="475">
        <f t="shared" si="162"/>
        <v>174254</v>
      </c>
    </row>
    <row r="4049" spans="7:14" ht="11.25" customHeight="1" x14ac:dyDescent="0.3">
      <c r="G4049" s="470"/>
      <c r="H4049" s="470">
        <v>4042</v>
      </c>
      <c r="I4049" s="455">
        <f t="shared" ca="1" si="160"/>
        <v>-8503895412794.2666</v>
      </c>
      <c r="J4049" s="455">
        <f t="array" ref="J4049">IFERROR(INDEX('Retirement Calculator'!K:K,MATCH('Lorri 401b'!N4049,'Retirement Calculator'!A:A,0),0),0)</f>
        <v>0</v>
      </c>
      <c r="K4049" s="455">
        <f t="shared" ca="1" si="158"/>
        <v>-35432897553.309441</v>
      </c>
      <c r="L4049" s="455">
        <f t="shared" ca="1" si="159"/>
        <v>-8539328310347.5762</v>
      </c>
      <c r="M4049" s="471">
        <f t="shared" si="161"/>
        <v>0.05</v>
      </c>
      <c r="N4049" s="475">
        <f t="shared" si="162"/>
        <v>174282</v>
      </c>
    </row>
    <row r="4050" spans="7:14" ht="11.25" customHeight="1" x14ac:dyDescent="0.3">
      <c r="G4050" s="470"/>
      <c r="H4050" s="470">
        <v>4043</v>
      </c>
      <c r="I4050" s="455">
        <f t="shared" ca="1" si="160"/>
        <v>-8539328310347.5762</v>
      </c>
      <c r="J4050" s="455">
        <f t="array" ref="J4050">IFERROR(INDEX('Retirement Calculator'!K:K,MATCH('Lorri 401b'!N4050,'Retirement Calculator'!A:A,0),0),0)</f>
        <v>0</v>
      </c>
      <c r="K4050" s="455">
        <f t="shared" ca="1" si="158"/>
        <v>-35580534626.448235</v>
      </c>
      <c r="L4050" s="455">
        <f t="shared" ca="1" si="159"/>
        <v>-8574908844974.0244</v>
      </c>
      <c r="M4050" s="471">
        <f t="shared" si="161"/>
        <v>0.05</v>
      </c>
      <c r="N4050" s="475">
        <f t="shared" si="162"/>
        <v>174313</v>
      </c>
    </row>
    <row r="4051" spans="7:14" ht="11.25" customHeight="1" x14ac:dyDescent="0.3">
      <c r="G4051" s="470"/>
      <c r="H4051" s="470">
        <v>4044</v>
      </c>
      <c r="I4051" s="455">
        <f t="shared" ca="1" si="160"/>
        <v>-8574908844974.0244</v>
      </c>
      <c r="J4051" s="455">
        <f t="array" ref="J4051">IFERROR(INDEX('Retirement Calculator'!K:K,MATCH('Lorri 401b'!N4051,'Retirement Calculator'!A:A,0),0),0)</f>
        <v>0</v>
      </c>
      <c r="K4051" s="455">
        <f t="shared" ca="1" si="158"/>
        <v>-35728786854.058441</v>
      </c>
      <c r="L4051" s="455">
        <f t="shared" ca="1" si="159"/>
        <v>-8610637631828.083</v>
      </c>
      <c r="M4051" s="471">
        <f t="shared" si="161"/>
        <v>0.05</v>
      </c>
      <c r="N4051" s="475">
        <f t="shared" si="162"/>
        <v>174343</v>
      </c>
    </row>
    <row r="4052" spans="7:14" ht="11.25" customHeight="1" x14ac:dyDescent="0.3">
      <c r="G4052" s="470"/>
      <c r="H4052" s="470">
        <v>4045</v>
      </c>
      <c r="I4052" s="455">
        <f t="shared" ca="1" si="160"/>
        <v>-8610637631828.083</v>
      </c>
      <c r="J4052" s="455">
        <f t="array" ref="J4052">IFERROR(INDEX('Retirement Calculator'!K:K,MATCH('Lorri 401b'!N4052,'Retirement Calculator'!A:A,0),0),0)</f>
        <v>0</v>
      </c>
      <c r="K4052" s="455">
        <f t="shared" ca="1" si="158"/>
        <v>-35877656799.283676</v>
      </c>
      <c r="L4052" s="455">
        <f t="shared" ca="1" si="159"/>
        <v>-8646515288627.3662</v>
      </c>
      <c r="M4052" s="471">
        <f t="shared" si="161"/>
        <v>0.05</v>
      </c>
      <c r="N4052" s="475">
        <f t="shared" si="162"/>
        <v>174374</v>
      </c>
    </row>
    <row r="4053" spans="7:14" ht="11.25" customHeight="1" x14ac:dyDescent="0.3">
      <c r="G4053" s="470"/>
      <c r="H4053" s="470">
        <v>4046</v>
      </c>
      <c r="I4053" s="455">
        <f t="shared" ca="1" si="160"/>
        <v>-8646515288627.3662</v>
      </c>
      <c r="J4053" s="455">
        <f t="array" ref="J4053">IFERROR(INDEX('Retirement Calculator'!K:K,MATCH('Lorri 401b'!N4053,'Retirement Calculator'!A:A,0),0),0)</f>
        <v>0</v>
      </c>
      <c r="K4053" s="455">
        <f t="shared" ca="1" si="158"/>
        <v>-36027147035.947365</v>
      </c>
      <c r="L4053" s="455">
        <f t="shared" ca="1" si="159"/>
        <v>-8682542435663.3135</v>
      </c>
      <c r="M4053" s="471">
        <f t="shared" si="161"/>
        <v>0.05</v>
      </c>
      <c r="N4053" s="475">
        <f t="shared" si="162"/>
        <v>174404</v>
      </c>
    </row>
    <row r="4054" spans="7:14" ht="11.25" customHeight="1" x14ac:dyDescent="0.3">
      <c r="G4054" s="470"/>
      <c r="H4054" s="470">
        <v>4047</v>
      </c>
      <c r="I4054" s="455">
        <f t="shared" ca="1" si="160"/>
        <v>-8682542435663.3135</v>
      </c>
      <c r="J4054" s="455">
        <f t="array" ref="J4054">IFERROR(INDEX('Retirement Calculator'!K:K,MATCH('Lorri 401b'!N4054,'Retirement Calculator'!A:A,0),0),0)</f>
        <v>0</v>
      </c>
      <c r="K4054" s="455">
        <f t="shared" ca="1" si="158"/>
        <v>-36177260148.597137</v>
      </c>
      <c r="L4054" s="455">
        <f t="shared" ca="1" si="159"/>
        <v>-8718719695811.9102</v>
      </c>
      <c r="M4054" s="471">
        <f t="shared" si="161"/>
        <v>0.05</v>
      </c>
      <c r="N4054" s="475">
        <f t="shared" si="162"/>
        <v>174435</v>
      </c>
    </row>
    <row r="4055" spans="7:14" ht="11.25" customHeight="1" x14ac:dyDescent="0.3">
      <c r="G4055" s="470"/>
      <c r="H4055" s="470">
        <v>4048</v>
      </c>
      <c r="I4055" s="455">
        <f t="shared" ca="1" si="160"/>
        <v>-8718719695811.9102</v>
      </c>
      <c r="J4055" s="455">
        <f t="array" ref="J4055">IFERROR(INDEX('Retirement Calculator'!K:K,MATCH('Lorri 401b'!N4055,'Retirement Calculator'!A:A,0),0),0)</f>
        <v>0</v>
      </c>
      <c r="K4055" s="455">
        <f t="shared" ca="1" si="158"/>
        <v>-36327998732.549622</v>
      </c>
      <c r="L4055" s="455">
        <f t="shared" ca="1" si="159"/>
        <v>-8755047694544.46</v>
      </c>
      <c r="M4055" s="471">
        <f t="shared" si="161"/>
        <v>0.05</v>
      </c>
      <c r="N4055" s="475">
        <f t="shared" si="162"/>
        <v>174466</v>
      </c>
    </row>
    <row r="4056" spans="7:14" ht="11.25" customHeight="1" x14ac:dyDescent="0.3">
      <c r="G4056" s="470"/>
      <c r="H4056" s="470">
        <v>4049</v>
      </c>
      <c r="I4056" s="455">
        <f t="shared" ca="1" si="160"/>
        <v>-8755047694544.46</v>
      </c>
      <c r="J4056" s="455">
        <f t="array" ref="J4056">IFERROR(INDEX('Retirement Calculator'!K:K,MATCH('Lorri 401b'!N4056,'Retirement Calculator'!A:A,0),0),0)</f>
        <v>0</v>
      </c>
      <c r="K4056" s="455">
        <f t="shared" ca="1" si="158"/>
        <v>-36479365393.935257</v>
      </c>
      <c r="L4056" s="455">
        <f t="shared" ca="1" si="159"/>
        <v>-8791527059938.3955</v>
      </c>
      <c r="M4056" s="471">
        <f t="shared" si="161"/>
        <v>0.05</v>
      </c>
      <c r="N4056" s="475">
        <f t="shared" si="162"/>
        <v>174496</v>
      </c>
    </row>
    <row r="4057" spans="7:14" ht="11.25" customHeight="1" x14ac:dyDescent="0.3">
      <c r="G4057" s="470"/>
      <c r="H4057" s="470">
        <v>4050</v>
      </c>
      <c r="I4057" s="455">
        <f t="shared" ca="1" si="160"/>
        <v>-8791527059938.3955</v>
      </c>
      <c r="J4057" s="455">
        <f t="array" ref="J4057">IFERROR(INDEX('Retirement Calculator'!K:K,MATCH('Lorri 401b'!N4057,'Retirement Calculator'!A:A,0),0),0)</f>
        <v>0</v>
      </c>
      <c r="K4057" s="455">
        <f t="shared" ca="1" si="158"/>
        <v>-36631362749.743317</v>
      </c>
      <c r="L4057" s="455">
        <f t="shared" ca="1" si="159"/>
        <v>-8828158422688.1387</v>
      </c>
      <c r="M4057" s="471">
        <f t="shared" si="161"/>
        <v>0.05</v>
      </c>
      <c r="N4057" s="475">
        <f t="shared" si="162"/>
        <v>174527</v>
      </c>
    </row>
    <row r="4058" spans="7:14" ht="11.25" customHeight="1" x14ac:dyDescent="0.3">
      <c r="G4058" s="470"/>
      <c r="H4058" s="470">
        <v>4051</v>
      </c>
      <c r="I4058" s="455">
        <f t="shared" ca="1" si="160"/>
        <v>-8828158422688.1387</v>
      </c>
      <c r="J4058" s="455">
        <f t="array" ref="J4058">IFERROR(INDEX('Retirement Calculator'!K:K,MATCH('Lorri 401b'!N4058,'Retirement Calculator'!A:A,0),0),0)</f>
        <v>0</v>
      </c>
      <c r="K4058" s="455">
        <f t="shared" ca="1" si="158"/>
        <v>-36783993427.867241</v>
      </c>
      <c r="L4058" s="455">
        <f t="shared" ca="1" si="159"/>
        <v>-8864942416116.0059</v>
      </c>
      <c r="M4058" s="471">
        <f t="shared" si="161"/>
        <v>0.05</v>
      </c>
      <c r="N4058" s="475">
        <f t="shared" si="162"/>
        <v>174557</v>
      </c>
    </row>
    <row r="4059" spans="7:14" ht="11.25" customHeight="1" x14ac:dyDescent="0.3">
      <c r="G4059" s="470"/>
      <c r="H4059" s="470">
        <v>4052</v>
      </c>
      <c r="I4059" s="455">
        <f t="shared" ca="1" si="160"/>
        <v>-8864942416116.0059</v>
      </c>
      <c r="J4059" s="455">
        <f t="array" ref="J4059">IFERROR(INDEX('Retirement Calculator'!K:K,MATCH('Lorri 401b'!N4059,'Retirement Calculator'!A:A,0),0),0)</f>
        <v>0</v>
      </c>
      <c r="K4059" s="455">
        <f t="shared" ca="1" si="158"/>
        <v>-36937260067.150024</v>
      </c>
      <c r="L4059" s="455">
        <f t="shared" ca="1" si="159"/>
        <v>-8901879676183.1563</v>
      </c>
      <c r="M4059" s="471">
        <f t="shared" si="161"/>
        <v>0.05</v>
      </c>
      <c r="N4059" s="475">
        <f t="shared" si="162"/>
        <v>174588</v>
      </c>
    </row>
    <row r="4060" spans="7:14" ht="11.25" customHeight="1" x14ac:dyDescent="0.3">
      <c r="G4060" s="470"/>
      <c r="H4060" s="470">
        <v>4053</v>
      </c>
      <c r="I4060" s="455">
        <f t="shared" ca="1" si="160"/>
        <v>-8901879676183.1563</v>
      </c>
      <c r="J4060" s="455">
        <f t="array" ref="J4060">IFERROR(INDEX('Retirement Calculator'!K:K,MATCH('Lorri 401b'!N4060,'Retirement Calculator'!A:A,0),0),0)</f>
        <v>0</v>
      </c>
      <c r="K4060" s="455">
        <f t="shared" ca="1" si="158"/>
        <v>-37091165317.429817</v>
      </c>
      <c r="L4060" s="455">
        <f t="shared" ca="1" si="159"/>
        <v>-8938970841500.5859</v>
      </c>
      <c r="M4060" s="471">
        <f t="shared" si="161"/>
        <v>0.05</v>
      </c>
      <c r="N4060" s="475">
        <f t="shared" si="162"/>
        <v>174619</v>
      </c>
    </row>
    <row r="4061" spans="7:14" ht="11.25" customHeight="1" x14ac:dyDescent="0.3">
      <c r="G4061" s="470"/>
      <c r="H4061" s="470">
        <v>4054</v>
      </c>
      <c r="I4061" s="455">
        <f t="shared" ca="1" si="160"/>
        <v>-8938970841500.5859</v>
      </c>
      <c r="J4061" s="455">
        <f t="array" ref="J4061">IFERROR(INDEX('Retirement Calculator'!K:K,MATCH('Lorri 401b'!N4061,'Retirement Calculator'!A:A,0),0),0)</f>
        <v>0</v>
      </c>
      <c r="K4061" s="455">
        <f t="shared" ca="1" si="158"/>
        <v>-37245711839.585777</v>
      </c>
      <c r="L4061" s="455">
        <f t="shared" ca="1" si="159"/>
        <v>-8976216553340.1719</v>
      </c>
      <c r="M4061" s="471">
        <f t="shared" si="161"/>
        <v>0.05</v>
      </c>
      <c r="N4061" s="475">
        <f t="shared" si="162"/>
        <v>174647</v>
      </c>
    </row>
    <row r="4062" spans="7:14" ht="11.25" customHeight="1" x14ac:dyDescent="0.3">
      <c r="G4062" s="470"/>
      <c r="H4062" s="470">
        <v>4055</v>
      </c>
      <c r="I4062" s="455">
        <f t="shared" ca="1" si="160"/>
        <v>-8976216553340.1719</v>
      </c>
      <c r="J4062" s="455">
        <f t="array" ref="J4062">IFERROR(INDEX('Retirement Calculator'!K:K,MATCH('Lorri 401b'!N4062,'Retirement Calculator'!A:A,0),0),0)</f>
        <v>0</v>
      </c>
      <c r="K4062" s="455">
        <f t="shared" ca="1" si="158"/>
        <v>-37400902305.584045</v>
      </c>
      <c r="L4062" s="455">
        <f t="shared" ca="1" si="159"/>
        <v>-9013617455645.7559</v>
      </c>
      <c r="M4062" s="471">
        <f t="shared" si="161"/>
        <v>0.05</v>
      </c>
      <c r="N4062" s="475">
        <f t="shared" si="162"/>
        <v>174678</v>
      </c>
    </row>
    <row r="4063" spans="7:14" ht="11.25" customHeight="1" x14ac:dyDescent="0.3">
      <c r="G4063" s="470"/>
      <c r="H4063" s="470">
        <v>4056</v>
      </c>
      <c r="I4063" s="455">
        <f t="shared" ca="1" si="160"/>
        <v>-9013617455645.7559</v>
      </c>
      <c r="J4063" s="455">
        <f t="array" ref="J4063">IFERROR(INDEX('Retirement Calculator'!K:K,MATCH('Lorri 401b'!N4063,'Retirement Calculator'!A:A,0),0),0)</f>
        <v>0</v>
      </c>
      <c r="K4063" s="455">
        <f t="shared" ca="1" si="158"/>
        <v>-37556739398.523979</v>
      </c>
      <c r="L4063" s="455">
        <f t="shared" ca="1" si="159"/>
        <v>-9051174195044.2793</v>
      </c>
      <c r="M4063" s="471">
        <f t="shared" si="161"/>
        <v>0.05</v>
      </c>
      <c r="N4063" s="475">
        <f t="shared" si="162"/>
        <v>174708</v>
      </c>
    </row>
    <row r="4064" spans="7:14" ht="11.25" customHeight="1" x14ac:dyDescent="0.3">
      <c r="G4064" s="470"/>
      <c r="H4064" s="470">
        <v>4057</v>
      </c>
      <c r="I4064" s="455">
        <f t="shared" ca="1" si="160"/>
        <v>-9051174195044.2793</v>
      </c>
      <c r="J4064" s="455">
        <f t="array" ref="J4064">IFERROR(INDEX('Retirement Calculator'!K:K,MATCH('Lorri 401b'!N4064,'Retirement Calculator'!A:A,0),0),0)</f>
        <v>0</v>
      </c>
      <c r="K4064" s="455">
        <f t="shared" ca="1" si="158"/>
        <v>-37713225812.684494</v>
      </c>
      <c r="L4064" s="455">
        <f t="shared" ca="1" si="159"/>
        <v>-9088887420856.9629</v>
      </c>
      <c r="M4064" s="471">
        <f t="shared" si="161"/>
        <v>0.05</v>
      </c>
      <c r="N4064" s="475">
        <f t="shared" si="162"/>
        <v>174739</v>
      </c>
    </row>
    <row r="4065" spans="7:14" ht="11.25" customHeight="1" x14ac:dyDescent="0.3">
      <c r="G4065" s="470"/>
      <c r="H4065" s="470">
        <v>4058</v>
      </c>
      <c r="I4065" s="455">
        <f t="shared" ca="1" si="160"/>
        <v>-9088887420856.9629</v>
      </c>
      <c r="J4065" s="455">
        <f t="array" ref="J4065">IFERROR(INDEX('Retirement Calculator'!K:K,MATCH('Lorri 401b'!N4065,'Retirement Calculator'!A:A,0),0),0)</f>
        <v>0</v>
      </c>
      <c r="K4065" s="455">
        <f t="shared" ca="1" si="158"/>
        <v>-37870364253.570679</v>
      </c>
      <c r="L4065" s="455">
        <f t="shared" ca="1" si="159"/>
        <v>-9126757785110.5332</v>
      </c>
      <c r="M4065" s="471">
        <f t="shared" si="161"/>
        <v>0.05</v>
      </c>
      <c r="N4065" s="475">
        <f t="shared" si="162"/>
        <v>174769</v>
      </c>
    </row>
    <row r="4066" spans="7:14" ht="11.25" customHeight="1" x14ac:dyDescent="0.3">
      <c r="G4066" s="470"/>
      <c r="H4066" s="470">
        <v>4059</v>
      </c>
      <c r="I4066" s="455">
        <f t="shared" ca="1" si="160"/>
        <v>-9126757785110.5332</v>
      </c>
      <c r="J4066" s="455">
        <f t="array" ref="J4066">IFERROR(INDEX('Retirement Calculator'!K:K,MATCH('Lorri 401b'!N4066,'Retirement Calculator'!A:A,0),0),0)</f>
        <v>0</v>
      </c>
      <c r="K4066" s="455">
        <f t="shared" ca="1" si="158"/>
        <v>-38028157437.960556</v>
      </c>
      <c r="L4066" s="455">
        <f t="shared" ca="1" si="159"/>
        <v>-9164785942548.4941</v>
      </c>
      <c r="M4066" s="471">
        <f t="shared" si="161"/>
        <v>0.05</v>
      </c>
      <c r="N4066" s="475">
        <f t="shared" si="162"/>
        <v>174800</v>
      </c>
    </row>
    <row r="4067" spans="7:14" ht="11.25" customHeight="1" x14ac:dyDescent="0.3">
      <c r="G4067" s="470"/>
      <c r="H4067" s="470">
        <v>4060</v>
      </c>
      <c r="I4067" s="455">
        <f t="shared" ca="1" si="160"/>
        <v>-9164785942548.4941</v>
      </c>
      <c r="J4067" s="455">
        <f t="array" ref="J4067">IFERROR(INDEX('Retirement Calculator'!K:K,MATCH('Lorri 401b'!N4067,'Retirement Calculator'!A:A,0),0),0)</f>
        <v>0</v>
      </c>
      <c r="K4067" s="455">
        <f t="shared" ca="1" si="158"/>
        <v>-38186608093.952057</v>
      </c>
      <c r="L4067" s="455">
        <f t="shared" ca="1" si="159"/>
        <v>-9202972550642.4453</v>
      </c>
      <c r="M4067" s="471">
        <f t="shared" si="161"/>
        <v>0.05</v>
      </c>
      <c r="N4067" s="475">
        <f t="shared" si="162"/>
        <v>174831</v>
      </c>
    </row>
    <row r="4068" spans="7:14" ht="11.25" customHeight="1" x14ac:dyDescent="0.3">
      <c r="G4068" s="470"/>
      <c r="H4068" s="470">
        <v>4061</v>
      </c>
      <c r="I4068" s="455">
        <f t="shared" ca="1" si="160"/>
        <v>-9202972550642.4453</v>
      </c>
      <c r="J4068" s="455">
        <f t="array" ref="J4068">IFERROR(INDEX('Retirement Calculator'!K:K,MATCH('Lorri 401b'!N4068,'Retirement Calculator'!A:A,0),0),0)</f>
        <v>0</v>
      </c>
      <c r="K4068" s="455">
        <f t="shared" ca="1" si="158"/>
        <v>-38345718961.010185</v>
      </c>
      <c r="L4068" s="455">
        <f t="shared" ca="1" si="159"/>
        <v>-9241318269603.4551</v>
      </c>
      <c r="M4068" s="471">
        <f t="shared" si="161"/>
        <v>0.05</v>
      </c>
      <c r="N4068" s="475">
        <f t="shared" si="162"/>
        <v>174861</v>
      </c>
    </row>
    <row r="4069" spans="7:14" ht="11.25" customHeight="1" x14ac:dyDescent="0.3">
      <c r="G4069" s="470"/>
      <c r="H4069" s="470">
        <v>4062</v>
      </c>
      <c r="I4069" s="455">
        <f t="shared" ca="1" si="160"/>
        <v>-9241318269603.4551</v>
      </c>
      <c r="J4069" s="455">
        <f t="array" ref="J4069">IFERROR(INDEX('Retirement Calculator'!K:K,MATCH('Lorri 401b'!N4069,'Retirement Calculator'!A:A,0),0),0)</f>
        <v>0</v>
      </c>
      <c r="K4069" s="455">
        <f t="shared" ca="1" si="158"/>
        <v>-38505492790.014397</v>
      </c>
      <c r="L4069" s="455">
        <f t="shared" ca="1" si="159"/>
        <v>-9279823762393.4688</v>
      </c>
      <c r="M4069" s="471">
        <f t="shared" si="161"/>
        <v>0.05</v>
      </c>
      <c r="N4069" s="475">
        <f t="shared" si="162"/>
        <v>174892</v>
      </c>
    </row>
    <row r="4070" spans="7:14" ht="11.25" customHeight="1" x14ac:dyDescent="0.3">
      <c r="G4070" s="470"/>
      <c r="H4070" s="470">
        <v>4063</v>
      </c>
      <c r="I4070" s="455">
        <f t="shared" ca="1" si="160"/>
        <v>-9279823762393.4688</v>
      </c>
      <c r="J4070" s="455">
        <f t="array" ref="J4070">IFERROR(INDEX('Retirement Calculator'!K:K,MATCH('Lorri 401b'!N4070,'Retirement Calculator'!A:A,0),0),0)</f>
        <v>0</v>
      </c>
      <c r="K4070" s="455">
        <f t="shared" ca="1" si="158"/>
        <v>-38665932343.306122</v>
      </c>
      <c r="L4070" s="455">
        <f t="shared" ca="1" si="159"/>
        <v>-9318489694736.7754</v>
      </c>
      <c r="M4070" s="471">
        <f t="shared" si="161"/>
        <v>0.05</v>
      </c>
      <c r="N4070" s="475">
        <f t="shared" si="162"/>
        <v>174922</v>
      </c>
    </row>
    <row r="4071" spans="7:14" ht="11.25" customHeight="1" x14ac:dyDescent="0.3">
      <c r="G4071" s="470"/>
      <c r="H4071" s="470">
        <v>4064</v>
      </c>
      <c r="I4071" s="455">
        <f t="shared" ca="1" si="160"/>
        <v>-9318489694736.7754</v>
      </c>
      <c r="J4071" s="455">
        <f t="array" ref="J4071">IFERROR(INDEX('Retirement Calculator'!K:K,MATCH('Lorri 401b'!N4071,'Retirement Calculator'!A:A,0),0),0)</f>
        <v>0</v>
      </c>
      <c r="K4071" s="455">
        <f t="shared" ca="1" si="158"/>
        <v>-38827040394.736565</v>
      </c>
      <c r="L4071" s="455">
        <f t="shared" ca="1" si="159"/>
        <v>-9357316735131.5117</v>
      </c>
      <c r="M4071" s="471">
        <f t="shared" si="161"/>
        <v>0.05</v>
      </c>
      <c r="N4071" s="475">
        <f t="shared" si="162"/>
        <v>174953</v>
      </c>
    </row>
    <row r="4072" spans="7:14" ht="11.25" customHeight="1" x14ac:dyDescent="0.3">
      <c r="G4072" s="470"/>
      <c r="H4072" s="470">
        <v>4065</v>
      </c>
      <c r="I4072" s="455">
        <f t="shared" ca="1" si="160"/>
        <v>-9357316735131.5117</v>
      </c>
      <c r="J4072" s="455">
        <f t="array" ref="J4072">IFERROR(INDEX('Retirement Calculator'!K:K,MATCH('Lorri 401b'!N4072,'Retirement Calculator'!A:A,0),0),0)</f>
        <v>0</v>
      </c>
      <c r="K4072" s="455">
        <f t="shared" ca="1" si="158"/>
        <v>-38988819729.71463</v>
      </c>
      <c r="L4072" s="455">
        <f t="shared" ca="1" si="159"/>
        <v>-9396305554861.2266</v>
      </c>
      <c r="M4072" s="471">
        <f t="shared" si="161"/>
        <v>0.05</v>
      </c>
      <c r="N4072" s="475">
        <f t="shared" si="162"/>
        <v>174984</v>
      </c>
    </row>
    <row r="4073" spans="7:14" ht="11.25" customHeight="1" x14ac:dyDescent="0.3">
      <c r="G4073" s="470"/>
      <c r="H4073" s="470">
        <v>4066</v>
      </c>
      <c r="I4073" s="455">
        <f t="shared" ca="1" si="160"/>
        <v>-9396305554861.2266</v>
      </c>
      <c r="J4073" s="455">
        <f t="array" ref="J4073">IFERROR(INDEX('Retirement Calculator'!K:K,MATCH('Lorri 401b'!N4073,'Retirement Calculator'!A:A,0),0),0)</f>
        <v>0</v>
      </c>
      <c r="K4073" s="455">
        <f t="shared" ca="1" si="158"/>
        <v>-39151273145.255112</v>
      </c>
      <c r="L4073" s="455">
        <f t="shared" ca="1" si="159"/>
        <v>-9435456828006.4824</v>
      </c>
      <c r="M4073" s="471">
        <f t="shared" si="161"/>
        <v>0.05</v>
      </c>
      <c r="N4073" s="475">
        <f t="shared" si="162"/>
        <v>175012</v>
      </c>
    </row>
    <row r="4074" spans="7:14" ht="11.25" customHeight="1" x14ac:dyDescent="0.3">
      <c r="G4074" s="470"/>
      <c r="H4074" s="470">
        <v>4067</v>
      </c>
      <c r="I4074" s="455">
        <f t="shared" ca="1" si="160"/>
        <v>-9435456828006.4824</v>
      </c>
      <c r="J4074" s="455">
        <f t="array" ref="J4074">IFERROR(INDEX('Retirement Calculator'!K:K,MATCH('Lorri 401b'!N4074,'Retirement Calculator'!A:A,0),0),0)</f>
        <v>0</v>
      </c>
      <c r="K4074" s="455">
        <f t="shared" ca="1" si="158"/>
        <v>-39314403450.027008</v>
      </c>
      <c r="L4074" s="455">
        <f t="shared" ca="1" si="159"/>
        <v>-9474771231456.5098</v>
      </c>
      <c r="M4074" s="471">
        <f t="shared" si="161"/>
        <v>0.05</v>
      </c>
      <c r="N4074" s="475">
        <f t="shared" si="162"/>
        <v>175043</v>
      </c>
    </row>
    <row r="4075" spans="7:14" ht="11.25" customHeight="1" x14ac:dyDescent="0.3">
      <c r="G4075" s="470"/>
      <c r="H4075" s="470">
        <v>4068</v>
      </c>
      <c r="I4075" s="455">
        <f t="shared" ca="1" si="160"/>
        <v>-9474771231456.5098</v>
      </c>
      <c r="J4075" s="455">
        <f t="array" ref="J4075">IFERROR(INDEX('Retirement Calculator'!K:K,MATCH('Lorri 401b'!N4075,'Retirement Calculator'!A:A,0),0),0)</f>
        <v>0</v>
      </c>
      <c r="K4075" s="455">
        <f t="shared" ca="1" si="158"/>
        <v>-39478213464.402122</v>
      </c>
      <c r="L4075" s="455">
        <f t="shared" ca="1" si="159"/>
        <v>-9514249444920.9121</v>
      </c>
      <c r="M4075" s="471">
        <f t="shared" si="161"/>
        <v>0.05</v>
      </c>
      <c r="N4075" s="475">
        <f t="shared" si="162"/>
        <v>175073</v>
      </c>
    </row>
    <row r="4076" spans="7:14" ht="11.25" customHeight="1" x14ac:dyDescent="0.3">
      <c r="G4076" s="470"/>
      <c r="H4076" s="470">
        <v>4069</v>
      </c>
      <c r="I4076" s="455">
        <f t="shared" ca="1" si="160"/>
        <v>-9514249444920.9121</v>
      </c>
      <c r="J4076" s="455">
        <f t="array" ref="J4076">IFERROR(INDEX('Retirement Calculator'!K:K,MATCH('Lorri 401b'!N4076,'Retirement Calculator'!A:A,0),0),0)</f>
        <v>0</v>
      </c>
      <c r="K4076" s="455">
        <f t="shared" ca="1" si="158"/>
        <v>-39642706020.503799</v>
      </c>
      <c r="L4076" s="455">
        <f t="shared" ca="1" si="159"/>
        <v>-9553892150941.416</v>
      </c>
      <c r="M4076" s="471">
        <f t="shared" si="161"/>
        <v>0.05</v>
      </c>
      <c r="N4076" s="475">
        <f t="shared" si="162"/>
        <v>175104</v>
      </c>
    </row>
    <row r="4077" spans="7:14" ht="11.25" customHeight="1" x14ac:dyDescent="0.3">
      <c r="G4077" s="470"/>
      <c r="H4077" s="470">
        <v>4070</v>
      </c>
      <c r="I4077" s="455">
        <f t="shared" ca="1" si="160"/>
        <v>-9553892150941.416</v>
      </c>
      <c r="J4077" s="455">
        <f t="array" ref="J4077">IFERROR(INDEX('Retirement Calculator'!K:K,MATCH('Lorri 401b'!N4077,'Retirement Calculator'!A:A,0),0),0)</f>
        <v>0</v>
      </c>
      <c r="K4077" s="455">
        <f t="shared" ca="1" si="158"/>
        <v>-39807883962.255898</v>
      </c>
      <c r="L4077" s="455">
        <f t="shared" ca="1" si="159"/>
        <v>-9593700034903.6719</v>
      </c>
      <c r="M4077" s="471">
        <f t="shared" si="161"/>
        <v>0.05</v>
      </c>
      <c r="N4077" s="475">
        <f t="shared" si="162"/>
        <v>175134</v>
      </c>
    </row>
    <row r="4078" spans="7:14" ht="11.25" customHeight="1" x14ac:dyDescent="0.3">
      <c r="G4078" s="470"/>
      <c r="H4078" s="470">
        <v>4071</v>
      </c>
      <c r="I4078" s="455">
        <f t="shared" ca="1" si="160"/>
        <v>-9593700034903.6719</v>
      </c>
      <c r="J4078" s="455">
        <f t="array" ref="J4078">IFERROR(INDEX('Retirement Calculator'!K:K,MATCH('Lorri 401b'!N4078,'Retirement Calculator'!A:A,0),0),0)</f>
        <v>0</v>
      </c>
      <c r="K4078" s="455">
        <f t="shared" ca="1" si="158"/>
        <v>-39973750145.431969</v>
      </c>
      <c r="L4078" s="455">
        <f t="shared" ca="1" si="159"/>
        <v>-9633673785049.1035</v>
      </c>
      <c r="M4078" s="471">
        <f t="shared" si="161"/>
        <v>0.05</v>
      </c>
      <c r="N4078" s="475">
        <f t="shared" si="162"/>
        <v>175165</v>
      </c>
    </row>
    <row r="4079" spans="7:14" ht="11.25" customHeight="1" x14ac:dyDescent="0.3">
      <c r="G4079" s="470"/>
      <c r="H4079" s="470">
        <v>4072</v>
      </c>
      <c r="I4079" s="455">
        <f t="shared" ca="1" si="160"/>
        <v>-9633673785049.1035</v>
      </c>
      <c r="J4079" s="455">
        <f t="array" ref="J4079">IFERROR(INDEX('Retirement Calculator'!K:K,MATCH('Lorri 401b'!N4079,'Retirement Calculator'!A:A,0),0),0)</f>
        <v>0</v>
      </c>
      <c r="K4079" s="455">
        <f t="shared" ca="1" si="158"/>
        <v>-40140307437.704597</v>
      </c>
      <c r="L4079" s="455">
        <f t="shared" ca="1" si="159"/>
        <v>-9673814092486.8086</v>
      </c>
      <c r="M4079" s="471">
        <f t="shared" si="161"/>
        <v>0.05</v>
      </c>
      <c r="N4079" s="475">
        <f t="shared" si="162"/>
        <v>175196</v>
      </c>
    </row>
    <row r="4080" spans="7:14" ht="11.25" customHeight="1" x14ac:dyDescent="0.3">
      <c r="G4080" s="470"/>
      <c r="H4080" s="470">
        <v>4073</v>
      </c>
      <c r="I4080" s="455">
        <f t="shared" ca="1" si="160"/>
        <v>-9673814092486.8086</v>
      </c>
      <c r="J4080" s="455">
        <f t="array" ref="J4080">IFERROR(INDEX('Retirement Calculator'!K:K,MATCH('Lorri 401b'!N4080,'Retirement Calculator'!A:A,0),0),0)</f>
        <v>0</v>
      </c>
      <c r="K4080" s="455">
        <f t="shared" ca="1" si="158"/>
        <v>-40307558718.695038</v>
      </c>
      <c r="L4080" s="455">
        <f t="shared" ca="1" si="159"/>
        <v>-9714121651205.5039</v>
      </c>
      <c r="M4080" s="471">
        <f t="shared" si="161"/>
        <v>0.05</v>
      </c>
      <c r="N4080" s="475">
        <f t="shared" si="162"/>
        <v>175226</v>
      </c>
    </row>
    <row r="4081" spans="7:14" ht="11.25" customHeight="1" x14ac:dyDescent="0.3">
      <c r="G4081" s="470"/>
      <c r="H4081" s="470">
        <v>4074</v>
      </c>
      <c r="I4081" s="455">
        <f t="shared" ca="1" si="160"/>
        <v>-9714121651205.5039</v>
      </c>
      <c r="J4081" s="455">
        <f t="array" ref="J4081">IFERROR(INDEX('Retirement Calculator'!K:K,MATCH('Lorri 401b'!N4081,'Retirement Calculator'!A:A,0),0),0)</f>
        <v>0</v>
      </c>
      <c r="K4081" s="455">
        <f t="shared" ca="1" si="158"/>
        <v>-40475506880.022934</v>
      </c>
      <c r="L4081" s="455">
        <f t="shared" ca="1" si="159"/>
        <v>-9754597158085.5273</v>
      </c>
      <c r="M4081" s="471">
        <f t="shared" si="161"/>
        <v>0.05</v>
      </c>
      <c r="N4081" s="475">
        <f t="shared" si="162"/>
        <v>175257</v>
      </c>
    </row>
    <row r="4082" spans="7:14" ht="11.25" customHeight="1" x14ac:dyDescent="0.3">
      <c r="G4082" s="470"/>
      <c r="H4082" s="470">
        <v>4075</v>
      </c>
      <c r="I4082" s="455">
        <f t="shared" ca="1" si="160"/>
        <v>-9754597158085.5273</v>
      </c>
      <c r="J4082" s="455">
        <f t="array" ref="J4082">IFERROR(INDEX('Retirement Calculator'!K:K,MATCH('Lorri 401b'!N4082,'Retirement Calculator'!A:A,0),0),0)</f>
        <v>0</v>
      </c>
      <c r="K4082" s="455">
        <f t="shared" ca="1" si="158"/>
        <v>-40644154825.356361</v>
      </c>
      <c r="L4082" s="455">
        <f t="shared" ca="1" si="159"/>
        <v>-9795241312910.8828</v>
      </c>
      <c r="M4082" s="471">
        <f t="shared" si="161"/>
        <v>0.05</v>
      </c>
      <c r="N4082" s="475">
        <f t="shared" si="162"/>
        <v>175287</v>
      </c>
    </row>
    <row r="4083" spans="7:14" ht="11.25" customHeight="1" x14ac:dyDescent="0.3">
      <c r="G4083" s="470"/>
      <c r="H4083" s="470">
        <v>4076</v>
      </c>
      <c r="I4083" s="455">
        <f t="shared" ca="1" si="160"/>
        <v>-9795241312910.8828</v>
      </c>
      <c r="J4083" s="455">
        <f t="array" ref="J4083">IFERROR(INDEX('Retirement Calculator'!K:K,MATCH('Lorri 401b'!N4083,'Retirement Calculator'!A:A,0),0),0)</f>
        <v>0</v>
      </c>
      <c r="K4083" s="455">
        <f t="shared" ca="1" si="158"/>
        <v>-40813505470.462013</v>
      </c>
      <c r="L4083" s="455">
        <f t="shared" ca="1" si="159"/>
        <v>-9836054818381.3457</v>
      </c>
      <c r="M4083" s="471">
        <f t="shared" si="161"/>
        <v>0.05</v>
      </c>
      <c r="N4083" s="475">
        <f t="shared" si="162"/>
        <v>175318</v>
      </c>
    </row>
    <row r="4084" spans="7:14" ht="11.25" customHeight="1" x14ac:dyDescent="0.3">
      <c r="G4084" s="470"/>
      <c r="H4084" s="470">
        <v>4077</v>
      </c>
      <c r="I4084" s="455">
        <f t="shared" ca="1" si="160"/>
        <v>-9836054818381.3457</v>
      </c>
      <c r="J4084" s="455">
        <f t="array" ref="J4084">IFERROR(INDEX('Retirement Calculator'!K:K,MATCH('Lorri 401b'!N4084,'Retirement Calculator'!A:A,0),0),0)</f>
        <v>0</v>
      </c>
      <c r="K4084" s="455">
        <f t="shared" ca="1" si="158"/>
        <v>-40983561743.255608</v>
      </c>
      <c r="L4084" s="455">
        <f t="shared" ca="1" si="159"/>
        <v>-9877038380124.6016</v>
      </c>
      <c r="M4084" s="471">
        <f t="shared" si="161"/>
        <v>0.05</v>
      </c>
      <c r="N4084" s="475">
        <f t="shared" si="162"/>
        <v>175349</v>
      </c>
    </row>
    <row r="4085" spans="7:14" ht="11.25" customHeight="1" x14ac:dyDescent="0.3">
      <c r="G4085" s="470"/>
      <c r="H4085" s="470">
        <v>4078</v>
      </c>
      <c r="I4085" s="455">
        <f t="shared" ca="1" si="160"/>
        <v>-9877038380124.6016</v>
      </c>
      <c r="J4085" s="455">
        <f t="array" ref="J4085">IFERROR(INDEX('Retirement Calculator'!K:K,MATCH('Lorri 401b'!N4085,'Retirement Calculator'!A:A,0),0),0)</f>
        <v>0</v>
      </c>
      <c r="K4085" s="455">
        <f t="shared" ca="1" si="158"/>
        <v>-41154326583.852509</v>
      </c>
      <c r="L4085" s="455">
        <f t="shared" ca="1" si="159"/>
        <v>-9918192706708.4531</v>
      </c>
      <c r="M4085" s="471">
        <f t="shared" si="161"/>
        <v>0.05</v>
      </c>
      <c r="N4085" s="475">
        <f t="shared" si="162"/>
        <v>175378</v>
      </c>
    </row>
    <row r="4086" spans="7:14" ht="11.25" customHeight="1" x14ac:dyDescent="0.3">
      <c r="G4086" s="470"/>
      <c r="H4086" s="470">
        <v>4079</v>
      </c>
      <c r="I4086" s="455">
        <f t="shared" ca="1" si="160"/>
        <v>-9918192706708.4531</v>
      </c>
      <c r="J4086" s="455">
        <f t="array" ref="J4086">IFERROR(INDEX('Retirement Calculator'!K:K,MATCH('Lorri 401b'!N4086,'Retirement Calculator'!A:A,0),0),0)</f>
        <v>0</v>
      </c>
      <c r="K4086" s="455">
        <f t="shared" ca="1" si="158"/>
        <v>-41325802944.618553</v>
      </c>
      <c r="L4086" s="455">
        <f t="shared" ca="1" si="159"/>
        <v>-9959518509653.0723</v>
      </c>
      <c r="M4086" s="471">
        <f t="shared" si="161"/>
        <v>0.05</v>
      </c>
      <c r="N4086" s="475">
        <f t="shared" si="162"/>
        <v>175409</v>
      </c>
    </row>
    <row r="4087" spans="7:14" ht="11.25" customHeight="1" x14ac:dyDescent="0.3">
      <c r="G4087" s="470"/>
      <c r="H4087" s="470">
        <v>4080</v>
      </c>
      <c r="I4087" s="455">
        <f t="shared" ca="1" si="160"/>
        <v>-9959518509653.0723</v>
      </c>
      <c r="J4087" s="455">
        <f t="array" ref="J4087">IFERROR(INDEX('Retirement Calculator'!K:K,MATCH('Lorri 401b'!N4087,'Retirement Calculator'!A:A,0),0),0)</f>
        <v>0</v>
      </c>
      <c r="K4087" s="455">
        <f t="shared" ca="1" si="158"/>
        <v>-41497993790.22113</v>
      </c>
      <c r="L4087" s="455">
        <f t="shared" ca="1" si="159"/>
        <v>-10001016503443.293</v>
      </c>
      <c r="M4087" s="471">
        <f t="shared" si="161"/>
        <v>0.05</v>
      </c>
      <c r="N4087" s="475">
        <f t="shared" si="162"/>
        <v>175439</v>
      </c>
    </row>
    <row r="4088" spans="7:14" ht="11.25" customHeight="1" x14ac:dyDescent="0.3">
      <c r="G4088" s="470"/>
      <c r="H4088" s="470">
        <v>4081</v>
      </c>
      <c r="I4088" s="455">
        <f t="shared" ca="1" si="160"/>
        <v>-10001016503443.293</v>
      </c>
      <c r="J4088" s="455">
        <f t="array" ref="J4088">IFERROR(INDEX('Retirement Calculator'!K:K,MATCH('Lorri 401b'!N4088,'Retirement Calculator'!A:A,0),0),0)</f>
        <v>0</v>
      </c>
      <c r="K4088" s="455">
        <f t="shared" ref="K4088:K4342" ca="1" si="163">IPMT(M4088/12,1,12,-I4088+J4088,,0)</f>
        <v>-41670902097.680389</v>
      </c>
      <c r="L4088" s="455">
        <f t="shared" ref="L4088:L4342" ca="1" si="164">I4088-J4088+K4088</f>
        <v>-10042687405540.973</v>
      </c>
      <c r="M4088" s="471">
        <f t="shared" si="161"/>
        <v>0.05</v>
      </c>
      <c r="N4088" s="475">
        <f t="shared" si="162"/>
        <v>175470</v>
      </c>
    </row>
    <row r="4089" spans="7:14" ht="11.25" customHeight="1" x14ac:dyDescent="0.3">
      <c r="G4089" s="470"/>
      <c r="H4089" s="470">
        <v>4082</v>
      </c>
      <c r="I4089" s="455">
        <f t="shared" ref="I4089:I4343" ca="1" si="165">L4088</f>
        <v>-10042687405540.973</v>
      </c>
      <c r="J4089" s="455">
        <f t="array" ref="J4089">IFERROR(INDEX('Retirement Calculator'!K:K,MATCH('Lorri 401b'!N4089,'Retirement Calculator'!A:A,0),0),0)</f>
        <v>0</v>
      </c>
      <c r="K4089" s="455">
        <f t="shared" ca="1" si="163"/>
        <v>-41844530856.420715</v>
      </c>
      <c r="L4089" s="455">
        <f t="shared" ca="1" si="164"/>
        <v>-10084531936397.393</v>
      </c>
      <c r="M4089" s="471">
        <f t="shared" ref="M4089:M4343" si="166">M4088</f>
        <v>0.05</v>
      </c>
      <c r="N4089" s="475">
        <f t="shared" ref="N4089:N4343" si="167">EDATE(N4088,1)</f>
        <v>175500</v>
      </c>
    </row>
    <row r="4090" spans="7:14" ht="11.25" customHeight="1" x14ac:dyDescent="0.3">
      <c r="G4090" s="470"/>
      <c r="H4090" s="470">
        <v>4083</v>
      </c>
      <c r="I4090" s="455">
        <f t="shared" ca="1" si="165"/>
        <v>-10084531936397.393</v>
      </c>
      <c r="J4090" s="455">
        <f t="array" ref="J4090">IFERROR(INDEX('Retirement Calculator'!K:K,MATCH('Lorri 401b'!N4090,'Retirement Calculator'!A:A,0),0),0)</f>
        <v>0</v>
      </c>
      <c r="K4090" s="455">
        <f t="shared" ca="1" si="163"/>
        <v>-42018883068.322472</v>
      </c>
      <c r="L4090" s="455">
        <f t="shared" ca="1" si="164"/>
        <v>-10126550819465.715</v>
      </c>
      <c r="M4090" s="471">
        <f t="shared" si="166"/>
        <v>0.05</v>
      </c>
      <c r="N4090" s="475">
        <f t="shared" si="167"/>
        <v>175531</v>
      </c>
    </row>
    <row r="4091" spans="7:14" ht="11.25" customHeight="1" x14ac:dyDescent="0.3">
      <c r="G4091" s="470"/>
      <c r="H4091" s="470">
        <v>4084</v>
      </c>
      <c r="I4091" s="455">
        <f t="shared" ca="1" si="165"/>
        <v>-10126550819465.715</v>
      </c>
      <c r="J4091" s="455">
        <f t="array" ref="J4091">IFERROR(INDEX('Retirement Calculator'!K:K,MATCH('Lorri 401b'!N4091,'Retirement Calculator'!A:A,0),0),0)</f>
        <v>0</v>
      </c>
      <c r="K4091" s="455">
        <f t="shared" ca="1" si="163"/>
        <v>-42193961747.773811</v>
      </c>
      <c r="L4091" s="455">
        <f t="shared" ca="1" si="164"/>
        <v>-10168744781213.488</v>
      </c>
      <c r="M4091" s="471">
        <f t="shared" si="166"/>
        <v>0.05</v>
      </c>
      <c r="N4091" s="475">
        <f t="shared" si="167"/>
        <v>175562</v>
      </c>
    </row>
    <row r="4092" spans="7:14" ht="11.25" customHeight="1" x14ac:dyDescent="0.3">
      <c r="G4092" s="470"/>
      <c r="H4092" s="470">
        <v>4085</v>
      </c>
      <c r="I4092" s="455">
        <f t="shared" ca="1" si="165"/>
        <v>-10168744781213.488</v>
      </c>
      <c r="J4092" s="455">
        <f t="array" ref="J4092">IFERROR(INDEX('Retirement Calculator'!K:K,MATCH('Lorri 401b'!N4092,'Retirement Calculator'!A:A,0),0),0)</f>
        <v>0</v>
      </c>
      <c r="K4092" s="455">
        <f t="shared" ca="1" si="163"/>
        <v>-42369769921.72287</v>
      </c>
      <c r="L4092" s="455">
        <f t="shared" ca="1" si="164"/>
        <v>-10211114551135.211</v>
      </c>
      <c r="M4092" s="471">
        <f t="shared" si="166"/>
        <v>0.05</v>
      </c>
      <c r="N4092" s="475">
        <f t="shared" si="167"/>
        <v>175592</v>
      </c>
    </row>
    <row r="4093" spans="7:14" ht="11.25" customHeight="1" x14ac:dyDescent="0.3">
      <c r="G4093" s="470"/>
      <c r="H4093" s="470">
        <v>4086</v>
      </c>
      <c r="I4093" s="455">
        <f t="shared" ca="1" si="165"/>
        <v>-10211114551135.211</v>
      </c>
      <c r="J4093" s="455">
        <f t="array" ref="J4093">IFERROR(INDEX('Retirement Calculator'!K:K,MATCH('Lorri 401b'!N4093,'Retirement Calculator'!A:A,0),0),0)</f>
        <v>0</v>
      </c>
      <c r="K4093" s="455">
        <f t="shared" ca="1" si="163"/>
        <v>-42546310629.730042</v>
      </c>
      <c r="L4093" s="455">
        <f t="shared" ca="1" si="164"/>
        <v>-10253660861764.941</v>
      </c>
      <c r="M4093" s="471">
        <f t="shared" si="166"/>
        <v>0.05</v>
      </c>
      <c r="N4093" s="475">
        <f t="shared" si="167"/>
        <v>175623</v>
      </c>
    </row>
    <row r="4094" spans="7:14" ht="11.25" customHeight="1" x14ac:dyDescent="0.3">
      <c r="G4094" s="470"/>
      <c r="H4094" s="470">
        <v>4087</v>
      </c>
      <c r="I4094" s="455">
        <f t="shared" ca="1" si="165"/>
        <v>-10253660861764.941</v>
      </c>
      <c r="J4094" s="455">
        <f t="array" ref="J4094">IFERROR(INDEX('Retirement Calculator'!K:K,MATCH('Lorri 401b'!N4094,'Retirement Calculator'!A:A,0),0),0)</f>
        <v>0</v>
      </c>
      <c r="K4094" s="455">
        <f t="shared" ca="1" si="163"/>
        <v>-42723586924.020592</v>
      </c>
      <c r="L4094" s="455">
        <f t="shared" ca="1" si="164"/>
        <v>-10296384448688.963</v>
      </c>
      <c r="M4094" s="471">
        <f t="shared" si="166"/>
        <v>0.05</v>
      </c>
      <c r="N4094" s="475">
        <f t="shared" si="167"/>
        <v>175653</v>
      </c>
    </row>
    <row r="4095" spans="7:14" ht="11.25" customHeight="1" x14ac:dyDescent="0.3">
      <c r="G4095" s="470"/>
      <c r="H4095" s="470">
        <v>4088</v>
      </c>
      <c r="I4095" s="455">
        <f t="shared" ca="1" si="165"/>
        <v>-10296384448688.963</v>
      </c>
      <c r="J4095" s="455">
        <f t="array" ref="J4095">IFERROR(INDEX('Retirement Calculator'!K:K,MATCH('Lorri 401b'!N4095,'Retirement Calculator'!A:A,0),0),0)</f>
        <v>0</v>
      </c>
      <c r="K4095" s="455">
        <f t="shared" ca="1" si="163"/>
        <v>-42901601869.537346</v>
      </c>
      <c r="L4095" s="455">
        <f t="shared" ca="1" si="164"/>
        <v>-10339286050558.5</v>
      </c>
      <c r="M4095" s="471">
        <f t="shared" si="166"/>
        <v>0.05</v>
      </c>
      <c r="N4095" s="475">
        <f t="shared" si="167"/>
        <v>175684</v>
      </c>
    </row>
    <row r="4096" spans="7:14" ht="11.25" customHeight="1" x14ac:dyDescent="0.3">
      <c r="G4096" s="470"/>
      <c r="H4096" s="470">
        <v>4089</v>
      </c>
      <c r="I4096" s="455">
        <f t="shared" ca="1" si="165"/>
        <v>-10339286050558.5</v>
      </c>
      <c r="J4096" s="455">
        <f t="array" ref="J4096">IFERROR(INDEX('Retirement Calculator'!K:K,MATCH('Lorri 401b'!N4096,'Retirement Calculator'!A:A,0),0),0)</f>
        <v>0</v>
      </c>
      <c r="K4096" s="455">
        <f t="shared" ca="1" si="163"/>
        <v>-43080358543.993752</v>
      </c>
      <c r="L4096" s="455">
        <f t="shared" ca="1" si="164"/>
        <v>-10382366409102.494</v>
      </c>
      <c r="M4096" s="471">
        <f t="shared" si="166"/>
        <v>0.05</v>
      </c>
      <c r="N4096" s="475">
        <f t="shared" si="167"/>
        <v>175715</v>
      </c>
    </row>
    <row r="4097" spans="7:14" ht="11.25" customHeight="1" x14ac:dyDescent="0.3">
      <c r="G4097" s="470"/>
      <c r="H4097" s="470">
        <v>4090</v>
      </c>
      <c r="I4097" s="455">
        <f t="shared" ca="1" si="165"/>
        <v>-10382366409102.494</v>
      </c>
      <c r="J4097" s="455">
        <f t="array" ref="J4097">IFERROR(INDEX('Retirement Calculator'!K:K,MATCH('Lorri 401b'!N4097,'Retirement Calculator'!A:A,0),0),0)</f>
        <v>0</v>
      </c>
      <c r="K4097" s="455">
        <f t="shared" ca="1" si="163"/>
        <v>-43259860037.927055</v>
      </c>
      <c r="L4097" s="455">
        <f t="shared" ca="1" si="164"/>
        <v>-10425626269140.422</v>
      </c>
      <c r="M4097" s="471">
        <f t="shared" si="166"/>
        <v>0.05</v>
      </c>
      <c r="N4097" s="475">
        <f t="shared" si="167"/>
        <v>175743</v>
      </c>
    </row>
    <row r="4098" spans="7:14" ht="11.25" customHeight="1" x14ac:dyDescent="0.3">
      <c r="G4098" s="470"/>
      <c r="H4098" s="470">
        <v>4091</v>
      </c>
      <c r="I4098" s="455">
        <f t="shared" ca="1" si="165"/>
        <v>-10425626269140.422</v>
      </c>
      <c r="J4098" s="455">
        <f t="array" ref="J4098">IFERROR(INDEX('Retirement Calculator'!K:K,MATCH('Lorri 401b'!N4098,'Retirement Calculator'!A:A,0),0),0)</f>
        <v>0</v>
      </c>
      <c r="K4098" s="455">
        <f t="shared" ca="1" si="163"/>
        <v>-43440109454.751755</v>
      </c>
      <c r="L4098" s="455">
        <f t="shared" ca="1" si="164"/>
        <v>-10469066378595.174</v>
      </c>
      <c r="M4098" s="471">
        <f t="shared" si="166"/>
        <v>0.05</v>
      </c>
      <c r="N4098" s="475">
        <f t="shared" si="167"/>
        <v>175774</v>
      </c>
    </row>
    <row r="4099" spans="7:14" ht="11.25" customHeight="1" x14ac:dyDescent="0.3">
      <c r="G4099" s="470"/>
      <c r="H4099" s="470">
        <v>4092</v>
      </c>
      <c r="I4099" s="455">
        <f t="shared" ca="1" si="165"/>
        <v>-10469066378595.174</v>
      </c>
      <c r="J4099" s="455">
        <f t="array" ref="J4099">IFERROR(INDEX('Retirement Calculator'!K:K,MATCH('Lorri 401b'!N4099,'Retirement Calculator'!A:A,0),0),0)</f>
        <v>0</v>
      </c>
      <c r="K4099" s="455">
        <f t="shared" ca="1" si="163"/>
        <v>-43621109910.813225</v>
      </c>
      <c r="L4099" s="455">
        <f t="shared" ca="1" si="164"/>
        <v>-10512687488505.986</v>
      </c>
      <c r="M4099" s="471">
        <f t="shared" si="166"/>
        <v>0.05</v>
      </c>
      <c r="N4099" s="475">
        <f t="shared" si="167"/>
        <v>175804</v>
      </c>
    </row>
    <row r="4100" spans="7:14" ht="11.25" customHeight="1" x14ac:dyDescent="0.3">
      <c r="G4100" s="470"/>
      <c r="H4100" s="470">
        <v>4093</v>
      </c>
      <c r="I4100" s="455">
        <f t="shared" ca="1" si="165"/>
        <v>-10512687488505.986</v>
      </c>
      <c r="J4100" s="455">
        <f t="array" ref="J4100">IFERROR(INDEX('Retirement Calculator'!K:K,MATCH('Lorri 401b'!N4100,'Retirement Calculator'!A:A,0),0),0)</f>
        <v>0</v>
      </c>
      <c r="K4100" s="455">
        <f t="shared" ca="1" si="163"/>
        <v>-43802864535.441612</v>
      </c>
      <c r="L4100" s="455">
        <f t="shared" ca="1" si="164"/>
        <v>-10556490353041.428</v>
      </c>
      <c r="M4100" s="471">
        <f t="shared" si="166"/>
        <v>0.05</v>
      </c>
      <c r="N4100" s="475">
        <f t="shared" si="167"/>
        <v>175835</v>
      </c>
    </row>
    <row r="4101" spans="7:14" ht="11.25" customHeight="1" x14ac:dyDescent="0.3">
      <c r="G4101" s="470"/>
      <c r="H4101" s="470">
        <v>4094</v>
      </c>
      <c r="I4101" s="455">
        <f t="shared" ca="1" si="165"/>
        <v>-10556490353041.428</v>
      </c>
      <c r="J4101" s="455">
        <f t="array" ref="J4101">IFERROR(INDEX('Retirement Calculator'!K:K,MATCH('Lorri 401b'!N4101,'Retirement Calculator'!A:A,0),0),0)</f>
        <v>0</v>
      </c>
      <c r="K4101" s="455">
        <f t="shared" ca="1" si="163"/>
        <v>-43985376471.005951</v>
      </c>
      <c r="L4101" s="455">
        <f t="shared" ca="1" si="164"/>
        <v>-10600475729512.434</v>
      </c>
      <c r="M4101" s="471">
        <f t="shared" si="166"/>
        <v>0.05</v>
      </c>
      <c r="N4101" s="475">
        <f t="shared" si="167"/>
        <v>175865</v>
      </c>
    </row>
    <row r="4102" spans="7:14" ht="11.25" customHeight="1" x14ac:dyDescent="0.3">
      <c r="G4102" s="470"/>
      <c r="H4102" s="470">
        <v>4095</v>
      </c>
      <c r="I4102" s="455">
        <f t="shared" ca="1" si="165"/>
        <v>-10600475729512.434</v>
      </c>
      <c r="J4102" s="455">
        <f t="array" ref="J4102">IFERROR(INDEX('Retirement Calculator'!K:K,MATCH('Lorri 401b'!N4102,'Retirement Calculator'!A:A,0),0),0)</f>
        <v>0</v>
      </c>
      <c r="K4102" s="455">
        <f t="shared" ca="1" si="163"/>
        <v>-44168648872.968475</v>
      </c>
      <c r="L4102" s="455">
        <f t="shared" ca="1" si="164"/>
        <v>-10644644378385.402</v>
      </c>
      <c r="M4102" s="471">
        <f t="shared" si="166"/>
        <v>0.05</v>
      </c>
      <c r="N4102" s="475">
        <f t="shared" si="167"/>
        <v>175896</v>
      </c>
    </row>
    <row r="4103" spans="7:14" ht="11.25" customHeight="1" x14ac:dyDescent="0.3">
      <c r="G4103" s="470"/>
      <c r="H4103" s="470">
        <v>4096</v>
      </c>
      <c r="I4103" s="455">
        <f t="shared" ca="1" si="165"/>
        <v>-10644644378385.402</v>
      </c>
      <c r="J4103" s="455">
        <f t="array" ref="J4103">IFERROR(INDEX('Retirement Calculator'!K:K,MATCH('Lorri 401b'!N4103,'Retirement Calculator'!A:A,0),0),0)</f>
        <v>0</v>
      </c>
      <c r="K4103" s="455">
        <f t="shared" ca="1" si="163"/>
        <v>-44352684909.939178</v>
      </c>
      <c r="L4103" s="455">
        <f t="shared" ca="1" si="164"/>
        <v>-10688997063295.342</v>
      </c>
      <c r="M4103" s="471">
        <f t="shared" si="166"/>
        <v>0.05</v>
      </c>
      <c r="N4103" s="475">
        <f t="shared" si="167"/>
        <v>175927</v>
      </c>
    </row>
    <row r="4104" spans="7:14" ht="11.25" customHeight="1" x14ac:dyDescent="0.3">
      <c r="G4104" s="470"/>
      <c r="H4104" s="470">
        <v>4097</v>
      </c>
      <c r="I4104" s="455">
        <f t="shared" ca="1" si="165"/>
        <v>-10688997063295.342</v>
      </c>
      <c r="J4104" s="455">
        <f t="array" ref="J4104">IFERROR(INDEX('Retirement Calculator'!K:K,MATCH('Lorri 401b'!N4104,'Retirement Calculator'!A:A,0),0),0)</f>
        <v>0</v>
      </c>
      <c r="K4104" s="455">
        <f t="shared" ca="1" si="163"/>
        <v>-44537487763.730591</v>
      </c>
      <c r="L4104" s="455">
        <f t="shared" ca="1" si="164"/>
        <v>-10733534551059.072</v>
      </c>
      <c r="M4104" s="471">
        <f t="shared" si="166"/>
        <v>0.05</v>
      </c>
      <c r="N4104" s="475">
        <f t="shared" si="167"/>
        <v>175957</v>
      </c>
    </row>
    <row r="4105" spans="7:14" ht="11.25" customHeight="1" x14ac:dyDescent="0.3">
      <c r="G4105" s="470"/>
      <c r="H4105" s="470">
        <v>4098</v>
      </c>
      <c r="I4105" s="455">
        <f t="shared" ca="1" si="165"/>
        <v>-10733534551059.072</v>
      </c>
      <c r="J4105" s="455">
        <f t="array" ref="J4105">IFERROR(INDEX('Retirement Calculator'!K:K,MATCH('Lorri 401b'!N4105,'Retirement Calculator'!A:A,0),0),0)</f>
        <v>0</v>
      </c>
      <c r="K4105" s="455">
        <f t="shared" ca="1" si="163"/>
        <v>-44723060629.412804</v>
      </c>
      <c r="L4105" s="455">
        <f t="shared" ca="1" si="164"/>
        <v>-10778257611688.484</v>
      </c>
      <c r="M4105" s="471">
        <f t="shared" si="166"/>
        <v>0.05</v>
      </c>
      <c r="N4105" s="475">
        <f t="shared" si="167"/>
        <v>175988</v>
      </c>
    </row>
    <row r="4106" spans="7:14" ht="11.25" customHeight="1" x14ac:dyDescent="0.3">
      <c r="G4106" s="470"/>
      <c r="H4106" s="470">
        <v>4099</v>
      </c>
      <c r="I4106" s="455">
        <f t="shared" ca="1" si="165"/>
        <v>-10778257611688.484</v>
      </c>
      <c r="J4106" s="455">
        <f t="array" ref="J4106">IFERROR(INDEX('Retirement Calculator'!K:K,MATCH('Lorri 401b'!N4106,'Retirement Calculator'!A:A,0),0),0)</f>
        <v>0</v>
      </c>
      <c r="K4106" s="455">
        <f t="shared" ca="1" si="163"/>
        <v>-44909406715.368683</v>
      </c>
      <c r="L4106" s="455">
        <f t="shared" ca="1" si="164"/>
        <v>-10823167018403.854</v>
      </c>
      <c r="M4106" s="471">
        <f t="shared" si="166"/>
        <v>0.05</v>
      </c>
      <c r="N4106" s="475">
        <f t="shared" si="167"/>
        <v>176018</v>
      </c>
    </row>
    <row r="4107" spans="7:14" ht="11.25" customHeight="1" x14ac:dyDescent="0.3">
      <c r="G4107" s="470"/>
      <c r="H4107" s="470">
        <v>4100</v>
      </c>
      <c r="I4107" s="455">
        <f t="shared" ca="1" si="165"/>
        <v>-10823167018403.854</v>
      </c>
      <c r="J4107" s="455">
        <f t="array" ref="J4107">IFERROR(INDEX('Retirement Calculator'!K:K,MATCH('Lorri 401b'!N4107,'Retirement Calculator'!A:A,0),0),0)</f>
        <v>0</v>
      </c>
      <c r="K4107" s="455">
        <f t="shared" ca="1" si="163"/>
        <v>-45096529243.349388</v>
      </c>
      <c r="L4107" s="455">
        <f t="shared" ca="1" si="164"/>
        <v>-10868263547647.203</v>
      </c>
      <c r="M4107" s="471">
        <f t="shared" si="166"/>
        <v>0.05</v>
      </c>
      <c r="N4107" s="475">
        <f t="shared" si="167"/>
        <v>176049</v>
      </c>
    </row>
    <row r="4108" spans="7:14" ht="11.25" customHeight="1" x14ac:dyDescent="0.3">
      <c r="G4108" s="470"/>
      <c r="H4108" s="470">
        <v>4101</v>
      </c>
      <c r="I4108" s="455">
        <f t="shared" ca="1" si="165"/>
        <v>-10868263547647.203</v>
      </c>
      <c r="J4108" s="455">
        <f t="array" ref="J4108">IFERROR(INDEX('Retirement Calculator'!K:K,MATCH('Lorri 401b'!N4108,'Retirement Calculator'!A:A,0),0),0)</f>
        <v>0</v>
      </c>
      <c r="K4108" s="455">
        <f t="shared" ca="1" si="163"/>
        <v>-45284431448.530014</v>
      </c>
      <c r="L4108" s="455">
        <f t="shared" ca="1" si="164"/>
        <v>-10913547979095.732</v>
      </c>
      <c r="M4108" s="471">
        <f t="shared" si="166"/>
        <v>0.05</v>
      </c>
      <c r="N4108" s="475">
        <f t="shared" si="167"/>
        <v>176080</v>
      </c>
    </row>
    <row r="4109" spans="7:14" ht="11.25" customHeight="1" x14ac:dyDescent="0.3">
      <c r="G4109" s="470"/>
      <c r="H4109" s="470">
        <v>4102</v>
      </c>
      <c r="I4109" s="455">
        <f t="shared" ca="1" si="165"/>
        <v>-10913547979095.732</v>
      </c>
      <c r="J4109" s="455">
        <f t="array" ref="J4109">IFERROR(INDEX('Retirement Calculator'!K:K,MATCH('Lorri 401b'!N4109,'Retirement Calculator'!A:A,0),0),0)</f>
        <v>0</v>
      </c>
      <c r="K4109" s="455">
        <f t="shared" ca="1" si="163"/>
        <v>-45473116579.565552</v>
      </c>
      <c r="L4109" s="455">
        <f t="shared" ca="1" si="164"/>
        <v>-10959021095675.299</v>
      </c>
      <c r="M4109" s="471">
        <f t="shared" si="166"/>
        <v>0.05</v>
      </c>
      <c r="N4109" s="475">
        <f t="shared" si="167"/>
        <v>176108</v>
      </c>
    </row>
    <row r="4110" spans="7:14" ht="11.25" customHeight="1" x14ac:dyDescent="0.3">
      <c r="G4110" s="470"/>
      <c r="H4110" s="470">
        <v>4103</v>
      </c>
      <c r="I4110" s="455">
        <f t="shared" ca="1" si="165"/>
        <v>-10959021095675.299</v>
      </c>
      <c r="J4110" s="455">
        <f t="array" ref="J4110">IFERROR(INDEX('Retirement Calculator'!K:K,MATCH('Lorri 401b'!N4110,'Retirement Calculator'!A:A,0),0),0)</f>
        <v>0</v>
      </c>
      <c r="K4110" s="455">
        <f t="shared" ca="1" si="163"/>
        <v>-45662587898.647079</v>
      </c>
      <c r="L4110" s="455">
        <f t="shared" ca="1" si="164"/>
        <v>-11004683683573.945</v>
      </c>
      <c r="M4110" s="471">
        <f t="shared" si="166"/>
        <v>0.05</v>
      </c>
      <c r="N4110" s="475">
        <f t="shared" si="167"/>
        <v>176139</v>
      </c>
    </row>
    <row r="4111" spans="7:14" ht="11.25" customHeight="1" x14ac:dyDescent="0.3">
      <c r="G4111" s="470"/>
      <c r="H4111" s="470">
        <v>4104</v>
      </c>
      <c r="I4111" s="455">
        <f t="shared" ca="1" si="165"/>
        <v>-11004683683573.945</v>
      </c>
      <c r="J4111" s="455">
        <f t="array" ref="J4111">IFERROR(INDEX('Retirement Calculator'!K:K,MATCH('Lorri 401b'!N4111,'Retirement Calculator'!A:A,0),0),0)</f>
        <v>0</v>
      </c>
      <c r="K4111" s="455">
        <f t="shared" ca="1" si="163"/>
        <v>-45852848681.558105</v>
      </c>
      <c r="L4111" s="455">
        <f t="shared" ca="1" si="164"/>
        <v>-11050536532255.504</v>
      </c>
      <c r="M4111" s="471">
        <f t="shared" si="166"/>
        <v>0.05</v>
      </c>
      <c r="N4111" s="475">
        <f t="shared" si="167"/>
        <v>176169</v>
      </c>
    </row>
    <row r="4112" spans="7:14" ht="11.25" customHeight="1" x14ac:dyDescent="0.3">
      <c r="G4112" s="470"/>
      <c r="H4112" s="470">
        <v>4105</v>
      </c>
      <c r="I4112" s="455">
        <f t="shared" ca="1" si="165"/>
        <v>-11050536532255.504</v>
      </c>
      <c r="J4112" s="455">
        <f t="array" ref="J4112">IFERROR(INDEX('Retirement Calculator'!K:K,MATCH('Lorri 401b'!N4112,'Retirement Calculator'!A:A,0),0),0)</f>
        <v>0</v>
      </c>
      <c r="K4112" s="455">
        <f t="shared" ca="1" si="163"/>
        <v>-46043902217.731262</v>
      </c>
      <c r="L4112" s="455">
        <f t="shared" ca="1" si="164"/>
        <v>-11096580434473.234</v>
      </c>
      <c r="M4112" s="471">
        <f t="shared" si="166"/>
        <v>0.05</v>
      </c>
      <c r="N4112" s="475">
        <f t="shared" si="167"/>
        <v>176200</v>
      </c>
    </row>
    <row r="4113" spans="7:14" ht="11.25" customHeight="1" x14ac:dyDescent="0.3">
      <c r="G4113" s="470"/>
      <c r="H4113" s="470">
        <v>4106</v>
      </c>
      <c r="I4113" s="455">
        <f t="shared" ca="1" si="165"/>
        <v>-11096580434473.234</v>
      </c>
      <c r="J4113" s="455">
        <f t="array" ref="J4113">IFERROR(INDEX('Retirement Calculator'!K:K,MATCH('Lorri 401b'!N4113,'Retirement Calculator'!A:A,0),0),0)</f>
        <v>0</v>
      </c>
      <c r="K4113" s="455">
        <f t="shared" ca="1" si="163"/>
        <v>-46235751810.305145</v>
      </c>
      <c r="L4113" s="455">
        <f t="shared" ca="1" si="164"/>
        <v>-11142816186283.539</v>
      </c>
      <c r="M4113" s="471">
        <f t="shared" si="166"/>
        <v>0.05</v>
      </c>
      <c r="N4113" s="475">
        <f t="shared" si="167"/>
        <v>176230</v>
      </c>
    </row>
    <row r="4114" spans="7:14" ht="11.25" customHeight="1" x14ac:dyDescent="0.3">
      <c r="G4114" s="470"/>
      <c r="H4114" s="470">
        <v>4107</v>
      </c>
      <c r="I4114" s="455">
        <f t="shared" ca="1" si="165"/>
        <v>-11142816186283.539</v>
      </c>
      <c r="J4114" s="455">
        <f t="array" ref="J4114">IFERROR(INDEX('Retirement Calculator'!K:K,MATCH('Lorri 401b'!N4114,'Retirement Calculator'!A:A,0),0),0)</f>
        <v>0</v>
      </c>
      <c r="K4114" s="455">
        <f t="shared" ca="1" si="163"/>
        <v>-46428400776.181412</v>
      </c>
      <c r="L4114" s="455">
        <f t="shared" ca="1" si="164"/>
        <v>-11189244587059.721</v>
      </c>
      <c r="M4114" s="471">
        <f t="shared" si="166"/>
        <v>0.05</v>
      </c>
      <c r="N4114" s="475">
        <f t="shared" si="167"/>
        <v>176261</v>
      </c>
    </row>
    <row r="4115" spans="7:14" ht="11.25" customHeight="1" x14ac:dyDescent="0.3">
      <c r="G4115" s="470"/>
      <c r="H4115" s="470">
        <v>4108</v>
      </c>
      <c r="I4115" s="455">
        <f t="shared" ca="1" si="165"/>
        <v>-11189244587059.721</v>
      </c>
      <c r="J4115" s="455">
        <f t="array" ref="J4115">IFERROR(INDEX('Retirement Calculator'!K:K,MATCH('Lorri 401b'!N4115,'Retirement Calculator'!A:A,0),0),0)</f>
        <v>0</v>
      </c>
      <c r="K4115" s="455">
        <f t="shared" ca="1" si="163"/>
        <v>-46621852446.082169</v>
      </c>
      <c r="L4115" s="455">
        <f t="shared" ca="1" si="164"/>
        <v>-11235866439505.803</v>
      </c>
      <c r="M4115" s="471">
        <f t="shared" si="166"/>
        <v>0.05</v>
      </c>
      <c r="N4115" s="475">
        <f t="shared" si="167"/>
        <v>176292</v>
      </c>
    </row>
    <row r="4116" spans="7:14" ht="11.25" customHeight="1" x14ac:dyDescent="0.3">
      <c r="G4116" s="470"/>
      <c r="H4116" s="470">
        <v>4109</v>
      </c>
      <c r="I4116" s="455">
        <f t="shared" ca="1" si="165"/>
        <v>-11235866439505.803</v>
      </c>
      <c r="J4116" s="455">
        <f t="array" ref="J4116">IFERROR(INDEX('Retirement Calculator'!K:K,MATCH('Lorri 401b'!N4116,'Retirement Calculator'!A:A,0),0),0)</f>
        <v>0</v>
      </c>
      <c r="K4116" s="455">
        <f t="shared" ca="1" si="163"/>
        <v>-46816110164.607513</v>
      </c>
      <c r="L4116" s="455">
        <f t="shared" ca="1" si="164"/>
        <v>-11282682549670.41</v>
      </c>
      <c r="M4116" s="471">
        <f t="shared" si="166"/>
        <v>0.05</v>
      </c>
      <c r="N4116" s="475">
        <f t="shared" si="167"/>
        <v>176322</v>
      </c>
    </row>
    <row r="4117" spans="7:14" ht="11.25" customHeight="1" x14ac:dyDescent="0.3">
      <c r="G4117" s="470"/>
      <c r="H4117" s="470">
        <v>4110</v>
      </c>
      <c r="I4117" s="455">
        <f t="shared" ca="1" si="165"/>
        <v>-11282682549670.41</v>
      </c>
      <c r="J4117" s="455">
        <f t="array" ref="J4117">IFERROR(INDEX('Retirement Calculator'!K:K,MATCH('Lorri 401b'!N4117,'Retirement Calculator'!A:A,0),0),0)</f>
        <v>0</v>
      </c>
      <c r="K4117" s="455">
        <f t="shared" ca="1" si="163"/>
        <v>-47011177290.293373</v>
      </c>
      <c r="L4117" s="455">
        <f t="shared" ca="1" si="164"/>
        <v>-11329693726960.703</v>
      </c>
      <c r="M4117" s="471">
        <f t="shared" si="166"/>
        <v>0.05</v>
      </c>
      <c r="N4117" s="475">
        <f t="shared" si="167"/>
        <v>176353</v>
      </c>
    </row>
    <row r="4118" spans="7:14" ht="11.25" customHeight="1" x14ac:dyDescent="0.3">
      <c r="G4118" s="470"/>
      <c r="H4118" s="470">
        <v>4111</v>
      </c>
      <c r="I4118" s="455">
        <f t="shared" ca="1" si="165"/>
        <v>-11329693726960.703</v>
      </c>
      <c r="J4118" s="455">
        <f t="array" ref="J4118">IFERROR(INDEX('Retirement Calculator'!K:K,MATCH('Lorri 401b'!N4118,'Retirement Calculator'!A:A,0),0),0)</f>
        <v>0</v>
      </c>
      <c r="K4118" s="455">
        <f t="shared" ca="1" si="163"/>
        <v>-47207057195.669594</v>
      </c>
      <c r="L4118" s="455">
        <f t="shared" ca="1" si="164"/>
        <v>-11376900784156.373</v>
      </c>
      <c r="M4118" s="471">
        <f t="shared" si="166"/>
        <v>0.05</v>
      </c>
      <c r="N4118" s="475">
        <f t="shared" si="167"/>
        <v>176383</v>
      </c>
    </row>
    <row r="4119" spans="7:14" ht="11.25" customHeight="1" x14ac:dyDescent="0.3">
      <c r="G4119" s="470"/>
      <c r="H4119" s="470">
        <v>4112</v>
      </c>
      <c r="I4119" s="455">
        <f t="shared" ca="1" si="165"/>
        <v>-11376900784156.373</v>
      </c>
      <c r="J4119" s="455">
        <f t="array" ref="J4119">IFERROR(INDEX('Retirement Calculator'!K:K,MATCH('Lorri 401b'!N4119,'Retirement Calculator'!A:A,0),0),0)</f>
        <v>0</v>
      </c>
      <c r="K4119" s="455">
        <f t="shared" ca="1" si="163"/>
        <v>-47403753267.318222</v>
      </c>
      <c r="L4119" s="455">
        <f t="shared" ca="1" si="164"/>
        <v>-11424304537423.691</v>
      </c>
      <c r="M4119" s="471">
        <f t="shared" si="166"/>
        <v>0.05</v>
      </c>
      <c r="N4119" s="475">
        <f t="shared" si="167"/>
        <v>176414</v>
      </c>
    </row>
    <row r="4120" spans="7:14" ht="11.25" customHeight="1" x14ac:dyDescent="0.3">
      <c r="G4120" s="470"/>
      <c r="H4120" s="470">
        <v>4113</v>
      </c>
      <c r="I4120" s="455">
        <f t="shared" ca="1" si="165"/>
        <v>-11424304537423.691</v>
      </c>
      <c r="J4120" s="455">
        <f t="array" ref="J4120">IFERROR(INDEX('Retirement Calculator'!K:K,MATCH('Lorri 401b'!N4120,'Retirement Calculator'!A:A,0),0),0)</f>
        <v>0</v>
      </c>
      <c r="K4120" s="455">
        <f t="shared" ca="1" si="163"/>
        <v>-47601268905.932045</v>
      </c>
      <c r="L4120" s="455">
        <f t="shared" ca="1" si="164"/>
        <v>-11471905806329.623</v>
      </c>
      <c r="M4120" s="471">
        <f t="shared" si="166"/>
        <v>0.05</v>
      </c>
      <c r="N4120" s="475">
        <f t="shared" si="167"/>
        <v>176445</v>
      </c>
    </row>
    <row r="4121" spans="7:14" ht="11.25" customHeight="1" x14ac:dyDescent="0.3">
      <c r="G4121" s="470"/>
      <c r="H4121" s="470">
        <v>4114</v>
      </c>
      <c r="I4121" s="455">
        <f t="shared" ca="1" si="165"/>
        <v>-11471905806329.623</v>
      </c>
      <c r="J4121" s="455">
        <f t="array" ref="J4121">IFERROR(INDEX('Retirement Calculator'!K:K,MATCH('Lorri 401b'!N4121,'Retirement Calculator'!A:A,0),0),0)</f>
        <v>0</v>
      </c>
      <c r="K4121" s="455">
        <f t="shared" ca="1" si="163"/>
        <v>-47799607526.373428</v>
      </c>
      <c r="L4121" s="455">
        <f t="shared" ca="1" si="164"/>
        <v>-11519705413855.996</v>
      </c>
      <c r="M4121" s="471">
        <f t="shared" si="166"/>
        <v>0.05</v>
      </c>
      <c r="N4121" s="475">
        <f t="shared" si="167"/>
        <v>176473</v>
      </c>
    </row>
    <row r="4122" spans="7:14" ht="11.25" customHeight="1" x14ac:dyDescent="0.3">
      <c r="G4122" s="470"/>
      <c r="H4122" s="470">
        <v>4115</v>
      </c>
      <c r="I4122" s="455">
        <f t="shared" ca="1" si="165"/>
        <v>-11519705413855.996</v>
      </c>
      <c r="J4122" s="455">
        <f t="array" ref="J4122">IFERROR(INDEX('Retirement Calculator'!K:K,MATCH('Lorri 401b'!N4122,'Retirement Calculator'!A:A,0),0),0)</f>
        <v>0</v>
      </c>
      <c r="K4122" s="455">
        <f t="shared" ca="1" si="163"/>
        <v>-47998772557.733315</v>
      </c>
      <c r="L4122" s="455">
        <f t="shared" ca="1" si="164"/>
        <v>-11567704186413.729</v>
      </c>
      <c r="M4122" s="471">
        <f t="shared" si="166"/>
        <v>0.05</v>
      </c>
      <c r="N4122" s="475">
        <f t="shared" si="167"/>
        <v>176504</v>
      </c>
    </row>
    <row r="4123" spans="7:14" ht="11.25" customHeight="1" x14ac:dyDescent="0.3">
      <c r="G4123" s="470"/>
      <c r="H4123" s="470">
        <v>4116</v>
      </c>
      <c r="I4123" s="455">
        <f t="shared" ca="1" si="165"/>
        <v>-11567704186413.729</v>
      </c>
      <c r="J4123" s="455">
        <f t="array" ref="J4123">IFERROR(INDEX('Retirement Calculator'!K:K,MATCH('Lorri 401b'!N4123,'Retirement Calculator'!A:A,0),0),0)</f>
        <v>0</v>
      </c>
      <c r="K4123" s="455">
        <f t="shared" ca="1" si="163"/>
        <v>-48198767443.390533</v>
      </c>
      <c r="L4123" s="455">
        <f t="shared" ca="1" si="164"/>
        <v>-11615902953857.119</v>
      </c>
      <c r="M4123" s="471">
        <f t="shared" si="166"/>
        <v>0.05</v>
      </c>
      <c r="N4123" s="475">
        <f t="shared" si="167"/>
        <v>176534</v>
      </c>
    </row>
    <row r="4124" spans="7:14" ht="11.25" customHeight="1" x14ac:dyDescent="0.3">
      <c r="G4124" s="470"/>
      <c r="H4124" s="470">
        <v>4117</v>
      </c>
      <c r="I4124" s="455">
        <f t="shared" ca="1" si="165"/>
        <v>-11615902953857.119</v>
      </c>
      <c r="J4124" s="455">
        <f t="array" ref="J4124">IFERROR(INDEX('Retirement Calculator'!K:K,MATCH('Lorri 401b'!N4124,'Retirement Calculator'!A:A,0),0),0)</f>
        <v>0</v>
      </c>
      <c r="K4124" s="455">
        <f t="shared" ca="1" si="163"/>
        <v>-48399595641.071327</v>
      </c>
      <c r="L4124" s="455">
        <f t="shared" ca="1" si="164"/>
        <v>-11664302549498.191</v>
      </c>
      <c r="M4124" s="471">
        <f t="shared" si="166"/>
        <v>0.05</v>
      </c>
      <c r="N4124" s="475">
        <f t="shared" si="167"/>
        <v>176565</v>
      </c>
    </row>
    <row r="4125" spans="7:14" ht="11.25" customHeight="1" x14ac:dyDescent="0.3">
      <c r="G4125" s="470"/>
      <c r="H4125" s="470">
        <v>4118</v>
      </c>
      <c r="I4125" s="455">
        <f t="shared" ca="1" si="165"/>
        <v>-11664302549498.191</v>
      </c>
      <c r="J4125" s="455">
        <f t="array" ref="J4125">IFERROR(INDEX('Retirement Calculator'!K:K,MATCH('Lorri 401b'!N4125,'Retirement Calculator'!A:A,0),0),0)</f>
        <v>0</v>
      </c>
      <c r="K4125" s="455">
        <f t="shared" ca="1" si="163"/>
        <v>-48601260622.909134</v>
      </c>
      <c r="L4125" s="455">
        <f t="shared" ca="1" si="164"/>
        <v>-11712903810121.1</v>
      </c>
      <c r="M4125" s="471">
        <f t="shared" si="166"/>
        <v>0.05</v>
      </c>
      <c r="N4125" s="475">
        <f t="shared" si="167"/>
        <v>176595</v>
      </c>
    </row>
    <row r="4126" spans="7:14" ht="11.25" customHeight="1" x14ac:dyDescent="0.3">
      <c r="G4126" s="470"/>
      <c r="H4126" s="470">
        <v>4119</v>
      </c>
      <c r="I4126" s="455">
        <f t="shared" ca="1" si="165"/>
        <v>-11712903810121.1</v>
      </c>
      <c r="J4126" s="455">
        <f t="array" ref="J4126">IFERROR(INDEX('Retirement Calculator'!K:K,MATCH('Lorri 401b'!N4126,'Retirement Calculator'!A:A,0),0),0)</f>
        <v>0</v>
      </c>
      <c r="K4126" s="455">
        <f t="shared" ca="1" si="163"/>
        <v>-48803765875.504578</v>
      </c>
      <c r="L4126" s="455">
        <f t="shared" ca="1" si="164"/>
        <v>-11761707575996.604</v>
      </c>
      <c r="M4126" s="471">
        <f t="shared" si="166"/>
        <v>0.05</v>
      </c>
      <c r="N4126" s="475">
        <f t="shared" si="167"/>
        <v>176626</v>
      </c>
    </row>
    <row r="4127" spans="7:14" ht="11.25" customHeight="1" x14ac:dyDescent="0.3">
      <c r="G4127" s="470"/>
      <c r="H4127" s="470">
        <v>4120</v>
      </c>
      <c r="I4127" s="455">
        <f t="shared" ca="1" si="165"/>
        <v>-11761707575996.604</v>
      </c>
      <c r="J4127" s="455">
        <f t="array" ref="J4127">IFERROR(INDEX('Retirement Calculator'!K:K,MATCH('Lorri 401b'!N4127,'Retirement Calculator'!A:A,0),0),0)</f>
        <v>0</v>
      </c>
      <c r="K4127" s="455">
        <f t="shared" ca="1" si="163"/>
        <v>-49007114899.985847</v>
      </c>
      <c r="L4127" s="455">
        <f t="shared" ca="1" si="164"/>
        <v>-11810714690896.59</v>
      </c>
      <c r="M4127" s="471">
        <f t="shared" si="166"/>
        <v>0.05</v>
      </c>
      <c r="N4127" s="475">
        <f t="shared" si="167"/>
        <v>176657</v>
      </c>
    </row>
    <row r="4128" spans="7:14" ht="11.25" customHeight="1" x14ac:dyDescent="0.3">
      <c r="G4128" s="470"/>
      <c r="H4128" s="470">
        <v>4121</v>
      </c>
      <c r="I4128" s="455">
        <f t="shared" ca="1" si="165"/>
        <v>-11810714690896.59</v>
      </c>
      <c r="J4128" s="455">
        <f t="array" ref="J4128">IFERROR(INDEX('Retirement Calculator'!K:K,MATCH('Lorri 401b'!N4128,'Retirement Calculator'!A:A,0),0),0)</f>
        <v>0</v>
      </c>
      <c r="K4128" s="455">
        <f t="shared" ca="1" si="163"/>
        <v>-49211311212.069122</v>
      </c>
      <c r="L4128" s="455">
        <f t="shared" ca="1" si="164"/>
        <v>-11859926002108.658</v>
      </c>
      <c r="M4128" s="471">
        <f t="shared" si="166"/>
        <v>0.05</v>
      </c>
      <c r="N4128" s="475">
        <f t="shared" si="167"/>
        <v>176687</v>
      </c>
    </row>
    <row r="4129" spans="7:14" ht="11.25" customHeight="1" x14ac:dyDescent="0.3">
      <c r="G4129" s="470"/>
      <c r="H4129" s="470">
        <v>4122</v>
      </c>
      <c r="I4129" s="455">
        <f t="shared" ca="1" si="165"/>
        <v>-11859926002108.658</v>
      </c>
      <c r="J4129" s="455">
        <f t="array" ref="J4129">IFERROR(INDEX('Retirement Calculator'!K:K,MATCH('Lorri 401b'!N4129,'Retirement Calculator'!A:A,0),0),0)</f>
        <v>0</v>
      </c>
      <c r="K4129" s="455">
        <f t="shared" ca="1" si="163"/>
        <v>-49416358342.119408</v>
      </c>
      <c r="L4129" s="455">
        <f t="shared" ca="1" si="164"/>
        <v>-11909342360450.777</v>
      </c>
      <c r="M4129" s="471">
        <f t="shared" si="166"/>
        <v>0.05</v>
      </c>
      <c r="N4129" s="475">
        <f t="shared" si="167"/>
        <v>176718</v>
      </c>
    </row>
    <row r="4130" spans="7:14" ht="11.25" customHeight="1" x14ac:dyDescent="0.3">
      <c r="G4130" s="470"/>
      <c r="H4130" s="470">
        <v>4123</v>
      </c>
      <c r="I4130" s="455">
        <f t="shared" ca="1" si="165"/>
        <v>-11909342360450.777</v>
      </c>
      <c r="J4130" s="455">
        <f t="array" ref="J4130">IFERROR(INDEX('Retirement Calculator'!K:K,MATCH('Lorri 401b'!N4130,'Retirement Calculator'!A:A,0),0),0)</f>
        <v>0</v>
      </c>
      <c r="K4130" s="455">
        <f t="shared" ca="1" si="163"/>
        <v>-49622259835.211571</v>
      </c>
      <c r="L4130" s="455">
        <f t="shared" ca="1" si="164"/>
        <v>-11958964620285.988</v>
      </c>
      <c r="M4130" s="471">
        <f t="shared" si="166"/>
        <v>0.05</v>
      </c>
      <c r="N4130" s="475">
        <f t="shared" si="167"/>
        <v>176748</v>
      </c>
    </row>
    <row r="4131" spans="7:14" ht="11.25" customHeight="1" x14ac:dyDescent="0.3">
      <c r="G4131" s="470"/>
      <c r="H4131" s="470">
        <v>4124</v>
      </c>
      <c r="I4131" s="455">
        <f t="shared" ca="1" si="165"/>
        <v>-11958964620285.988</v>
      </c>
      <c r="J4131" s="455">
        <f t="array" ref="J4131">IFERROR(INDEX('Retirement Calculator'!K:K,MATCH('Lorri 401b'!N4131,'Retirement Calculator'!A:A,0),0),0)</f>
        <v>0</v>
      </c>
      <c r="K4131" s="455">
        <f t="shared" ca="1" si="163"/>
        <v>-49829019251.19162</v>
      </c>
      <c r="L4131" s="455">
        <f t="shared" ca="1" si="164"/>
        <v>-12008793639537.18</v>
      </c>
      <c r="M4131" s="471">
        <f t="shared" si="166"/>
        <v>0.05</v>
      </c>
      <c r="N4131" s="475">
        <f t="shared" si="167"/>
        <v>176779</v>
      </c>
    </row>
    <row r="4132" spans="7:14" ht="11.25" customHeight="1" x14ac:dyDescent="0.3">
      <c r="G4132" s="470"/>
      <c r="H4132" s="470">
        <v>4125</v>
      </c>
      <c r="I4132" s="455">
        <f t="shared" ca="1" si="165"/>
        <v>-12008793639537.18</v>
      </c>
      <c r="J4132" s="455">
        <f t="array" ref="J4132">IFERROR(INDEX('Retirement Calculator'!K:K,MATCH('Lorri 401b'!N4132,'Retirement Calculator'!A:A,0),0),0)</f>
        <v>0</v>
      </c>
      <c r="K4132" s="455">
        <f t="shared" ca="1" si="163"/>
        <v>-50036640164.738251</v>
      </c>
      <c r="L4132" s="455">
        <f t="shared" ca="1" si="164"/>
        <v>-12058830279701.918</v>
      </c>
      <c r="M4132" s="471">
        <f t="shared" si="166"/>
        <v>0.05</v>
      </c>
      <c r="N4132" s="475">
        <f t="shared" si="167"/>
        <v>176810</v>
      </c>
    </row>
    <row r="4133" spans="7:14" ht="11.25" customHeight="1" x14ac:dyDescent="0.3">
      <c r="G4133" s="470"/>
      <c r="H4133" s="470">
        <v>4126</v>
      </c>
      <c r="I4133" s="455">
        <f t="shared" ca="1" si="165"/>
        <v>-12058830279701.918</v>
      </c>
      <c r="J4133" s="455">
        <f t="array" ref="J4133">IFERROR(INDEX('Retirement Calculator'!K:K,MATCH('Lorri 401b'!N4133,'Retirement Calculator'!A:A,0),0),0)</f>
        <v>0</v>
      </c>
      <c r="K4133" s="455">
        <f t="shared" ca="1" si="163"/>
        <v>-50245126165.42466</v>
      </c>
      <c r="L4133" s="455">
        <f t="shared" ca="1" si="164"/>
        <v>-12109075405867.342</v>
      </c>
      <c r="M4133" s="471">
        <f t="shared" si="166"/>
        <v>0.05</v>
      </c>
      <c r="N4133" s="475">
        <f t="shared" si="167"/>
        <v>176839</v>
      </c>
    </row>
    <row r="4134" spans="7:14" ht="11.25" customHeight="1" x14ac:dyDescent="0.3">
      <c r="G4134" s="470"/>
      <c r="H4134" s="470">
        <v>4127</v>
      </c>
      <c r="I4134" s="455">
        <f t="shared" ca="1" si="165"/>
        <v>-12109075405867.342</v>
      </c>
      <c r="J4134" s="455">
        <f t="array" ref="J4134">IFERROR(INDEX('Retirement Calculator'!K:K,MATCH('Lorri 401b'!N4134,'Retirement Calculator'!A:A,0),0),0)</f>
        <v>0</v>
      </c>
      <c r="K4134" s="455">
        <f t="shared" ca="1" si="163"/>
        <v>-50454480857.780594</v>
      </c>
      <c r="L4134" s="455">
        <f t="shared" ca="1" si="164"/>
        <v>-12159529886725.123</v>
      </c>
      <c r="M4134" s="471">
        <f t="shared" si="166"/>
        <v>0.05</v>
      </c>
      <c r="N4134" s="475">
        <f t="shared" si="167"/>
        <v>176870</v>
      </c>
    </row>
    <row r="4135" spans="7:14" ht="11.25" customHeight="1" x14ac:dyDescent="0.3">
      <c r="G4135" s="470"/>
      <c r="H4135" s="470">
        <v>4128</v>
      </c>
      <c r="I4135" s="455">
        <f t="shared" ca="1" si="165"/>
        <v>-12159529886725.123</v>
      </c>
      <c r="J4135" s="455">
        <f t="array" ref="J4135">IFERROR(INDEX('Retirement Calculator'!K:K,MATCH('Lorri 401b'!N4135,'Retirement Calculator'!A:A,0),0),0)</f>
        <v>0</v>
      </c>
      <c r="K4135" s="455">
        <f t="shared" ca="1" si="163"/>
        <v>-50664707861.354675</v>
      </c>
      <c r="L4135" s="455">
        <f t="shared" ca="1" si="164"/>
        <v>-12210194594586.479</v>
      </c>
      <c r="M4135" s="471">
        <f t="shared" si="166"/>
        <v>0.05</v>
      </c>
      <c r="N4135" s="475">
        <f t="shared" si="167"/>
        <v>176900</v>
      </c>
    </row>
    <row r="4136" spans="7:14" ht="11.25" customHeight="1" x14ac:dyDescent="0.3">
      <c r="G4136" s="470"/>
      <c r="H4136" s="470">
        <v>4129</v>
      </c>
      <c r="I4136" s="455">
        <f t="shared" ca="1" si="165"/>
        <v>-12210194594586.479</v>
      </c>
      <c r="J4136" s="455">
        <f t="array" ref="J4136">IFERROR(INDEX('Retirement Calculator'!K:K,MATCH('Lorri 401b'!N4136,'Retirement Calculator'!A:A,0),0),0)</f>
        <v>0</v>
      </c>
      <c r="K4136" s="455">
        <f t="shared" ca="1" si="163"/>
        <v>-50875810810.776993</v>
      </c>
      <c r="L4136" s="455">
        <f t="shared" ca="1" si="164"/>
        <v>-12261070405397.256</v>
      </c>
      <c r="M4136" s="471">
        <f t="shared" si="166"/>
        <v>0.05</v>
      </c>
      <c r="N4136" s="475">
        <f t="shared" si="167"/>
        <v>176931</v>
      </c>
    </row>
    <row r="4137" spans="7:14" ht="11.25" customHeight="1" x14ac:dyDescent="0.3">
      <c r="G4137" s="470"/>
      <c r="H4137" s="470">
        <v>4130</v>
      </c>
      <c r="I4137" s="455">
        <f t="shared" ca="1" si="165"/>
        <v>-12261070405397.256</v>
      </c>
      <c r="J4137" s="455">
        <f t="array" ref="J4137">IFERROR(INDEX('Retirement Calculator'!K:K,MATCH('Lorri 401b'!N4137,'Retirement Calculator'!A:A,0),0),0)</f>
        <v>0</v>
      </c>
      <c r="K4137" s="455">
        <f t="shared" ca="1" si="163"/>
        <v>-51087793355.821899</v>
      </c>
      <c r="L4137" s="455">
        <f t="shared" ca="1" si="164"/>
        <v>-12312158198753.078</v>
      </c>
      <c r="M4137" s="471">
        <f t="shared" si="166"/>
        <v>0.05</v>
      </c>
      <c r="N4137" s="475">
        <f t="shared" si="167"/>
        <v>176961</v>
      </c>
    </row>
    <row r="4138" spans="7:14" ht="11.25" customHeight="1" x14ac:dyDescent="0.3">
      <c r="G4138" s="470"/>
      <c r="H4138" s="470">
        <v>4131</v>
      </c>
      <c r="I4138" s="455">
        <f t="shared" ca="1" si="165"/>
        <v>-12312158198753.078</v>
      </c>
      <c r="J4138" s="455">
        <f t="array" ref="J4138">IFERROR(INDEX('Retirement Calculator'!K:K,MATCH('Lorri 401b'!N4138,'Retirement Calculator'!A:A,0),0),0)</f>
        <v>0</v>
      </c>
      <c r="K4138" s="455">
        <f t="shared" ca="1" si="163"/>
        <v>-51300659161.471161</v>
      </c>
      <c r="L4138" s="455">
        <f t="shared" ca="1" si="164"/>
        <v>-12363458857914.549</v>
      </c>
      <c r="M4138" s="471">
        <f t="shared" si="166"/>
        <v>0.05</v>
      </c>
      <c r="N4138" s="475">
        <f t="shared" si="167"/>
        <v>176992</v>
      </c>
    </row>
    <row r="4139" spans="7:14" ht="11.25" customHeight="1" x14ac:dyDescent="0.3">
      <c r="G4139" s="470"/>
      <c r="H4139" s="470">
        <v>4132</v>
      </c>
      <c r="I4139" s="455">
        <f t="shared" ca="1" si="165"/>
        <v>-12363458857914.549</v>
      </c>
      <c r="J4139" s="455">
        <f t="array" ref="J4139">IFERROR(INDEX('Retirement Calculator'!K:K,MATCH('Lorri 401b'!N4139,'Retirement Calculator'!A:A,0),0),0)</f>
        <v>0</v>
      </c>
      <c r="K4139" s="455">
        <f t="shared" ca="1" si="163"/>
        <v>-51514411907.977287</v>
      </c>
      <c r="L4139" s="455">
        <f t="shared" ca="1" si="164"/>
        <v>-12414973269822.525</v>
      </c>
      <c r="M4139" s="471">
        <f t="shared" si="166"/>
        <v>0.05</v>
      </c>
      <c r="N4139" s="475">
        <f t="shared" si="167"/>
        <v>177023</v>
      </c>
    </row>
    <row r="4140" spans="7:14" ht="11.25" customHeight="1" x14ac:dyDescent="0.3">
      <c r="G4140" s="470"/>
      <c r="H4140" s="470">
        <v>4133</v>
      </c>
      <c r="I4140" s="455">
        <f t="shared" ca="1" si="165"/>
        <v>-12414973269822.525</v>
      </c>
      <c r="J4140" s="455">
        <f t="array" ref="J4140">IFERROR(INDEX('Retirement Calculator'!K:K,MATCH('Lorri 401b'!N4140,'Retirement Calculator'!A:A,0),0),0)</f>
        <v>0</v>
      </c>
      <c r="K4140" s="455">
        <f t="shared" ca="1" si="163"/>
        <v>-51729055290.927185</v>
      </c>
      <c r="L4140" s="455">
        <f t="shared" ca="1" si="164"/>
        <v>-12466702325113.453</v>
      </c>
      <c r="M4140" s="471">
        <f t="shared" si="166"/>
        <v>0.05</v>
      </c>
      <c r="N4140" s="475">
        <f t="shared" si="167"/>
        <v>177053</v>
      </c>
    </row>
    <row r="4141" spans="7:14" ht="11.25" customHeight="1" x14ac:dyDescent="0.3">
      <c r="G4141" s="470"/>
      <c r="H4141" s="470">
        <v>4134</v>
      </c>
      <c r="I4141" s="455">
        <f t="shared" ca="1" si="165"/>
        <v>-12466702325113.453</v>
      </c>
      <c r="J4141" s="455">
        <f t="array" ref="J4141">IFERROR(INDEX('Retirement Calculator'!K:K,MATCH('Lorri 401b'!N4141,'Retirement Calculator'!A:A,0),0),0)</f>
        <v>0</v>
      </c>
      <c r="K4141" s="455">
        <f t="shared" ca="1" si="163"/>
        <v>-51944593021.306053</v>
      </c>
      <c r="L4141" s="455">
        <f t="shared" ca="1" si="164"/>
        <v>-12518646918134.76</v>
      </c>
      <c r="M4141" s="471">
        <f t="shared" si="166"/>
        <v>0.05</v>
      </c>
      <c r="N4141" s="475">
        <f t="shared" si="167"/>
        <v>177084</v>
      </c>
    </row>
    <row r="4142" spans="7:14" ht="11.25" customHeight="1" x14ac:dyDescent="0.3">
      <c r="G4142" s="470"/>
      <c r="H4142" s="470">
        <v>4135</v>
      </c>
      <c r="I4142" s="455">
        <f t="shared" ca="1" si="165"/>
        <v>-12518646918134.76</v>
      </c>
      <c r="J4142" s="455">
        <f t="array" ref="J4142">IFERROR(INDEX('Retirement Calculator'!K:K,MATCH('Lorri 401b'!N4142,'Retirement Calculator'!A:A,0),0),0)</f>
        <v>0</v>
      </c>
      <c r="K4142" s="455">
        <f t="shared" ca="1" si="163"/>
        <v>-52161028825.561501</v>
      </c>
      <c r="L4142" s="455">
        <f t="shared" ca="1" si="164"/>
        <v>-12570807946960.32</v>
      </c>
      <c r="M4142" s="471">
        <f t="shared" si="166"/>
        <v>0.05</v>
      </c>
      <c r="N4142" s="475">
        <f t="shared" si="167"/>
        <v>177114</v>
      </c>
    </row>
    <row r="4143" spans="7:14" ht="11.25" customHeight="1" x14ac:dyDescent="0.3">
      <c r="G4143" s="470"/>
      <c r="H4143" s="470">
        <v>4136</v>
      </c>
      <c r="I4143" s="455">
        <f t="shared" ca="1" si="165"/>
        <v>-12570807946960.32</v>
      </c>
      <c r="J4143" s="455">
        <f t="array" ref="J4143">IFERROR(INDEX('Retirement Calculator'!K:K,MATCH('Lorri 401b'!N4143,'Retirement Calculator'!A:A,0),0),0)</f>
        <v>0</v>
      </c>
      <c r="K4143" s="455">
        <f t="shared" ca="1" si="163"/>
        <v>-52378366445.667999</v>
      </c>
      <c r="L4143" s="455">
        <f t="shared" ca="1" si="164"/>
        <v>-12623186313405.988</v>
      </c>
      <c r="M4143" s="471">
        <f t="shared" si="166"/>
        <v>0.05</v>
      </c>
      <c r="N4143" s="475">
        <f t="shared" si="167"/>
        <v>177145</v>
      </c>
    </row>
    <row r="4144" spans="7:14" ht="11.25" customHeight="1" x14ac:dyDescent="0.3">
      <c r="G4144" s="470"/>
      <c r="H4144" s="470">
        <v>4137</v>
      </c>
      <c r="I4144" s="455">
        <f t="shared" ca="1" si="165"/>
        <v>-12623186313405.988</v>
      </c>
      <c r="J4144" s="455">
        <f t="array" ref="J4144">IFERROR(INDEX('Retirement Calculator'!K:K,MATCH('Lorri 401b'!N4144,'Retirement Calculator'!A:A,0),0),0)</f>
        <v>0</v>
      </c>
      <c r="K4144" s="455">
        <f t="shared" ca="1" si="163"/>
        <v>-52596609639.19162</v>
      </c>
      <c r="L4144" s="455">
        <f t="shared" ca="1" si="164"/>
        <v>-12675782923045.18</v>
      </c>
      <c r="M4144" s="471">
        <f t="shared" si="166"/>
        <v>0.05</v>
      </c>
      <c r="N4144" s="475">
        <f t="shared" si="167"/>
        <v>177176</v>
      </c>
    </row>
    <row r="4145" spans="7:14" ht="11.25" customHeight="1" x14ac:dyDescent="0.3">
      <c r="G4145" s="470"/>
      <c r="H4145" s="470">
        <v>4138</v>
      </c>
      <c r="I4145" s="455">
        <f t="shared" ca="1" si="165"/>
        <v>-12675782923045.18</v>
      </c>
      <c r="J4145" s="455">
        <f t="array" ref="J4145">IFERROR(INDEX('Retirement Calculator'!K:K,MATCH('Lorri 401b'!N4145,'Retirement Calculator'!A:A,0),0),0)</f>
        <v>0</v>
      </c>
      <c r="K4145" s="455">
        <f t="shared" ca="1" si="163"/>
        <v>-52815762179.354912</v>
      </c>
      <c r="L4145" s="455">
        <f t="shared" ca="1" si="164"/>
        <v>-12728598685224.535</v>
      </c>
      <c r="M4145" s="471">
        <f t="shared" si="166"/>
        <v>0.05</v>
      </c>
      <c r="N4145" s="475">
        <f t="shared" si="167"/>
        <v>177204</v>
      </c>
    </row>
    <row r="4146" spans="7:14" ht="11.25" customHeight="1" x14ac:dyDescent="0.3">
      <c r="G4146" s="470"/>
      <c r="H4146" s="470">
        <v>4139</v>
      </c>
      <c r="I4146" s="455">
        <f t="shared" ca="1" si="165"/>
        <v>-12728598685224.535</v>
      </c>
      <c r="J4146" s="455">
        <f t="array" ref="J4146">IFERROR(INDEX('Retirement Calculator'!K:K,MATCH('Lorri 401b'!N4146,'Retirement Calculator'!A:A,0),0),0)</f>
        <v>0</v>
      </c>
      <c r="K4146" s="455">
        <f t="shared" ca="1" si="163"/>
        <v>-53035827855.102226</v>
      </c>
      <c r="L4146" s="455">
        <f t="shared" ca="1" si="164"/>
        <v>-12781634513079.637</v>
      </c>
      <c r="M4146" s="471">
        <f t="shared" si="166"/>
        <v>0.05</v>
      </c>
      <c r="N4146" s="475">
        <f t="shared" si="167"/>
        <v>177235</v>
      </c>
    </row>
    <row r="4147" spans="7:14" ht="11.25" customHeight="1" x14ac:dyDescent="0.3">
      <c r="G4147" s="470"/>
      <c r="H4147" s="470">
        <v>4140</v>
      </c>
      <c r="I4147" s="455">
        <f t="shared" ca="1" si="165"/>
        <v>-12781634513079.637</v>
      </c>
      <c r="J4147" s="455">
        <f t="array" ref="J4147">IFERROR(INDEX('Retirement Calculator'!K:K,MATCH('Lorri 401b'!N4147,'Retirement Calculator'!A:A,0),0),0)</f>
        <v>0</v>
      </c>
      <c r="K4147" s="455">
        <f t="shared" ca="1" si="163"/>
        <v>-53256810471.165154</v>
      </c>
      <c r="L4147" s="455">
        <f t="shared" ca="1" si="164"/>
        <v>-12834891323550.803</v>
      </c>
      <c r="M4147" s="471">
        <f t="shared" si="166"/>
        <v>0.05</v>
      </c>
      <c r="N4147" s="475">
        <f t="shared" si="167"/>
        <v>177265</v>
      </c>
    </row>
    <row r="4148" spans="7:14" ht="11.25" customHeight="1" x14ac:dyDescent="0.3">
      <c r="G4148" s="470"/>
      <c r="H4148" s="470">
        <v>4141</v>
      </c>
      <c r="I4148" s="455">
        <f t="shared" ca="1" si="165"/>
        <v>-12834891323550.803</v>
      </c>
      <c r="J4148" s="455">
        <f t="array" ref="J4148">IFERROR(INDEX('Retirement Calculator'!K:K,MATCH('Lorri 401b'!N4148,'Retirement Calculator'!A:A,0),0),0)</f>
        <v>0</v>
      </c>
      <c r="K4148" s="455">
        <f t="shared" ca="1" si="163"/>
        <v>-53478713848.128342</v>
      </c>
      <c r="L4148" s="455">
        <f t="shared" ca="1" si="164"/>
        <v>-12888370037398.932</v>
      </c>
      <c r="M4148" s="471">
        <f t="shared" si="166"/>
        <v>0.05</v>
      </c>
      <c r="N4148" s="475">
        <f t="shared" si="167"/>
        <v>177296</v>
      </c>
    </row>
    <row r="4149" spans="7:14" ht="11.25" customHeight="1" x14ac:dyDescent="0.3">
      <c r="G4149" s="470"/>
      <c r="H4149" s="470">
        <v>4142</v>
      </c>
      <c r="I4149" s="455">
        <f t="shared" ca="1" si="165"/>
        <v>-12888370037398.932</v>
      </c>
      <c r="J4149" s="455">
        <f t="array" ref="J4149">IFERROR(INDEX('Retirement Calculator'!K:K,MATCH('Lorri 401b'!N4149,'Retirement Calculator'!A:A,0),0),0)</f>
        <v>0</v>
      </c>
      <c r="K4149" s="455">
        <f t="shared" ca="1" si="163"/>
        <v>-53701541822.495544</v>
      </c>
      <c r="L4149" s="455">
        <f t="shared" ca="1" si="164"/>
        <v>-12942071579221.428</v>
      </c>
      <c r="M4149" s="471">
        <f t="shared" si="166"/>
        <v>0.05</v>
      </c>
      <c r="N4149" s="475">
        <f t="shared" si="167"/>
        <v>177326</v>
      </c>
    </row>
    <row r="4150" spans="7:14" ht="11.25" customHeight="1" x14ac:dyDescent="0.3">
      <c r="G4150" s="470"/>
      <c r="H4150" s="470">
        <v>4143</v>
      </c>
      <c r="I4150" s="455">
        <f t="shared" ca="1" si="165"/>
        <v>-12942071579221.428</v>
      </c>
      <c r="J4150" s="455">
        <f t="array" ref="J4150">IFERROR(INDEX('Retirement Calculator'!K:K,MATCH('Lorri 401b'!N4150,'Retirement Calculator'!A:A,0),0),0)</f>
        <v>0</v>
      </c>
      <c r="K4150" s="455">
        <f t="shared" ca="1" si="163"/>
        <v>-53925298246.755951</v>
      </c>
      <c r="L4150" s="455">
        <f t="shared" ca="1" si="164"/>
        <v>-12995996877468.184</v>
      </c>
      <c r="M4150" s="471">
        <f t="shared" si="166"/>
        <v>0.05</v>
      </c>
      <c r="N4150" s="475">
        <f t="shared" si="167"/>
        <v>177357</v>
      </c>
    </row>
    <row r="4151" spans="7:14" ht="11.25" customHeight="1" x14ac:dyDescent="0.3">
      <c r="G4151" s="470"/>
      <c r="H4151" s="470">
        <v>4144</v>
      </c>
      <c r="I4151" s="455">
        <f t="shared" ca="1" si="165"/>
        <v>-12995996877468.184</v>
      </c>
      <c r="J4151" s="455">
        <f t="array" ref="J4151">IFERROR(INDEX('Retirement Calculator'!K:K,MATCH('Lorri 401b'!N4151,'Retirement Calculator'!A:A,0),0),0)</f>
        <v>0</v>
      </c>
      <c r="K4151" s="455">
        <f t="shared" ca="1" si="163"/>
        <v>-54149986989.450768</v>
      </c>
      <c r="L4151" s="455">
        <f t="shared" ca="1" si="164"/>
        <v>-13050146864457.635</v>
      </c>
      <c r="M4151" s="471">
        <f t="shared" si="166"/>
        <v>0.05</v>
      </c>
      <c r="N4151" s="475">
        <f t="shared" si="167"/>
        <v>177388</v>
      </c>
    </row>
    <row r="4152" spans="7:14" ht="11.25" customHeight="1" x14ac:dyDescent="0.3">
      <c r="G4152" s="470"/>
      <c r="H4152" s="470">
        <v>4145</v>
      </c>
      <c r="I4152" s="455">
        <f t="shared" ca="1" si="165"/>
        <v>-13050146864457.635</v>
      </c>
      <c r="J4152" s="455">
        <f t="array" ref="J4152">IFERROR(INDEX('Retirement Calculator'!K:K,MATCH('Lorri 401b'!N4152,'Retirement Calculator'!A:A,0),0),0)</f>
        <v>0</v>
      </c>
      <c r="K4152" s="455">
        <f t="shared" ca="1" si="163"/>
        <v>-54375611935.240143</v>
      </c>
      <c r="L4152" s="455">
        <f t="shared" ca="1" si="164"/>
        <v>-13104522476392.875</v>
      </c>
      <c r="M4152" s="471">
        <f t="shared" si="166"/>
        <v>0.05</v>
      </c>
      <c r="N4152" s="475">
        <f t="shared" si="167"/>
        <v>177418</v>
      </c>
    </row>
    <row r="4153" spans="7:14" ht="11.25" customHeight="1" x14ac:dyDescent="0.3">
      <c r="G4153" s="470"/>
      <c r="H4153" s="470">
        <v>4146</v>
      </c>
      <c r="I4153" s="455">
        <f t="shared" ca="1" si="165"/>
        <v>-13104522476392.875</v>
      </c>
      <c r="J4153" s="455">
        <f t="array" ref="J4153">IFERROR(INDEX('Retirement Calculator'!K:K,MATCH('Lorri 401b'!N4153,'Retirement Calculator'!A:A,0),0),0)</f>
        <v>0</v>
      </c>
      <c r="K4153" s="455">
        <f t="shared" ca="1" si="163"/>
        <v>-54602176984.970314</v>
      </c>
      <c r="L4153" s="455">
        <f t="shared" ca="1" si="164"/>
        <v>-13159124653377.846</v>
      </c>
      <c r="M4153" s="471">
        <f t="shared" si="166"/>
        <v>0.05</v>
      </c>
      <c r="N4153" s="475">
        <f t="shared" si="167"/>
        <v>177449</v>
      </c>
    </row>
    <row r="4154" spans="7:14" ht="11.25" customHeight="1" x14ac:dyDescent="0.3">
      <c r="G4154" s="470"/>
      <c r="H4154" s="470">
        <v>4147</v>
      </c>
      <c r="I4154" s="455">
        <f t="shared" ca="1" si="165"/>
        <v>-13159124653377.846</v>
      </c>
      <c r="J4154" s="455">
        <f t="array" ref="J4154">IFERROR(INDEX('Retirement Calculator'!K:K,MATCH('Lorri 401b'!N4154,'Retirement Calculator'!A:A,0),0),0)</f>
        <v>0</v>
      </c>
      <c r="K4154" s="455">
        <f t="shared" ca="1" si="163"/>
        <v>-54829686055.74102</v>
      </c>
      <c r="L4154" s="455">
        <f t="shared" ca="1" si="164"/>
        <v>-13213954339433.586</v>
      </c>
      <c r="M4154" s="471">
        <f t="shared" si="166"/>
        <v>0.05</v>
      </c>
      <c r="N4154" s="475">
        <f t="shared" si="167"/>
        <v>177479</v>
      </c>
    </row>
    <row r="4155" spans="7:14" ht="11.25" customHeight="1" x14ac:dyDescent="0.3">
      <c r="G4155" s="470"/>
      <c r="H4155" s="470">
        <v>4148</v>
      </c>
      <c r="I4155" s="455">
        <f t="shared" ca="1" si="165"/>
        <v>-13213954339433.586</v>
      </c>
      <c r="J4155" s="455">
        <f t="array" ref="J4155">IFERROR(INDEX('Retirement Calculator'!K:K,MATCH('Lorri 401b'!N4155,'Retirement Calculator'!A:A,0),0),0)</f>
        <v>0</v>
      </c>
      <c r="K4155" s="455">
        <f t="shared" ca="1" si="163"/>
        <v>-55058143080.973274</v>
      </c>
      <c r="L4155" s="455">
        <f t="shared" ca="1" si="164"/>
        <v>-13269012482514.559</v>
      </c>
      <c r="M4155" s="471">
        <f t="shared" si="166"/>
        <v>0.05</v>
      </c>
      <c r="N4155" s="475">
        <f t="shared" si="167"/>
        <v>177510</v>
      </c>
    </row>
    <row r="4156" spans="7:14" ht="11.25" customHeight="1" x14ac:dyDescent="0.3">
      <c r="G4156" s="470"/>
      <c r="H4156" s="470">
        <v>4149</v>
      </c>
      <c r="I4156" s="455">
        <f t="shared" ca="1" si="165"/>
        <v>-13269012482514.559</v>
      </c>
      <c r="J4156" s="455">
        <f t="array" ref="J4156">IFERROR(INDEX('Retirement Calculator'!K:K,MATCH('Lorri 401b'!N4156,'Retirement Calculator'!A:A,0),0),0)</f>
        <v>0</v>
      </c>
      <c r="K4156" s="455">
        <f t="shared" ca="1" si="163"/>
        <v>-55287552010.477325</v>
      </c>
      <c r="L4156" s="455">
        <f t="shared" ca="1" si="164"/>
        <v>-13324300034525.035</v>
      </c>
      <c r="M4156" s="471">
        <f t="shared" si="166"/>
        <v>0.05</v>
      </c>
      <c r="N4156" s="475">
        <f t="shared" si="167"/>
        <v>177541</v>
      </c>
    </row>
    <row r="4157" spans="7:14" ht="11.25" customHeight="1" x14ac:dyDescent="0.3">
      <c r="G4157" s="470"/>
      <c r="H4157" s="470">
        <v>4150</v>
      </c>
      <c r="I4157" s="455">
        <f t="shared" ca="1" si="165"/>
        <v>-13324300034525.035</v>
      </c>
      <c r="J4157" s="455">
        <f t="array" ref="J4157">IFERROR(INDEX('Retirement Calculator'!K:K,MATCH('Lorri 401b'!N4157,'Retirement Calculator'!A:A,0),0),0)</f>
        <v>0</v>
      </c>
      <c r="K4157" s="455">
        <f t="shared" ca="1" si="163"/>
        <v>-55517916810.520981</v>
      </c>
      <c r="L4157" s="455">
        <f t="shared" ca="1" si="164"/>
        <v>-13379817951335.557</v>
      </c>
      <c r="M4157" s="471">
        <f t="shared" si="166"/>
        <v>0.05</v>
      </c>
      <c r="N4157" s="475">
        <f t="shared" si="167"/>
        <v>177569</v>
      </c>
    </row>
    <row r="4158" spans="7:14" ht="11.25" customHeight="1" x14ac:dyDescent="0.3">
      <c r="G4158" s="470"/>
      <c r="H4158" s="470">
        <v>4151</v>
      </c>
      <c r="I4158" s="455">
        <f t="shared" ca="1" si="165"/>
        <v>-13379817951335.557</v>
      </c>
      <c r="J4158" s="455">
        <f t="array" ref="J4158">IFERROR(INDEX('Retirement Calculator'!K:K,MATCH('Lorri 401b'!N4158,'Retirement Calculator'!A:A,0),0),0)</f>
        <v>0</v>
      </c>
      <c r="K4158" s="455">
        <f t="shared" ca="1" si="163"/>
        <v>-55749241463.898155</v>
      </c>
      <c r="L4158" s="455">
        <f t="shared" ca="1" si="164"/>
        <v>-13435567192799.455</v>
      </c>
      <c r="M4158" s="471">
        <f t="shared" si="166"/>
        <v>0.05</v>
      </c>
      <c r="N4158" s="475">
        <f t="shared" si="167"/>
        <v>177600</v>
      </c>
    </row>
    <row r="4159" spans="7:14" ht="11.25" customHeight="1" x14ac:dyDescent="0.3">
      <c r="G4159" s="470"/>
      <c r="H4159" s="470">
        <v>4152</v>
      </c>
      <c r="I4159" s="455">
        <f t="shared" ca="1" si="165"/>
        <v>-13435567192799.455</v>
      </c>
      <c r="J4159" s="455">
        <f t="array" ref="J4159">IFERROR(INDEX('Retirement Calculator'!K:K,MATCH('Lorri 401b'!N4159,'Retirement Calculator'!A:A,0),0),0)</f>
        <v>0</v>
      </c>
      <c r="K4159" s="455">
        <f t="shared" ca="1" si="163"/>
        <v>-55981529969.997726</v>
      </c>
      <c r="L4159" s="455">
        <f t="shared" ca="1" si="164"/>
        <v>-13491548722769.453</v>
      </c>
      <c r="M4159" s="471">
        <f t="shared" si="166"/>
        <v>0.05</v>
      </c>
      <c r="N4159" s="475">
        <f t="shared" si="167"/>
        <v>177630</v>
      </c>
    </row>
    <row r="4160" spans="7:14" ht="11.25" customHeight="1" x14ac:dyDescent="0.3">
      <c r="G4160" s="470"/>
      <c r="H4160" s="470">
        <v>4153</v>
      </c>
      <c r="I4160" s="455">
        <f t="shared" ca="1" si="165"/>
        <v>-13491548722769.453</v>
      </c>
      <c r="J4160" s="455">
        <f t="array" ref="J4160">IFERROR(INDEX('Retirement Calculator'!K:K,MATCH('Lorri 401b'!N4160,'Retirement Calculator'!A:A,0),0),0)</f>
        <v>0</v>
      </c>
      <c r="K4160" s="455">
        <f t="shared" ca="1" si="163"/>
        <v>-56214786344.872719</v>
      </c>
      <c r="L4160" s="455">
        <f t="shared" ca="1" si="164"/>
        <v>-13547763509114.326</v>
      </c>
      <c r="M4160" s="471">
        <f t="shared" si="166"/>
        <v>0.05</v>
      </c>
      <c r="N4160" s="475">
        <f t="shared" si="167"/>
        <v>177661</v>
      </c>
    </row>
    <row r="4161" spans="7:14" ht="11.25" customHeight="1" x14ac:dyDescent="0.3">
      <c r="G4161" s="470"/>
      <c r="H4161" s="470">
        <v>4154</v>
      </c>
      <c r="I4161" s="455">
        <f t="shared" ca="1" si="165"/>
        <v>-13547763509114.326</v>
      </c>
      <c r="J4161" s="455">
        <f t="array" ref="J4161">IFERROR(INDEX('Retirement Calculator'!K:K,MATCH('Lorri 401b'!N4161,'Retirement Calculator'!A:A,0),0),0)</f>
        <v>0</v>
      </c>
      <c r="K4161" s="455">
        <f t="shared" ca="1" si="163"/>
        <v>-56449014621.309692</v>
      </c>
      <c r="L4161" s="455">
        <f t="shared" ca="1" si="164"/>
        <v>-13604212523735.637</v>
      </c>
      <c r="M4161" s="471">
        <f t="shared" si="166"/>
        <v>0.05</v>
      </c>
      <c r="N4161" s="475">
        <f t="shared" si="167"/>
        <v>177691</v>
      </c>
    </row>
    <row r="4162" spans="7:14" ht="11.25" customHeight="1" x14ac:dyDescent="0.3">
      <c r="G4162" s="470"/>
      <c r="H4162" s="470">
        <v>4155</v>
      </c>
      <c r="I4162" s="455">
        <f t="shared" ca="1" si="165"/>
        <v>-13604212523735.637</v>
      </c>
      <c r="J4162" s="455">
        <f t="array" ref="J4162">IFERROR(INDEX('Retirement Calculator'!K:K,MATCH('Lorri 401b'!N4162,'Retirement Calculator'!A:A,0),0),0)</f>
        <v>0</v>
      </c>
      <c r="K4162" s="455">
        <f t="shared" ca="1" si="163"/>
        <v>-56684218848.898483</v>
      </c>
      <c r="L4162" s="455">
        <f t="shared" ca="1" si="164"/>
        <v>-13660896742584.535</v>
      </c>
      <c r="M4162" s="471">
        <f t="shared" si="166"/>
        <v>0.05</v>
      </c>
      <c r="N4162" s="475">
        <f t="shared" si="167"/>
        <v>177722</v>
      </c>
    </row>
    <row r="4163" spans="7:14" ht="11.25" customHeight="1" x14ac:dyDescent="0.3">
      <c r="G4163" s="470"/>
      <c r="H4163" s="470">
        <v>4156</v>
      </c>
      <c r="I4163" s="455">
        <f t="shared" ca="1" si="165"/>
        <v>-13660896742584.535</v>
      </c>
      <c r="J4163" s="455">
        <f t="array" ref="J4163">IFERROR(INDEX('Retirement Calculator'!K:K,MATCH('Lorri 401b'!N4163,'Retirement Calculator'!A:A,0),0),0)</f>
        <v>0</v>
      </c>
      <c r="K4163" s="455">
        <f t="shared" ca="1" si="163"/>
        <v>-56920403094.102226</v>
      </c>
      <c r="L4163" s="455">
        <f t="shared" ca="1" si="164"/>
        <v>-13717817145678.637</v>
      </c>
      <c r="M4163" s="471">
        <f t="shared" si="166"/>
        <v>0.05</v>
      </c>
      <c r="N4163" s="475">
        <f t="shared" si="167"/>
        <v>177753</v>
      </c>
    </row>
    <row r="4164" spans="7:14" ht="11.25" customHeight="1" x14ac:dyDescent="0.3">
      <c r="G4164" s="470"/>
      <c r="H4164" s="470">
        <v>4157</v>
      </c>
      <c r="I4164" s="455">
        <f t="shared" ca="1" si="165"/>
        <v>-13717817145678.637</v>
      </c>
      <c r="J4164" s="455">
        <f t="array" ref="J4164">IFERROR(INDEX('Retirement Calculator'!K:K,MATCH('Lorri 401b'!N4164,'Retirement Calculator'!A:A,0),0),0)</f>
        <v>0</v>
      </c>
      <c r="K4164" s="455">
        <f t="shared" ca="1" si="163"/>
        <v>-57157571440.327652</v>
      </c>
      <c r="L4164" s="455">
        <f t="shared" ca="1" si="164"/>
        <v>-13774974717118.965</v>
      </c>
      <c r="M4164" s="471">
        <f t="shared" si="166"/>
        <v>0.05</v>
      </c>
      <c r="N4164" s="475">
        <f t="shared" si="167"/>
        <v>177783</v>
      </c>
    </row>
    <row r="4165" spans="7:14" ht="11.25" customHeight="1" x14ac:dyDescent="0.3">
      <c r="G4165" s="470"/>
      <c r="H4165" s="470">
        <v>4158</v>
      </c>
      <c r="I4165" s="455">
        <f t="shared" ca="1" si="165"/>
        <v>-13774974717118.965</v>
      </c>
      <c r="J4165" s="455">
        <f t="array" ref="J4165">IFERROR(INDEX('Retirement Calculator'!K:K,MATCH('Lorri 401b'!N4165,'Retirement Calculator'!A:A,0),0),0)</f>
        <v>0</v>
      </c>
      <c r="K4165" s="455">
        <f t="shared" ca="1" si="163"/>
        <v>-57395727987.995697</v>
      </c>
      <c r="L4165" s="455">
        <f t="shared" ca="1" si="164"/>
        <v>-13832370445106.961</v>
      </c>
      <c r="M4165" s="471">
        <f t="shared" si="166"/>
        <v>0.05</v>
      </c>
      <c r="N4165" s="475">
        <f t="shared" si="167"/>
        <v>177814</v>
      </c>
    </row>
    <row r="4166" spans="7:14" ht="11.25" customHeight="1" x14ac:dyDescent="0.3">
      <c r="G4166" s="470"/>
      <c r="H4166" s="470">
        <v>4159</v>
      </c>
      <c r="I4166" s="455">
        <f t="shared" ca="1" si="165"/>
        <v>-13832370445106.961</v>
      </c>
      <c r="J4166" s="455">
        <f t="array" ref="J4166">IFERROR(INDEX('Retirement Calculator'!K:K,MATCH('Lorri 401b'!N4166,'Retirement Calculator'!A:A,0),0),0)</f>
        <v>0</v>
      </c>
      <c r="K4166" s="455">
        <f t="shared" ca="1" si="163"/>
        <v>-57634876854.612328</v>
      </c>
      <c r="L4166" s="455">
        <f t="shared" ca="1" si="164"/>
        <v>-13890005321961.574</v>
      </c>
      <c r="M4166" s="471">
        <f t="shared" si="166"/>
        <v>0.05</v>
      </c>
      <c r="N4166" s="475">
        <f t="shared" si="167"/>
        <v>177844</v>
      </c>
    </row>
    <row r="4167" spans="7:14" ht="11.25" customHeight="1" x14ac:dyDescent="0.3">
      <c r="G4167" s="470"/>
      <c r="H4167" s="470">
        <v>4160</v>
      </c>
      <c r="I4167" s="455">
        <f t="shared" ca="1" si="165"/>
        <v>-13890005321961.574</v>
      </c>
      <c r="J4167" s="455">
        <f t="array" ref="J4167">IFERROR(INDEX('Retirement Calculator'!K:K,MATCH('Lorri 401b'!N4167,'Retirement Calculator'!A:A,0),0),0)</f>
        <v>0</v>
      </c>
      <c r="K4167" s="455">
        <f t="shared" ca="1" si="163"/>
        <v>-57875022174.83989</v>
      </c>
      <c r="L4167" s="455">
        <f t="shared" ca="1" si="164"/>
        <v>-13947880344136.414</v>
      </c>
      <c r="M4167" s="471">
        <f t="shared" si="166"/>
        <v>0.05</v>
      </c>
      <c r="N4167" s="475">
        <f t="shared" si="167"/>
        <v>177875</v>
      </c>
    </row>
    <row r="4168" spans="7:14" ht="11.25" customHeight="1" x14ac:dyDescent="0.3">
      <c r="G4168" s="470"/>
      <c r="H4168" s="470">
        <v>4161</v>
      </c>
      <c r="I4168" s="455">
        <f t="shared" ca="1" si="165"/>
        <v>-13947880344136.414</v>
      </c>
      <c r="J4168" s="455">
        <f t="array" ref="J4168">IFERROR(INDEX('Retirement Calculator'!K:K,MATCH('Lorri 401b'!N4168,'Retirement Calculator'!A:A,0),0),0)</f>
        <v>0</v>
      </c>
      <c r="K4168" s="455">
        <f t="shared" ca="1" si="163"/>
        <v>-58116168100.568398</v>
      </c>
      <c r="L4168" s="455">
        <f t="shared" ca="1" si="164"/>
        <v>-14005996512236.982</v>
      </c>
      <c r="M4168" s="471">
        <f t="shared" si="166"/>
        <v>0.05</v>
      </c>
      <c r="N4168" s="475">
        <f t="shared" si="167"/>
        <v>177906</v>
      </c>
    </row>
    <row r="4169" spans="7:14" ht="11.25" customHeight="1" x14ac:dyDescent="0.3">
      <c r="G4169" s="470"/>
      <c r="H4169" s="470">
        <v>4162</v>
      </c>
      <c r="I4169" s="455">
        <f t="shared" ca="1" si="165"/>
        <v>-14005996512236.982</v>
      </c>
      <c r="J4169" s="455">
        <f t="array" ref="J4169">IFERROR(INDEX('Retirement Calculator'!K:K,MATCH('Lorri 401b'!N4169,'Retirement Calculator'!A:A,0),0),0)</f>
        <v>0</v>
      </c>
      <c r="K4169" s="455">
        <f t="shared" ca="1" si="163"/>
        <v>-58358318800.987434</v>
      </c>
      <c r="L4169" s="455">
        <f t="shared" ca="1" si="164"/>
        <v>-14064354831037.971</v>
      </c>
      <c r="M4169" s="471">
        <f t="shared" si="166"/>
        <v>0.05</v>
      </c>
      <c r="N4169" s="475">
        <f t="shared" si="167"/>
        <v>177934</v>
      </c>
    </row>
    <row r="4170" spans="7:14" ht="11.25" customHeight="1" x14ac:dyDescent="0.3">
      <c r="G4170" s="470"/>
      <c r="H4170" s="470">
        <v>4163</v>
      </c>
      <c r="I4170" s="455">
        <f t="shared" ca="1" si="165"/>
        <v>-14064354831037.971</v>
      </c>
      <c r="J4170" s="455">
        <f t="array" ref="J4170">IFERROR(INDEX('Retirement Calculator'!K:K,MATCH('Lorri 401b'!N4170,'Retirement Calculator'!A:A,0),0),0)</f>
        <v>0</v>
      </c>
      <c r="K4170" s="455">
        <f t="shared" ca="1" si="163"/>
        <v>-58601478462.658203</v>
      </c>
      <c r="L4170" s="455">
        <f t="shared" ca="1" si="164"/>
        <v>-14122956309500.629</v>
      </c>
      <c r="M4170" s="471">
        <f t="shared" si="166"/>
        <v>0.05</v>
      </c>
      <c r="N4170" s="475">
        <f t="shared" si="167"/>
        <v>177965</v>
      </c>
    </row>
    <row r="4171" spans="7:14" ht="11.25" customHeight="1" x14ac:dyDescent="0.3">
      <c r="G4171" s="470"/>
      <c r="H4171" s="470">
        <v>4164</v>
      </c>
      <c r="I4171" s="455">
        <f t="shared" ca="1" si="165"/>
        <v>-14122956309500.629</v>
      </c>
      <c r="J4171" s="455">
        <f t="array" ref="J4171">IFERROR(INDEX('Retirement Calculator'!K:K,MATCH('Lorri 401b'!N4171,'Retirement Calculator'!A:A,0),0),0)</f>
        <v>0</v>
      </c>
      <c r="K4171" s="455">
        <f t="shared" ca="1" si="163"/>
        <v>-58845651289.585945</v>
      </c>
      <c r="L4171" s="455">
        <f t="shared" ca="1" si="164"/>
        <v>-14181801960790.215</v>
      </c>
      <c r="M4171" s="471">
        <f t="shared" si="166"/>
        <v>0.05</v>
      </c>
      <c r="N4171" s="475">
        <f t="shared" si="167"/>
        <v>177995</v>
      </c>
    </row>
    <row r="4172" spans="7:14" ht="11.25" customHeight="1" x14ac:dyDescent="0.3">
      <c r="G4172" s="470"/>
      <c r="H4172" s="470">
        <v>4165</v>
      </c>
      <c r="I4172" s="455">
        <f t="shared" ca="1" si="165"/>
        <v>-14181801960790.215</v>
      </c>
      <c r="J4172" s="455">
        <f t="array" ref="J4172">IFERROR(INDEX('Retirement Calculator'!K:K,MATCH('Lorri 401b'!N4172,'Retirement Calculator'!A:A,0),0),0)</f>
        <v>0</v>
      </c>
      <c r="K4172" s="455">
        <f t="shared" ca="1" si="163"/>
        <v>-59090841503.292572</v>
      </c>
      <c r="L4172" s="455">
        <f t="shared" ca="1" si="164"/>
        <v>-14240892802293.508</v>
      </c>
      <c r="M4172" s="471">
        <f t="shared" si="166"/>
        <v>0.05</v>
      </c>
      <c r="N4172" s="475">
        <f t="shared" si="167"/>
        <v>178026</v>
      </c>
    </row>
    <row r="4173" spans="7:14" ht="11.25" customHeight="1" x14ac:dyDescent="0.3">
      <c r="G4173" s="470"/>
      <c r="H4173" s="470">
        <v>4166</v>
      </c>
      <c r="I4173" s="455">
        <f t="shared" ca="1" si="165"/>
        <v>-14240892802293.508</v>
      </c>
      <c r="J4173" s="455">
        <f t="array" ref="J4173">IFERROR(INDEX('Retirement Calculator'!K:K,MATCH('Lorri 401b'!N4173,'Retirement Calculator'!A:A,0),0),0)</f>
        <v>0</v>
      </c>
      <c r="K4173" s="455">
        <f t="shared" ca="1" si="163"/>
        <v>-59337053342.889618</v>
      </c>
      <c r="L4173" s="455">
        <f t="shared" ca="1" si="164"/>
        <v>-14300229855636.396</v>
      </c>
      <c r="M4173" s="471">
        <f t="shared" si="166"/>
        <v>0.05</v>
      </c>
      <c r="N4173" s="475">
        <f t="shared" si="167"/>
        <v>178056</v>
      </c>
    </row>
    <row r="4174" spans="7:14" ht="11.25" customHeight="1" x14ac:dyDescent="0.3">
      <c r="G4174" s="470"/>
      <c r="H4174" s="470">
        <v>4167</v>
      </c>
      <c r="I4174" s="455">
        <f t="shared" ca="1" si="165"/>
        <v>-14300229855636.396</v>
      </c>
      <c r="J4174" s="455">
        <f t="array" ref="J4174">IFERROR(INDEX('Retirement Calculator'!K:K,MATCH('Lorri 401b'!N4174,'Retirement Calculator'!A:A,0),0),0)</f>
        <v>0</v>
      </c>
      <c r="K4174" s="455">
        <f t="shared" ca="1" si="163"/>
        <v>-59584291065.151649</v>
      </c>
      <c r="L4174" s="455">
        <f t="shared" ca="1" si="164"/>
        <v>-14359814146701.549</v>
      </c>
      <c r="M4174" s="471">
        <f t="shared" si="166"/>
        <v>0.05</v>
      </c>
      <c r="N4174" s="475">
        <f t="shared" si="167"/>
        <v>178087</v>
      </c>
    </row>
    <row r="4175" spans="7:14" ht="11.25" customHeight="1" x14ac:dyDescent="0.3">
      <c r="G4175" s="470"/>
      <c r="H4175" s="470">
        <v>4168</v>
      </c>
      <c r="I4175" s="455">
        <f t="shared" ca="1" si="165"/>
        <v>-14359814146701.549</v>
      </c>
      <c r="J4175" s="455">
        <f t="array" ref="J4175">IFERROR(INDEX('Retirement Calculator'!K:K,MATCH('Lorri 401b'!N4175,'Retirement Calculator'!A:A,0),0),0)</f>
        <v>0</v>
      </c>
      <c r="K4175" s="455">
        <f t="shared" ca="1" si="163"/>
        <v>-59832558944.589783</v>
      </c>
      <c r="L4175" s="455">
        <f t="shared" ca="1" si="164"/>
        <v>-14419646705646.139</v>
      </c>
      <c r="M4175" s="471">
        <f t="shared" si="166"/>
        <v>0.05</v>
      </c>
      <c r="N4175" s="475">
        <f t="shared" si="167"/>
        <v>178118</v>
      </c>
    </row>
    <row r="4176" spans="7:14" ht="11.25" customHeight="1" x14ac:dyDescent="0.3">
      <c r="G4176" s="470"/>
      <c r="H4176" s="470">
        <v>4169</v>
      </c>
      <c r="I4176" s="455">
        <f t="shared" ca="1" si="165"/>
        <v>-14419646705646.139</v>
      </c>
      <c r="J4176" s="455">
        <f t="array" ref="J4176">IFERROR(INDEX('Retirement Calculator'!K:K,MATCH('Lorri 401b'!N4176,'Retirement Calculator'!A:A,0),0),0)</f>
        <v>0</v>
      </c>
      <c r="K4176" s="455">
        <f t="shared" ca="1" si="163"/>
        <v>-60081861273.525566</v>
      </c>
      <c r="L4176" s="455">
        <f t="shared" ca="1" si="164"/>
        <v>-14479728566919.664</v>
      </c>
      <c r="M4176" s="471">
        <f t="shared" si="166"/>
        <v>0.05</v>
      </c>
      <c r="N4176" s="475">
        <f t="shared" si="167"/>
        <v>178148</v>
      </c>
    </row>
    <row r="4177" spans="7:14" ht="11.25" customHeight="1" x14ac:dyDescent="0.3">
      <c r="G4177" s="470"/>
      <c r="H4177" s="470">
        <v>4170</v>
      </c>
      <c r="I4177" s="455">
        <f t="shared" ca="1" si="165"/>
        <v>-14479728566919.664</v>
      </c>
      <c r="J4177" s="455">
        <f t="array" ref="J4177">IFERROR(INDEX('Retirement Calculator'!K:K,MATCH('Lorri 401b'!N4177,'Retirement Calculator'!A:A,0),0),0)</f>
        <v>0</v>
      </c>
      <c r="K4177" s="455">
        <f t="shared" ca="1" si="163"/>
        <v>-60332202362.165268</v>
      </c>
      <c r="L4177" s="455">
        <f t="shared" ca="1" si="164"/>
        <v>-14540060769281.83</v>
      </c>
      <c r="M4177" s="471">
        <f t="shared" si="166"/>
        <v>0.05</v>
      </c>
      <c r="N4177" s="475">
        <f t="shared" si="167"/>
        <v>178179</v>
      </c>
    </row>
    <row r="4178" spans="7:14" ht="11.25" customHeight="1" x14ac:dyDescent="0.3">
      <c r="G4178" s="470"/>
      <c r="H4178" s="470">
        <v>4171</v>
      </c>
      <c r="I4178" s="455">
        <f t="shared" ca="1" si="165"/>
        <v>-14540060769281.83</v>
      </c>
      <c r="J4178" s="455">
        <f t="array" ref="J4178">IFERROR(INDEX('Retirement Calculator'!K:K,MATCH('Lorri 401b'!N4178,'Retirement Calculator'!A:A,0),0),0)</f>
        <v>0</v>
      </c>
      <c r="K4178" s="455">
        <f t="shared" ca="1" si="163"/>
        <v>-60583586538.674301</v>
      </c>
      <c r="L4178" s="455">
        <f t="shared" ca="1" si="164"/>
        <v>-14600644355820.504</v>
      </c>
      <c r="M4178" s="471">
        <f t="shared" si="166"/>
        <v>0.05</v>
      </c>
      <c r="N4178" s="475">
        <f t="shared" si="167"/>
        <v>178209</v>
      </c>
    </row>
    <row r="4179" spans="7:14" ht="11.25" customHeight="1" x14ac:dyDescent="0.3">
      <c r="G4179" s="470"/>
      <c r="H4179" s="470">
        <v>4172</v>
      </c>
      <c r="I4179" s="455">
        <f t="shared" ca="1" si="165"/>
        <v>-14600644355820.504</v>
      </c>
      <c r="J4179" s="455">
        <f t="array" ref="J4179">IFERROR(INDEX('Retirement Calculator'!K:K,MATCH('Lorri 401b'!N4179,'Retirement Calculator'!A:A,0),0),0)</f>
        <v>0</v>
      </c>
      <c r="K4179" s="455">
        <f t="shared" ca="1" si="163"/>
        <v>-60836018149.25209</v>
      </c>
      <c r="L4179" s="455">
        <f t="shared" ca="1" si="164"/>
        <v>-14661480373969.756</v>
      </c>
      <c r="M4179" s="471">
        <f t="shared" si="166"/>
        <v>0.05</v>
      </c>
      <c r="N4179" s="475">
        <f t="shared" si="167"/>
        <v>178240</v>
      </c>
    </row>
    <row r="4180" spans="7:14" ht="11.25" customHeight="1" x14ac:dyDescent="0.3">
      <c r="G4180" s="470"/>
      <c r="H4180" s="470">
        <v>4173</v>
      </c>
      <c r="I4180" s="455">
        <f t="shared" ca="1" si="165"/>
        <v>-14661480373969.756</v>
      </c>
      <c r="J4180" s="455">
        <f t="array" ref="J4180">IFERROR(INDEX('Retirement Calculator'!K:K,MATCH('Lorri 401b'!N4180,'Retirement Calculator'!A:A,0),0),0)</f>
        <v>0</v>
      </c>
      <c r="K4180" s="455">
        <f t="shared" ca="1" si="163"/>
        <v>-61089501558.207314</v>
      </c>
      <c r="L4180" s="455">
        <f t="shared" ca="1" si="164"/>
        <v>-14722569875527.963</v>
      </c>
      <c r="M4180" s="471">
        <f t="shared" si="166"/>
        <v>0.05</v>
      </c>
      <c r="N4180" s="475">
        <f t="shared" si="167"/>
        <v>178271</v>
      </c>
    </row>
    <row r="4181" spans="7:14" ht="11.25" customHeight="1" x14ac:dyDescent="0.3">
      <c r="G4181" s="470"/>
      <c r="H4181" s="470">
        <v>4174</v>
      </c>
      <c r="I4181" s="455">
        <f t="shared" ca="1" si="165"/>
        <v>-14722569875527.963</v>
      </c>
      <c r="J4181" s="455">
        <f t="array" ref="J4181">IFERROR(INDEX('Retirement Calculator'!K:K,MATCH('Lorri 401b'!N4181,'Retirement Calculator'!A:A,0),0),0)</f>
        <v>0</v>
      </c>
      <c r="K4181" s="455">
        <f t="shared" ca="1" si="163"/>
        <v>-61344041148.03318</v>
      </c>
      <c r="L4181" s="455">
        <f t="shared" ca="1" si="164"/>
        <v>-14783913916675.996</v>
      </c>
      <c r="M4181" s="471">
        <f t="shared" si="166"/>
        <v>0.05</v>
      </c>
      <c r="N4181" s="475">
        <f t="shared" si="167"/>
        <v>178300</v>
      </c>
    </row>
    <row r="4182" spans="7:14" ht="11.25" customHeight="1" x14ac:dyDescent="0.3">
      <c r="G4182" s="470"/>
      <c r="H4182" s="470">
        <v>4175</v>
      </c>
      <c r="I4182" s="455">
        <f t="shared" ca="1" si="165"/>
        <v>-14783913916675.996</v>
      </c>
      <c r="J4182" s="455">
        <f t="array" ref="J4182">IFERROR(INDEX('Retirement Calculator'!K:K,MATCH('Lorri 401b'!N4182,'Retirement Calculator'!A:A,0),0),0)</f>
        <v>0</v>
      </c>
      <c r="K4182" s="455">
        <f t="shared" ca="1" si="163"/>
        <v>-61599641319.483307</v>
      </c>
      <c r="L4182" s="455">
        <f t="shared" ca="1" si="164"/>
        <v>-14845513557995.479</v>
      </c>
      <c r="M4182" s="471">
        <f t="shared" si="166"/>
        <v>0.05</v>
      </c>
      <c r="N4182" s="475">
        <f t="shared" si="167"/>
        <v>178331</v>
      </c>
    </row>
    <row r="4183" spans="7:14" ht="11.25" customHeight="1" x14ac:dyDescent="0.3">
      <c r="G4183" s="470"/>
      <c r="H4183" s="470">
        <v>4176</v>
      </c>
      <c r="I4183" s="455">
        <f t="shared" ca="1" si="165"/>
        <v>-14845513557995.479</v>
      </c>
      <c r="J4183" s="455">
        <f t="array" ref="J4183">IFERROR(INDEX('Retirement Calculator'!K:K,MATCH('Lorri 401b'!N4183,'Retirement Calculator'!A:A,0),0),0)</f>
        <v>0</v>
      </c>
      <c r="K4183" s="455">
        <f t="shared" ca="1" si="163"/>
        <v>-61856306491.647827</v>
      </c>
      <c r="L4183" s="455">
        <f t="shared" ca="1" si="164"/>
        <v>-14907369864487.127</v>
      </c>
      <c r="M4183" s="471">
        <f t="shared" si="166"/>
        <v>0.05</v>
      </c>
      <c r="N4183" s="475">
        <f t="shared" si="167"/>
        <v>178361</v>
      </c>
    </row>
    <row r="4184" spans="7:14" ht="11.25" customHeight="1" x14ac:dyDescent="0.3">
      <c r="G4184" s="470"/>
      <c r="H4184" s="470">
        <v>4177</v>
      </c>
      <c r="I4184" s="455">
        <f t="shared" ca="1" si="165"/>
        <v>-14907369864487.127</v>
      </c>
      <c r="J4184" s="455">
        <f t="array" ref="J4184">IFERROR(INDEX('Retirement Calculator'!K:K,MATCH('Lorri 401b'!N4184,'Retirement Calculator'!A:A,0),0),0)</f>
        <v>0</v>
      </c>
      <c r="K4184" s="455">
        <f t="shared" ca="1" si="163"/>
        <v>-62114041102.029701</v>
      </c>
      <c r="L4184" s="455">
        <f t="shared" ca="1" si="164"/>
        <v>-14969483905589.156</v>
      </c>
      <c r="M4184" s="471">
        <f t="shared" si="166"/>
        <v>0.05</v>
      </c>
      <c r="N4184" s="475">
        <f t="shared" si="167"/>
        <v>178392</v>
      </c>
    </row>
    <row r="4185" spans="7:14" ht="11.25" customHeight="1" x14ac:dyDescent="0.3">
      <c r="G4185" s="470"/>
      <c r="H4185" s="470">
        <v>4178</v>
      </c>
      <c r="I4185" s="455">
        <f t="shared" ca="1" si="165"/>
        <v>-14969483905589.156</v>
      </c>
      <c r="J4185" s="455">
        <f t="array" ref="J4185">IFERROR(INDEX('Retirement Calculator'!K:K,MATCH('Lorri 401b'!N4185,'Retirement Calculator'!A:A,0),0),0)</f>
        <v>0</v>
      </c>
      <c r="K4185" s="455">
        <f t="shared" ca="1" si="163"/>
        <v>-62372849606.621483</v>
      </c>
      <c r="L4185" s="455">
        <f t="shared" ca="1" si="164"/>
        <v>-15031856755195.777</v>
      </c>
      <c r="M4185" s="471">
        <f t="shared" si="166"/>
        <v>0.05</v>
      </c>
      <c r="N4185" s="475">
        <f t="shared" si="167"/>
        <v>178422</v>
      </c>
    </row>
    <row r="4186" spans="7:14" ht="11.25" customHeight="1" x14ac:dyDescent="0.3">
      <c r="G4186" s="470"/>
      <c r="H4186" s="470">
        <v>4179</v>
      </c>
      <c r="I4186" s="455">
        <f t="shared" ca="1" si="165"/>
        <v>-15031856755195.777</v>
      </c>
      <c r="J4186" s="455">
        <f t="array" ref="J4186">IFERROR(INDEX('Retirement Calculator'!K:K,MATCH('Lorri 401b'!N4186,'Retirement Calculator'!A:A,0),0),0)</f>
        <v>0</v>
      </c>
      <c r="K4186" s="455">
        <f t="shared" ca="1" si="163"/>
        <v>-62632736479.982399</v>
      </c>
      <c r="L4186" s="455">
        <f t="shared" ca="1" si="164"/>
        <v>-15094489491675.76</v>
      </c>
      <c r="M4186" s="471">
        <f t="shared" si="166"/>
        <v>0.05</v>
      </c>
      <c r="N4186" s="475">
        <f t="shared" si="167"/>
        <v>178453</v>
      </c>
    </row>
    <row r="4187" spans="7:14" ht="11.25" customHeight="1" x14ac:dyDescent="0.3">
      <c r="G4187" s="470"/>
      <c r="H4187" s="470">
        <v>4180</v>
      </c>
      <c r="I4187" s="455">
        <f t="shared" ca="1" si="165"/>
        <v>-15094489491675.76</v>
      </c>
      <c r="J4187" s="455">
        <f t="array" ref="J4187">IFERROR(INDEX('Retirement Calculator'!K:K,MATCH('Lorri 401b'!N4187,'Retirement Calculator'!A:A,0),0),0)</f>
        <v>0</v>
      </c>
      <c r="K4187" s="455">
        <f t="shared" ca="1" si="163"/>
        <v>-62893706215.315674</v>
      </c>
      <c r="L4187" s="455">
        <f t="shared" ca="1" si="164"/>
        <v>-15157383197891.076</v>
      </c>
      <c r="M4187" s="471">
        <f t="shared" si="166"/>
        <v>0.05</v>
      </c>
      <c r="N4187" s="475">
        <f t="shared" si="167"/>
        <v>178484</v>
      </c>
    </row>
    <row r="4188" spans="7:14" ht="11.25" customHeight="1" x14ac:dyDescent="0.3">
      <c r="G4188" s="470"/>
      <c r="H4188" s="470">
        <v>4181</v>
      </c>
      <c r="I4188" s="455">
        <f t="shared" ca="1" si="165"/>
        <v>-15157383197891.076</v>
      </c>
      <c r="J4188" s="455">
        <f t="array" ref="J4188">IFERROR(INDEX('Retirement Calculator'!K:K,MATCH('Lorri 401b'!N4188,'Retirement Calculator'!A:A,0),0),0)</f>
        <v>0</v>
      </c>
      <c r="K4188" s="455">
        <f t="shared" ca="1" si="163"/>
        <v>-63155763324.546143</v>
      </c>
      <c r="L4188" s="455">
        <f t="shared" ca="1" si="164"/>
        <v>-15220538961215.623</v>
      </c>
      <c r="M4188" s="471">
        <f t="shared" si="166"/>
        <v>0.05</v>
      </c>
      <c r="N4188" s="475">
        <f t="shared" si="167"/>
        <v>178514</v>
      </c>
    </row>
    <row r="4189" spans="7:14" ht="11.25" customHeight="1" x14ac:dyDescent="0.3">
      <c r="G4189" s="470"/>
      <c r="H4189" s="470">
        <v>4182</v>
      </c>
      <c r="I4189" s="455">
        <f t="shared" ca="1" si="165"/>
        <v>-15220538961215.623</v>
      </c>
      <c r="J4189" s="455">
        <f t="array" ref="J4189">IFERROR(INDEX('Retirement Calculator'!K:K,MATCH('Lorri 401b'!N4189,'Retirement Calculator'!A:A,0),0),0)</f>
        <v>0</v>
      </c>
      <c r="K4189" s="455">
        <f t="shared" ca="1" si="163"/>
        <v>-63418912338.39843</v>
      </c>
      <c r="L4189" s="455">
        <f t="shared" ca="1" si="164"/>
        <v>-15283957873554.021</v>
      </c>
      <c r="M4189" s="471">
        <f t="shared" si="166"/>
        <v>0.05</v>
      </c>
      <c r="N4189" s="475">
        <f t="shared" si="167"/>
        <v>178545</v>
      </c>
    </row>
    <row r="4190" spans="7:14" ht="11.25" customHeight="1" x14ac:dyDescent="0.3">
      <c r="G4190" s="470"/>
      <c r="H4190" s="470">
        <v>4183</v>
      </c>
      <c r="I4190" s="455">
        <f t="shared" ca="1" si="165"/>
        <v>-15283957873554.021</v>
      </c>
      <c r="J4190" s="455">
        <f t="array" ref="J4190">IFERROR(INDEX('Retirement Calculator'!K:K,MATCH('Lorri 401b'!N4190,'Retirement Calculator'!A:A,0),0),0)</f>
        <v>0</v>
      </c>
      <c r="K4190" s="455">
        <f t="shared" ca="1" si="163"/>
        <v>-63683157806.47509</v>
      </c>
      <c r="L4190" s="455">
        <f t="shared" ca="1" si="164"/>
        <v>-15347641031360.496</v>
      </c>
      <c r="M4190" s="471">
        <f t="shared" si="166"/>
        <v>0.05</v>
      </c>
      <c r="N4190" s="475">
        <f t="shared" si="167"/>
        <v>178575</v>
      </c>
    </row>
    <row r="4191" spans="7:14" ht="11.25" customHeight="1" x14ac:dyDescent="0.3">
      <c r="G4191" s="470"/>
      <c r="H4191" s="470">
        <v>4184</v>
      </c>
      <c r="I4191" s="455">
        <f t="shared" ca="1" si="165"/>
        <v>-15347641031360.496</v>
      </c>
      <c r="J4191" s="455">
        <f t="array" ref="J4191">IFERROR(INDEX('Retirement Calculator'!K:K,MATCH('Lorri 401b'!N4191,'Retirement Calculator'!A:A,0),0),0)</f>
        <v>0</v>
      </c>
      <c r="K4191" s="455">
        <f t="shared" ca="1" si="163"/>
        <v>-63948504297.335396</v>
      </c>
      <c r="L4191" s="455">
        <f t="shared" ca="1" si="164"/>
        <v>-15411589535657.832</v>
      </c>
      <c r="M4191" s="471">
        <f t="shared" si="166"/>
        <v>0.05</v>
      </c>
      <c r="N4191" s="475">
        <f t="shared" si="167"/>
        <v>178606</v>
      </c>
    </row>
    <row r="4192" spans="7:14" ht="11.25" customHeight="1" x14ac:dyDescent="0.3">
      <c r="G4192" s="470"/>
      <c r="H4192" s="470">
        <v>4185</v>
      </c>
      <c r="I4192" s="455">
        <f t="shared" ca="1" si="165"/>
        <v>-15411589535657.832</v>
      </c>
      <c r="J4192" s="455">
        <f t="array" ref="J4192">IFERROR(INDEX('Retirement Calculator'!K:K,MATCH('Lorri 401b'!N4192,'Retirement Calculator'!A:A,0),0),0)</f>
        <v>0</v>
      </c>
      <c r="K4192" s="455">
        <f t="shared" ca="1" si="163"/>
        <v>-64214956398.574287</v>
      </c>
      <c r="L4192" s="455">
        <f t="shared" ca="1" si="164"/>
        <v>-15475804492056.406</v>
      </c>
      <c r="M4192" s="471">
        <f t="shared" si="166"/>
        <v>0.05</v>
      </c>
      <c r="N4192" s="475">
        <f t="shared" si="167"/>
        <v>178637</v>
      </c>
    </row>
    <row r="4193" spans="7:14" ht="11.25" customHeight="1" x14ac:dyDescent="0.3">
      <c r="G4193" s="470"/>
      <c r="H4193" s="470">
        <v>4186</v>
      </c>
      <c r="I4193" s="455">
        <f t="shared" ca="1" si="165"/>
        <v>-15475804492056.406</v>
      </c>
      <c r="J4193" s="455">
        <f t="array" ref="J4193">IFERROR(INDEX('Retirement Calculator'!K:K,MATCH('Lorri 401b'!N4193,'Retirement Calculator'!A:A,0),0),0)</f>
        <v>0</v>
      </c>
      <c r="K4193" s="455">
        <f t="shared" ca="1" si="163"/>
        <v>-64482518716.901695</v>
      </c>
      <c r="L4193" s="455">
        <f t="shared" ca="1" si="164"/>
        <v>-15540287010773.309</v>
      </c>
      <c r="M4193" s="471">
        <f t="shared" si="166"/>
        <v>0.05</v>
      </c>
      <c r="N4193" s="475">
        <f t="shared" si="167"/>
        <v>178665</v>
      </c>
    </row>
    <row r="4194" spans="7:14" ht="11.25" customHeight="1" x14ac:dyDescent="0.3">
      <c r="G4194" s="470"/>
      <c r="H4194" s="470">
        <v>4187</v>
      </c>
      <c r="I4194" s="455">
        <f t="shared" ca="1" si="165"/>
        <v>-15540287010773.309</v>
      </c>
      <c r="J4194" s="455">
        <f t="array" ref="J4194">IFERROR(INDEX('Retirement Calculator'!K:K,MATCH('Lorri 401b'!N4194,'Retirement Calculator'!A:A,0),0),0)</f>
        <v>0</v>
      </c>
      <c r="K4194" s="455">
        <f t="shared" ca="1" si="163"/>
        <v>-64751195878.22213</v>
      </c>
      <c r="L4194" s="455">
        <f t="shared" ca="1" si="164"/>
        <v>-15605038206651.531</v>
      </c>
      <c r="M4194" s="471">
        <f t="shared" si="166"/>
        <v>0.05</v>
      </c>
      <c r="N4194" s="475">
        <f t="shared" si="167"/>
        <v>178696</v>
      </c>
    </row>
    <row r="4195" spans="7:14" ht="11.25" customHeight="1" x14ac:dyDescent="0.3">
      <c r="G4195" s="470"/>
      <c r="H4195" s="470">
        <v>4188</v>
      </c>
      <c r="I4195" s="455">
        <f t="shared" ca="1" si="165"/>
        <v>-15605038206651.531</v>
      </c>
      <c r="J4195" s="455">
        <f t="array" ref="J4195">IFERROR(INDEX('Retirement Calculator'!K:K,MATCH('Lorri 401b'!N4195,'Retirement Calculator'!A:A,0),0),0)</f>
        <v>0</v>
      </c>
      <c r="K4195" s="455">
        <f t="shared" ca="1" si="163"/>
        <v>-65020992527.714714</v>
      </c>
      <c r="L4195" s="455">
        <f t="shared" ca="1" si="164"/>
        <v>-15670059199179.246</v>
      </c>
      <c r="M4195" s="471">
        <f t="shared" si="166"/>
        <v>0.05</v>
      </c>
      <c r="N4195" s="475">
        <f t="shared" si="167"/>
        <v>178726</v>
      </c>
    </row>
    <row r="4196" spans="7:14" ht="11.25" customHeight="1" x14ac:dyDescent="0.3">
      <c r="G4196" s="470"/>
      <c r="H4196" s="470">
        <v>4189</v>
      </c>
      <c r="I4196" s="455">
        <f t="shared" ca="1" si="165"/>
        <v>-15670059199179.246</v>
      </c>
      <c r="J4196" s="455">
        <f t="array" ref="J4196">IFERROR(INDEX('Retirement Calculator'!K:K,MATCH('Lorri 401b'!N4196,'Retirement Calculator'!A:A,0),0),0)</f>
        <v>0</v>
      </c>
      <c r="K4196" s="455">
        <f t="shared" ca="1" si="163"/>
        <v>-65291913329.913521</v>
      </c>
      <c r="L4196" s="455">
        <f t="shared" ca="1" si="164"/>
        <v>-15735351112509.16</v>
      </c>
      <c r="M4196" s="471">
        <f t="shared" si="166"/>
        <v>0.05</v>
      </c>
      <c r="N4196" s="475">
        <f t="shared" si="167"/>
        <v>178757</v>
      </c>
    </row>
    <row r="4197" spans="7:14" ht="11.25" customHeight="1" x14ac:dyDescent="0.3">
      <c r="G4197" s="470"/>
      <c r="H4197" s="470">
        <v>4190</v>
      </c>
      <c r="I4197" s="455">
        <f t="shared" ca="1" si="165"/>
        <v>-15735351112509.16</v>
      </c>
      <c r="J4197" s="455">
        <f t="array" ref="J4197">IFERROR(INDEX('Retirement Calculator'!K:K,MATCH('Lorri 401b'!N4197,'Retirement Calculator'!A:A,0),0),0)</f>
        <v>0</v>
      </c>
      <c r="K4197" s="455">
        <f t="shared" ca="1" si="163"/>
        <v>-65563962968.788155</v>
      </c>
      <c r="L4197" s="455">
        <f t="shared" ca="1" si="164"/>
        <v>-15800915075477.949</v>
      </c>
      <c r="M4197" s="471">
        <f t="shared" si="166"/>
        <v>0.05</v>
      </c>
      <c r="N4197" s="475">
        <f t="shared" si="167"/>
        <v>178787</v>
      </c>
    </row>
    <row r="4198" spans="7:14" ht="11.25" customHeight="1" x14ac:dyDescent="0.3">
      <c r="G4198" s="470"/>
      <c r="H4198" s="470">
        <v>4191</v>
      </c>
      <c r="I4198" s="455">
        <f t="shared" ca="1" si="165"/>
        <v>-15800915075477.949</v>
      </c>
      <c r="J4198" s="455">
        <f t="array" ref="J4198">IFERROR(INDEX('Retirement Calculator'!K:K,MATCH('Lorri 401b'!N4198,'Retirement Calculator'!A:A,0),0),0)</f>
        <v>0</v>
      </c>
      <c r="K4198" s="455">
        <f t="shared" ca="1" si="163"/>
        <v>-65837146147.824791</v>
      </c>
      <c r="L4198" s="455">
        <f t="shared" ca="1" si="164"/>
        <v>-15866752221625.773</v>
      </c>
      <c r="M4198" s="471">
        <f t="shared" si="166"/>
        <v>0.05</v>
      </c>
      <c r="N4198" s="475">
        <f t="shared" si="167"/>
        <v>178818</v>
      </c>
    </row>
    <row r="4199" spans="7:14" ht="11.25" customHeight="1" x14ac:dyDescent="0.3">
      <c r="G4199" s="470"/>
      <c r="H4199" s="470">
        <v>4192</v>
      </c>
      <c r="I4199" s="455">
        <f t="shared" ca="1" si="165"/>
        <v>-15866752221625.773</v>
      </c>
      <c r="J4199" s="455">
        <f t="array" ref="J4199">IFERROR(INDEX('Retirement Calculator'!K:K,MATCH('Lorri 401b'!N4199,'Retirement Calculator'!A:A,0),0),0)</f>
        <v>0</v>
      </c>
      <c r="K4199" s="455">
        <f t="shared" ca="1" si="163"/>
        <v>-66111467590.107391</v>
      </c>
      <c r="L4199" s="455">
        <f t="shared" ca="1" si="164"/>
        <v>-15932863689215.881</v>
      </c>
      <c r="M4199" s="471">
        <f t="shared" si="166"/>
        <v>0.05</v>
      </c>
      <c r="N4199" s="475">
        <f t="shared" si="167"/>
        <v>178849</v>
      </c>
    </row>
    <row r="4200" spans="7:14" ht="11.25" customHeight="1" x14ac:dyDescent="0.3">
      <c r="G4200" s="470"/>
      <c r="H4200" s="470">
        <v>4193</v>
      </c>
      <c r="I4200" s="455">
        <f t="shared" ca="1" si="165"/>
        <v>-15932863689215.881</v>
      </c>
      <c r="J4200" s="455">
        <f t="array" ref="J4200">IFERROR(INDEX('Retirement Calculator'!K:K,MATCH('Lorri 401b'!N4200,'Retirement Calculator'!A:A,0),0),0)</f>
        <v>0</v>
      </c>
      <c r="K4200" s="455">
        <f t="shared" ca="1" si="163"/>
        <v>-66386932038.399498</v>
      </c>
      <c r="L4200" s="455">
        <f t="shared" ca="1" si="164"/>
        <v>-15999250621254.281</v>
      </c>
      <c r="M4200" s="471">
        <f t="shared" si="166"/>
        <v>0.05</v>
      </c>
      <c r="N4200" s="475">
        <f t="shared" si="167"/>
        <v>178879</v>
      </c>
    </row>
    <row r="4201" spans="7:14" ht="11.25" customHeight="1" x14ac:dyDescent="0.3">
      <c r="G4201" s="470"/>
      <c r="H4201" s="470">
        <v>4194</v>
      </c>
      <c r="I4201" s="455">
        <f t="shared" ca="1" si="165"/>
        <v>-15999250621254.281</v>
      </c>
      <c r="J4201" s="455">
        <f t="array" ref="J4201">IFERROR(INDEX('Retirement Calculator'!K:K,MATCH('Lorri 401b'!N4201,'Retirement Calculator'!A:A,0),0),0)</f>
        <v>0</v>
      </c>
      <c r="K4201" s="455">
        <f t="shared" ca="1" si="163"/>
        <v>-66663544255.226181</v>
      </c>
      <c r="L4201" s="455">
        <f t="shared" ca="1" si="164"/>
        <v>-16065914165509.508</v>
      </c>
      <c r="M4201" s="471">
        <f t="shared" si="166"/>
        <v>0.05</v>
      </c>
      <c r="N4201" s="475">
        <f t="shared" si="167"/>
        <v>178910</v>
      </c>
    </row>
    <row r="4202" spans="7:14" ht="11.25" customHeight="1" x14ac:dyDescent="0.3">
      <c r="G4202" s="470"/>
      <c r="H4202" s="470">
        <v>4195</v>
      </c>
      <c r="I4202" s="455">
        <f t="shared" ca="1" si="165"/>
        <v>-16065914165509.508</v>
      </c>
      <c r="J4202" s="455">
        <f t="array" ref="J4202">IFERROR(INDEX('Retirement Calculator'!K:K,MATCH('Lorri 401b'!N4202,'Retirement Calculator'!A:A,0),0),0)</f>
        <v>0</v>
      </c>
      <c r="K4202" s="455">
        <f t="shared" ca="1" si="163"/>
        <v>-66941309022.956284</v>
      </c>
      <c r="L4202" s="455">
        <f t="shared" ca="1" si="164"/>
        <v>-16132855474532.465</v>
      </c>
      <c r="M4202" s="471">
        <f t="shared" si="166"/>
        <v>0.05</v>
      </c>
      <c r="N4202" s="475">
        <f t="shared" si="167"/>
        <v>178940</v>
      </c>
    </row>
    <row r="4203" spans="7:14" ht="11.25" customHeight="1" x14ac:dyDescent="0.3">
      <c r="G4203" s="470"/>
      <c r="H4203" s="470">
        <v>4196</v>
      </c>
      <c r="I4203" s="455">
        <f t="shared" ca="1" si="165"/>
        <v>-16132855474532.465</v>
      </c>
      <c r="J4203" s="455">
        <f t="array" ref="J4203">IFERROR(INDEX('Retirement Calculator'!K:K,MATCH('Lorri 401b'!N4203,'Retirement Calculator'!A:A,0),0),0)</f>
        <v>0</v>
      </c>
      <c r="K4203" s="455">
        <f t="shared" ca="1" si="163"/>
        <v>-67220231143.885269</v>
      </c>
      <c r="L4203" s="455">
        <f t="shared" ca="1" si="164"/>
        <v>-16200075705676.35</v>
      </c>
      <c r="M4203" s="471">
        <f t="shared" si="166"/>
        <v>0.05</v>
      </c>
      <c r="N4203" s="475">
        <f t="shared" si="167"/>
        <v>178971</v>
      </c>
    </row>
    <row r="4204" spans="7:14" ht="11.25" customHeight="1" x14ac:dyDescent="0.3">
      <c r="G4204" s="470"/>
      <c r="H4204" s="470">
        <v>4197</v>
      </c>
      <c r="I4204" s="455">
        <f t="shared" ca="1" si="165"/>
        <v>-16200075705676.35</v>
      </c>
      <c r="J4204" s="455">
        <f t="array" ref="J4204">IFERROR(INDEX('Retirement Calculator'!K:K,MATCH('Lorri 401b'!N4204,'Retirement Calculator'!A:A,0),0),0)</f>
        <v>0</v>
      </c>
      <c r="K4204" s="455">
        <f t="shared" ca="1" si="163"/>
        <v>-67500315440.318123</v>
      </c>
      <c r="L4204" s="455">
        <f t="shared" ca="1" si="164"/>
        <v>-16267576021116.668</v>
      </c>
      <c r="M4204" s="471">
        <f t="shared" si="166"/>
        <v>0.05</v>
      </c>
      <c r="N4204" s="475">
        <f t="shared" si="167"/>
        <v>179002</v>
      </c>
    </row>
    <row r="4205" spans="7:14" ht="11.25" customHeight="1" x14ac:dyDescent="0.3">
      <c r="G4205" s="470"/>
      <c r="H4205" s="470">
        <v>4198</v>
      </c>
      <c r="I4205" s="455">
        <f t="shared" ca="1" si="165"/>
        <v>-16267576021116.668</v>
      </c>
      <c r="J4205" s="455">
        <f t="array" ref="J4205">IFERROR(INDEX('Retirement Calculator'!K:K,MATCH('Lorri 401b'!N4205,'Retirement Calculator'!A:A,0),0),0)</f>
        <v>0</v>
      </c>
      <c r="K4205" s="455">
        <f t="shared" ca="1" si="163"/>
        <v>-67781566754.652779</v>
      </c>
      <c r="L4205" s="455">
        <f t="shared" ca="1" si="164"/>
        <v>-16335357587871.32</v>
      </c>
      <c r="M4205" s="471">
        <f t="shared" si="166"/>
        <v>0.05</v>
      </c>
      <c r="N4205" s="475">
        <f t="shared" si="167"/>
        <v>179030</v>
      </c>
    </row>
    <row r="4206" spans="7:14" ht="11.25" customHeight="1" x14ac:dyDescent="0.3">
      <c r="G4206" s="470"/>
      <c r="H4206" s="470">
        <v>4199</v>
      </c>
      <c r="I4206" s="455">
        <f t="shared" ca="1" si="165"/>
        <v>-16335357587871.32</v>
      </c>
      <c r="J4206" s="455">
        <f t="array" ref="J4206">IFERROR(INDEX('Retirement Calculator'!K:K,MATCH('Lorri 401b'!N4206,'Retirement Calculator'!A:A,0),0),0)</f>
        <v>0</v>
      </c>
      <c r="K4206" s="455">
        <f t="shared" ca="1" si="163"/>
        <v>-68063989949.463837</v>
      </c>
      <c r="L4206" s="455">
        <f t="shared" ca="1" si="164"/>
        <v>-16403421577820.783</v>
      </c>
      <c r="M4206" s="471">
        <f t="shared" si="166"/>
        <v>0.05</v>
      </c>
      <c r="N4206" s="475">
        <f t="shared" si="167"/>
        <v>179061</v>
      </c>
    </row>
    <row r="4207" spans="7:14" ht="11.25" customHeight="1" x14ac:dyDescent="0.3">
      <c r="G4207" s="470"/>
      <c r="H4207" s="470">
        <v>4200</v>
      </c>
      <c r="I4207" s="455">
        <f t="shared" ca="1" si="165"/>
        <v>-16403421577820.783</v>
      </c>
      <c r="J4207" s="455">
        <f t="array" ref="J4207">IFERROR(INDEX('Retirement Calculator'!K:K,MATCH('Lorri 401b'!N4207,'Retirement Calculator'!A:A,0),0),0)</f>
        <v>0</v>
      </c>
      <c r="K4207" s="455">
        <f t="shared" ca="1" si="163"/>
        <v>-68347589907.586594</v>
      </c>
      <c r="L4207" s="455">
        <f t="shared" ca="1" si="164"/>
        <v>-16471769167728.369</v>
      </c>
      <c r="M4207" s="471">
        <f t="shared" si="166"/>
        <v>0.05</v>
      </c>
      <c r="N4207" s="475">
        <f t="shared" si="167"/>
        <v>179091</v>
      </c>
    </row>
    <row r="4208" spans="7:14" ht="11.25" customHeight="1" x14ac:dyDescent="0.3">
      <c r="G4208" s="470"/>
      <c r="H4208" s="470">
        <v>4201</v>
      </c>
      <c r="I4208" s="455">
        <f t="shared" ca="1" si="165"/>
        <v>-16471769167728.369</v>
      </c>
      <c r="J4208" s="455">
        <f t="array" ref="J4208">IFERROR(INDEX('Retirement Calculator'!K:K,MATCH('Lorri 401b'!N4208,'Retirement Calculator'!A:A,0),0),0)</f>
        <v>0</v>
      </c>
      <c r="K4208" s="455">
        <f t="shared" ca="1" si="163"/>
        <v>-68632371532.20153</v>
      </c>
      <c r="L4208" s="455">
        <f t="shared" ca="1" si="164"/>
        <v>-16540401539260.57</v>
      </c>
      <c r="M4208" s="471">
        <f t="shared" si="166"/>
        <v>0.05</v>
      </c>
      <c r="N4208" s="475">
        <f t="shared" si="167"/>
        <v>179122</v>
      </c>
    </row>
    <row r="4209" spans="7:14" ht="11.25" customHeight="1" x14ac:dyDescent="0.3">
      <c r="G4209" s="470"/>
      <c r="H4209" s="470">
        <v>4202</v>
      </c>
      <c r="I4209" s="455">
        <f t="shared" ca="1" si="165"/>
        <v>-16540401539260.57</v>
      </c>
      <c r="J4209" s="455">
        <f t="array" ref="J4209">IFERROR(INDEX('Retirement Calculator'!K:K,MATCH('Lorri 401b'!N4209,'Retirement Calculator'!A:A,0),0),0)</f>
        <v>0</v>
      </c>
      <c r="K4209" s="455">
        <f t="shared" ca="1" si="163"/>
        <v>-68918339746.919052</v>
      </c>
      <c r="L4209" s="455">
        <f t="shared" ca="1" si="164"/>
        <v>-16609319879007.49</v>
      </c>
      <c r="M4209" s="471">
        <f t="shared" si="166"/>
        <v>0.05</v>
      </c>
      <c r="N4209" s="475">
        <f t="shared" si="167"/>
        <v>179152</v>
      </c>
    </row>
    <row r="4210" spans="7:14" ht="11.25" customHeight="1" x14ac:dyDescent="0.3">
      <c r="G4210" s="470"/>
      <c r="H4210" s="470">
        <v>4203</v>
      </c>
      <c r="I4210" s="455">
        <f t="shared" ca="1" si="165"/>
        <v>-16609319879007.49</v>
      </c>
      <c r="J4210" s="455">
        <f t="array" ref="J4210">IFERROR(INDEX('Retirement Calculator'!K:K,MATCH('Lorri 401b'!N4210,'Retirement Calculator'!A:A,0),0),0)</f>
        <v>0</v>
      </c>
      <c r="K4210" s="455">
        <f t="shared" ca="1" si="163"/>
        <v>-69205499495.864548</v>
      </c>
      <c r="L4210" s="455">
        <f t="shared" ca="1" si="164"/>
        <v>-16678525378503.355</v>
      </c>
      <c r="M4210" s="471">
        <f t="shared" si="166"/>
        <v>0.05</v>
      </c>
      <c r="N4210" s="475">
        <f t="shared" si="167"/>
        <v>179183</v>
      </c>
    </row>
    <row r="4211" spans="7:14" ht="11.25" customHeight="1" x14ac:dyDescent="0.3">
      <c r="G4211" s="470"/>
      <c r="H4211" s="470">
        <v>4204</v>
      </c>
      <c r="I4211" s="455">
        <f t="shared" ca="1" si="165"/>
        <v>-16678525378503.355</v>
      </c>
      <c r="J4211" s="455">
        <f t="array" ref="J4211">IFERROR(INDEX('Retirement Calculator'!K:K,MATCH('Lorri 401b'!N4211,'Retirement Calculator'!A:A,0),0),0)</f>
        <v>0</v>
      </c>
      <c r="K4211" s="455">
        <f t="shared" ca="1" si="163"/>
        <v>-69493855743.763977</v>
      </c>
      <c r="L4211" s="455">
        <f t="shared" ca="1" si="164"/>
        <v>-16748019234247.119</v>
      </c>
      <c r="M4211" s="471">
        <f t="shared" si="166"/>
        <v>0.05</v>
      </c>
      <c r="N4211" s="475">
        <f t="shared" si="167"/>
        <v>179214</v>
      </c>
    </row>
    <row r="4212" spans="7:14" ht="11.25" customHeight="1" x14ac:dyDescent="0.3">
      <c r="G4212" s="470"/>
      <c r="H4212" s="470">
        <v>4205</v>
      </c>
      <c r="I4212" s="455">
        <f t="shared" ca="1" si="165"/>
        <v>-16748019234247.119</v>
      </c>
      <c r="J4212" s="455">
        <f t="array" ref="J4212">IFERROR(INDEX('Retirement Calculator'!K:K,MATCH('Lorri 401b'!N4212,'Retirement Calculator'!A:A,0),0),0)</f>
        <v>0</v>
      </c>
      <c r="K4212" s="455">
        <f t="shared" ca="1" si="163"/>
        <v>-69783413476.029663</v>
      </c>
      <c r="L4212" s="455">
        <f t="shared" ca="1" si="164"/>
        <v>-16817802647723.148</v>
      </c>
      <c r="M4212" s="471">
        <f t="shared" si="166"/>
        <v>0.05</v>
      </c>
      <c r="N4212" s="475">
        <f t="shared" si="167"/>
        <v>179244</v>
      </c>
    </row>
    <row r="4213" spans="7:14" ht="11.25" customHeight="1" x14ac:dyDescent="0.3">
      <c r="G4213" s="470"/>
      <c r="H4213" s="470">
        <v>4206</v>
      </c>
      <c r="I4213" s="455">
        <f t="shared" ca="1" si="165"/>
        <v>-16817802647723.148</v>
      </c>
      <c r="J4213" s="455">
        <f t="array" ref="J4213">IFERROR(INDEX('Retirement Calculator'!K:K,MATCH('Lorri 401b'!N4213,'Retirement Calculator'!A:A,0),0),0)</f>
        <v>0</v>
      </c>
      <c r="K4213" s="455">
        <f t="shared" ca="1" si="163"/>
        <v>-70074177698.846451</v>
      </c>
      <c r="L4213" s="455">
        <f t="shared" ca="1" si="164"/>
        <v>-16887876825421.994</v>
      </c>
      <c r="M4213" s="471">
        <f t="shared" si="166"/>
        <v>0.05</v>
      </c>
      <c r="N4213" s="475">
        <f t="shared" si="167"/>
        <v>179275</v>
      </c>
    </row>
    <row r="4214" spans="7:14" ht="11.25" customHeight="1" x14ac:dyDescent="0.3">
      <c r="G4214" s="470"/>
      <c r="H4214" s="470">
        <v>4207</v>
      </c>
      <c r="I4214" s="455">
        <f t="shared" ca="1" si="165"/>
        <v>-16887876825421.994</v>
      </c>
      <c r="J4214" s="455">
        <f t="array" ref="J4214">IFERROR(INDEX('Retirement Calculator'!K:K,MATCH('Lorri 401b'!N4214,'Retirement Calculator'!A:A,0),0),0)</f>
        <v>0</v>
      </c>
      <c r="K4214" s="455">
        <f t="shared" ca="1" si="163"/>
        <v>-70366153439.258301</v>
      </c>
      <c r="L4214" s="455">
        <f t="shared" ca="1" si="164"/>
        <v>-16958242978861.252</v>
      </c>
      <c r="M4214" s="471">
        <f t="shared" si="166"/>
        <v>0.05</v>
      </c>
      <c r="N4214" s="475">
        <f t="shared" si="167"/>
        <v>179305</v>
      </c>
    </row>
    <row r="4215" spans="7:14" ht="11.25" customHeight="1" x14ac:dyDescent="0.3">
      <c r="G4215" s="470"/>
      <c r="H4215" s="470">
        <v>4208</v>
      </c>
      <c r="I4215" s="455">
        <f t="shared" ca="1" si="165"/>
        <v>-16958242978861.252</v>
      </c>
      <c r="J4215" s="455">
        <f t="array" ref="J4215">IFERROR(INDEX('Retirement Calculator'!K:K,MATCH('Lorri 401b'!N4215,'Retirement Calculator'!A:A,0),0),0)</f>
        <v>0</v>
      </c>
      <c r="K4215" s="455">
        <f t="shared" ca="1" si="163"/>
        <v>-70659345745.255203</v>
      </c>
      <c r="L4215" s="455">
        <f t="shared" ca="1" si="164"/>
        <v>-17028902324606.508</v>
      </c>
      <c r="M4215" s="471">
        <f t="shared" si="166"/>
        <v>0.05</v>
      </c>
      <c r="N4215" s="475">
        <f t="shared" si="167"/>
        <v>179336</v>
      </c>
    </row>
    <row r="4216" spans="7:14" ht="11.25" customHeight="1" x14ac:dyDescent="0.3">
      <c r="G4216" s="470"/>
      <c r="H4216" s="470">
        <v>4209</v>
      </c>
      <c r="I4216" s="455">
        <f t="shared" ca="1" si="165"/>
        <v>-17028902324606.508</v>
      </c>
      <c r="J4216" s="455">
        <f t="array" ref="J4216">IFERROR(INDEX('Retirement Calculator'!K:K,MATCH('Lorri 401b'!N4216,'Retirement Calculator'!A:A,0),0),0)</f>
        <v>0</v>
      </c>
      <c r="K4216" s="455">
        <f t="shared" ca="1" si="163"/>
        <v>-70953759685.860443</v>
      </c>
      <c r="L4216" s="455">
        <f t="shared" ca="1" si="164"/>
        <v>-17099856084292.369</v>
      </c>
      <c r="M4216" s="471">
        <f t="shared" si="166"/>
        <v>0.05</v>
      </c>
      <c r="N4216" s="475">
        <f t="shared" si="167"/>
        <v>179367</v>
      </c>
    </row>
    <row r="4217" spans="7:14" ht="11.25" customHeight="1" x14ac:dyDescent="0.3">
      <c r="G4217" s="470"/>
      <c r="H4217" s="470">
        <v>4210</v>
      </c>
      <c r="I4217" s="455">
        <f t="shared" ca="1" si="165"/>
        <v>-17099856084292.369</v>
      </c>
      <c r="J4217" s="455">
        <f t="array" ref="J4217">IFERROR(INDEX('Retirement Calculator'!K:K,MATCH('Lorri 401b'!N4217,'Retirement Calculator'!A:A,0),0),0)</f>
        <v>0</v>
      </c>
      <c r="K4217" s="455">
        <f t="shared" ca="1" si="163"/>
        <v>-71249400351.218201</v>
      </c>
      <c r="L4217" s="455">
        <f t="shared" ca="1" si="164"/>
        <v>-17171105484643.588</v>
      </c>
      <c r="M4217" s="471">
        <f t="shared" si="166"/>
        <v>0.05</v>
      </c>
      <c r="N4217" s="475">
        <f t="shared" si="167"/>
        <v>179395</v>
      </c>
    </row>
    <row r="4218" spans="7:14" ht="11.25" customHeight="1" x14ac:dyDescent="0.3">
      <c r="G4218" s="470"/>
      <c r="H4218" s="470">
        <v>4211</v>
      </c>
      <c r="I4218" s="455">
        <f t="shared" ca="1" si="165"/>
        <v>-17171105484643.588</v>
      </c>
      <c r="J4218" s="455">
        <f t="array" ref="J4218">IFERROR(INDEX('Retirement Calculator'!K:K,MATCH('Lorri 401b'!N4218,'Retirement Calculator'!A:A,0),0),0)</f>
        <v>0</v>
      </c>
      <c r="K4218" s="455">
        <f t="shared" ca="1" si="163"/>
        <v>-71546272852.68161</v>
      </c>
      <c r="L4218" s="455">
        <f t="shared" ca="1" si="164"/>
        <v>-17242651757496.27</v>
      </c>
      <c r="M4218" s="471">
        <f t="shared" si="166"/>
        <v>0.05</v>
      </c>
      <c r="N4218" s="475">
        <f t="shared" si="167"/>
        <v>179426</v>
      </c>
    </row>
    <row r="4219" spans="7:14" ht="11.25" customHeight="1" x14ac:dyDescent="0.3">
      <c r="G4219" s="470"/>
      <c r="H4219" s="470">
        <v>4212</v>
      </c>
      <c r="I4219" s="455">
        <f t="shared" ca="1" si="165"/>
        <v>-17242651757496.27</v>
      </c>
      <c r="J4219" s="455">
        <f t="array" ref="J4219">IFERROR(INDEX('Retirement Calculator'!K:K,MATCH('Lorri 401b'!N4219,'Retirement Calculator'!A:A,0),0),0)</f>
        <v>0</v>
      </c>
      <c r="K4219" s="455">
        <f t="shared" ca="1" si="163"/>
        <v>-71844382322.901123</v>
      </c>
      <c r="L4219" s="455">
        <f t="shared" ca="1" si="164"/>
        <v>-17314496139819.17</v>
      </c>
      <c r="M4219" s="471">
        <f t="shared" si="166"/>
        <v>0.05</v>
      </c>
      <c r="N4219" s="475">
        <f t="shared" si="167"/>
        <v>179456</v>
      </c>
    </row>
    <row r="4220" spans="7:14" ht="11.25" customHeight="1" x14ac:dyDescent="0.3">
      <c r="G4220" s="470"/>
      <c r="H4220" s="470">
        <v>4213</v>
      </c>
      <c r="I4220" s="455">
        <f t="shared" ca="1" si="165"/>
        <v>-17314496139819.17</v>
      </c>
      <c r="J4220" s="455">
        <f t="array" ref="J4220">IFERROR(INDEX('Retirement Calculator'!K:K,MATCH('Lorri 401b'!N4220,'Retirement Calculator'!A:A,0),0),0)</f>
        <v>0</v>
      </c>
      <c r="K4220" s="455">
        <f t="shared" ca="1" si="163"/>
        <v>-72143733915.913193</v>
      </c>
      <c r="L4220" s="455">
        <f t="shared" ca="1" si="164"/>
        <v>-17386639873735.084</v>
      </c>
      <c r="M4220" s="471">
        <f t="shared" si="166"/>
        <v>0.05</v>
      </c>
      <c r="N4220" s="475">
        <f t="shared" si="167"/>
        <v>179487</v>
      </c>
    </row>
    <row r="4221" spans="7:14" ht="11.25" customHeight="1" x14ac:dyDescent="0.3">
      <c r="G4221" s="470"/>
      <c r="H4221" s="470">
        <v>4214</v>
      </c>
      <c r="I4221" s="455">
        <f t="shared" ca="1" si="165"/>
        <v>-17386639873735.084</v>
      </c>
      <c r="J4221" s="455">
        <f t="array" ref="J4221">IFERROR(INDEX('Retirement Calculator'!K:K,MATCH('Lorri 401b'!N4221,'Retirement Calculator'!A:A,0),0),0)</f>
        <v>0</v>
      </c>
      <c r="K4221" s="455">
        <f t="shared" ca="1" si="163"/>
        <v>-72444332807.229523</v>
      </c>
      <c r="L4221" s="455">
        <f t="shared" ca="1" si="164"/>
        <v>-17459084206542.314</v>
      </c>
      <c r="M4221" s="471">
        <f t="shared" si="166"/>
        <v>0.05</v>
      </c>
      <c r="N4221" s="475">
        <f t="shared" si="167"/>
        <v>179517</v>
      </c>
    </row>
    <row r="4222" spans="7:14" ht="11.25" customHeight="1" x14ac:dyDescent="0.3">
      <c r="G4222" s="470"/>
      <c r="H4222" s="470">
        <v>4215</v>
      </c>
      <c r="I4222" s="455">
        <f t="shared" ca="1" si="165"/>
        <v>-17459084206542.314</v>
      </c>
      <c r="J4222" s="455">
        <f t="array" ref="J4222">IFERROR(INDEX('Retirement Calculator'!K:K,MATCH('Lorri 401b'!N4222,'Retirement Calculator'!A:A,0),0),0)</f>
        <v>0</v>
      </c>
      <c r="K4222" s="455">
        <f t="shared" ca="1" si="163"/>
        <v>-72746184193.9263</v>
      </c>
      <c r="L4222" s="455">
        <f t="shared" ca="1" si="164"/>
        <v>-17531830390736.24</v>
      </c>
      <c r="M4222" s="471">
        <f t="shared" si="166"/>
        <v>0.05</v>
      </c>
      <c r="N4222" s="475">
        <f t="shared" si="167"/>
        <v>179548</v>
      </c>
    </row>
    <row r="4223" spans="7:14" ht="11.25" customHeight="1" x14ac:dyDescent="0.3">
      <c r="G4223" s="470"/>
      <c r="H4223" s="470">
        <v>4216</v>
      </c>
      <c r="I4223" s="455">
        <f t="shared" ca="1" si="165"/>
        <v>-17531830390736.24</v>
      </c>
      <c r="J4223" s="455">
        <f t="array" ref="J4223">IFERROR(INDEX('Retirement Calculator'!K:K,MATCH('Lorri 401b'!N4223,'Retirement Calculator'!A:A,0),0),0)</f>
        <v>0</v>
      </c>
      <c r="K4223" s="455">
        <f t="shared" ca="1" si="163"/>
        <v>-73049293294.734329</v>
      </c>
      <c r="L4223" s="455">
        <f t="shared" ca="1" si="164"/>
        <v>-17604879684030.973</v>
      </c>
      <c r="M4223" s="471">
        <f t="shared" si="166"/>
        <v>0.05</v>
      </c>
      <c r="N4223" s="475">
        <f t="shared" si="167"/>
        <v>179579</v>
      </c>
    </row>
    <row r="4224" spans="7:14" ht="11.25" customHeight="1" x14ac:dyDescent="0.3">
      <c r="G4224" s="470"/>
      <c r="H4224" s="470">
        <v>4217</v>
      </c>
      <c r="I4224" s="455">
        <f t="shared" ca="1" si="165"/>
        <v>-17604879684030.973</v>
      </c>
      <c r="J4224" s="455">
        <f t="array" ref="J4224">IFERROR(INDEX('Retirement Calculator'!K:K,MATCH('Lorri 401b'!N4224,'Retirement Calculator'!A:A,0),0),0)</f>
        <v>0</v>
      </c>
      <c r="K4224" s="455">
        <f t="shared" ca="1" si="163"/>
        <v>-73353665350.129059</v>
      </c>
      <c r="L4224" s="455">
        <f t="shared" ca="1" si="164"/>
        <v>-17678233349381.102</v>
      </c>
      <c r="M4224" s="471">
        <f t="shared" si="166"/>
        <v>0.05</v>
      </c>
      <c r="N4224" s="475">
        <f t="shared" si="167"/>
        <v>179609</v>
      </c>
    </row>
    <row r="4225" spans="7:14" ht="11.25" customHeight="1" x14ac:dyDescent="0.3">
      <c r="G4225" s="470"/>
      <c r="H4225" s="470">
        <v>4218</v>
      </c>
      <c r="I4225" s="455">
        <f t="shared" ca="1" si="165"/>
        <v>-17678233349381.102</v>
      </c>
      <c r="J4225" s="455">
        <f t="array" ref="J4225">IFERROR(INDEX('Retirement Calculator'!K:K,MATCH('Lorri 401b'!N4225,'Retirement Calculator'!A:A,0),0),0)</f>
        <v>0</v>
      </c>
      <c r="K4225" s="455">
        <f t="shared" ca="1" si="163"/>
        <v>-73659305622.421249</v>
      </c>
      <c r="L4225" s="455">
        <f t="shared" ca="1" si="164"/>
        <v>-17751892655003.523</v>
      </c>
      <c r="M4225" s="471">
        <f t="shared" si="166"/>
        <v>0.05</v>
      </c>
      <c r="N4225" s="475">
        <f t="shared" si="167"/>
        <v>179640</v>
      </c>
    </row>
    <row r="4226" spans="7:14" ht="11.25" customHeight="1" x14ac:dyDescent="0.3">
      <c r="G4226" s="470"/>
      <c r="H4226" s="470">
        <v>4219</v>
      </c>
      <c r="I4226" s="455">
        <f t="shared" ca="1" si="165"/>
        <v>-17751892655003.523</v>
      </c>
      <c r="J4226" s="455">
        <f t="array" ref="J4226">IFERROR(INDEX('Retirement Calculator'!K:K,MATCH('Lorri 401b'!N4226,'Retirement Calculator'!A:A,0),0),0)</f>
        <v>0</v>
      </c>
      <c r="K4226" s="455">
        <f t="shared" ca="1" si="163"/>
        <v>-73966219395.848007</v>
      </c>
      <c r="L4226" s="455">
        <f t="shared" ca="1" si="164"/>
        <v>-17825858874399.371</v>
      </c>
      <c r="M4226" s="471">
        <f t="shared" si="166"/>
        <v>0.05</v>
      </c>
      <c r="N4226" s="475">
        <f t="shared" si="167"/>
        <v>179670</v>
      </c>
    </row>
    <row r="4227" spans="7:14" ht="11.25" customHeight="1" x14ac:dyDescent="0.3">
      <c r="G4227" s="470"/>
      <c r="H4227" s="470">
        <v>4220</v>
      </c>
      <c r="I4227" s="455">
        <f t="shared" ca="1" si="165"/>
        <v>-17825858874399.371</v>
      </c>
      <c r="J4227" s="455">
        <f t="array" ref="J4227">IFERROR(INDEX('Retirement Calculator'!K:K,MATCH('Lorri 401b'!N4227,'Retirement Calculator'!A:A,0),0),0)</f>
        <v>0</v>
      </c>
      <c r="K4227" s="455">
        <f t="shared" ca="1" si="163"/>
        <v>-74274411976.664047</v>
      </c>
      <c r="L4227" s="455">
        <f t="shared" ca="1" si="164"/>
        <v>-17900133286376.035</v>
      </c>
      <c r="M4227" s="471">
        <f t="shared" si="166"/>
        <v>0.05</v>
      </c>
      <c r="N4227" s="475">
        <f t="shared" si="167"/>
        <v>179701</v>
      </c>
    </row>
    <row r="4228" spans="7:14" ht="11.25" customHeight="1" x14ac:dyDescent="0.3">
      <c r="G4228" s="470"/>
      <c r="H4228" s="470">
        <v>4221</v>
      </c>
      <c r="I4228" s="455">
        <f t="shared" ca="1" si="165"/>
        <v>-17900133286376.035</v>
      </c>
      <c r="J4228" s="455">
        <f t="array" ref="J4228">IFERROR(INDEX('Retirement Calculator'!K:K,MATCH('Lorri 401b'!N4228,'Retirement Calculator'!A:A,0),0),0)</f>
        <v>0</v>
      </c>
      <c r="K4228" s="455">
        <f t="shared" ca="1" si="163"/>
        <v>-74583888693.233475</v>
      </c>
      <c r="L4228" s="455">
        <f t="shared" ca="1" si="164"/>
        <v>-17974717175069.27</v>
      </c>
      <c r="M4228" s="471">
        <f t="shared" si="166"/>
        <v>0.05</v>
      </c>
      <c r="N4228" s="475">
        <f t="shared" si="167"/>
        <v>179732</v>
      </c>
    </row>
    <row r="4229" spans="7:14" ht="11.25" customHeight="1" x14ac:dyDescent="0.3">
      <c r="G4229" s="470"/>
      <c r="H4229" s="470">
        <v>4222</v>
      </c>
      <c r="I4229" s="455">
        <f t="shared" ca="1" si="165"/>
        <v>-17974717175069.27</v>
      </c>
      <c r="J4229" s="455">
        <f t="array" ref="J4229">IFERROR(INDEX('Retirement Calculator'!K:K,MATCH('Lorri 401b'!N4229,'Retirement Calculator'!A:A,0),0),0)</f>
        <v>0</v>
      </c>
      <c r="K4229" s="455">
        <f t="shared" ca="1" si="163"/>
        <v>-74894654896.121948</v>
      </c>
      <c r="L4229" s="455">
        <f t="shared" ca="1" si="164"/>
        <v>-18049611829965.391</v>
      </c>
      <c r="M4229" s="471">
        <f t="shared" si="166"/>
        <v>0.05</v>
      </c>
      <c r="N4229" s="475">
        <f t="shared" si="167"/>
        <v>179761</v>
      </c>
    </row>
    <row r="4230" spans="7:14" ht="11.25" customHeight="1" x14ac:dyDescent="0.3">
      <c r="G4230" s="470"/>
      <c r="H4230" s="470">
        <v>4223</v>
      </c>
      <c r="I4230" s="455">
        <f t="shared" ca="1" si="165"/>
        <v>-18049611829965.391</v>
      </c>
      <c r="J4230" s="455">
        <f t="array" ref="J4230">IFERROR(INDEX('Retirement Calculator'!K:K,MATCH('Lorri 401b'!N4230,'Retirement Calculator'!A:A,0),0),0)</f>
        <v>0</v>
      </c>
      <c r="K4230" s="455">
        <f t="shared" ca="1" si="163"/>
        <v>-75206715958.189133</v>
      </c>
      <c r="L4230" s="455">
        <f t="shared" ca="1" si="164"/>
        <v>-18124818545923.578</v>
      </c>
      <c r="M4230" s="471">
        <f t="shared" si="166"/>
        <v>0.05</v>
      </c>
      <c r="N4230" s="475">
        <f t="shared" si="167"/>
        <v>179792</v>
      </c>
    </row>
    <row r="4231" spans="7:14" ht="11.25" customHeight="1" x14ac:dyDescent="0.3">
      <c r="G4231" s="470"/>
      <c r="H4231" s="470">
        <v>4224</v>
      </c>
      <c r="I4231" s="455">
        <f t="shared" ca="1" si="165"/>
        <v>-18124818545923.578</v>
      </c>
      <c r="J4231" s="455">
        <f t="array" ref="J4231">IFERROR(INDEX('Retirement Calculator'!K:K,MATCH('Lorri 401b'!N4231,'Retirement Calculator'!A:A,0),0),0)</f>
        <v>0</v>
      </c>
      <c r="K4231" s="455">
        <f t="shared" ca="1" si="163"/>
        <v>-75520077274.68158</v>
      </c>
      <c r="L4231" s="455">
        <f t="shared" ca="1" si="164"/>
        <v>-18200338623198.258</v>
      </c>
      <c r="M4231" s="471">
        <f t="shared" si="166"/>
        <v>0.05</v>
      </c>
      <c r="N4231" s="475">
        <f t="shared" si="167"/>
        <v>179822</v>
      </c>
    </row>
    <row r="4232" spans="7:14" ht="11.25" customHeight="1" x14ac:dyDescent="0.3">
      <c r="G4232" s="470"/>
      <c r="H4232" s="470">
        <v>4225</v>
      </c>
      <c r="I4232" s="455">
        <f t="shared" ca="1" si="165"/>
        <v>-18200338623198.258</v>
      </c>
      <c r="J4232" s="455">
        <f t="array" ref="J4232">IFERROR(INDEX('Retirement Calculator'!K:K,MATCH('Lorri 401b'!N4232,'Retirement Calculator'!A:A,0),0),0)</f>
        <v>0</v>
      </c>
      <c r="K4232" s="455">
        <f t="shared" ca="1" si="163"/>
        <v>-75834744263.32608</v>
      </c>
      <c r="L4232" s="455">
        <f t="shared" ca="1" si="164"/>
        <v>-18276173367461.582</v>
      </c>
      <c r="M4232" s="471">
        <f t="shared" si="166"/>
        <v>0.05</v>
      </c>
      <c r="N4232" s="475">
        <f t="shared" si="167"/>
        <v>179853</v>
      </c>
    </row>
    <row r="4233" spans="7:14" ht="11.25" customHeight="1" x14ac:dyDescent="0.3">
      <c r="G4233" s="470"/>
      <c r="H4233" s="470">
        <v>4226</v>
      </c>
      <c r="I4233" s="455">
        <f t="shared" ca="1" si="165"/>
        <v>-18276173367461.582</v>
      </c>
      <c r="J4233" s="455">
        <f t="array" ref="J4233">IFERROR(INDEX('Retirement Calculator'!K:K,MATCH('Lorri 401b'!N4233,'Retirement Calculator'!A:A,0),0),0)</f>
        <v>0</v>
      </c>
      <c r="K4233" s="455">
        <f t="shared" ca="1" si="163"/>
        <v>-76150722364.423264</v>
      </c>
      <c r="L4233" s="455">
        <f t="shared" ca="1" si="164"/>
        <v>-18352324089826.004</v>
      </c>
      <c r="M4233" s="471">
        <f t="shared" si="166"/>
        <v>0.05</v>
      </c>
      <c r="N4233" s="475">
        <f t="shared" si="167"/>
        <v>179883</v>
      </c>
    </row>
    <row r="4234" spans="7:14" ht="11.25" customHeight="1" x14ac:dyDescent="0.3">
      <c r="G4234" s="470"/>
      <c r="H4234" s="470">
        <v>4227</v>
      </c>
      <c r="I4234" s="455">
        <f t="shared" ca="1" si="165"/>
        <v>-18352324089826.004</v>
      </c>
      <c r="J4234" s="455">
        <f t="array" ref="J4234">IFERROR(INDEX('Retirement Calculator'!K:K,MATCH('Lorri 401b'!N4234,'Retirement Calculator'!A:A,0),0),0)</f>
        <v>0</v>
      </c>
      <c r="K4234" s="455">
        <f t="shared" ca="1" si="163"/>
        <v>-76468017040.941681</v>
      </c>
      <c r="L4234" s="455">
        <f t="shared" ca="1" si="164"/>
        <v>-18428792106866.945</v>
      </c>
      <c r="M4234" s="471">
        <f t="shared" si="166"/>
        <v>0.05</v>
      </c>
      <c r="N4234" s="475">
        <f t="shared" si="167"/>
        <v>179914</v>
      </c>
    </row>
    <row r="4235" spans="7:14" ht="11.25" customHeight="1" x14ac:dyDescent="0.3">
      <c r="G4235" s="470"/>
      <c r="H4235" s="470">
        <v>4228</v>
      </c>
      <c r="I4235" s="455">
        <f t="shared" ca="1" si="165"/>
        <v>-18428792106866.945</v>
      </c>
      <c r="J4235" s="455">
        <f t="array" ref="J4235">IFERROR(INDEX('Retirement Calculator'!K:K,MATCH('Lorri 401b'!N4235,'Retirement Calculator'!A:A,0),0),0)</f>
        <v>0</v>
      </c>
      <c r="K4235" s="455">
        <f t="shared" ca="1" si="163"/>
        <v>-76786633778.612274</v>
      </c>
      <c r="L4235" s="455">
        <f t="shared" ca="1" si="164"/>
        <v>-18505578740645.559</v>
      </c>
      <c r="M4235" s="471">
        <f t="shared" si="166"/>
        <v>0.05</v>
      </c>
      <c r="N4235" s="475">
        <f t="shared" si="167"/>
        <v>179945</v>
      </c>
    </row>
    <row r="4236" spans="7:14" ht="11.25" customHeight="1" x14ac:dyDescent="0.3">
      <c r="G4236" s="470"/>
      <c r="H4236" s="470">
        <v>4229</v>
      </c>
      <c r="I4236" s="455">
        <f t="shared" ca="1" si="165"/>
        <v>-18505578740645.559</v>
      </c>
      <c r="J4236" s="455">
        <f t="array" ref="J4236">IFERROR(INDEX('Retirement Calculator'!K:K,MATCH('Lorri 401b'!N4236,'Retirement Calculator'!A:A,0),0),0)</f>
        <v>0</v>
      </c>
      <c r="K4236" s="455">
        <f t="shared" ca="1" si="163"/>
        <v>-77106578086.023163</v>
      </c>
      <c r="L4236" s="455">
        <f t="shared" ca="1" si="164"/>
        <v>-18582685318731.582</v>
      </c>
      <c r="M4236" s="471">
        <f t="shared" si="166"/>
        <v>0.05</v>
      </c>
      <c r="N4236" s="475">
        <f t="shared" si="167"/>
        <v>179975</v>
      </c>
    </row>
    <row r="4237" spans="7:14" ht="11.25" customHeight="1" x14ac:dyDescent="0.3">
      <c r="G4237" s="470"/>
      <c r="H4237" s="470">
        <v>4230</v>
      </c>
      <c r="I4237" s="455">
        <f t="shared" ca="1" si="165"/>
        <v>-18582685318731.582</v>
      </c>
      <c r="J4237" s="455">
        <f t="array" ref="J4237">IFERROR(INDEX('Retirement Calculator'!K:K,MATCH('Lorri 401b'!N4237,'Retirement Calculator'!A:A,0),0),0)</f>
        <v>0</v>
      </c>
      <c r="K4237" s="455">
        <f t="shared" ca="1" si="163"/>
        <v>-77427855494.71492</v>
      </c>
      <c r="L4237" s="455">
        <f t="shared" ca="1" si="164"/>
        <v>-18660113174226.297</v>
      </c>
      <c r="M4237" s="471">
        <f t="shared" si="166"/>
        <v>0.05</v>
      </c>
      <c r="N4237" s="475">
        <f t="shared" si="167"/>
        <v>180006</v>
      </c>
    </row>
    <row r="4238" spans="7:14" ht="11.25" customHeight="1" x14ac:dyDescent="0.3">
      <c r="G4238" s="470"/>
      <c r="H4238" s="470">
        <v>4231</v>
      </c>
      <c r="I4238" s="455">
        <f t="shared" ca="1" si="165"/>
        <v>-18660113174226.297</v>
      </c>
      <c r="J4238" s="455">
        <f t="array" ref="J4238">IFERROR(INDEX('Retirement Calculator'!K:K,MATCH('Lorri 401b'!N4238,'Retirement Calculator'!A:A,0),0),0)</f>
        <v>0</v>
      </c>
      <c r="K4238" s="455">
        <f t="shared" ca="1" si="163"/>
        <v>-77750471559.27623</v>
      </c>
      <c r="L4238" s="455">
        <f t="shared" ca="1" si="164"/>
        <v>-18737863645785.574</v>
      </c>
      <c r="M4238" s="471">
        <f t="shared" si="166"/>
        <v>0.05</v>
      </c>
      <c r="N4238" s="475">
        <f t="shared" si="167"/>
        <v>180036</v>
      </c>
    </row>
    <row r="4239" spans="7:14" ht="11.25" customHeight="1" x14ac:dyDescent="0.3">
      <c r="G4239" s="470"/>
      <c r="H4239" s="470">
        <v>4232</v>
      </c>
      <c r="I4239" s="455">
        <f t="shared" ca="1" si="165"/>
        <v>-18737863645785.574</v>
      </c>
      <c r="J4239" s="455">
        <f t="array" ref="J4239">IFERROR(INDEX('Retirement Calculator'!K:K,MATCH('Lorri 401b'!N4239,'Retirement Calculator'!A:A,0),0),0)</f>
        <v>0</v>
      </c>
      <c r="K4239" s="455">
        <f t="shared" ca="1" si="163"/>
        <v>-78074431857.439896</v>
      </c>
      <c r="L4239" s="455">
        <f t="shared" ca="1" si="164"/>
        <v>-18815938077643.016</v>
      </c>
      <c r="M4239" s="471">
        <f t="shared" si="166"/>
        <v>0.05</v>
      </c>
      <c r="N4239" s="475">
        <f t="shared" si="167"/>
        <v>180067</v>
      </c>
    </row>
    <row r="4240" spans="7:14" ht="11.25" customHeight="1" x14ac:dyDescent="0.3">
      <c r="G4240" s="470"/>
      <c r="H4240" s="470">
        <v>4233</v>
      </c>
      <c r="I4240" s="455">
        <f t="shared" ca="1" si="165"/>
        <v>-18815938077643.016</v>
      </c>
      <c r="J4240" s="455">
        <f t="array" ref="J4240">IFERROR(INDEX('Retirement Calculator'!K:K,MATCH('Lorri 401b'!N4240,'Retirement Calculator'!A:A,0),0),0)</f>
        <v>0</v>
      </c>
      <c r="K4240" s="455">
        <f t="shared" ca="1" si="163"/>
        <v>-78399741990.17923</v>
      </c>
      <c r="L4240" s="455">
        <f t="shared" ca="1" si="164"/>
        <v>-18894337819633.195</v>
      </c>
      <c r="M4240" s="471">
        <f t="shared" si="166"/>
        <v>0.05</v>
      </c>
      <c r="N4240" s="475">
        <f t="shared" si="167"/>
        <v>180098</v>
      </c>
    </row>
    <row r="4241" spans="7:14" ht="11.25" customHeight="1" x14ac:dyDescent="0.3">
      <c r="G4241" s="470"/>
      <c r="H4241" s="470">
        <v>4234</v>
      </c>
      <c r="I4241" s="455">
        <f t="shared" ca="1" si="165"/>
        <v>-18894337819633.195</v>
      </c>
      <c r="J4241" s="455">
        <f t="array" ref="J4241">IFERROR(INDEX('Retirement Calculator'!K:K,MATCH('Lorri 401b'!N4241,'Retirement Calculator'!A:A,0),0),0)</f>
        <v>0</v>
      </c>
      <c r="K4241" s="455">
        <f t="shared" ca="1" si="163"/>
        <v>-78726407581.804977</v>
      </c>
      <c r="L4241" s="455">
        <f t="shared" ca="1" si="164"/>
        <v>-18973064227215</v>
      </c>
      <c r="M4241" s="471">
        <f t="shared" si="166"/>
        <v>0.05</v>
      </c>
      <c r="N4241" s="475">
        <f t="shared" si="167"/>
        <v>180126</v>
      </c>
    </row>
    <row r="4242" spans="7:14" ht="11.25" customHeight="1" x14ac:dyDescent="0.3">
      <c r="G4242" s="470"/>
      <c r="H4242" s="470">
        <v>4235</v>
      </c>
      <c r="I4242" s="455">
        <f t="shared" ca="1" si="165"/>
        <v>-18973064227215</v>
      </c>
      <c r="J4242" s="455">
        <f t="array" ref="J4242">IFERROR(INDEX('Retirement Calculator'!K:K,MATCH('Lorri 401b'!N4242,'Retirement Calculator'!A:A,0),0),0)</f>
        <v>0</v>
      </c>
      <c r="K4242" s="455">
        <f t="shared" ca="1" si="163"/>
        <v>-79054434280.0625</v>
      </c>
      <c r="L4242" s="455">
        <f t="shared" ca="1" si="164"/>
        <v>-19052118661495.063</v>
      </c>
      <c r="M4242" s="471">
        <f t="shared" si="166"/>
        <v>0.05</v>
      </c>
      <c r="N4242" s="475">
        <f t="shared" si="167"/>
        <v>180157</v>
      </c>
    </row>
    <row r="4243" spans="7:14" ht="11.25" customHeight="1" x14ac:dyDescent="0.3">
      <c r="G4243" s="470"/>
      <c r="H4243" s="470">
        <v>4236</v>
      </c>
      <c r="I4243" s="455">
        <f t="shared" ca="1" si="165"/>
        <v>-19052118661495.063</v>
      </c>
      <c r="J4243" s="455">
        <f t="array" ref="J4243">IFERROR(INDEX('Retirement Calculator'!K:K,MATCH('Lorri 401b'!N4243,'Retirement Calculator'!A:A,0),0),0)</f>
        <v>0</v>
      </c>
      <c r="K4243" s="455">
        <f t="shared" ca="1" si="163"/>
        <v>-79383827756.229431</v>
      </c>
      <c r="L4243" s="455">
        <f t="shared" ca="1" si="164"/>
        <v>-19131502489251.293</v>
      </c>
      <c r="M4243" s="471">
        <f t="shared" si="166"/>
        <v>0.05</v>
      </c>
      <c r="N4243" s="475">
        <f t="shared" si="167"/>
        <v>180187</v>
      </c>
    </row>
    <row r="4244" spans="7:14" ht="11.25" customHeight="1" x14ac:dyDescent="0.3">
      <c r="G4244" s="470"/>
      <c r="H4244" s="470">
        <v>4237</v>
      </c>
      <c r="I4244" s="455">
        <f t="shared" ca="1" si="165"/>
        <v>-19131502489251.293</v>
      </c>
      <c r="J4244" s="455">
        <f t="array" ref="J4244">IFERROR(INDEX('Retirement Calculator'!K:K,MATCH('Lorri 401b'!N4244,'Retirement Calculator'!A:A,0),0),0)</f>
        <v>0</v>
      </c>
      <c r="K4244" s="455">
        <f t="shared" ca="1" si="163"/>
        <v>-79714593705.213715</v>
      </c>
      <c r="L4244" s="455">
        <f t="shared" ca="1" si="164"/>
        <v>-19211217082956.508</v>
      </c>
      <c r="M4244" s="471">
        <f t="shared" si="166"/>
        <v>0.05</v>
      </c>
      <c r="N4244" s="475">
        <f t="shared" si="167"/>
        <v>180218</v>
      </c>
    </row>
    <row r="4245" spans="7:14" ht="11.25" customHeight="1" x14ac:dyDescent="0.3">
      <c r="G4245" s="470"/>
      <c r="H4245" s="470">
        <v>4238</v>
      </c>
      <c r="I4245" s="455">
        <f t="shared" ca="1" si="165"/>
        <v>-19211217082956.508</v>
      </c>
      <c r="J4245" s="455">
        <f t="array" ref="J4245">IFERROR(INDEX('Retirement Calculator'!K:K,MATCH('Lorri 401b'!N4245,'Retirement Calculator'!A:A,0),0),0)</f>
        <v>0</v>
      </c>
      <c r="K4245" s="455">
        <f t="shared" ca="1" si="163"/>
        <v>-80046737845.652115</v>
      </c>
      <c r="L4245" s="455">
        <f t="shared" ca="1" si="164"/>
        <v>-19291263820802.16</v>
      </c>
      <c r="M4245" s="471">
        <f t="shared" si="166"/>
        <v>0.05</v>
      </c>
      <c r="N4245" s="475">
        <f t="shared" si="167"/>
        <v>180248</v>
      </c>
    </row>
    <row r="4246" spans="7:14" ht="11.25" customHeight="1" x14ac:dyDescent="0.3">
      <c r="G4246" s="470"/>
      <c r="H4246" s="470">
        <v>4239</v>
      </c>
      <c r="I4246" s="455">
        <f t="shared" ca="1" si="165"/>
        <v>-19291263820802.16</v>
      </c>
      <c r="J4246" s="455">
        <f t="array" ref="J4246">IFERROR(INDEX('Retirement Calculator'!K:K,MATCH('Lorri 401b'!N4246,'Retirement Calculator'!A:A,0),0),0)</f>
        <v>0</v>
      </c>
      <c r="K4246" s="455">
        <f t="shared" ca="1" si="163"/>
        <v>-80380265920.009003</v>
      </c>
      <c r="L4246" s="455">
        <f t="shared" ca="1" si="164"/>
        <v>-19371644086722.168</v>
      </c>
      <c r="M4246" s="471">
        <f t="shared" si="166"/>
        <v>0.05</v>
      </c>
      <c r="N4246" s="475">
        <f t="shared" si="167"/>
        <v>180279</v>
      </c>
    </row>
    <row r="4247" spans="7:14" ht="11.25" customHeight="1" x14ac:dyDescent="0.3">
      <c r="G4247" s="470"/>
      <c r="H4247" s="470">
        <v>4240</v>
      </c>
      <c r="I4247" s="455">
        <f t="shared" ca="1" si="165"/>
        <v>-19371644086722.168</v>
      </c>
      <c r="J4247" s="455">
        <f t="array" ref="J4247">IFERROR(INDEX('Retirement Calculator'!K:K,MATCH('Lorri 401b'!N4247,'Retirement Calculator'!A:A,0),0),0)</f>
        <v>0</v>
      </c>
      <c r="K4247" s="455">
        <f t="shared" ca="1" si="163"/>
        <v>-80715183694.675705</v>
      </c>
      <c r="L4247" s="455">
        <f t="shared" ca="1" si="164"/>
        <v>-19452359270416.844</v>
      </c>
      <c r="M4247" s="471">
        <f t="shared" si="166"/>
        <v>0.05</v>
      </c>
      <c r="N4247" s="475">
        <f t="shared" si="167"/>
        <v>180310</v>
      </c>
    </row>
    <row r="4248" spans="7:14" ht="11.25" customHeight="1" x14ac:dyDescent="0.3">
      <c r="G4248" s="470"/>
      <c r="H4248" s="470">
        <v>4241</v>
      </c>
      <c r="I4248" s="455">
        <f t="shared" ca="1" si="165"/>
        <v>-19452359270416.844</v>
      </c>
      <c r="J4248" s="455">
        <f t="array" ref="J4248">IFERROR(INDEX('Retirement Calculator'!K:K,MATCH('Lorri 401b'!N4248,'Retirement Calculator'!A:A,0),0),0)</f>
        <v>0</v>
      </c>
      <c r="K4248" s="455">
        <f t="shared" ca="1" si="163"/>
        <v>-81051496960.070175</v>
      </c>
      <c r="L4248" s="455">
        <f t="shared" ca="1" si="164"/>
        <v>-19533410767376.914</v>
      </c>
      <c r="M4248" s="471">
        <f t="shared" si="166"/>
        <v>0.05</v>
      </c>
      <c r="N4248" s="475">
        <f t="shared" si="167"/>
        <v>180340</v>
      </c>
    </row>
    <row r="4249" spans="7:14" ht="11.25" customHeight="1" x14ac:dyDescent="0.3">
      <c r="G4249" s="470"/>
      <c r="H4249" s="470">
        <v>4242</v>
      </c>
      <c r="I4249" s="455">
        <f t="shared" ca="1" si="165"/>
        <v>-19533410767376.914</v>
      </c>
      <c r="J4249" s="455">
        <f t="array" ref="J4249">IFERROR(INDEX('Retirement Calculator'!K:K,MATCH('Lorri 401b'!N4249,'Retirement Calculator'!A:A,0),0),0)</f>
        <v>0</v>
      </c>
      <c r="K4249" s="455">
        <f t="shared" ca="1" si="163"/>
        <v>-81389211530.737137</v>
      </c>
      <c r="L4249" s="455">
        <f t="shared" ca="1" si="164"/>
        <v>-19614799978907.652</v>
      </c>
      <c r="M4249" s="471">
        <f t="shared" si="166"/>
        <v>0.05</v>
      </c>
      <c r="N4249" s="475">
        <f t="shared" si="167"/>
        <v>180371</v>
      </c>
    </row>
    <row r="4250" spans="7:14" ht="11.25" customHeight="1" x14ac:dyDescent="0.3">
      <c r="G4250" s="470"/>
      <c r="H4250" s="470">
        <v>4243</v>
      </c>
      <c r="I4250" s="455">
        <f t="shared" ca="1" si="165"/>
        <v>-19614799978907.652</v>
      </c>
      <c r="J4250" s="455">
        <f t="array" ref="J4250">IFERROR(INDEX('Retirement Calculator'!K:K,MATCH('Lorri 401b'!N4250,'Retirement Calculator'!A:A,0),0),0)</f>
        <v>0</v>
      </c>
      <c r="K4250" s="455">
        <f t="shared" ca="1" si="163"/>
        <v>-81728333245.448547</v>
      </c>
      <c r="L4250" s="455">
        <f t="shared" ca="1" si="164"/>
        <v>-19696528312153.102</v>
      </c>
      <c r="M4250" s="471">
        <f t="shared" si="166"/>
        <v>0.05</v>
      </c>
      <c r="N4250" s="475">
        <f t="shared" si="167"/>
        <v>180401</v>
      </c>
    </row>
    <row r="4251" spans="7:14" ht="11.25" customHeight="1" x14ac:dyDescent="0.3">
      <c r="G4251" s="470"/>
      <c r="H4251" s="470">
        <v>4244</v>
      </c>
      <c r="I4251" s="455">
        <f t="shared" ca="1" si="165"/>
        <v>-19696528312153.102</v>
      </c>
      <c r="J4251" s="455">
        <f t="array" ref="J4251">IFERROR(INDEX('Retirement Calculator'!K:K,MATCH('Lorri 401b'!N4251,'Retirement Calculator'!A:A,0),0),0)</f>
        <v>0</v>
      </c>
      <c r="K4251" s="455">
        <f t="shared" ca="1" si="163"/>
        <v>-82068867967.304596</v>
      </c>
      <c r="L4251" s="455">
        <f t="shared" ca="1" si="164"/>
        <v>-19778597180120.406</v>
      </c>
      <c r="M4251" s="471">
        <f t="shared" si="166"/>
        <v>0.05</v>
      </c>
      <c r="N4251" s="475">
        <f t="shared" si="167"/>
        <v>180432</v>
      </c>
    </row>
    <row r="4252" spans="7:14" ht="11.25" customHeight="1" x14ac:dyDescent="0.3">
      <c r="G4252" s="470"/>
      <c r="H4252" s="470">
        <v>4245</v>
      </c>
      <c r="I4252" s="455">
        <f t="shared" ca="1" si="165"/>
        <v>-19778597180120.406</v>
      </c>
      <c r="J4252" s="455">
        <f t="array" ref="J4252">IFERROR(INDEX('Retirement Calculator'!K:K,MATCH('Lorri 401b'!N4252,'Retirement Calculator'!A:A,0),0),0)</f>
        <v>0</v>
      </c>
      <c r="K4252" s="455">
        <f t="shared" ca="1" si="163"/>
        <v>-82410821583.835022</v>
      </c>
      <c r="L4252" s="455">
        <f t="shared" ca="1" si="164"/>
        <v>-19861008001704.242</v>
      </c>
      <c r="M4252" s="471">
        <f t="shared" si="166"/>
        <v>0.05</v>
      </c>
      <c r="N4252" s="475">
        <f t="shared" si="167"/>
        <v>180463</v>
      </c>
    </row>
    <row r="4253" spans="7:14" ht="11.25" customHeight="1" x14ac:dyDescent="0.3">
      <c r="G4253" s="470"/>
      <c r="H4253" s="470">
        <v>4246</v>
      </c>
      <c r="I4253" s="455">
        <f t="shared" ca="1" si="165"/>
        <v>-19861008001704.242</v>
      </c>
      <c r="J4253" s="455">
        <f t="array" ref="J4253">IFERROR(INDEX('Retirement Calculator'!K:K,MATCH('Lorri 401b'!N4253,'Retirement Calculator'!A:A,0),0),0)</f>
        <v>0</v>
      </c>
      <c r="K4253" s="455">
        <f t="shared" ca="1" si="163"/>
        <v>-82754200007.101013</v>
      </c>
      <c r="L4253" s="455">
        <f t="shared" ca="1" si="164"/>
        <v>-19943762201711.344</v>
      </c>
      <c r="M4253" s="471">
        <f t="shared" si="166"/>
        <v>0.05</v>
      </c>
      <c r="N4253" s="475">
        <f t="shared" si="167"/>
        <v>180491</v>
      </c>
    </row>
    <row r="4254" spans="7:14" ht="11.25" customHeight="1" x14ac:dyDescent="0.3">
      <c r="G4254" s="470"/>
      <c r="H4254" s="470">
        <v>4247</v>
      </c>
      <c r="I4254" s="455">
        <f t="shared" ca="1" si="165"/>
        <v>-19943762201711.344</v>
      </c>
      <c r="J4254" s="455">
        <f t="array" ref="J4254">IFERROR(INDEX('Retirement Calculator'!K:K,MATCH('Lorri 401b'!N4254,'Retirement Calculator'!A:A,0),0),0)</f>
        <v>0</v>
      </c>
      <c r="K4254" s="455">
        <f t="shared" ca="1" si="163"/>
        <v>-83099009173.797272</v>
      </c>
      <c r="L4254" s="455">
        <f t="shared" ca="1" si="164"/>
        <v>-20026861210885.141</v>
      </c>
      <c r="M4254" s="471">
        <f t="shared" si="166"/>
        <v>0.05</v>
      </c>
      <c r="N4254" s="475">
        <f t="shared" si="167"/>
        <v>180522</v>
      </c>
    </row>
    <row r="4255" spans="7:14" ht="11.25" customHeight="1" x14ac:dyDescent="0.3">
      <c r="G4255" s="470"/>
      <c r="H4255" s="470">
        <v>4248</v>
      </c>
      <c r="I4255" s="455">
        <f t="shared" ca="1" si="165"/>
        <v>-20026861210885.141</v>
      </c>
      <c r="J4255" s="455">
        <f t="array" ref="J4255">IFERROR(INDEX('Retirement Calculator'!K:K,MATCH('Lorri 401b'!N4255,'Retirement Calculator'!A:A,0),0),0)</f>
        <v>0</v>
      </c>
      <c r="K4255" s="455">
        <f t="shared" ca="1" si="163"/>
        <v>-83445255045.354752</v>
      </c>
      <c r="L4255" s="455">
        <f t="shared" ca="1" si="164"/>
        <v>-20110306465930.496</v>
      </c>
      <c r="M4255" s="471">
        <f t="shared" si="166"/>
        <v>0.05</v>
      </c>
      <c r="N4255" s="475">
        <f t="shared" si="167"/>
        <v>180552</v>
      </c>
    </row>
    <row r="4256" spans="7:14" ht="11.25" customHeight="1" x14ac:dyDescent="0.3">
      <c r="G4256" s="470"/>
      <c r="H4256" s="470">
        <v>4249</v>
      </c>
      <c r="I4256" s="455">
        <f t="shared" ca="1" si="165"/>
        <v>-20110306465930.496</v>
      </c>
      <c r="J4256" s="455">
        <f t="array" ref="J4256">IFERROR(INDEX('Retirement Calculator'!K:K,MATCH('Lorri 401b'!N4256,'Retirement Calculator'!A:A,0),0),0)</f>
        <v>0</v>
      </c>
      <c r="K4256" s="455">
        <f t="shared" ca="1" si="163"/>
        <v>-83792943608.043732</v>
      </c>
      <c r="L4256" s="455">
        <f t="shared" ca="1" si="164"/>
        <v>-20194099409538.539</v>
      </c>
      <c r="M4256" s="471">
        <f t="shared" si="166"/>
        <v>0.05</v>
      </c>
      <c r="N4256" s="475">
        <f t="shared" si="167"/>
        <v>180583</v>
      </c>
    </row>
    <row r="4257" spans="7:14" ht="11.25" customHeight="1" x14ac:dyDescent="0.3">
      <c r="G4257" s="470"/>
      <c r="H4257" s="470">
        <v>4250</v>
      </c>
      <c r="I4257" s="455">
        <f t="shared" ca="1" si="165"/>
        <v>-20194099409538.539</v>
      </c>
      <c r="J4257" s="455">
        <f t="array" ref="J4257">IFERROR(INDEX('Retirement Calculator'!K:K,MATCH('Lorri 401b'!N4257,'Retirement Calculator'!A:A,0),0),0)</f>
        <v>0</v>
      </c>
      <c r="K4257" s="455">
        <f t="shared" ca="1" si="163"/>
        <v>-84142080873.07724</v>
      </c>
      <c r="L4257" s="455">
        <f t="shared" ca="1" si="164"/>
        <v>-20278241490411.617</v>
      </c>
      <c r="M4257" s="471">
        <f t="shared" si="166"/>
        <v>0.05</v>
      </c>
      <c r="N4257" s="475">
        <f t="shared" si="167"/>
        <v>180613</v>
      </c>
    </row>
    <row r="4258" spans="7:14" ht="11.25" customHeight="1" x14ac:dyDescent="0.3">
      <c r="G4258" s="470"/>
      <c r="H4258" s="470">
        <v>4251</v>
      </c>
      <c r="I4258" s="455">
        <f t="shared" ca="1" si="165"/>
        <v>-20278241490411.617</v>
      </c>
      <c r="J4258" s="455">
        <f t="array" ref="J4258">IFERROR(INDEX('Retirement Calculator'!K:K,MATCH('Lorri 401b'!N4258,'Retirement Calculator'!A:A,0),0),0)</f>
        <v>0</v>
      </c>
      <c r="K4258" s="455">
        <f t="shared" ca="1" si="163"/>
        <v>-84492672876.715073</v>
      </c>
      <c r="L4258" s="455">
        <f t="shared" ca="1" si="164"/>
        <v>-20362734163288.332</v>
      </c>
      <c r="M4258" s="471">
        <f t="shared" si="166"/>
        <v>0.05</v>
      </c>
      <c r="N4258" s="475">
        <f t="shared" si="167"/>
        <v>180644</v>
      </c>
    </row>
    <row r="4259" spans="7:14" ht="11.25" customHeight="1" x14ac:dyDescent="0.3">
      <c r="G4259" s="470"/>
      <c r="H4259" s="470">
        <v>4252</v>
      </c>
      <c r="I4259" s="455">
        <f t="shared" ca="1" si="165"/>
        <v>-20362734163288.332</v>
      </c>
      <c r="J4259" s="455">
        <f t="array" ref="J4259">IFERROR(INDEX('Retirement Calculator'!K:K,MATCH('Lorri 401b'!N4259,'Retirement Calculator'!A:A,0),0),0)</f>
        <v>0</v>
      </c>
      <c r="K4259" s="455">
        <f t="shared" ca="1" si="163"/>
        <v>-84844725680.368042</v>
      </c>
      <c r="L4259" s="455">
        <f t="shared" ca="1" si="164"/>
        <v>-20447578888968.699</v>
      </c>
      <c r="M4259" s="471">
        <f t="shared" si="166"/>
        <v>0.05</v>
      </c>
      <c r="N4259" s="475">
        <f t="shared" si="167"/>
        <v>180675</v>
      </c>
    </row>
    <row r="4260" spans="7:14" ht="11.25" customHeight="1" x14ac:dyDescent="0.3">
      <c r="G4260" s="470"/>
      <c r="H4260" s="470">
        <v>4253</v>
      </c>
      <c r="I4260" s="455">
        <f t="shared" ca="1" si="165"/>
        <v>-20447578888968.699</v>
      </c>
      <c r="J4260" s="455">
        <f t="array" ref="J4260">IFERROR(INDEX('Retirement Calculator'!K:K,MATCH('Lorri 401b'!N4260,'Retirement Calculator'!A:A,0),0),0)</f>
        <v>0</v>
      </c>
      <c r="K4260" s="455">
        <f t="shared" ca="1" si="163"/>
        <v>-85198245370.702911</v>
      </c>
      <c r="L4260" s="455">
        <f t="shared" ca="1" si="164"/>
        <v>-20532777134339.402</v>
      </c>
      <c r="M4260" s="471">
        <f t="shared" si="166"/>
        <v>0.05</v>
      </c>
      <c r="N4260" s="475">
        <f t="shared" si="167"/>
        <v>180705</v>
      </c>
    </row>
    <row r="4261" spans="7:14" ht="11.25" customHeight="1" x14ac:dyDescent="0.3">
      <c r="G4261" s="470"/>
      <c r="H4261" s="470">
        <v>4254</v>
      </c>
      <c r="I4261" s="455">
        <f t="shared" ca="1" si="165"/>
        <v>-20532777134339.402</v>
      </c>
      <c r="J4261" s="455">
        <f t="array" ref="J4261">IFERROR(INDEX('Retirement Calculator'!K:K,MATCH('Lorri 401b'!N4261,'Retirement Calculator'!A:A,0),0),0)</f>
        <v>0</v>
      </c>
      <c r="K4261" s="455">
        <f t="shared" ca="1" si="163"/>
        <v>-85553238059.747513</v>
      </c>
      <c r="L4261" s="455">
        <f t="shared" ca="1" si="164"/>
        <v>-20618330372399.148</v>
      </c>
      <c r="M4261" s="471">
        <f t="shared" si="166"/>
        <v>0.05</v>
      </c>
      <c r="N4261" s="475">
        <f t="shared" si="167"/>
        <v>180736</v>
      </c>
    </row>
    <row r="4262" spans="7:14" ht="11.25" customHeight="1" x14ac:dyDescent="0.3">
      <c r="G4262" s="470"/>
      <c r="H4262" s="470">
        <v>4255</v>
      </c>
      <c r="I4262" s="455">
        <f t="shared" ca="1" si="165"/>
        <v>-20618330372399.148</v>
      </c>
      <c r="J4262" s="455">
        <f t="array" ref="J4262">IFERROR(INDEX('Retirement Calculator'!K:K,MATCH('Lorri 401b'!N4262,'Retirement Calculator'!A:A,0),0),0)</f>
        <v>0</v>
      </c>
      <c r="K4262" s="455">
        <f t="shared" ca="1" si="163"/>
        <v>-85909709884.996445</v>
      </c>
      <c r="L4262" s="455">
        <f t="shared" ca="1" si="164"/>
        <v>-20704240082284.145</v>
      </c>
      <c r="M4262" s="471">
        <f t="shared" si="166"/>
        <v>0.05</v>
      </c>
      <c r="N4262" s="475">
        <f t="shared" si="167"/>
        <v>180766</v>
      </c>
    </row>
    <row r="4263" spans="7:14" ht="11.25" customHeight="1" x14ac:dyDescent="0.3">
      <c r="G4263" s="470"/>
      <c r="H4263" s="470">
        <v>4256</v>
      </c>
      <c r="I4263" s="455">
        <f t="shared" ca="1" si="165"/>
        <v>-20704240082284.145</v>
      </c>
      <c r="J4263" s="455">
        <f t="array" ref="J4263">IFERROR(INDEX('Retirement Calculator'!K:K,MATCH('Lorri 401b'!N4263,'Retirement Calculator'!A:A,0),0),0)</f>
        <v>0</v>
      </c>
      <c r="K4263" s="455">
        <f t="shared" ca="1" si="163"/>
        <v>-86267667009.517273</v>
      </c>
      <c r="L4263" s="455">
        <f t="shared" ca="1" si="164"/>
        <v>-20790507749293.66</v>
      </c>
      <c r="M4263" s="471">
        <f t="shared" si="166"/>
        <v>0.05</v>
      </c>
      <c r="N4263" s="475">
        <f t="shared" si="167"/>
        <v>180797</v>
      </c>
    </row>
    <row r="4264" spans="7:14" ht="11.25" customHeight="1" x14ac:dyDescent="0.3">
      <c r="G4264" s="470"/>
      <c r="H4264" s="470">
        <v>4257</v>
      </c>
      <c r="I4264" s="455">
        <f t="shared" ca="1" si="165"/>
        <v>-20790507749293.66</v>
      </c>
      <c r="J4264" s="455">
        <f t="array" ref="J4264">IFERROR(INDEX('Retirement Calculator'!K:K,MATCH('Lorri 401b'!N4264,'Retirement Calculator'!A:A,0),0),0)</f>
        <v>0</v>
      </c>
      <c r="K4264" s="455">
        <f t="shared" ca="1" si="163"/>
        <v>-86627115622.056915</v>
      </c>
      <c r="L4264" s="455">
        <f t="shared" ca="1" si="164"/>
        <v>-20877134864915.719</v>
      </c>
      <c r="M4264" s="471">
        <f t="shared" si="166"/>
        <v>0.05</v>
      </c>
      <c r="N4264" s="475">
        <f t="shared" si="167"/>
        <v>180828</v>
      </c>
    </row>
    <row r="4265" spans="7:14" ht="11.25" customHeight="1" x14ac:dyDescent="0.3">
      <c r="G4265" s="470"/>
      <c r="H4265" s="470">
        <v>4258</v>
      </c>
      <c r="I4265" s="455">
        <f t="shared" ca="1" si="165"/>
        <v>-20877134864915.719</v>
      </c>
      <c r="J4265" s="455">
        <f t="array" ref="J4265">IFERROR(INDEX('Retirement Calculator'!K:K,MATCH('Lorri 401b'!N4265,'Retirement Calculator'!A:A,0),0),0)</f>
        <v>0</v>
      </c>
      <c r="K4265" s="455">
        <f t="shared" ca="1" si="163"/>
        <v>-86988061937.148834</v>
      </c>
      <c r="L4265" s="455">
        <f t="shared" ca="1" si="164"/>
        <v>-20964122926852.867</v>
      </c>
      <c r="M4265" s="471">
        <f t="shared" si="166"/>
        <v>0.05</v>
      </c>
      <c r="N4265" s="475">
        <f t="shared" si="167"/>
        <v>180856</v>
      </c>
    </row>
    <row r="4266" spans="7:14" ht="11.25" customHeight="1" x14ac:dyDescent="0.3">
      <c r="G4266" s="470"/>
      <c r="H4266" s="470">
        <v>4259</v>
      </c>
      <c r="I4266" s="455">
        <f t="shared" ca="1" si="165"/>
        <v>-20964122926852.867</v>
      </c>
      <c r="J4266" s="455">
        <f t="array" ref="J4266">IFERROR(INDEX('Retirement Calculator'!K:K,MATCH('Lorri 401b'!N4266,'Retirement Calculator'!A:A,0),0),0)</f>
        <v>0</v>
      </c>
      <c r="K4266" s="455">
        <f t="shared" ca="1" si="163"/>
        <v>-87350512195.220276</v>
      </c>
      <c r="L4266" s="455">
        <f t="shared" ca="1" si="164"/>
        <v>-21051473439048.086</v>
      </c>
      <c r="M4266" s="471">
        <f t="shared" si="166"/>
        <v>0.05</v>
      </c>
      <c r="N4266" s="475">
        <f t="shared" si="167"/>
        <v>180887</v>
      </c>
    </row>
    <row r="4267" spans="7:14" ht="11.25" customHeight="1" x14ac:dyDescent="0.3">
      <c r="G4267" s="470"/>
      <c r="H4267" s="470">
        <v>4260</v>
      </c>
      <c r="I4267" s="455">
        <f t="shared" ca="1" si="165"/>
        <v>-21051473439048.086</v>
      </c>
      <c r="J4267" s="455">
        <f t="array" ref="J4267">IFERROR(INDEX('Retirement Calculator'!K:K,MATCH('Lorri 401b'!N4267,'Retirement Calculator'!A:A,0),0),0)</f>
        <v>0</v>
      </c>
      <c r="K4267" s="455">
        <f t="shared" ca="1" si="163"/>
        <v>-87714472662.700363</v>
      </c>
      <c r="L4267" s="455">
        <f t="shared" ca="1" si="164"/>
        <v>-21139187911710.785</v>
      </c>
      <c r="M4267" s="471">
        <f t="shared" si="166"/>
        <v>0.05</v>
      </c>
      <c r="N4267" s="475">
        <f t="shared" si="167"/>
        <v>180917</v>
      </c>
    </row>
    <row r="4268" spans="7:14" ht="11.25" customHeight="1" x14ac:dyDescent="0.3">
      <c r="G4268" s="470"/>
      <c r="H4268" s="470">
        <v>4261</v>
      </c>
      <c r="I4268" s="455">
        <f t="shared" ca="1" si="165"/>
        <v>-21139187911710.785</v>
      </c>
      <c r="J4268" s="455">
        <f t="array" ref="J4268">IFERROR(INDEX('Retirement Calculator'!K:K,MATCH('Lorri 401b'!N4268,'Retirement Calculator'!A:A,0),0),0)</f>
        <v>0</v>
      </c>
      <c r="K4268" s="455">
        <f t="shared" ca="1" si="163"/>
        <v>-88079949632.128265</v>
      </c>
      <c r="L4268" s="455">
        <f t="shared" ca="1" si="164"/>
        <v>-21227267861342.914</v>
      </c>
      <c r="M4268" s="471">
        <f t="shared" si="166"/>
        <v>0.05</v>
      </c>
      <c r="N4268" s="475">
        <f t="shared" si="167"/>
        <v>180948</v>
      </c>
    </row>
    <row r="4269" spans="7:14" ht="11.25" customHeight="1" x14ac:dyDescent="0.3">
      <c r="G4269" s="470"/>
      <c r="H4269" s="470">
        <v>4262</v>
      </c>
      <c r="I4269" s="455">
        <f t="shared" ca="1" si="165"/>
        <v>-21227267861342.914</v>
      </c>
      <c r="J4269" s="455">
        <f t="array" ref="J4269">IFERROR(INDEX('Retirement Calculator'!K:K,MATCH('Lorri 401b'!N4269,'Retirement Calculator'!A:A,0),0),0)</f>
        <v>0</v>
      </c>
      <c r="K4269" s="455">
        <f t="shared" ca="1" si="163"/>
        <v>-88446949422.262146</v>
      </c>
      <c r="L4269" s="455">
        <f t="shared" ca="1" si="164"/>
        <v>-21315714810765.176</v>
      </c>
      <c r="M4269" s="471">
        <f t="shared" si="166"/>
        <v>0.05</v>
      </c>
      <c r="N4269" s="475">
        <f t="shared" si="167"/>
        <v>180978</v>
      </c>
    </row>
    <row r="4270" spans="7:14" ht="11.25" customHeight="1" x14ac:dyDescent="0.3">
      <c r="G4270" s="470"/>
      <c r="H4270" s="470">
        <v>4263</v>
      </c>
      <c r="I4270" s="455">
        <f t="shared" ca="1" si="165"/>
        <v>-21315714810765.176</v>
      </c>
      <c r="J4270" s="455">
        <f t="array" ref="J4270">IFERROR(INDEX('Retirement Calculator'!K:K,MATCH('Lorri 401b'!N4270,'Retirement Calculator'!A:A,0),0),0)</f>
        <v>0</v>
      </c>
      <c r="K4270" s="455">
        <f t="shared" ca="1" si="163"/>
        <v>-88815478378.188232</v>
      </c>
      <c r="L4270" s="455">
        <f t="shared" ca="1" si="164"/>
        <v>-21404530289143.363</v>
      </c>
      <c r="M4270" s="471">
        <f t="shared" si="166"/>
        <v>0.05</v>
      </c>
      <c r="N4270" s="475">
        <f t="shared" si="167"/>
        <v>181009</v>
      </c>
    </row>
    <row r="4271" spans="7:14" ht="11.25" customHeight="1" x14ac:dyDescent="0.3">
      <c r="G4271" s="470"/>
      <c r="H4271" s="470">
        <v>4264</v>
      </c>
      <c r="I4271" s="455">
        <f t="shared" ca="1" si="165"/>
        <v>-21404530289143.363</v>
      </c>
      <c r="J4271" s="455">
        <f t="array" ref="J4271">IFERROR(INDEX('Retirement Calculator'!K:K,MATCH('Lorri 401b'!N4271,'Retirement Calculator'!A:A,0),0),0)</f>
        <v>0</v>
      </c>
      <c r="K4271" s="455">
        <f t="shared" ca="1" si="163"/>
        <v>-89185542871.430679</v>
      </c>
      <c r="L4271" s="455">
        <f t="shared" ca="1" si="164"/>
        <v>-21493715832014.793</v>
      </c>
      <c r="M4271" s="471">
        <f t="shared" si="166"/>
        <v>0.05</v>
      </c>
      <c r="N4271" s="475">
        <f t="shared" si="167"/>
        <v>181040</v>
      </c>
    </row>
    <row r="4272" spans="7:14" ht="11.25" customHeight="1" x14ac:dyDescent="0.3">
      <c r="G4272" s="470"/>
      <c r="H4272" s="470">
        <v>4265</v>
      </c>
      <c r="I4272" s="455">
        <f t="shared" ca="1" si="165"/>
        <v>-21493715832014.793</v>
      </c>
      <c r="J4272" s="455">
        <f t="array" ref="J4272">IFERROR(INDEX('Retirement Calculator'!K:K,MATCH('Lorri 401b'!N4272,'Retirement Calculator'!A:A,0),0),0)</f>
        <v>0</v>
      </c>
      <c r="K4272" s="455">
        <f t="shared" ca="1" si="163"/>
        <v>-89557149300.06163</v>
      </c>
      <c r="L4272" s="455">
        <f t="shared" ca="1" si="164"/>
        <v>-21583272981314.855</v>
      </c>
      <c r="M4272" s="471">
        <f t="shared" si="166"/>
        <v>0.05</v>
      </c>
      <c r="N4272" s="475">
        <f t="shared" si="167"/>
        <v>181070</v>
      </c>
    </row>
    <row r="4273" spans="7:14" ht="11.25" customHeight="1" x14ac:dyDescent="0.3">
      <c r="G4273" s="470"/>
      <c r="H4273" s="470">
        <v>4266</v>
      </c>
      <c r="I4273" s="455">
        <f t="shared" ca="1" si="165"/>
        <v>-21583272981314.855</v>
      </c>
      <c r="J4273" s="455">
        <f t="array" ref="J4273">IFERROR(INDEX('Retirement Calculator'!K:K,MATCH('Lorri 401b'!N4273,'Retirement Calculator'!A:A,0),0),0)</f>
        <v>0</v>
      </c>
      <c r="K4273" s="455">
        <f t="shared" ca="1" si="163"/>
        <v>-89930304088.81189</v>
      </c>
      <c r="L4273" s="455">
        <f t="shared" ca="1" si="164"/>
        <v>-21673203285403.668</v>
      </c>
      <c r="M4273" s="471">
        <f t="shared" si="166"/>
        <v>0.05</v>
      </c>
      <c r="N4273" s="475">
        <f t="shared" si="167"/>
        <v>181101</v>
      </c>
    </row>
    <row r="4274" spans="7:14" ht="11.25" customHeight="1" x14ac:dyDescent="0.3">
      <c r="G4274" s="470"/>
      <c r="H4274" s="470">
        <v>4267</v>
      </c>
      <c r="I4274" s="455">
        <f t="shared" ca="1" si="165"/>
        <v>-21673203285403.668</v>
      </c>
      <c r="J4274" s="455">
        <f t="array" ref="J4274">IFERROR(INDEX('Retirement Calculator'!K:K,MATCH('Lorri 401b'!N4274,'Retirement Calculator'!A:A,0),0),0)</f>
        <v>0</v>
      </c>
      <c r="K4274" s="455">
        <f t="shared" ca="1" si="163"/>
        <v>-90305013689.181946</v>
      </c>
      <c r="L4274" s="455">
        <f t="shared" ca="1" si="164"/>
        <v>-21763508299092.852</v>
      </c>
      <c r="M4274" s="471">
        <f t="shared" si="166"/>
        <v>0.05</v>
      </c>
      <c r="N4274" s="475">
        <f t="shared" si="167"/>
        <v>181131</v>
      </c>
    </row>
    <row r="4275" spans="7:14" ht="11.25" customHeight="1" x14ac:dyDescent="0.3">
      <c r="G4275" s="470"/>
      <c r="H4275" s="470">
        <v>4268</v>
      </c>
      <c r="I4275" s="455">
        <f t="shared" ca="1" si="165"/>
        <v>-21763508299092.852</v>
      </c>
      <c r="J4275" s="455">
        <f t="array" ref="J4275">IFERROR(INDEX('Retirement Calculator'!K:K,MATCH('Lorri 401b'!N4275,'Retirement Calculator'!A:A,0),0),0)</f>
        <v>0</v>
      </c>
      <c r="K4275" s="455">
        <f t="shared" ca="1" si="163"/>
        <v>-90681284579.553543</v>
      </c>
      <c r="L4275" s="455">
        <f t="shared" ca="1" si="164"/>
        <v>-21854189583672.406</v>
      </c>
      <c r="M4275" s="471">
        <f t="shared" si="166"/>
        <v>0.05</v>
      </c>
      <c r="N4275" s="475">
        <f t="shared" si="167"/>
        <v>181162</v>
      </c>
    </row>
    <row r="4276" spans="7:14" ht="11.25" customHeight="1" x14ac:dyDescent="0.3">
      <c r="G4276" s="470"/>
      <c r="H4276" s="470">
        <v>4269</v>
      </c>
      <c r="I4276" s="455">
        <f t="shared" ca="1" si="165"/>
        <v>-21854189583672.406</v>
      </c>
      <c r="J4276" s="455">
        <f t="array" ref="J4276">IFERROR(INDEX('Retirement Calculator'!K:K,MATCH('Lorri 401b'!N4276,'Retirement Calculator'!A:A,0),0),0)</f>
        <v>0</v>
      </c>
      <c r="K4276" s="455">
        <f t="shared" ca="1" si="163"/>
        <v>-91059123265.301697</v>
      </c>
      <c r="L4276" s="455">
        <f t="shared" ca="1" si="164"/>
        <v>-21945248706937.707</v>
      </c>
      <c r="M4276" s="471">
        <f t="shared" si="166"/>
        <v>0.05</v>
      </c>
      <c r="N4276" s="475">
        <f t="shared" si="167"/>
        <v>181193</v>
      </c>
    </row>
    <row r="4277" spans="7:14" ht="11.25" customHeight="1" x14ac:dyDescent="0.3">
      <c r="G4277" s="470"/>
      <c r="H4277" s="470">
        <v>4270</v>
      </c>
      <c r="I4277" s="455">
        <f t="shared" ca="1" si="165"/>
        <v>-21945248706937.707</v>
      </c>
      <c r="J4277" s="455">
        <f t="array" ref="J4277">IFERROR(INDEX('Retirement Calculator'!K:K,MATCH('Lorri 401b'!N4277,'Retirement Calculator'!A:A,0),0),0)</f>
        <v>0</v>
      </c>
      <c r="K4277" s="455">
        <f t="shared" ca="1" si="163"/>
        <v>-91438536278.907104</v>
      </c>
      <c r="L4277" s="455">
        <f t="shared" ca="1" si="164"/>
        <v>-22036687243216.613</v>
      </c>
      <c r="M4277" s="471">
        <f t="shared" si="166"/>
        <v>0.05</v>
      </c>
      <c r="N4277" s="475">
        <f t="shared" si="167"/>
        <v>181222</v>
      </c>
    </row>
    <row r="4278" spans="7:14" ht="11.25" customHeight="1" x14ac:dyDescent="0.3">
      <c r="G4278" s="470"/>
      <c r="H4278" s="470">
        <v>4271</v>
      </c>
      <c r="I4278" s="455">
        <f t="shared" ca="1" si="165"/>
        <v>-22036687243216.613</v>
      </c>
      <c r="J4278" s="455">
        <f t="array" ref="J4278">IFERROR(INDEX('Retirement Calculator'!K:K,MATCH('Lorri 401b'!N4278,'Retirement Calculator'!A:A,0),0),0)</f>
        <v>0</v>
      </c>
      <c r="K4278" s="455">
        <f t="shared" ca="1" si="163"/>
        <v>-91819530180.069214</v>
      </c>
      <c r="L4278" s="455">
        <f t="shared" ca="1" si="164"/>
        <v>-22128506773396.684</v>
      </c>
      <c r="M4278" s="471">
        <f t="shared" si="166"/>
        <v>0.05</v>
      </c>
      <c r="N4278" s="475">
        <f t="shared" si="167"/>
        <v>181253</v>
      </c>
    </row>
    <row r="4279" spans="7:14" ht="11.25" customHeight="1" x14ac:dyDescent="0.3">
      <c r="G4279" s="470"/>
      <c r="H4279" s="470">
        <v>4272</v>
      </c>
      <c r="I4279" s="455">
        <f t="shared" ca="1" si="165"/>
        <v>-22128506773396.684</v>
      </c>
      <c r="J4279" s="455">
        <f t="array" ref="J4279">IFERROR(INDEX('Retirement Calculator'!K:K,MATCH('Lorri 401b'!N4279,'Retirement Calculator'!A:A,0),0),0)</f>
        <v>0</v>
      </c>
      <c r="K4279" s="455">
        <f t="shared" ca="1" si="163"/>
        <v>-92202111555.819519</v>
      </c>
      <c r="L4279" s="455">
        <f t="shared" ca="1" si="164"/>
        <v>-22220708884952.504</v>
      </c>
      <c r="M4279" s="471">
        <f t="shared" si="166"/>
        <v>0.05</v>
      </c>
      <c r="N4279" s="475">
        <f t="shared" si="167"/>
        <v>181283</v>
      </c>
    </row>
    <row r="4280" spans="7:14" ht="11.25" customHeight="1" x14ac:dyDescent="0.3">
      <c r="G4280" s="470"/>
      <c r="H4280" s="470">
        <v>4273</v>
      </c>
      <c r="I4280" s="455">
        <f t="shared" ca="1" si="165"/>
        <v>-22220708884952.504</v>
      </c>
      <c r="J4280" s="455">
        <f t="array" ref="J4280">IFERROR(INDEX('Retirement Calculator'!K:K,MATCH('Lorri 401b'!N4280,'Retirement Calculator'!A:A,0),0),0)</f>
        <v>0</v>
      </c>
      <c r="K4280" s="455">
        <f t="shared" ca="1" si="163"/>
        <v>-92586287020.635437</v>
      </c>
      <c r="L4280" s="455">
        <f t="shared" ca="1" si="164"/>
        <v>-22313295171973.141</v>
      </c>
      <c r="M4280" s="471">
        <f t="shared" si="166"/>
        <v>0.05</v>
      </c>
      <c r="N4280" s="475">
        <f t="shared" si="167"/>
        <v>181314</v>
      </c>
    </row>
    <row r="4281" spans="7:14" ht="11.25" customHeight="1" x14ac:dyDescent="0.3">
      <c r="G4281" s="470"/>
      <c r="H4281" s="470">
        <v>4274</v>
      </c>
      <c r="I4281" s="455">
        <f t="shared" ca="1" si="165"/>
        <v>-22313295171973.141</v>
      </c>
      <c r="J4281" s="455">
        <f t="array" ref="J4281">IFERROR(INDEX('Retirement Calculator'!K:K,MATCH('Lorri 401b'!N4281,'Retirement Calculator'!A:A,0),0),0)</f>
        <v>0</v>
      </c>
      <c r="K4281" s="455">
        <f t="shared" ca="1" si="163"/>
        <v>-92972063216.554749</v>
      </c>
      <c r="L4281" s="455">
        <f t="shared" ca="1" si="164"/>
        <v>-22406267235189.695</v>
      </c>
      <c r="M4281" s="471">
        <f t="shared" si="166"/>
        <v>0.05</v>
      </c>
      <c r="N4281" s="475">
        <f t="shared" si="167"/>
        <v>181344</v>
      </c>
    </row>
    <row r="4282" spans="7:14" ht="11.25" customHeight="1" x14ac:dyDescent="0.3">
      <c r="G4282" s="470"/>
      <c r="H4282" s="470">
        <v>4275</v>
      </c>
      <c r="I4282" s="455">
        <f t="shared" ca="1" si="165"/>
        <v>-22406267235189.695</v>
      </c>
      <c r="J4282" s="455">
        <f t="array" ref="J4282">IFERROR(INDEX('Retirement Calculator'!K:K,MATCH('Lorri 401b'!N4282,'Retirement Calculator'!A:A,0),0),0)</f>
        <v>0</v>
      </c>
      <c r="K4282" s="455">
        <f t="shared" ca="1" si="163"/>
        <v>-93359446813.29039</v>
      </c>
      <c r="L4282" s="455">
        <f t="shared" ca="1" si="164"/>
        <v>-22499626682002.984</v>
      </c>
      <c r="M4282" s="471">
        <f t="shared" si="166"/>
        <v>0.05</v>
      </c>
      <c r="N4282" s="475">
        <f t="shared" si="167"/>
        <v>181375</v>
      </c>
    </row>
    <row r="4283" spans="7:14" ht="11.25" customHeight="1" x14ac:dyDescent="0.3">
      <c r="G4283" s="470"/>
      <c r="H4283" s="470">
        <v>4276</v>
      </c>
      <c r="I4283" s="455">
        <f t="shared" ca="1" si="165"/>
        <v>-22499626682002.984</v>
      </c>
      <c r="J4283" s="455">
        <f t="array" ref="J4283">IFERROR(INDEX('Retirement Calculator'!K:K,MATCH('Lorri 401b'!N4283,'Retirement Calculator'!A:A,0),0),0)</f>
        <v>0</v>
      </c>
      <c r="K4283" s="455">
        <f t="shared" ca="1" si="163"/>
        <v>-93748444508.345764</v>
      </c>
      <c r="L4283" s="455">
        <f t="shared" ca="1" si="164"/>
        <v>-22593375126511.332</v>
      </c>
      <c r="M4283" s="471">
        <f t="shared" si="166"/>
        <v>0.05</v>
      </c>
      <c r="N4283" s="475">
        <f t="shared" si="167"/>
        <v>181406</v>
      </c>
    </row>
    <row r="4284" spans="7:14" ht="11.25" customHeight="1" x14ac:dyDescent="0.3">
      <c r="G4284" s="470"/>
      <c r="H4284" s="470">
        <v>4277</v>
      </c>
      <c r="I4284" s="455">
        <f t="shared" ca="1" si="165"/>
        <v>-22593375126511.332</v>
      </c>
      <c r="J4284" s="455">
        <f t="array" ref="J4284">IFERROR(INDEX('Retirement Calculator'!K:K,MATCH('Lorri 401b'!N4284,'Retirement Calculator'!A:A,0),0),0)</f>
        <v>0</v>
      </c>
      <c r="K4284" s="455">
        <f t="shared" ca="1" si="163"/>
        <v>-94139063027.130554</v>
      </c>
      <c r="L4284" s="455">
        <f t="shared" ca="1" si="164"/>
        <v>-22687514189538.461</v>
      </c>
      <c r="M4284" s="471">
        <f t="shared" si="166"/>
        <v>0.05</v>
      </c>
      <c r="N4284" s="475">
        <f t="shared" si="167"/>
        <v>181436</v>
      </c>
    </row>
    <row r="4285" spans="7:14" ht="11.25" customHeight="1" x14ac:dyDescent="0.3">
      <c r="G4285" s="470"/>
      <c r="H4285" s="470">
        <v>4278</v>
      </c>
      <c r="I4285" s="455">
        <f t="shared" ca="1" si="165"/>
        <v>-22687514189538.461</v>
      </c>
      <c r="J4285" s="455">
        <f t="array" ref="J4285">IFERROR(INDEX('Retirement Calculator'!K:K,MATCH('Lorri 401b'!N4285,'Retirement Calculator'!A:A,0),0),0)</f>
        <v>0</v>
      </c>
      <c r="K4285" s="455">
        <f t="shared" ca="1" si="163"/>
        <v>-94531309123.07692</v>
      </c>
      <c r="L4285" s="455">
        <f t="shared" ca="1" si="164"/>
        <v>-22782045498661.539</v>
      </c>
      <c r="M4285" s="471">
        <f t="shared" si="166"/>
        <v>0.05</v>
      </c>
      <c r="N4285" s="475">
        <f t="shared" si="167"/>
        <v>181467</v>
      </c>
    </row>
    <row r="4286" spans="7:14" ht="11.25" customHeight="1" x14ac:dyDescent="0.3">
      <c r="G4286" s="470"/>
      <c r="H4286" s="470">
        <v>4279</v>
      </c>
      <c r="I4286" s="455">
        <f t="shared" ca="1" si="165"/>
        <v>-22782045498661.539</v>
      </c>
      <c r="J4286" s="455">
        <f t="array" ref="J4286">IFERROR(INDEX('Retirement Calculator'!K:K,MATCH('Lorri 401b'!N4286,'Retirement Calculator'!A:A,0),0),0)</f>
        <v>0</v>
      </c>
      <c r="K4286" s="455">
        <f t="shared" ca="1" si="163"/>
        <v>-94925189577.756409</v>
      </c>
      <c r="L4286" s="455">
        <f t="shared" ca="1" si="164"/>
        <v>-22876970688239.297</v>
      </c>
      <c r="M4286" s="471">
        <f t="shared" si="166"/>
        <v>0.05</v>
      </c>
      <c r="N4286" s="475">
        <f t="shared" si="167"/>
        <v>181497</v>
      </c>
    </row>
    <row r="4287" spans="7:14" ht="11.25" customHeight="1" x14ac:dyDescent="0.3">
      <c r="G4287" s="470"/>
      <c r="H4287" s="470">
        <v>4280</v>
      </c>
      <c r="I4287" s="455">
        <f t="shared" ca="1" si="165"/>
        <v>-22876970688239.297</v>
      </c>
      <c r="J4287" s="455">
        <f t="array" ref="J4287">IFERROR(INDEX('Retirement Calculator'!K:K,MATCH('Lorri 401b'!N4287,'Retirement Calculator'!A:A,0),0),0)</f>
        <v>0</v>
      </c>
      <c r="K4287" s="455">
        <f t="shared" ca="1" si="163"/>
        <v>-95320711200.99707</v>
      </c>
      <c r="L4287" s="455">
        <f t="shared" ca="1" si="164"/>
        <v>-22972291399440.293</v>
      </c>
      <c r="M4287" s="471">
        <f t="shared" si="166"/>
        <v>0.05</v>
      </c>
      <c r="N4287" s="475">
        <f t="shared" si="167"/>
        <v>181528</v>
      </c>
    </row>
    <row r="4288" spans="7:14" ht="11.25" customHeight="1" x14ac:dyDescent="0.3">
      <c r="G4288" s="470"/>
      <c r="H4288" s="470">
        <v>4281</v>
      </c>
      <c r="I4288" s="455">
        <f t="shared" ca="1" si="165"/>
        <v>-22972291399440.293</v>
      </c>
      <c r="J4288" s="455">
        <f t="array" ref="J4288">IFERROR(INDEX('Retirement Calculator'!K:K,MATCH('Lorri 401b'!N4288,'Retirement Calculator'!A:A,0),0),0)</f>
        <v>0</v>
      </c>
      <c r="K4288" s="455">
        <f t="shared" ca="1" si="163"/>
        <v>-95717880831.001221</v>
      </c>
      <c r="L4288" s="455">
        <f t="shared" ca="1" si="164"/>
        <v>-23068009280271.293</v>
      </c>
      <c r="M4288" s="471">
        <f t="shared" si="166"/>
        <v>0.05</v>
      </c>
      <c r="N4288" s="475">
        <f t="shared" si="167"/>
        <v>181559</v>
      </c>
    </row>
    <row r="4289" spans="7:14" ht="11.25" customHeight="1" x14ac:dyDescent="0.3">
      <c r="G4289" s="470"/>
      <c r="H4289" s="470">
        <v>4282</v>
      </c>
      <c r="I4289" s="455">
        <f t="shared" ca="1" si="165"/>
        <v>-23068009280271.293</v>
      </c>
      <c r="J4289" s="455">
        <f t="array" ref="J4289">IFERROR(INDEX('Retirement Calculator'!K:K,MATCH('Lorri 401b'!N4289,'Retirement Calculator'!A:A,0),0),0)</f>
        <v>0</v>
      </c>
      <c r="K4289" s="455">
        <f t="shared" ca="1" si="163"/>
        <v>-96116705334.463715</v>
      </c>
      <c r="L4289" s="455">
        <f t="shared" ca="1" si="164"/>
        <v>-23164125985605.758</v>
      </c>
      <c r="M4289" s="471">
        <f t="shared" si="166"/>
        <v>0.05</v>
      </c>
      <c r="N4289" s="475">
        <f t="shared" si="167"/>
        <v>181587</v>
      </c>
    </row>
    <row r="4290" spans="7:14" ht="11.25" customHeight="1" x14ac:dyDescent="0.3">
      <c r="G4290" s="470"/>
      <c r="H4290" s="470">
        <v>4283</v>
      </c>
      <c r="I4290" s="455">
        <f t="shared" ca="1" si="165"/>
        <v>-23164125985605.758</v>
      </c>
      <c r="J4290" s="455">
        <f t="array" ref="J4290">IFERROR(INDEX('Retirement Calculator'!K:K,MATCH('Lorri 401b'!N4290,'Retirement Calculator'!A:A,0),0),0)</f>
        <v>0</v>
      </c>
      <c r="K4290" s="455">
        <f t="shared" ca="1" si="163"/>
        <v>-96517191606.690659</v>
      </c>
      <c r="L4290" s="455">
        <f t="shared" ca="1" si="164"/>
        <v>-23260643177212.449</v>
      </c>
      <c r="M4290" s="471">
        <f t="shared" si="166"/>
        <v>0.05</v>
      </c>
      <c r="N4290" s="475">
        <f t="shared" si="167"/>
        <v>181618</v>
      </c>
    </row>
    <row r="4291" spans="7:14" ht="11.25" customHeight="1" x14ac:dyDescent="0.3">
      <c r="G4291" s="470"/>
      <c r="H4291" s="470">
        <v>4284</v>
      </c>
      <c r="I4291" s="455">
        <f t="shared" ca="1" si="165"/>
        <v>-23260643177212.449</v>
      </c>
      <c r="J4291" s="455">
        <f t="array" ref="J4291">IFERROR(INDEX('Retirement Calculator'!K:K,MATCH('Lorri 401b'!N4291,'Retirement Calculator'!A:A,0),0),0)</f>
        <v>0</v>
      </c>
      <c r="K4291" s="455">
        <f t="shared" ca="1" si="163"/>
        <v>-96919346571.718536</v>
      </c>
      <c r="L4291" s="455">
        <f t="shared" ca="1" si="164"/>
        <v>-23357562523784.168</v>
      </c>
      <c r="M4291" s="471">
        <f t="shared" si="166"/>
        <v>0.05</v>
      </c>
      <c r="N4291" s="475">
        <f t="shared" si="167"/>
        <v>181648</v>
      </c>
    </row>
    <row r="4292" spans="7:14" ht="11.25" customHeight="1" x14ac:dyDescent="0.3">
      <c r="G4292" s="470"/>
      <c r="H4292" s="470">
        <v>4285</v>
      </c>
      <c r="I4292" s="455">
        <f t="shared" ca="1" si="165"/>
        <v>-23357562523784.168</v>
      </c>
      <c r="J4292" s="455">
        <f t="array" ref="J4292">IFERROR(INDEX('Retirement Calculator'!K:K,MATCH('Lorri 401b'!N4292,'Retirement Calculator'!A:A,0),0),0)</f>
        <v>0</v>
      </c>
      <c r="K4292" s="455">
        <f t="shared" ca="1" si="163"/>
        <v>-97323177182.434036</v>
      </c>
      <c r="L4292" s="455">
        <f t="shared" ca="1" si="164"/>
        <v>-23454885700966.602</v>
      </c>
      <c r="M4292" s="471">
        <f t="shared" si="166"/>
        <v>0.05</v>
      </c>
      <c r="N4292" s="475">
        <f t="shared" si="167"/>
        <v>181679</v>
      </c>
    </row>
    <row r="4293" spans="7:14" ht="11.25" customHeight="1" x14ac:dyDescent="0.3">
      <c r="G4293" s="470"/>
      <c r="H4293" s="470">
        <v>4286</v>
      </c>
      <c r="I4293" s="455">
        <f t="shared" ca="1" si="165"/>
        <v>-23454885700966.602</v>
      </c>
      <c r="J4293" s="455">
        <f t="array" ref="J4293">IFERROR(INDEX('Retirement Calculator'!K:K,MATCH('Lorri 401b'!N4293,'Retirement Calculator'!A:A,0),0),0)</f>
        <v>0</v>
      </c>
      <c r="K4293" s="455">
        <f t="shared" ca="1" si="163"/>
        <v>-97728690420.694168</v>
      </c>
      <c r="L4293" s="455">
        <f t="shared" ca="1" si="164"/>
        <v>-23552614391387.297</v>
      </c>
      <c r="M4293" s="471">
        <f t="shared" si="166"/>
        <v>0.05</v>
      </c>
      <c r="N4293" s="475">
        <f t="shared" si="167"/>
        <v>181709</v>
      </c>
    </row>
    <row r="4294" spans="7:14" ht="11.25" customHeight="1" x14ac:dyDescent="0.3">
      <c r="G4294" s="470"/>
      <c r="H4294" s="470">
        <v>4287</v>
      </c>
      <c r="I4294" s="455">
        <f t="shared" ca="1" si="165"/>
        <v>-23552614391387.297</v>
      </c>
      <c r="J4294" s="455">
        <f t="array" ref="J4294">IFERROR(INDEX('Retirement Calculator'!K:K,MATCH('Lorri 401b'!N4294,'Retirement Calculator'!A:A,0),0),0)</f>
        <v>0</v>
      </c>
      <c r="K4294" s="455">
        <f t="shared" ca="1" si="163"/>
        <v>-98135893297.447067</v>
      </c>
      <c r="L4294" s="455">
        <f t="shared" ca="1" si="164"/>
        <v>-23650750284684.742</v>
      </c>
      <c r="M4294" s="471">
        <f t="shared" si="166"/>
        <v>0.05</v>
      </c>
      <c r="N4294" s="475">
        <f t="shared" si="167"/>
        <v>181740</v>
      </c>
    </row>
    <row r="4295" spans="7:14" ht="11.25" customHeight="1" x14ac:dyDescent="0.3">
      <c r="G4295" s="470"/>
      <c r="H4295" s="470">
        <v>4288</v>
      </c>
      <c r="I4295" s="455">
        <f t="shared" ca="1" si="165"/>
        <v>-23650750284684.742</v>
      </c>
      <c r="J4295" s="455">
        <f t="array" ref="J4295">IFERROR(INDEX('Retirement Calculator'!K:K,MATCH('Lorri 401b'!N4295,'Retirement Calculator'!A:A,0),0),0)</f>
        <v>0</v>
      </c>
      <c r="K4295" s="455">
        <f t="shared" ca="1" si="163"/>
        <v>-98544792852.853088</v>
      </c>
      <c r="L4295" s="455">
        <f t="shared" ca="1" si="164"/>
        <v>-23749295077537.594</v>
      </c>
      <c r="M4295" s="471">
        <f t="shared" si="166"/>
        <v>0.05</v>
      </c>
      <c r="N4295" s="475">
        <f t="shared" si="167"/>
        <v>181771</v>
      </c>
    </row>
    <row r="4296" spans="7:14" ht="11.25" customHeight="1" x14ac:dyDescent="0.3">
      <c r="G4296" s="470"/>
      <c r="H4296" s="470">
        <v>4289</v>
      </c>
      <c r="I4296" s="455">
        <f t="shared" ca="1" si="165"/>
        <v>-23749295077537.594</v>
      </c>
      <c r="J4296" s="455">
        <f t="array" ref="J4296">IFERROR(INDEX('Retirement Calculator'!K:K,MATCH('Lorri 401b'!N4296,'Retirement Calculator'!A:A,0),0),0)</f>
        <v>0</v>
      </c>
      <c r="K4296" s="455">
        <f t="shared" ca="1" si="163"/>
        <v>-98955396156.406647</v>
      </c>
      <c r="L4296" s="455">
        <f t="shared" ca="1" si="164"/>
        <v>-23848250473694</v>
      </c>
      <c r="M4296" s="471">
        <f t="shared" si="166"/>
        <v>0.05</v>
      </c>
      <c r="N4296" s="475">
        <f t="shared" si="167"/>
        <v>181801</v>
      </c>
    </row>
    <row r="4297" spans="7:14" ht="11.25" customHeight="1" x14ac:dyDescent="0.3">
      <c r="G4297" s="470"/>
      <c r="H4297" s="470">
        <v>4290</v>
      </c>
      <c r="I4297" s="455">
        <f t="shared" ca="1" si="165"/>
        <v>-23848250473694</v>
      </c>
      <c r="J4297" s="455">
        <f t="array" ref="J4297">IFERROR(INDEX('Retirement Calculator'!K:K,MATCH('Lorri 401b'!N4297,'Retirement Calculator'!A:A,0),0),0)</f>
        <v>0</v>
      </c>
      <c r="K4297" s="455">
        <f t="shared" ca="1" si="163"/>
        <v>-99367710307.058334</v>
      </c>
      <c r="L4297" s="455">
        <f t="shared" ca="1" si="164"/>
        <v>-23947618184001.059</v>
      </c>
      <c r="M4297" s="471">
        <f t="shared" si="166"/>
        <v>0.05</v>
      </c>
      <c r="N4297" s="475">
        <f t="shared" si="167"/>
        <v>181832</v>
      </c>
    </row>
    <row r="4298" spans="7:14" ht="11.25" customHeight="1" x14ac:dyDescent="0.3">
      <c r="G4298" s="470"/>
      <c r="H4298" s="470">
        <v>4291</v>
      </c>
      <c r="I4298" s="455">
        <f t="shared" ca="1" si="165"/>
        <v>-23947618184001.059</v>
      </c>
      <c r="J4298" s="455">
        <f t="array" ref="J4298">IFERROR(INDEX('Retirement Calculator'!K:K,MATCH('Lorri 401b'!N4298,'Retirement Calculator'!A:A,0),0),0)</f>
        <v>0</v>
      </c>
      <c r="K4298" s="455">
        <f t="shared" ca="1" si="163"/>
        <v>-99781742433.337738</v>
      </c>
      <c r="L4298" s="455">
        <f t="shared" ca="1" si="164"/>
        <v>-24047399926434.395</v>
      </c>
      <c r="M4298" s="471">
        <f t="shared" si="166"/>
        <v>0.05</v>
      </c>
      <c r="N4298" s="475">
        <f t="shared" si="167"/>
        <v>181862</v>
      </c>
    </row>
    <row r="4299" spans="7:14" ht="11.25" customHeight="1" x14ac:dyDescent="0.3">
      <c r="G4299" s="470"/>
      <c r="H4299" s="470">
        <v>4292</v>
      </c>
      <c r="I4299" s="455">
        <f t="shared" ca="1" si="165"/>
        <v>-24047399926434.395</v>
      </c>
      <c r="J4299" s="455">
        <f t="array" ref="J4299">IFERROR(INDEX('Retirement Calculator'!K:K,MATCH('Lorri 401b'!N4299,'Retirement Calculator'!A:A,0),0),0)</f>
        <v>0</v>
      </c>
      <c r="K4299" s="455">
        <f t="shared" ca="1" si="163"/>
        <v>-100197499693.47664</v>
      </c>
      <c r="L4299" s="455">
        <f t="shared" ca="1" si="164"/>
        <v>-24147597426127.871</v>
      </c>
      <c r="M4299" s="471">
        <f t="shared" si="166"/>
        <v>0.05</v>
      </c>
      <c r="N4299" s="475">
        <f t="shared" si="167"/>
        <v>181893</v>
      </c>
    </row>
    <row r="4300" spans="7:14" ht="11.25" customHeight="1" x14ac:dyDescent="0.3">
      <c r="G4300" s="470"/>
      <c r="H4300" s="470">
        <v>4293</v>
      </c>
      <c r="I4300" s="455">
        <f t="shared" ca="1" si="165"/>
        <v>-24147597426127.871</v>
      </c>
      <c r="J4300" s="455">
        <f t="array" ref="J4300">IFERROR(INDEX('Retirement Calculator'!K:K,MATCH('Lorri 401b'!N4300,'Retirement Calculator'!A:A,0),0),0)</f>
        <v>0</v>
      </c>
      <c r="K4300" s="455">
        <f t="shared" ca="1" si="163"/>
        <v>-100614989275.53279</v>
      </c>
      <c r="L4300" s="455">
        <f t="shared" ca="1" si="164"/>
        <v>-24248212415403.402</v>
      </c>
      <c r="M4300" s="471">
        <f t="shared" si="166"/>
        <v>0.05</v>
      </c>
      <c r="N4300" s="475">
        <f t="shared" si="167"/>
        <v>181924</v>
      </c>
    </row>
    <row r="4301" spans="7:14" ht="11.25" customHeight="1" x14ac:dyDescent="0.3">
      <c r="G4301" s="470"/>
      <c r="H4301" s="470">
        <v>4294</v>
      </c>
      <c r="I4301" s="455">
        <f t="shared" ca="1" si="165"/>
        <v>-24248212415403.402</v>
      </c>
      <c r="J4301" s="455">
        <f t="array" ref="J4301">IFERROR(INDEX('Retirement Calculator'!K:K,MATCH('Lorri 401b'!N4301,'Retirement Calculator'!A:A,0),0),0)</f>
        <v>0</v>
      </c>
      <c r="K4301" s="455">
        <f t="shared" ca="1" si="163"/>
        <v>-101034218397.51418</v>
      </c>
      <c r="L4301" s="455">
        <f t="shared" ca="1" si="164"/>
        <v>-24349246633800.918</v>
      </c>
      <c r="M4301" s="471">
        <f t="shared" si="166"/>
        <v>0.05</v>
      </c>
      <c r="N4301" s="475">
        <f t="shared" si="167"/>
        <v>181952</v>
      </c>
    </row>
    <row r="4302" spans="7:14" ht="11.25" customHeight="1" x14ac:dyDescent="0.3">
      <c r="G4302" s="470"/>
      <c r="H4302" s="470">
        <v>4295</v>
      </c>
      <c r="I4302" s="455">
        <f t="shared" ca="1" si="165"/>
        <v>-24349246633800.918</v>
      </c>
      <c r="J4302" s="455">
        <f t="array" ref="J4302">IFERROR(INDEX('Retirement Calculator'!K:K,MATCH('Lorri 401b'!N4302,'Retirement Calculator'!A:A,0),0),0)</f>
        <v>0</v>
      </c>
      <c r="K4302" s="455">
        <f t="shared" ca="1" si="163"/>
        <v>-101455194307.50383</v>
      </c>
      <c r="L4302" s="455">
        <f t="shared" ca="1" si="164"/>
        <v>-24450701828108.422</v>
      </c>
      <c r="M4302" s="471">
        <f t="shared" si="166"/>
        <v>0.05</v>
      </c>
      <c r="N4302" s="475">
        <f t="shared" si="167"/>
        <v>181983</v>
      </c>
    </row>
    <row r="4303" spans="7:14" ht="11.25" customHeight="1" x14ac:dyDescent="0.3">
      <c r="G4303" s="470"/>
      <c r="H4303" s="470">
        <v>4296</v>
      </c>
      <c r="I4303" s="455">
        <f t="shared" ca="1" si="165"/>
        <v>-24450701828108.422</v>
      </c>
      <c r="J4303" s="455">
        <f t="array" ref="J4303">IFERROR(INDEX('Retirement Calculator'!K:K,MATCH('Lorri 401b'!N4303,'Retirement Calculator'!A:A,0),0),0)</f>
        <v>0</v>
      </c>
      <c r="K4303" s="455">
        <f t="shared" ca="1" si="163"/>
        <v>-101877924283.7851</v>
      </c>
      <c r="L4303" s="455">
        <f t="shared" ca="1" si="164"/>
        <v>-24552579752392.207</v>
      </c>
      <c r="M4303" s="471">
        <f t="shared" si="166"/>
        <v>0.05</v>
      </c>
      <c r="N4303" s="475">
        <f t="shared" si="167"/>
        <v>182013</v>
      </c>
    </row>
    <row r="4304" spans="7:14" ht="11.25" customHeight="1" x14ac:dyDescent="0.3">
      <c r="G4304" s="470"/>
      <c r="H4304" s="470">
        <v>4297</v>
      </c>
      <c r="I4304" s="455">
        <f t="shared" ca="1" si="165"/>
        <v>-24552579752392.207</v>
      </c>
      <c r="J4304" s="455">
        <f t="array" ref="J4304">IFERROR(INDEX('Retirement Calculator'!K:K,MATCH('Lorri 401b'!N4304,'Retirement Calculator'!A:A,0),0),0)</f>
        <v>0</v>
      </c>
      <c r="K4304" s="455">
        <f t="shared" ca="1" si="163"/>
        <v>-102302415634.96753</v>
      </c>
      <c r="L4304" s="455">
        <f t="shared" ca="1" si="164"/>
        <v>-24654882168027.176</v>
      </c>
      <c r="M4304" s="471">
        <f t="shared" si="166"/>
        <v>0.05</v>
      </c>
      <c r="N4304" s="475">
        <f t="shared" si="167"/>
        <v>182044</v>
      </c>
    </row>
    <row r="4305" spans="7:14" ht="11.25" customHeight="1" x14ac:dyDescent="0.3">
      <c r="G4305" s="470"/>
      <c r="H4305" s="470">
        <v>4298</v>
      </c>
      <c r="I4305" s="455">
        <f t="shared" ca="1" si="165"/>
        <v>-24654882168027.176</v>
      </c>
      <c r="J4305" s="455">
        <f t="array" ref="J4305">IFERROR(INDEX('Retirement Calculator'!K:K,MATCH('Lorri 401b'!N4305,'Retirement Calculator'!A:A,0),0),0)</f>
        <v>0</v>
      </c>
      <c r="K4305" s="455">
        <f t="shared" ca="1" si="163"/>
        <v>-102728675700.11324</v>
      </c>
      <c r="L4305" s="455">
        <f t="shared" ca="1" si="164"/>
        <v>-24757610843727.289</v>
      </c>
      <c r="M4305" s="471">
        <f t="shared" si="166"/>
        <v>0.05</v>
      </c>
      <c r="N4305" s="475">
        <f t="shared" si="167"/>
        <v>182074</v>
      </c>
    </row>
    <row r="4306" spans="7:14" ht="11.25" customHeight="1" x14ac:dyDescent="0.3">
      <c r="G4306" s="470"/>
      <c r="H4306" s="470">
        <v>4299</v>
      </c>
      <c r="I4306" s="455">
        <f t="shared" ca="1" si="165"/>
        <v>-24757610843727.289</v>
      </c>
      <c r="J4306" s="455">
        <f t="array" ref="J4306">IFERROR(INDEX('Retirement Calculator'!K:K,MATCH('Lorri 401b'!N4306,'Retirement Calculator'!A:A,0),0),0)</f>
        <v>0</v>
      </c>
      <c r="K4306" s="455">
        <f t="shared" ca="1" si="163"/>
        <v>-103156711848.86371</v>
      </c>
      <c r="L4306" s="455">
        <f t="shared" ca="1" si="164"/>
        <v>-24860767555576.152</v>
      </c>
      <c r="M4306" s="471">
        <f t="shared" si="166"/>
        <v>0.05</v>
      </c>
      <c r="N4306" s="475">
        <f t="shared" si="167"/>
        <v>182105</v>
      </c>
    </row>
    <row r="4307" spans="7:14" ht="11.25" customHeight="1" x14ac:dyDescent="0.3">
      <c r="G4307" s="470"/>
      <c r="H4307" s="470">
        <v>4300</v>
      </c>
      <c r="I4307" s="455">
        <f t="shared" ca="1" si="165"/>
        <v>-24860767555576.152</v>
      </c>
      <c r="J4307" s="455">
        <f t="array" ref="J4307">IFERROR(INDEX('Retirement Calculator'!K:K,MATCH('Lorri 401b'!N4307,'Retirement Calculator'!A:A,0),0),0)</f>
        <v>0</v>
      </c>
      <c r="K4307" s="455">
        <f t="shared" ca="1" si="163"/>
        <v>-103586531481.56731</v>
      </c>
      <c r="L4307" s="455">
        <f t="shared" ca="1" si="164"/>
        <v>-24964354087057.719</v>
      </c>
      <c r="M4307" s="471">
        <f t="shared" si="166"/>
        <v>0.05</v>
      </c>
      <c r="N4307" s="475">
        <f t="shared" si="167"/>
        <v>182136</v>
      </c>
    </row>
    <row r="4308" spans="7:14" ht="11.25" customHeight="1" x14ac:dyDescent="0.3">
      <c r="G4308" s="470"/>
      <c r="H4308" s="470">
        <v>4301</v>
      </c>
      <c r="I4308" s="455">
        <f t="shared" ca="1" si="165"/>
        <v>-24964354087057.719</v>
      </c>
      <c r="J4308" s="455">
        <f t="array" ref="J4308">IFERROR(INDEX('Retirement Calculator'!K:K,MATCH('Lorri 401b'!N4308,'Retirement Calculator'!A:A,0),0),0)</f>
        <v>0</v>
      </c>
      <c r="K4308" s="455">
        <f t="shared" ca="1" si="163"/>
        <v>-104018142029.40717</v>
      </c>
      <c r="L4308" s="455">
        <f t="shared" ca="1" si="164"/>
        <v>-25068372229087.125</v>
      </c>
      <c r="M4308" s="471">
        <f t="shared" si="166"/>
        <v>0.05</v>
      </c>
      <c r="N4308" s="475">
        <f t="shared" si="167"/>
        <v>182166</v>
      </c>
    </row>
    <row r="4309" spans="7:14" ht="11.25" customHeight="1" x14ac:dyDescent="0.3">
      <c r="G4309" s="470"/>
      <c r="H4309" s="470">
        <v>4302</v>
      </c>
      <c r="I4309" s="455">
        <f t="shared" ca="1" si="165"/>
        <v>-25068372229087.125</v>
      </c>
      <c r="J4309" s="455">
        <f t="array" ref="J4309">IFERROR(INDEX('Retirement Calculator'!K:K,MATCH('Lorri 401b'!N4309,'Retirement Calculator'!A:A,0),0),0)</f>
        <v>0</v>
      </c>
      <c r="K4309" s="455">
        <f t="shared" ca="1" si="163"/>
        <v>-104451550954.52969</v>
      </c>
      <c r="L4309" s="455">
        <f t="shared" ca="1" si="164"/>
        <v>-25172823780041.656</v>
      </c>
      <c r="M4309" s="471">
        <f t="shared" si="166"/>
        <v>0.05</v>
      </c>
      <c r="N4309" s="475">
        <f t="shared" si="167"/>
        <v>182197</v>
      </c>
    </row>
    <row r="4310" spans="7:14" ht="11.25" customHeight="1" x14ac:dyDescent="0.3">
      <c r="G4310" s="470"/>
      <c r="H4310" s="470">
        <v>4303</v>
      </c>
      <c r="I4310" s="455">
        <f t="shared" ca="1" si="165"/>
        <v>-25172823780041.656</v>
      </c>
      <c r="J4310" s="455">
        <f t="array" ref="J4310">IFERROR(INDEX('Retirement Calculator'!K:K,MATCH('Lorri 401b'!N4310,'Retirement Calculator'!A:A,0),0),0)</f>
        <v>0</v>
      </c>
      <c r="K4310" s="455">
        <f t="shared" ca="1" si="163"/>
        <v>-104886765750.17357</v>
      </c>
      <c r="L4310" s="455">
        <f t="shared" ca="1" si="164"/>
        <v>-25277710545791.828</v>
      </c>
      <c r="M4310" s="471">
        <f t="shared" si="166"/>
        <v>0.05</v>
      </c>
      <c r="N4310" s="475">
        <f t="shared" si="167"/>
        <v>182227</v>
      </c>
    </row>
    <row r="4311" spans="7:14" ht="11.25" customHeight="1" x14ac:dyDescent="0.3">
      <c r="G4311" s="470"/>
      <c r="H4311" s="470">
        <v>4304</v>
      </c>
      <c r="I4311" s="455">
        <f t="shared" ca="1" si="165"/>
        <v>-25277710545791.828</v>
      </c>
      <c r="J4311" s="455">
        <f t="array" ref="J4311">IFERROR(INDEX('Retirement Calculator'!K:K,MATCH('Lorri 401b'!N4311,'Retirement Calculator'!A:A,0),0),0)</f>
        <v>0</v>
      </c>
      <c r="K4311" s="455">
        <f t="shared" ca="1" si="163"/>
        <v>-105323793940.79929</v>
      </c>
      <c r="L4311" s="455">
        <f t="shared" ca="1" si="164"/>
        <v>-25383034339732.629</v>
      </c>
      <c r="M4311" s="471">
        <f t="shared" si="166"/>
        <v>0.05</v>
      </c>
      <c r="N4311" s="475">
        <f t="shared" si="167"/>
        <v>182258</v>
      </c>
    </row>
    <row r="4312" spans="7:14" ht="11.25" customHeight="1" x14ac:dyDescent="0.3">
      <c r="G4312" s="470"/>
      <c r="H4312" s="470">
        <v>4305</v>
      </c>
      <c r="I4312" s="455">
        <f t="shared" ca="1" si="165"/>
        <v>-25383034339732.629</v>
      </c>
      <c r="J4312" s="455">
        <f t="array" ref="J4312">IFERROR(INDEX('Retirement Calculator'!K:K,MATCH('Lorri 401b'!N4312,'Retirement Calculator'!A:A,0),0),0)</f>
        <v>0</v>
      </c>
      <c r="K4312" s="455">
        <f t="shared" ca="1" si="163"/>
        <v>-105762643082.21928</v>
      </c>
      <c r="L4312" s="455">
        <f t="shared" ca="1" si="164"/>
        <v>-25488796982814.848</v>
      </c>
      <c r="M4312" s="471">
        <f t="shared" si="166"/>
        <v>0.05</v>
      </c>
      <c r="N4312" s="475">
        <f t="shared" si="167"/>
        <v>182289</v>
      </c>
    </row>
    <row r="4313" spans="7:14" ht="11.25" customHeight="1" x14ac:dyDescent="0.3">
      <c r="G4313" s="470"/>
      <c r="H4313" s="470">
        <v>4306</v>
      </c>
      <c r="I4313" s="455">
        <f t="shared" ca="1" si="165"/>
        <v>-25488796982814.848</v>
      </c>
      <c r="J4313" s="455">
        <f t="array" ref="J4313">IFERROR(INDEX('Retirement Calculator'!K:K,MATCH('Lorri 401b'!N4313,'Retirement Calculator'!A:A,0),0),0)</f>
        <v>0</v>
      </c>
      <c r="K4313" s="455">
        <f t="shared" ca="1" si="163"/>
        <v>-106203320761.72853</v>
      </c>
      <c r="L4313" s="455">
        <f t="shared" ca="1" si="164"/>
        <v>-25595000303576.578</v>
      </c>
      <c r="M4313" s="471">
        <f t="shared" si="166"/>
        <v>0.05</v>
      </c>
      <c r="N4313" s="475">
        <f t="shared" si="167"/>
        <v>182317</v>
      </c>
    </row>
    <row r="4314" spans="7:14" ht="11.25" customHeight="1" x14ac:dyDescent="0.3">
      <c r="G4314" s="470"/>
      <c r="H4314" s="470">
        <v>4307</v>
      </c>
      <c r="I4314" s="455">
        <f t="shared" ca="1" si="165"/>
        <v>-25595000303576.578</v>
      </c>
      <c r="J4314" s="455">
        <f t="array" ref="J4314">IFERROR(INDEX('Retirement Calculator'!K:K,MATCH('Lorri 401b'!N4314,'Retirement Calculator'!A:A,0),0),0)</f>
        <v>0</v>
      </c>
      <c r="K4314" s="455">
        <f t="shared" ca="1" si="163"/>
        <v>-106645834598.23575</v>
      </c>
      <c r="L4314" s="455">
        <f t="shared" ca="1" si="164"/>
        <v>-25701646138174.813</v>
      </c>
      <c r="M4314" s="471">
        <f t="shared" si="166"/>
        <v>0.05</v>
      </c>
      <c r="N4314" s="475">
        <f t="shared" si="167"/>
        <v>182348</v>
      </c>
    </row>
    <row r="4315" spans="7:14" ht="11.25" customHeight="1" x14ac:dyDescent="0.3">
      <c r="G4315" s="470"/>
      <c r="H4315" s="470">
        <v>4308</v>
      </c>
      <c r="I4315" s="455">
        <f t="shared" ca="1" si="165"/>
        <v>-25701646138174.813</v>
      </c>
      <c r="J4315" s="455">
        <f t="array" ref="J4315">IFERROR(INDEX('Retirement Calculator'!K:K,MATCH('Lorri 401b'!N4315,'Retirement Calculator'!A:A,0),0),0)</f>
        <v>0</v>
      </c>
      <c r="K4315" s="455">
        <f t="shared" ca="1" si="163"/>
        <v>-107090192242.39505</v>
      </c>
      <c r="L4315" s="455">
        <f t="shared" ca="1" si="164"/>
        <v>-25808736330417.207</v>
      </c>
      <c r="M4315" s="471">
        <f t="shared" si="166"/>
        <v>0.05</v>
      </c>
      <c r="N4315" s="475">
        <f t="shared" si="167"/>
        <v>182378</v>
      </c>
    </row>
    <row r="4316" spans="7:14" ht="11.25" customHeight="1" x14ac:dyDescent="0.3">
      <c r="G4316" s="470"/>
      <c r="H4316" s="470">
        <v>4309</v>
      </c>
      <c r="I4316" s="455">
        <f t="shared" ca="1" si="165"/>
        <v>-25808736330417.207</v>
      </c>
      <c r="J4316" s="455">
        <f t="array" ref="J4316">IFERROR(INDEX('Retirement Calculator'!K:K,MATCH('Lorri 401b'!N4316,'Retirement Calculator'!A:A,0),0),0)</f>
        <v>0</v>
      </c>
      <c r="K4316" s="455">
        <f t="shared" ca="1" si="163"/>
        <v>-107536401376.73836</v>
      </c>
      <c r="L4316" s="455">
        <f t="shared" ca="1" si="164"/>
        <v>-25916272731793.945</v>
      </c>
      <c r="M4316" s="471">
        <f t="shared" si="166"/>
        <v>0.05</v>
      </c>
      <c r="N4316" s="475">
        <f t="shared" si="167"/>
        <v>182409</v>
      </c>
    </row>
    <row r="4317" spans="7:14" ht="11.25" customHeight="1" x14ac:dyDescent="0.3">
      <c r="G4317" s="470"/>
      <c r="H4317" s="470">
        <v>4310</v>
      </c>
      <c r="I4317" s="455">
        <f t="shared" ca="1" si="165"/>
        <v>-25916272731793.945</v>
      </c>
      <c r="J4317" s="455">
        <f t="array" ref="J4317">IFERROR(INDEX('Retirement Calculator'!K:K,MATCH('Lorri 401b'!N4317,'Retirement Calculator'!A:A,0),0),0)</f>
        <v>0</v>
      </c>
      <c r="K4317" s="455">
        <f t="shared" ca="1" si="163"/>
        <v>-107984469715.80811</v>
      </c>
      <c r="L4317" s="455">
        <f t="shared" ca="1" si="164"/>
        <v>-26024257201509.754</v>
      </c>
      <c r="M4317" s="471">
        <f t="shared" si="166"/>
        <v>0.05</v>
      </c>
      <c r="N4317" s="475">
        <f t="shared" si="167"/>
        <v>182439</v>
      </c>
    </row>
    <row r="4318" spans="7:14" ht="11.25" customHeight="1" x14ac:dyDescent="0.3">
      <c r="G4318" s="470"/>
      <c r="H4318" s="470">
        <v>4311</v>
      </c>
      <c r="I4318" s="455">
        <f t="shared" ca="1" si="165"/>
        <v>-26024257201509.754</v>
      </c>
      <c r="J4318" s="455">
        <f t="array" ref="J4318">IFERROR(INDEX('Retirement Calculator'!K:K,MATCH('Lorri 401b'!N4318,'Retirement Calculator'!A:A,0),0),0)</f>
        <v>0</v>
      </c>
      <c r="K4318" s="455">
        <f t="shared" ca="1" si="163"/>
        <v>-108434405006.29063</v>
      </c>
      <c r="L4318" s="455">
        <f t="shared" ca="1" si="164"/>
        <v>-26132691606516.043</v>
      </c>
      <c r="M4318" s="471">
        <f t="shared" si="166"/>
        <v>0.05</v>
      </c>
      <c r="N4318" s="475">
        <f t="shared" si="167"/>
        <v>182470</v>
      </c>
    </row>
    <row r="4319" spans="7:14" ht="11.25" customHeight="1" x14ac:dyDescent="0.3">
      <c r="G4319" s="470"/>
      <c r="H4319" s="470">
        <v>4312</v>
      </c>
      <c r="I4319" s="455">
        <f t="shared" ca="1" si="165"/>
        <v>-26132691606516.043</v>
      </c>
      <c r="J4319" s="455">
        <f t="array" ref="J4319">IFERROR(INDEX('Retirement Calculator'!K:K,MATCH('Lorri 401b'!N4319,'Retirement Calculator'!A:A,0),0),0)</f>
        <v>0</v>
      </c>
      <c r="K4319" s="455">
        <f t="shared" ca="1" si="163"/>
        <v>-108886215027.15018</v>
      </c>
      <c r="L4319" s="455">
        <f t="shared" ca="1" si="164"/>
        <v>-26241577821543.191</v>
      </c>
      <c r="M4319" s="471">
        <f t="shared" si="166"/>
        <v>0.05</v>
      </c>
      <c r="N4319" s="475">
        <f t="shared" si="167"/>
        <v>182501</v>
      </c>
    </row>
    <row r="4320" spans="7:14" ht="11.25" customHeight="1" x14ac:dyDescent="0.3">
      <c r="G4320" s="470"/>
      <c r="H4320" s="470">
        <v>4313</v>
      </c>
      <c r="I4320" s="455">
        <f t="shared" ca="1" si="165"/>
        <v>-26241577821543.191</v>
      </c>
      <c r="J4320" s="455">
        <f t="array" ref="J4320">IFERROR(INDEX('Retirement Calculator'!K:K,MATCH('Lorri 401b'!N4320,'Retirement Calculator'!A:A,0),0),0)</f>
        <v>0</v>
      </c>
      <c r="K4320" s="455">
        <f t="shared" ca="1" si="163"/>
        <v>-109339907589.76329</v>
      </c>
      <c r="L4320" s="455">
        <f t="shared" ca="1" si="164"/>
        <v>-26350917729132.953</v>
      </c>
      <c r="M4320" s="471">
        <f t="shared" si="166"/>
        <v>0.05</v>
      </c>
      <c r="N4320" s="475">
        <f t="shared" si="167"/>
        <v>182531</v>
      </c>
    </row>
    <row r="4321" spans="7:14" ht="11.25" customHeight="1" x14ac:dyDescent="0.3">
      <c r="G4321" s="470"/>
      <c r="H4321" s="470">
        <v>4314</v>
      </c>
      <c r="I4321" s="455">
        <f t="shared" ca="1" si="165"/>
        <v>-26350917729132.953</v>
      </c>
      <c r="J4321" s="455">
        <f t="array" ref="J4321">IFERROR(INDEX('Retirement Calculator'!K:K,MATCH('Lorri 401b'!N4321,'Retirement Calculator'!A:A,0),0),0)</f>
        <v>0</v>
      </c>
      <c r="K4321" s="455">
        <f t="shared" ca="1" si="163"/>
        <v>-109795490538.05397</v>
      </c>
      <c r="L4321" s="455">
        <f t="shared" ca="1" si="164"/>
        <v>-26460713219671.008</v>
      </c>
      <c r="M4321" s="471">
        <f t="shared" si="166"/>
        <v>0.05</v>
      </c>
      <c r="N4321" s="475">
        <f t="shared" si="167"/>
        <v>182562</v>
      </c>
    </row>
    <row r="4322" spans="7:14" ht="11.25" customHeight="1" x14ac:dyDescent="0.3">
      <c r="G4322" s="470"/>
      <c r="H4322" s="470">
        <v>4315</v>
      </c>
      <c r="I4322" s="455">
        <f t="shared" ca="1" si="165"/>
        <v>-26460713219671.008</v>
      </c>
      <c r="J4322" s="455">
        <f t="array" ref="J4322">IFERROR(INDEX('Retirement Calculator'!K:K,MATCH('Lorri 401b'!N4322,'Retirement Calculator'!A:A,0),0),0)</f>
        <v>0</v>
      </c>
      <c r="K4322" s="455">
        <f t="shared" ca="1" si="163"/>
        <v>-110252971748.6292</v>
      </c>
      <c r="L4322" s="455">
        <f t="shared" ca="1" si="164"/>
        <v>-26570966191419.637</v>
      </c>
      <c r="M4322" s="471">
        <f t="shared" si="166"/>
        <v>0.05</v>
      </c>
      <c r="N4322" s="475">
        <f t="shared" si="167"/>
        <v>182592</v>
      </c>
    </row>
    <row r="4323" spans="7:14" ht="11.25" customHeight="1" x14ac:dyDescent="0.3">
      <c r="G4323" s="470"/>
      <c r="H4323" s="470">
        <v>4316</v>
      </c>
      <c r="I4323" s="455">
        <f t="shared" ca="1" si="165"/>
        <v>-26570966191419.637</v>
      </c>
      <c r="J4323" s="455">
        <f t="array" ref="J4323">IFERROR(INDEX('Retirement Calculator'!K:K,MATCH('Lorri 401b'!N4323,'Retirement Calculator'!A:A,0),0),0)</f>
        <v>0</v>
      </c>
      <c r="K4323" s="455">
        <f t="shared" ca="1" si="163"/>
        <v>-110712359130.91515</v>
      </c>
      <c r="L4323" s="455">
        <f t="shared" ca="1" si="164"/>
        <v>-26681678550550.551</v>
      </c>
      <c r="M4323" s="471">
        <f t="shared" si="166"/>
        <v>0.05</v>
      </c>
      <c r="N4323" s="475">
        <f t="shared" si="167"/>
        <v>182623</v>
      </c>
    </row>
    <row r="4324" spans="7:14" ht="11.25" customHeight="1" x14ac:dyDescent="0.3">
      <c r="G4324" s="470"/>
      <c r="H4324" s="470">
        <v>4317</v>
      </c>
      <c r="I4324" s="455">
        <f t="shared" ca="1" si="165"/>
        <v>-26681678550550.551</v>
      </c>
      <c r="J4324" s="455">
        <f t="array" ref="J4324">IFERROR(INDEX('Retirement Calculator'!K:K,MATCH('Lorri 401b'!N4324,'Retirement Calculator'!A:A,0),0),0)</f>
        <v>0</v>
      </c>
      <c r="K4324" s="455">
        <f t="shared" ca="1" si="163"/>
        <v>-111173660627.29396</v>
      </c>
      <c r="L4324" s="455">
        <f t="shared" ca="1" si="164"/>
        <v>-26792852211177.844</v>
      </c>
      <c r="M4324" s="471">
        <f t="shared" si="166"/>
        <v>0.05</v>
      </c>
      <c r="N4324" s="475">
        <f t="shared" si="167"/>
        <v>182654</v>
      </c>
    </row>
    <row r="4325" spans="7:14" ht="11.25" customHeight="1" x14ac:dyDescent="0.3">
      <c r="G4325" s="470"/>
      <c r="H4325" s="470">
        <v>4318</v>
      </c>
      <c r="I4325" s="455">
        <f t="shared" ca="1" si="165"/>
        <v>-26792852211177.844</v>
      </c>
      <c r="J4325" s="455">
        <f t="array" ref="J4325">IFERROR(INDEX('Retirement Calculator'!K:K,MATCH('Lorri 401b'!N4325,'Retirement Calculator'!A:A,0),0),0)</f>
        <v>0</v>
      </c>
      <c r="K4325" s="455">
        <f t="shared" ca="1" si="163"/>
        <v>-111636884213.24101</v>
      </c>
      <c r="L4325" s="455">
        <f t="shared" ca="1" si="164"/>
        <v>-26904489095391.086</v>
      </c>
      <c r="M4325" s="471">
        <f t="shared" si="166"/>
        <v>0.05</v>
      </c>
      <c r="N4325" s="475">
        <f t="shared" si="167"/>
        <v>182683</v>
      </c>
    </row>
    <row r="4326" spans="7:14" ht="11.25" customHeight="1" x14ac:dyDescent="0.3">
      <c r="G4326" s="470"/>
      <c r="H4326" s="470">
        <v>4319</v>
      </c>
      <c r="I4326" s="455">
        <f t="shared" ca="1" si="165"/>
        <v>-26904489095391.086</v>
      </c>
      <c r="J4326" s="455">
        <f t="array" ref="J4326">IFERROR(INDEX('Retirement Calculator'!K:K,MATCH('Lorri 401b'!N4326,'Retirement Calculator'!A:A,0),0),0)</f>
        <v>0</v>
      </c>
      <c r="K4326" s="455">
        <f t="shared" ca="1" si="163"/>
        <v>-112102037897.46286</v>
      </c>
      <c r="L4326" s="455">
        <f t="shared" ca="1" si="164"/>
        <v>-27016591133288.547</v>
      </c>
      <c r="M4326" s="471">
        <f t="shared" si="166"/>
        <v>0.05</v>
      </c>
      <c r="N4326" s="475">
        <f t="shared" si="167"/>
        <v>182714</v>
      </c>
    </row>
    <row r="4327" spans="7:14" ht="11.25" customHeight="1" x14ac:dyDescent="0.3">
      <c r="G4327" s="470"/>
      <c r="H4327" s="470">
        <v>4320</v>
      </c>
      <c r="I4327" s="455">
        <f t="shared" ca="1" si="165"/>
        <v>-27016591133288.547</v>
      </c>
      <c r="J4327" s="455">
        <f t="array" ref="J4327">IFERROR(INDEX('Retirement Calculator'!K:K,MATCH('Lorri 401b'!N4327,'Retirement Calculator'!A:A,0),0),0)</f>
        <v>0</v>
      </c>
      <c r="K4327" s="455">
        <f t="shared" ca="1" si="163"/>
        <v>-112569129722.03561</v>
      </c>
      <c r="L4327" s="455">
        <f t="shared" ca="1" si="164"/>
        <v>-27129160263010.582</v>
      </c>
      <c r="M4327" s="471">
        <f t="shared" si="166"/>
        <v>0.05</v>
      </c>
      <c r="N4327" s="475">
        <f t="shared" si="167"/>
        <v>182744</v>
      </c>
    </row>
    <row r="4328" spans="7:14" ht="11.25" customHeight="1" x14ac:dyDescent="0.3">
      <c r="G4328" s="470"/>
      <c r="H4328" s="470">
        <v>4321</v>
      </c>
      <c r="I4328" s="455">
        <f t="shared" ca="1" si="165"/>
        <v>-27129160263010.582</v>
      </c>
      <c r="J4328" s="455">
        <f t="array" ref="J4328">IFERROR(INDEX('Retirement Calculator'!K:K,MATCH('Lorri 401b'!N4328,'Retirement Calculator'!A:A,0),0),0)</f>
        <v>0</v>
      </c>
      <c r="K4328" s="455">
        <f t="shared" ca="1" si="163"/>
        <v>-113038167762.54408</v>
      </c>
      <c r="L4328" s="455">
        <f t="shared" ca="1" si="164"/>
        <v>-27242198430773.125</v>
      </c>
      <c r="M4328" s="471">
        <f t="shared" si="166"/>
        <v>0.05</v>
      </c>
      <c r="N4328" s="475">
        <f t="shared" si="167"/>
        <v>182775</v>
      </c>
    </row>
    <row r="4329" spans="7:14" ht="11.25" customHeight="1" x14ac:dyDescent="0.3">
      <c r="G4329" s="470"/>
      <c r="H4329" s="470">
        <v>4322</v>
      </c>
      <c r="I4329" s="455">
        <f t="shared" ca="1" si="165"/>
        <v>-27242198430773.125</v>
      </c>
      <c r="J4329" s="455">
        <f t="array" ref="J4329">IFERROR(INDEX('Retirement Calculator'!K:K,MATCH('Lorri 401b'!N4329,'Retirement Calculator'!A:A,0),0),0)</f>
        <v>0</v>
      </c>
      <c r="K4329" s="455">
        <f t="shared" ca="1" si="163"/>
        <v>-113509160128.22136</v>
      </c>
      <c r="L4329" s="455">
        <f t="shared" ca="1" si="164"/>
        <v>-27355707590901.348</v>
      </c>
      <c r="M4329" s="471">
        <f t="shared" si="166"/>
        <v>0.05</v>
      </c>
      <c r="N4329" s="475">
        <f t="shared" si="167"/>
        <v>182805</v>
      </c>
    </row>
    <row r="4330" spans="7:14" ht="11.25" customHeight="1" x14ac:dyDescent="0.3">
      <c r="G4330" s="470"/>
      <c r="H4330" s="470">
        <v>4323</v>
      </c>
      <c r="I4330" s="455">
        <f t="shared" ca="1" si="165"/>
        <v>-27355707590901.348</v>
      </c>
      <c r="J4330" s="455">
        <f t="array" ref="J4330">IFERROR(INDEX('Retirement Calculator'!K:K,MATCH('Lorri 401b'!N4330,'Retirement Calculator'!A:A,0),0),0)</f>
        <v>0</v>
      </c>
      <c r="K4330" s="455">
        <f t="shared" ca="1" si="163"/>
        <v>-113982114962.08894</v>
      </c>
      <c r="L4330" s="455">
        <f t="shared" ca="1" si="164"/>
        <v>-27469689705863.438</v>
      </c>
      <c r="M4330" s="471">
        <f t="shared" si="166"/>
        <v>0.05</v>
      </c>
      <c r="N4330" s="475">
        <f t="shared" si="167"/>
        <v>182836</v>
      </c>
    </row>
    <row r="4331" spans="7:14" ht="11.25" customHeight="1" x14ac:dyDescent="0.3">
      <c r="G4331" s="470"/>
      <c r="H4331" s="470">
        <v>4324</v>
      </c>
      <c r="I4331" s="455">
        <f t="shared" ca="1" si="165"/>
        <v>-27469689705863.438</v>
      </c>
      <c r="J4331" s="455">
        <f t="array" ref="J4331">IFERROR(INDEX('Retirement Calculator'!K:K,MATCH('Lorri 401b'!N4331,'Retirement Calculator'!A:A,0),0),0)</f>
        <v>0</v>
      </c>
      <c r="K4331" s="455">
        <f t="shared" ca="1" si="163"/>
        <v>-114457040441.09767</v>
      </c>
      <c r="L4331" s="455">
        <f t="shared" ca="1" si="164"/>
        <v>-27584146746304.535</v>
      </c>
      <c r="M4331" s="471">
        <f t="shared" si="166"/>
        <v>0.05</v>
      </c>
      <c r="N4331" s="475">
        <f t="shared" si="167"/>
        <v>182867</v>
      </c>
    </row>
    <row r="4332" spans="7:14" ht="11.25" customHeight="1" x14ac:dyDescent="0.3">
      <c r="G4332" s="470"/>
      <c r="H4332" s="470">
        <v>4325</v>
      </c>
      <c r="I4332" s="455">
        <f t="shared" ca="1" si="165"/>
        <v>-27584146746304.535</v>
      </c>
      <c r="J4332" s="455">
        <f t="array" ref="J4332">IFERROR(INDEX('Retirement Calculator'!K:K,MATCH('Lorri 401b'!N4332,'Retirement Calculator'!A:A,0),0),0)</f>
        <v>0</v>
      </c>
      <c r="K4332" s="455">
        <f t="shared" ca="1" si="163"/>
        <v>-114933944776.26889</v>
      </c>
      <c r="L4332" s="455">
        <f t="shared" ca="1" si="164"/>
        <v>-27699080691080.805</v>
      </c>
      <c r="M4332" s="471">
        <f t="shared" si="166"/>
        <v>0.05</v>
      </c>
      <c r="N4332" s="475">
        <f t="shared" si="167"/>
        <v>182897</v>
      </c>
    </row>
    <row r="4333" spans="7:14" ht="11.25" customHeight="1" x14ac:dyDescent="0.3">
      <c r="G4333" s="470"/>
      <c r="H4333" s="470">
        <v>4326</v>
      </c>
      <c r="I4333" s="455">
        <f t="shared" ca="1" si="165"/>
        <v>-27699080691080.805</v>
      </c>
      <c r="J4333" s="455">
        <f t="array" ref="J4333">IFERROR(INDEX('Retirement Calculator'!K:K,MATCH('Lorri 401b'!N4333,'Retirement Calculator'!A:A,0),0),0)</f>
        <v>0</v>
      </c>
      <c r="K4333" s="455">
        <f t="shared" ca="1" si="163"/>
        <v>-115412836212.83667</v>
      </c>
      <c r="L4333" s="455">
        <f t="shared" ca="1" si="164"/>
        <v>-27814493527293.641</v>
      </c>
      <c r="M4333" s="471">
        <f t="shared" si="166"/>
        <v>0.05</v>
      </c>
      <c r="N4333" s="475">
        <f t="shared" si="167"/>
        <v>182928</v>
      </c>
    </row>
    <row r="4334" spans="7:14" ht="11.25" customHeight="1" x14ac:dyDescent="0.3">
      <c r="G4334" s="470"/>
      <c r="H4334" s="470">
        <v>4327</v>
      </c>
      <c r="I4334" s="455">
        <f t="shared" ca="1" si="165"/>
        <v>-27814493527293.641</v>
      </c>
      <c r="J4334" s="455">
        <f t="array" ref="J4334">IFERROR(INDEX('Retirement Calculator'!K:K,MATCH('Lorri 401b'!N4334,'Retirement Calculator'!A:A,0),0),0)</f>
        <v>0</v>
      </c>
      <c r="K4334" s="455">
        <f t="shared" ca="1" si="163"/>
        <v>-115893723030.39017</v>
      </c>
      <c r="L4334" s="455">
        <f t="shared" ca="1" si="164"/>
        <v>-27930387250324.031</v>
      </c>
      <c r="M4334" s="471">
        <f t="shared" si="166"/>
        <v>0.05</v>
      </c>
      <c r="N4334" s="475">
        <f t="shared" si="167"/>
        <v>182958</v>
      </c>
    </row>
    <row r="4335" spans="7:14" ht="11.25" customHeight="1" x14ac:dyDescent="0.3">
      <c r="G4335" s="470"/>
      <c r="H4335" s="470">
        <v>4328</v>
      </c>
      <c r="I4335" s="455">
        <f t="shared" ca="1" si="165"/>
        <v>-27930387250324.031</v>
      </c>
      <c r="J4335" s="455">
        <f t="array" ref="J4335">IFERROR(INDEX('Retirement Calculator'!K:K,MATCH('Lorri 401b'!N4335,'Retirement Calculator'!A:A,0),0),0)</f>
        <v>0</v>
      </c>
      <c r="K4335" s="455">
        <f t="shared" ca="1" si="163"/>
        <v>-116376613543.0168</v>
      </c>
      <c r="L4335" s="455">
        <f t="shared" ca="1" si="164"/>
        <v>-28046763863867.047</v>
      </c>
      <c r="M4335" s="471">
        <f t="shared" si="166"/>
        <v>0.05</v>
      </c>
      <c r="N4335" s="475">
        <f t="shared" si="167"/>
        <v>182989</v>
      </c>
    </row>
    <row r="4336" spans="7:14" ht="11.25" customHeight="1" x14ac:dyDescent="0.3">
      <c r="G4336" s="470"/>
      <c r="H4336" s="470">
        <v>4329</v>
      </c>
      <c r="I4336" s="455">
        <f t="shared" ca="1" si="165"/>
        <v>-28046763863867.047</v>
      </c>
      <c r="J4336" s="455">
        <f t="array" ref="J4336">IFERROR(INDEX('Retirement Calculator'!K:K,MATCH('Lorri 401b'!N4336,'Retirement Calculator'!A:A,0),0),0)</f>
        <v>0</v>
      </c>
      <c r="K4336" s="455">
        <f t="shared" ca="1" si="163"/>
        <v>-116861516099.44601</v>
      </c>
      <c r="L4336" s="455">
        <f t="shared" ca="1" si="164"/>
        <v>-28163625379966.492</v>
      </c>
      <c r="M4336" s="471">
        <f t="shared" si="166"/>
        <v>0.05</v>
      </c>
      <c r="N4336" s="475">
        <f t="shared" si="167"/>
        <v>183020</v>
      </c>
    </row>
    <row r="4337" spans="7:14" ht="11.25" customHeight="1" x14ac:dyDescent="0.3">
      <c r="G4337" s="470"/>
      <c r="H4337" s="470">
        <v>4330</v>
      </c>
      <c r="I4337" s="455">
        <f t="shared" ca="1" si="165"/>
        <v>-28163625379966.492</v>
      </c>
      <c r="J4337" s="455">
        <f t="array" ref="J4337">IFERROR(INDEX('Retirement Calculator'!K:K,MATCH('Lorri 401b'!N4337,'Retirement Calculator'!A:A,0),0),0)</f>
        <v>0</v>
      </c>
      <c r="K4337" s="455">
        <f t="shared" ca="1" si="163"/>
        <v>-117348439083.19371</v>
      </c>
      <c r="L4337" s="455">
        <f t="shared" ca="1" si="164"/>
        <v>-28280973819049.688</v>
      </c>
      <c r="M4337" s="471">
        <f t="shared" si="166"/>
        <v>0.05</v>
      </c>
      <c r="N4337" s="475">
        <f t="shared" si="167"/>
        <v>183048</v>
      </c>
    </row>
    <row r="4338" spans="7:14" ht="11.25" customHeight="1" x14ac:dyDescent="0.3">
      <c r="G4338" s="470"/>
      <c r="H4338" s="470">
        <v>4331</v>
      </c>
      <c r="I4338" s="455">
        <f t="shared" ca="1" si="165"/>
        <v>-28280973819049.688</v>
      </c>
      <c r="J4338" s="455">
        <f t="array" ref="J4338">IFERROR(INDEX('Retirement Calculator'!K:K,MATCH('Lorri 401b'!N4338,'Retirement Calculator'!A:A,0),0),0)</f>
        <v>0</v>
      </c>
      <c r="K4338" s="455">
        <f t="shared" ca="1" si="163"/>
        <v>-117837390912.70705</v>
      </c>
      <c r="L4338" s="455">
        <f t="shared" ca="1" si="164"/>
        <v>-28398811209962.395</v>
      </c>
      <c r="M4338" s="471">
        <f t="shared" si="166"/>
        <v>0.05</v>
      </c>
      <c r="N4338" s="475">
        <f t="shared" si="167"/>
        <v>183079</v>
      </c>
    </row>
    <row r="4339" spans="7:14" ht="11.25" customHeight="1" x14ac:dyDescent="0.3">
      <c r="G4339" s="470"/>
      <c r="H4339" s="470">
        <v>4332</v>
      </c>
      <c r="I4339" s="455">
        <f t="shared" ca="1" si="165"/>
        <v>-28398811209962.395</v>
      </c>
      <c r="J4339" s="455">
        <f t="array" ref="J4339">IFERROR(INDEX('Retirement Calculator'!K:K,MATCH('Lorri 401b'!N4339,'Retirement Calculator'!A:A,0),0),0)</f>
        <v>0</v>
      </c>
      <c r="K4339" s="455">
        <f t="shared" ca="1" si="163"/>
        <v>-118328380041.50998</v>
      </c>
      <c r="L4339" s="455">
        <f t="shared" ca="1" si="164"/>
        <v>-28517139590003.906</v>
      </c>
      <c r="M4339" s="471">
        <f t="shared" si="166"/>
        <v>0.05</v>
      </c>
      <c r="N4339" s="475">
        <f t="shared" si="167"/>
        <v>183109</v>
      </c>
    </row>
    <row r="4340" spans="7:14" ht="11.25" customHeight="1" x14ac:dyDescent="0.3">
      <c r="G4340" s="470"/>
      <c r="H4340" s="470">
        <v>4333</v>
      </c>
      <c r="I4340" s="455">
        <f t="shared" ca="1" si="165"/>
        <v>-28517139590003.906</v>
      </c>
      <c r="J4340" s="455">
        <f t="array" ref="J4340">IFERROR(INDEX('Retirement Calculator'!K:K,MATCH('Lorri 401b'!N4340,'Retirement Calculator'!A:A,0),0),0)</f>
        <v>0</v>
      </c>
      <c r="K4340" s="455">
        <f t="shared" ca="1" si="163"/>
        <v>-118821414958.34961</v>
      </c>
      <c r="L4340" s="455">
        <f t="shared" ca="1" si="164"/>
        <v>-28635961004962.258</v>
      </c>
      <c r="M4340" s="471">
        <f t="shared" si="166"/>
        <v>0.05</v>
      </c>
      <c r="N4340" s="475">
        <f t="shared" si="167"/>
        <v>183140</v>
      </c>
    </row>
    <row r="4341" spans="7:14" ht="11.25" customHeight="1" x14ac:dyDescent="0.3">
      <c r="G4341" s="470"/>
      <c r="H4341" s="470">
        <v>4334</v>
      </c>
      <c r="I4341" s="455">
        <f t="shared" ca="1" si="165"/>
        <v>-28635961004962.258</v>
      </c>
      <c r="J4341" s="455">
        <f t="array" ref="J4341">IFERROR(INDEX('Retirement Calculator'!K:K,MATCH('Lorri 401b'!N4341,'Retirement Calculator'!A:A,0),0),0)</f>
        <v>0</v>
      </c>
      <c r="K4341" s="455">
        <f t="shared" ca="1" si="163"/>
        <v>-119316504187.34274</v>
      </c>
      <c r="L4341" s="455">
        <f t="shared" ca="1" si="164"/>
        <v>-28755277509149.602</v>
      </c>
      <c r="M4341" s="471">
        <f t="shared" si="166"/>
        <v>0.05</v>
      </c>
      <c r="N4341" s="475">
        <f t="shared" si="167"/>
        <v>183170</v>
      </c>
    </row>
    <row r="4342" spans="7:14" ht="11.25" customHeight="1" x14ac:dyDescent="0.3">
      <c r="G4342" s="470"/>
      <c r="H4342" s="470">
        <v>4335</v>
      </c>
      <c r="I4342" s="455">
        <f t="shared" ca="1" si="165"/>
        <v>-28755277509149.602</v>
      </c>
      <c r="J4342" s="455">
        <f t="array" ref="J4342">IFERROR(INDEX('Retirement Calculator'!K:K,MATCH('Lorri 401b'!N4342,'Retirement Calculator'!A:A,0),0),0)</f>
        <v>0</v>
      </c>
      <c r="K4342" s="455">
        <f t="shared" ca="1" si="163"/>
        <v>-119813656288.12332</v>
      </c>
      <c r="L4342" s="455">
        <f t="shared" ca="1" si="164"/>
        <v>-28875091165437.727</v>
      </c>
      <c r="M4342" s="471">
        <f t="shared" si="166"/>
        <v>0.05</v>
      </c>
      <c r="N4342" s="475">
        <f t="shared" si="167"/>
        <v>183201</v>
      </c>
    </row>
    <row r="4343" spans="7:14" ht="11.25" customHeight="1" x14ac:dyDescent="0.3">
      <c r="G4343" s="470"/>
      <c r="H4343" s="470">
        <v>4336</v>
      </c>
      <c r="I4343" s="455">
        <f t="shared" ca="1" si="165"/>
        <v>-28875091165437.727</v>
      </c>
      <c r="J4343" s="455">
        <f t="array" ref="J4343">IFERROR(INDEX('Retirement Calculator'!K:K,MATCH('Lorri 401b'!N4343,'Retirement Calculator'!A:A,0),0),0)</f>
        <v>0</v>
      </c>
      <c r="K4343" s="455">
        <f t="shared" ref="K4343:K4597" ca="1" si="168">IPMT(M4343/12,1,12,-I4343+J4343,,0)</f>
        <v>-120312879855.99051</v>
      </c>
      <c r="L4343" s="455">
        <f t="shared" ref="L4343:L4597" ca="1" si="169">I4343-J4343+K4343</f>
        <v>-28995404045293.719</v>
      </c>
      <c r="M4343" s="471">
        <f t="shared" si="166"/>
        <v>0.05</v>
      </c>
      <c r="N4343" s="475">
        <f t="shared" si="167"/>
        <v>183232</v>
      </c>
    </row>
    <row r="4344" spans="7:14" ht="11.25" customHeight="1" x14ac:dyDescent="0.3">
      <c r="G4344" s="470"/>
      <c r="H4344" s="470">
        <v>4337</v>
      </c>
      <c r="I4344" s="455">
        <f t="shared" ref="I4344:I4598" ca="1" si="170">L4343</f>
        <v>-28995404045293.719</v>
      </c>
      <c r="J4344" s="455">
        <f t="array" ref="J4344">IFERROR(INDEX('Retirement Calculator'!K:K,MATCH('Lorri 401b'!N4344,'Retirement Calculator'!A:A,0),0),0)</f>
        <v>0</v>
      </c>
      <c r="K4344" s="455">
        <f t="shared" ca="1" si="168"/>
        <v>-120814183522.05716</v>
      </c>
      <c r="L4344" s="455">
        <f t="shared" ca="1" si="169"/>
        <v>-29116218228815.777</v>
      </c>
      <c r="M4344" s="471">
        <f t="shared" ref="M4344:M4598" si="171">M4343</f>
        <v>0.05</v>
      </c>
      <c r="N4344" s="475">
        <f t="shared" ref="N4344:N4598" si="172">EDATE(N4343,1)</f>
        <v>183262</v>
      </c>
    </row>
    <row r="4345" spans="7:14" ht="11.25" customHeight="1" x14ac:dyDescent="0.3">
      <c r="G4345" s="470"/>
      <c r="H4345" s="470">
        <v>4338</v>
      </c>
      <c r="I4345" s="455">
        <f t="shared" ca="1" si="170"/>
        <v>-29116218228815.777</v>
      </c>
      <c r="J4345" s="455">
        <f t="array" ref="J4345">IFERROR(INDEX('Retirement Calculator'!K:K,MATCH('Lorri 401b'!N4345,'Retirement Calculator'!A:A,0),0),0)</f>
        <v>0</v>
      </c>
      <c r="K4345" s="455">
        <f t="shared" ca="1" si="168"/>
        <v>-121317575953.39906</v>
      </c>
      <c r="L4345" s="455">
        <f t="shared" ca="1" si="169"/>
        <v>-29237535804769.176</v>
      </c>
      <c r="M4345" s="471">
        <f t="shared" si="171"/>
        <v>0.05</v>
      </c>
      <c r="N4345" s="475">
        <f t="shared" si="172"/>
        <v>183293</v>
      </c>
    </row>
    <row r="4346" spans="7:14" ht="11.25" customHeight="1" x14ac:dyDescent="0.3">
      <c r="G4346" s="470"/>
      <c r="H4346" s="470">
        <v>4339</v>
      </c>
      <c r="I4346" s="455">
        <f t="shared" ca="1" si="170"/>
        <v>-29237535804769.176</v>
      </c>
      <c r="J4346" s="455">
        <f t="array" ref="J4346">IFERROR(INDEX('Retirement Calculator'!K:K,MATCH('Lorri 401b'!N4346,'Retirement Calculator'!A:A,0),0),0)</f>
        <v>0</v>
      </c>
      <c r="K4346" s="455">
        <f t="shared" ca="1" si="168"/>
        <v>-121823065853.2049</v>
      </c>
      <c r="L4346" s="455">
        <f t="shared" ca="1" si="169"/>
        <v>-29359358870622.379</v>
      </c>
      <c r="M4346" s="471">
        <f t="shared" si="171"/>
        <v>0.05</v>
      </c>
      <c r="N4346" s="475">
        <f t="shared" si="172"/>
        <v>183323</v>
      </c>
    </row>
    <row r="4347" spans="7:14" ht="11.25" customHeight="1" x14ac:dyDescent="0.3">
      <c r="G4347" s="470"/>
      <c r="H4347" s="470">
        <v>4340</v>
      </c>
      <c r="I4347" s="455">
        <f t="shared" ca="1" si="170"/>
        <v>-29359358870622.379</v>
      </c>
      <c r="J4347" s="455">
        <f t="array" ref="J4347">IFERROR(INDEX('Retirement Calculator'!K:K,MATCH('Lorri 401b'!N4347,'Retirement Calculator'!A:A,0),0),0)</f>
        <v>0</v>
      </c>
      <c r="K4347" s="455">
        <f t="shared" ca="1" si="168"/>
        <v>-122330661960.92657</v>
      </c>
      <c r="L4347" s="455">
        <f t="shared" ca="1" si="169"/>
        <v>-29481689532583.305</v>
      </c>
      <c r="M4347" s="471">
        <f t="shared" si="171"/>
        <v>0.05</v>
      </c>
      <c r="N4347" s="475">
        <f t="shared" si="172"/>
        <v>183354</v>
      </c>
    </row>
    <row r="4348" spans="7:14" ht="11.25" customHeight="1" x14ac:dyDescent="0.3">
      <c r="G4348" s="470"/>
      <c r="H4348" s="470">
        <v>4341</v>
      </c>
      <c r="I4348" s="455">
        <f t="shared" ca="1" si="170"/>
        <v>-29481689532583.305</v>
      </c>
      <c r="J4348" s="455">
        <f t="array" ref="J4348">IFERROR(INDEX('Retirement Calculator'!K:K,MATCH('Lorri 401b'!N4348,'Retirement Calculator'!A:A,0),0),0)</f>
        <v>0</v>
      </c>
      <c r="K4348" s="455">
        <f t="shared" ca="1" si="168"/>
        <v>-122840373052.43044</v>
      </c>
      <c r="L4348" s="455">
        <f t="shared" ca="1" si="169"/>
        <v>-29604529905635.734</v>
      </c>
      <c r="M4348" s="471">
        <f t="shared" si="171"/>
        <v>0.05</v>
      </c>
      <c r="N4348" s="475">
        <f t="shared" si="172"/>
        <v>183385</v>
      </c>
    </row>
    <row r="4349" spans="7:14" ht="11.25" customHeight="1" x14ac:dyDescent="0.3">
      <c r="G4349" s="470"/>
      <c r="H4349" s="470">
        <v>4342</v>
      </c>
      <c r="I4349" s="455">
        <f t="shared" ca="1" si="170"/>
        <v>-29604529905635.734</v>
      </c>
      <c r="J4349" s="455">
        <f t="array" ref="J4349">IFERROR(INDEX('Retirement Calculator'!K:K,MATCH('Lorri 401b'!N4349,'Retirement Calculator'!A:A,0),0),0)</f>
        <v>0</v>
      </c>
      <c r="K4349" s="455">
        <f t="shared" ca="1" si="168"/>
        <v>-123352207940.1489</v>
      </c>
      <c r="L4349" s="455">
        <f t="shared" ca="1" si="169"/>
        <v>-29727882113575.883</v>
      </c>
      <c r="M4349" s="471">
        <f t="shared" si="171"/>
        <v>0.05</v>
      </c>
      <c r="N4349" s="475">
        <f t="shared" si="172"/>
        <v>183413</v>
      </c>
    </row>
    <row r="4350" spans="7:14" ht="11.25" customHeight="1" x14ac:dyDescent="0.3">
      <c r="G4350" s="470"/>
      <c r="H4350" s="470">
        <v>4343</v>
      </c>
      <c r="I4350" s="455">
        <f t="shared" ca="1" si="170"/>
        <v>-29727882113575.883</v>
      </c>
      <c r="J4350" s="455">
        <f t="array" ref="J4350">IFERROR(INDEX('Retirement Calculator'!K:K,MATCH('Lorri 401b'!N4350,'Retirement Calculator'!A:A,0),0),0)</f>
        <v>0</v>
      </c>
      <c r="K4350" s="455">
        <f t="shared" ca="1" si="168"/>
        <v>-123866175473.23286</v>
      </c>
      <c r="L4350" s="455">
        <f t="shared" ca="1" si="169"/>
        <v>-29851748289049.117</v>
      </c>
      <c r="M4350" s="471">
        <f t="shared" si="171"/>
        <v>0.05</v>
      </c>
      <c r="N4350" s="475">
        <f t="shared" si="172"/>
        <v>183444</v>
      </c>
    </row>
    <row r="4351" spans="7:14" ht="11.25" customHeight="1" x14ac:dyDescent="0.3">
      <c r="G4351" s="470"/>
      <c r="H4351" s="470">
        <v>4344</v>
      </c>
      <c r="I4351" s="455">
        <f t="shared" ca="1" si="170"/>
        <v>-29851748289049.117</v>
      </c>
      <c r="J4351" s="455">
        <f t="array" ref="J4351">IFERROR(INDEX('Retirement Calculator'!K:K,MATCH('Lorri 401b'!N4351,'Retirement Calculator'!A:A,0),0),0)</f>
        <v>0</v>
      </c>
      <c r="K4351" s="455">
        <f t="shared" ca="1" si="168"/>
        <v>-124382284537.70465</v>
      </c>
      <c r="L4351" s="455">
        <f t="shared" ca="1" si="169"/>
        <v>-29976130573586.82</v>
      </c>
      <c r="M4351" s="471">
        <f t="shared" si="171"/>
        <v>0.05</v>
      </c>
      <c r="N4351" s="475">
        <f t="shared" si="172"/>
        <v>183474</v>
      </c>
    </row>
    <row r="4352" spans="7:14" ht="11.25" customHeight="1" x14ac:dyDescent="0.3">
      <c r="G4352" s="470"/>
      <c r="H4352" s="470">
        <v>4345</v>
      </c>
      <c r="I4352" s="455">
        <f t="shared" ca="1" si="170"/>
        <v>-29976130573586.82</v>
      </c>
      <c r="J4352" s="455">
        <f t="array" ref="J4352">IFERROR(INDEX('Retirement Calculator'!K:K,MATCH('Lorri 401b'!N4352,'Retirement Calculator'!A:A,0),0),0)</f>
        <v>0</v>
      </c>
      <c r="K4352" s="455">
        <f t="shared" ca="1" si="168"/>
        <v>-124900544056.61176</v>
      </c>
      <c r="L4352" s="455">
        <f t="shared" ca="1" si="169"/>
        <v>-30101031117643.434</v>
      </c>
      <c r="M4352" s="471">
        <f t="shared" si="171"/>
        <v>0.05</v>
      </c>
      <c r="N4352" s="475">
        <f t="shared" si="172"/>
        <v>183505</v>
      </c>
    </row>
    <row r="4353" spans="7:14" ht="11.25" customHeight="1" x14ac:dyDescent="0.3">
      <c r="G4353" s="470"/>
      <c r="H4353" s="470">
        <v>4346</v>
      </c>
      <c r="I4353" s="455">
        <f t="shared" ca="1" si="170"/>
        <v>-30101031117643.434</v>
      </c>
      <c r="J4353" s="455">
        <f t="array" ref="J4353">IFERROR(INDEX('Retirement Calculator'!K:K,MATCH('Lorri 401b'!N4353,'Retirement Calculator'!A:A,0),0),0)</f>
        <v>0</v>
      </c>
      <c r="K4353" s="455">
        <f t="shared" ca="1" si="168"/>
        <v>-125420962990.18097</v>
      </c>
      <c r="L4353" s="455">
        <f t="shared" ca="1" si="169"/>
        <v>-30226452080633.613</v>
      </c>
      <c r="M4353" s="471">
        <f t="shared" si="171"/>
        <v>0.05</v>
      </c>
      <c r="N4353" s="475">
        <f t="shared" si="172"/>
        <v>183535</v>
      </c>
    </row>
    <row r="4354" spans="7:14" ht="11.25" customHeight="1" x14ac:dyDescent="0.3">
      <c r="G4354" s="470"/>
      <c r="H4354" s="470">
        <v>4347</v>
      </c>
      <c r="I4354" s="455">
        <f t="shared" ca="1" si="170"/>
        <v>-30226452080633.613</v>
      </c>
      <c r="J4354" s="455">
        <f t="array" ref="J4354">IFERROR(INDEX('Retirement Calculator'!K:K,MATCH('Lorri 401b'!N4354,'Retirement Calculator'!A:A,0),0),0)</f>
        <v>0</v>
      </c>
      <c r="K4354" s="455">
        <f t="shared" ca="1" si="168"/>
        <v>-125943550335.9734</v>
      </c>
      <c r="L4354" s="455">
        <f t="shared" ca="1" si="169"/>
        <v>-30352395630969.586</v>
      </c>
      <c r="M4354" s="471">
        <f t="shared" si="171"/>
        <v>0.05</v>
      </c>
      <c r="N4354" s="475">
        <f t="shared" si="172"/>
        <v>183566</v>
      </c>
    </row>
    <row r="4355" spans="7:14" ht="11.25" customHeight="1" x14ac:dyDescent="0.3">
      <c r="G4355" s="470"/>
      <c r="H4355" s="470">
        <v>4348</v>
      </c>
      <c r="I4355" s="455">
        <f t="shared" ca="1" si="170"/>
        <v>-30352395630969.586</v>
      </c>
      <c r="J4355" s="455">
        <f t="array" ref="J4355">IFERROR(INDEX('Retirement Calculator'!K:K,MATCH('Lorri 401b'!N4355,'Retirement Calculator'!A:A,0),0),0)</f>
        <v>0</v>
      </c>
      <c r="K4355" s="455">
        <f t="shared" ca="1" si="168"/>
        <v>-126468315129.03993</v>
      </c>
      <c r="L4355" s="455">
        <f t="shared" ca="1" si="169"/>
        <v>-30478863946098.625</v>
      </c>
      <c r="M4355" s="471">
        <f t="shared" si="171"/>
        <v>0.05</v>
      </c>
      <c r="N4355" s="475">
        <f t="shared" si="172"/>
        <v>183597</v>
      </c>
    </row>
    <row r="4356" spans="7:14" ht="11.25" customHeight="1" x14ac:dyDescent="0.3">
      <c r="G4356" s="470"/>
      <c r="H4356" s="470">
        <v>4349</v>
      </c>
      <c r="I4356" s="455">
        <f t="shared" ca="1" si="170"/>
        <v>-30478863946098.625</v>
      </c>
      <c r="J4356" s="455">
        <f t="array" ref="J4356">IFERROR(INDEX('Retirement Calculator'!K:K,MATCH('Lorri 401b'!N4356,'Retirement Calculator'!A:A,0),0),0)</f>
        <v>0</v>
      </c>
      <c r="K4356" s="455">
        <f t="shared" ca="1" si="168"/>
        <v>-126995266442.07759</v>
      </c>
      <c r="L4356" s="455">
        <f t="shared" ca="1" si="169"/>
        <v>-30605859212540.703</v>
      </c>
      <c r="M4356" s="471">
        <f t="shared" si="171"/>
        <v>0.05</v>
      </c>
      <c r="N4356" s="475">
        <f t="shared" si="172"/>
        <v>183627</v>
      </c>
    </row>
    <row r="4357" spans="7:14" ht="11.25" customHeight="1" x14ac:dyDescent="0.3">
      <c r="G4357" s="470"/>
      <c r="H4357" s="470">
        <v>4350</v>
      </c>
      <c r="I4357" s="455">
        <f t="shared" ca="1" si="170"/>
        <v>-30605859212540.703</v>
      </c>
      <c r="J4357" s="455">
        <f t="array" ref="J4357">IFERROR(INDEX('Retirement Calculator'!K:K,MATCH('Lorri 401b'!N4357,'Retirement Calculator'!A:A,0),0),0)</f>
        <v>0</v>
      </c>
      <c r="K4357" s="455">
        <f t="shared" ca="1" si="168"/>
        <v>-127524413385.58626</v>
      </c>
      <c r="L4357" s="455">
        <f t="shared" ca="1" si="169"/>
        <v>-30733383625926.289</v>
      </c>
      <c r="M4357" s="471">
        <f t="shared" si="171"/>
        <v>0.05</v>
      </c>
      <c r="N4357" s="475">
        <f t="shared" si="172"/>
        <v>183658</v>
      </c>
    </row>
    <row r="4358" spans="7:14" ht="11.25" customHeight="1" x14ac:dyDescent="0.3">
      <c r="G4358" s="470"/>
      <c r="H4358" s="470">
        <v>4351</v>
      </c>
      <c r="I4358" s="455">
        <f t="shared" ca="1" si="170"/>
        <v>-30733383625926.289</v>
      </c>
      <c r="J4358" s="455">
        <f t="array" ref="J4358">IFERROR(INDEX('Retirement Calculator'!K:K,MATCH('Lorri 401b'!N4358,'Retirement Calculator'!A:A,0),0),0)</f>
        <v>0</v>
      </c>
      <c r="K4358" s="455">
        <f t="shared" ca="1" si="168"/>
        <v>-128055765108.02621</v>
      </c>
      <c r="L4358" s="455">
        <f t="shared" ca="1" si="169"/>
        <v>-30861439391034.316</v>
      </c>
      <c r="M4358" s="471">
        <f t="shared" si="171"/>
        <v>0.05</v>
      </c>
      <c r="N4358" s="475">
        <f t="shared" si="172"/>
        <v>183688</v>
      </c>
    </row>
    <row r="4359" spans="7:14" ht="11.25" customHeight="1" x14ac:dyDescent="0.3">
      <c r="G4359" s="470"/>
      <c r="H4359" s="470">
        <v>4352</v>
      </c>
      <c r="I4359" s="455">
        <f t="shared" ca="1" si="170"/>
        <v>-30861439391034.316</v>
      </c>
      <c r="J4359" s="455">
        <f t="array" ref="J4359">IFERROR(INDEX('Retirement Calculator'!K:K,MATCH('Lorri 401b'!N4359,'Retirement Calculator'!A:A,0),0),0)</f>
        <v>0</v>
      </c>
      <c r="K4359" s="455">
        <f t="shared" ca="1" si="168"/>
        <v>-128589330795.9763</v>
      </c>
      <c r="L4359" s="455">
        <f t="shared" ca="1" si="169"/>
        <v>-30990028721830.293</v>
      </c>
      <c r="M4359" s="471">
        <f t="shared" si="171"/>
        <v>0.05</v>
      </c>
      <c r="N4359" s="475">
        <f t="shared" si="172"/>
        <v>183719</v>
      </c>
    </row>
    <row r="4360" spans="7:14" ht="11.25" customHeight="1" x14ac:dyDescent="0.3">
      <c r="G4360" s="470"/>
      <c r="H4360" s="470">
        <v>4353</v>
      </c>
      <c r="I4360" s="455">
        <f t="shared" ca="1" si="170"/>
        <v>-30990028721830.293</v>
      </c>
      <c r="J4360" s="455">
        <f t="array" ref="J4360">IFERROR(INDEX('Retirement Calculator'!K:K,MATCH('Lorri 401b'!N4360,'Retirement Calculator'!A:A,0),0),0)</f>
        <v>0</v>
      </c>
      <c r="K4360" s="455">
        <f t="shared" ca="1" si="168"/>
        <v>-129125119674.29286</v>
      </c>
      <c r="L4360" s="455">
        <f t="shared" ca="1" si="169"/>
        <v>-31119153841504.586</v>
      </c>
      <c r="M4360" s="471">
        <f t="shared" si="171"/>
        <v>0.05</v>
      </c>
      <c r="N4360" s="475">
        <f t="shared" si="172"/>
        <v>183750</v>
      </c>
    </row>
    <row r="4361" spans="7:14" ht="11.25" customHeight="1" x14ac:dyDescent="0.3">
      <c r="G4361" s="470"/>
      <c r="H4361" s="470">
        <v>4354</v>
      </c>
      <c r="I4361" s="455">
        <f t="shared" ca="1" si="170"/>
        <v>-31119153841504.586</v>
      </c>
      <c r="J4361" s="455">
        <f t="array" ref="J4361">IFERROR(INDEX('Retirement Calculator'!K:K,MATCH('Lorri 401b'!N4361,'Retirement Calculator'!A:A,0),0),0)</f>
        <v>0</v>
      </c>
      <c r="K4361" s="455">
        <f t="shared" ca="1" si="168"/>
        <v>-129663141006.26912</v>
      </c>
      <c r="L4361" s="455">
        <f t="shared" ca="1" si="169"/>
        <v>-31248816982510.855</v>
      </c>
      <c r="M4361" s="471">
        <f t="shared" si="171"/>
        <v>0.05</v>
      </c>
      <c r="N4361" s="475">
        <f t="shared" si="172"/>
        <v>183778</v>
      </c>
    </row>
    <row r="4362" spans="7:14" ht="11.25" customHeight="1" x14ac:dyDescent="0.3">
      <c r="G4362" s="470"/>
      <c r="H4362" s="470">
        <v>4355</v>
      </c>
      <c r="I4362" s="455">
        <f t="shared" ca="1" si="170"/>
        <v>-31248816982510.855</v>
      </c>
      <c r="J4362" s="455">
        <f t="array" ref="J4362">IFERROR(INDEX('Retirement Calculator'!K:K,MATCH('Lorri 401b'!N4362,'Retirement Calculator'!A:A,0),0),0)</f>
        <v>0</v>
      </c>
      <c r="K4362" s="455">
        <f t="shared" ca="1" si="168"/>
        <v>-130203404093.79524</v>
      </c>
      <c r="L4362" s="455">
        <f t="shared" ca="1" si="169"/>
        <v>-31379020386604.652</v>
      </c>
      <c r="M4362" s="471">
        <f t="shared" si="171"/>
        <v>0.05</v>
      </c>
      <c r="N4362" s="475">
        <f t="shared" si="172"/>
        <v>183809</v>
      </c>
    </row>
    <row r="4363" spans="7:14" ht="11.25" customHeight="1" x14ac:dyDescent="0.3">
      <c r="G4363" s="470"/>
      <c r="H4363" s="470">
        <v>4356</v>
      </c>
      <c r="I4363" s="455">
        <f t="shared" ca="1" si="170"/>
        <v>-31379020386604.652</v>
      </c>
      <c r="J4363" s="455">
        <f t="array" ref="J4363">IFERROR(INDEX('Retirement Calculator'!K:K,MATCH('Lorri 401b'!N4363,'Retirement Calculator'!A:A,0),0),0)</f>
        <v>0</v>
      </c>
      <c r="K4363" s="455">
        <f t="shared" ca="1" si="168"/>
        <v>-130745918277.51936</v>
      </c>
      <c r="L4363" s="455">
        <f t="shared" ca="1" si="169"/>
        <v>-31509766304882.172</v>
      </c>
      <c r="M4363" s="471">
        <f t="shared" si="171"/>
        <v>0.05</v>
      </c>
      <c r="N4363" s="475">
        <f t="shared" si="172"/>
        <v>183839</v>
      </c>
    </row>
    <row r="4364" spans="7:14" ht="11.25" customHeight="1" x14ac:dyDescent="0.3">
      <c r="G4364" s="470"/>
      <c r="H4364" s="470">
        <v>4357</v>
      </c>
      <c r="I4364" s="455">
        <f t="shared" ca="1" si="170"/>
        <v>-31509766304882.172</v>
      </c>
      <c r="J4364" s="455">
        <f t="array" ref="J4364">IFERROR(INDEX('Retirement Calculator'!K:K,MATCH('Lorri 401b'!N4364,'Retirement Calculator'!A:A,0),0),0)</f>
        <v>0</v>
      </c>
      <c r="K4364" s="455">
        <f t="shared" ca="1" si="168"/>
        <v>-131290692937.00905</v>
      </c>
      <c r="L4364" s="455">
        <f t="shared" ca="1" si="169"/>
        <v>-31641056997819.18</v>
      </c>
      <c r="M4364" s="471">
        <f t="shared" si="171"/>
        <v>0.05</v>
      </c>
      <c r="N4364" s="475">
        <f t="shared" si="172"/>
        <v>183870</v>
      </c>
    </row>
    <row r="4365" spans="7:14" ht="11.25" customHeight="1" x14ac:dyDescent="0.3">
      <c r="G4365" s="470"/>
      <c r="H4365" s="470">
        <v>4358</v>
      </c>
      <c r="I4365" s="455">
        <f t="shared" ca="1" si="170"/>
        <v>-31641056997819.18</v>
      </c>
      <c r="J4365" s="455">
        <f t="array" ref="J4365">IFERROR(INDEX('Retirement Calculator'!K:K,MATCH('Lorri 401b'!N4365,'Retirement Calculator'!A:A,0),0),0)</f>
        <v>0</v>
      </c>
      <c r="K4365" s="455">
        <f t="shared" ca="1" si="168"/>
        <v>-131837737490.91325</v>
      </c>
      <c r="L4365" s="455">
        <f t="shared" ca="1" si="169"/>
        <v>-31772894735310.094</v>
      </c>
      <c r="M4365" s="471">
        <f t="shared" si="171"/>
        <v>0.05</v>
      </c>
      <c r="N4365" s="475">
        <f t="shared" si="172"/>
        <v>183900</v>
      </c>
    </row>
    <row r="4366" spans="7:14" ht="11.25" customHeight="1" x14ac:dyDescent="0.3">
      <c r="G4366" s="470"/>
      <c r="H4366" s="470">
        <v>4359</v>
      </c>
      <c r="I4366" s="455">
        <f t="shared" ca="1" si="170"/>
        <v>-31772894735310.094</v>
      </c>
      <c r="J4366" s="455">
        <f t="array" ref="J4366">IFERROR(INDEX('Retirement Calculator'!K:K,MATCH('Lorri 401b'!N4366,'Retirement Calculator'!A:A,0),0),0)</f>
        <v>0</v>
      </c>
      <c r="K4366" s="455">
        <f t="shared" ca="1" si="168"/>
        <v>-132387061397.12541</v>
      </c>
      <c r="L4366" s="455">
        <f t="shared" ca="1" si="169"/>
        <v>-31905281796707.219</v>
      </c>
      <c r="M4366" s="471">
        <f t="shared" si="171"/>
        <v>0.05</v>
      </c>
      <c r="N4366" s="475">
        <f t="shared" si="172"/>
        <v>183931</v>
      </c>
    </row>
    <row r="4367" spans="7:14" ht="11.25" customHeight="1" x14ac:dyDescent="0.3">
      <c r="G4367" s="470"/>
      <c r="H4367" s="470">
        <v>4360</v>
      </c>
      <c r="I4367" s="455">
        <f t="shared" ca="1" si="170"/>
        <v>-31905281796707.219</v>
      </c>
      <c r="J4367" s="455">
        <f t="array" ref="J4367">IFERROR(INDEX('Retirement Calculator'!K:K,MATCH('Lorri 401b'!N4367,'Retirement Calculator'!A:A,0),0),0)</f>
        <v>0</v>
      </c>
      <c r="K4367" s="455">
        <f t="shared" ca="1" si="168"/>
        <v>-132938674152.94675</v>
      </c>
      <c r="L4367" s="455">
        <f t="shared" ca="1" si="169"/>
        <v>-32038220470860.164</v>
      </c>
      <c r="M4367" s="471">
        <f t="shared" si="171"/>
        <v>0.05</v>
      </c>
      <c r="N4367" s="475">
        <f t="shared" si="172"/>
        <v>183962</v>
      </c>
    </row>
    <row r="4368" spans="7:14" ht="11.25" customHeight="1" x14ac:dyDescent="0.3">
      <c r="G4368" s="470"/>
      <c r="H4368" s="470">
        <v>4361</v>
      </c>
      <c r="I4368" s="455">
        <f t="shared" ca="1" si="170"/>
        <v>-32038220470860.164</v>
      </c>
      <c r="J4368" s="455">
        <f t="array" ref="J4368">IFERROR(INDEX('Retirement Calculator'!K:K,MATCH('Lorri 401b'!N4368,'Retirement Calculator'!A:A,0),0),0)</f>
        <v>0</v>
      </c>
      <c r="K4368" s="455">
        <f t="shared" ca="1" si="168"/>
        <v>-133492585295.25069</v>
      </c>
      <c r="L4368" s="455">
        <f t="shared" ca="1" si="169"/>
        <v>-32171713056155.414</v>
      </c>
      <c r="M4368" s="471">
        <f t="shared" si="171"/>
        <v>0.05</v>
      </c>
      <c r="N4368" s="475">
        <f t="shared" si="172"/>
        <v>183992</v>
      </c>
    </row>
    <row r="4369" spans="7:14" ht="11.25" customHeight="1" x14ac:dyDescent="0.3">
      <c r="G4369" s="470"/>
      <c r="H4369" s="470">
        <v>4362</v>
      </c>
      <c r="I4369" s="455">
        <f t="shared" ca="1" si="170"/>
        <v>-32171713056155.414</v>
      </c>
      <c r="J4369" s="455">
        <f t="array" ref="J4369">IFERROR(INDEX('Retirement Calculator'!K:K,MATCH('Lorri 401b'!N4369,'Retirement Calculator'!A:A,0),0),0)</f>
        <v>0</v>
      </c>
      <c r="K4369" s="455">
        <f t="shared" ca="1" si="168"/>
        <v>-134048804400.64754</v>
      </c>
      <c r="L4369" s="455">
        <f t="shared" ca="1" si="169"/>
        <v>-32305761860556.063</v>
      </c>
      <c r="M4369" s="471">
        <f t="shared" si="171"/>
        <v>0.05</v>
      </c>
      <c r="N4369" s="475">
        <f t="shared" si="172"/>
        <v>184023</v>
      </c>
    </row>
    <row r="4370" spans="7:14" ht="11.25" customHeight="1" x14ac:dyDescent="0.3">
      <c r="G4370" s="470"/>
      <c r="H4370" s="470">
        <v>4363</v>
      </c>
      <c r="I4370" s="455">
        <f t="shared" ca="1" si="170"/>
        <v>-32305761860556.063</v>
      </c>
      <c r="J4370" s="455">
        <f t="array" ref="J4370">IFERROR(INDEX('Retirement Calculator'!K:K,MATCH('Lorri 401b'!N4370,'Retirement Calculator'!A:A,0),0),0)</f>
        <v>0</v>
      </c>
      <c r="K4370" s="455">
        <f t="shared" ca="1" si="168"/>
        <v>-134607341085.65024</v>
      </c>
      <c r="L4370" s="455">
        <f t="shared" ca="1" si="169"/>
        <v>-32440369201641.711</v>
      </c>
      <c r="M4370" s="471">
        <f t="shared" si="171"/>
        <v>0.05</v>
      </c>
      <c r="N4370" s="475">
        <f t="shared" si="172"/>
        <v>184053</v>
      </c>
    </row>
    <row r="4371" spans="7:14" ht="11.25" customHeight="1" x14ac:dyDescent="0.3">
      <c r="G4371" s="470"/>
      <c r="H4371" s="470">
        <v>4364</v>
      </c>
      <c r="I4371" s="455">
        <f t="shared" ca="1" si="170"/>
        <v>-32440369201641.711</v>
      </c>
      <c r="J4371" s="455">
        <f t="array" ref="J4371">IFERROR(INDEX('Retirement Calculator'!K:K,MATCH('Lorri 401b'!N4371,'Retirement Calculator'!A:A,0),0),0)</f>
        <v>0</v>
      </c>
      <c r="K4371" s="455">
        <f t="shared" ca="1" si="168"/>
        <v>-135168205006.84045</v>
      </c>
      <c r="L4371" s="455">
        <f t="shared" ca="1" si="169"/>
        <v>-32575537406648.551</v>
      </c>
      <c r="M4371" s="471">
        <f t="shared" si="171"/>
        <v>0.05</v>
      </c>
      <c r="N4371" s="475">
        <f t="shared" si="172"/>
        <v>184084</v>
      </c>
    </row>
    <row r="4372" spans="7:14" ht="11.25" customHeight="1" x14ac:dyDescent="0.3">
      <c r="G4372" s="470"/>
      <c r="H4372" s="470">
        <v>4365</v>
      </c>
      <c r="I4372" s="455">
        <f t="shared" ca="1" si="170"/>
        <v>-32575537406648.551</v>
      </c>
      <c r="J4372" s="455">
        <f t="array" ref="J4372">IFERROR(INDEX('Retirement Calculator'!K:K,MATCH('Lorri 401b'!N4372,'Retirement Calculator'!A:A,0),0),0)</f>
        <v>0</v>
      </c>
      <c r="K4372" s="455">
        <f t="shared" ca="1" si="168"/>
        <v>-135731405861.03561</v>
      </c>
      <c r="L4372" s="455">
        <f t="shared" ca="1" si="169"/>
        <v>-32711268812509.586</v>
      </c>
      <c r="M4372" s="471">
        <f t="shared" si="171"/>
        <v>0.05</v>
      </c>
      <c r="N4372" s="475">
        <f t="shared" si="172"/>
        <v>184115</v>
      </c>
    </row>
    <row r="4373" spans="7:14" ht="11.25" customHeight="1" x14ac:dyDescent="0.3">
      <c r="G4373" s="470"/>
      <c r="H4373" s="470">
        <v>4366</v>
      </c>
      <c r="I4373" s="455">
        <f t="shared" ca="1" si="170"/>
        <v>-32711268812509.586</v>
      </c>
      <c r="J4373" s="455">
        <f t="array" ref="J4373">IFERROR(INDEX('Retirement Calculator'!K:K,MATCH('Lorri 401b'!N4373,'Retirement Calculator'!A:A,0),0),0)</f>
        <v>0</v>
      </c>
      <c r="K4373" s="455">
        <f t="shared" ca="1" si="168"/>
        <v>-136296953385.4566</v>
      </c>
      <c r="L4373" s="455">
        <f t="shared" ca="1" si="169"/>
        <v>-32847565765895.043</v>
      </c>
      <c r="M4373" s="471">
        <f t="shared" si="171"/>
        <v>0.05</v>
      </c>
      <c r="N4373" s="475">
        <f t="shared" si="172"/>
        <v>184144</v>
      </c>
    </row>
    <row r="4374" spans="7:14" ht="11.25" customHeight="1" x14ac:dyDescent="0.3">
      <c r="G4374" s="470"/>
      <c r="H4374" s="470">
        <v>4367</v>
      </c>
      <c r="I4374" s="455">
        <f t="shared" ca="1" si="170"/>
        <v>-32847565765895.043</v>
      </c>
      <c r="J4374" s="455">
        <f t="array" ref="J4374">IFERROR(INDEX('Retirement Calculator'!K:K,MATCH('Lorri 401b'!N4374,'Retirement Calculator'!A:A,0),0),0)</f>
        <v>0</v>
      </c>
      <c r="K4374" s="455">
        <f t="shared" ca="1" si="168"/>
        <v>-136864857357.89603</v>
      </c>
      <c r="L4374" s="455">
        <f t="shared" ca="1" si="169"/>
        <v>-32984430623252.938</v>
      </c>
      <c r="M4374" s="471">
        <f t="shared" si="171"/>
        <v>0.05</v>
      </c>
      <c r="N4374" s="475">
        <f t="shared" si="172"/>
        <v>184175</v>
      </c>
    </row>
    <row r="4375" spans="7:14" ht="11.25" customHeight="1" x14ac:dyDescent="0.3">
      <c r="G4375" s="470"/>
      <c r="H4375" s="470">
        <v>4368</v>
      </c>
      <c r="I4375" s="455">
        <f t="shared" ca="1" si="170"/>
        <v>-32984430623252.938</v>
      </c>
      <c r="J4375" s="455">
        <f t="array" ref="J4375">IFERROR(INDEX('Retirement Calculator'!K:K,MATCH('Lorri 401b'!N4375,'Retirement Calculator'!A:A,0),0),0)</f>
        <v>0</v>
      </c>
      <c r="K4375" s="455">
        <f t="shared" ca="1" si="168"/>
        <v>-137435127596.88724</v>
      </c>
      <c r="L4375" s="455">
        <f t="shared" ca="1" si="169"/>
        <v>-33121865750849.824</v>
      </c>
      <c r="M4375" s="471">
        <f t="shared" si="171"/>
        <v>0.05</v>
      </c>
      <c r="N4375" s="475">
        <f t="shared" si="172"/>
        <v>184205</v>
      </c>
    </row>
    <row r="4376" spans="7:14" ht="11.25" customHeight="1" x14ac:dyDescent="0.3">
      <c r="G4376" s="470"/>
      <c r="H4376" s="470">
        <v>4369</v>
      </c>
      <c r="I4376" s="455">
        <f t="shared" ca="1" si="170"/>
        <v>-33121865750849.824</v>
      </c>
      <c r="J4376" s="455">
        <f t="array" ref="J4376">IFERROR(INDEX('Retirement Calculator'!K:K,MATCH('Lorri 401b'!N4376,'Retirement Calculator'!A:A,0),0),0)</f>
        <v>0</v>
      </c>
      <c r="K4376" s="455">
        <f t="shared" ca="1" si="168"/>
        <v>-138007773961.87427</v>
      </c>
      <c r="L4376" s="455">
        <f t="shared" ca="1" si="169"/>
        <v>-33259873524811.699</v>
      </c>
      <c r="M4376" s="471">
        <f t="shared" si="171"/>
        <v>0.05</v>
      </c>
      <c r="N4376" s="475">
        <f t="shared" si="172"/>
        <v>184236</v>
      </c>
    </row>
    <row r="4377" spans="7:14" ht="11.25" customHeight="1" x14ac:dyDescent="0.3">
      <c r="G4377" s="470"/>
      <c r="H4377" s="470">
        <v>4370</v>
      </c>
      <c r="I4377" s="455">
        <f t="shared" ca="1" si="170"/>
        <v>-33259873524811.699</v>
      </c>
      <c r="J4377" s="455">
        <f t="array" ref="J4377">IFERROR(INDEX('Retirement Calculator'!K:K,MATCH('Lorri 401b'!N4377,'Retirement Calculator'!A:A,0),0),0)</f>
        <v>0</v>
      </c>
      <c r="K4377" s="455">
        <f t="shared" ca="1" si="168"/>
        <v>-138582806353.38208</v>
      </c>
      <c r="L4377" s="455">
        <f t="shared" ca="1" si="169"/>
        <v>-33398456331165.082</v>
      </c>
      <c r="M4377" s="471">
        <f t="shared" si="171"/>
        <v>0.05</v>
      </c>
      <c r="N4377" s="475">
        <f t="shared" si="172"/>
        <v>184266</v>
      </c>
    </row>
    <row r="4378" spans="7:14" ht="11.25" customHeight="1" x14ac:dyDescent="0.3">
      <c r="G4378" s="470"/>
      <c r="H4378" s="470">
        <v>4371</v>
      </c>
      <c r="I4378" s="455">
        <f t="shared" ca="1" si="170"/>
        <v>-33398456331165.082</v>
      </c>
      <c r="J4378" s="455">
        <f t="array" ref="J4378">IFERROR(INDEX('Retirement Calculator'!K:K,MATCH('Lorri 401b'!N4378,'Retirement Calculator'!A:A,0),0),0)</f>
        <v>0</v>
      </c>
      <c r="K4378" s="455">
        <f t="shared" ca="1" si="168"/>
        <v>-139160234713.18787</v>
      </c>
      <c r="L4378" s="455">
        <f t="shared" ca="1" si="169"/>
        <v>-33537616565878.27</v>
      </c>
      <c r="M4378" s="471">
        <f t="shared" si="171"/>
        <v>0.05</v>
      </c>
      <c r="N4378" s="475">
        <f t="shared" si="172"/>
        <v>184297</v>
      </c>
    </row>
    <row r="4379" spans="7:14" ht="11.25" customHeight="1" x14ac:dyDescent="0.3">
      <c r="G4379" s="470"/>
      <c r="H4379" s="470">
        <v>4372</v>
      </c>
      <c r="I4379" s="455">
        <f t="shared" ca="1" si="170"/>
        <v>-33537616565878.27</v>
      </c>
      <c r="J4379" s="455">
        <f t="array" ref="J4379">IFERROR(INDEX('Retirement Calculator'!K:K,MATCH('Lorri 401b'!N4379,'Retirement Calculator'!A:A,0),0),0)</f>
        <v>0</v>
      </c>
      <c r="K4379" s="455">
        <f t="shared" ca="1" si="168"/>
        <v>-139740069024.4928</v>
      </c>
      <c r="L4379" s="455">
        <f t="shared" ca="1" si="169"/>
        <v>-33677356634902.762</v>
      </c>
      <c r="M4379" s="471">
        <f t="shared" si="171"/>
        <v>0.05</v>
      </c>
      <c r="N4379" s="475">
        <f t="shared" si="172"/>
        <v>184328</v>
      </c>
    </row>
    <row r="4380" spans="7:14" ht="11.25" customHeight="1" x14ac:dyDescent="0.3">
      <c r="G4380" s="470"/>
      <c r="H4380" s="470">
        <v>4373</v>
      </c>
      <c r="I4380" s="455">
        <f t="shared" ca="1" si="170"/>
        <v>-33677356634902.762</v>
      </c>
      <c r="J4380" s="455">
        <f t="array" ref="J4380">IFERROR(INDEX('Retirement Calculator'!K:K,MATCH('Lorri 401b'!N4380,'Retirement Calculator'!A:A,0),0),0)</f>
        <v>0</v>
      </c>
      <c r="K4380" s="455">
        <f t="shared" ca="1" si="168"/>
        <v>-140322319312.09485</v>
      </c>
      <c r="L4380" s="455">
        <f t="shared" ca="1" si="169"/>
        <v>-33817678954214.855</v>
      </c>
      <c r="M4380" s="471">
        <f t="shared" si="171"/>
        <v>0.05</v>
      </c>
      <c r="N4380" s="475">
        <f t="shared" si="172"/>
        <v>184358</v>
      </c>
    </row>
    <row r="4381" spans="7:14" ht="11.25" customHeight="1" x14ac:dyDescent="0.3">
      <c r="G4381" s="470"/>
      <c r="H4381" s="470">
        <v>4374</v>
      </c>
      <c r="I4381" s="455">
        <f t="shared" ca="1" si="170"/>
        <v>-33817678954214.855</v>
      </c>
      <c r="J4381" s="455">
        <f t="array" ref="J4381">IFERROR(INDEX('Retirement Calculator'!K:K,MATCH('Lorri 401b'!N4381,'Retirement Calculator'!A:A,0),0),0)</f>
        <v>0</v>
      </c>
      <c r="K4381" s="455">
        <f t="shared" ca="1" si="168"/>
        <v>-140906995642.56192</v>
      </c>
      <c r="L4381" s="455">
        <f t="shared" ca="1" si="169"/>
        <v>-33958585949857.418</v>
      </c>
      <c r="M4381" s="471">
        <f t="shared" si="171"/>
        <v>0.05</v>
      </c>
      <c r="N4381" s="475">
        <f t="shared" si="172"/>
        <v>184389</v>
      </c>
    </row>
    <row r="4382" spans="7:14" ht="11.25" customHeight="1" x14ac:dyDescent="0.3">
      <c r="G4382" s="470"/>
      <c r="H4382" s="470">
        <v>4375</v>
      </c>
      <c r="I4382" s="455">
        <f t="shared" ca="1" si="170"/>
        <v>-33958585949857.418</v>
      </c>
      <c r="J4382" s="455">
        <f t="array" ref="J4382">IFERROR(INDEX('Retirement Calculator'!K:K,MATCH('Lorri 401b'!N4382,'Retirement Calculator'!A:A,0),0),0)</f>
        <v>0</v>
      </c>
      <c r="K4382" s="455">
        <f t="shared" ca="1" si="168"/>
        <v>-141494108124.40591</v>
      </c>
      <c r="L4382" s="455">
        <f t="shared" ca="1" si="169"/>
        <v>-34100080057981.824</v>
      </c>
      <c r="M4382" s="471">
        <f t="shared" si="171"/>
        <v>0.05</v>
      </c>
      <c r="N4382" s="475">
        <f t="shared" si="172"/>
        <v>184419</v>
      </c>
    </row>
    <row r="4383" spans="7:14" ht="11.25" customHeight="1" x14ac:dyDescent="0.3">
      <c r="G4383" s="470"/>
      <c r="H4383" s="470">
        <v>4376</v>
      </c>
      <c r="I4383" s="455">
        <f t="shared" ca="1" si="170"/>
        <v>-34100080057981.824</v>
      </c>
      <c r="J4383" s="455">
        <f t="array" ref="J4383">IFERROR(INDEX('Retirement Calculator'!K:K,MATCH('Lorri 401b'!N4383,'Retirement Calculator'!A:A,0),0),0)</f>
        <v>0</v>
      </c>
      <c r="K4383" s="455">
        <f t="shared" ca="1" si="168"/>
        <v>-142083666908.2576</v>
      </c>
      <c r="L4383" s="455">
        <f t="shared" ca="1" si="169"/>
        <v>-34242163724890.082</v>
      </c>
      <c r="M4383" s="471">
        <f t="shared" si="171"/>
        <v>0.05</v>
      </c>
      <c r="N4383" s="475">
        <f t="shared" si="172"/>
        <v>184450</v>
      </c>
    </row>
    <row r="4384" spans="7:14" ht="11.25" customHeight="1" x14ac:dyDescent="0.3">
      <c r="G4384" s="470"/>
      <c r="H4384" s="470">
        <v>4377</v>
      </c>
      <c r="I4384" s="455">
        <f t="shared" ca="1" si="170"/>
        <v>-34242163724890.082</v>
      </c>
      <c r="J4384" s="455">
        <f t="array" ref="J4384">IFERROR(INDEX('Retirement Calculator'!K:K,MATCH('Lorri 401b'!N4384,'Retirement Calculator'!A:A,0),0),0)</f>
        <v>0</v>
      </c>
      <c r="K4384" s="455">
        <f t="shared" ca="1" si="168"/>
        <v>-142675682187.04199</v>
      </c>
      <c r="L4384" s="455">
        <f t="shared" ca="1" si="169"/>
        <v>-34384839407077.125</v>
      </c>
      <c r="M4384" s="471">
        <f t="shared" si="171"/>
        <v>0.05</v>
      </c>
      <c r="N4384" s="475">
        <f t="shared" si="172"/>
        <v>184481</v>
      </c>
    </row>
    <row r="4385" spans="7:14" ht="11.25" customHeight="1" x14ac:dyDescent="0.3">
      <c r="G4385" s="470"/>
      <c r="H4385" s="470">
        <v>4378</v>
      </c>
      <c r="I4385" s="455">
        <f t="shared" ca="1" si="170"/>
        <v>-34384839407077.125</v>
      </c>
      <c r="J4385" s="455">
        <f t="array" ref="J4385">IFERROR(INDEX('Retirement Calculator'!K:K,MATCH('Lorri 401b'!N4385,'Retirement Calculator'!A:A,0),0),0)</f>
        <v>0</v>
      </c>
      <c r="K4385" s="455">
        <f t="shared" ca="1" si="168"/>
        <v>-143270164196.15469</v>
      </c>
      <c r="L4385" s="455">
        <f t="shared" ca="1" si="169"/>
        <v>-34528109571273.281</v>
      </c>
      <c r="M4385" s="471">
        <f t="shared" si="171"/>
        <v>0.05</v>
      </c>
      <c r="N4385" s="475">
        <f t="shared" si="172"/>
        <v>184509</v>
      </c>
    </row>
    <row r="4386" spans="7:14" ht="11.25" customHeight="1" x14ac:dyDescent="0.3">
      <c r="G4386" s="470"/>
      <c r="H4386" s="470">
        <v>4379</v>
      </c>
      <c r="I4386" s="455">
        <f t="shared" ca="1" si="170"/>
        <v>-34528109571273.281</v>
      </c>
      <c r="J4386" s="455">
        <f t="array" ref="J4386">IFERROR(INDEX('Retirement Calculator'!K:K,MATCH('Lorri 401b'!N4386,'Retirement Calculator'!A:A,0),0),0)</f>
        <v>0</v>
      </c>
      <c r="K4386" s="455">
        <f t="shared" ca="1" si="168"/>
        <v>-143867123213.63867</v>
      </c>
      <c r="L4386" s="455">
        <f t="shared" ca="1" si="169"/>
        <v>-34671976694486.922</v>
      </c>
      <c r="M4386" s="471">
        <f t="shared" si="171"/>
        <v>0.05</v>
      </c>
      <c r="N4386" s="475">
        <f t="shared" si="172"/>
        <v>184540</v>
      </c>
    </row>
    <row r="4387" spans="7:14" ht="11.25" customHeight="1" x14ac:dyDescent="0.3">
      <c r="G4387" s="470"/>
      <c r="H4387" s="470">
        <v>4380</v>
      </c>
      <c r="I4387" s="455">
        <f t="shared" ca="1" si="170"/>
        <v>-34671976694486.922</v>
      </c>
      <c r="J4387" s="455">
        <f t="array" ref="J4387">IFERROR(INDEX('Retirement Calculator'!K:K,MATCH('Lorri 401b'!N4387,'Retirement Calculator'!A:A,0),0),0)</f>
        <v>0</v>
      </c>
      <c r="K4387" s="455">
        <f t="shared" ca="1" si="168"/>
        <v>-144466569560.36218</v>
      </c>
      <c r="L4387" s="455">
        <f t="shared" ca="1" si="169"/>
        <v>-34816443264047.285</v>
      </c>
      <c r="M4387" s="471">
        <f t="shared" si="171"/>
        <v>0.05</v>
      </c>
      <c r="N4387" s="475">
        <f t="shared" si="172"/>
        <v>184570</v>
      </c>
    </row>
    <row r="4388" spans="7:14" ht="11.25" customHeight="1" x14ac:dyDescent="0.3">
      <c r="G4388" s="470"/>
      <c r="H4388" s="470">
        <v>4381</v>
      </c>
      <c r="I4388" s="455">
        <f t="shared" ca="1" si="170"/>
        <v>-34816443264047.285</v>
      </c>
      <c r="J4388" s="455">
        <f t="array" ref="J4388">IFERROR(INDEX('Retirement Calculator'!K:K,MATCH('Lorri 401b'!N4388,'Retirement Calculator'!A:A,0),0),0)</f>
        <v>0</v>
      </c>
      <c r="K4388" s="455">
        <f t="shared" ca="1" si="168"/>
        <v>-145068513600.19702</v>
      </c>
      <c r="L4388" s="455">
        <f t="shared" ca="1" si="169"/>
        <v>-34961511777647.48</v>
      </c>
      <c r="M4388" s="471">
        <f t="shared" si="171"/>
        <v>0.05</v>
      </c>
      <c r="N4388" s="475">
        <f t="shared" si="172"/>
        <v>184601</v>
      </c>
    </row>
    <row r="4389" spans="7:14" ht="11.25" customHeight="1" x14ac:dyDescent="0.3">
      <c r="G4389" s="470"/>
      <c r="H4389" s="470">
        <v>4382</v>
      </c>
      <c r="I4389" s="455">
        <f t="shared" ca="1" si="170"/>
        <v>-34961511777647.48</v>
      </c>
      <c r="J4389" s="455">
        <f t="array" ref="J4389">IFERROR(INDEX('Retirement Calculator'!K:K,MATCH('Lorri 401b'!N4389,'Retirement Calculator'!A:A,0),0),0)</f>
        <v>0</v>
      </c>
      <c r="K4389" s="455">
        <f t="shared" ca="1" si="168"/>
        <v>-145672965740.19785</v>
      </c>
      <c r="L4389" s="455">
        <f t="shared" ca="1" si="169"/>
        <v>-35107184743387.68</v>
      </c>
      <c r="M4389" s="471">
        <f t="shared" si="171"/>
        <v>0.05</v>
      </c>
      <c r="N4389" s="475">
        <f t="shared" si="172"/>
        <v>184631</v>
      </c>
    </row>
    <row r="4390" spans="7:14" ht="11.25" customHeight="1" x14ac:dyDescent="0.3">
      <c r="G4390" s="470"/>
      <c r="H4390" s="470">
        <v>4383</v>
      </c>
      <c r="I4390" s="455">
        <f t="shared" ca="1" si="170"/>
        <v>-35107184743387.68</v>
      </c>
      <c r="J4390" s="455">
        <f t="array" ref="J4390">IFERROR(INDEX('Retirement Calculator'!K:K,MATCH('Lorri 401b'!N4390,'Retirement Calculator'!A:A,0),0),0)</f>
        <v>0</v>
      </c>
      <c r="K4390" s="455">
        <f t="shared" ca="1" si="168"/>
        <v>-146279936430.78198</v>
      </c>
      <c r="L4390" s="455">
        <f t="shared" ca="1" si="169"/>
        <v>-35253464679818.461</v>
      </c>
      <c r="M4390" s="471">
        <f t="shared" si="171"/>
        <v>0.05</v>
      </c>
      <c r="N4390" s="475">
        <f t="shared" si="172"/>
        <v>184662</v>
      </c>
    </row>
    <row r="4391" spans="7:14" ht="11.25" customHeight="1" x14ac:dyDescent="0.3">
      <c r="G4391" s="470"/>
      <c r="H4391" s="470">
        <v>4384</v>
      </c>
      <c r="I4391" s="455">
        <f t="shared" ca="1" si="170"/>
        <v>-35253464679818.461</v>
      </c>
      <c r="J4391" s="455">
        <f t="array" ref="J4391">IFERROR(INDEX('Retirement Calculator'!K:K,MATCH('Lorri 401b'!N4391,'Retirement Calculator'!A:A,0),0),0)</f>
        <v>0</v>
      </c>
      <c r="K4391" s="455">
        <f t="shared" ca="1" si="168"/>
        <v>-146889436165.91025</v>
      </c>
      <c r="L4391" s="455">
        <f t="shared" ca="1" si="169"/>
        <v>-35400354115984.375</v>
      </c>
      <c r="M4391" s="471">
        <f t="shared" si="171"/>
        <v>0.05</v>
      </c>
      <c r="N4391" s="475">
        <f t="shared" si="172"/>
        <v>184693</v>
      </c>
    </row>
    <row r="4392" spans="7:14" ht="11.25" customHeight="1" x14ac:dyDescent="0.3">
      <c r="G4392" s="470"/>
      <c r="H4392" s="470">
        <v>4385</v>
      </c>
      <c r="I4392" s="455">
        <f t="shared" ca="1" si="170"/>
        <v>-35400354115984.375</v>
      </c>
      <c r="J4392" s="455">
        <f t="array" ref="J4392">IFERROR(INDEX('Retirement Calculator'!K:K,MATCH('Lorri 401b'!N4392,'Retirement Calculator'!A:A,0),0),0)</f>
        <v>0</v>
      </c>
      <c r="K4392" s="455">
        <f t="shared" ca="1" si="168"/>
        <v>-147501475483.26822</v>
      </c>
      <c r="L4392" s="455">
        <f t="shared" ca="1" si="169"/>
        <v>-35547855591467.641</v>
      </c>
      <c r="M4392" s="471">
        <f t="shared" si="171"/>
        <v>0.05</v>
      </c>
      <c r="N4392" s="475">
        <f t="shared" si="172"/>
        <v>184723</v>
      </c>
    </row>
    <row r="4393" spans="7:14" ht="11.25" customHeight="1" x14ac:dyDescent="0.3">
      <c r="G4393" s="470"/>
      <c r="H4393" s="470">
        <v>4386</v>
      </c>
      <c r="I4393" s="455">
        <f t="shared" ca="1" si="170"/>
        <v>-35547855591467.641</v>
      </c>
      <c r="J4393" s="455">
        <f t="array" ref="J4393">IFERROR(INDEX('Retirement Calculator'!K:K,MATCH('Lorri 401b'!N4393,'Retirement Calculator'!A:A,0),0),0)</f>
        <v>0</v>
      </c>
      <c r="K4393" s="455">
        <f t="shared" ca="1" si="168"/>
        <v>-148116064964.44849</v>
      </c>
      <c r="L4393" s="455">
        <f t="shared" ca="1" si="169"/>
        <v>-35695971656432.086</v>
      </c>
      <c r="M4393" s="471">
        <f t="shared" si="171"/>
        <v>0.05</v>
      </c>
      <c r="N4393" s="475">
        <f t="shared" si="172"/>
        <v>184754</v>
      </c>
    </row>
    <row r="4394" spans="7:14" ht="11.25" customHeight="1" x14ac:dyDescent="0.3">
      <c r="G4394" s="470"/>
      <c r="H4394" s="470">
        <v>4387</v>
      </c>
      <c r="I4394" s="455">
        <f t="shared" ca="1" si="170"/>
        <v>-35695971656432.086</v>
      </c>
      <c r="J4394" s="455">
        <f t="array" ref="J4394">IFERROR(INDEX('Retirement Calculator'!K:K,MATCH('Lorri 401b'!N4394,'Retirement Calculator'!A:A,0),0),0)</f>
        <v>0</v>
      </c>
      <c r="K4394" s="455">
        <f t="shared" ca="1" si="168"/>
        <v>-148733215235.1337</v>
      </c>
      <c r="L4394" s="455">
        <f t="shared" ca="1" si="169"/>
        <v>-35844704871667.219</v>
      </c>
      <c r="M4394" s="471">
        <f t="shared" si="171"/>
        <v>0.05</v>
      </c>
      <c r="N4394" s="475">
        <f t="shared" si="172"/>
        <v>184784</v>
      </c>
    </row>
    <row r="4395" spans="7:14" ht="11.25" customHeight="1" x14ac:dyDescent="0.3">
      <c r="G4395" s="470"/>
      <c r="H4395" s="470">
        <v>4388</v>
      </c>
      <c r="I4395" s="455">
        <f t="shared" ca="1" si="170"/>
        <v>-35844704871667.219</v>
      </c>
      <c r="J4395" s="455">
        <f t="array" ref="J4395">IFERROR(INDEX('Retirement Calculator'!K:K,MATCH('Lorri 401b'!N4395,'Retirement Calculator'!A:A,0),0),0)</f>
        <v>0</v>
      </c>
      <c r="K4395" s="455">
        <f t="shared" ca="1" si="168"/>
        <v>-149352936965.28009</v>
      </c>
      <c r="L4395" s="455">
        <f t="shared" ca="1" si="169"/>
        <v>-35994057808632.5</v>
      </c>
      <c r="M4395" s="471">
        <f t="shared" si="171"/>
        <v>0.05</v>
      </c>
      <c r="N4395" s="475">
        <f t="shared" si="172"/>
        <v>184815</v>
      </c>
    </row>
    <row r="4396" spans="7:14" ht="11.25" customHeight="1" x14ac:dyDescent="0.3">
      <c r="G4396" s="470"/>
      <c r="H4396" s="470">
        <v>4389</v>
      </c>
      <c r="I4396" s="455">
        <f t="shared" ca="1" si="170"/>
        <v>-35994057808632.5</v>
      </c>
      <c r="J4396" s="455">
        <f t="array" ref="J4396">IFERROR(INDEX('Retirement Calculator'!K:K,MATCH('Lorri 401b'!N4396,'Retirement Calculator'!A:A,0),0),0)</f>
        <v>0</v>
      </c>
      <c r="K4396" s="455">
        <f t="shared" ca="1" si="168"/>
        <v>-149975240869.30209</v>
      </c>
      <c r="L4396" s="455">
        <f t="shared" ca="1" si="169"/>
        <v>-36144033049501.805</v>
      </c>
      <c r="M4396" s="471">
        <f t="shared" si="171"/>
        <v>0.05</v>
      </c>
      <c r="N4396" s="475">
        <f t="shared" si="172"/>
        <v>184846</v>
      </c>
    </row>
    <row r="4397" spans="7:14" ht="11.25" customHeight="1" x14ac:dyDescent="0.3">
      <c r="G4397" s="470"/>
      <c r="H4397" s="470">
        <v>4390</v>
      </c>
      <c r="I4397" s="455">
        <f t="shared" ca="1" si="170"/>
        <v>-36144033049501.805</v>
      </c>
      <c r="J4397" s="455">
        <f t="array" ref="J4397">IFERROR(INDEX('Retirement Calculator'!K:K,MATCH('Lorri 401b'!N4397,'Retirement Calculator'!A:A,0),0),0)</f>
        <v>0</v>
      </c>
      <c r="K4397" s="455">
        <f t="shared" ca="1" si="168"/>
        <v>-150600137706.25751</v>
      </c>
      <c r="L4397" s="455">
        <f t="shared" ca="1" si="169"/>
        <v>-36294633187208.063</v>
      </c>
      <c r="M4397" s="471">
        <f t="shared" si="171"/>
        <v>0.05</v>
      </c>
      <c r="N4397" s="475">
        <f t="shared" si="172"/>
        <v>184874</v>
      </c>
    </row>
    <row r="4398" spans="7:14" ht="11.25" customHeight="1" x14ac:dyDescent="0.3">
      <c r="G4398" s="470"/>
      <c r="H4398" s="470">
        <v>4391</v>
      </c>
      <c r="I4398" s="455">
        <f t="shared" ca="1" si="170"/>
        <v>-36294633187208.063</v>
      </c>
      <c r="J4398" s="455">
        <f t="array" ref="J4398">IFERROR(INDEX('Retirement Calculator'!K:K,MATCH('Lorri 401b'!N4398,'Retirement Calculator'!A:A,0),0),0)</f>
        <v>0</v>
      </c>
      <c r="K4398" s="455">
        <f t="shared" ca="1" si="168"/>
        <v>-151227638280.0336</v>
      </c>
      <c r="L4398" s="455">
        <f t="shared" ca="1" si="169"/>
        <v>-36445860825488.094</v>
      </c>
      <c r="M4398" s="471">
        <f t="shared" si="171"/>
        <v>0.05</v>
      </c>
      <c r="N4398" s="475">
        <f t="shared" si="172"/>
        <v>184905</v>
      </c>
    </row>
    <row r="4399" spans="7:14" ht="11.25" customHeight="1" x14ac:dyDescent="0.3">
      <c r="G4399" s="470"/>
      <c r="H4399" s="470">
        <v>4392</v>
      </c>
      <c r="I4399" s="455">
        <f t="shared" ca="1" si="170"/>
        <v>-36445860825488.094</v>
      </c>
      <c r="J4399" s="455">
        <f t="array" ref="J4399">IFERROR(INDEX('Retirement Calculator'!K:K,MATCH('Lorri 401b'!N4399,'Retirement Calculator'!A:A,0),0),0)</f>
        <v>0</v>
      </c>
      <c r="K4399" s="455">
        <f t="shared" ca="1" si="168"/>
        <v>-151857753439.53372</v>
      </c>
      <c r="L4399" s="455">
        <f t="shared" ca="1" si="169"/>
        <v>-36597718578927.625</v>
      </c>
      <c r="M4399" s="471">
        <f t="shared" si="171"/>
        <v>0.05</v>
      </c>
      <c r="N4399" s="475">
        <f t="shared" si="172"/>
        <v>184935</v>
      </c>
    </row>
    <row r="4400" spans="7:14" ht="11.25" customHeight="1" x14ac:dyDescent="0.3">
      <c r="G4400" s="470"/>
      <c r="H4400" s="470">
        <v>4393</v>
      </c>
      <c r="I4400" s="455">
        <f t="shared" ca="1" si="170"/>
        <v>-36597718578927.625</v>
      </c>
      <c r="J4400" s="455">
        <f t="array" ref="J4400">IFERROR(INDEX('Retirement Calculator'!K:K,MATCH('Lorri 401b'!N4400,'Retirement Calculator'!A:A,0),0),0)</f>
        <v>0</v>
      </c>
      <c r="K4400" s="455">
        <f t="shared" ca="1" si="168"/>
        <v>-152490494078.86511</v>
      </c>
      <c r="L4400" s="455">
        <f t="shared" ca="1" si="169"/>
        <v>-36750209073006.492</v>
      </c>
      <c r="M4400" s="471">
        <f t="shared" si="171"/>
        <v>0.05</v>
      </c>
      <c r="N4400" s="475">
        <f t="shared" si="172"/>
        <v>184966</v>
      </c>
    </row>
    <row r="4401" spans="7:14" ht="11.25" customHeight="1" x14ac:dyDescent="0.3">
      <c r="G4401" s="470"/>
      <c r="H4401" s="470">
        <v>4394</v>
      </c>
      <c r="I4401" s="455">
        <f t="shared" ca="1" si="170"/>
        <v>-36750209073006.492</v>
      </c>
      <c r="J4401" s="455">
        <f t="array" ref="J4401">IFERROR(INDEX('Retirement Calculator'!K:K,MATCH('Lorri 401b'!N4401,'Retirement Calculator'!A:A,0),0),0)</f>
        <v>0</v>
      </c>
      <c r="K4401" s="455">
        <f t="shared" ca="1" si="168"/>
        <v>-153125871137.52704</v>
      </c>
      <c r="L4401" s="455">
        <f t="shared" ca="1" si="169"/>
        <v>-36903334944144.016</v>
      </c>
      <c r="M4401" s="471">
        <f t="shared" si="171"/>
        <v>0.05</v>
      </c>
      <c r="N4401" s="475">
        <f t="shared" si="172"/>
        <v>184996</v>
      </c>
    </row>
    <row r="4402" spans="7:14" ht="11.25" customHeight="1" x14ac:dyDescent="0.3">
      <c r="G4402" s="470"/>
      <c r="H4402" s="470">
        <v>4395</v>
      </c>
      <c r="I4402" s="455">
        <f t="shared" ca="1" si="170"/>
        <v>-36903334944144.016</v>
      </c>
      <c r="J4402" s="455">
        <f t="array" ref="J4402">IFERROR(INDEX('Retirement Calculator'!K:K,MATCH('Lorri 401b'!N4402,'Retirement Calculator'!A:A,0),0),0)</f>
        <v>0</v>
      </c>
      <c r="K4402" s="455">
        <f t="shared" ca="1" si="168"/>
        <v>-153763895600.60007</v>
      </c>
      <c r="L4402" s="455">
        <f t="shared" ca="1" si="169"/>
        <v>-37057098839744.617</v>
      </c>
      <c r="M4402" s="471">
        <f t="shared" si="171"/>
        <v>0.05</v>
      </c>
      <c r="N4402" s="475">
        <f t="shared" si="172"/>
        <v>185027</v>
      </c>
    </row>
    <row r="4403" spans="7:14" ht="11.25" customHeight="1" x14ac:dyDescent="0.3">
      <c r="G4403" s="470"/>
      <c r="H4403" s="470">
        <v>4396</v>
      </c>
      <c r="I4403" s="455">
        <f t="shared" ca="1" si="170"/>
        <v>-37057098839744.617</v>
      </c>
      <c r="J4403" s="455">
        <f t="array" ref="J4403">IFERROR(INDEX('Retirement Calculator'!K:K,MATCH('Lorri 401b'!N4403,'Retirement Calculator'!A:A,0),0),0)</f>
        <v>0</v>
      </c>
      <c r="K4403" s="455">
        <f t="shared" ca="1" si="168"/>
        <v>-154404578498.93591</v>
      </c>
      <c r="L4403" s="455">
        <f t="shared" ca="1" si="169"/>
        <v>-37211503418243.555</v>
      </c>
      <c r="M4403" s="471">
        <f t="shared" si="171"/>
        <v>0.05</v>
      </c>
      <c r="N4403" s="475">
        <f t="shared" si="172"/>
        <v>185058</v>
      </c>
    </row>
    <row r="4404" spans="7:14" ht="11.25" customHeight="1" x14ac:dyDescent="0.3">
      <c r="G4404" s="470"/>
      <c r="H4404" s="470">
        <v>4397</v>
      </c>
      <c r="I4404" s="455">
        <f t="shared" ca="1" si="170"/>
        <v>-37211503418243.555</v>
      </c>
      <c r="J4404" s="455">
        <f t="array" ref="J4404">IFERROR(INDEX('Retirement Calculator'!K:K,MATCH('Lorri 401b'!N4404,'Retirement Calculator'!A:A,0),0),0)</f>
        <v>0</v>
      </c>
      <c r="K4404" s="455">
        <f t="shared" ca="1" si="168"/>
        <v>-155047930909.34814</v>
      </c>
      <c r="L4404" s="455">
        <f t="shared" ca="1" si="169"/>
        <v>-37366551349152.906</v>
      </c>
      <c r="M4404" s="471">
        <f t="shared" si="171"/>
        <v>0.05</v>
      </c>
      <c r="N4404" s="475">
        <f t="shared" si="172"/>
        <v>185088</v>
      </c>
    </row>
    <row r="4405" spans="7:14" ht="11.25" customHeight="1" x14ac:dyDescent="0.3">
      <c r="G4405" s="470"/>
      <c r="H4405" s="470">
        <v>4398</v>
      </c>
      <c r="I4405" s="455">
        <f t="shared" ca="1" si="170"/>
        <v>-37366551349152.906</v>
      </c>
      <c r="J4405" s="455">
        <f t="array" ref="J4405">IFERROR(INDEX('Retirement Calculator'!K:K,MATCH('Lorri 401b'!N4405,'Retirement Calculator'!A:A,0),0),0)</f>
        <v>0</v>
      </c>
      <c r="K4405" s="455">
        <f t="shared" ca="1" si="168"/>
        <v>-155693963954.80377</v>
      </c>
      <c r="L4405" s="455">
        <f t="shared" ca="1" si="169"/>
        <v>-37522245313107.711</v>
      </c>
      <c r="M4405" s="471">
        <f t="shared" si="171"/>
        <v>0.05</v>
      </c>
      <c r="N4405" s="475">
        <f t="shared" si="172"/>
        <v>185119</v>
      </c>
    </row>
    <row r="4406" spans="7:14" ht="11.25" customHeight="1" x14ac:dyDescent="0.3">
      <c r="G4406" s="470"/>
      <c r="H4406" s="470">
        <v>4399</v>
      </c>
      <c r="I4406" s="455">
        <f t="shared" ca="1" si="170"/>
        <v>-37522245313107.711</v>
      </c>
      <c r="J4406" s="455">
        <f t="array" ref="J4406">IFERROR(INDEX('Retirement Calculator'!K:K,MATCH('Lorri 401b'!N4406,'Retirement Calculator'!A:A,0),0),0)</f>
        <v>0</v>
      </c>
      <c r="K4406" s="455">
        <f t="shared" ca="1" si="168"/>
        <v>-156342688804.61545</v>
      </c>
      <c r="L4406" s="455">
        <f t="shared" ca="1" si="169"/>
        <v>-37678588001912.328</v>
      </c>
      <c r="M4406" s="471">
        <f t="shared" si="171"/>
        <v>0.05</v>
      </c>
      <c r="N4406" s="475">
        <f t="shared" si="172"/>
        <v>185149</v>
      </c>
    </row>
    <row r="4407" spans="7:14" ht="11.25" customHeight="1" x14ac:dyDescent="0.3">
      <c r="G4407" s="470"/>
      <c r="H4407" s="470">
        <v>4400</v>
      </c>
      <c r="I4407" s="455">
        <f t="shared" ca="1" si="170"/>
        <v>-37678588001912.328</v>
      </c>
      <c r="J4407" s="455">
        <f t="array" ref="J4407">IFERROR(INDEX('Retirement Calculator'!K:K,MATCH('Lorri 401b'!N4407,'Retirement Calculator'!A:A,0),0),0)</f>
        <v>0</v>
      </c>
      <c r="K4407" s="455">
        <f t="shared" ca="1" si="168"/>
        <v>-156994116674.6347</v>
      </c>
      <c r="L4407" s="455">
        <f t="shared" ca="1" si="169"/>
        <v>-37835582118586.961</v>
      </c>
      <c r="M4407" s="471">
        <f t="shared" si="171"/>
        <v>0.05</v>
      </c>
      <c r="N4407" s="475">
        <f t="shared" si="172"/>
        <v>185180</v>
      </c>
    </row>
    <row r="4408" spans="7:14" ht="11.25" customHeight="1" x14ac:dyDescent="0.3">
      <c r="G4408" s="470"/>
      <c r="H4408" s="470">
        <v>4401</v>
      </c>
      <c r="I4408" s="455">
        <f t="shared" ca="1" si="170"/>
        <v>-37835582118586.961</v>
      </c>
      <c r="J4408" s="455">
        <f t="array" ref="J4408">IFERROR(INDEX('Retirement Calculator'!K:K,MATCH('Lorri 401b'!N4408,'Retirement Calculator'!A:A,0),0),0)</f>
        <v>0</v>
      </c>
      <c r="K4408" s="455">
        <f t="shared" ca="1" si="168"/>
        <v>-157648258827.44568</v>
      </c>
      <c r="L4408" s="455">
        <f t="shared" ca="1" si="169"/>
        <v>-37993230377414.406</v>
      </c>
      <c r="M4408" s="471">
        <f t="shared" si="171"/>
        <v>0.05</v>
      </c>
      <c r="N4408" s="475">
        <f t="shared" si="172"/>
        <v>185211</v>
      </c>
    </row>
    <row r="4409" spans="7:14" ht="11.25" customHeight="1" x14ac:dyDescent="0.3">
      <c r="G4409" s="470"/>
      <c r="H4409" s="470">
        <v>4402</v>
      </c>
      <c r="I4409" s="455">
        <f t="shared" ca="1" si="170"/>
        <v>-37993230377414.406</v>
      </c>
      <c r="J4409" s="455">
        <f t="array" ref="J4409">IFERROR(INDEX('Retirement Calculator'!K:K,MATCH('Lorri 401b'!N4409,'Retirement Calculator'!A:A,0),0),0)</f>
        <v>0</v>
      </c>
      <c r="K4409" s="455">
        <f t="shared" ca="1" si="168"/>
        <v>-158305126572.56003</v>
      </c>
      <c r="L4409" s="455">
        <f t="shared" ca="1" si="169"/>
        <v>-38151535503986.969</v>
      </c>
      <c r="M4409" s="471">
        <f t="shared" si="171"/>
        <v>0.05</v>
      </c>
      <c r="N4409" s="475">
        <f t="shared" si="172"/>
        <v>185239</v>
      </c>
    </row>
    <row r="4410" spans="7:14" ht="11.25" customHeight="1" x14ac:dyDescent="0.3">
      <c r="G4410" s="470"/>
      <c r="H4410" s="470">
        <v>4403</v>
      </c>
      <c r="I4410" s="455">
        <f t="shared" ca="1" si="170"/>
        <v>-38151535503986.969</v>
      </c>
      <c r="J4410" s="455">
        <f t="array" ref="J4410">IFERROR(INDEX('Retirement Calculator'!K:K,MATCH('Lorri 401b'!N4410,'Retirement Calculator'!A:A,0),0),0)</f>
        <v>0</v>
      </c>
      <c r="K4410" s="455">
        <f t="shared" ca="1" si="168"/>
        <v>-158964731266.61237</v>
      </c>
      <c r="L4410" s="455">
        <f t="shared" ca="1" si="169"/>
        <v>-38310500235253.578</v>
      </c>
      <c r="M4410" s="471">
        <f t="shared" si="171"/>
        <v>0.05</v>
      </c>
      <c r="N4410" s="475">
        <f t="shared" si="172"/>
        <v>185270</v>
      </c>
    </row>
    <row r="4411" spans="7:14" ht="11.25" customHeight="1" x14ac:dyDescent="0.3">
      <c r="G4411" s="470"/>
      <c r="H4411" s="470">
        <v>4404</v>
      </c>
      <c r="I4411" s="455">
        <f t="shared" ca="1" si="170"/>
        <v>-38310500235253.578</v>
      </c>
      <c r="J4411" s="455">
        <f t="array" ref="J4411">IFERROR(INDEX('Retirement Calculator'!K:K,MATCH('Lorri 401b'!N4411,'Retirement Calculator'!A:A,0),0),0)</f>
        <v>0</v>
      </c>
      <c r="K4411" s="455">
        <f t="shared" ca="1" si="168"/>
        <v>-159627084313.55658</v>
      </c>
      <c r="L4411" s="455">
        <f t="shared" ca="1" si="169"/>
        <v>-38470127319567.133</v>
      </c>
      <c r="M4411" s="471">
        <f t="shared" si="171"/>
        <v>0.05</v>
      </c>
      <c r="N4411" s="475">
        <f t="shared" si="172"/>
        <v>185300</v>
      </c>
    </row>
    <row r="4412" spans="7:14" ht="11.25" customHeight="1" x14ac:dyDescent="0.3">
      <c r="G4412" s="470"/>
      <c r="H4412" s="470">
        <v>4405</v>
      </c>
      <c r="I4412" s="455">
        <f t="shared" ca="1" si="170"/>
        <v>-38470127319567.133</v>
      </c>
      <c r="J4412" s="455">
        <f t="array" ref="J4412">IFERROR(INDEX('Retirement Calculator'!K:K,MATCH('Lorri 401b'!N4412,'Retirement Calculator'!A:A,0),0),0)</f>
        <v>0</v>
      </c>
      <c r="K4412" s="455">
        <f t="shared" ca="1" si="168"/>
        <v>-160292197164.86304</v>
      </c>
      <c r="L4412" s="455">
        <f t="shared" ca="1" si="169"/>
        <v>-38630419516731.992</v>
      </c>
      <c r="M4412" s="471">
        <f t="shared" si="171"/>
        <v>0.05</v>
      </c>
      <c r="N4412" s="475">
        <f t="shared" si="172"/>
        <v>185331</v>
      </c>
    </row>
    <row r="4413" spans="7:14" ht="11.25" customHeight="1" x14ac:dyDescent="0.3">
      <c r="G4413" s="470"/>
      <c r="H4413" s="470">
        <v>4406</v>
      </c>
      <c r="I4413" s="455">
        <f t="shared" ca="1" si="170"/>
        <v>-38630419516731.992</v>
      </c>
      <c r="J4413" s="455">
        <f t="array" ref="J4413">IFERROR(INDEX('Retirement Calculator'!K:K,MATCH('Lorri 401b'!N4413,'Retirement Calculator'!A:A,0),0),0)</f>
        <v>0</v>
      </c>
      <c r="K4413" s="455">
        <f t="shared" ca="1" si="168"/>
        <v>-160960081319.71664</v>
      </c>
      <c r="L4413" s="455">
        <f t="shared" ca="1" si="169"/>
        <v>-38791379598051.711</v>
      </c>
      <c r="M4413" s="471">
        <f t="shared" si="171"/>
        <v>0.05</v>
      </c>
      <c r="N4413" s="475">
        <f t="shared" si="172"/>
        <v>185361</v>
      </c>
    </row>
    <row r="4414" spans="7:14" ht="11.25" customHeight="1" x14ac:dyDescent="0.3">
      <c r="G4414" s="470"/>
      <c r="H4414" s="470">
        <v>4407</v>
      </c>
      <c r="I4414" s="455">
        <f t="shared" ca="1" si="170"/>
        <v>-38791379598051.711</v>
      </c>
      <c r="J4414" s="455">
        <f t="array" ref="J4414">IFERROR(INDEX('Retirement Calculator'!K:K,MATCH('Lorri 401b'!N4414,'Retirement Calculator'!A:A,0),0),0)</f>
        <v>0</v>
      </c>
      <c r="K4414" s="455">
        <f t="shared" ca="1" si="168"/>
        <v>-161630748325.21545</v>
      </c>
      <c r="L4414" s="455">
        <f t="shared" ca="1" si="169"/>
        <v>-38953010346376.93</v>
      </c>
      <c r="M4414" s="471">
        <f t="shared" si="171"/>
        <v>0.05</v>
      </c>
      <c r="N4414" s="475">
        <f t="shared" si="172"/>
        <v>185392</v>
      </c>
    </row>
    <row r="4415" spans="7:14" ht="11.25" customHeight="1" x14ac:dyDescent="0.3">
      <c r="G4415" s="470"/>
      <c r="H4415" s="470">
        <v>4408</v>
      </c>
      <c r="I4415" s="455">
        <f t="shared" ca="1" si="170"/>
        <v>-38953010346376.93</v>
      </c>
      <c r="J4415" s="455">
        <f t="array" ref="J4415">IFERROR(INDEX('Retirement Calculator'!K:K,MATCH('Lorri 401b'!N4415,'Retirement Calculator'!A:A,0),0),0)</f>
        <v>0</v>
      </c>
      <c r="K4415" s="455">
        <f t="shared" ca="1" si="168"/>
        <v>-162304209776.57053</v>
      </c>
      <c r="L4415" s="455">
        <f t="shared" ca="1" si="169"/>
        <v>-39115314556153.5</v>
      </c>
      <c r="M4415" s="471">
        <f t="shared" si="171"/>
        <v>0.05</v>
      </c>
      <c r="N4415" s="475">
        <f t="shared" si="172"/>
        <v>185423</v>
      </c>
    </row>
    <row r="4416" spans="7:14" ht="11.25" customHeight="1" x14ac:dyDescent="0.3">
      <c r="G4416" s="470"/>
      <c r="H4416" s="470">
        <v>4409</v>
      </c>
      <c r="I4416" s="455">
        <f t="shared" ca="1" si="170"/>
        <v>-39115314556153.5</v>
      </c>
      <c r="J4416" s="455">
        <f t="array" ref="J4416">IFERROR(INDEX('Retirement Calculator'!K:K,MATCH('Lorri 401b'!N4416,'Retirement Calculator'!A:A,0),0),0)</f>
        <v>0</v>
      </c>
      <c r="K4416" s="455">
        <f t="shared" ca="1" si="168"/>
        <v>-162980477317.30624</v>
      </c>
      <c r="L4416" s="455">
        <f t="shared" ca="1" si="169"/>
        <v>-39278295033470.805</v>
      </c>
      <c r="M4416" s="471">
        <f t="shared" si="171"/>
        <v>0.05</v>
      </c>
      <c r="N4416" s="475">
        <f t="shared" si="172"/>
        <v>185453</v>
      </c>
    </row>
    <row r="4417" spans="7:14" ht="11.25" customHeight="1" x14ac:dyDescent="0.3">
      <c r="G4417" s="470"/>
      <c r="H4417" s="470">
        <v>4410</v>
      </c>
      <c r="I4417" s="455">
        <f t="shared" ca="1" si="170"/>
        <v>-39278295033470.805</v>
      </c>
      <c r="J4417" s="455">
        <f t="array" ref="J4417">IFERROR(INDEX('Retirement Calculator'!K:K,MATCH('Lorri 401b'!N4417,'Retirement Calculator'!A:A,0),0),0)</f>
        <v>0</v>
      </c>
      <c r="K4417" s="455">
        <f t="shared" ca="1" si="168"/>
        <v>-163659562639.46167</v>
      </c>
      <c r="L4417" s="455">
        <f t="shared" ca="1" si="169"/>
        <v>-39441954596110.266</v>
      </c>
      <c r="M4417" s="471">
        <f t="shared" si="171"/>
        <v>0.05</v>
      </c>
      <c r="N4417" s="475">
        <f t="shared" si="172"/>
        <v>185484</v>
      </c>
    </row>
    <row r="4418" spans="7:14" ht="11.25" customHeight="1" x14ac:dyDescent="0.3">
      <c r="G4418" s="470"/>
      <c r="H4418" s="470">
        <v>4411</v>
      </c>
      <c r="I4418" s="455">
        <f t="shared" ca="1" si="170"/>
        <v>-39441954596110.266</v>
      </c>
      <c r="J4418" s="455">
        <f t="array" ref="J4418">IFERROR(INDEX('Retirement Calculator'!K:K,MATCH('Lorri 401b'!N4418,'Retirement Calculator'!A:A,0),0),0)</f>
        <v>0</v>
      </c>
      <c r="K4418" s="455">
        <f t="shared" ca="1" si="168"/>
        <v>-164341477483.79279</v>
      </c>
      <c r="L4418" s="455">
        <f t="shared" ca="1" si="169"/>
        <v>-39606296073594.055</v>
      </c>
      <c r="M4418" s="471">
        <f t="shared" si="171"/>
        <v>0.05</v>
      </c>
      <c r="N4418" s="475">
        <f t="shared" si="172"/>
        <v>185514</v>
      </c>
    </row>
    <row r="4419" spans="7:14" ht="11.25" customHeight="1" x14ac:dyDescent="0.3">
      <c r="G4419" s="470"/>
      <c r="H4419" s="470">
        <v>4412</v>
      </c>
      <c r="I4419" s="455">
        <f t="shared" ca="1" si="170"/>
        <v>-39606296073594.055</v>
      </c>
      <c r="J4419" s="455">
        <f t="array" ref="J4419">IFERROR(INDEX('Retirement Calculator'!K:K,MATCH('Lorri 401b'!N4419,'Retirement Calculator'!A:A,0),0),0)</f>
        <v>0</v>
      </c>
      <c r="K4419" s="455">
        <f t="shared" ca="1" si="168"/>
        <v>-165026233639.97522</v>
      </c>
      <c r="L4419" s="455">
        <f t="shared" ca="1" si="169"/>
        <v>-39771322307234.031</v>
      </c>
      <c r="M4419" s="471">
        <f t="shared" si="171"/>
        <v>0.05</v>
      </c>
      <c r="N4419" s="475">
        <f t="shared" si="172"/>
        <v>185545</v>
      </c>
    </row>
    <row r="4420" spans="7:14" ht="11.25" customHeight="1" x14ac:dyDescent="0.3">
      <c r="G4420" s="470"/>
      <c r="H4420" s="470">
        <v>4413</v>
      </c>
      <c r="I4420" s="455">
        <f t="shared" ca="1" si="170"/>
        <v>-39771322307234.031</v>
      </c>
      <c r="J4420" s="455">
        <f t="array" ref="J4420">IFERROR(INDEX('Retirement Calculator'!K:K,MATCH('Lorri 401b'!N4420,'Retirement Calculator'!A:A,0),0),0)</f>
        <v>0</v>
      </c>
      <c r="K4420" s="455">
        <f t="shared" ca="1" si="168"/>
        <v>-165713842946.80847</v>
      </c>
      <c r="L4420" s="455">
        <f t="shared" ca="1" si="169"/>
        <v>-39937036150180.836</v>
      </c>
      <c r="M4420" s="471">
        <f t="shared" si="171"/>
        <v>0.05</v>
      </c>
      <c r="N4420" s="475">
        <f t="shared" si="172"/>
        <v>185576</v>
      </c>
    </row>
    <row r="4421" spans="7:14" ht="11.25" customHeight="1" x14ac:dyDescent="0.3">
      <c r="G4421" s="470"/>
      <c r="H4421" s="470">
        <v>4414</v>
      </c>
      <c r="I4421" s="455">
        <f t="shared" ca="1" si="170"/>
        <v>-39937036150180.836</v>
      </c>
      <c r="J4421" s="455">
        <f t="array" ref="J4421">IFERROR(INDEX('Retirement Calculator'!K:K,MATCH('Lorri 401b'!N4421,'Retirement Calculator'!A:A,0),0),0)</f>
        <v>0</v>
      </c>
      <c r="K4421" s="455">
        <f t="shared" ca="1" si="168"/>
        <v>-166404317292.42014</v>
      </c>
      <c r="L4421" s="455">
        <f t="shared" ca="1" si="169"/>
        <v>-40103440467473.258</v>
      </c>
      <c r="M4421" s="471">
        <f t="shared" si="171"/>
        <v>0.05</v>
      </c>
      <c r="N4421" s="475">
        <f t="shared" si="172"/>
        <v>185605</v>
      </c>
    </row>
    <row r="4422" spans="7:14" ht="11.25" customHeight="1" x14ac:dyDescent="0.3">
      <c r="G4422" s="470"/>
      <c r="H4422" s="470">
        <v>4415</v>
      </c>
      <c r="I4422" s="455">
        <f t="shared" ca="1" si="170"/>
        <v>-40103440467473.258</v>
      </c>
      <c r="J4422" s="455">
        <f t="array" ref="J4422">IFERROR(INDEX('Retirement Calculator'!K:K,MATCH('Lorri 401b'!N4422,'Retirement Calculator'!A:A,0),0),0)</f>
        <v>0</v>
      </c>
      <c r="K4422" s="455">
        <f t="shared" ca="1" si="168"/>
        <v>-167097668614.47189</v>
      </c>
      <c r="L4422" s="455">
        <f t="shared" ca="1" si="169"/>
        <v>-40270538136087.727</v>
      </c>
      <c r="M4422" s="471">
        <f t="shared" si="171"/>
        <v>0.05</v>
      </c>
      <c r="N4422" s="475">
        <f t="shared" si="172"/>
        <v>185636</v>
      </c>
    </row>
    <row r="4423" spans="7:14" ht="11.25" customHeight="1" x14ac:dyDescent="0.3">
      <c r="G4423" s="470"/>
      <c r="H4423" s="470">
        <v>4416</v>
      </c>
      <c r="I4423" s="455">
        <f t="shared" ca="1" si="170"/>
        <v>-40270538136087.727</v>
      </c>
      <c r="J4423" s="455">
        <f t="array" ref="J4423">IFERROR(INDEX('Retirement Calculator'!K:K,MATCH('Lorri 401b'!N4423,'Retirement Calculator'!A:A,0),0),0)</f>
        <v>0</v>
      </c>
      <c r="K4423" s="455">
        <f t="shared" ca="1" si="168"/>
        <v>-167793908900.36554</v>
      </c>
      <c r="L4423" s="455">
        <f t="shared" ca="1" si="169"/>
        <v>-40438332044988.094</v>
      </c>
      <c r="M4423" s="471">
        <f t="shared" si="171"/>
        <v>0.05</v>
      </c>
      <c r="N4423" s="475">
        <f t="shared" si="172"/>
        <v>185666</v>
      </c>
    </row>
    <row r="4424" spans="7:14" ht="11.25" customHeight="1" x14ac:dyDescent="0.3">
      <c r="G4424" s="470"/>
      <c r="H4424" s="470">
        <v>4417</v>
      </c>
      <c r="I4424" s="455">
        <f t="shared" ca="1" si="170"/>
        <v>-40438332044988.094</v>
      </c>
      <c r="J4424" s="455">
        <f t="array" ref="J4424">IFERROR(INDEX('Retirement Calculator'!K:K,MATCH('Lorri 401b'!N4424,'Retirement Calculator'!A:A,0),0),0)</f>
        <v>0</v>
      </c>
      <c r="K4424" s="455">
        <f t="shared" ca="1" si="168"/>
        <v>-168493050187.45038</v>
      </c>
      <c r="L4424" s="455">
        <f t="shared" ca="1" si="169"/>
        <v>-40606825095175.547</v>
      </c>
      <c r="M4424" s="471">
        <f t="shared" si="171"/>
        <v>0.05</v>
      </c>
      <c r="N4424" s="475">
        <f t="shared" si="172"/>
        <v>185697</v>
      </c>
    </row>
    <row r="4425" spans="7:14" ht="11.25" customHeight="1" x14ac:dyDescent="0.3">
      <c r="G4425" s="470"/>
      <c r="H4425" s="470">
        <v>4418</v>
      </c>
      <c r="I4425" s="455">
        <f t="shared" ca="1" si="170"/>
        <v>-40606825095175.547</v>
      </c>
      <c r="J4425" s="455">
        <f t="array" ref="J4425">IFERROR(INDEX('Retirement Calculator'!K:K,MATCH('Lorri 401b'!N4425,'Retirement Calculator'!A:A,0),0),0)</f>
        <v>0</v>
      </c>
      <c r="K4425" s="455">
        <f t="shared" ca="1" si="168"/>
        <v>-169195104563.23145</v>
      </c>
      <c r="L4425" s="455">
        <f t="shared" ca="1" si="169"/>
        <v>-40776020199738.781</v>
      </c>
      <c r="M4425" s="471">
        <f t="shared" si="171"/>
        <v>0.05</v>
      </c>
      <c r="N4425" s="475">
        <f t="shared" si="172"/>
        <v>185727</v>
      </c>
    </row>
    <row r="4426" spans="7:14" ht="11.25" customHeight="1" x14ac:dyDescent="0.3">
      <c r="G4426" s="470"/>
      <c r="H4426" s="470">
        <v>4419</v>
      </c>
      <c r="I4426" s="455">
        <f t="shared" ca="1" si="170"/>
        <v>-40776020199738.781</v>
      </c>
      <c r="J4426" s="455">
        <f t="array" ref="J4426">IFERROR(INDEX('Retirement Calculator'!K:K,MATCH('Lorri 401b'!N4426,'Retirement Calculator'!A:A,0),0),0)</f>
        <v>0</v>
      </c>
      <c r="K4426" s="455">
        <f t="shared" ca="1" si="168"/>
        <v>-169900084165.57825</v>
      </c>
      <c r="L4426" s="455">
        <f t="shared" ca="1" si="169"/>
        <v>-40945920283904.359</v>
      </c>
      <c r="M4426" s="471">
        <f t="shared" si="171"/>
        <v>0.05</v>
      </c>
      <c r="N4426" s="475">
        <f t="shared" si="172"/>
        <v>185758</v>
      </c>
    </row>
    <row r="4427" spans="7:14" ht="11.25" customHeight="1" x14ac:dyDescent="0.3">
      <c r="G4427" s="470"/>
      <c r="H4427" s="470">
        <v>4420</v>
      </c>
      <c r="I4427" s="455">
        <f t="shared" ca="1" si="170"/>
        <v>-40945920283904.359</v>
      </c>
      <c r="J4427" s="455">
        <f t="array" ref="J4427">IFERROR(INDEX('Retirement Calculator'!K:K,MATCH('Lorri 401b'!N4427,'Retirement Calculator'!A:A,0),0),0)</f>
        <v>0</v>
      </c>
      <c r="K4427" s="455">
        <f t="shared" ca="1" si="168"/>
        <v>-170608001182.93481</v>
      </c>
      <c r="L4427" s="455">
        <f t="shared" ca="1" si="169"/>
        <v>-41116528285087.297</v>
      </c>
      <c r="M4427" s="471">
        <f t="shared" si="171"/>
        <v>0.05</v>
      </c>
      <c r="N4427" s="475">
        <f t="shared" si="172"/>
        <v>185789</v>
      </c>
    </row>
    <row r="4428" spans="7:14" ht="11.25" customHeight="1" x14ac:dyDescent="0.3">
      <c r="G4428" s="470"/>
      <c r="H4428" s="470">
        <v>4421</v>
      </c>
      <c r="I4428" s="455">
        <f t="shared" ca="1" si="170"/>
        <v>-41116528285087.297</v>
      </c>
      <c r="J4428" s="455">
        <f t="array" ref="J4428">IFERROR(INDEX('Retirement Calculator'!K:K,MATCH('Lorri 401b'!N4428,'Retirement Calculator'!A:A,0),0),0)</f>
        <v>0</v>
      </c>
      <c r="K4428" s="455">
        <f t="shared" ca="1" si="168"/>
        <v>-171318867854.5304</v>
      </c>
      <c r="L4428" s="455">
        <f t="shared" ca="1" si="169"/>
        <v>-41287847152941.828</v>
      </c>
      <c r="M4428" s="471">
        <f t="shared" si="171"/>
        <v>0.05</v>
      </c>
      <c r="N4428" s="475">
        <f t="shared" si="172"/>
        <v>185819</v>
      </c>
    </row>
    <row r="4429" spans="7:14" ht="11.25" customHeight="1" x14ac:dyDescent="0.3">
      <c r="G4429" s="470"/>
      <c r="H4429" s="470">
        <v>4422</v>
      </c>
      <c r="I4429" s="455">
        <f t="shared" ca="1" si="170"/>
        <v>-41287847152941.828</v>
      </c>
      <c r="J4429" s="455">
        <f t="array" ref="J4429">IFERROR(INDEX('Retirement Calculator'!K:K,MATCH('Lorri 401b'!N4429,'Retirement Calculator'!A:A,0),0),0)</f>
        <v>0</v>
      </c>
      <c r="K4429" s="455">
        <f t="shared" ca="1" si="168"/>
        <v>-172032696470.59094</v>
      </c>
      <c r="L4429" s="455">
        <f t="shared" ca="1" si="169"/>
        <v>-41459879849412.422</v>
      </c>
      <c r="M4429" s="471">
        <f t="shared" si="171"/>
        <v>0.05</v>
      </c>
      <c r="N4429" s="475">
        <f t="shared" si="172"/>
        <v>185850</v>
      </c>
    </row>
    <row r="4430" spans="7:14" ht="11.25" customHeight="1" x14ac:dyDescent="0.3">
      <c r="G4430" s="470"/>
      <c r="H4430" s="470">
        <v>4423</v>
      </c>
      <c r="I4430" s="455">
        <f t="shared" ca="1" si="170"/>
        <v>-41459879849412.422</v>
      </c>
      <c r="J4430" s="455">
        <f t="array" ref="J4430">IFERROR(INDEX('Retirement Calculator'!K:K,MATCH('Lorri 401b'!N4430,'Retirement Calculator'!A:A,0),0),0)</f>
        <v>0</v>
      </c>
      <c r="K4430" s="455">
        <f t="shared" ca="1" si="168"/>
        <v>-172749499372.55176</v>
      </c>
      <c r="L4430" s="455">
        <f t="shared" ca="1" si="169"/>
        <v>-41632629348784.977</v>
      </c>
      <c r="M4430" s="471">
        <f t="shared" si="171"/>
        <v>0.05</v>
      </c>
      <c r="N4430" s="475">
        <f t="shared" si="172"/>
        <v>185880</v>
      </c>
    </row>
    <row r="4431" spans="7:14" ht="11.25" customHeight="1" x14ac:dyDescent="0.3">
      <c r="G4431" s="470"/>
      <c r="H4431" s="470">
        <v>4424</v>
      </c>
      <c r="I4431" s="455">
        <f t="shared" ca="1" si="170"/>
        <v>-41632629348784.977</v>
      </c>
      <c r="J4431" s="455">
        <f t="array" ref="J4431">IFERROR(INDEX('Retirement Calculator'!K:K,MATCH('Lorri 401b'!N4431,'Retirement Calculator'!A:A,0),0),0)</f>
        <v>0</v>
      </c>
      <c r="K4431" s="455">
        <f t="shared" ca="1" si="168"/>
        <v>-173469288953.27072</v>
      </c>
      <c r="L4431" s="455">
        <f t="shared" ca="1" si="169"/>
        <v>-41806098637738.25</v>
      </c>
      <c r="M4431" s="471">
        <f t="shared" si="171"/>
        <v>0.05</v>
      </c>
      <c r="N4431" s="475">
        <f t="shared" si="172"/>
        <v>185911</v>
      </c>
    </row>
    <row r="4432" spans="7:14" ht="11.25" customHeight="1" x14ac:dyDescent="0.3">
      <c r="G4432" s="470"/>
      <c r="H4432" s="470">
        <v>4425</v>
      </c>
      <c r="I4432" s="455">
        <f t="shared" ca="1" si="170"/>
        <v>-41806098637738.25</v>
      </c>
      <c r="J4432" s="455">
        <f t="array" ref="J4432">IFERROR(INDEX('Retirement Calculator'!K:K,MATCH('Lorri 401b'!N4432,'Retirement Calculator'!A:A,0),0),0)</f>
        <v>0</v>
      </c>
      <c r="K4432" s="455">
        <f t="shared" ca="1" si="168"/>
        <v>-174192077657.24271</v>
      </c>
      <c r="L4432" s="455">
        <f t="shared" ca="1" si="169"/>
        <v>-41980290715395.492</v>
      </c>
      <c r="M4432" s="471">
        <f t="shared" si="171"/>
        <v>0.05</v>
      </c>
      <c r="N4432" s="475">
        <f t="shared" si="172"/>
        <v>185942</v>
      </c>
    </row>
    <row r="4433" spans="7:14" ht="11.25" customHeight="1" x14ac:dyDescent="0.3">
      <c r="G4433" s="470"/>
      <c r="H4433" s="470">
        <v>4426</v>
      </c>
      <c r="I4433" s="455">
        <f t="shared" ca="1" si="170"/>
        <v>-41980290715395.492</v>
      </c>
      <c r="J4433" s="455">
        <f t="array" ref="J4433">IFERROR(INDEX('Retirement Calculator'!K:K,MATCH('Lorri 401b'!N4433,'Retirement Calculator'!A:A,0),0),0)</f>
        <v>0</v>
      </c>
      <c r="K4433" s="455">
        <f t="shared" ca="1" si="168"/>
        <v>-174917877980.81454</v>
      </c>
      <c r="L4433" s="455">
        <f t="shared" ca="1" si="169"/>
        <v>-42155208593376.305</v>
      </c>
      <c r="M4433" s="471">
        <f t="shared" si="171"/>
        <v>0.05</v>
      </c>
      <c r="N4433" s="475">
        <f t="shared" si="172"/>
        <v>185970</v>
      </c>
    </row>
    <row r="4434" spans="7:14" ht="11.25" customHeight="1" x14ac:dyDescent="0.3">
      <c r="G4434" s="470"/>
      <c r="H4434" s="470">
        <v>4427</v>
      </c>
      <c r="I4434" s="455">
        <f t="shared" ca="1" si="170"/>
        <v>-42155208593376.305</v>
      </c>
      <c r="J4434" s="455">
        <f t="array" ref="J4434">IFERROR(INDEX('Retirement Calculator'!K:K,MATCH('Lorri 401b'!N4434,'Retirement Calculator'!A:A,0),0),0)</f>
        <v>0</v>
      </c>
      <c r="K4434" s="455">
        <f t="shared" ca="1" si="168"/>
        <v>-175646702472.40128</v>
      </c>
      <c r="L4434" s="455">
        <f t="shared" ca="1" si="169"/>
        <v>-42330855295848.703</v>
      </c>
      <c r="M4434" s="471">
        <f t="shared" si="171"/>
        <v>0.05</v>
      </c>
      <c r="N4434" s="475">
        <f t="shared" si="172"/>
        <v>186001</v>
      </c>
    </row>
    <row r="4435" spans="7:14" ht="11.25" customHeight="1" x14ac:dyDescent="0.3">
      <c r="G4435" s="470"/>
      <c r="H4435" s="470">
        <v>4428</v>
      </c>
      <c r="I4435" s="455">
        <f t="shared" ca="1" si="170"/>
        <v>-42330855295848.703</v>
      </c>
      <c r="J4435" s="455">
        <f t="array" ref="J4435">IFERROR(INDEX('Retirement Calculator'!K:K,MATCH('Lorri 401b'!N4435,'Retirement Calculator'!A:A,0),0),0)</f>
        <v>0</v>
      </c>
      <c r="K4435" s="455">
        <f t="shared" ca="1" si="168"/>
        <v>-176378563732.70294</v>
      </c>
      <c r="L4435" s="455">
        <f t="shared" ca="1" si="169"/>
        <v>-42507233859581.406</v>
      </c>
      <c r="M4435" s="471">
        <f t="shared" si="171"/>
        <v>0.05</v>
      </c>
      <c r="N4435" s="475">
        <f t="shared" si="172"/>
        <v>186031</v>
      </c>
    </row>
    <row r="4436" spans="7:14" ht="11.25" customHeight="1" x14ac:dyDescent="0.3">
      <c r="G4436" s="470"/>
      <c r="H4436" s="470">
        <v>4429</v>
      </c>
      <c r="I4436" s="455">
        <f t="shared" ca="1" si="170"/>
        <v>-42507233859581.406</v>
      </c>
      <c r="J4436" s="455">
        <f t="array" ref="J4436">IFERROR(INDEX('Retirement Calculator'!K:K,MATCH('Lorri 401b'!N4436,'Retirement Calculator'!A:A,0),0),0)</f>
        <v>0</v>
      </c>
      <c r="K4436" s="455">
        <f t="shared" ca="1" si="168"/>
        <v>-177113474414.92252</v>
      </c>
      <c r="L4436" s="455">
        <f t="shared" ca="1" si="169"/>
        <v>-42684347333996.328</v>
      </c>
      <c r="M4436" s="471">
        <f t="shared" si="171"/>
        <v>0.05</v>
      </c>
      <c r="N4436" s="475">
        <f t="shared" si="172"/>
        <v>186062</v>
      </c>
    </row>
    <row r="4437" spans="7:14" ht="11.25" customHeight="1" x14ac:dyDescent="0.3">
      <c r="G4437" s="470"/>
      <c r="H4437" s="470">
        <v>4430</v>
      </c>
      <c r="I4437" s="455">
        <f t="shared" ca="1" si="170"/>
        <v>-42684347333996.328</v>
      </c>
      <c r="J4437" s="455">
        <f t="array" ref="J4437">IFERROR(INDEX('Retirement Calculator'!K:K,MATCH('Lorri 401b'!N4437,'Retirement Calculator'!A:A,0),0),0)</f>
        <v>0</v>
      </c>
      <c r="K4437" s="455">
        <f t="shared" ca="1" si="168"/>
        <v>-177851447224.98471</v>
      </c>
      <c r="L4437" s="455">
        <f t="shared" ca="1" si="169"/>
        <v>-42862198781221.313</v>
      </c>
      <c r="M4437" s="471">
        <f t="shared" si="171"/>
        <v>0.05</v>
      </c>
      <c r="N4437" s="475">
        <f t="shared" si="172"/>
        <v>186092</v>
      </c>
    </row>
    <row r="4438" spans="7:14" ht="11.25" customHeight="1" x14ac:dyDescent="0.3">
      <c r="G4438" s="470"/>
      <c r="H4438" s="470">
        <v>4431</v>
      </c>
      <c r="I4438" s="455">
        <f t="shared" ca="1" si="170"/>
        <v>-42862198781221.313</v>
      </c>
      <c r="J4438" s="455">
        <f t="array" ref="J4438">IFERROR(INDEX('Retirement Calculator'!K:K,MATCH('Lorri 401b'!N4438,'Retirement Calculator'!A:A,0),0),0)</f>
        <v>0</v>
      </c>
      <c r="K4438" s="455">
        <f t="shared" ca="1" si="168"/>
        <v>-178592494921.75546</v>
      </c>
      <c r="L4438" s="455">
        <f t="shared" ca="1" si="169"/>
        <v>-43040791276143.07</v>
      </c>
      <c r="M4438" s="471">
        <f t="shared" si="171"/>
        <v>0.05</v>
      </c>
      <c r="N4438" s="475">
        <f t="shared" si="172"/>
        <v>186123</v>
      </c>
    </row>
    <row r="4439" spans="7:14" ht="11.25" customHeight="1" x14ac:dyDescent="0.3">
      <c r="G4439" s="470"/>
      <c r="H4439" s="470">
        <v>4432</v>
      </c>
      <c r="I4439" s="455">
        <f t="shared" ca="1" si="170"/>
        <v>-43040791276143.07</v>
      </c>
      <c r="J4439" s="455">
        <f t="array" ref="J4439">IFERROR(INDEX('Retirement Calculator'!K:K,MATCH('Lorri 401b'!N4439,'Retirement Calculator'!A:A,0),0),0)</f>
        <v>0</v>
      </c>
      <c r="K4439" s="455">
        <f t="shared" ca="1" si="168"/>
        <v>-179336630317.26279</v>
      </c>
      <c r="L4439" s="455">
        <f t="shared" ca="1" si="169"/>
        <v>-43220127906460.336</v>
      </c>
      <c r="M4439" s="471">
        <f t="shared" si="171"/>
        <v>0.05</v>
      </c>
      <c r="N4439" s="475">
        <f t="shared" si="172"/>
        <v>186154</v>
      </c>
    </row>
    <row r="4440" spans="7:14" ht="11.25" customHeight="1" x14ac:dyDescent="0.3">
      <c r="G4440" s="470"/>
      <c r="H4440" s="470">
        <v>4433</v>
      </c>
      <c r="I4440" s="455">
        <f t="shared" ca="1" si="170"/>
        <v>-43220127906460.336</v>
      </c>
      <c r="J4440" s="455">
        <f t="array" ref="J4440">IFERROR(INDEX('Retirement Calculator'!K:K,MATCH('Lorri 401b'!N4440,'Retirement Calculator'!A:A,0),0),0)</f>
        <v>0</v>
      </c>
      <c r="K4440" s="455">
        <f t="shared" ca="1" si="168"/>
        <v>-180083866276.91806</v>
      </c>
      <c r="L4440" s="455">
        <f t="shared" ca="1" si="169"/>
        <v>-43400211772737.258</v>
      </c>
      <c r="M4440" s="471">
        <f t="shared" si="171"/>
        <v>0.05</v>
      </c>
      <c r="N4440" s="475">
        <f t="shared" si="172"/>
        <v>186184</v>
      </c>
    </row>
    <row r="4441" spans="7:14" ht="11.25" customHeight="1" x14ac:dyDescent="0.3">
      <c r="G4441" s="470"/>
      <c r="H4441" s="470">
        <v>4434</v>
      </c>
      <c r="I4441" s="455">
        <f t="shared" ca="1" si="170"/>
        <v>-43400211772737.258</v>
      </c>
      <c r="J4441" s="455">
        <f t="array" ref="J4441">IFERROR(INDEX('Retirement Calculator'!K:K,MATCH('Lorri 401b'!N4441,'Retirement Calculator'!A:A,0),0),0)</f>
        <v>0</v>
      </c>
      <c r="K4441" s="455">
        <f t="shared" ca="1" si="168"/>
        <v>-180834215719.73859</v>
      </c>
      <c r="L4441" s="455">
        <f t="shared" ca="1" si="169"/>
        <v>-43581045988457</v>
      </c>
      <c r="M4441" s="471">
        <f t="shared" si="171"/>
        <v>0.05</v>
      </c>
      <c r="N4441" s="475">
        <f t="shared" si="172"/>
        <v>186215</v>
      </c>
    </row>
    <row r="4442" spans="7:14" ht="11.25" customHeight="1" x14ac:dyDescent="0.3">
      <c r="G4442" s="470"/>
      <c r="H4442" s="470">
        <v>4435</v>
      </c>
      <c r="I4442" s="455">
        <f t="shared" ca="1" si="170"/>
        <v>-43581045988457</v>
      </c>
      <c r="J4442" s="455">
        <f t="array" ref="J4442">IFERROR(INDEX('Retirement Calculator'!K:K,MATCH('Lorri 401b'!N4442,'Retirement Calculator'!A:A,0),0),0)</f>
        <v>0</v>
      </c>
      <c r="K4442" s="455">
        <f t="shared" ca="1" si="168"/>
        <v>-181587691618.57083</v>
      </c>
      <c r="L4442" s="455">
        <f t="shared" ca="1" si="169"/>
        <v>-43762633680075.57</v>
      </c>
      <c r="M4442" s="471">
        <f t="shared" si="171"/>
        <v>0.05</v>
      </c>
      <c r="N4442" s="475">
        <f t="shared" si="172"/>
        <v>186245</v>
      </c>
    </row>
    <row r="4443" spans="7:14" ht="11.25" customHeight="1" x14ac:dyDescent="0.3">
      <c r="G4443" s="470"/>
      <c r="H4443" s="470">
        <v>4436</v>
      </c>
      <c r="I4443" s="455">
        <f t="shared" ca="1" si="170"/>
        <v>-43762633680075.57</v>
      </c>
      <c r="J4443" s="455">
        <f t="array" ref="J4443">IFERROR(INDEX('Retirement Calculator'!K:K,MATCH('Lorri 401b'!N4443,'Retirement Calculator'!A:A,0),0),0)</f>
        <v>0</v>
      </c>
      <c r="K4443" s="455">
        <f t="shared" ca="1" si="168"/>
        <v>-182344307000.31488</v>
      </c>
      <c r="L4443" s="455">
        <f t="shared" ca="1" si="169"/>
        <v>-43944977987075.883</v>
      </c>
      <c r="M4443" s="471">
        <f t="shared" si="171"/>
        <v>0.05</v>
      </c>
      <c r="N4443" s="475">
        <f t="shared" si="172"/>
        <v>186276</v>
      </c>
    </row>
    <row r="4444" spans="7:14" ht="11.25" customHeight="1" x14ac:dyDescent="0.3">
      <c r="G4444" s="470"/>
      <c r="H4444" s="470">
        <v>4437</v>
      </c>
      <c r="I4444" s="455">
        <f t="shared" ca="1" si="170"/>
        <v>-43944977987075.883</v>
      </c>
      <c r="J4444" s="455">
        <f t="array" ref="J4444">IFERROR(INDEX('Retirement Calculator'!K:K,MATCH('Lorri 401b'!N4444,'Retirement Calculator'!A:A,0),0),0)</f>
        <v>0</v>
      </c>
      <c r="K4444" s="455">
        <f t="shared" ca="1" si="168"/>
        <v>-183104074946.14951</v>
      </c>
      <c r="L4444" s="455">
        <f t="shared" ca="1" si="169"/>
        <v>-44128082062022.031</v>
      </c>
      <c r="M4444" s="471">
        <f t="shared" si="171"/>
        <v>0.05</v>
      </c>
      <c r="N4444" s="475">
        <f t="shared" si="172"/>
        <v>186307</v>
      </c>
    </row>
    <row r="4445" spans="7:14" ht="11.25" customHeight="1" x14ac:dyDescent="0.3">
      <c r="G4445" s="470"/>
      <c r="H4445" s="470">
        <v>4438</v>
      </c>
      <c r="I4445" s="455">
        <f t="shared" ca="1" si="170"/>
        <v>-44128082062022.031</v>
      </c>
      <c r="J4445" s="455">
        <f t="array" ref="J4445">IFERROR(INDEX('Retirement Calculator'!K:K,MATCH('Lorri 401b'!N4445,'Retirement Calculator'!A:A,0),0),0)</f>
        <v>0</v>
      </c>
      <c r="K4445" s="455">
        <f t="shared" ca="1" si="168"/>
        <v>-183867008591.75845</v>
      </c>
      <c r="L4445" s="455">
        <f t="shared" ca="1" si="169"/>
        <v>-44311949070613.789</v>
      </c>
      <c r="M4445" s="471">
        <f t="shared" si="171"/>
        <v>0.05</v>
      </c>
      <c r="N4445" s="475">
        <f t="shared" si="172"/>
        <v>186335</v>
      </c>
    </row>
    <row r="4446" spans="7:14" ht="11.25" customHeight="1" x14ac:dyDescent="0.3">
      <c r="G4446" s="470"/>
      <c r="H4446" s="470">
        <v>4439</v>
      </c>
      <c r="I4446" s="455">
        <f t="shared" ca="1" si="170"/>
        <v>-44311949070613.789</v>
      </c>
      <c r="J4446" s="455">
        <f t="array" ref="J4446">IFERROR(INDEX('Retirement Calculator'!K:K,MATCH('Lorri 401b'!N4446,'Retirement Calculator'!A:A,0),0),0)</f>
        <v>0</v>
      </c>
      <c r="K4446" s="455">
        <f t="shared" ca="1" si="168"/>
        <v>-184633121127.55746</v>
      </c>
      <c r="L4446" s="455">
        <f t="shared" ca="1" si="169"/>
        <v>-44496582191741.344</v>
      </c>
      <c r="M4446" s="471">
        <f t="shared" si="171"/>
        <v>0.05</v>
      </c>
      <c r="N4446" s="475">
        <f t="shared" si="172"/>
        <v>186366</v>
      </c>
    </row>
    <row r="4447" spans="7:14" ht="11.25" customHeight="1" x14ac:dyDescent="0.3">
      <c r="G4447" s="470"/>
      <c r="H4447" s="470">
        <v>4440</v>
      </c>
      <c r="I4447" s="455">
        <f t="shared" ca="1" si="170"/>
        <v>-44496582191741.344</v>
      </c>
      <c r="J4447" s="455">
        <f t="array" ref="J4447">IFERROR(INDEX('Retirement Calculator'!K:K,MATCH('Lorri 401b'!N4447,'Retirement Calculator'!A:A,0),0),0)</f>
        <v>0</v>
      </c>
      <c r="K4447" s="455">
        <f t="shared" ca="1" si="168"/>
        <v>-185402425798.92227</v>
      </c>
      <c r="L4447" s="455">
        <f t="shared" ca="1" si="169"/>
        <v>-44681984617540.266</v>
      </c>
      <c r="M4447" s="471">
        <f t="shared" si="171"/>
        <v>0.05</v>
      </c>
      <c r="N4447" s="475">
        <f t="shared" si="172"/>
        <v>186396</v>
      </c>
    </row>
    <row r="4448" spans="7:14" ht="11.25" customHeight="1" x14ac:dyDescent="0.3">
      <c r="G4448" s="470"/>
      <c r="H4448" s="470">
        <v>4441</v>
      </c>
      <c r="I4448" s="455">
        <f t="shared" ca="1" si="170"/>
        <v>-44681984617540.266</v>
      </c>
      <c r="J4448" s="455">
        <f t="array" ref="J4448">IFERROR(INDEX('Retirement Calculator'!K:K,MATCH('Lorri 401b'!N4448,'Retirement Calculator'!A:A,0),0),0)</f>
        <v>0</v>
      </c>
      <c r="K4448" s="455">
        <f t="shared" ca="1" si="168"/>
        <v>-186174935906.41779</v>
      </c>
      <c r="L4448" s="455">
        <f t="shared" ca="1" si="169"/>
        <v>-44868159553446.68</v>
      </c>
      <c r="M4448" s="471">
        <f t="shared" si="171"/>
        <v>0.05</v>
      </c>
      <c r="N4448" s="475">
        <f t="shared" si="172"/>
        <v>186427</v>
      </c>
    </row>
    <row r="4449" spans="7:14" ht="11.25" customHeight="1" x14ac:dyDescent="0.3">
      <c r="G4449" s="470"/>
      <c r="H4449" s="470">
        <v>4442</v>
      </c>
      <c r="I4449" s="455">
        <f t="shared" ca="1" si="170"/>
        <v>-44868159553446.68</v>
      </c>
      <c r="J4449" s="455">
        <f t="array" ref="J4449">IFERROR(INDEX('Retirement Calculator'!K:K,MATCH('Lorri 401b'!N4449,'Retirement Calculator'!A:A,0),0),0)</f>
        <v>0</v>
      </c>
      <c r="K4449" s="455">
        <f t="shared" ca="1" si="168"/>
        <v>-186950664806.02783</v>
      </c>
      <c r="L4449" s="455">
        <f t="shared" ca="1" si="169"/>
        <v>-45055110218252.711</v>
      </c>
      <c r="M4449" s="471">
        <f t="shared" si="171"/>
        <v>0.05</v>
      </c>
      <c r="N4449" s="475">
        <f t="shared" si="172"/>
        <v>186457</v>
      </c>
    </row>
    <row r="4450" spans="7:14" ht="11.25" customHeight="1" x14ac:dyDescent="0.3">
      <c r="G4450" s="470"/>
      <c r="H4450" s="470">
        <v>4443</v>
      </c>
      <c r="I4450" s="455">
        <f t="shared" ca="1" si="170"/>
        <v>-45055110218252.711</v>
      </c>
      <c r="J4450" s="455">
        <f t="array" ref="J4450">IFERROR(INDEX('Retirement Calculator'!K:K,MATCH('Lorri 401b'!N4450,'Retirement Calculator'!A:A,0),0),0)</f>
        <v>0</v>
      </c>
      <c r="K4450" s="455">
        <f t="shared" ca="1" si="168"/>
        <v>-187729625909.38629</v>
      </c>
      <c r="L4450" s="455">
        <f t="shared" ca="1" si="169"/>
        <v>-45242839844162.094</v>
      </c>
      <c r="M4450" s="471">
        <f t="shared" si="171"/>
        <v>0.05</v>
      </c>
      <c r="N4450" s="475">
        <f t="shared" si="172"/>
        <v>186488</v>
      </c>
    </row>
    <row r="4451" spans="7:14" ht="11.25" customHeight="1" x14ac:dyDescent="0.3">
      <c r="G4451" s="470"/>
      <c r="H4451" s="470">
        <v>4444</v>
      </c>
      <c r="I4451" s="455">
        <f t="shared" ca="1" si="170"/>
        <v>-45242839844162.094</v>
      </c>
      <c r="J4451" s="455">
        <f t="array" ref="J4451">IFERROR(INDEX('Retirement Calculator'!K:K,MATCH('Lorri 401b'!N4451,'Retirement Calculator'!A:A,0),0),0)</f>
        <v>0</v>
      </c>
      <c r="K4451" s="455">
        <f t="shared" ca="1" si="168"/>
        <v>-188511832684.00873</v>
      </c>
      <c r="L4451" s="455">
        <f t="shared" ca="1" si="169"/>
        <v>-45431351676846.102</v>
      </c>
      <c r="M4451" s="471">
        <f t="shared" si="171"/>
        <v>0.05</v>
      </c>
      <c r="N4451" s="475">
        <f t="shared" si="172"/>
        <v>186519</v>
      </c>
    </row>
    <row r="4452" spans="7:14" ht="11.25" customHeight="1" x14ac:dyDescent="0.3">
      <c r="G4452" s="470"/>
      <c r="H4452" s="470">
        <v>4445</v>
      </c>
      <c r="I4452" s="455">
        <f t="shared" ca="1" si="170"/>
        <v>-45431351676846.102</v>
      </c>
      <c r="J4452" s="455">
        <f t="array" ref="J4452">IFERROR(INDEX('Retirement Calculator'!K:K,MATCH('Lorri 401b'!N4452,'Retirement Calculator'!A:A,0),0),0)</f>
        <v>0</v>
      </c>
      <c r="K4452" s="455">
        <f t="shared" ca="1" si="168"/>
        <v>-189297298653.52542</v>
      </c>
      <c r="L4452" s="455">
        <f t="shared" ca="1" si="169"/>
        <v>-45620648975499.625</v>
      </c>
      <c r="M4452" s="471">
        <f t="shared" si="171"/>
        <v>0.05</v>
      </c>
      <c r="N4452" s="475">
        <f t="shared" si="172"/>
        <v>186549</v>
      </c>
    </row>
    <row r="4453" spans="7:14" ht="11.25" customHeight="1" x14ac:dyDescent="0.3">
      <c r="G4453" s="470"/>
      <c r="H4453" s="470">
        <v>4446</v>
      </c>
      <c r="I4453" s="455">
        <f t="shared" ca="1" si="170"/>
        <v>-45620648975499.625</v>
      </c>
      <c r="J4453" s="455">
        <f t="array" ref="J4453">IFERROR(INDEX('Retirement Calculator'!K:K,MATCH('Lorri 401b'!N4453,'Retirement Calculator'!A:A,0),0),0)</f>
        <v>0</v>
      </c>
      <c r="K4453" s="455">
        <f t="shared" ca="1" si="168"/>
        <v>-190086037397.9151</v>
      </c>
      <c r="L4453" s="455">
        <f t="shared" ca="1" si="169"/>
        <v>-45810735012897.539</v>
      </c>
      <c r="M4453" s="471">
        <f t="shared" si="171"/>
        <v>0.05</v>
      </c>
      <c r="N4453" s="475">
        <f t="shared" si="172"/>
        <v>186580</v>
      </c>
    </row>
    <row r="4454" spans="7:14" ht="11.25" customHeight="1" x14ac:dyDescent="0.3">
      <c r="G4454" s="470"/>
      <c r="H4454" s="470">
        <v>4447</v>
      </c>
      <c r="I4454" s="455">
        <f t="shared" ca="1" si="170"/>
        <v>-45810735012897.539</v>
      </c>
      <c r="J4454" s="455">
        <f t="array" ref="J4454">IFERROR(INDEX('Retirement Calculator'!K:K,MATCH('Lorri 401b'!N4454,'Retirement Calculator'!A:A,0),0),0)</f>
        <v>0</v>
      </c>
      <c r="K4454" s="455">
        <f t="shared" ca="1" si="168"/>
        <v>-190878062553.73975</v>
      </c>
      <c r="L4454" s="455">
        <f t="shared" ca="1" si="169"/>
        <v>-46001613075451.281</v>
      </c>
      <c r="M4454" s="471">
        <f t="shared" si="171"/>
        <v>0.05</v>
      </c>
      <c r="N4454" s="475">
        <f t="shared" si="172"/>
        <v>186610</v>
      </c>
    </row>
    <row r="4455" spans="7:14" ht="11.25" customHeight="1" x14ac:dyDescent="0.3">
      <c r="G4455" s="470"/>
      <c r="H4455" s="470">
        <v>4448</v>
      </c>
      <c r="I4455" s="455">
        <f t="shared" ca="1" si="170"/>
        <v>-46001613075451.281</v>
      </c>
      <c r="J4455" s="455">
        <f t="array" ref="J4455">IFERROR(INDEX('Retirement Calculator'!K:K,MATCH('Lorri 401b'!N4455,'Retirement Calculator'!A:A,0),0),0)</f>
        <v>0</v>
      </c>
      <c r="K4455" s="455">
        <f t="shared" ca="1" si="168"/>
        <v>-191673387814.38034</v>
      </c>
      <c r="L4455" s="455">
        <f t="shared" ca="1" si="169"/>
        <v>-46193286463265.664</v>
      </c>
      <c r="M4455" s="471">
        <f t="shared" si="171"/>
        <v>0.05</v>
      </c>
      <c r="N4455" s="475">
        <f t="shared" si="172"/>
        <v>186641</v>
      </c>
    </row>
    <row r="4456" spans="7:14" ht="11.25" customHeight="1" x14ac:dyDescent="0.3">
      <c r="G4456" s="470"/>
      <c r="H4456" s="470">
        <v>4449</v>
      </c>
      <c r="I4456" s="455">
        <f t="shared" ca="1" si="170"/>
        <v>-46193286463265.664</v>
      </c>
      <c r="J4456" s="455">
        <f t="array" ref="J4456">IFERROR(INDEX('Retirement Calculator'!K:K,MATCH('Lorri 401b'!N4456,'Retirement Calculator'!A:A,0),0),0)</f>
        <v>0</v>
      </c>
      <c r="K4456" s="455">
        <f t="shared" ca="1" si="168"/>
        <v>-192472026930.27359</v>
      </c>
      <c r="L4456" s="455">
        <f t="shared" ca="1" si="169"/>
        <v>-46385758490195.938</v>
      </c>
      <c r="M4456" s="471">
        <f t="shared" si="171"/>
        <v>0.05</v>
      </c>
      <c r="N4456" s="475">
        <f t="shared" si="172"/>
        <v>186672</v>
      </c>
    </row>
    <row r="4457" spans="7:14" ht="11.25" customHeight="1" x14ac:dyDescent="0.3">
      <c r="G4457" s="470"/>
      <c r="H4457" s="470">
        <v>4450</v>
      </c>
      <c r="I4457" s="455">
        <f t="shared" ca="1" si="170"/>
        <v>-46385758490195.938</v>
      </c>
      <c r="J4457" s="455">
        <f t="array" ref="J4457">IFERROR(INDEX('Retirement Calculator'!K:K,MATCH('Lorri 401b'!N4457,'Retirement Calculator'!A:A,0),0),0)</f>
        <v>0</v>
      </c>
      <c r="K4457" s="455">
        <f t="shared" ca="1" si="168"/>
        <v>-193273993709.14975</v>
      </c>
      <c r="L4457" s="455">
        <f t="shared" ca="1" si="169"/>
        <v>-46579032483905.086</v>
      </c>
      <c r="M4457" s="471">
        <f t="shared" si="171"/>
        <v>0.05</v>
      </c>
      <c r="N4457" s="475">
        <f t="shared" si="172"/>
        <v>186700</v>
      </c>
    </row>
    <row r="4458" spans="7:14" ht="11.25" customHeight="1" x14ac:dyDescent="0.3">
      <c r="G4458" s="470"/>
      <c r="H4458" s="470">
        <v>4451</v>
      </c>
      <c r="I4458" s="455">
        <f t="shared" ca="1" si="170"/>
        <v>-46579032483905.086</v>
      </c>
      <c r="J4458" s="455">
        <f t="array" ref="J4458">IFERROR(INDEX('Retirement Calculator'!K:K,MATCH('Lorri 401b'!N4458,'Retirement Calculator'!A:A,0),0),0)</f>
        <v>0</v>
      </c>
      <c r="K4458" s="455">
        <f t="shared" ca="1" si="168"/>
        <v>-194079302016.27118</v>
      </c>
      <c r="L4458" s="455">
        <f t="shared" ca="1" si="169"/>
        <v>-46773111785921.359</v>
      </c>
      <c r="M4458" s="471">
        <f t="shared" si="171"/>
        <v>0.05</v>
      </c>
      <c r="N4458" s="475">
        <f t="shared" si="172"/>
        <v>186731</v>
      </c>
    </row>
    <row r="4459" spans="7:14" ht="11.25" customHeight="1" x14ac:dyDescent="0.3">
      <c r="G4459" s="470"/>
      <c r="H4459" s="470">
        <v>4452</v>
      </c>
      <c r="I4459" s="455">
        <f t="shared" ca="1" si="170"/>
        <v>-46773111785921.359</v>
      </c>
      <c r="J4459" s="455">
        <f t="array" ref="J4459">IFERROR(INDEX('Retirement Calculator'!K:K,MATCH('Lorri 401b'!N4459,'Retirement Calculator'!A:A,0),0),0)</f>
        <v>0</v>
      </c>
      <c r="K4459" s="455">
        <f t="shared" ca="1" si="168"/>
        <v>-194887965774.67233</v>
      </c>
      <c r="L4459" s="455">
        <f t="shared" ca="1" si="169"/>
        <v>-46967999751696.031</v>
      </c>
      <c r="M4459" s="471">
        <f t="shared" si="171"/>
        <v>0.05</v>
      </c>
      <c r="N4459" s="475">
        <f t="shared" si="172"/>
        <v>186761</v>
      </c>
    </row>
    <row r="4460" spans="7:14" ht="11.25" customHeight="1" x14ac:dyDescent="0.3">
      <c r="G4460" s="470"/>
      <c r="H4460" s="470">
        <v>4453</v>
      </c>
      <c r="I4460" s="455">
        <f t="shared" ca="1" si="170"/>
        <v>-46967999751696.031</v>
      </c>
      <c r="J4460" s="455">
        <f t="array" ref="J4460">IFERROR(INDEX('Retirement Calculator'!K:K,MATCH('Lorri 401b'!N4460,'Retirement Calculator'!A:A,0),0),0)</f>
        <v>0</v>
      </c>
      <c r="K4460" s="455">
        <f t="shared" ca="1" si="168"/>
        <v>-195699998965.40012</v>
      </c>
      <c r="L4460" s="455">
        <f t="shared" ca="1" si="169"/>
        <v>-47163699750661.43</v>
      </c>
      <c r="M4460" s="471">
        <f t="shared" si="171"/>
        <v>0.05</v>
      </c>
      <c r="N4460" s="475">
        <f t="shared" si="172"/>
        <v>186792</v>
      </c>
    </row>
    <row r="4461" spans="7:14" ht="11.25" customHeight="1" x14ac:dyDescent="0.3">
      <c r="G4461" s="470"/>
      <c r="H4461" s="470">
        <v>4454</v>
      </c>
      <c r="I4461" s="455">
        <f t="shared" ca="1" si="170"/>
        <v>-47163699750661.43</v>
      </c>
      <c r="J4461" s="455">
        <f t="array" ref="J4461">IFERROR(INDEX('Retirement Calculator'!K:K,MATCH('Lorri 401b'!N4461,'Retirement Calculator'!A:A,0),0),0)</f>
        <v>0</v>
      </c>
      <c r="K4461" s="455">
        <f t="shared" ca="1" si="168"/>
        <v>-196515415627.75595</v>
      </c>
      <c r="L4461" s="455">
        <f t="shared" ca="1" si="169"/>
        <v>-47360215166289.188</v>
      </c>
      <c r="M4461" s="471">
        <f t="shared" si="171"/>
        <v>0.05</v>
      </c>
      <c r="N4461" s="475">
        <f t="shared" si="172"/>
        <v>186822</v>
      </c>
    </row>
    <row r="4462" spans="7:14" ht="11.25" customHeight="1" x14ac:dyDescent="0.3">
      <c r="G4462" s="470"/>
      <c r="H4462" s="470">
        <v>4455</v>
      </c>
      <c r="I4462" s="455">
        <f t="shared" ca="1" si="170"/>
        <v>-47360215166289.188</v>
      </c>
      <c r="J4462" s="455">
        <f t="array" ref="J4462">IFERROR(INDEX('Retirement Calculator'!K:K,MATCH('Lorri 401b'!N4462,'Retirement Calculator'!A:A,0),0),0)</f>
        <v>0</v>
      </c>
      <c r="K4462" s="455">
        <f t="shared" ca="1" si="168"/>
        <v>-197334229859.53827</v>
      </c>
      <c r="L4462" s="455">
        <f t="shared" ca="1" si="169"/>
        <v>-47557549396148.727</v>
      </c>
      <c r="M4462" s="471">
        <f t="shared" si="171"/>
        <v>0.05</v>
      </c>
      <c r="N4462" s="475">
        <f t="shared" si="172"/>
        <v>186853</v>
      </c>
    </row>
    <row r="4463" spans="7:14" ht="11.25" customHeight="1" x14ac:dyDescent="0.3">
      <c r="G4463" s="470"/>
      <c r="H4463" s="470">
        <v>4456</v>
      </c>
      <c r="I4463" s="455">
        <f t="shared" ca="1" si="170"/>
        <v>-47557549396148.727</v>
      </c>
      <c r="J4463" s="455">
        <f t="array" ref="J4463">IFERROR(INDEX('Retirement Calculator'!K:K,MATCH('Lorri 401b'!N4463,'Retirement Calculator'!A:A,0),0),0)</f>
        <v>0</v>
      </c>
      <c r="K4463" s="455">
        <f t="shared" ca="1" si="168"/>
        <v>-198156455817.28635</v>
      </c>
      <c r="L4463" s="455">
        <f t="shared" ca="1" si="169"/>
        <v>-47755705851966.016</v>
      </c>
      <c r="M4463" s="471">
        <f t="shared" si="171"/>
        <v>0.05</v>
      </c>
      <c r="N4463" s="475">
        <f t="shared" si="172"/>
        <v>186884</v>
      </c>
    </row>
    <row r="4464" spans="7:14" ht="11.25" customHeight="1" x14ac:dyDescent="0.3">
      <c r="G4464" s="470"/>
      <c r="H4464" s="470">
        <v>4457</v>
      </c>
      <c r="I4464" s="455">
        <f t="shared" ca="1" si="170"/>
        <v>-47755705851966.016</v>
      </c>
      <c r="J4464" s="455">
        <f t="array" ref="J4464">IFERROR(INDEX('Retirement Calculator'!K:K,MATCH('Lorri 401b'!N4464,'Retirement Calculator'!A:A,0),0),0)</f>
        <v>0</v>
      </c>
      <c r="K4464" s="455">
        <f t="shared" ca="1" si="168"/>
        <v>-198982107716.52505</v>
      </c>
      <c r="L4464" s="455">
        <f t="shared" ca="1" si="169"/>
        <v>-47954687959682.539</v>
      </c>
      <c r="M4464" s="471">
        <f t="shared" si="171"/>
        <v>0.05</v>
      </c>
      <c r="N4464" s="475">
        <f t="shared" si="172"/>
        <v>186914</v>
      </c>
    </row>
    <row r="4465" spans="7:14" ht="11.25" customHeight="1" x14ac:dyDescent="0.3">
      <c r="G4465" s="470"/>
      <c r="H4465" s="470">
        <v>4458</v>
      </c>
      <c r="I4465" s="455">
        <f t="shared" ca="1" si="170"/>
        <v>-47954687959682.539</v>
      </c>
      <c r="J4465" s="455">
        <f t="array" ref="J4465">IFERROR(INDEX('Retirement Calculator'!K:K,MATCH('Lorri 401b'!N4465,'Retirement Calculator'!A:A,0),0),0)</f>
        <v>0</v>
      </c>
      <c r="K4465" s="455">
        <f t="shared" ca="1" si="168"/>
        <v>-199811199832.01059</v>
      </c>
      <c r="L4465" s="455">
        <f t="shared" ca="1" si="169"/>
        <v>-48154499159514.547</v>
      </c>
      <c r="M4465" s="471">
        <f t="shared" si="171"/>
        <v>0.05</v>
      </c>
      <c r="N4465" s="475">
        <f t="shared" si="172"/>
        <v>186945</v>
      </c>
    </row>
    <row r="4466" spans="7:14" ht="11.25" customHeight="1" x14ac:dyDescent="0.3">
      <c r="G4466" s="470"/>
      <c r="H4466" s="470">
        <v>4459</v>
      </c>
      <c r="I4466" s="455">
        <f t="shared" ca="1" si="170"/>
        <v>-48154499159514.547</v>
      </c>
      <c r="J4466" s="455">
        <f t="array" ref="J4466">IFERROR(INDEX('Retirement Calculator'!K:K,MATCH('Lorri 401b'!N4466,'Retirement Calculator'!A:A,0),0),0)</f>
        <v>0</v>
      </c>
      <c r="K4466" s="455">
        <f t="shared" ca="1" si="168"/>
        <v>-200643746497.97726</v>
      </c>
      <c r="L4466" s="455">
        <f t="shared" ca="1" si="169"/>
        <v>-48355142906012.523</v>
      </c>
      <c r="M4466" s="471">
        <f t="shared" si="171"/>
        <v>0.05</v>
      </c>
      <c r="N4466" s="475">
        <f t="shared" si="172"/>
        <v>186975</v>
      </c>
    </row>
    <row r="4467" spans="7:14" ht="11.25" customHeight="1" x14ac:dyDescent="0.3">
      <c r="G4467" s="470"/>
      <c r="H4467" s="470">
        <v>4460</v>
      </c>
      <c r="I4467" s="455">
        <f t="shared" ca="1" si="170"/>
        <v>-48355142906012.523</v>
      </c>
      <c r="J4467" s="455">
        <f t="array" ref="J4467">IFERROR(INDEX('Retirement Calculator'!K:K,MATCH('Lorri 401b'!N4467,'Retirement Calculator'!A:A,0),0),0)</f>
        <v>0</v>
      </c>
      <c r="K4467" s="455">
        <f t="shared" ca="1" si="168"/>
        <v>-201479762108.3855</v>
      </c>
      <c r="L4467" s="455">
        <f t="shared" ca="1" si="169"/>
        <v>-48556622668120.906</v>
      </c>
      <c r="M4467" s="471">
        <f t="shared" si="171"/>
        <v>0.05</v>
      </c>
      <c r="N4467" s="475">
        <f t="shared" si="172"/>
        <v>187006</v>
      </c>
    </row>
    <row r="4468" spans="7:14" ht="11.25" customHeight="1" x14ac:dyDescent="0.3">
      <c r="G4468" s="470"/>
      <c r="H4468" s="470">
        <v>4461</v>
      </c>
      <c r="I4468" s="455">
        <f t="shared" ca="1" si="170"/>
        <v>-48556622668120.906</v>
      </c>
      <c r="J4468" s="455">
        <f t="array" ref="J4468">IFERROR(INDEX('Retirement Calculator'!K:K,MATCH('Lorri 401b'!N4468,'Retirement Calculator'!A:A,0),0),0)</f>
        <v>0</v>
      </c>
      <c r="K4468" s="455">
        <f t="shared" ca="1" si="168"/>
        <v>-202319261117.17044</v>
      </c>
      <c r="L4468" s="455">
        <f t="shared" ca="1" si="169"/>
        <v>-48758941929238.078</v>
      </c>
      <c r="M4468" s="471">
        <f t="shared" si="171"/>
        <v>0.05</v>
      </c>
      <c r="N4468" s="475">
        <f t="shared" si="172"/>
        <v>187037</v>
      </c>
    </row>
    <row r="4469" spans="7:14" ht="11.25" customHeight="1" x14ac:dyDescent="0.3">
      <c r="G4469" s="470"/>
      <c r="H4469" s="470">
        <v>4462</v>
      </c>
      <c r="I4469" s="455">
        <f t="shared" ca="1" si="170"/>
        <v>-48758941929238.078</v>
      </c>
      <c r="J4469" s="455">
        <f t="array" ref="J4469">IFERROR(INDEX('Retirement Calculator'!K:K,MATCH('Lorri 401b'!N4469,'Retirement Calculator'!A:A,0),0),0)</f>
        <v>0</v>
      </c>
      <c r="K4469" s="455">
        <f t="shared" ca="1" si="168"/>
        <v>-203162258038.492</v>
      </c>
      <c r="L4469" s="455">
        <f t="shared" ca="1" si="169"/>
        <v>-48962104187276.57</v>
      </c>
      <c r="M4469" s="471">
        <f t="shared" si="171"/>
        <v>0.05</v>
      </c>
      <c r="N4469" s="475">
        <f t="shared" si="172"/>
        <v>187066</v>
      </c>
    </row>
    <row r="4470" spans="7:14" ht="11.25" customHeight="1" x14ac:dyDescent="0.3">
      <c r="G4470" s="470"/>
      <c r="H4470" s="470">
        <v>4463</v>
      </c>
      <c r="I4470" s="455">
        <f t="shared" ca="1" si="170"/>
        <v>-48962104187276.57</v>
      </c>
      <c r="J4470" s="455">
        <f t="array" ref="J4470">IFERROR(INDEX('Retirement Calculator'!K:K,MATCH('Lorri 401b'!N4470,'Retirement Calculator'!A:A,0),0),0)</f>
        <v>0</v>
      </c>
      <c r="K4470" s="455">
        <f t="shared" ca="1" si="168"/>
        <v>-204008767446.98572</v>
      </c>
      <c r="L4470" s="455">
        <f t="shared" ca="1" si="169"/>
        <v>-49166112954723.555</v>
      </c>
      <c r="M4470" s="471">
        <f t="shared" si="171"/>
        <v>0.05</v>
      </c>
      <c r="N4470" s="475">
        <f t="shared" si="172"/>
        <v>187097</v>
      </c>
    </row>
    <row r="4471" spans="7:14" ht="11.25" customHeight="1" x14ac:dyDescent="0.3">
      <c r="G4471" s="470"/>
      <c r="H4471" s="470">
        <v>4464</v>
      </c>
      <c r="I4471" s="455">
        <f t="shared" ca="1" si="170"/>
        <v>-49166112954723.555</v>
      </c>
      <c r="J4471" s="455">
        <f t="array" ref="J4471">IFERROR(INDEX('Retirement Calculator'!K:K,MATCH('Lorri 401b'!N4471,'Retirement Calculator'!A:A,0),0),0)</f>
        <v>0</v>
      </c>
      <c r="K4471" s="455">
        <f t="shared" ca="1" si="168"/>
        <v>-204858803978.0148</v>
      </c>
      <c r="L4471" s="455">
        <f t="shared" ca="1" si="169"/>
        <v>-49370971758701.57</v>
      </c>
      <c r="M4471" s="471">
        <f t="shared" si="171"/>
        <v>0.05</v>
      </c>
      <c r="N4471" s="475">
        <f t="shared" si="172"/>
        <v>187127</v>
      </c>
    </row>
    <row r="4472" spans="7:14" ht="11.25" customHeight="1" x14ac:dyDescent="0.3">
      <c r="G4472" s="470"/>
      <c r="H4472" s="470">
        <v>4465</v>
      </c>
      <c r="I4472" s="455">
        <f t="shared" ca="1" si="170"/>
        <v>-49370971758701.57</v>
      </c>
      <c r="J4472" s="455">
        <f t="array" ref="J4472">IFERROR(INDEX('Retirement Calculator'!K:K,MATCH('Lorri 401b'!N4472,'Retirement Calculator'!A:A,0),0),0)</f>
        <v>0</v>
      </c>
      <c r="K4472" s="455">
        <f t="shared" ca="1" si="168"/>
        <v>-205712382327.92322</v>
      </c>
      <c r="L4472" s="455">
        <f t="shared" ca="1" si="169"/>
        <v>-49576684141029.492</v>
      </c>
      <c r="M4472" s="471">
        <f t="shared" si="171"/>
        <v>0.05</v>
      </c>
      <c r="N4472" s="475">
        <f t="shared" si="172"/>
        <v>187158</v>
      </c>
    </row>
    <row r="4473" spans="7:14" ht="11.25" customHeight="1" x14ac:dyDescent="0.3">
      <c r="G4473" s="470"/>
      <c r="H4473" s="470">
        <v>4466</v>
      </c>
      <c r="I4473" s="455">
        <f t="shared" ca="1" si="170"/>
        <v>-49576684141029.492</v>
      </c>
      <c r="J4473" s="455">
        <f t="array" ref="J4473">IFERROR(INDEX('Retirement Calculator'!K:K,MATCH('Lorri 401b'!N4473,'Retirement Calculator'!A:A,0),0),0)</f>
        <v>0</v>
      </c>
      <c r="K4473" s="455">
        <f t="shared" ca="1" si="168"/>
        <v>-206569517254.28955</v>
      </c>
      <c r="L4473" s="455">
        <f t="shared" ca="1" si="169"/>
        <v>-49783253658283.781</v>
      </c>
      <c r="M4473" s="471">
        <f t="shared" si="171"/>
        <v>0.05</v>
      </c>
      <c r="N4473" s="475">
        <f t="shared" si="172"/>
        <v>187188</v>
      </c>
    </row>
    <row r="4474" spans="7:14" ht="11.25" customHeight="1" x14ac:dyDescent="0.3">
      <c r="G4474" s="470"/>
      <c r="H4474" s="470">
        <v>4467</v>
      </c>
      <c r="I4474" s="455">
        <f t="shared" ca="1" si="170"/>
        <v>-49783253658283.781</v>
      </c>
      <c r="J4474" s="455">
        <f t="array" ref="J4474">IFERROR(INDEX('Retirement Calculator'!K:K,MATCH('Lorri 401b'!N4474,'Retirement Calculator'!A:A,0),0),0)</f>
        <v>0</v>
      </c>
      <c r="K4474" s="455">
        <f t="shared" ca="1" si="168"/>
        <v>-207430223576.18243</v>
      </c>
      <c r="L4474" s="455">
        <f t="shared" ca="1" si="169"/>
        <v>-49990683881859.961</v>
      </c>
      <c r="M4474" s="471">
        <f t="shared" si="171"/>
        <v>0.05</v>
      </c>
      <c r="N4474" s="475">
        <f t="shared" si="172"/>
        <v>187219</v>
      </c>
    </row>
    <row r="4475" spans="7:14" ht="11.25" customHeight="1" x14ac:dyDescent="0.3">
      <c r="G4475" s="470"/>
      <c r="H4475" s="470">
        <v>4468</v>
      </c>
      <c r="I4475" s="455">
        <f t="shared" ca="1" si="170"/>
        <v>-49990683881859.961</v>
      </c>
      <c r="J4475" s="455">
        <f t="array" ref="J4475">IFERROR(INDEX('Retirement Calculator'!K:K,MATCH('Lorri 401b'!N4475,'Retirement Calculator'!A:A,0),0),0)</f>
        <v>0</v>
      </c>
      <c r="K4475" s="455">
        <f t="shared" ca="1" si="168"/>
        <v>-208294516174.4165</v>
      </c>
      <c r="L4475" s="455">
        <f t="shared" ca="1" si="169"/>
        <v>-50198978398034.375</v>
      </c>
      <c r="M4475" s="471">
        <f t="shared" si="171"/>
        <v>0.05</v>
      </c>
      <c r="N4475" s="475">
        <f t="shared" si="172"/>
        <v>187250</v>
      </c>
    </row>
    <row r="4476" spans="7:14" ht="11.25" customHeight="1" x14ac:dyDescent="0.3">
      <c r="G4476" s="470"/>
      <c r="H4476" s="470">
        <v>4469</v>
      </c>
      <c r="I4476" s="455">
        <f t="shared" ca="1" si="170"/>
        <v>-50198978398034.375</v>
      </c>
      <c r="J4476" s="455">
        <f t="array" ref="J4476">IFERROR(INDEX('Retirement Calculator'!K:K,MATCH('Lorri 401b'!N4476,'Retirement Calculator'!A:A,0),0),0)</f>
        <v>0</v>
      </c>
      <c r="K4476" s="455">
        <f t="shared" ca="1" si="168"/>
        <v>-209162409991.80991</v>
      </c>
      <c r="L4476" s="455">
        <f t="shared" ca="1" si="169"/>
        <v>-50408140808026.188</v>
      </c>
      <c r="M4476" s="471">
        <f t="shared" si="171"/>
        <v>0.05</v>
      </c>
      <c r="N4476" s="475">
        <f t="shared" si="172"/>
        <v>187280</v>
      </c>
    </row>
    <row r="4477" spans="7:14" ht="11.25" customHeight="1" x14ac:dyDescent="0.3">
      <c r="G4477" s="470"/>
      <c r="H4477" s="470">
        <v>4470</v>
      </c>
      <c r="I4477" s="455">
        <f t="shared" ca="1" si="170"/>
        <v>-50408140808026.188</v>
      </c>
      <c r="J4477" s="455">
        <f t="array" ref="J4477">IFERROR(INDEX('Retirement Calculator'!K:K,MATCH('Lorri 401b'!N4477,'Retirement Calculator'!A:A,0),0),0)</f>
        <v>0</v>
      </c>
      <c r="K4477" s="455">
        <f t="shared" ca="1" si="168"/>
        <v>-210033920033.44244</v>
      </c>
      <c r="L4477" s="455">
        <f t="shared" ca="1" si="169"/>
        <v>-50618174728059.633</v>
      </c>
      <c r="M4477" s="471">
        <f t="shared" si="171"/>
        <v>0.05</v>
      </c>
      <c r="N4477" s="475">
        <f t="shared" si="172"/>
        <v>187311</v>
      </c>
    </row>
    <row r="4478" spans="7:14" ht="11.25" customHeight="1" x14ac:dyDescent="0.3">
      <c r="G4478" s="470"/>
      <c r="H4478" s="470">
        <v>4471</v>
      </c>
      <c r="I4478" s="455">
        <f t="shared" ca="1" si="170"/>
        <v>-50618174728059.633</v>
      </c>
      <c r="J4478" s="455">
        <f t="array" ref="J4478">IFERROR(INDEX('Retirement Calculator'!K:K,MATCH('Lorri 401b'!N4478,'Retirement Calculator'!A:A,0),0),0)</f>
        <v>0</v>
      </c>
      <c r="K4478" s="455">
        <f t="shared" ca="1" si="168"/>
        <v>-210909061366.91513</v>
      </c>
      <c r="L4478" s="455">
        <f t="shared" ca="1" si="169"/>
        <v>-50829083789426.547</v>
      </c>
      <c r="M4478" s="471">
        <f t="shared" si="171"/>
        <v>0.05</v>
      </c>
      <c r="N4478" s="475">
        <f t="shared" si="172"/>
        <v>187341</v>
      </c>
    </row>
    <row r="4479" spans="7:14" ht="11.25" customHeight="1" x14ac:dyDescent="0.3">
      <c r="G4479" s="470"/>
      <c r="H4479" s="470">
        <v>4472</v>
      </c>
      <c r="I4479" s="455">
        <f t="shared" ca="1" si="170"/>
        <v>-50829083789426.547</v>
      </c>
      <c r="J4479" s="455">
        <f t="array" ref="J4479">IFERROR(INDEX('Retirement Calculator'!K:K,MATCH('Lorri 401b'!N4479,'Retirement Calculator'!A:A,0),0),0)</f>
        <v>0</v>
      </c>
      <c r="K4479" s="455">
        <f t="shared" ca="1" si="168"/>
        <v>-211787849122.6106</v>
      </c>
      <c r="L4479" s="455">
        <f t="shared" ca="1" si="169"/>
        <v>-51040871638549.156</v>
      </c>
      <c r="M4479" s="471">
        <f t="shared" si="171"/>
        <v>0.05</v>
      </c>
      <c r="N4479" s="475">
        <f t="shared" si="172"/>
        <v>187372</v>
      </c>
    </row>
    <row r="4480" spans="7:14" ht="11.25" customHeight="1" x14ac:dyDescent="0.3">
      <c r="G4480" s="470"/>
      <c r="H4480" s="470">
        <v>4473</v>
      </c>
      <c r="I4480" s="455">
        <f t="shared" ca="1" si="170"/>
        <v>-51040871638549.156</v>
      </c>
      <c r="J4480" s="455">
        <f t="array" ref="J4480">IFERROR(INDEX('Retirement Calculator'!K:K,MATCH('Lorri 401b'!N4480,'Retirement Calculator'!A:A,0),0),0)</f>
        <v>0</v>
      </c>
      <c r="K4480" s="455">
        <f t="shared" ca="1" si="168"/>
        <v>-212670298493.9548</v>
      </c>
      <c r="L4480" s="455">
        <f t="shared" ca="1" si="169"/>
        <v>-51253541937043.109</v>
      </c>
      <c r="M4480" s="471">
        <f t="shared" si="171"/>
        <v>0.05</v>
      </c>
      <c r="N4480" s="475">
        <f t="shared" si="172"/>
        <v>187403</v>
      </c>
    </row>
    <row r="4481" spans="7:14" ht="11.25" customHeight="1" x14ac:dyDescent="0.3">
      <c r="G4481" s="470"/>
      <c r="H4481" s="470">
        <v>4474</v>
      </c>
      <c r="I4481" s="455">
        <f t="shared" ca="1" si="170"/>
        <v>-51253541937043.109</v>
      </c>
      <c r="J4481" s="455">
        <f t="array" ref="J4481">IFERROR(INDEX('Retirement Calculator'!K:K,MATCH('Lorri 401b'!N4481,'Retirement Calculator'!A:A,0),0),0)</f>
        <v>0</v>
      </c>
      <c r="K4481" s="455">
        <f t="shared" ca="1" si="168"/>
        <v>-213556424737.67963</v>
      </c>
      <c r="L4481" s="455">
        <f t="shared" ca="1" si="169"/>
        <v>-51467098361780.789</v>
      </c>
      <c r="M4481" s="471">
        <f t="shared" si="171"/>
        <v>0.05</v>
      </c>
      <c r="N4481" s="475">
        <f t="shared" si="172"/>
        <v>187431</v>
      </c>
    </row>
    <row r="4482" spans="7:14" ht="11.25" customHeight="1" x14ac:dyDescent="0.3">
      <c r="G4482" s="470"/>
      <c r="H4482" s="470">
        <v>4475</v>
      </c>
      <c r="I4482" s="455">
        <f t="shared" ca="1" si="170"/>
        <v>-51467098361780.789</v>
      </c>
      <c r="J4482" s="455">
        <f t="array" ref="J4482">IFERROR(INDEX('Retirement Calculator'!K:K,MATCH('Lorri 401b'!N4482,'Retirement Calculator'!A:A,0),0),0)</f>
        <v>0</v>
      </c>
      <c r="K4482" s="455">
        <f t="shared" ca="1" si="168"/>
        <v>-214446243174.08661</v>
      </c>
      <c r="L4482" s="455">
        <f t="shared" ca="1" si="169"/>
        <v>-51681544604954.875</v>
      </c>
      <c r="M4482" s="471">
        <f t="shared" si="171"/>
        <v>0.05</v>
      </c>
      <c r="N4482" s="475">
        <f t="shared" si="172"/>
        <v>187462</v>
      </c>
    </row>
    <row r="4483" spans="7:14" ht="11.25" customHeight="1" x14ac:dyDescent="0.3">
      <c r="G4483" s="470"/>
      <c r="H4483" s="470">
        <v>4476</v>
      </c>
      <c r="I4483" s="455">
        <f t="shared" ca="1" si="170"/>
        <v>-51681544604954.875</v>
      </c>
      <c r="J4483" s="455">
        <f t="array" ref="J4483">IFERROR(INDEX('Retirement Calculator'!K:K,MATCH('Lorri 401b'!N4483,'Retirement Calculator'!A:A,0),0),0)</f>
        <v>0</v>
      </c>
      <c r="K4483" s="455">
        <f t="shared" ca="1" si="168"/>
        <v>-215339769187.31198</v>
      </c>
      <c r="L4483" s="455">
        <f t="shared" ca="1" si="169"/>
        <v>-51896884374142.188</v>
      </c>
      <c r="M4483" s="471">
        <f t="shared" si="171"/>
        <v>0.05</v>
      </c>
      <c r="N4483" s="475">
        <f t="shared" si="172"/>
        <v>187492</v>
      </c>
    </row>
    <row r="4484" spans="7:14" ht="11.25" customHeight="1" x14ac:dyDescent="0.3">
      <c r="G4484" s="470"/>
      <c r="H4484" s="470">
        <v>4477</v>
      </c>
      <c r="I4484" s="455">
        <f t="shared" ca="1" si="170"/>
        <v>-51896884374142.188</v>
      </c>
      <c r="J4484" s="455">
        <f t="array" ref="J4484">IFERROR(INDEX('Retirement Calculator'!K:K,MATCH('Lorri 401b'!N4484,'Retirement Calculator'!A:A,0),0),0)</f>
        <v>0</v>
      </c>
      <c r="K4484" s="455">
        <f t="shared" ca="1" si="168"/>
        <v>-216237018225.59244</v>
      </c>
      <c r="L4484" s="455">
        <f t="shared" ca="1" si="169"/>
        <v>-52113121392367.781</v>
      </c>
      <c r="M4484" s="471">
        <f t="shared" si="171"/>
        <v>0.05</v>
      </c>
      <c r="N4484" s="475">
        <f t="shared" si="172"/>
        <v>187523</v>
      </c>
    </row>
    <row r="4485" spans="7:14" ht="11.25" customHeight="1" x14ac:dyDescent="0.3">
      <c r="G4485" s="470"/>
      <c r="H4485" s="470">
        <v>4478</v>
      </c>
      <c r="I4485" s="455">
        <f t="shared" ca="1" si="170"/>
        <v>-52113121392367.781</v>
      </c>
      <c r="J4485" s="455">
        <f t="array" ref="J4485">IFERROR(INDEX('Retirement Calculator'!K:K,MATCH('Lorri 401b'!N4485,'Retirement Calculator'!A:A,0),0),0)</f>
        <v>0</v>
      </c>
      <c r="K4485" s="455">
        <f t="shared" ca="1" si="168"/>
        <v>-217138005801.53241</v>
      </c>
      <c r="L4485" s="455">
        <f t="shared" ca="1" si="169"/>
        <v>-52330259398169.313</v>
      </c>
      <c r="M4485" s="471">
        <f t="shared" si="171"/>
        <v>0.05</v>
      </c>
      <c r="N4485" s="475">
        <f t="shared" si="172"/>
        <v>187553</v>
      </c>
    </row>
    <row r="4486" spans="7:14" ht="11.25" customHeight="1" x14ac:dyDescent="0.3">
      <c r="G4486" s="470"/>
      <c r="H4486" s="470">
        <v>4479</v>
      </c>
      <c r="I4486" s="455">
        <f t="shared" ca="1" si="170"/>
        <v>-52330259398169.313</v>
      </c>
      <c r="J4486" s="455">
        <f t="array" ref="J4486">IFERROR(INDEX('Retirement Calculator'!K:K,MATCH('Lorri 401b'!N4486,'Retirement Calculator'!A:A,0),0),0)</f>
        <v>0</v>
      </c>
      <c r="K4486" s="455">
        <f t="shared" ca="1" si="168"/>
        <v>-218042747492.37213</v>
      </c>
      <c r="L4486" s="455">
        <f t="shared" ca="1" si="169"/>
        <v>-52548302145661.688</v>
      </c>
      <c r="M4486" s="471">
        <f t="shared" si="171"/>
        <v>0.05</v>
      </c>
      <c r="N4486" s="475">
        <f t="shared" si="172"/>
        <v>187584</v>
      </c>
    </row>
    <row r="4487" spans="7:14" ht="11.25" customHeight="1" x14ac:dyDescent="0.3">
      <c r="G4487" s="470"/>
      <c r="H4487" s="470">
        <v>4480</v>
      </c>
      <c r="I4487" s="455">
        <f t="shared" ca="1" si="170"/>
        <v>-52548302145661.688</v>
      </c>
      <c r="J4487" s="455">
        <f t="array" ref="J4487">IFERROR(INDEX('Retirement Calculator'!K:K,MATCH('Lorri 401b'!N4487,'Retirement Calculator'!A:A,0),0),0)</f>
        <v>0</v>
      </c>
      <c r="K4487" s="455">
        <f t="shared" ca="1" si="168"/>
        <v>-218951258940.25702</v>
      </c>
      <c r="L4487" s="455">
        <f t="shared" ca="1" si="169"/>
        <v>-52767253404601.945</v>
      </c>
      <c r="M4487" s="471">
        <f t="shared" si="171"/>
        <v>0.05</v>
      </c>
      <c r="N4487" s="475">
        <f t="shared" si="172"/>
        <v>187615</v>
      </c>
    </row>
    <row r="4488" spans="7:14" ht="11.25" customHeight="1" x14ac:dyDescent="0.3">
      <c r="G4488" s="470"/>
      <c r="H4488" s="470">
        <v>4481</v>
      </c>
      <c r="I4488" s="455">
        <f t="shared" ca="1" si="170"/>
        <v>-52767253404601.945</v>
      </c>
      <c r="J4488" s="455">
        <f t="array" ref="J4488">IFERROR(INDEX('Retirement Calculator'!K:K,MATCH('Lorri 401b'!N4488,'Retirement Calculator'!A:A,0),0),0)</f>
        <v>0</v>
      </c>
      <c r="K4488" s="455">
        <f t="shared" ca="1" si="168"/>
        <v>-219863555852.50812</v>
      </c>
      <c r="L4488" s="455">
        <f t="shared" ca="1" si="169"/>
        <v>-52987116960454.453</v>
      </c>
      <c r="M4488" s="471">
        <f t="shared" si="171"/>
        <v>0.05</v>
      </c>
      <c r="N4488" s="475">
        <f t="shared" si="172"/>
        <v>187645</v>
      </c>
    </row>
    <row r="4489" spans="7:14" ht="11.25" customHeight="1" x14ac:dyDescent="0.3">
      <c r="G4489" s="470"/>
      <c r="H4489" s="470">
        <v>4482</v>
      </c>
      <c r="I4489" s="455">
        <f t="shared" ca="1" si="170"/>
        <v>-52987116960454.453</v>
      </c>
      <c r="J4489" s="455">
        <f t="array" ref="J4489">IFERROR(INDEX('Retirement Calculator'!K:K,MATCH('Lorri 401b'!N4489,'Retirement Calculator'!A:A,0),0),0)</f>
        <v>0</v>
      </c>
      <c r="K4489" s="455">
        <f t="shared" ca="1" si="168"/>
        <v>-220779654001.89355</v>
      </c>
      <c r="L4489" s="455">
        <f t="shared" ca="1" si="169"/>
        <v>-53207896614456.344</v>
      </c>
      <c r="M4489" s="471">
        <f t="shared" si="171"/>
        <v>0.05</v>
      </c>
      <c r="N4489" s="475">
        <f t="shared" si="172"/>
        <v>187676</v>
      </c>
    </row>
    <row r="4490" spans="7:14" ht="11.25" customHeight="1" x14ac:dyDescent="0.3">
      <c r="G4490" s="470"/>
      <c r="H4490" s="470">
        <v>4483</v>
      </c>
      <c r="I4490" s="455">
        <f t="shared" ca="1" si="170"/>
        <v>-53207896614456.344</v>
      </c>
      <c r="J4490" s="455">
        <f t="array" ref="J4490">IFERROR(INDEX('Retirement Calculator'!K:K,MATCH('Lorri 401b'!N4490,'Retirement Calculator'!A:A,0),0),0)</f>
        <v>0</v>
      </c>
      <c r="K4490" s="455">
        <f t="shared" ca="1" si="168"/>
        <v>-221699569226.90143</v>
      </c>
      <c r="L4490" s="455">
        <f t="shared" ca="1" si="169"/>
        <v>-53429596183683.242</v>
      </c>
      <c r="M4490" s="471">
        <f t="shared" si="171"/>
        <v>0.05</v>
      </c>
      <c r="N4490" s="475">
        <f t="shared" si="172"/>
        <v>187706</v>
      </c>
    </row>
    <row r="4491" spans="7:14" ht="11.25" customHeight="1" x14ac:dyDescent="0.3">
      <c r="G4491" s="470"/>
      <c r="H4491" s="470">
        <v>4484</v>
      </c>
      <c r="I4491" s="455">
        <f t="shared" ca="1" si="170"/>
        <v>-53429596183683.242</v>
      </c>
      <c r="J4491" s="455">
        <f t="array" ref="J4491">IFERROR(INDEX('Retirement Calculator'!K:K,MATCH('Lorri 401b'!N4491,'Retirement Calculator'!A:A,0),0),0)</f>
        <v>0</v>
      </c>
      <c r="K4491" s="455">
        <f t="shared" ca="1" si="168"/>
        <v>-222623317432.01352</v>
      </c>
      <c r="L4491" s="455">
        <f t="shared" ca="1" si="169"/>
        <v>-53652219501115.258</v>
      </c>
      <c r="M4491" s="471">
        <f t="shared" si="171"/>
        <v>0.05</v>
      </c>
      <c r="N4491" s="475">
        <f t="shared" si="172"/>
        <v>187737</v>
      </c>
    </row>
    <row r="4492" spans="7:14" ht="11.25" customHeight="1" x14ac:dyDescent="0.3">
      <c r="G4492" s="470"/>
      <c r="H4492" s="470">
        <v>4485</v>
      </c>
      <c r="I4492" s="455">
        <f t="shared" ca="1" si="170"/>
        <v>-53652219501115.258</v>
      </c>
      <c r="J4492" s="455">
        <f t="array" ref="J4492">IFERROR(INDEX('Retirement Calculator'!K:K,MATCH('Lorri 401b'!N4492,'Retirement Calculator'!A:A,0),0),0)</f>
        <v>0</v>
      </c>
      <c r="K4492" s="455">
        <f t="shared" ca="1" si="168"/>
        <v>-223550914587.98022</v>
      </c>
      <c r="L4492" s="455">
        <f t="shared" ca="1" si="169"/>
        <v>-53875770415703.234</v>
      </c>
      <c r="M4492" s="471">
        <f t="shared" si="171"/>
        <v>0.05</v>
      </c>
      <c r="N4492" s="475">
        <f t="shared" si="172"/>
        <v>187768</v>
      </c>
    </row>
    <row r="4493" spans="7:14" ht="11.25" customHeight="1" x14ac:dyDescent="0.3">
      <c r="G4493" s="470"/>
      <c r="H4493" s="470">
        <v>4486</v>
      </c>
      <c r="I4493" s="455">
        <f t="shared" ca="1" si="170"/>
        <v>-53875770415703.234</v>
      </c>
      <c r="J4493" s="455">
        <f t="array" ref="J4493">IFERROR(INDEX('Retirement Calculator'!K:K,MATCH('Lorri 401b'!N4493,'Retirement Calculator'!A:A,0),0),0)</f>
        <v>0</v>
      </c>
      <c r="K4493" s="455">
        <f t="shared" ca="1" si="168"/>
        <v>-224482376732.0968</v>
      </c>
      <c r="L4493" s="455">
        <f t="shared" ca="1" si="169"/>
        <v>-54100252792435.328</v>
      </c>
      <c r="M4493" s="471">
        <f t="shared" si="171"/>
        <v>0.05</v>
      </c>
      <c r="N4493" s="475">
        <f t="shared" si="172"/>
        <v>187796</v>
      </c>
    </row>
    <row r="4494" spans="7:14" ht="11.25" customHeight="1" x14ac:dyDescent="0.3">
      <c r="G4494" s="470"/>
      <c r="H4494" s="470">
        <v>4487</v>
      </c>
      <c r="I4494" s="455">
        <f t="shared" ca="1" si="170"/>
        <v>-54100252792435.328</v>
      </c>
      <c r="J4494" s="455">
        <f t="array" ref="J4494">IFERROR(INDEX('Retirement Calculator'!K:K,MATCH('Lorri 401b'!N4494,'Retirement Calculator'!A:A,0),0),0)</f>
        <v>0</v>
      </c>
      <c r="K4494" s="455">
        <f t="shared" ca="1" si="168"/>
        <v>-225417719968.48053</v>
      </c>
      <c r="L4494" s="455">
        <f t="shared" ca="1" si="169"/>
        <v>-54325670512403.813</v>
      </c>
      <c r="M4494" s="471">
        <f t="shared" si="171"/>
        <v>0.05</v>
      </c>
      <c r="N4494" s="475">
        <f t="shared" si="172"/>
        <v>187827</v>
      </c>
    </row>
    <row r="4495" spans="7:14" ht="11.25" customHeight="1" x14ac:dyDescent="0.3">
      <c r="G4495" s="470"/>
      <c r="H4495" s="470">
        <v>4488</v>
      </c>
      <c r="I4495" s="455">
        <f t="shared" ca="1" si="170"/>
        <v>-54325670512403.813</v>
      </c>
      <c r="J4495" s="455">
        <f t="array" ref="J4495">IFERROR(INDEX('Retirement Calculator'!K:K,MATCH('Lorri 401b'!N4495,'Retirement Calculator'!A:A,0),0),0)</f>
        <v>0</v>
      </c>
      <c r="K4495" s="455">
        <f t="shared" ca="1" si="168"/>
        <v>-226356960468.34921</v>
      </c>
      <c r="L4495" s="455">
        <f t="shared" ca="1" si="169"/>
        <v>-54552027472872.164</v>
      </c>
      <c r="M4495" s="471">
        <f t="shared" si="171"/>
        <v>0.05</v>
      </c>
      <c r="N4495" s="475">
        <f t="shared" si="172"/>
        <v>187857</v>
      </c>
    </row>
    <row r="4496" spans="7:14" ht="11.25" customHeight="1" x14ac:dyDescent="0.3">
      <c r="G4496" s="470"/>
      <c r="H4496" s="470">
        <v>4489</v>
      </c>
      <c r="I4496" s="455">
        <f t="shared" ca="1" si="170"/>
        <v>-54552027472872.164</v>
      </c>
      <c r="J4496" s="455">
        <f t="array" ref="J4496">IFERROR(INDEX('Retirement Calculator'!K:K,MATCH('Lorri 401b'!N4496,'Retirement Calculator'!A:A,0),0),0)</f>
        <v>0</v>
      </c>
      <c r="K4496" s="455">
        <f t="shared" ca="1" si="168"/>
        <v>-227300114470.30069</v>
      </c>
      <c r="L4496" s="455">
        <f t="shared" ca="1" si="169"/>
        <v>-54779327587342.461</v>
      </c>
      <c r="M4496" s="471">
        <f t="shared" si="171"/>
        <v>0.05</v>
      </c>
      <c r="N4496" s="475">
        <f t="shared" si="172"/>
        <v>187888</v>
      </c>
    </row>
    <row r="4497" spans="7:14" ht="11.25" customHeight="1" x14ac:dyDescent="0.3">
      <c r="G4497" s="470"/>
      <c r="H4497" s="470">
        <v>4490</v>
      </c>
      <c r="I4497" s="455">
        <f t="shared" ca="1" si="170"/>
        <v>-54779327587342.461</v>
      </c>
      <c r="J4497" s="455">
        <f t="array" ref="J4497">IFERROR(INDEX('Retirement Calculator'!K:K,MATCH('Lorri 401b'!N4497,'Retirement Calculator'!A:A,0),0),0)</f>
        <v>0</v>
      </c>
      <c r="K4497" s="455">
        <f t="shared" ca="1" si="168"/>
        <v>-228247198280.5936</v>
      </c>
      <c r="L4497" s="455">
        <f t="shared" ca="1" si="169"/>
        <v>-55007574785623.055</v>
      </c>
      <c r="M4497" s="471">
        <f t="shared" si="171"/>
        <v>0.05</v>
      </c>
      <c r="N4497" s="475">
        <f t="shared" si="172"/>
        <v>187918</v>
      </c>
    </row>
    <row r="4498" spans="7:14" ht="11.25" customHeight="1" x14ac:dyDescent="0.3">
      <c r="G4498" s="470"/>
      <c r="H4498" s="470">
        <v>4491</v>
      </c>
      <c r="I4498" s="455">
        <f t="shared" ca="1" si="170"/>
        <v>-55007574785623.055</v>
      </c>
      <c r="J4498" s="455">
        <f t="array" ref="J4498">IFERROR(INDEX('Retirement Calculator'!K:K,MATCH('Lorri 401b'!N4498,'Retirement Calculator'!A:A,0),0),0)</f>
        <v>0</v>
      </c>
      <c r="K4498" s="455">
        <f t="shared" ca="1" si="168"/>
        <v>-229198228273.42941</v>
      </c>
      <c r="L4498" s="455">
        <f t="shared" ca="1" si="169"/>
        <v>-55236773013896.484</v>
      </c>
      <c r="M4498" s="471">
        <f t="shared" si="171"/>
        <v>0.05</v>
      </c>
      <c r="N4498" s="475">
        <f t="shared" si="172"/>
        <v>187949</v>
      </c>
    </row>
    <row r="4499" spans="7:14" ht="11.25" customHeight="1" x14ac:dyDescent="0.3">
      <c r="G4499" s="470"/>
      <c r="H4499" s="470">
        <v>4492</v>
      </c>
      <c r="I4499" s="455">
        <f t="shared" ca="1" si="170"/>
        <v>-55236773013896.484</v>
      </c>
      <c r="J4499" s="455">
        <f t="array" ref="J4499">IFERROR(INDEX('Retirement Calculator'!K:K,MATCH('Lorri 401b'!N4499,'Retirement Calculator'!A:A,0),0),0)</f>
        <v>0</v>
      </c>
      <c r="K4499" s="455">
        <f t="shared" ca="1" si="168"/>
        <v>-230153220891.23532</v>
      </c>
      <c r="L4499" s="455">
        <f t="shared" ca="1" si="169"/>
        <v>-55466926234787.719</v>
      </c>
      <c r="M4499" s="471">
        <f t="shared" si="171"/>
        <v>0.05</v>
      </c>
      <c r="N4499" s="475">
        <f t="shared" si="172"/>
        <v>187980</v>
      </c>
    </row>
    <row r="4500" spans="7:14" ht="11.25" customHeight="1" x14ac:dyDescent="0.3">
      <c r="G4500" s="470"/>
      <c r="H4500" s="470">
        <v>4493</v>
      </c>
      <c r="I4500" s="455">
        <f t="shared" ca="1" si="170"/>
        <v>-55466926234787.719</v>
      </c>
      <c r="J4500" s="455">
        <f t="array" ref="J4500">IFERROR(INDEX('Retirement Calculator'!K:K,MATCH('Lorri 401b'!N4500,'Retirement Calculator'!A:A,0),0),0)</f>
        <v>0</v>
      </c>
      <c r="K4500" s="455">
        <f t="shared" ca="1" si="168"/>
        <v>-231112192644.94882</v>
      </c>
      <c r="L4500" s="455">
        <f t="shared" ca="1" si="169"/>
        <v>-55698038427432.664</v>
      </c>
      <c r="M4500" s="471">
        <f t="shared" si="171"/>
        <v>0.05</v>
      </c>
      <c r="N4500" s="475">
        <f t="shared" si="172"/>
        <v>188010</v>
      </c>
    </row>
    <row r="4501" spans="7:14" ht="11.25" customHeight="1" x14ac:dyDescent="0.3">
      <c r="G4501" s="470"/>
      <c r="H4501" s="470">
        <v>4494</v>
      </c>
      <c r="I4501" s="455">
        <f t="shared" ca="1" si="170"/>
        <v>-55698038427432.664</v>
      </c>
      <c r="J4501" s="455">
        <f t="array" ref="J4501">IFERROR(INDEX('Retirement Calculator'!K:K,MATCH('Lorri 401b'!N4501,'Retirement Calculator'!A:A,0),0),0)</f>
        <v>0</v>
      </c>
      <c r="K4501" s="455">
        <f t="shared" ca="1" si="168"/>
        <v>-232075160114.30276</v>
      </c>
      <c r="L4501" s="455">
        <f t="shared" ca="1" si="169"/>
        <v>-55930113587546.969</v>
      </c>
      <c r="M4501" s="471">
        <f t="shared" si="171"/>
        <v>0.05</v>
      </c>
      <c r="N4501" s="475">
        <f t="shared" si="172"/>
        <v>188041</v>
      </c>
    </row>
    <row r="4502" spans="7:14" ht="11.25" customHeight="1" x14ac:dyDescent="0.3">
      <c r="G4502" s="470"/>
      <c r="H4502" s="470">
        <v>4495</v>
      </c>
      <c r="I4502" s="455">
        <f t="shared" ca="1" si="170"/>
        <v>-55930113587546.969</v>
      </c>
      <c r="J4502" s="455">
        <f t="array" ref="J4502">IFERROR(INDEX('Retirement Calculator'!K:K,MATCH('Lorri 401b'!N4502,'Retirement Calculator'!A:A,0),0),0)</f>
        <v>0</v>
      </c>
      <c r="K4502" s="455">
        <f t="shared" ca="1" si="168"/>
        <v>-233042139948.11237</v>
      </c>
      <c r="L4502" s="455">
        <f t="shared" ca="1" si="169"/>
        <v>-56163155727495.078</v>
      </c>
      <c r="M4502" s="471">
        <f t="shared" si="171"/>
        <v>0.05</v>
      </c>
      <c r="N4502" s="475">
        <f t="shared" si="172"/>
        <v>188071</v>
      </c>
    </row>
    <row r="4503" spans="7:14" ht="11.25" customHeight="1" x14ac:dyDescent="0.3">
      <c r="G4503" s="470"/>
      <c r="H4503" s="470">
        <v>4496</v>
      </c>
      <c r="I4503" s="455">
        <f t="shared" ca="1" si="170"/>
        <v>-56163155727495.078</v>
      </c>
      <c r="J4503" s="455">
        <f t="array" ref="J4503">IFERROR(INDEX('Retirement Calculator'!K:K,MATCH('Lorri 401b'!N4503,'Retirement Calculator'!A:A,0),0),0)</f>
        <v>0</v>
      </c>
      <c r="K4503" s="455">
        <f t="shared" ca="1" si="168"/>
        <v>-234013148864.56284</v>
      </c>
      <c r="L4503" s="455">
        <f t="shared" ca="1" si="169"/>
        <v>-56397168876359.641</v>
      </c>
      <c r="M4503" s="471">
        <f t="shared" si="171"/>
        <v>0.05</v>
      </c>
      <c r="N4503" s="475">
        <f t="shared" si="172"/>
        <v>188102</v>
      </c>
    </row>
    <row r="4504" spans="7:14" ht="11.25" customHeight="1" x14ac:dyDescent="0.3">
      <c r="G4504" s="470"/>
      <c r="H4504" s="470">
        <v>4497</v>
      </c>
      <c r="I4504" s="455">
        <f t="shared" ca="1" si="170"/>
        <v>-56397168876359.641</v>
      </c>
      <c r="J4504" s="455">
        <f t="array" ref="J4504">IFERROR(INDEX('Retirement Calculator'!K:K,MATCH('Lorri 401b'!N4504,'Retirement Calculator'!A:A,0),0),0)</f>
        <v>0</v>
      </c>
      <c r="K4504" s="455">
        <f t="shared" ca="1" si="168"/>
        <v>-234988203651.49854</v>
      </c>
      <c r="L4504" s="455">
        <f t="shared" ca="1" si="169"/>
        <v>-56632157080011.141</v>
      </c>
      <c r="M4504" s="471">
        <f t="shared" si="171"/>
        <v>0.05</v>
      </c>
      <c r="N4504" s="475">
        <f t="shared" si="172"/>
        <v>188133</v>
      </c>
    </row>
    <row r="4505" spans="7:14" ht="11.25" customHeight="1" x14ac:dyDescent="0.3">
      <c r="G4505" s="470"/>
      <c r="H4505" s="470">
        <v>4498</v>
      </c>
      <c r="I4505" s="455">
        <f t="shared" ca="1" si="170"/>
        <v>-56632157080011.141</v>
      </c>
      <c r="J4505" s="455">
        <f t="array" ref="J4505">IFERROR(INDEX('Retirement Calculator'!K:K,MATCH('Lorri 401b'!N4505,'Retirement Calculator'!A:A,0),0),0)</f>
        <v>0</v>
      </c>
      <c r="K4505" s="455">
        <f t="shared" ca="1" si="168"/>
        <v>-235967321166.71307</v>
      </c>
      <c r="L4505" s="455">
        <f t="shared" ca="1" si="169"/>
        <v>-56868124401177.852</v>
      </c>
      <c r="M4505" s="471">
        <f t="shared" si="171"/>
        <v>0.05</v>
      </c>
      <c r="N4505" s="475">
        <f t="shared" si="172"/>
        <v>188161</v>
      </c>
    </row>
    <row r="4506" spans="7:14" ht="11.25" customHeight="1" x14ac:dyDescent="0.3">
      <c r="G4506" s="470"/>
      <c r="H4506" s="470">
        <v>4499</v>
      </c>
      <c r="I4506" s="455">
        <f t="shared" ca="1" si="170"/>
        <v>-56868124401177.852</v>
      </c>
      <c r="J4506" s="455">
        <f t="array" ref="J4506">IFERROR(INDEX('Retirement Calculator'!K:K,MATCH('Lorri 401b'!N4506,'Retirement Calculator'!A:A,0),0),0)</f>
        <v>0</v>
      </c>
      <c r="K4506" s="455">
        <f t="shared" ca="1" si="168"/>
        <v>-236950518338.241</v>
      </c>
      <c r="L4506" s="455">
        <f t="shared" ca="1" si="169"/>
        <v>-57105074919516.094</v>
      </c>
      <c r="M4506" s="471">
        <f t="shared" si="171"/>
        <v>0.05</v>
      </c>
      <c r="N4506" s="475">
        <f t="shared" si="172"/>
        <v>188192</v>
      </c>
    </row>
    <row r="4507" spans="7:14" ht="11.25" customHeight="1" x14ac:dyDescent="0.3">
      <c r="G4507" s="470"/>
      <c r="H4507" s="470">
        <v>4500</v>
      </c>
      <c r="I4507" s="455">
        <f t="shared" ca="1" si="170"/>
        <v>-57105074919516.094</v>
      </c>
      <c r="J4507" s="455">
        <f t="array" ref="J4507">IFERROR(INDEX('Retirement Calculator'!K:K,MATCH('Lorri 401b'!N4507,'Retirement Calculator'!A:A,0),0),0)</f>
        <v>0</v>
      </c>
      <c r="K4507" s="455">
        <f t="shared" ca="1" si="168"/>
        <v>-237937812164.65039</v>
      </c>
      <c r="L4507" s="455">
        <f t="shared" ca="1" si="169"/>
        <v>-57343012731680.742</v>
      </c>
      <c r="M4507" s="471">
        <f t="shared" si="171"/>
        <v>0.05</v>
      </c>
      <c r="N4507" s="475">
        <f t="shared" si="172"/>
        <v>188222</v>
      </c>
    </row>
    <row r="4508" spans="7:14" ht="11.25" customHeight="1" x14ac:dyDescent="0.3">
      <c r="G4508" s="470"/>
      <c r="H4508" s="470">
        <v>4501</v>
      </c>
      <c r="I4508" s="455">
        <f t="shared" ca="1" si="170"/>
        <v>-57343012731680.742</v>
      </c>
      <c r="J4508" s="455">
        <f t="array" ref="J4508">IFERROR(INDEX('Retirement Calculator'!K:K,MATCH('Lorri 401b'!N4508,'Retirement Calculator'!A:A,0),0),0)</f>
        <v>0</v>
      </c>
      <c r="K4508" s="455">
        <f t="shared" ca="1" si="168"/>
        <v>-238929219715.33643</v>
      </c>
      <c r="L4508" s="455">
        <f t="shared" ca="1" si="169"/>
        <v>-57581941951396.078</v>
      </c>
      <c r="M4508" s="471">
        <f t="shared" si="171"/>
        <v>0.05</v>
      </c>
      <c r="N4508" s="475">
        <f t="shared" si="172"/>
        <v>188253</v>
      </c>
    </row>
    <row r="4509" spans="7:14" ht="11.25" customHeight="1" x14ac:dyDescent="0.3">
      <c r="G4509" s="470"/>
      <c r="H4509" s="470">
        <v>4502</v>
      </c>
      <c r="I4509" s="455">
        <f t="shared" ca="1" si="170"/>
        <v>-57581941951396.078</v>
      </c>
      <c r="J4509" s="455">
        <f t="array" ref="J4509">IFERROR(INDEX('Retirement Calculator'!K:K,MATCH('Lorri 401b'!N4509,'Retirement Calculator'!A:A,0),0),0)</f>
        <v>0</v>
      </c>
      <c r="K4509" s="455">
        <f t="shared" ca="1" si="168"/>
        <v>-239924758130.81699</v>
      </c>
      <c r="L4509" s="455">
        <f t="shared" ca="1" si="169"/>
        <v>-57821866709526.898</v>
      </c>
      <c r="M4509" s="471">
        <f t="shared" si="171"/>
        <v>0.05</v>
      </c>
      <c r="N4509" s="475">
        <f t="shared" si="172"/>
        <v>188283</v>
      </c>
    </row>
    <row r="4510" spans="7:14" ht="11.25" customHeight="1" x14ac:dyDescent="0.3">
      <c r="G4510" s="470"/>
      <c r="H4510" s="470">
        <v>4503</v>
      </c>
      <c r="I4510" s="455">
        <f t="shared" ca="1" si="170"/>
        <v>-57821866709526.898</v>
      </c>
      <c r="J4510" s="455">
        <f t="array" ref="J4510">IFERROR(INDEX('Retirement Calculator'!K:K,MATCH('Lorri 401b'!N4510,'Retirement Calculator'!A:A,0),0),0)</f>
        <v>0</v>
      </c>
      <c r="K4510" s="455">
        <f t="shared" ca="1" si="168"/>
        <v>-240924444623.02875</v>
      </c>
      <c r="L4510" s="455">
        <f t="shared" ca="1" si="169"/>
        <v>-58062791154149.93</v>
      </c>
      <c r="M4510" s="471">
        <f t="shared" si="171"/>
        <v>0.05</v>
      </c>
      <c r="N4510" s="475">
        <f t="shared" si="172"/>
        <v>188314</v>
      </c>
    </row>
    <row r="4511" spans="7:14" ht="11.25" customHeight="1" x14ac:dyDescent="0.3">
      <c r="G4511" s="470"/>
      <c r="H4511" s="470">
        <v>4504</v>
      </c>
      <c r="I4511" s="455">
        <f t="shared" ca="1" si="170"/>
        <v>-58062791154149.93</v>
      </c>
      <c r="J4511" s="455">
        <f t="array" ref="J4511">IFERROR(INDEX('Retirement Calculator'!K:K,MATCH('Lorri 401b'!N4511,'Retirement Calculator'!A:A,0),0),0)</f>
        <v>0</v>
      </c>
      <c r="K4511" s="455">
        <f t="shared" ca="1" si="168"/>
        <v>-241928296475.62469</v>
      </c>
      <c r="L4511" s="455">
        <f t="shared" ca="1" si="169"/>
        <v>-58304719450625.555</v>
      </c>
      <c r="M4511" s="471">
        <f t="shared" si="171"/>
        <v>0.05</v>
      </c>
      <c r="N4511" s="475">
        <f t="shared" si="172"/>
        <v>188345</v>
      </c>
    </row>
    <row r="4512" spans="7:14" ht="11.25" customHeight="1" x14ac:dyDescent="0.3">
      <c r="G4512" s="470"/>
      <c r="H4512" s="470">
        <v>4505</v>
      </c>
      <c r="I4512" s="455">
        <f t="shared" ca="1" si="170"/>
        <v>-58304719450625.555</v>
      </c>
      <c r="J4512" s="455">
        <f t="array" ref="J4512">IFERROR(INDEX('Retirement Calculator'!K:K,MATCH('Lorri 401b'!N4512,'Retirement Calculator'!A:A,0),0),0)</f>
        <v>0</v>
      </c>
      <c r="K4512" s="455">
        <f t="shared" ca="1" si="168"/>
        <v>-242936331044.27313</v>
      </c>
      <c r="L4512" s="455">
        <f t="shared" ca="1" si="169"/>
        <v>-58547655781669.828</v>
      </c>
      <c r="M4512" s="471">
        <f t="shared" si="171"/>
        <v>0.05</v>
      </c>
      <c r="N4512" s="475">
        <f t="shared" si="172"/>
        <v>188375</v>
      </c>
    </row>
    <row r="4513" spans="7:14" ht="11.25" customHeight="1" x14ac:dyDescent="0.3">
      <c r="G4513" s="470"/>
      <c r="H4513" s="470">
        <v>4506</v>
      </c>
      <c r="I4513" s="455">
        <f t="shared" ca="1" si="170"/>
        <v>-58547655781669.828</v>
      </c>
      <c r="J4513" s="455">
        <f t="array" ref="J4513">IFERROR(INDEX('Retirement Calculator'!K:K,MATCH('Lorri 401b'!N4513,'Retirement Calculator'!A:A,0),0),0)</f>
        <v>0</v>
      </c>
      <c r="K4513" s="455">
        <f t="shared" ca="1" si="168"/>
        <v>-243948565756.95758</v>
      </c>
      <c r="L4513" s="455">
        <f t="shared" ca="1" si="169"/>
        <v>-58791604347426.789</v>
      </c>
      <c r="M4513" s="471">
        <f t="shared" si="171"/>
        <v>0.05</v>
      </c>
      <c r="N4513" s="475">
        <f t="shared" si="172"/>
        <v>188406</v>
      </c>
    </row>
    <row r="4514" spans="7:14" ht="11.25" customHeight="1" x14ac:dyDescent="0.3">
      <c r="G4514" s="470"/>
      <c r="H4514" s="470">
        <v>4507</v>
      </c>
      <c r="I4514" s="455">
        <f t="shared" ca="1" si="170"/>
        <v>-58791604347426.789</v>
      </c>
      <c r="J4514" s="455">
        <f t="array" ref="J4514">IFERROR(INDEX('Retirement Calculator'!K:K,MATCH('Lorri 401b'!N4514,'Retirement Calculator'!A:A,0),0),0)</f>
        <v>0</v>
      </c>
      <c r="K4514" s="455">
        <f t="shared" ca="1" si="168"/>
        <v>-244965018114.27832</v>
      </c>
      <c r="L4514" s="455">
        <f t="shared" ca="1" si="169"/>
        <v>-59036569365541.07</v>
      </c>
      <c r="M4514" s="471">
        <f t="shared" si="171"/>
        <v>0.05</v>
      </c>
      <c r="N4514" s="475">
        <f t="shared" si="172"/>
        <v>188436</v>
      </c>
    </row>
    <row r="4515" spans="7:14" ht="11.25" customHeight="1" x14ac:dyDescent="0.3">
      <c r="G4515" s="470"/>
      <c r="H4515" s="470">
        <v>4508</v>
      </c>
      <c r="I4515" s="455">
        <f t="shared" ca="1" si="170"/>
        <v>-59036569365541.07</v>
      </c>
      <c r="J4515" s="455">
        <f t="array" ref="J4515">IFERROR(INDEX('Retirement Calculator'!K:K,MATCH('Lorri 401b'!N4515,'Retirement Calculator'!A:A,0),0),0)</f>
        <v>0</v>
      </c>
      <c r="K4515" s="455">
        <f t="shared" ca="1" si="168"/>
        <v>-245985705689.75446</v>
      </c>
      <c r="L4515" s="455">
        <f t="shared" ca="1" si="169"/>
        <v>-59282555071230.828</v>
      </c>
      <c r="M4515" s="471">
        <f t="shared" si="171"/>
        <v>0.05</v>
      </c>
      <c r="N4515" s="475">
        <f t="shared" si="172"/>
        <v>188467</v>
      </c>
    </row>
    <row r="4516" spans="7:14" ht="11.25" customHeight="1" x14ac:dyDescent="0.3">
      <c r="G4516" s="470"/>
      <c r="H4516" s="470">
        <v>4509</v>
      </c>
      <c r="I4516" s="455">
        <f t="shared" ca="1" si="170"/>
        <v>-59282555071230.828</v>
      </c>
      <c r="J4516" s="455">
        <f t="array" ref="J4516">IFERROR(INDEX('Retirement Calculator'!K:K,MATCH('Lorri 401b'!N4516,'Retirement Calculator'!A:A,0),0),0)</f>
        <v>0</v>
      </c>
      <c r="K4516" s="455">
        <f t="shared" ca="1" si="168"/>
        <v>-247010646130.12845</v>
      </c>
      <c r="L4516" s="455">
        <f t="shared" ca="1" si="169"/>
        <v>-59529565717360.953</v>
      </c>
      <c r="M4516" s="471">
        <f t="shared" si="171"/>
        <v>0.05</v>
      </c>
      <c r="N4516" s="475">
        <f t="shared" si="172"/>
        <v>188498</v>
      </c>
    </row>
    <row r="4517" spans="7:14" ht="11.25" customHeight="1" x14ac:dyDescent="0.3">
      <c r="G4517" s="470"/>
      <c r="H4517" s="470">
        <v>4510</v>
      </c>
      <c r="I4517" s="455">
        <f t="shared" ca="1" si="170"/>
        <v>-59529565717360.953</v>
      </c>
      <c r="J4517" s="455">
        <f t="array" ref="J4517">IFERROR(INDEX('Retirement Calculator'!K:K,MATCH('Lorri 401b'!N4517,'Retirement Calculator'!A:A,0),0),0)</f>
        <v>0</v>
      </c>
      <c r="K4517" s="455">
        <f t="shared" ca="1" si="168"/>
        <v>-248039857155.67065</v>
      </c>
      <c r="L4517" s="455">
        <f t="shared" ca="1" si="169"/>
        <v>-59777605574516.625</v>
      </c>
      <c r="M4517" s="471">
        <f t="shared" si="171"/>
        <v>0.05</v>
      </c>
      <c r="N4517" s="475">
        <f t="shared" si="172"/>
        <v>188527</v>
      </c>
    </row>
    <row r="4518" spans="7:14" ht="11.25" customHeight="1" x14ac:dyDescent="0.3">
      <c r="G4518" s="470"/>
      <c r="H4518" s="470">
        <v>4511</v>
      </c>
      <c r="I4518" s="455">
        <f t="shared" ca="1" si="170"/>
        <v>-59777605574516.625</v>
      </c>
      <c r="J4518" s="455">
        <f t="array" ref="J4518">IFERROR(INDEX('Retirement Calculator'!K:K,MATCH('Lorri 401b'!N4518,'Retirement Calculator'!A:A,0),0),0)</f>
        <v>0</v>
      </c>
      <c r="K4518" s="455">
        <f t="shared" ca="1" si="168"/>
        <v>-249073356560.48593</v>
      </c>
      <c r="L4518" s="455">
        <f t="shared" ca="1" si="169"/>
        <v>-60026678931077.109</v>
      </c>
      <c r="M4518" s="471">
        <f t="shared" si="171"/>
        <v>0.05</v>
      </c>
      <c r="N4518" s="475">
        <f t="shared" si="172"/>
        <v>188558</v>
      </c>
    </row>
    <row r="4519" spans="7:14" ht="11.25" customHeight="1" x14ac:dyDescent="0.3">
      <c r="G4519" s="470"/>
      <c r="H4519" s="470">
        <v>4512</v>
      </c>
      <c r="I4519" s="455">
        <f t="shared" ca="1" si="170"/>
        <v>-60026678931077.109</v>
      </c>
      <c r="J4519" s="455">
        <f t="array" ref="J4519">IFERROR(INDEX('Retirement Calculator'!K:K,MATCH('Lorri 401b'!N4519,'Retirement Calculator'!A:A,0),0),0)</f>
        <v>0</v>
      </c>
      <c r="K4519" s="455">
        <f t="shared" ca="1" si="168"/>
        <v>-250111162212.82129</v>
      </c>
      <c r="L4519" s="455">
        <f t="shared" ca="1" si="169"/>
        <v>-60276790093289.93</v>
      </c>
      <c r="M4519" s="471">
        <f t="shared" si="171"/>
        <v>0.05</v>
      </c>
      <c r="N4519" s="475">
        <f t="shared" si="172"/>
        <v>188588</v>
      </c>
    </row>
    <row r="4520" spans="7:14" ht="11.25" customHeight="1" x14ac:dyDescent="0.3">
      <c r="G4520" s="470"/>
      <c r="H4520" s="470">
        <v>4513</v>
      </c>
      <c r="I4520" s="455">
        <f t="shared" ca="1" si="170"/>
        <v>-60276790093289.93</v>
      </c>
      <c r="J4520" s="455">
        <f t="array" ref="J4520">IFERROR(INDEX('Retirement Calculator'!K:K,MATCH('Lorri 401b'!N4520,'Retirement Calculator'!A:A,0),0),0)</f>
        <v>0</v>
      </c>
      <c r="K4520" s="455">
        <f t="shared" ca="1" si="168"/>
        <v>-251153292055.37473</v>
      </c>
      <c r="L4520" s="455">
        <f t="shared" ca="1" si="169"/>
        <v>-60527943385345.305</v>
      </c>
      <c r="M4520" s="471">
        <f t="shared" si="171"/>
        <v>0.05</v>
      </c>
      <c r="N4520" s="475">
        <f t="shared" si="172"/>
        <v>188619</v>
      </c>
    </row>
    <row r="4521" spans="7:14" ht="11.25" customHeight="1" x14ac:dyDescent="0.3">
      <c r="G4521" s="470"/>
      <c r="H4521" s="470">
        <v>4514</v>
      </c>
      <c r="I4521" s="455">
        <f t="shared" ca="1" si="170"/>
        <v>-60527943385345.305</v>
      </c>
      <c r="J4521" s="455">
        <f t="array" ref="J4521">IFERROR(INDEX('Retirement Calculator'!K:K,MATCH('Lorri 401b'!N4521,'Retirement Calculator'!A:A,0),0),0)</f>
        <v>0</v>
      </c>
      <c r="K4521" s="455">
        <f t="shared" ca="1" si="168"/>
        <v>-252199764105.60544</v>
      </c>
      <c r="L4521" s="455">
        <f t="shared" ca="1" si="169"/>
        <v>-60780143149450.906</v>
      </c>
      <c r="M4521" s="471">
        <f t="shared" si="171"/>
        <v>0.05</v>
      </c>
      <c r="N4521" s="475">
        <f t="shared" si="172"/>
        <v>188649</v>
      </c>
    </row>
    <row r="4522" spans="7:14" ht="11.25" customHeight="1" x14ac:dyDescent="0.3">
      <c r="G4522" s="470"/>
      <c r="H4522" s="470">
        <v>4515</v>
      </c>
      <c r="I4522" s="455">
        <f t="shared" ca="1" si="170"/>
        <v>-60780143149450.906</v>
      </c>
      <c r="J4522" s="455">
        <f t="array" ref="J4522">IFERROR(INDEX('Retirement Calculator'!K:K,MATCH('Lorri 401b'!N4522,'Retirement Calculator'!A:A,0),0),0)</f>
        <v>0</v>
      </c>
      <c r="K4522" s="455">
        <f t="shared" ca="1" si="168"/>
        <v>-253250596456.04544</v>
      </c>
      <c r="L4522" s="455">
        <f t="shared" ca="1" si="169"/>
        <v>-61033393745906.953</v>
      </c>
      <c r="M4522" s="471">
        <f t="shared" si="171"/>
        <v>0.05</v>
      </c>
      <c r="N4522" s="475">
        <f t="shared" si="172"/>
        <v>188680</v>
      </c>
    </row>
    <row r="4523" spans="7:14" ht="11.25" customHeight="1" x14ac:dyDescent="0.3">
      <c r="G4523" s="470"/>
      <c r="H4523" s="470">
        <v>4516</v>
      </c>
      <c r="I4523" s="455">
        <f t="shared" ca="1" si="170"/>
        <v>-61033393745906.953</v>
      </c>
      <c r="J4523" s="455">
        <f t="array" ref="J4523">IFERROR(INDEX('Retirement Calculator'!K:K,MATCH('Lorri 401b'!N4523,'Retirement Calculator'!A:A,0),0),0)</f>
        <v>0</v>
      </c>
      <c r="K4523" s="455">
        <f t="shared" ca="1" si="168"/>
        <v>-254305807274.6123</v>
      </c>
      <c r="L4523" s="455">
        <f t="shared" ca="1" si="169"/>
        <v>-61287699553181.563</v>
      </c>
      <c r="M4523" s="471">
        <f t="shared" si="171"/>
        <v>0.05</v>
      </c>
      <c r="N4523" s="475">
        <f t="shared" si="172"/>
        <v>188711</v>
      </c>
    </row>
    <row r="4524" spans="7:14" ht="11.25" customHeight="1" x14ac:dyDescent="0.3">
      <c r="G4524" s="470"/>
      <c r="H4524" s="470">
        <v>4517</v>
      </c>
      <c r="I4524" s="455">
        <f t="shared" ca="1" si="170"/>
        <v>-61287699553181.563</v>
      </c>
      <c r="J4524" s="455">
        <f t="array" ref="J4524">IFERROR(INDEX('Retirement Calculator'!K:K,MATCH('Lorri 401b'!N4524,'Retirement Calculator'!A:A,0),0),0)</f>
        <v>0</v>
      </c>
      <c r="K4524" s="455">
        <f t="shared" ca="1" si="168"/>
        <v>-255365414804.92319</v>
      </c>
      <c r="L4524" s="455">
        <f t="shared" ca="1" si="169"/>
        <v>-61543064967986.484</v>
      </c>
      <c r="M4524" s="471">
        <f t="shared" si="171"/>
        <v>0.05</v>
      </c>
      <c r="N4524" s="475">
        <f t="shared" si="172"/>
        <v>188741</v>
      </c>
    </row>
    <row r="4525" spans="7:14" ht="11.25" customHeight="1" x14ac:dyDescent="0.3">
      <c r="G4525" s="470"/>
      <c r="H4525" s="470">
        <v>4518</v>
      </c>
      <c r="I4525" s="455">
        <f t="shared" ca="1" si="170"/>
        <v>-61543064967986.484</v>
      </c>
      <c r="J4525" s="455">
        <f t="array" ref="J4525">IFERROR(INDEX('Retirement Calculator'!K:K,MATCH('Lorri 401b'!N4525,'Retirement Calculator'!A:A,0),0),0)</f>
        <v>0</v>
      </c>
      <c r="K4525" s="455">
        <f t="shared" ca="1" si="168"/>
        <v>-256429437366.61035</v>
      </c>
      <c r="L4525" s="455">
        <f t="shared" ca="1" si="169"/>
        <v>-61799494405353.094</v>
      </c>
      <c r="M4525" s="471">
        <f t="shared" si="171"/>
        <v>0.05</v>
      </c>
      <c r="N4525" s="475">
        <f t="shared" si="172"/>
        <v>188772</v>
      </c>
    </row>
    <row r="4526" spans="7:14" ht="11.25" customHeight="1" x14ac:dyDescent="0.3">
      <c r="G4526" s="470"/>
      <c r="H4526" s="470">
        <v>4519</v>
      </c>
      <c r="I4526" s="455">
        <f t="shared" ca="1" si="170"/>
        <v>-61799494405353.094</v>
      </c>
      <c r="J4526" s="455">
        <f t="array" ref="J4526">IFERROR(INDEX('Retirement Calculator'!K:K,MATCH('Lorri 401b'!N4526,'Retirement Calculator'!A:A,0),0),0)</f>
        <v>0</v>
      </c>
      <c r="K4526" s="455">
        <f t="shared" ca="1" si="168"/>
        <v>-257497893355.63791</v>
      </c>
      <c r="L4526" s="455">
        <f t="shared" ca="1" si="169"/>
        <v>-62056992298708.734</v>
      </c>
      <c r="M4526" s="471">
        <f t="shared" si="171"/>
        <v>0.05</v>
      </c>
      <c r="N4526" s="475">
        <f t="shared" si="172"/>
        <v>188802</v>
      </c>
    </row>
    <row r="4527" spans="7:14" ht="11.25" customHeight="1" x14ac:dyDescent="0.3">
      <c r="G4527" s="470"/>
      <c r="H4527" s="470">
        <v>4520</v>
      </c>
      <c r="I4527" s="455">
        <f t="shared" ca="1" si="170"/>
        <v>-62056992298708.734</v>
      </c>
      <c r="J4527" s="455">
        <f t="array" ref="J4527">IFERROR(INDEX('Retirement Calculator'!K:K,MATCH('Lorri 401b'!N4527,'Retirement Calculator'!A:A,0),0),0)</f>
        <v>0</v>
      </c>
      <c r="K4527" s="455">
        <f t="shared" ca="1" si="168"/>
        <v>-258570801244.61972</v>
      </c>
      <c r="L4527" s="455">
        <f t="shared" ca="1" si="169"/>
        <v>-62315563099953.352</v>
      </c>
      <c r="M4527" s="471">
        <f t="shared" si="171"/>
        <v>0.05</v>
      </c>
      <c r="N4527" s="475">
        <f t="shared" si="172"/>
        <v>188833</v>
      </c>
    </row>
    <row r="4528" spans="7:14" ht="11.25" customHeight="1" x14ac:dyDescent="0.3">
      <c r="G4528" s="470"/>
      <c r="H4528" s="470">
        <v>4521</v>
      </c>
      <c r="I4528" s="455">
        <f t="shared" ca="1" si="170"/>
        <v>-62315563099953.352</v>
      </c>
      <c r="J4528" s="455">
        <f t="array" ref="J4528">IFERROR(INDEX('Retirement Calculator'!K:K,MATCH('Lorri 401b'!N4528,'Retirement Calculator'!A:A,0),0),0)</f>
        <v>0</v>
      </c>
      <c r="K4528" s="455">
        <f t="shared" ca="1" si="168"/>
        <v>-259648179583.13901</v>
      </c>
      <c r="L4528" s="455">
        <f t="shared" ca="1" si="169"/>
        <v>-62575211279536.492</v>
      </c>
      <c r="M4528" s="471">
        <f t="shared" si="171"/>
        <v>0.05</v>
      </c>
      <c r="N4528" s="475">
        <f t="shared" si="172"/>
        <v>188864</v>
      </c>
    </row>
    <row r="4529" spans="7:14" ht="11.25" customHeight="1" x14ac:dyDescent="0.3">
      <c r="G4529" s="470"/>
      <c r="H4529" s="470">
        <v>4522</v>
      </c>
      <c r="I4529" s="455">
        <f t="shared" ca="1" si="170"/>
        <v>-62575211279536.492</v>
      </c>
      <c r="J4529" s="455">
        <f t="array" ref="J4529">IFERROR(INDEX('Retirement Calculator'!K:K,MATCH('Lorri 401b'!N4529,'Retirement Calculator'!A:A,0),0),0)</f>
        <v>0</v>
      </c>
      <c r="K4529" s="455">
        <f t="shared" ca="1" si="168"/>
        <v>-260730046998.06873</v>
      </c>
      <c r="L4529" s="455">
        <f t="shared" ca="1" si="169"/>
        <v>-62835941326534.563</v>
      </c>
      <c r="M4529" s="471">
        <f t="shared" si="171"/>
        <v>0.05</v>
      </c>
      <c r="N4529" s="475">
        <f t="shared" si="172"/>
        <v>188892</v>
      </c>
    </row>
    <row r="4530" spans="7:14" ht="11.25" customHeight="1" x14ac:dyDescent="0.3">
      <c r="G4530" s="470"/>
      <c r="H4530" s="470">
        <v>4523</v>
      </c>
      <c r="I4530" s="455">
        <f t="shared" ca="1" si="170"/>
        <v>-62835941326534.563</v>
      </c>
      <c r="J4530" s="455">
        <f t="array" ref="J4530">IFERROR(INDEX('Retirement Calculator'!K:K,MATCH('Lorri 401b'!N4530,'Retirement Calculator'!A:A,0),0),0)</f>
        <v>0</v>
      </c>
      <c r="K4530" s="455">
        <f t="shared" ca="1" si="168"/>
        <v>-261816422193.89401</v>
      </c>
      <c r="L4530" s="455">
        <f t="shared" ca="1" si="169"/>
        <v>-63097757748728.453</v>
      </c>
      <c r="M4530" s="471">
        <f t="shared" si="171"/>
        <v>0.05</v>
      </c>
      <c r="N4530" s="475">
        <f t="shared" si="172"/>
        <v>188923</v>
      </c>
    </row>
    <row r="4531" spans="7:14" ht="11.25" customHeight="1" x14ac:dyDescent="0.3">
      <c r="G4531" s="470"/>
      <c r="H4531" s="470">
        <v>4524</v>
      </c>
      <c r="I4531" s="455">
        <f t="shared" ca="1" si="170"/>
        <v>-63097757748728.453</v>
      </c>
      <c r="J4531" s="455">
        <f t="array" ref="J4531">IFERROR(INDEX('Retirement Calculator'!K:K,MATCH('Lorri 401b'!N4531,'Retirement Calculator'!A:A,0),0),0)</f>
        <v>0</v>
      </c>
      <c r="K4531" s="455">
        <f t="shared" ca="1" si="168"/>
        <v>-262907323953.03519</v>
      </c>
      <c r="L4531" s="455">
        <f t="shared" ca="1" si="169"/>
        <v>-63360665072681.492</v>
      </c>
      <c r="M4531" s="471">
        <f t="shared" si="171"/>
        <v>0.05</v>
      </c>
      <c r="N4531" s="475">
        <f t="shared" si="172"/>
        <v>188953</v>
      </c>
    </row>
    <row r="4532" spans="7:14" ht="11.25" customHeight="1" x14ac:dyDescent="0.3">
      <c r="G4532" s="470"/>
      <c r="H4532" s="470">
        <v>4525</v>
      </c>
      <c r="I4532" s="455">
        <f t="shared" ca="1" si="170"/>
        <v>-63360665072681.492</v>
      </c>
      <c r="J4532" s="455">
        <f t="array" ref="J4532">IFERROR(INDEX('Retirement Calculator'!K:K,MATCH('Lorri 401b'!N4532,'Retirement Calculator'!A:A,0),0),0)</f>
        <v>0</v>
      </c>
      <c r="K4532" s="455">
        <f t="shared" ca="1" si="168"/>
        <v>-264002771136.17285</v>
      </c>
      <c r="L4532" s="455">
        <f t="shared" ca="1" si="169"/>
        <v>-63624667843817.664</v>
      </c>
      <c r="M4532" s="471">
        <f t="shared" si="171"/>
        <v>0.05</v>
      </c>
      <c r="N4532" s="475">
        <f t="shared" si="172"/>
        <v>188984</v>
      </c>
    </row>
    <row r="4533" spans="7:14" ht="11.25" customHeight="1" x14ac:dyDescent="0.3">
      <c r="G4533" s="470"/>
      <c r="H4533" s="470">
        <v>4526</v>
      </c>
      <c r="I4533" s="455">
        <f t="shared" ca="1" si="170"/>
        <v>-63624667843817.664</v>
      </c>
      <c r="J4533" s="455">
        <f t="array" ref="J4533">IFERROR(INDEX('Retirement Calculator'!K:K,MATCH('Lorri 401b'!N4533,'Retirement Calculator'!A:A,0),0),0)</f>
        <v>0</v>
      </c>
      <c r="K4533" s="455">
        <f t="shared" ca="1" si="168"/>
        <v>-265102782682.57361</v>
      </c>
      <c r="L4533" s="455">
        <f t="shared" ca="1" si="169"/>
        <v>-63889770626500.234</v>
      </c>
      <c r="M4533" s="471">
        <f t="shared" si="171"/>
        <v>0.05</v>
      </c>
      <c r="N4533" s="475">
        <f t="shared" si="172"/>
        <v>189014</v>
      </c>
    </row>
    <row r="4534" spans="7:14" ht="11.25" customHeight="1" x14ac:dyDescent="0.3">
      <c r="G4534" s="470"/>
      <c r="H4534" s="470">
        <v>4527</v>
      </c>
      <c r="I4534" s="455">
        <f t="shared" ca="1" si="170"/>
        <v>-63889770626500.234</v>
      </c>
      <c r="J4534" s="455">
        <f t="array" ref="J4534">IFERROR(INDEX('Retirement Calculator'!K:K,MATCH('Lorri 401b'!N4534,'Retirement Calculator'!A:A,0),0),0)</f>
        <v>0</v>
      </c>
      <c r="K4534" s="455">
        <f t="shared" ca="1" si="168"/>
        <v>-266207377610.41766</v>
      </c>
      <c r="L4534" s="455">
        <f t="shared" ca="1" si="169"/>
        <v>-64155978004110.648</v>
      </c>
      <c r="M4534" s="471">
        <f t="shared" si="171"/>
        <v>0.05</v>
      </c>
      <c r="N4534" s="475">
        <f t="shared" si="172"/>
        <v>189045</v>
      </c>
    </row>
    <row r="4535" spans="7:14" ht="11.25" customHeight="1" x14ac:dyDescent="0.3">
      <c r="G4535" s="470"/>
      <c r="H4535" s="470">
        <v>4528</v>
      </c>
      <c r="I4535" s="455">
        <f t="shared" ca="1" si="170"/>
        <v>-64155978004110.648</v>
      </c>
      <c r="J4535" s="455">
        <f t="array" ref="J4535">IFERROR(INDEX('Retirement Calculator'!K:K,MATCH('Lorri 401b'!N4535,'Retirement Calculator'!A:A,0),0),0)</f>
        <v>0</v>
      </c>
      <c r="K4535" s="455">
        <f t="shared" ca="1" si="168"/>
        <v>-267316575017.12769</v>
      </c>
      <c r="L4535" s="455">
        <f t="shared" ca="1" si="169"/>
        <v>-64423294579127.773</v>
      </c>
      <c r="M4535" s="471">
        <f t="shared" si="171"/>
        <v>0.05</v>
      </c>
      <c r="N4535" s="475">
        <f t="shared" si="172"/>
        <v>189076</v>
      </c>
    </row>
    <row r="4536" spans="7:14" ht="11.25" customHeight="1" x14ac:dyDescent="0.3">
      <c r="G4536" s="470"/>
      <c r="H4536" s="470">
        <v>4529</v>
      </c>
      <c r="I4536" s="455">
        <f t="shared" ca="1" si="170"/>
        <v>-64423294579127.773</v>
      </c>
      <c r="J4536" s="455">
        <f t="array" ref="J4536">IFERROR(INDEX('Retirement Calculator'!K:K,MATCH('Lorri 401b'!N4536,'Retirement Calculator'!A:A,0),0),0)</f>
        <v>0</v>
      </c>
      <c r="K4536" s="455">
        <f t="shared" ca="1" si="168"/>
        <v>-268430394079.6991</v>
      </c>
      <c r="L4536" s="455">
        <f t="shared" ca="1" si="169"/>
        <v>-64691724973207.469</v>
      </c>
      <c r="M4536" s="471">
        <f t="shared" si="171"/>
        <v>0.05</v>
      </c>
      <c r="N4536" s="475">
        <f t="shared" si="172"/>
        <v>189106</v>
      </c>
    </row>
    <row r="4537" spans="7:14" ht="11.25" customHeight="1" x14ac:dyDescent="0.3">
      <c r="G4537" s="470"/>
      <c r="H4537" s="470">
        <v>4530</v>
      </c>
      <c r="I4537" s="455">
        <f t="shared" ca="1" si="170"/>
        <v>-64691724973207.469</v>
      </c>
      <c r="J4537" s="455">
        <f t="array" ref="J4537">IFERROR(INDEX('Retirement Calculator'!K:K,MATCH('Lorri 401b'!N4537,'Retirement Calculator'!A:A,0),0),0)</f>
        <v>0</v>
      </c>
      <c r="K4537" s="455">
        <f t="shared" ca="1" si="168"/>
        <v>-269548854055.03113</v>
      </c>
      <c r="L4537" s="455">
        <f t="shared" ca="1" si="169"/>
        <v>-64961273827262.5</v>
      </c>
      <c r="M4537" s="471">
        <f t="shared" si="171"/>
        <v>0.05</v>
      </c>
      <c r="N4537" s="475">
        <f t="shared" si="172"/>
        <v>189137</v>
      </c>
    </row>
    <row r="4538" spans="7:14" ht="11.25" customHeight="1" x14ac:dyDescent="0.3">
      <c r="G4538" s="470"/>
      <c r="H4538" s="470">
        <v>4531</v>
      </c>
      <c r="I4538" s="455">
        <f t="shared" ca="1" si="170"/>
        <v>-64961273827262.5</v>
      </c>
      <c r="J4538" s="455">
        <f t="array" ref="J4538">IFERROR(INDEX('Retirement Calculator'!K:K,MATCH('Lorri 401b'!N4538,'Retirement Calculator'!A:A,0),0),0)</f>
        <v>0</v>
      </c>
      <c r="K4538" s="455">
        <f t="shared" ca="1" si="168"/>
        <v>-270671974280.26041</v>
      </c>
      <c r="L4538" s="455">
        <f t="shared" ca="1" si="169"/>
        <v>-65231945801542.758</v>
      </c>
      <c r="M4538" s="471">
        <f t="shared" si="171"/>
        <v>0.05</v>
      </c>
      <c r="N4538" s="475">
        <f t="shared" si="172"/>
        <v>189167</v>
      </c>
    </row>
    <row r="4539" spans="7:14" ht="11.25" customHeight="1" x14ac:dyDescent="0.3">
      <c r="G4539" s="470"/>
      <c r="H4539" s="470">
        <v>4532</v>
      </c>
      <c r="I4539" s="455">
        <f t="shared" ca="1" si="170"/>
        <v>-65231945801542.758</v>
      </c>
      <c r="J4539" s="455">
        <f t="array" ref="J4539">IFERROR(INDEX('Retirement Calculator'!K:K,MATCH('Lorri 401b'!N4539,'Retirement Calculator'!A:A,0),0),0)</f>
        <v>0</v>
      </c>
      <c r="K4539" s="455">
        <f t="shared" ca="1" si="168"/>
        <v>-271799774173.09485</v>
      </c>
      <c r="L4539" s="455">
        <f t="shared" ca="1" si="169"/>
        <v>-65503745575715.852</v>
      </c>
      <c r="M4539" s="471">
        <f t="shared" si="171"/>
        <v>0.05</v>
      </c>
      <c r="N4539" s="475">
        <f t="shared" si="172"/>
        <v>189198</v>
      </c>
    </row>
    <row r="4540" spans="7:14" ht="11.25" customHeight="1" x14ac:dyDescent="0.3">
      <c r="G4540" s="470"/>
      <c r="H4540" s="470">
        <v>4533</v>
      </c>
      <c r="I4540" s="455">
        <f t="shared" ca="1" si="170"/>
        <v>-65503745575715.852</v>
      </c>
      <c r="J4540" s="455">
        <f t="array" ref="J4540">IFERROR(INDEX('Retirement Calculator'!K:K,MATCH('Lorri 401b'!N4540,'Retirement Calculator'!A:A,0),0),0)</f>
        <v>0</v>
      </c>
      <c r="K4540" s="455">
        <f t="shared" ca="1" si="168"/>
        <v>-272932273232.14938</v>
      </c>
      <c r="L4540" s="455">
        <f t="shared" ca="1" si="169"/>
        <v>-65776677848948</v>
      </c>
      <c r="M4540" s="471">
        <f t="shared" si="171"/>
        <v>0.05</v>
      </c>
      <c r="N4540" s="475">
        <f t="shared" si="172"/>
        <v>189229</v>
      </c>
    </row>
    <row r="4541" spans="7:14" ht="11.25" customHeight="1" x14ac:dyDescent="0.3">
      <c r="G4541" s="470"/>
      <c r="H4541" s="470">
        <v>4534</v>
      </c>
      <c r="I4541" s="455">
        <f t="shared" ca="1" si="170"/>
        <v>-65776677848948</v>
      </c>
      <c r="J4541" s="455">
        <f t="array" ref="J4541">IFERROR(INDEX('Retirement Calculator'!K:K,MATCH('Lorri 401b'!N4541,'Retirement Calculator'!A:A,0),0),0)</f>
        <v>0</v>
      </c>
      <c r="K4541" s="455">
        <f t="shared" ca="1" si="168"/>
        <v>-274069491037.28333</v>
      </c>
      <c r="L4541" s="455">
        <f t="shared" ca="1" si="169"/>
        <v>-66050747339985.281</v>
      </c>
      <c r="M4541" s="471">
        <f t="shared" si="171"/>
        <v>0.05</v>
      </c>
      <c r="N4541" s="475">
        <f t="shared" si="172"/>
        <v>189257</v>
      </c>
    </row>
    <row r="4542" spans="7:14" ht="11.25" customHeight="1" x14ac:dyDescent="0.3">
      <c r="G4542" s="470"/>
      <c r="H4542" s="470">
        <v>4535</v>
      </c>
      <c r="I4542" s="455">
        <f t="shared" ca="1" si="170"/>
        <v>-66050747339985.281</v>
      </c>
      <c r="J4542" s="455">
        <f t="array" ref="J4542">IFERROR(INDEX('Retirement Calculator'!K:K,MATCH('Lorri 401b'!N4542,'Retirement Calculator'!A:A,0),0),0)</f>
        <v>0</v>
      </c>
      <c r="K4542" s="455">
        <f t="shared" ca="1" si="168"/>
        <v>-275211447249.93866</v>
      </c>
      <c r="L4542" s="455">
        <f t="shared" ca="1" si="169"/>
        <v>-66325958787235.219</v>
      </c>
      <c r="M4542" s="471">
        <f t="shared" si="171"/>
        <v>0.05</v>
      </c>
      <c r="N4542" s="475">
        <f t="shared" si="172"/>
        <v>189288</v>
      </c>
    </row>
    <row r="4543" spans="7:14" ht="11.25" customHeight="1" x14ac:dyDescent="0.3">
      <c r="G4543" s="470"/>
      <c r="H4543" s="470">
        <v>4536</v>
      </c>
      <c r="I4543" s="455">
        <f t="shared" ca="1" si="170"/>
        <v>-66325958787235.219</v>
      </c>
      <c r="J4543" s="455">
        <f t="array" ref="J4543">IFERROR(INDEX('Retirement Calculator'!K:K,MATCH('Lorri 401b'!N4543,'Retirement Calculator'!A:A,0),0),0)</f>
        <v>0</v>
      </c>
      <c r="K4543" s="455">
        <f t="shared" ca="1" si="168"/>
        <v>-276358161613.4801</v>
      </c>
      <c r="L4543" s="455">
        <f t="shared" ca="1" si="169"/>
        <v>-66602316948848.695</v>
      </c>
      <c r="M4543" s="471">
        <f t="shared" si="171"/>
        <v>0.05</v>
      </c>
      <c r="N4543" s="475">
        <f t="shared" si="172"/>
        <v>189318</v>
      </c>
    </row>
    <row r="4544" spans="7:14" ht="11.25" customHeight="1" x14ac:dyDescent="0.3">
      <c r="G4544" s="470"/>
      <c r="H4544" s="470">
        <v>4537</v>
      </c>
      <c r="I4544" s="455">
        <f t="shared" ca="1" si="170"/>
        <v>-66602316948848.695</v>
      </c>
      <c r="J4544" s="455">
        <f t="array" ref="J4544">IFERROR(INDEX('Retirement Calculator'!K:K,MATCH('Lorri 401b'!N4544,'Retirement Calculator'!A:A,0),0),0)</f>
        <v>0</v>
      </c>
      <c r="K4544" s="455">
        <f t="shared" ca="1" si="168"/>
        <v>-277509653953.53625</v>
      </c>
      <c r="L4544" s="455">
        <f t="shared" ca="1" si="169"/>
        <v>-66879826602802.234</v>
      </c>
      <c r="M4544" s="471">
        <f t="shared" si="171"/>
        <v>0.05</v>
      </c>
      <c r="N4544" s="475">
        <f t="shared" si="172"/>
        <v>189349</v>
      </c>
    </row>
    <row r="4545" spans="7:14" ht="11.25" customHeight="1" x14ac:dyDescent="0.3">
      <c r="G4545" s="470"/>
      <c r="H4545" s="470">
        <v>4538</v>
      </c>
      <c r="I4545" s="455">
        <f t="shared" ca="1" si="170"/>
        <v>-66879826602802.234</v>
      </c>
      <c r="J4545" s="455">
        <f t="array" ref="J4545">IFERROR(INDEX('Retirement Calculator'!K:K,MATCH('Lorri 401b'!N4545,'Retirement Calculator'!A:A,0),0),0)</f>
        <v>0</v>
      </c>
      <c r="K4545" s="455">
        <f t="shared" ca="1" si="168"/>
        <v>-278665944178.34259</v>
      </c>
      <c r="L4545" s="455">
        <f t="shared" ca="1" si="169"/>
        <v>-67158492546980.578</v>
      </c>
      <c r="M4545" s="471">
        <f t="shared" si="171"/>
        <v>0.05</v>
      </c>
      <c r="N4545" s="475">
        <f t="shared" si="172"/>
        <v>189379</v>
      </c>
    </row>
    <row r="4546" spans="7:14" ht="11.25" customHeight="1" x14ac:dyDescent="0.3">
      <c r="G4546" s="470"/>
      <c r="H4546" s="470">
        <v>4539</v>
      </c>
      <c r="I4546" s="455">
        <f t="shared" ca="1" si="170"/>
        <v>-67158492546980.578</v>
      </c>
      <c r="J4546" s="455">
        <f t="array" ref="J4546">IFERROR(INDEX('Retirement Calculator'!K:K,MATCH('Lorri 401b'!N4546,'Retirement Calculator'!A:A,0),0),0)</f>
        <v>0</v>
      </c>
      <c r="K4546" s="455">
        <f t="shared" ca="1" si="168"/>
        <v>-279827052279.08569</v>
      </c>
      <c r="L4546" s="455">
        <f t="shared" ca="1" si="169"/>
        <v>-67438319599259.664</v>
      </c>
      <c r="M4546" s="471">
        <f t="shared" si="171"/>
        <v>0.05</v>
      </c>
      <c r="N4546" s="475">
        <f t="shared" si="172"/>
        <v>189410</v>
      </c>
    </row>
    <row r="4547" spans="7:14" ht="11.25" customHeight="1" x14ac:dyDescent="0.3">
      <c r="G4547" s="470"/>
      <c r="H4547" s="470">
        <v>4540</v>
      </c>
      <c r="I4547" s="455">
        <f t="shared" ca="1" si="170"/>
        <v>-67438319599259.664</v>
      </c>
      <c r="J4547" s="455">
        <f t="array" ref="J4547">IFERROR(INDEX('Retirement Calculator'!K:K,MATCH('Lorri 401b'!N4547,'Retirement Calculator'!A:A,0),0),0)</f>
        <v>0</v>
      </c>
      <c r="K4547" s="455">
        <f t="shared" ca="1" si="168"/>
        <v>-280992998330.24866</v>
      </c>
      <c r="L4547" s="455">
        <f t="shared" ca="1" si="169"/>
        <v>-67719312597589.914</v>
      </c>
      <c r="M4547" s="471">
        <f t="shared" si="171"/>
        <v>0.05</v>
      </c>
      <c r="N4547" s="475">
        <f t="shared" si="172"/>
        <v>189441</v>
      </c>
    </row>
    <row r="4548" spans="7:14" ht="11.25" customHeight="1" x14ac:dyDescent="0.3">
      <c r="G4548" s="470"/>
      <c r="H4548" s="470">
        <v>4541</v>
      </c>
      <c r="I4548" s="455">
        <f t="shared" ca="1" si="170"/>
        <v>-67719312597589.914</v>
      </c>
      <c r="J4548" s="455">
        <f t="array" ref="J4548">IFERROR(INDEX('Retirement Calculator'!K:K,MATCH('Lorri 401b'!N4548,'Retirement Calculator'!A:A,0),0),0)</f>
        <v>0</v>
      </c>
      <c r="K4548" s="455">
        <f t="shared" ca="1" si="168"/>
        <v>-282163802489.95801</v>
      </c>
      <c r="L4548" s="455">
        <f t="shared" ca="1" si="169"/>
        <v>-68001476400079.875</v>
      </c>
      <c r="M4548" s="471">
        <f t="shared" si="171"/>
        <v>0.05</v>
      </c>
      <c r="N4548" s="475">
        <f t="shared" si="172"/>
        <v>189471</v>
      </c>
    </row>
    <row r="4549" spans="7:14" ht="11.25" customHeight="1" x14ac:dyDescent="0.3">
      <c r="G4549" s="470"/>
      <c r="H4549" s="470">
        <v>4542</v>
      </c>
      <c r="I4549" s="455">
        <f t="shared" ca="1" si="170"/>
        <v>-68001476400079.875</v>
      </c>
      <c r="J4549" s="455">
        <f t="array" ref="J4549">IFERROR(INDEX('Retirement Calculator'!K:K,MATCH('Lorri 401b'!N4549,'Retirement Calculator'!A:A,0),0),0)</f>
        <v>0</v>
      </c>
      <c r="K4549" s="455">
        <f t="shared" ca="1" si="168"/>
        <v>-283339485000.33282</v>
      </c>
      <c r="L4549" s="455">
        <f t="shared" ca="1" si="169"/>
        <v>-68284815885080.211</v>
      </c>
      <c r="M4549" s="471">
        <f t="shared" si="171"/>
        <v>0.05</v>
      </c>
      <c r="N4549" s="475">
        <f t="shared" si="172"/>
        <v>189502</v>
      </c>
    </row>
    <row r="4550" spans="7:14" ht="11.25" customHeight="1" x14ac:dyDescent="0.3">
      <c r="G4550" s="470"/>
      <c r="H4550" s="470">
        <v>4543</v>
      </c>
      <c r="I4550" s="455">
        <f t="shared" ca="1" si="170"/>
        <v>-68284815885080.211</v>
      </c>
      <c r="J4550" s="455">
        <f t="array" ref="J4550">IFERROR(INDEX('Retirement Calculator'!K:K,MATCH('Lorri 401b'!N4550,'Retirement Calculator'!A:A,0),0),0)</f>
        <v>0</v>
      </c>
      <c r="K4550" s="455">
        <f t="shared" ca="1" si="168"/>
        <v>-284520066187.83423</v>
      </c>
      <c r="L4550" s="455">
        <f t="shared" ca="1" si="169"/>
        <v>-68569335951268.047</v>
      </c>
      <c r="M4550" s="471">
        <f t="shared" si="171"/>
        <v>0.05</v>
      </c>
      <c r="N4550" s="475">
        <f t="shared" si="172"/>
        <v>189532</v>
      </c>
    </row>
    <row r="4551" spans="7:14" ht="11.25" customHeight="1" x14ac:dyDescent="0.3">
      <c r="G4551" s="470"/>
      <c r="H4551" s="470">
        <v>4544</v>
      </c>
      <c r="I4551" s="455">
        <f t="shared" ca="1" si="170"/>
        <v>-68569335951268.047</v>
      </c>
      <c r="J4551" s="455">
        <f t="array" ref="J4551">IFERROR(INDEX('Retirement Calculator'!K:K,MATCH('Lorri 401b'!N4551,'Retirement Calculator'!A:A,0),0),0)</f>
        <v>0</v>
      </c>
      <c r="K4551" s="455">
        <f t="shared" ca="1" si="168"/>
        <v>-285705566463.61688</v>
      </c>
      <c r="L4551" s="455">
        <f t="shared" ca="1" si="169"/>
        <v>-68855041517731.664</v>
      </c>
      <c r="M4551" s="471">
        <f t="shared" si="171"/>
        <v>0.05</v>
      </c>
      <c r="N4551" s="475">
        <f t="shared" si="172"/>
        <v>189563</v>
      </c>
    </row>
    <row r="4552" spans="7:14" ht="11.25" customHeight="1" x14ac:dyDescent="0.3">
      <c r="G4552" s="470"/>
      <c r="H4552" s="470">
        <v>4545</v>
      </c>
      <c r="I4552" s="455">
        <f t="shared" ca="1" si="170"/>
        <v>-68855041517731.664</v>
      </c>
      <c r="J4552" s="455">
        <f t="array" ref="J4552">IFERROR(INDEX('Retirement Calculator'!K:K,MATCH('Lorri 401b'!N4552,'Retirement Calculator'!A:A,0),0),0)</f>
        <v>0</v>
      </c>
      <c r="K4552" s="455">
        <f t="shared" ca="1" si="168"/>
        <v>-286896006323.88196</v>
      </c>
      <c r="L4552" s="455">
        <f t="shared" ca="1" si="169"/>
        <v>-69141937524055.547</v>
      </c>
      <c r="M4552" s="471">
        <f t="shared" si="171"/>
        <v>0.05</v>
      </c>
      <c r="N4552" s="475">
        <f t="shared" si="172"/>
        <v>189594</v>
      </c>
    </row>
    <row r="4553" spans="7:14" ht="11.25" customHeight="1" x14ac:dyDescent="0.3">
      <c r="G4553" s="470"/>
      <c r="H4553" s="470">
        <v>4546</v>
      </c>
      <c r="I4553" s="455">
        <f t="shared" ca="1" si="170"/>
        <v>-69141937524055.547</v>
      </c>
      <c r="J4553" s="455">
        <f t="array" ref="J4553">IFERROR(INDEX('Retirement Calculator'!K:K,MATCH('Lorri 401b'!N4553,'Retirement Calculator'!A:A,0),0),0)</f>
        <v>0</v>
      </c>
      <c r="K4553" s="455">
        <f t="shared" ca="1" si="168"/>
        <v>-288091406350.23145</v>
      </c>
      <c r="L4553" s="455">
        <f t="shared" ca="1" si="169"/>
        <v>-69430028930405.781</v>
      </c>
      <c r="M4553" s="471">
        <f t="shared" si="171"/>
        <v>0.05</v>
      </c>
      <c r="N4553" s="475">
        <f t="shared" si="172"/>
        <v>189622</v>
      </c>
    </row>
    <row r="4554" spans="7:14" ht="11.25" customHeight="1" x14ac:dyDescent="0.3">
      <c r="G4554" s="470"/>
      <c r="H4554" s="470">
        <v>4547</v>
      </c>
      <c r="I4554" s="455">
        <f t="shared" ca="1" si="170"/>
        <v>-69430028930405.781</v>
      </c>
      <c r="J4554" s="455">
        <f t="array" ref="J4554">IFERROR(INDEX('Retirement Calculator'!K:K,MATCH('Lorri 401b'!N4554,'Retirement Calculator'!A:A,0),0),0)</f>
        <v>0</v>
      </c>
      <c r="K4554" s="455">
        <f t="shared" ca="1" si="168"/>
        <v>-289291787210.02405</v>
      </c>
      <c r="L4554" s="455">
        <f t="shared" ca="1" si="169"/>
        <v>-69719320717615.805</v>
      </c>
      <c r="M4554" s="471">
        <f t="shared" si="171"/>
        <v>0.05</v>
      </c>
      <c r="N4554" s="475">
        <f t="shared" si="172"/>
        <v>189653</v>
      </c>
    </row>
    <row r="4555" spans="7:14" ht="11.25" customHeight="1" x14ac:dyDescent="0.3">
      <c r="G4555" s="470"/>
      <c r="H4555" s="470">
        <v>4548</v>
      </c>
      <c r="I4555" s="455">
        <f t="shared" ca="1" si="170"/>
        <v>-69719320717615.805</v>
      </c>
      <c r="J4555" s="455">
        <f t="array" ref="J4555">IFERROR(INDEX('Retirement Calculator'!K:K,MATCH('Lorri 401b'!N4555,'Retirement Calculator'!A:A,0),0),0)</f>
        <v>0</v>
      </c>
      <c r="K4555" s="455">
        <f t="shared" ca="1" si="168"/>
        <v>-290497169656.73254</v>
      </c>
      <c r="L4555" s="455">
        <f t="shared" ca="1" si="169"/>
        <v>-70009817887272.539</v>
      </c>
      <c r="M4555" s="471">
        <f t="shared" si="171"/>
        <v>0.05</v>
      </c>
      <c r="N4555" s="475">
        <f t="shared" si="172"/>
        <v>189683</v>
      </c>
    </row>
    <row r="4556" spans="7:14" ht="11.25" customHeight="1" x14ac:dyDescent="0.3">
      <c r="G4556" s="470"/>
      <c r="H4556" s="470">
        <v>4549</v>
      </c>
      <c r="I4556" s="455">
        <f t="shared" ca="1" si="170"/>
        <v>-70009817887272.539</v>
      </c>
      <c r="J4556" s="455">
        <f t="array" ref="J4556">IFERROR(INDEX('Retirement Calculator'!K:K,MATCH('Lorri 401b'!N4556,'Retirement Calculator'!A:A,0),0),0)</f>
        <v>0</v>
      </c>
      <c r="K4556" s="455">
        <f t="shared" ca="1" si="168"/>
        <v>-291707574530.30225</v>
      </c>
      <c r="L4556" s="455">
        <f t="shared" ca="1" si="169"/>
        <v>-70301525461802.844</v>
      </c>
      <c r="M4556" s="471">
        <f t="shared" si="171"/>
        <v>0.05</v>
      </c>
      <c r="N4556" s="475">
        <f t="shared" si="172"/>
        <v>189714</v>
      </c>
    </row>
    <row r="4557" spans="7:14" ht="11.25" customHeight="1" x14ac:dyDescent="0.3">
      <c r="G4557" s="470"/>
      <c r="H4557" s="470">
        <v>4550</v>
      </c>
      <c r="I4557" s="455">
        <f t="shared" ca="1" si="170"/>
        <v>-70301525461802.844</v>
      </c>
      <c r="J4557" s="455">
        <f t="array" ref="J4557">IFERROR(INDEX('Retirement Calculator'!K:K,MATCH('Lorri 401b'!N4557,'Retirement Calculator'!A:A,0),0),0)</f>
        <v>0</v>
      </c>
      <c r="K4557" s="455">
        <f t="shared" ca="1" si="168"/>
        <v>-292923022757.51184</v>
      </c>
      <c r="L4557" s="455">
        <f t="shared" ca="1" si="169"/>
        <v>-70594448484560.359</v>
      </c>
      <c r="M4557" s="471">
        <f t="shared" si="171"/>
        <v>0.05</v>
      </c>
      <c r="N4557" s="475">
        <f t="shared" si="172"/>
        <v>189744</v>
      </c>
    </row>
    <row r="4558" spans="7:14" ht="11.25" customHeight="1" x14ac:dyDescent="0.3">
      <c r="G4558" s="470"/>
      <c r="H4558" s="470">
        <v>4551</v>
      </c>
      <c r="I4558" s="455">
        <f t="shared" ca="1" si="170"/>
        <v>-70594448484560.359</v>
      </c>
      <c r="J4558" s="455">
        <f t="array" ref="J4558">IFERROR(INDEX('Retirement Calculator'!K:K,MATCH('Lorri 401b'!N4558,'Retirement Calculator'!A:A,0),0),0)</f>
        <v>0</v>
      </c>
      <c r="K4558" s="455">
        <f t="shared" ca="1" si="168"/>
        <v>-294143535352.33484</v>
      </c>
      <c r="L4558" s="455">
        <f t="shared" ca="1" si="169"/>
        <v>-70888592019912.688</v>
      </c>
      <c r="M4558" s="471">
        <f t="shared" si="171"/>
        <v>0.05</v>
      </c>
      <c r="N4558" s="475">
        <f t="shared" si="172"/>
        <v>189775</v>
      </c>
    </row>
    <row r="4559" spans="7:14" ht="11.25" customHeight="1" x14ac:dyDescent="0.3">
      <c r="G4559" s="470"/>
      <c r="H4559" s="470">
        <v>4552</v>
      </c>
      <c r="I4559" s="455">
        <f t="shared" ca="1" si="170"/>
        <v>-70888592019912.688</v>
      </c>
      <c r="J4559" s="455">
        <f t="array" ref="J4559">IFERROR(INDEX('Retirement Calculator'!K:K,MATCH('Lorri 401b'!N4559,'Retirement Calculator'!A:A,0),0),0)</f>
        <v>0</v>
      </c>
      <c r="K4559" s="455">
        <f t="shared" ca="1" si="168"/>
        <v>-295369133416.30286</v>
      </c>
      <c r="L4559" s="455">
        <f t="shared" ca="1" si="169"/>
        <v>-71183961153328.984</v>
      </c>
      <c r="M4559" s="471">
        <f t="shared" si="171"/>
        <v>0.05</v>
      </c>
      <c r="N4559" s="475">
        <f t="shared" si="172"/>
        <v>189806</v>
      </c>
    </row>
    <row r="4560" spans="7:14" ht="11.25" customHeight="1" x14ac:dyDescent="0.3">
      <c r="G4560" s="470"/>
      <c r="H4560" s="470">
        <v>4553</v>
      </c>
      <c r="I4560" s="455">
        <f t="shared" ca="1" si="170"/>
        <v>-71183961153328.984</v>
      </c>
      <c r="J4560" s="455">
        <f t="array" ref="J4560">IFERROR(INDEX('Retirement Calculator'!K:K,MATCH('Lorri 401b'!N4560,'Retirement Calculator'!A:A,0),0),0)</f>
        <v>0</v>
      </c>
      <c r="K4560" s="455">
        <f t="shared" ca="1" si="168"/>
        <v>-296599838138.87079</v>
      </c>
      <c r="L4560" s="455">
        <f t="shared" ca="1" si="169"/>
        <v>-71480560991467.859</v>
      </c>
      <c r="M4560" s="471">
        <f t="shared" si="171"/>
        <v>0.05</v>
      </c>
      <c r="N4560" s="475">
        <f t="shared" si="172"/>
        <v>189836</v>
      </c>
    </row>
    <row r="4561" spans="7:14" ht="11.25" customHeight="1" x14ac:dyDescent="0.3">
      <c r="G4561" s="470"/>
      <c r="H4561" s="470">
        <v>4554</v>
      </c>
      <c r="I4561" s="455">
        <f t="shared" ca="1" si="170"/>
        <v>-71480560991467.859</v>
      </c>
      <c r="J4561" s="455">
        <f t="array" ref="J4561">IFERROR(INDEX('Retirement Calculator'!K:K,MATCH('Lorri 401b'!N4561,'Retirement Calculator'!A:A,0),0),0)</f>
        <v>0</v>
      </c>
      <c r="K4561" s="455">
        <f t="shared" ca="1" si="168"/>
        <v>-297835670797.78271</v>
      </c>
      <c r="L4561" s="455">
        <f t="shared" ca="1" si="169"/>
        <v>-71778396662265.641</v>
      </c>
      <c r="M4561" s="471">
        <f t="shared" si="171"/>
        <v>0.05</v>
      </c>
      <c r="N4561" s="475">
        <f t="shared" si="172"/>
        <v>189867</v>
      </c>
    </row>
    <row r="4562" spans="7:14" ht="11.25" customHeight="1" x14ac:dyDescent="0.3">
      <c r="G4562" s="470"/>
      <c r="H4562" s="470">
        <v>4555</v>
      </c>
      <c r="I4562" s="455">
        <f t="shared" ca="1" si="170"/>
        <v>-71778396662265.641</v>
      </c>
      <c r="J4562" s="455">
        <f t="array" ref="J4562">IFERROR(INDEX('Retirement Calculator'!K:K,MATCH('Lorri 401b'!N4562,'Retirement Calculator'!A:A,0),0),0)</f>
        <v>0</v>
      </c>
      <c r="K4562" s="455">
        <f t="shared" ca="1" si="168"/>
        <v>-299076652759.44019</v>
      </c>
      <c r="L4562" s="455">
        <f t="shared" ca="1" si="169"/>
        <v>-72077473315025.078</v>
      </c>
      <c r="M4562" s="471">
        <f t="shared" si="171"/>
        <v>0.05</v>
      </c>
      <c r="N4562" s="475">
        <f t="shared" si="172"/>
        <v>189897</v>
      </c>
    </row>
    <row r="4563" spans="7:14" ht="11.25" customHeight="1" x14ac:dyDescent="0.3">
      <c r="G4563" s="470"/>
      <c r="H4563" s="470">
        <v>4556</v>
      </c>
      <c r="I4563" s="455">
        <f t="shared" ca="1" si="170"/>
        <v>-72077473315025.078</v>
      </c>
      <c r="J4563" s="455">
        <f t="array" ref="J4563">IFERROR(INDEX('Retirement Calculator'!K:K,MATCH('Lorri 401b'!N4563,'Retirement Calculator'!A:A,0),0),0)</f>
        <v>0</v>
      </c>
      <c r="K4563" s="455">
        <f t="shared" ca="1" si="168"/>
        <v>-300322805479.27118</v>
      </c>
      <c r="L4563" s="455">
        <f t="shared" ca="1" si="169"/>
        <v>-72377796120504.344</v>
      </c>
      <c r="M4563" s="471">
        <f t="shared" si="171"/>
        <v>0.05</v>
      </c>
      <c r="N4563" s="475">
        <f t="shared" si="172"/>
        <v>189928</v>
      </c>
    </row>
    <row r="4564" spans="7:14" ht="11.25" customHeight="1" x14ac:dyDescent="0.3">
      <c r="G4564" s="470"/>
      <c r="H4564" s="470">
        <v>4557</v>
      </c>
      <c r="I4564" s="455">
        <f t="shared" ca="1" si="170"/>
        <v>-72377796120504.344</v>
      </c>
      <c r="J4564" s="455">
        <f t="array" ref="J4564">IFERROR(INDEX('Retirement Calculator'!K:K,MATCH('Lorri 401b'!N4564,'Retirement Calculator'!A:A,0),0),0)</f>
        <v>0</v>
      </c>
      <c r="K4564" s="455">
        <f t="shared" ca="1" si="168"/>
        <v>-301574150502.10144</v>
      </c>
      <c r="L4564" s="455">
        <f t="shared" ca="1" si="169"/>
        <v>-72679370271006.438</v>
      </c>
      <c r="M4564" s="471">
        <f t="shared" si="171"/>
        <v>0.05</v>
      </c>
      <c r="N4564" s="475">
        <f t="shared" si="172"/>
        <v>189959</v>
      </c>
    </row>
    <row r="4565" spans="7:14" ht="11.25" customHeight="1" x14ac:dyDescent="0.3">
      <c r="G4565" s="470"/>
      <c r="H4565" s="470">
        <v>4558</v>
      </c>
      <c r="I4565" s="455">
        <f t="shared" ca="1" si="170"/>
        <v>-72679370271006.438</v>
      </c>
      <c r="J4565" s="455">
        <f t="array" ref="J4565">IFERROR(INDEX('Retirement Calculator'!K:K,MATCH('Lorri 401b'!N4565,'Retirement Calculator'!A:A,0),0),0)</f>
        <v>0</v>
      </c>
      <c r="K4565" s="455">
        <f t="shared" ca="1" si="168"/>
        <v>-302830709462.52679</v>
      </c>
      <c r="L4565" s="455">
        <f t="shared" ca="1" si="169"/>
        <v>-72982200980468.969</v>
      </c>
      <c r="M4565" s="471">
        <f t="shared" si="171"/>
        <v>0.05</v>
      </c>
      <c r="N4565" s="475">
        <f t="shared" si="172"/>
        <v>189988</v>
      </c>
    </row>
    <row r="4566" spans="7:14" ht="11.25" customHeight="1" x14ac:dyDescent="0.3">
      <c r="G4566" s="470"/>
      <c r="H4566" s="470">
        <v>4559</v>
      </c>
      <c r="I4566" s="455">
        <f t="shared" ca="1" si="170"/>
        <v>-72982200980468.969</v>
      </c>
      <c r="J4566" s="455">
        <f t="array" ref="J4566">IFERROR(INDEX('Retirement Calculator'!K:K,MATCH('Lorri 401b'!N4566,'Retirement Calculator'!A:A,0),0),0)</f>
        <v>0</v>
      </c>
      <c r="K4566" s="455">
        <f t="shared" ca="1" si="168"/>
        <v>-304092504085.28735</v>
      </c>
      <c r="L4566" s="455">
        <f t="shared" ca="1" si="169"/>
        <v>-73286293484554.25</v>
      </c>
      <c r="M4566" s="471">
        <f t="shared" si="171"/>
        <v>0.05</v>
      </c>
      <c r="N4566" s="475">
        <f t="shared" si="172"/>
        <v>190019</v>
      </c>
    </row>
    <row r="4567" spans="7:14" ht="11.25" customHeight="1" x14ac:dyDescent="0.3">
      <c r="G4567" s="470"/>
      <c r="H4567" s="470">
        <v>4560</v>
      </c>
      <c r="I4567" s="455">
        <f t="shared" ca="1" si="170"/>
        <v>-73286293484554.25</v>
      </c>
      <c r="J4567" s="455">
        <f t="array" ref="J4567">IFERROR(INDEX('Retirement Calculator'!K:K,MATCH('Lorri 401b'!N4567,'Retirement Calculator'!A:A,0),0),0)</f>
        <v>0</v>
      </c>
      <c r="K4567" s="455">
        <f t="shared" ca="1" si="168"/>
        <v>-305359556185.6427</v>
      </c>
      <c r="L4567" s="455">
        <f t="shared" ca="1" si="169"/>
        <v>-73591653040739.891</v>
      </c>
      <c r="M4567" s="471">
        <f t="shared" si="171"/>
        <v>0.05</v>
      </c>
      <c r="N4567" s="475">
        <f t="shared" si="172"/>
        <v>190049</v>
      </c>
    </row>
    <row r="4568" spans="7:14" ht="11.25" customHeight="1" x14ac:dyDescent="0.3">
      <c r="G4568" s="470"/>
      <c r="H4568" s="470">
        <v>4561</v>
      </c>
      <c r="I4568" s="455">
        <f t="shared" ca="1" si="170"/>
        <v>-73591653040739.891</v>
      </c>
      <c r="J4568" s="455">
        <f t="array" ref="J4568">IFERROR(INDEX('Retirement Calculator'!K:K,MATCH('Lorri 401b'!N4568,'Retirement Calculator'!A:A,0),0),0)</f>
        <v>0</v>
      </c>
      <c r="K4568" s="455">
        <f t="shared" ca="1" si="168"/>
        <v>-306631887669.74951</v>
      </c>
      <c r="L4568" s="455">
        <f t="shared" ca="1" si="169"/>
        <v>-73898284928409.641</v>
      </c>
      <c r="M4568" s="471">
        <f t="shared" si="171"/>
        <v>0.05</v>
      </c>
      <c r="N4568" s="475">
        <f t="shared" si="172"/>
        <v>190080</v>
      </c>
    </row>
    <row r="4569" spans="7:14" ht="11.25" customHeight="1" x14ac:dyDescent="0.3">
      <c r="G4569" s="470"/>
      <c r="H4569" s="470">
        <v>4562</v>
      </c>
      <c r="I4569" s="455">
        <f t="shared" ca="1" si="170"/>
        <v>-73898284928409.641</v>
      </c>
      <c r="J4569" s="455">
        <f t="array" ref="J4569">IFERROR(INDEX('Retirement Calculator'!K:K,MATCH('Lorri 401b'!N4569,'Retirement Calculator'!A:A,0),0),0)</f>
        <v>0</v>
      </c>
      <c r="K4569" s="455">
        <f t="shared" ca="1" si="168"/>
        <v>-307909520535.04016</v>
      </c>
      <c r="L4569" s="455">
        <f t="shared" ca="1" si="169"/>
        <v>-74206194448944.688</v>
      </c>
      <c r="M4569" s="471">
        <f t="shared" si="171"/>
        <v>0.05</v>
      </c>
      <c r="N4569" s="475">
        <f t="shared" si="172"/>
        <v>190110</v>
      </c>
    </row>
    <row r="4570" spans="7:14" ht="11.25" customHeight="1" x14ac:dyDescent="0.3">
      <c r="G4570" s="470"/>
      <c r="H4570" s="470">
        <v>4563</v>
      </c>
      <c r="I4570" s="455">
        <f t="shared" ca="1" si="170"/>
        <v>-74206194448944.688</v>
      </c>
      <c r="J4570" s="455">
        <f t="array" ref="J4570">IFERROR(INDEX('Retirement Calculator'!K:K,MATCH('Lorri 401b'!N4570,'Retirement Calculator'!A:A,0),0),0)</f>
        <v>0</v>
      </c>
      <c r="K4570" s="455">
        <f t="shared" ca="1" si="168"/>
        <v>-309192476870.60284</v>
      </c>
      <c r="L4570" s="455">
        <f t="shared" ca="1" si="169"/>
        <v>-74515386925815.297</v>
      </c>
      <c r="M4570" s="471">
        <f t="shared" si="171"/>
        <v>0.05</v>
      </c>
      <c r="N4570" s="475">
        <f t="shared" si="172"/>
        <v>190141</v>
      </c>
    </row>
    <row r="4571" spans="7:14" ht="11.25" customHeight="1" x14ac:dyDescent="0.3">
      <c r="G4571" s="470"/>
      <c r="H4571" s="470">
        <v>4564</v>
      </c>
      <c r="I4571" s="455">
        <f t="shared" ca="1" si="170"/>
        <v>-74515386925815.297</v>
      </c>
      <c r="J4571" s="455">
        <f t="array" ref="J4571">IFERROR(INDEX('Retirement Calculator'!K:K,MATCH('Lorri 401b'!N4571,'Retirement Calculator'!A:A,0),0),0)</f>
        <v>0</v>
      </c>
      <c r="K4571" s="455">
        <f t="shared" ca="1" si="168"/>
        <v>-310480778857.56372</v>
      </c>
      <c r="L4571" s="455">
        <f t="shared" ca="1" si="169"/>
        <v>-74825867704672.859</v>
      </c>
      <c r="M4571" s="471">
        <f t="shared" si="171"/>
        <v>0.05</v>
      </c>
      <c r="N4571" s="475">
        <f t="shared" si="172"/>
        <v>190172</v>
      </c>
    </row>
    <row r="4572" spans="7:14" ht="11.25" customHeight="1" x14ac:dyDescent="0.3">
      <c r="G4572" s="470"/>
      <c r="H4572" s="470">
        <v>4565</v>
      </c>
      <c r="I4572" s="455">
        <f t="shared" ca="1" si="170"/>
        <v>-74825867704672.859</v>
      </c>
      <c r="J4572" s="455">
        <f t="array" ref="J4572">IFERROR(INDEX('Retirement Calculator'!K:K,MATCH('Lorri 401b'!N4572,'Retirement Calculator'!A:A,0),0),0)</f>
        <v>0</v>
      </c>
      <c r="K4572" s="455">
        <f t="shared" ca="1" si="168"/>
        <v>-311774448769.47021</v>
      </c>
      <c r="L4572" s="455">
        <f t="shared" ca="1" si="169"/>
        <v>-75137642153442.328</v>
      </c>
      <c r="M4572" s="471">
        <f t="shared" si="171"/>
        <v>0.05</v>
      </c>
      <c r="N4572" s="475">
        <f t="shared" si="172"/>
        <v>190202</v>
      </c>
    </row>
    <row r="4573" spans="7:14" ht="11.25" customHeight="1" x14ac:dyDescent="0.3">
      <c r="G4573" s="470"/>
      <c r="H4573" s="470">
        <v>4566</v>
      </c>
      <c r="I4573" s="455">
        <f t="shared" ca="1" si="170"/>
        <v>-75137642153442.328</v>
      </c>
      <c r="J4573" s="455">
        <f t="array" ref="J4573">IFERROR(INDEX('Retirement Calculator'!K:K,MATCH('Lorri 401b'!N4573,'Retirement Calculator'!A:A,0),0),0)</f>
        <v>0</v>
      </c>
      <c r="K4573" s="455">
        <f t="shared" ca="1" si="168"/>
        <v>-313073508972.67639</v>
      </c>
      <c r="L4573" s="455">
        <f t="shared" ca="1" si="169"/>
        <v>-75450715662415</v>
      </c>
      <c r="M4573" s="471">
        <f t="shared" si="171"/>
        <v>0.05</v>
      </c>
      <c r="N4573" s="475">
        <f t="shared" si="172"/>
        <v>190233</v>
      </c>
    </row>
    <row r="4574" spans="7:14" ht="11.25" customHeight="1" x14ac:dyDescent="0.3">
      <c r="G4574" s="470"/>
      <c r="H4574" s="470">
        <v>4567</v>
      </c>
      <c r="I4574" s="455">
        <f t="shared" ca="1" si="170"/>
        <v>-75450715662415</v>
      </c>
      <c r="J4574" s="455">
        <f t="array" ref="J4574">IFERROR(INDEX('Retirement Calculator'!K:K,MATCH('Lorri 401b'!N4574,'Retirement Calculator'!A:A,0),0),0)</f>
        <v>0</v>
      </c>
      <c r="K4574" s="455">
        <f t="shared" ca="1" si="168"/>
        <v>-314377981926.72919</v>
      </c>
      <c r="L4574" s="455">
        <f t="shared" ca="1" si="169"/>
        <v>-75765093644341.734</v>
      </c>
      <c r="M4574" s="471">
        <f t="shared" si="171"/>
        <v>0.05</v>
      </c>
      <c r="N4574" s="475">
        <f t="shared" si="172"/>
        <v>190263</v>
      </c>
    </row>
    <row r="4575" spans="7:14" ht="11.25" customHeight="1" x14ac:dyDescent="0.3">
      <c r="G4575" s="470"/>
      <c r="H4575" s="470">
        <v>4568</v>
      </c>
      <c r="I4575" s="455">
        <f t="shared" ca="1" si="170"/>
        <v>-75765093644341.734</v>
      </c>
      <c r="J4575" s="455">
        <f t="array" ref="J4575">IFERROR(INDEX('Retirement Calculator'!K:K,MATCH('Lorri 401b'!N4575,'Retirement Calculator'!A:A,0),0),0)</f>
        <v>0</v>
      </c>
      <c r="K4575" s="455">
        <f t="shared" ca="1" si="168"/>
        <v>-315687890184.7572</v>
      </c>
      <c r="L4575" s="455">
        <f t="shared" ca="1" si="169"/>
        <v>-76080781534526.484</v>
      </c>
      <c r="M4575" s="471">
        <f t="shared" si="171"/>
        <v>0.05</v>
      </c>
      <c r="N4575" s="475">
        <f t="shared" si="172"/>
        <v>190294</v>
      </c>
    </row>
    <row r="4576" spans="7:14" ht="11.25" customHeight="1" x14ac:dyDescent="0.3">
      <c r="G4576" s="470"/>
      <c r="H4576" s="470">
        <v>4569</v>
      </c>
      <c r="I4576" s="455">
        <f t="shared" ca="1" si="170"/>
        <v>-76080781534526.484</v>
      </c>
      <c r="J4576" s="455">
        <f t="array" ref="J4576">IFERROR(INDEX('Retirement Calculator'!K:K,MATCH('Lorri 401b'!N4576,'Retirement Calculator'!A:A,0),0),0)</f>
        <v>0</v>
      </c>
      <c r="K4576" s="455">
        <f t="shared" ca="1" si="168"/>
        <v>-317003256393.86035</v>
      </c>
      <c r="L4576" s="455">
        <f t="shared" ca="1" si="169"/>
        <v>-76397784790920.344</v>
      </c>
      <c r="M4576" s="471">
        <f t="shared" si="171"/>
        <v>0.05</v>
      </c>
      <c r="N4576" s="475">
        <f t="shared" si="172"/>
        <v>190325</v>
      </c>
    </row>
    <row r="4577" spans="7:14" ht="11.25" customHeight="1" x14ac:dyDescent="0.3">
      <c r="G4577" s="470"/>
      <c r="H4577" s="470">
        <v>4570</v>
      </c>
      <c r="I4577" s="455">
        <f t="shared" ca="1" si="170"/>
        <v>-76397784790920.344</v>
      </c>
      <c r="J4577" s="455">
        <f t="array" ref="J4577">IFERROR(INDEX('Retirement Calculator'!K:K,MATCH('Lorri 401b'!N4577,'Retirement Calculator'!A:A,0),0),0)</f>
        <v>0</v>
      </c>
      <c r="K4577" s="455">
        <f t="shared" ca="1" si="168"/>
        <v>-318324103295.5014</v>
      </c>
      <c r="L4577" s="455">
        <f t="shared" ca="1" si="169"/>
        <v>-76716108894215.844</v>
      </c>
      <c r="M4577" s="471">
        <f t="shared" si="171"/>
        <v>0.05</v>
      </c>
      <c r="N4577" s="475">
        <f t="shared" si="172"/>
        <v>190353</v>
      </c>
    </row>
    <row r="4578" spans="7:14" ht="11.25" customHeight="1" x14ac:dyDescent="0.3">
      <c r="G4578" s="470"/>
      <c r="H4578" s="470">
        <v>4571</v>
      </c>
      <c r="I4578" s="455">
        <f t="shared" ca="1" si="170"/>
        <v>-76716108894215.844</v>
      </c>
      <c r="J4578" s="455">
        <f t="array" ref="J4578">IFERROR(INDEX('Retirement Calculator'!K:K,MATCH('Lorri 401b'!N4578,'Retirement Calculator'!A:A,0),0),0)</f>
        <v>0</v>
      </c>
      <c r="K4578" s="455">
        <f t="shared" ca="1" si="168"/>
        <v>-319650453725.89935</v>
      </c>
      <c r="L4578" s="455">
        <f t="shared" ca="1" si="169"/>
        <v>-77035759347941.75</v>
      </c>
      <c r="M4578" s="471">
        <f t="shared" si="171"/>
        <v>0.05</v>
      </c>
      <c r="N4578" s="475">
        <f t="shared" si="172"/>
        <v>190384</v>
      </c>
    </row>
    <row r="4579" spans="7:14" ht="11.25" customHeight="1" x14ac:dyDescent="0.3">
      <c r="G4579" s="470"/>
      <c r="H4579" s="470">
        <v>4572</v>
      </c>
      <c r="I4579" s="455">
        <f t="shared" ca="1" si="170"/>
        <v>-77035759347941.75</v>
      </c>
      <c r="J4579" s="455">
        <f t="array" ref="J4579">IFERROR(INDEX('Retirement Calculator'!K:K,MATCH('Lorri 401b'!N4579,'Retirement Calculator'!A:A,0),0),0)</f>
        <v>0</v>
      </c>
      <c r="K4579" s="455">
        <f t="shared" ca="1" si="168"/>
        <v>-320982330616.42395</v>
      </c>
      <c r="L4579" s="455">
        <f t="shared" ca="1" si="169"/>
        <v>-77356741678558.172</v>
      </c>
      <c r="M4579" s="471">
        <f t="shared" si="171"/>
        <v>0.05</v>
      </c>
      <c r="N4579" s="475">
        <f t="shared" si="172"/>
        <v>190414</v>
      </c>
    </row>
    <row r="4580" spans="7:14" ht="11.25" customHeight="1" x14ac:dyDescent="0.3">
      <c r="G4580" s="470"/>
      <c r="H4580" s="470">
        <v>4573</v>
      </c>
      <c r="I4580" s="455">
        <f t="shared" ca="1" si="170"/>
        <v>-77356741678558.172</v>
      </c>
      <c r="J4580" s="455">
        <f t="array" ref="J4580">IFERROR(INDEX('Retirement Calculator'!K:K,MATCH('Lorri 401b'!N4580,'Retirement Calculator'!A:A,0),0),0)</f>
        <v>0</v>
      </c>
      <c r="K4580" s="455">
        <f t="shared" ca="1" si="168"/>
        <v>-322319756993.99237</v>
      </c>
      <c r="L4580" s="455">
        <f t="shared" ca="1" si="169"/>
        <v>-77679061435552.172</v>
      </c>
      <c r="M4580" s="471">
        <f t="shared" si="171"/>
        <v>0.05</v>
      </c>
      <c r="N4580" s="475">
        <f t="shared" si="172"/>
        <v>190445</v>
      </c>
    </row>
    <row r="4581" spans="7:14" ht="11.25" customHeight="1" x14ac:dyDescent="0.3">
      <c r="G4581" s="470"/>
      <c r="H4581" s="470">
        <v>4574</v>
      </c>
      <c r="I4581" s="455">
        <f t="shared" ca="1" si="170"/>
        <v>-77679061435552.172</v>
      </c>
      <c r="J4581" s="455">
        <f t="array" ref="J4581">IFERROR(INDEX('Retirement Calculator'!K:K,MATCH('Lorri 401b'!N4581,'Retirement Calculator'!A:A,0),0),0)</f>
        <v>0</v>
      </c>
      <c r="K4581" s="455">
        <f t="shared" ca="1" si="168"/>
        <v>-323662755981.46741</v>
      </c>
      <c r="L4581" s="455">
        <f t="shared" ca="1" si="169"/>
        <v>-78002724191533.641</v>
      </c>
      <c r="M4581" s="471">
        <f t="shared" si="171"/>
        <v>0.05</v>
      </c>
      <c r="N4581" s="475">
        <f t="shared" si="172"/>
        <v>190475</v>
      </c>
    </row>
    <row r="4582" spans="7:14" ht="11.25" customHeight="1" x14ac:dyDescent="0.3">
      <c r="G4582" s="470"/>
      <c r="H4582" s="470">
        <v>4575</v>
      </c>
      <c r="I4582" s="455">
        <f t="shared" ca="1" si="170"/>
        <v>-78002724191533.641</v>
      </c>
      <c r="J4582" s="455">
        <f t="array" ref="J4582">IFERROR(INDEX('Retirement Calculator'!K:K,MATCH('Lorri 401b'!N4582,'Retirement Calculator'!A:A,0),0),0)</f>
        <v>0</v>
      </c>
      <c r="K4582" s="455">
        <f t="shared" ca="1" si="168"/>
        <v>-325011350798.05682</v>
      </c>
      <c r="L4582" s="455">
        <f t="shared" ca="1" si="169"/>
        <v>-78327735542331.703</v>
      </c>
      <c r="M4582" s="471">
        <f t="shared" si="171"/>
        <v>0.05</v>
      </c>
      <c r="N4582" s="475">
        <f t="shared" si="172"/>
        <v>190506</v>
      </c>
    </row>
    <row r="4583" spans="7:14" ht="11.25" customHeight="1" x14ac:dyDescent="0.3">
      <c r="G4583" s="470"/>
      <c r="H4583" s="470">
        <v>4576</v>
      </c>
      <c r="I4583" s="455">
        <f t="shared" ca="1" si="170"/>
        <v>-78327735542331.703</v>
      </c>
      <c r="J4583" s="455">
        <f t="array" ref="J4583">IFERROR(INDEX('Retirement Calculator'!K:K,MATCH('Lorri 401b'!N4583,'Retirement Calculator'!A:A,0),0),0)</f>
        <v>0</v>
      </c>
      <c r="K4583" s="455">
        <f t="shared" ca="1" si="168"/>
        <v>-326365564759.71545</v>
      </c>
      <c r="L4583" s="455">
        <f t="shared" ca="1" si="169"/>
        <v>-78654101107091.422</v>
      </c>
      <c r="M4583" s="471">
        <f t="shared" si="171"/>
        <v>0.05</v>
      </c>
      <c r="N4583" s="475">
        <f t="shared" si="172"/>
        <v>190537</v>
      </c>
    </row>
    <row r="4584" spans="7:14" ht="11.25" customHeight="1" x14ac:dyDescent="0.3">
      <c r="G4584" s="470"/>
      <c r="H4584" s="470">
        <v>4577</v>
      </c>
      <c r="I4584" s="455">
        <f t="shared" ca="1" si="170"/>
        <v>-78654101107091.422</v>
      </c>
      <c r="J4584" s="455">
        <f t="array" ref="J4584">IFERROR(INDEX('Retirement Calculator'!K:K,MATCH('Lorri 401b'!N4584,'Retirement Calculator'!A:A,0),0),0)</f>
        <v>0</v>
      </c>
      <c r="K4584" s="455">
        <f t="shared" ca="1" si="168"/>
        <v>-327725421279.54761</v>
      </c>
      <c r="L4584" s="455">
        <f t="shared" ca="1" si="169"/>
        <v>-78981826528370.969</v>
      </c>
      <c r="M4584" s="471">
        <f t="shared" si="171"/>
        <v>0.05</v>
      </c>
      <c r="N4584" s="475">
        <f t="shared" si="172"/>
        <v>190567</v>
      </c>
    </row>
    <row r="4585" spans="7:14" ht="11.25" customHeight="1" x14ac:dyDescent="0.3">
      <c r="G4585" s="470"/>
      <c r="H4585" s="470">
        <v>4578</v>
      </c>
      <c r="I4585" s="455">
        <f t="shared" ca="1" si="170"/>
        <v>-78981826528370.969</v>
      </c>
      <c r="J4585" s="455">
        <f t="array" ref="J4585">IFERROR(INDEX('Retirement Calculator'!K:K,MATCH('Lorri 401b'!N4585,'Retirement Calculator'!A:A,0),0),0)</f>
        <v>0</v>
      </c>
      <c r="K4585" s="455">
        <f t="shared" ca="1" si="168"/>
        <v>-329090943868.21234</v>
      </c>
      <c r="L4585" s="455">
        <f t="shared" ca="1" si="169"/>
        <v>-79310917472239.188</v>
      </c>
      <c r="M4585" s="471">
        <f t="shared" si="171"/>
        <v>0.05</v>
      </c>
      <c r="N4585" s="475">
        <f t="shared" si="172"/>
        <v>190598</v>
      </c>
    </row>
    <row r="4586" spans="7:14" ht="11.25" customHeight="1" x14ac:dyDescent="0.3">
      <c r="G4586" s="470"/>
      <c r="H4586" s="470">
        <v>4579</v>
      </c>
      <c r="I4586" s="455">
        <f t="shared" ca="1" si="170"/>
        <v>-79310917472239.188</v>
      </c>
      <c r="J4586" s="455">
        <f t="array" ref="J4586">IFERROR(INDEX('Retirement Calculator'!K:K,MATCH('Lorri 401b'!N4586,'Retirement Calculator'!A:A,0),0),0)</f>
        <v>0</v>
      </c>
      <c r="K4586" s="455">
        <f t="shared" ca="1" si="168"/>
        <v>-330462156134.32996</v>
      </c>
      <c r="L4586" s="455">
        <f t="shared" ca="1" si="169"/>
        <v>-79641379628373.516</v>
      </c>
      <c r="M4586" s="471">
        <f t="shared" si="171"/>
        <v>0.05</v>
      </c>
      <c r="N4586" s="475">
        <f t="shared" si="172"/>
        <v>190628</v>
      </c>
    </row>
    <row r="4587" spans="7:14" ht="11.25" customHeight="1" x14ac:dyDescent="0.3">
      <c r="G4587" s="470"/>
      <c r="H4587" s="470">
        <v>4580</v>
      </c>
      <c r="I4587" s="455">
        <f t="shared" ca="1" si="170"/>
        <v>-79641379628373.516</v>
      </c>
      <c r="J4587" s="455">
        <f t="array" ref="J4587">IFERROR(INDEX('Retirement Calculator'!K:K,MATCH('Lorri 401b'!N4587,'Retirement Calculator'!A:A,0),0),0)</f>
        <v>0</v>
      </c>
      <c r="K4587" s="455">
        <f t="shared" ca="1" si="168"/>
        <v>-331839081784.88965</v>
      </c>
      <c r="L4587" s="455">
        <f t="shared" ca="1" si="169"/>
        <v>-79973218710158.406</v>
      </c>
      <c r="M4587" s="471">
        <f t="shared" si="171"/>
        <v>0.05</v>
      </c>
      <c r="N4587" s="475">
        <f t="shared" si="172"/>
        <v>190659</v>
      </c>
    </row>
    <row r="4588" spans="7:14" ht="11.25" customHeight="1" x14ac:dyDescent="0.3">
      <c r="G4588" s="470"/>
      <c r="H4588" s="470">
        <v>4581</v>
      </c>
      <c r="I4588" s="455">
        <f t="shared" ca="1" si="170"/>
        <v>-79973218710158.406</v>
      </c>
      <c r="J4588" s="455">
        <f t="array" ref="J4588">IFERROR(INDEX('Retirement Calculator'!K:K,MATCH('Lorri 401b'!N4588,'Retirement Calculator'!A:A,0),0),0)</f>
        <v>0</v>
      </c>
      <c r="K4588" s="455">
        <f t="shared" ca="1" si="168"/>
        <v>-333221744625.66003</v>
      </c>
      <c r="L4588" s="455">
        <f t="shared" ca="1" si="169"/>
        <v>-80306440454784.063</v>
      </c>
      <c r="M4588" s="471">
        <f t="shared" si="171"/>
        <v>0.05</v>
      </c>
      <c r="N4588" s="475">
        <f t="shared" si="172"/>
        <v>190690</v>
      </c>
    </row>
    <row r="4589" spans="7:14" ht="11.25" customHeight="1" x14ac:dyDescent="0.3">
      <c r="G4589" s="470"/>
      <c r="H4589" s="470">
        <v>4582</v>
      </c>
      <c r="I4589" s="455">
        <f t="shared" ca="1" si="170"/>
        <v>-80306440454784.063</v>
      </c>
      <c r="J4589" s="455">
        <f t="array" ref="J4589">IFERROR(INDEX('Retirement Calculator'!K:K,MATCH('Lorri 401b'!N4589,'Retirement Calculator'!A:A,0),0),0)</f>
        <v>0</v>
      </c>
      <c r="K4589" s="455">
        <f t="shared" ca="1" si="168"/>
        <v>-334610168561.60028</v>
      </c>
      <c r="L4589" s="455">
        <f t="shared" ca="1" si="169"/>
        <v>-80641050623345.656</v>
      </c>
      <c r="M4589" s="471">
        <f t="shared" si="171"/>
        <v>0.05</v>
      </c>
      <c r="N4589" s="475">
        <f t="shared" si="172"/>
        <v>190718</v>
      </c>
    </row>
    <row r="4590" spans="7:14" ht="11.25" customHeight="1" x14ac:dyDescent="0.3">
      <c r="G4590" s="470"/>
      <c r="H4590" s="470">
        <v>4583</v>
      </c>
      <c r="I4590" s="455">
        <f t="shared" ca="1" si="170"/>
        <v>-80641050623345.656</v>
      </c>
      <c r="J4590" s="455">
        <f t="array" ref="J4590">IFERROR(INDEX('Retirement Calculator'!K:K,MATCH('Lorri 401b'!N4590,'Retirement Calculator'!A:A,0),0),0)</f>
        <v>0</v>
      </c>
      <c r="K4590" s="455">
        <f t="shared" ca="1" si="168"/>
        <v>-336004377597.27356</v>
      </c>
      <c r="L4590" s="455">
        <f t="shared" ca="1" si="169"/>
        <v>-80977055000942.938</v>
      </c>
      <c r="M4590" s="471">
        <f t="shared" si="171"/>
        <v>0.05</v>
      </c>
      <c r="N4590" s="475">
        <f t="shared" si="172"/>
        <v>190749</v>
      </c>
    </row>
    <row r="4591" spans="7:14" ht="11.25" customHeight="1" x14ac:dyDescent="0.3">
      <c r="G4591" s="470"/>
      <c r="H4591" s="470">
        <v>4584</v>
      </c>
      <c r="I4591" s="455">
        <f t="shared" ca="1" si="170"/>
        <v>-80977055000942.938</v>
      </c>
      <c r="J4591" s="455">
        <f t="array" ref="J4591">IFERROR(INDEX('Retirement Calculator'!K:K,MATCH('Lorri 401b'!N4591,'Retirement Calculator'!A:A,0),0),0)</f>
        <v>0</v>
      </c>
      <c r="K4591" s="455">
        <f t="shared" ca="1" si="168"/>
        <v>-337404395837.26221</v>
      </c>
      <c r="L4591" s="455">
        <f t="shared" ca="1" si="169"/>
        <v>-81314459396780.203</v>
      </c>
      <c r="M4591" s="471">
        <f t="shared" si="171"/>
        <v>0.05</v>
      </c>
      <c r="N4591" s="475">
        <f t="shared" si="172"/>
        <v>190779</v>
      </c>
    </row>
    <row r="4592" spans="7:14" ht="11.25" customHeight="1" x14ac:dyDescent="0.3">
      <c r="G4592" s="470"/>
      <c r="H4592" s="470">
        <v>4585</v>
      </c>
      <c r="I4592" s="455">
        <f t="shared" ca="1" si="170"/>
        <v>-81314459396780.203</v>
      </c>
      <c r="J4592" s="455">
        <f t="array" ref="J4592">IFERROR(INDEX('Retirement Calculator'!K:K,MATCH('Lorri 401b'!N4592,'Retirement Calculator'!A:A,0),0),0)</f>
        <v>0</v>
      </c>
      <c r="K4592" s="455">
        <f t="shared" ca="1" si="168"/>
        <v>-338810247486.58417</v>
      </c>
      <c r="L4592" s="455">
        <f t="shared" ca="1" si="169"/>
        <v>-81653269644266.781</v>
      </c>
      <c r="M4592" s="471">
        <f t="shared" si="171"/>
        <v>0.05</v>
      </c>
      <c r="N4592" s="475">
        <f t="shared" si="172"/>
        <v>190810</v>
      </c>
    </row>
    <row r="4593" spans="7:14" ht="11.25" customHeight="1" x14ac:dyDescent="0.3">
      <c r="G4593" s="470"/>
      <c r="H4593" s="470">
        <v>4586</v>
      </c>
      <c r="I4593" s="455">
        <f t="shared" ca="1" si="170"/>
        <v>-81653269644266.781</v>
      </c>
      <c r="J4593" s="455">
        <f t="array" ref="J4593">IFERROR(INDEX('Retirement Calculator'!K:K,MATCH('Lorri 401b'!N4593,'Retirement Calculator'!A:A,0),0),0)</f>
        <v>0</v>
      </c>
      <c r="K4593" s="455">
        <f t="shared" ca="1" si="168"/>
        <v>-340221956851.11157</v>
      </c>
      <c r="L4593" s="455">
        <f t="shared" ca="1" si="169"/>
        <v>-81993491601117.891</v>
      </c>
      <c r="M4593" s="471">
        <f t="shared" si="171"/>
        <v>0.05</v>
      </c>
      <c r="N4593" s="475">
        <f t="shared" si="172"/>
        <v>190840</v>
      </c>
    </row>
    <row r="4594" spans="7:14" ht="11.25" customHeight="1" x14ac:dyDescent="0.3">
      <c r="G4594" s="470"/>
      <c r="H4594" s="470">
        <v>4587</v>
      </c>
      <c r="I4594" s="455">
        <f t="shared" ca="1" si="170"/>
        <v>-81993491601117.891</v>
      </c>
      <c r="J4594" s="455">
        <f t="array" ref="J4594">IFERROR(INDEX('Retirement Calculator'!K:K,MATCH('Lorri 401b'!N4594,'Retirement Calculator'!A:A,0),0),0)</f>
        <v>0</v>
      </c>
      <c r="K4594" s="455">
        <f t="shared" ca="1" si="168"/>
        <v>-341639548337.99121</v>
      </c>
      <c r="L4594" s="455">
        <f t="shared" ca="1" si="169"/>
        <v>-82335131149455.875</v>
      </c>
      <c r="M4594" s="471">
        <f t="shared" si="171"/>
        <v>0.05</v>
      </c>
      <c r="N4594" s="475">
        <f t="shared" si="172"/>
        <v>190871</v>
      </c>
    </row>
    <row r="4595" spans="7:14" ht="11.25" customHeight="1" x14ac:dyDescent="0.3">
      <c r="G4595" s="470"/>
      <c r="H4595" s="470">
        <v>4588</v>
      </c>
      <c r="I4595" s="455">
        <f t="shared" ca="1" si="170"/>
        <v>-82335131149455.875</v>
      </c>
      <c r="J4595" s="455">
        <f t="array" ref="J4595">IFERROR(INDEX('Retirement Calculator'!K:K,MATCH('Lorri 401b'!N4595,'Retirement Calculator'!A:A,0),0),0)</f>
        <v>0</v>
      </c>
      <c r="K4595" s="455">
        <f t="shared" ca="1" si="168"/>
        <v>-343063046456.06616</v>
      </c>
      <c r="L4595" s="455">
        <f t="shared" ca="1" si="169"/>
        <v>-82678194195911.938</v>
      </c>
      <c r="M4595" s="471">
        <f t="shared" si="171"/>
        <v>0.05</v>
      </c>
      <c r="N4595" s="475">
        <f t="shared" si="172"/>
        <v>190902</v>
      </c>
    </row>
    <row r="4596" spans="7:14" ht="11.25" customHeight="1" x14ac:dyDescent="0.3">
      <c r="G4596" s="470"/>
      <c r="H4596" s="470">
        <v>4589</v>
      </c>
      <c r="I4596" s="455">
        <f t="shared" ca="1" si="170"/>
        <v>-82678194195911.938</v>
      </c>
      <c r="J4596" s="455">
        <f t="array" ref="J4596">IFERROR(INDEX('Retirement Calculator'!K:K,MATCH('Lorri 401b'!N4596,'Retirement Calculator'!A:A,0),0),0)</f>
        <v>0</v>
      </c>
      <c r="K4596" s="455">
        <f t="shared" ca="1" si="168"/>
        <v>-344492475816.29974</v>
      </c>
      <c r="L4596" s="455">
        <f t="shared" ca="1" si="169"/>
        <v>-83022686671728.234</v>
      </c>
      <c r="M4596" s="471">
        <f t="shared" si="171"/>
        <v>0.05</v>
      </c>
      <c r="N4596" s="475">
        <f t="shared" si="172"/>
        <v>190932</v>
      </c>
    </row>
    <row r="4597" spans="7:14" ht="11.25" customHeight="1" x14ac:dyDescent="0.3">
      <c r="G4597" s="470"/>
      <c r="H4597" s="470">
        <v>4590</v>
      </c>
      <c r="I4597" s="455">
        <f t="shared" ca="1" si="170"/>
        <v>-83022686671728.234</v>
      </c>
      <c r="J4597" s="455">
        <f t="array" ref="J4597">IFERROR(INDEX('Retirement Calculator'!K:K,MATCH('Lorri 401b'!N4597,'Retirement Calculator'!A:A,0),0),0)</f>
        <v>0</v>
      </c>
      <c r="K4597" s="455">
        <f t="shared" ca="1" si="168"/>
        <v>-345927861132.20099</v>
      </c>
      <c r="L4597" s="455">
        <f t="shared" ca="1" si="169"/>
        <v>-83368614532860.438</v>
      </c>
      <c r="M4597" s="471">
        <f t="shared" si="171"/>
        <v>0.05</v>
      </c>
      <c r="N4597" s="475">
        <f t="shared" si="172"/>
        <v>190963</v>
      </c>
    </row>
    <row r="4598" spans="7:14" ht="11.25" customHeight="1" x14ac:dyDescent="0.3">
      <c r="G4598" s="470"/>
      <c r="H4598" s="470">
        <v>4591</v>
      </c>
      <c r="I4598" s="455">
        <f t="shared" ca="1" si="170"/>
        <v>-83368614532860.438</v>
      </c>
      <c r="J4598" s="455">
        <f t="array" ref="J4598">IFERROR(INDEX('Retirement Calculator'!K:K,MATCH('Lorri 401b'!N4598,'Retirement Calculator'!A:A,0),0),0)</f>
        <v>0</v>
      </c>
      <c r="K4598" s="455">
        <f t="shared" ref="K4598:K4852" ca="1" si="173">IPMT(M4598/12,1,12,-I4598+J4598,,0)</f>
        <v>-347369227220.25183</v>
      </c>
      <c r="L4598" s="455">
        <f t="shared" ref="L4598:L4852" ca="1" si="174">I4598-J4598+K4598</f>
        <v>-83715983760080.688</v>
      </c>
      <c r="M4598" s="471">
        <f t="shared" si="171"/>
        <v>0.05</v>
      </c>
      <c r="N4598" s="475">
        <f t="shared" si="172"/>
        <v>190993</v>
      </c>
    </row>
    <row r="4599" spans="7:14" ht="11.25" customHeight="1" x14ac:dyDescent="0.3">
      <c r="G4599" s="470"/>
      <c r="H4599" s="470">
        <v>4592</v>
      </c>
      <c r="I4599" s="455">
        <f t="shared" ref="I4599:I4853" ca="1" si="175">L4598</f>
        <v>-83715983760080.688</v>
      </c>
      <c r="J4599" s="455">
        <f t="array" ref="J4599">IFERROR(INDEX('Retirement Calculator'!K:K,MATCH('Lorri 401b'!N4599,'Retirement Calculator'!A:A,0),0),0)</f>
        <v>0</v>
      </c>
      <c r="K4599" s="455">
        <f t="shared" ca="1" si="173"/>
        <v>-348816599000.33618</v>
      </c>
      <c r="L4599" s="455">
        <f t="shared" ca="1" si="174"/>
        <v>-84064800359081.031</v>
      </c>
      <c r="M4599" s="471">
        <f t="shared" ref="M4599:M4853" si="176">M4598</f>
        <v>0.05</v>
      </c>
      <c r="N4599" s="475">
        <f t="shared" ref="N4599:N4853" si="177">EDATE(N4598,1)</f>
        <v>191024</v>
      </c>
    </row>
    <row r="4600" spans="7:14" ht="11.25" customHeight="1" x14ac:dyDescent="0.3">
      <c r="G4600" s="470"/>
      <c r="H4600" s="470">
        <v>4593</v>
      </c>
      <c r="I4600" s="455">
        <f t="shared" ca="1" si="175"/>
        <v>-84064800359081.031</v>
      </c>
      <c r="J4600" s="455">
        <f t="array" ref="J4600">IFERROR(INDEX('Retirement Calculator'!K:K,MATCH('Lorri 401b'!N4600,'Retirement Calculator'!A:A,0),0),0)</f>
        <v>0</v>
      </c>
      <c r="K4600" s="455">
        <f t="shared" ca="1" si="173"/>
        <v>-350270001496.17096</v>
      </c>
      <c r="L4600" s="455">
        <f t="shared" ca="1" si="174"/>
        <v>-84415070360577.203</v>
      </c>
      <c r="M4600" s="471">
        <f t="shared" si="176"/>
        <v>0.05</v>
      </c>
      <c r="N4600" s="475">
        <f t="shared" si="177"/>
        <v>191055</v>
      </c>
    </row>
    <row r="4601" spans="7:14" ht="11.25" customHeight="1" x14ac:dyDescent="0.3">
      <c r="G4601" s="470"/>
      <c r="H4601" s="470">
        <v>4594</v>
      </c>
      <c r="I4601" s="455">
        <f t="shared" ca="1" si="175"/>
        <v>-84415070360577.203</v>
      </c>
      <c r="J4601" s="455">
        <f t="array" ref="J4601">IFERROR(INDEX('Retirement Calculator'!K:K,MATCH('Lorri 401b'!N4601,'Retirement Calculator'!A:A,0),0),0)</f>
        <v>0</v>
      </c>
      <c r="K4601" s="455">
        <f t="shared" ca="1" si="173"/>
        <v>-351729459835.73834</v>
      </c>
      <c r="L4601" s="455">
        <f t="shared" ca="1" si="174"/>
        <v>-84766799820412.938</v>
      </c>
      <c r="M4601" s="471">
        <f t="shared" si="176"/>
        <v>0.05</v>
      </c>
      <c r="N4601" s="475">
        <f t="shared" si="177"/>
        <v>191083</v>
      </c>
    </row>
    <row r="4602" spans="7:14" ht="11.25" customHeight="1" x14ac:dyDescent="0.3">
      <c r="G4602" s="470"/>
      <c r="H4602" s="470">
        <v>4595</v>
      </c>
      <c r="I4602" s="455">
        <f t="shared" ca="1" si="175"/>
        <v>-84766799820412.938</v>
      </c>
      <c r="J4602" s="455">
        <f t="array" ref="J4602">IFERROR(INDEX('Retirement Calculator'!K:K,MATCH('Lorri 401b'!N4602,'Retirement Calculator'!A:A,0),0),0)</f>
        <v>0</v>
      </c>
      <c r="K4602" s="455">
        <f t="shared" ca="1" si="173"/>
        <v>-353194999251.72058</v>
      </c>
      <c r="L4602" s="455">
        <f t="shared" ca="1" si="174"/>
        <v>-85119994819664.656</v>
      </c>
      <c r="M4602" s="471">
        <f t="shared" si="176"/>
        <v>0.05</v>
      </c>
      <c r="N4602" s="475">
        <f t="shared" si="177"/>
        <v>191114</v>
      </c>
    </row>
    <row r="4603" spans="7:14" ht="11.25" customHeight="1" x14ac:dyDescent="0.3">
      <c r="G4603" s="470"/>
      <c r="H4603" s="470">
        <v>4596</v>
      </c>
      <c r="I4603" s="455">
        <f t="shared" ca="1" si="175"/>
        <v>-85119994819664.656</v>
      </c>
      <c r="J4603" s="455">
        <f t="array" ref="J4603">IFERROR(INDEX('Retirement Calculator'!K:K,MATCH('Lorri 401b'!N4603,'Retirement Calculator'!A:A,0),0),0)</f>
        <v>0</v>
      </c>
      <c r="K4603" s="455">
        <f t="shared" ca="1" si="173"/>
        <v>-354666645081.93604</v>
      </c>
      <c r="L4603" s="455">
        <f t="shared" ca="1" si="174"/>
        <v>-85474661464746.594</v>
      </c>
      <c r="M4603" s="471">
        <f t="shared" si="176"/>
        <v>0.05</v>
      </c>
      <c r="N4603" s="475">
        <f t="shared" si="177"/>
        <v>191144</v>
      </c>
    </row>
    <row r="4604" spans="7:14" ht="11.25" customHeight="1" x14ac:dyDescent="0.3">
      <c r="G4604" s="470"/>
      <c r="H4604" s="470">
        <v>4597</v>
      </c>
      <c r="I4604" s="455">
        <f t="shared" ca="1" si="175"/>
        <v>-85474661464746.594</v>
      </c>
      <c r="J4604" s="455">
        <f t="array" ref="J4604">IFERROR(INDEX('Retirement Calculator'!K:K,MATCH('Lorri 401b'!N4604,'Retirement Calculator'!A:A,0),0),0)</f>
        <v>0</v>
      </c>
      <c r="K4604" s="455">
        <f t="shared" ca="1" si="173"/>
        <v>-356144422769.77747</v>
      </c>
      <c r="L4604" s="455">
        <f t="shared" ca="1" si="174"/>
        <v>-85830805887516.375</v>
      </c>
      <c r="M4604" s="471">
        <f t="shared" si="176"/>
        <v>0.05</v>
      </c>
      <c r="N4604" s="475">
        <f t="shared" si="177"/>
        <v>191175</v>
      </c>
    </row>
    <row r="4605" spans="7:14" ht="11.25" customHeight="1" x14ac:dyDescent="0.3">
      <c r="G4605" s="470"/>
      <c r="H4605" s="470">
        <v>4598</v>
      </c>
      <c r="I4605" s="455">
        <f t="shared" ca="1" si="175"/>
        <v>-85830805887516.375</v>
      </c>
      <c r="J4605" s="455">
        <f t="array" ref="J4605">IFERROR(INDEX('Retirement Calculator'!K:K,MATCH('Lorri 401b'!N4605,'Retirement Calculator'!A:A,0),0),0)</f>
        <v>0</v>
      </c>
      <c r="K4605" s="455">
        <f t="shared" ca="1" si="173"/>
        <v>-357628357864.65155</v>
      </c>
      <c r="L4605" s="455">
        <f t="shared" ca="1" si="174"/>
        <v>-86188434245381.031</v>
      </c>
      <c r="M4605" s="471">
        <f t="shared" si="176"/>
        <v>0.05</v>
      </c>
      <c r="N4605" s="475">
        <f t="shared" si="177"/>
        <v>191205</v>
      </c>
    </row>
    <row r="4606" spans="7:14" ht="11.25" customHeight="1" x14ac:dyDescent="0.3">
      <c r="G4606" s="470"/>
      <c r="H4606" s="470">
        <v>4599</v>
      </c>
      <c r="I4606" s="455">
        <f t="shared" ca="1" si="175"/>
        <v>-86188434245381.031</v>
      </c>
      <c r="J4606" s="455">
        <f t="array" ref="J4606">IFERROR(INDEX('Retirement Calculator'!K:K,MATCH('Lorri 401b'!N4606,'Retirement Calculator'!A:A,0),0),0)</f>
        <v>0</v>
      </c>
      <c r="K4606" s="455">
        <f t="shared" ca="1" si="173"/>
        <v>-359118476022.42096</v>
      </c>
      <c r="L4606" s="455">
        <f t="shared" ca="1" si="174"/>
        <v>-86547552721403.453</v>
      </c>
      <c r="M4606" s="471">
        <f t="shared" si="176"/>
        <v>0.05</v>
      </c>
      <c r="N4606" s="475">
        <f t="shared" si="177"/>
        <v>191236</v>
      </c>
    </row>
    <row r="4607" spans="7:14" ht="11.25" customHeight="1" x14ac:dyDescent="0.3">
      <c r="G4607" s="470"/>
      <c r="H4607" s="470">
        <v>4600</v>
      </c>
      <c r="I4607" s="455">
        <f t="shared" ca="1" si="175"/>
        <v>-86547552721403.453</v>
      </c>
      <c r="J4607" s="455">
        <f t="array" ref="J4607">IFERROR(INDEX('Retirement Calculator'!K:K,MATCH('Lorri 401b'!N4607,'Retirement Calculator'!A:A,0),0),0)</f>
        <v>0</v>
      </c>
      <c r="K4607" s="455">
        <f t="shared" ca="1" si="173"/>
        <v>-360614803005.84772</v>
      </c>
      <c r="L4607" s="455">
        <f t="shared" ca="1" si="174"/>
        <v>-86908167524409.297</v>
      </c>
      <c r="M4607" s="471">
        <f t="shared" si="176"/>
        <v>0.05</v>
      </c>
      <c r="N4607" s="475">
        <f t="shared" si="177"/>
        <v>191267</v>
      </c>
    </row>
    <row r="4608" spans="7:14" ht="11.25" customHeight="1" x14ac:dyDescent="0.3">
      <c r="G4608" s="470"/>
      <c r="H4608" s="470">
        <v>4601</v>
      </c>
      <c r="I4608" s="455">
        <f t="shared" ca="1" si="175"/>
        <v>-86908167524409.297</v>
      </c>
      <c r="J4608" s="455">
        <f t="array" ref="J4608">IFERROR(INDEX('Retirement Calculator'!K:K,MATCH('Lorri 401b'!N4608,'Retirement Calculator'!A:A,0),0),0)</f>
        <v>0</v>
      </c>
      <c r="K4608" s="455">
        <f t="shared" ca="1" si="173"/>
        <v>-362117364685.03876</v>
      </c>
      <c r="L4608" s="455">
        <f t="shared" ca="1" si="174"/>
        <v>-87270284889094.328</v>
      </c>
      <c r="M4608" s="471">
        <f t="shared" si="176"/>
        <v>0.05</v>
      </c>
      <c r="N4608" s="475">
        <f t="shared" si="177"/>
        <v>191297</v>
      </c>
    </row>
    <row r="4609" spans="7:14" ht="11.25" customHeight="1" x14ac:dyDescent="0.3">
      <c r="G4609" s="470"/>
      <c r="H4609" s="470">
        <v>4602</v>
      </c>
      <c r="I4609" s="455">
        <f t="shared" ca="1" si="175"/>
        <v>-87270284889094.328</v>
      </c>
      <c r="J4609" s="455">
        <f t="array" ref="J4609">IFERROR(INDEX('Retirement Calculator'!K:K,MATCH('Lorri 401b'!N4609,'Retirement Calculator'!A:A,0),0),0)</f>
        <v>0</v>
      </c>
      <c r="K4609" s="455">
        <f t="shared" ca="1" si="173"/>
        <v>-363626187037.89301</v>
      </c>
      <c r="L4609" s="455">
        <f t="shared" ca="1" si="174"/>
        <v>-87633911076132.219</v>
      </c>
      <c r="M4609" s="471">
        <f t="shared" si="176"/>
        <v>0.05</v>
      </c>
      <c r="N4609" s="475">
        <f t="shared" si="177"/>
        <v>191328</v>
      </c>
    </row>
    <row r="4610" spans="7:14" ht="11.25" customHeight="1" x14ac:dyDescent="0.3">
      <c r="G4610" s="470"/>
      <c r="H4610" s="470">
        <v>4603</v>
      </c>
      <c r="I4610" s="455">
        <f t="shared" ca="1" si="175"/>
        <v>-87633911076132.219</v>
      </c>
      <c r="J4610" s="455">
        <f t="array" ref="J4610">IFERROR(INDEX('Retirement Calculator'!K:K,MATCH('Lorri 401b'!N4610,'Retirement Calculator'!A:A,0),0),0)</f>
        <v>0</v>
      </c>
      <c r="K4610" s="455">
        <f t="shared" ca="1" si="173"/>
        <v>-365141296150.5509</v>
      </c>
      <c r="L4610" s="455">
        <f t="shared" ca="1" si="174"/>
        <v>-87999052372282.766</v>
      </c>
      <c r="M4610" s="471">
        <f t="shared" si="176"/>
        <v>0.05</v>
      </c>
      <c r="N4610" s="475">
        <f t="shared" si="177"/>
        <v>191358</v>
      </c>
    </row>
    <row r="4611" spans="7:14" ht="11.25" customHeight="1" x14ac:dyDescent="0.3">
      <c r="G4611" s="470"/>
      <c r="H4611" s="470">
        <v>4604</v>
      </c>
      <c r="I4611" s="455">
        <f t="shared" ca="1" si="175"/>
        <v>-87999052372282.766</v>
      </c>
      <c r="J4611" s="455">
        <f t="array" ref="J4611">IFERROR(INDEX('Retirement Calculator'!K:K,MATCH('Lorri 401b'!N4611,'Retirement Calculator'!A:A,0),0),0)</f>
        <v>0</v>
      </c>
      <c r="K4611" s="455">
        <f t="shared" ca="1" si="173"/>
        <v>-366662718217.84485</v>
      </c>
      <c r="L4611" s="455">
        <f t="shared" ca="1" si="174"/>
        <v>-88365715090500.609</v>
      </c>
      <c r="M4611" s="471">
        <f t="shared" si="176"/>
        <v>0.05</v>
      </c>
      <c r="N4611" s="475">
        <f t="shared" si="177"/>
        <v>191389</v>
      </c>
    </row>
    <row r="4612" spans="7:14" ht="11.25" customHeight="1" x14ac:dyDescent="0.3">
      <c r="G4612" s="470"/>
      <c r="H4612" s="470">
        <v>4605</v>
      </c>
      <c r="I4612" s="455">
        <f t="shared" ca="1" si="175"/>
        <v>-88365715090500.609</v>
      </c>
      <c r="J4612" s="455">
        <f t="array" ref="J4612">IFERROR(INDEX('Retirement Calculator'!K:K,MATCH('Lorri 401b'!N4612,'Retirement Calculator'!A:A,0),0),0)</f>
        <v>0</v>
      </c>
      <c r="K4612" s="455">
        <f t="shared" ca="1" si="173"/>
        <v>-368190479543.75256</v>
      </c>
      <c r="L4612" s="455">
        <f t="shared" ca="1" si="174"/>
        <v>-88733905570044.359</v>
      </c>
      <c r="M4612" s="471">
        <f t="shared" si="176"/>
        <v>0.05</v>
      </c>
      <c r="N4612" s="475">
        <f t="shared" si="177"/>
        <v>191420</v>
      </c>
    </row>
    <row r="4613" spans="7:14" ht="11.25" customHeight="1" x14ac:dyDescent="0.3">
      <c r="G4613" s="470"/>
      <c r="H4613" s="470">
        <v>4606</v>
      </c>
      <c r="I4613" s="455">
        <f t="shared" ca="1" si="175"/>
        <v>-88733905570044.359</v>
      </c>
      <c r="J4613" s="455">
        <f t="array" ref="J4613">IFERROR(INDEX('Retirement Calculator'!K:K,MATCH('Lorri 401b'!N4613,'Retirement Calculator'!A:A,0),0),0)</f>
        <v>0</v>
      </c>
      <c r="K4613" s="455">
        <f t="shared" ca="1" si="173"/>
        <v>-369724606541.8515</v>
      </c>
      <c r="L4613" s="455">
        <f t="shared" ca="1" si="174"/>
        <v>-89103630176586.203</v>
      </c>
      <c r="M4613" s="471">
        <f t="shared" si="176"/>
        <v>0.05</v>
      </c>
      <c r="N4613" s="475">
        <f t="shared" si="177"/>
        <v>191449</v>
      </c>
    </row>
    <row r="4614" spans="7:14" ht="11.25" customHeight="1" x14ac:dyDescent="0.3">
      <c r="G4614" s="470"/>
      <c r="H4614" s="470">
        <v>4607</v>
      </c>
      <c r="I4614" s="455">
        <f t="shared" ca="1" si="175"/>
        <v>-89103630176586.203</v>
      </c>
      <c r="J4614" s="455">
        <f t="array" ref="J4614">IFERROR(INDEX('Retirement Calculator'!K:K,MATCH('Lorri 401b'!N4614,'Retirement Calculator'!A:A,0),0),0)</f>
        <v>0</v>
      </c>
      <c r="K4614" s="455">
        <f t="shared" ca="1" si="173"/>
        <v>-371265125735.77582</v>
      </c>
      <c r="L4614" s="455">
        <f t="shared" ca="1" si="174"/>
        <v>-89474895302321.984</v>
      </c>
      <c r="M4614" s="471">
        <f t="shared" si="176"/>
        <v>0.05</v>
      </c>
      <c r="N4614" s="475">
        <f t="shared" si="177"/>
        <v>191480</v>
      </c>
    </row>
    <row r="4615" spans="7:14" ht="11.25" customHeight="1" x14ac:dyDescent="0.3">
      <c r="G4615" s="470"/>
      <c r="H4615" s="470">
        <v>4608</v>
      </c>
      <c r="I4615" s="455">
        <f t="shared" ca="1" si="175"/>
        <v>-89474895302321.984</v>
      </c>
      <c r="J4615" s="455">
        <f t="array" ref="J4615">IFERROR(INDEX('Retirement Calculator'!K:K,MATCH('Lorri 401b'!N4615,'Retirement Calculator'!A:A,0),0),0)</f>
        <v>0</v>
      </c>
      <c r="K4615" s="455">
        <f t="shared" ca="1" si="173"/>
        <v>-372812063759.67493</v>
      </c>
      <c r="L4615" s="455">
        <f t="shared" ca="1" si="174"/>
        <v>-89847707366081.656</v>
      </c>
      <c r="M4615" s="471">
        <f t="shared" si="176"/>
        <v>0.05</v>
      </c>
      <c r="N4615" s="475">
        <f t="shared" si="177"/>
        <v>191510</v>
      </c>
    </row>
    <row r="4616" spans="7:14" ht="11.25" customHeight="1" x14ac:dyDescent="0.3">
      <c r="G4616" s="470"/>
      <c r="H4616" s="470">
        <v>4609</v>
      </c>
      <c r="I4616" s="455">
        <f t="shared" ca="1" si="175"/>
        <v>-89847707366081.656</v>
      </c>
      <c r="J4616" s="455">
        <f t="array" ref="J4616">IFERROR(INDEX('Retirement Calculator'!K:K,MATCH('Lorri 401b'!N4616,'Retirement Calculator'!A:A,0),0),0)</f>
        <v>0</v>
      </c>
      <c r="K4616" s="455">
        <f t="shared" ca="1" si="173"/>
        <v>-374365447358.67358</v>
      </c>
      <c r="L4616" s="455">
        <f t="shared" ca="1" si="174"/>
        <v>-90222072813440.328</v>
      </c>
      <c r="M4616" s="471">
        <f t="shared" si="176"/>
        <v>0.05</v>
      </c>
      <c r="N4616" s="475">
        <f t="shared" si="177"/>
        <v>191541</v>
      </c>
    </row>
    <row r="4617" spans="7:14" ht="11.25" customHeight="1" x14ac:dyDescent="0.3">
      <c r="G4617" s="470"/>
      <c r="H4617" s="470">
        <v>4610</v>
      </c>
      <c r="I4617" s="455">
        <f t="shared" ca="1" si="175"/>
        <v>-90222072813440.328</v>
      </c>
      <c r="J4617" s="455">
        <f t="array" ref="J4617">IFERROR(INDEX('Retirement Calculator'!K:K,MATCH('Lorri 401b'!N4617,'Retirement Calculator'!A:A,0),0),0)</f>
        <v>0</v>
      </c>
      <c r="K4617" s="455">
        <f t="shared" ca="1" si="173"/>
        <v>-375925303389.33472</v>
      </c>
      <c r="L4617" s="455">
        <f t="shared" ca="1" si="174"/>
        <v>-90597998116829.656</v>
      </c>
      <c r="M4617" s="471">
        <f t="shared" si="176"/>
        <v>0.05</v>
      </c>
      <c r="N4617" s="475">
        <f t="shared" si="177"/>
        <v>191571</v>
      </c>
    </row>
    <row r="4618" spans="7:14" ht="11.25" customHeight="1" x14ac:dyDescent="0.3">
      <c r="G4618" s="470"/>
      <c r="H4618" s="470">
        <v>4611</v>
      </c>
      <c r="I4618" s="455">
        <f t="shared" ca="1" si="175"/>
        <v>-90597998116829.656</v>
      </c>
      <c r="J4618" s="455">
        <f t="array" ref="J4618">IFERROR(INDEX('Retirement Calculator'!K:K,MATCH('Lorri 401b'!N4618,'Retirement Calculator'!A:A,0),0),0)</f>
        <v>0</v>
      </c>
      <c r="K4618" s="455">
        <f t="shared" ca="1" si="173"/>
        <v>-377491658820.12354</v>
      </c>
      <c r="L4618" s="455">
        <f t="shared" ca="1" si="174"/>
        <v>-90975489775649.781</v>
      </c>
      <c r="M4618" s="471">
        <f t="shared" si="176"/>
        <v>0.05</v>
      </c>
      <c r="N4618" s="475">
        <f t="shared" si="177"/>
        <v>191602</v>
      </c>
    </row>
    <row r="4619" spans="7:14" ht="11.25" customHeight="1" x14ac:dyDescent="0.3">
      <c r="G4619" s="470"/>
      <c r="H4619" s="470">
        <v>4612</v>
      </c>
      <c r="I4619" s="455">
        <f t="shared" ca="1" si="175"/>
        <v>-90975489775649.781</v>
      </c>
      <c r="J4619" s="455">
        <f t="array" ref="J4619">IFERROR(INDEX('Retirement Calculator'!K:K,MATCH('Lorri 401b'!N4619,'Retirement Calculator'!A:A,0),0),0)</f>
        <v>0</v>
      </c>
      <c r="K4619" s="455">
        <f t="shared" ca="1" si="173"/>
        <v>-379064540731.87408</v>
      </c>
      <c r="L4619" s="455">
        <f t="shared" ca="1" si="174"/>
        <v>-91354554316381.656</v>
      </c>
      <c r="M4619" s="471">
        <f t="shared" si="176"/>
        <v>0.05</v>
      </c>
      <c r="N4619" s="475">
        <f t="shared" si="177"/>
        <v>191633</v>
      </c>
    </row>
    <row r="4620" spans="7:14" ht="11.25" customHeight="1" x14ac:dyDescent="0.3">
      <c r="G4620" s="470"/>
      <c r="H4620" s="470">
        <v>4613</v>
      </c>
      <c r="I4620" s="455">
        <f t="shared" ca="1" si="175"/>
        <v>-91354554316381.656</v>
      </c>
      <c r="J4620" s="455">
        <f t="array" ref="J4620">IFERROR(INDEX('Retirement Calculator'!K:K,MATCH('Lorri 401b'!N4620,'Retirement Calculator'!A:A,0),0),0)</f>
        <v>0</v>
      </c>
      <c r="K4620" s="455">
        <f t="shared" ca="1" si="173"/>
        <v>-380643976318.2569</v>
      </c>
      <c r="L4620" s="455">
        <f t="shared" ca="1" si="174"/>
        <v>-91735198292699.906</v>
      </c>
      <c r="M4620" s="471">
        <f t="shared" si="176"/>
        <v>0.05</v>
      </c>
      <c r="N4620" s="475">
        <f t="shared" si="177"/>
        <v>191663</v>
      </c>
    </row>
    <row r="4621" spans="7:14" ht="11.25" customHeight="1" x14ac:dyDescent="0.3">
      <c r="G4621" s="470"/>
      <c r="H4621" s="470">
        <v>4614</v>
      </c>
      <c r="I4621" s="455">
        <f t="shared" ca="1" si="175"/>
        <v>-91735198292699.906</v>
      </c>
      <c r="J4621" s="455">
        <f t="array" ref="J4621">IFERROR(INDEX('Retirement Calculator'!K:K,MATCH('Lorri 401b'!N4621,'Retirement Calculator'!A:A,0),0),0)</f>
        <v>0</v>
      </c>
      <c r="K4621" s="455">
        <f t="shared" ca="1" si="173"/>
        <v>-382229992886.24963</v>
      </c>
      <c r="L4621" s="455">
        <f t="shared" ca="1" si="174"/>
        <v>-92117428285586.156</v>
      </c>
      <c r="M4621" s="471">
        <f t="shared" si="176"/>
        <v>0.05</v>
      </c>
      <c r="N4621" s="475">
        <f t="shared" si="177"/>
        <v>191694</v>
      </c>
    </row>
    <row r="4622" spans="7:14" ht="11.25" customHeight="1" x14ac:dyDescent="0.3">
      <c r="G4622" s="470"/>
      <c r="H4622" s="470">
        <v>4615</v>
      </c>
      <c r="I4622" s="455">
        <f t="shared" ca="1" si="175"/>
        <v>-92117428285586.156</v>
      </c>
      <c r="J4622" s="455">
        <f t="array" ref="J4622">IFERROR(INDEX('Retirement Calculator'!K:K,MATCH('Lorri 401b'!N4622,'Retirement Calculator'!A:A,0),0),0)</f>
        <v>0</v>
      </c>
      <c r="K4622" s="455">
        <f t="shared" ca="1" si="173"/>
        <v>-383822617856.60901</v>
      </c>
      <c r="L4622" s="455">
        <f t="shared" ca="1" si="174"/>
        <v>-92501250903442.766</v>
      </c>
      <c r="M4622" s="471">
        <f t="shared" si="176"/>
        <v>0.05</v>
      </c>
      <c r="N4622" s="475">
        <f t="shared" si="177"/>
        <v>191724</v>
      </c>
    </row>
    <row r="4623" spans="7:14" ht="11.25" customHeight="1" x14ac:dyDescent="0.3">
      <c r="G4623" s="470"/>
      <c r="H4623" s="470">
        <v>4616</v>
      </c>
      <c r="I4623" s="455">
        <f t="shared" ca="1" si="175"/>
        <v>-92501250903442.766</v>
      </c>
      <c r="J4623" s="455">
        <f t="array" ref="J4623">IFERROR(INDEX('Retirement Calculator'!K:K,MATCH('Lorri 401b'!N4623,'Retirement Calculator'!A:A,0),0),0)</f>
        <v>0</v>
      </c>
      <c r="K4623" s="455">
        <f t="shared" ca="1" si="173"/>
        <v>-385421878764.34485</v>
      </c>
      <c r="L4623" s="455">
        <f t="shared" ca="1" si="174"/>
        <v>-92886672782207.109</v>
      </c>
      <c r="M4623" s="471">
        <f t="shared" si="176"/>
        <v>0.05</v>
      </c>
      <c r="N4623" s="475">
        <f t="shared" si="177"/>
        <v>191755</v>
      </c>
    </row>
    <row r="4624" spans="7:14" ht="11.25" customHeight="1" x14ac:dyDescent="0.3">
      <c r="G4624" s="470"/>
      <c r="H4624" s="470">
        <v>4617</v>
      </c>
      <c r="I4624" s="455">
        <f t="shared" ca="1" si="175"/>
        <v>-92886672782207.109</v>
      </c>
      <c r="J4624" s="455">
        <f t="array" ref="J4624">IFERROR(INDEX('Retirement Calculator'!K:K,MATCH('Lorri 401b'!N4624,'Retirement Calculator'!A:A,0),0),0)</f>
        <v>0</v>
      </c>
      <c r="K4624" s="455">
        <f t="shared" ca="1" si="173"/>
        <v>-387027803259.19629</v>
      </c>
      <c r="L4624" s="455">
        <f t="shared" ca="1" si="174"/>
        <v>-93273700585466.313</v>
      </c>
      <c r="M4624" s="471">
        <f t="shared" si="176"/>
        <v>0.05</v>
      </c>
      <c r="N4624" s="475">
        <f t="shared" si="177"/>
        <v>191786</v>
      </c>
    </row>
    <row r="4625" spans="7:14" ht="11.25" customHeight="1" x14ac:dyDescent="0.3">
      <c r="G4625" s="470"/>
      <c r="H4625" s="470">
        <v>4618</v>
      </c>
      <c r="I4625" s="455">
        <f t="shared" ca="1" si="175"/>
        <v>-93273700585466.313</v>
      </c>
      <c r="J4625" s="455">
        <f t="array" ref="J4625">IFERROR(INDEX('Retirement Calculator'!K:K,MATCH('Lorri 401b'!N4625,'Retirement Calculator'!A:A,0),0),0)</f>
        <v>0</v>
      </c>
      <c r="K4625" s="455">
        <f t="shared" ca="1" si="173"/>
        <v>-388640419106.10962</v>
      </c>
      <c r="L4625" s="455">
        <f t="shared" ca="1" si="174"/>
        <v>-93662341004572.422</v>
      </c>
      <c r="M4625" s="471">
        <f t="shared" si="176"/>
        <v>0.05</v>
      </c>
      <c r="N4625" s="475">
        <f t="shared" si="177"/>
        <v>191814</v>
      </c>
    </row>
    <row r="4626" spans="7:14" ht="11.25" customHeight="1" x14ac:dyDescent="0.3">
      <c r="G4626" s="470"/>
      <c r="H4626" s="470">
        <v>4619</v>
      </c>
      <c r="I4626" s="455">
        <f t="shared" ca="1" si="175"/>
        <v>-93662341004572.422</v>
      </c>
      <c r="J4626" s="455">
        <f t="array" ref="J4626">IFERROR(INDEX('Retirement Calculator'!K:K,MATCH('Lorri 401b'!N4626,'Retirement Calculator'!A:A,0),0),0)</f>
        <v>0</v>
      </c>
      <c r="K4626" s="455">
        <f t="shared" ca="1" si="173"/>
        <v>-390259754185.71844</v>
      </c>
      <c r="L4626" s="455">
        <f t="shared" ca="1" si="174"/>
        <v>-94052600758758.141</v>
      </c>
      <c r="M4626" s="471">
        <f t="shared" si="176"/>
        <v>0.05</v>
      </c>
      <c r="N4626" s="475">
        <f t="shared" si="177"/>
        <v>191845</v>
      </c>
    </row>
    <row r="4627" spans="7:14" ht="11.25" customHeight="1" x14ac:dyDescent="0.3">
      <c r="G4627" s="470"/>
      <c r="H4627" s="470">
        <v>4620</v>
      </c>
      <c r="I4627" s="455">
        <f t="shared" ca="1" si="175"/>
        <v>-94052600758758.141</v>
      </c>
      <c r="J4627" s="455">
        <f t="array" ref="J4627">IFERROR(INDEX('Retirement Calculator'!K:K,MATCH('Lorri 401b'!N4627,'Retirement Calculator'!A:A,0),0),0)</f>
        <v>0</v>
      </c>
      <c r="K4627" s="455">
        <f t="shared" ca="1" si="173"/>
        <v>-391885836494.82556</v>
      </c>
      <c r="L4627" s="455">
        <f t="shared" ca="1" si="174"/>
        <v>-94444486595252.969</v>
      </c>
      <c r="M4627" s="471">
        <f t="shared" si="176"/>
        <v>0.05</v>
      </c>
      <c r="N4627" s="475">
        <f t="shared" si="177"/>
        <v>191875</v>
      </c>
    </row>
    <row r="4628" spans="7:14" ht="11.25" customHeight="1" x14ac:dyDescent="0.3">
      <c r="G4628" s="470"/>
      <c r="H4628" s="470">
        <v>4621</v>
      </c>
      <c r="I4628" s="455">
        <f t="shared" ca="1" si="175"/>
        <v>-94444486595252.969</v>
      </c>
      <c r="J4628" s="455">
        <f t="array" ref="J4628">IFERROR(INDEX('Retirement Calculator'!K:K,MATCH('Lorri 401b'!N4628,'Retirement Calculator'!A:A,0),0),0)</f>
        <v>0</v>
      </c>
      <c r="K4628" s="455">
        <f t="shared" ca="1" si="173"/>
        <v>-393518694146.88739</v>
      </c>
      <c r="L4628" s="455">
        <f t="shared" ca="1" si="174"/>
        <v>-94838005289399.859</v>
      </c>
      <c r="M4628" s="471">
        <f t="shared" si="176"/>
        <v>0.05</v>
      </c>
      <c r="N4628" s="475">
        <f t="shared" si="177"/>
        <v>191906</v>
      </c>
    </row>
    <row r="4629" spans="7:14" ht="11.25" customHeight="1" x14ac:dyDescent="0.3">
      <c r="G4629" s="470"/>
      <c r="H4629" s="470">
        <v>4622</v>
      </c>
      <c r="I4629" s="455">
        <f t="shared" ca="1" si="175"/>
        <v>-94838005289399.859</v>
      </c>
      <c r="J4629" s="455">
        <f t="array" ref="J4629">IFERROR(INDEX('Retirement Calculator'!K:K,MATCH('Lorri 401b'!N4629,'Retirement Calculator'!A:A,0),0),0)</f>
        <v>0</v>
      </c>
      <c r="K4629" s="455">
        <f t="shared" ca="1" si="173"/>
        <v>-395158355372.49939</v>
      </c>
      <c r="L4629" s="455">
        <f t="shared" ca="1" si="174"/>
        <v>-95233163644772.359</v>
      </c>
      <c r="M4629" s="471">
        <f t="shared" si="176"/>
        <v>0.05</v>
      </c>
      <c r="N4629" s="475">
        <f t="shared" si="177"/>
        <v>191936</v>
      </c>
    </row>
    <row r="4630" spans="7:14" ht="11.25" customHeight="1" x14ac:dyDescent="0.3">
      <c r="G4630" s="470"/>
      <c r="H4630" s="470">
        <v>4623</v>
      </c>
      <c r="I4630" s="455">
        <f t="shared" ca="1" si="175"/>
        <v>-95233163644772.359</v>
      </c>
      <c r="J4630" s="455">
        <f t="array" ref="J4630">IFERROR(INDEX('Retirement Calculator'!K:K,MATCH('Lorri 401b'!N4630,'Retirement Calculator'!A:A,0),0),0)</f>
        <v>0</v>
      </c>
      <c r="K4630" s="455">
        <f t="shared" ca="1" si="173"/>
        <v>-396804848519.88483</v>
      </c>
      <c r="L4630" s="455">
        <f t="shared" ca="1" si="174"/>
        <v>-95629968493292.25</v>
      </c>
      <c r="M4630" s="471">
        <f t="shared" si="176"/>
        <v>0.05</v>
      </c>
      <c r="N4630" s="475">
        <f t="shared" si="177"/>
        <v>191967</v>
      </c>
    </row>
    <row r="4631" spans="7:14" ht="11.25" customHeight="1" x14ac:dyDescent="0.3">
      <c r="G4631" s="470"/>
      <c r="H4631" s="470">
        <v>4624</v>
      </c>
      <c r="I4631" s="455">
        <f t="shared" ca="1" si="175"/>
        <v>-95629968493292.25</v>
      </c>
      <c r="J4631" s="455">
        <f t="array" ref="J4631">IFERROR(INDEX('Retirement Calculator'!K:K,MATCH('Lorri 401b'!N4631,'Retirement Calculator'!A:A,0),0),0)</f>
        <v>0</v>
      </c>
      <c r="K4631" s="455">
        <f t="shared" ca="1" si="173"/>
        <v>-398458202055.3844</v>
      </c>
      <c r="L4631" s="455">
        <f t="shared" ca="1" si="174"/>
        <v>-96028426695347.641</v>
      </c>
      <c r="M4631" s="471">
        <f t="shared" si="176"/>
        <v>0.05</v>
      </c>
      <c r="N4631" s="475">
        <f t="shared" si="177"/>
        <v>191998</v>
      </c>
    </row>
    <row r="4632" spans="7:14" ht="11.25" customHeight="1" x14ac:dyDescent="0.3">
      <c r="G4632" s="470"/>
      <c r="H4632" s="470">
        <v>4625</v>
      </c>
      <c r="I4632" s="455">
        <f t="shared" ca="1" si="175"/>
        <v>-96028426695347.641</v>
      </c>
      <c r="J4632" s="455">
        <f t="array" ref="J4632">IFERROR(INDEX('Retirement Calculator'!K:K,MATCH('Lorri 401b'!N4632,'Retirement Calculator'!A:A,0),0),0)</f>
        <v>0</v>
      </c>
      <c r="K4632" s="455">
        <f t="shared" ca="1" si="173"/>
        <v>-400118444563.94849</v>
      </c>
      <c r="L4632" s="455">
        <f t="shared" ca="1" si="174"/>
        <v>-96428545139911.594</v>
      </c>
      <c r="M4632" s="471">
        <f t="shared" si="176"/>
        <v>0.05</v>
      </c>
      <c r="N4632" s="475">
        <f t="shared" si="177"/>
        <v>192028</v>
      </c>
    </row>
    <row r="4633" spans="7:14" ht="11.25" customHeight="1" x14ac:dyDescent="0.3">
      <c r="G4633" s="470"/>
      <c r="H4633" s="470">
        <v>4626</v>
      </c>
      <c r="I4633" s="455">
        <f t="shared" ca="1" si="175"/>
        <v>-96428545139911.594</v>
      </c>
      <c r="J4633" s="455">
        <f t="array" ref="J4633">IFERROR(INDEX('Retirement Calculator'!K:K,MATCH('Lorri 401b'!N4633,'Retirement Calculator'!A:A,0),0),0)</f>
        <v>0</v>
      </c>
      <c r="K4633" s="455">
        <f t="shared" ca="1" si="173"/>
        <v>-401785604749.63165</v>
      </c>
      <c r="L4633" s="455">
        <f t="shared" ca="1" si="174"/>
        <v>-96830330744661.219</v>
      </c>
      <c r="M4633" s="471">
        <f t="shared" si="176"/>
        <v>0.05</v>
      </c>
      <c r="N4633" s="475">
        <f t="shared" si="177"/>
        <v>192059</v>
      </c>
    </row>
    <row r="4634" spans="7:14" ht="11.25" customHeight="1" x14ac:dyDescent="0.3">
      <c r="G4634" s="470"/>
      <c r="H4634" s="470">
        <v>4627</v>
      </c>
      <c r="I4634" s="455">
        <f t="shared" ca="1" si="175"/>
        <v>-96830330744661.219</v>
      </c>
      <c r="J4634" s="455">
        <f t="array" ref="J4634">IFERROR(INDEX('Retirement Calculator'!K:K,MATCH('Lorri 401b'!N4634,'Retirement Calculator'!A:A,0),0),0)</f>
        <v>0</v>
      </c>
      <c r="K4634" s="455">
        <f t="shared" ca="1" si="173"/>
        <v>-403459711436.08838</v>
      </c>
      <c r="L4634" s="455">
        <f t="shared" ca="1" si="174"/>
        <v>-97233790456097.313</v>
      </c>
      <c r="M4634" s="471">
        <f t="shared" si="176"/>
        <v>0.05</v>
      </c>
      <c r="N4634" s="475">
        <f t="shared" si="177"/>
        <v>192089</v>
      </c>
    </row>
    <row r="4635" spans="7:14" ht="11.25" customHeight="1" x14ac:dyDescent="0.3">
      <c r="G4635" s="470"/>
      <c r="H4635" s="470">
        <v>4628</v>
      </c>
      <c r="I4635" s="455">
        <f t="shared" ca="1" si="175"/>
        <v>-97233790456097.313</v>
      </c>
      <c r="J4635" s="455">
        <f t="array" ref="J4635">IFERROR(INDEX('Retirement Calculator'!K:K,MATCH('Lorri 401b'!N4635,'Retirement Calculator'!A:A,0),0),0)</f>
        <v>0</v>
      </c>
      <c r="K4635" s="455">
        <f t="shared" ca="1" si="173"/>
        <v>-405140793567.07214</v>
      </c>
      <c r="L4635" s="455">
        <f t="shared" ca="1" si="174"/>
        <v>-97638931249664.391</v>
      </c>
      <c r="M4635" s="471">
        <f t="shared" si="176"/>
        <v>0.05</v>
      </c>
      <c r="N4635" s="475">
        <f t="shared" si="177"/>
        <v>192120</v>
      </c>
    </row>
    <row r="4636" spans="7:14" ht="11.25" customHeight="1" x14ac:dyDescent="0.3">
      <c r="G4636" s="470"/>
      <c r="H4636" s="470">
        <v>4629</v>
      </c>
      <c r="I4636" s="455">
        <f t="shared" ca="1" si="175"/>
        <v>-97638931249664.391</v>
      </c>
      <c r="J4636" s="455">
        <f t="array" ref="J4636">IFERROR(INDEX('Retirement Calculator'!K:K,MATCH('Lorri 401b'!N4636,'Retirement Calculator'!A:A,0),0),0)</f>
        <v>0</v>
      </c>
      <c r="K4636" s="455">
        <f t="shared" ca="1" si="173"/>
        <v>-406828880206.93494</v>
      </c>
      <c r="L4636" s="455">
        <f t="shared" ca="1" si="174"/>
        <v>-98045760129871.328</v>
      </c>
      <c r="M4636" s="471">
        <f t="shared" si="176"/>
        <v>0.05</v>
      </c>
      <c r="N4636" s="475">
        <f t="shared" si="177"/>
        <v>192151</v>
      </c>
    </row>
    <row r="4637" spans="7:14" ht="11.25" customHeight="1" x14ac:dyDescent="0.3">
      <c r="G4637" s="470"/>
      <c r="H4637" s="470">
        <v>4630</v>
      </c>
      <c r="I4637" s="455">
        <f t="shared" ca="1" si="175"/>
        <v>-98045760129871.328</v>
      </c>
      <c r="J4637" s="455">
        <f t="array" ref="J4637">IFERROR(INDEX('Retirement Calculator'!K:K,MATCH('Lorri 401b'!N4637,'Retirement Calculator'!A:A,0),0),0)</f>
        <v>0</v>
      </c>
      <c r="K4637" s="455">
        <f t="shared" ca="1" si="173"/>
        <v>-408524000541.13055</v>
      </c>
      <c r="L4637" s="455">
        <f t="shared" ca="1" si="174"/>
        <v>-98454284130412.453</v>
      </c>
      <c r="M4637" s="471">
        <f t="shared" si="176"/>
        <v>0.05</v>
      </c>
      <c r="N4637" s="475">
        <f t="shared" si="177"/>
        <v>192179</v>
      </c>
    </row>
    <row r="4638" spans="7:14" ht="11.25" customHeight="1" x14ac:dyDescent="0.3">
      <c r="G4638" s="470"/>
      <c r="H4638" s="470">
        <v>4631</v>
      </c>
      <c r="I4638" s="455">
        <f t="shared" ca="1" si="175"/>
        <v>-98454284130412.453</v>
      </c>
      <c r="J4638" s="455">
        <f t="array" ref="J4638">IFERROR(INDEX('Retirement Calculator'!K:K,MATCH('Lorri 401b'!N4638,'Retirement Calculator'!A:A,0),0),0)</f>
        <v>0</v>
      </c>
      <c r="K4638" s="455">
        <f t="shared" ca="1" si="173"/>
        <v>-410226183876.71857</v>
      </c>
      <c r="L4638" s="455">
        <f t="shared" ca="1" si="174"/>
        <v>-98864510314289.172</v>
      </c>
      <c r="M4638" s="471">
        <f t="shared" si="176"/>
        <v>0.05</v>
      </c>
      <c r="N4638" s="475">
        <f t="shared" si="177"/>
        <v>192210</v>
      </c>
    </row>
    <row r="4639" spans="7:14" ht="11.25" customHeight="1" x14ac:dyDescent="0.3">
      <c r="G4639" s="470"/>
      <c r="H4639" s="470">
        <v>4632</v>
      </c>
      <c r="I4639" s="455">
        <f t="shared" ca="1" si="175"/>
        <v>-98864510314289.172</v>
      </c>
      <c r="J4639" s="455">
        <f t="array" ref="J4639">IFERROR(INDEX('Retirement Calculator'!K:K,MATCH('Lorri 401b'!N4639,'Retirement Calculator'!A:A,0),0),0)</f>
        <v>0</v>
      </c>
      <c r="K4639" s="455">
        <f t="shared" ca="1" si="173"/>
        <v>-411935459642.87152</v>
      </c>
      <c r="L4639" s="455">
        <f t="shared" ca="1" si="174"/>
        <v>-99276445773932.047</v>
      </c>
      <c r="M4639" s="471">
        <f t="shared" si="176"/>
        <v>0.05</v>
      </c>
      <c r="N4639" s="475">
        <f t="shared" si="177"/>
        <v>192240</v>
      </c>
    </row>
    <row r="4640" spans="7:14" ht="11.25" customHeight="1" x14ac:dyDescent="0.3">
      <c r="G4640" s="470"/>
      <c r="H4640" s="470">
        <v>4633</v>
      </c>
      <c r="I4640" s="455">
        <f t="shared" ca="1" si="175"/>
        <v>-99276445773932.047</v>
      </c>
      <c r="J4640" s="455">
        <f t="array" ref="J4640">IFERROR(INDEX('Retirement Calculator'!K:K,MATCH('Lorri 401b'!N4640,'Retirement Calculator'!A:A,0),0),0)</f>
        <v>0</v>
      </c>
      <c r="K4640" s="455">
        <f t="shared" ca="1" si="173"/>
        <v>-413651857391.38354</v>
      </c>
      <c r="L4640" s="455">
        <f t="shared" ca="1" si="174"/>
        <v>-99690097631323.438</v>
      </c>
      <c r="M4640" s="471">
        <f t="shared" si="176"/>
        <v>0.05</v>
      </c>
      <c r="N4640" s="475">
        <f t="shared" si="177"/>
        <v>192271</v>
      </c>
    </row>
    <row r="4641" spans="7:14" ht="11.25" customHeight="1" x14ac:dyDescent="0.3">
      <c r="G4641" s="470"/>
      <c r="H4641" s="470">
        <v>4634</v>
      </c>
      <c r="I4641" s="455">
        <f t="shared" ca="1" si="175"/>
        <v>-99690097631323.438</v>
      </c>
      <c r="J4641" s="455">
        <f t="array" ref="J4641">IFERROR(INDEX('Retirement Calculator'!K:K,MATCH('Lorri 401b'!N4641,'Retirement Calculator'!A:A,0),0),0)</f>
        <v>0</v>
      </c>
      <c r="K4641" s="455">
        <f t="shared" ca="1" si="173"/>
        <v>-415375406797.18097</v>
      </c>
      <c r="L4641" s="455">
        <f t="shared" ca="1" si="174"/>
        <v>-100105473038120.63</v>
      </c>
      <c r="M4641" s="471">
        <f t="shared" si="176"/>
        <v>0.05</v>
      </c>
      <c r="N4641" s="475">
        <f t="shared" si="177"/>
        <v>192301</v>
      </c>
    </row>
    <row r="4642" spans="7:14" ht="11.25" customHeight="1" x14ac:dyDescent="0.3">
      <c r="G4642" s="470"/>
      <c r="H4642" s="470">
        <v>4635</v>
      </c>
      <c r="I4642" s="455">
        <f t="shared" ca="1" si="175"/>
        <v>-100105473038120.63</v>
      </c>
      <c r="J4642" s="455">
        <f t="array" ref="J4642">IFERROR(INDEX('Retirement Calculator'!K:K,MATCH('Lorri 401b'!N4642,'Retirement Calculator'!A:A,0),0),0)</f>
        <v>0</v>
      </c>
      <c r="K4642" s="455">
        <f t="shared" ca="1" si="173"/>
        <v>-417106137658.83594</v>
      </c>
      <c r="L4642" s="455">
        <f t="shared" ca="1" si="174"/>
        <v>-100522579175779.47</v>
      </c>
      <c r="M4642" s="471">
        <f t="shared" si="176"/>
        <v>0.05</v>
      </c>
      <c r="N4642" s="475">
        <f t="shared" si="177"/>
        <v>192332</v>
      </c>
    </row>
    <row r="4643" spans="7:14" ht="11.25" customHeight="1" x14ac:dyDescent="0.3">
      <c r="G4643" s="470"/>
      <c r="H4643" s="470">
        <v>4636</v>
      </c>
      <c r="I4643" s="455">
        <f t="shared" ca="1" si="175"/>
        <v>-100522579175779.47</v>
      </c>
      <c r="J4643" s="455">
        <f t="array" ref="J4643">IFERROR(INDEX('Retirement Calculator'!K:K,MATCH('Lorri 401b'!N4643,'Retirement Calculator'!A:A,0),0),0)</f>
        <v>0</v>
      </c>
      <c r="K4643" s="455">
        <f t="shared" ca="1" si="173"/>
        <v>-418844079899.08112</v>
      </c>
      <c r="L4643" s="455">
        <f t="shared" ca="1" si="174"/>
        <v>-100941423255678.55</v>
      </c>
      <c r="M4643" s="471">
        <f t="shared" si="176"/>
        <v>0.05</v>
      </c>
      <c r="N4643" s="475">
        <f t="shared" si="177"/>
        <v>192363</v>
      </c>
    </row>
    <row r="4644" spans="7:14" ht="11.25" customHeight="1" x14ac:dyDescent="0.3">
      <c r="G4644" s="470"/>
      <c r="H4644" s="470">
        <v>4637</v>
      </c>
      <c r="I4644" s="455">
        <f t="shared" ca="1" si="175"/>
        <v>-100941423255678.55</v>
      </c>
      <c r="J4644" s="455">
        <f t="array" ref="J4644">IFERROR(INDEX('Retirement Calculator'!K:K,MATCH('Lorri 401b'!N4644,'Retirement Calculator'!A:A,0),0),0)</f>
        <v>0</v>
      </c>
      <c r="K4644" s="455">
        <f t="shared" ca="1" si="173"/>
        <v>-420589263565.32727</v>
      </c>
      <c r="L4644" s="455">
        <f t="shared" ca="1" si="174"/>
        <v>-101362012519243.88</v>
      </c>
      <c r="M4644" s="471">
        <f t="shared" si="176"/>
        <v>0.05</v>
      </c>
      <c r="N4644" s="475">
        <f t="shared" si="177"/>
        <v>192393</v>
      </c>
    </row>
    <row r="4645" spans="7:14" ht="11.25" customHeight="1" x14ac:dyDescent="0.3">
      <c r="G4645" s="470"/>
      <c r="H4645" s="470">
        <v>4638</v>
      </c>
      <c r="I4645" s="455">
        <f t="shared" ca="1" si="175"/>
        <v>-101362012519243.88</v>
      </c>
      <c r="J4645" s="455">
        <f t="array" ref="J4645">IFERROR(INDEX('Retirement Calculator'!K:K,MATCH('Lorri 401b'!N4645,'Retirement Calculator'!A:A,0),0),0)</f>
        <v>0</v>
      </c>
      <c r="K4645" s="455">
        <f t="shared" ca="1" si="173"/>
        <v>-422341718830.1828</v>
      </c>
      <c r="L4645" s="455">
        <f t="shared" ca="1" si="174"/>
        <v>-101784354238074.06</v>
      </c>
      <c r="M4645" s="471">
        <f t="shared" si="176"/>
        <v>0.05</v>
      </c>
      <c r="N4645" s="475">
        <f t="shared" si="177"/>
        <v>192424</v>
      </c>
    </row>
    <row r="4646" spans="7:14" ht="11.25" customHeight="1" x14ac:dyDescent="0.3">
      <c r="G4646" s="470"/>
      <c r="H4646" s="470">
        <v>4639</v>
      </c>
      <c r="I4646" s="455">
        <f t="shared" ca="1" si="175"/>
        <v>-101784354238074.06</v>
      </c>
      <c r="J4646" s="455">
        <f t="array" ref="J4646">IFERROR(INDEX('Retirement Calculator'!K:K,MATCH('Lorri 401b'!N4646,'Retirement Calculator'!A:A,0),0),0)</f>
        <v>0</v>
      </c>
      <c r="K4646" s="455">
        <f t="shared" ca="1" si="173"/>
        <v>-424101475991.97528</v>
      </c>
      <c r="L4646" s="455">
        <f t="shared" ca="1" si="174"/>
        <v>-102208455714066.03</v>
      </c>
      <c r="M4646" s="471">
        <f t="shared" si="176"/>
        <v>0.05</v>
      </c>
      <c r="N4646" s="475">
        <f t="shared" si="177"/>
        <v>192454</v>
      </c>
    </row>
    <row r="4647" spans="7:14" ht="11.25" customHeight="1" x14ac:dyDescent="0.3">
      <c r="G4647" s="470"/>
      <c r="H4647" s="470">
        <v>4640</v>
      </c>
      <c r="I4647" s="455">
        <f t="shared" ca="1" si="175"/>
        <v>-102208455714066.03</v>
      </c>
      <c r="J4647" s="455">
        <f t="array" ref="J4647">IFERROR(INDEX('Retirement Calculator'!K:K,MATCH('Lorri 401b'!N4647,'Retirement Calculator'!A:A,0),0),0)</f>
        <v>0</v>
      </c>
      <c r="K4647" s="455">
        <f t="shared" ca="1" si="173"/>
        <v>-425868565475.27515</v>
      </c>
      <c r="L4647" s="455">
        <f t="shared" ca="1" si="174"/>
        <v>-102634324279541.31</v>
      </c>
      <c r="M4647" s="471">
        <f t="shared" si="176"/>
        <v>0.05</v>
      </c>
      <c r="N4647" s="475">
        <f t="shared" si="177"/>
        <v>192485</v>
      </c>
    </row>
    <row r="4648" spans="7:14" ht="11.25" customHeight="1" x14ac:dyDescent="0.3">
      <c r="G4648" s="470"/>
      <c r="H4648" s="470">
        <v>4641</v>
      </c>
      <c r="I4648" s="455">
        <f t="shared" ca="1" si="175"/>
        <v>-102634324279541.31</v>
      </c>
      <c r="J4648" s="455">
        <f t="array" ref="J4648">IFERROR(INDEX('Retirement Calculator'!K:K,MATCH('Lorri 401b'!N4648,'Retirement Calculator'!A:A,0),0),0)</f>
        <v>0</v>
      </c>
      <c r="K4648" s="455">
        <f t="shared" ca="1" si="173"/>
        <v>-427643017831.42212</v>
      </c>
      <c r="L4648" s="455">
        <f t="shared" ca="1" si="174"/>
        <v>-103061967297372.73</v>
      </c>
      <c r="M4648" s="471">
        <f t="shared" si="176"/>
        <v>0.05</v>
      </c>
      <c r="N4648" s="475">
        <f t="shared" si="177"/>
        <v>192516</v>
      </c>
    </row>
    <row r="4649" spans="7:14" ht="11.25" customHeight="1" x14ac:dyDescent="0.3">
      <c r="G4649" s="470"/>
      <c r="H4649" s="470">
        <v>4642</v>
      </c>
      <c r="I4649" s="455">
        <f t="shared" ca="1" si="175"/>
        <v>-103061967297372.73</v>
      </c>
      <c r="J4649" s="455">
        <f t="array" ref="J4649">IFERROR(INDEX('Retirement Calculator'!K:K,MATCH('Lorri 401b'!N4649,'Retirement Calculator'!A:A,0),0),0)</f>
        <v>0</v>
      </c>
      <c r="K4649" s="455">
        <f t="shared" ca="1" si="173"/>
        <v>-429424863739.05304</v>
      </c>
      <c r="L4649" s="455">
        <f t="shared" ca="1" si="174"/>
        <v>-103491392161111.78</v>
      </c>
      <c r="M4649" s="471">
        <f t="shared" si="176"/>
        <v>0.05</v>
      </c>
      <c r="N4649" s="475">
        <f t="shared" si="177"/>
        <v>192544</v>
      </c>
    </row>
    <row r="4650" spans="7:14" ht="11.25" customHeight="1" x14ac:dyDescent="0.3">
      <c r="G4650" s="470"/>
      <c r="H4650" s="470">
        <v>4643</v>
      </c>
      <c r="I4650" s="455">
        <f t="shared" ca="1" si="175"/>
        <v>-103491392161111.78</v>
      </c>
      <c r="J4650" s="455">
        <f t="array" ref="J4650">IFERROR(INDEX('Retirement Calculator'!K:K,MATCH('Lorri 401b'!N4650,'Retirement Calculator'!A:A,0),0),0)</f>
        <v>0</v>
      </c>
      <c r="K4650" s="455">
        <f t="shared" ca="1" si="173"/>
        <v>-431214134004.63245</v>
      </c>
      <c r="L4650" s="455">
        <f t="shared" ca="1" si="174"/>
        <v>-103922606295116.41</v>
      </c>
      <c r="M4650" s="471">
        <f t="shared" si="176"/>
        <v>0.05</v>
      </c>
      <c r="N4650" s="475">
        <f t="shared" si="177"/>
        <v>192575</v>
      </c>
    </row>
    <row r="4651" spans="7:14" ht="11.25" customHeight="1" x14ac:dyDescent="0.3">
      <c r="G4651" s="470"/>
      <c r="H4651" s="470">
        <v>4644</v>
      </c>
      <c r="I4651" s="455">
        <f t="shared" ca="1" si="175"/>
        <v>-103922606295116.41</v>
      </c>
      <c r="J4651" s="455">
        <f t="array" ref="J4651">IFERROR(INDEX('Retirement Calculator'!K:K,MATCH('Lorri 401b'!N4651,'Retirement Calculator'!A:A,0),0),0)</f>
        <v>0</v>
      </c>
      <c r="K4651" s="455">
        <f t="shared" ca="1" si="173"/>
        <v>-433010859562.98505</v>
      </c>
      <c r="L4651" s="455">
        <f t="shared" ca="1" si="174"/>
        <v>-104355617154679.39</v>
      </c>
      <c r="M4651" s="471">
        <f t="shared" si="176"/>
        <v>0.05</v>
      </c>
      <c r="N4651" s="475">
        <f t="shared" si="177"/>
        <v>192605</v>
      </c>
    </row>
    <row r="4652" spans="7:14" ht="11.25" customHeight="1" x14ac:dyDescent="0.3">
      <c r="G4652" s="470"/>
      <c r="H4652" s="470">
        <v>4645</v>
      </c>
      <c r="I4652" s="455">
        <f t="shared" ca="1" si="175"/>
        <v>-104355617154679.39</v>
      </c>
      <c r="J4652" s="455">
        <f t="array" ref="J4652">IFERROR(INDEX('Retirement Calculator'!K:K,MATCH('Lorri 401b'!N4652,'Retirement Calculator'!A:A,0),0),0)</f>
        <v>0</v>
      </c>
      <c r="K4652" s="455">
        <f t="shared" ca="1" si="173"/>
        <v>-434815071477.83081</v>
      </c>
      <c r="L4652" s="455">
        <f t="shared" ca="1" si="174"/>
        <v>-104790432226157.22</v>
      </c>
      <c r="M4652" s="471">
        <f t="shared" si="176"/>
        <v>0.05</v>
      </c>
      <c r="N4652" s="475">
        <f t="shared" si="177"/>
        <v>192636</v>
      </c>
    </row>
    <row r="4653" spans="7:14" ht="11.25" customHeight="1" x14ac:dyDescent="0.3">
      <c r="G4653" s="470"/>
      <c r="H4653" s="470">
        <v>4646</v>
      </c>
      <c r="I4653" s="455">
        <f t="shared" ca="1" si="175"/>
        <v>-104790432226157.22</v>
      </c>
      <c r="J4653" s="455">
        <f t="array" ref="J4653">IFERROR(INDEX('Retirement Calculator'!K:K,MATCH('Lorri 401b'!N4653,'Retirement Calculator'!A:A,0),0),0)</f>
        <v>0</v>
      </c>
      <c r="K4653" s="455">
        <f t="shared" ca="1" si="173"/>
        <v>-436626800942.32172</v>
      </c>
      <c r="L4653" s="455">
        <f t="shared" ca="1" si="174"/>
        <v>-105227059027099.55</v>
      </c>
      <c r="M4653" s="471">
        <f t="shared" si="176"/>
        <v>0.05</v>
      </c>
      <c r="N4653" s="475">
        <f t="shared" si="177"/>
        <v>192666</v>
      </c>
    </row>
    <row r="4654" spans="7:14" ht="11.25" customHeight="1" x14ac:dyDescent="0.3">
      <c r="G4654" s="470"/>
      <c r="H4654" s="470">
        <v>4647</v>
      </c>
      <c r="I4654" s="455">
        <f t="shared" ca="1" si="175"/>
        <v>-105227059027099.55</v>
      </c>
      <c r="J4654" s="455">
        <f t="array" ref="J4654">IFERROR(INDEX('Retirement Calculator'!K:K,MATCH('Lorri 401b'!N4654,'Retirement Calculator'!A:A,0),0),0)</f>
        <v>0</v>
      </c>
      <c r="K4654" s="455">
        <f t="shared" ca="1" si="173"/>
        <v>-438446079279.58142</v>
      </c>
      <c r="L4654" s="455">
        <f t="shared" ca="1" si="174"/>
        <v>-105665505106379.13</v>
      </c>
      <c r="M4654" s="471">
        <f t="shared" si="176"/>
        <v>0.05</v>
      </c>
      <c r="N4654" s="475">
        <f t="shared" si="177"/>
        <v>192697</v>
      </c>
    </row>
    <row r="4655" spans="7:14" ht="11.25" customHeight="1" x14ac:dyDescent="0.3">
      <c r="G4655" s="470"/>
      <c r="H4655" s="470">
        <v>4648</v>
      </c>
      <c r="I4655" s="455">
        <f t="shared" ca="1" si="175"/>
        <v>-105665505106379.13</v>
      </c>
      <c r="J4655" s="455">
        <f t="array" ref="J4655">IFERROR(INDEX('Retirement Calculator'!K:K,MATCH('Lorri 401b'!N4655,'Retirement Calculator'!A:A,0),0),0)</f>
        <v>0</v>
      </c>
      <c r="K4655" s="455">
        <f t="shared" ca="1" si="173"/>
        <v>-440272937943.24634</v>
      </c>
      <c r="L4655" s="455">
        <f t="shared" ca="1" si="174"/>
        <v>-106105778044322.38</v>
      </c>
      <c r="M4655" s="471">
        <f t="shared" si="176"/>
        <v>0.05</v>
      </c>
      <c r="N4655" s="475">
        <f t="shared" si="177"/>
        <v>192728</v>
      </c>
    </row>
    <row r="4656" spans="7:14" ht="11.25" customHeight="1" x14ac:dyDescent="0.3">
      <c r="G4656" s="470"/>
      <c r="H4656" s="470">
        <v>4649</v>
      </c>
      <c r="I4656" s="455">
        <f t="shared" ca="1" si="175"/>
        <v>-106105778044322.38</v>
      </c>
      <c r="J4656" s="455">
        <f t="array" ref="J4656">IFERROR(INDEX('Retirement Calculator'!K:K,MATCH('Lorri 401b'!N4656,'Retirement Calculator'!A:A,0),0),0)</f>
        <v>0</v>
      </c>
      <c r="K4656" s="455">
        <f t="shared" ca="1" si="173"/>
        <v>-442107408518.00989</v>
      </c>
      <c r="L4656" s="455">
        <f t="shared" ca="1" si="174"/>
        <v>-106547885452840.39</v>
      </c>
      <c r="M4656" s="471">
        <f t="shared" si="176"/>
        <v>0.05</v>
      </c>
      <c r="N4656" s="475">
        <f t="shared" si="177"/>
        <v>192758</v>
      </c>
    </row>
    <row r="4657" spans="7:14" ht="11.25" customHeight="1" x14ac:dyDescent="0.3">
      <c r="G4657" s="470"/>
      <c r="H4657" s="470">
        <v>4650</v>
      </c>
      <c r="I4657" s="455">
        <f t="shared" ca="1" si="175"/>
        <v>-106547885452840.39</v>
      </c>
      <c r="J4657" s="455">
        <f t="array" ref="J4657">IFERROR(INDEX('Retirement Calculator'!K:K,MATCH('Lorri 401b'!N4657,'Retirement Calculator'!A:A,0),0),0)</f>
        <v>0</v>
      </c>
      <c r="K4657" s="455">
        <f t="shared" ca="1" si="173"/>
        <v>-443949522720.16827</v>
      </c>
      <c r="L4657" s="455">
        <f t="shared" ca="1" si="174"/>
        <v>-106991834975560.56</v>
      </c>
      <c r="M4657" s="471">
        <f t="shared" si="176"/>
        <v>0.05</v>
      </c>
      <c r="N4657" s="475">
        <f t="shared" si="177"/>
        <v>192789</v>
      </c>
    </row>
    <row r="4658" spans="7:14" ht="11.25" customHeight="1" x14ac:dyDescent="0.3">
      <c r="G4658" s="470"/>
      <c r="H4658" s="470">
        <v>4651</v>
      </c>
      <c r="I4658" s="455">
        <f t="shared" ca="1" si="175"/>
        <v>-106991834975560.56</v>
      </c>
      <c r="J4658" s="455">
        <f t="array" ref="J4658">IFERROR(INDEX('Retirement Calculator'!K:K,MATCH('Lorri 401b'!N4658,'Retirement Calculator'!A:A,0),0),0)</f>
        <v>0</v>
      </c>
      <c r="K4658" s="455">
        <f t="shared" ca="1" si="173"/>
        <v>-445799312398.16901</v>
      </c>
      <c r="L4658" s="455">
        <f t="shared" ca="1" si="174"/>
        <v>-107437634287958.73</v>
      </c>
      <c r="M4658" s="471">
        <f t="shared" si="176"/>
        <v>0.05</v>
      </c>
      <c r="N4658" s="475">
        <f t="shared" si="177"/>
        <v>192819</v>
      </c>
    </row>
    <row r="4659" spans="7:14" ht="11.25" customHeight="1" x14ac:dyDescent="0.3">
      <c r="G4659" s="470"/>
      <c r="H4659" s="470">
        <v>4652</v>
      </c>
      <c r="I4659" s="455">
        <f t="shared" ca="1" si="175"/>
        <v>-107437634287958.73</v>
      </c>
      <c r="J4659" s="455">
        <f t="array" ref="J4659">IFERROR(INDEX('Retirement Calculator'!K:K,MATCH('Lorri 401b'!N4659,'Retirement Calculator'!A:A,0),0),0)</f>
        <v>0</v>
      </c>
      <c r="K4659" s="455">
        <f t="shared" ca="1" si="173"/>
        <v>-447656809533.16138</v>
      </c>
      <c r="L4659" s="455">
        <f t="shared" ca="1" si="174"/>
        <v>-107885291097491.89</v>
      </c>
      <c r="M4659" s="471">
        <f t="shared" si="176"/>
        <v>0.05</v>
      </c>
      <c r="N4659" s="475">
        <f t="shared" si="177"/>
        <v>192850</v>
      </c>
    </row>
    <row r="4660" spans="7:14" ht="11.25" customHeight="1" x14ac:dyDescent="0.3">
      <c r="G4660" s="470"/>
      <c r="H4660" s="470">
        <v>4653</v>
      </c>
      <c r="I4660" s="455">
        <f t="shared" ca="1" si="175"/>
        <v>-107885291097491.89</v>
      </c>
      <c r="J4660" s="455">
        <f t="array" ref="J4660">IFERROR(INDEX('Retirement Calculator'!K:K,MATCH('Lorri 401b'!N4660,'Retirement Calculator'!A:A,0),0),0)</f>
        <v>0</v>
      </c>
      <c r="K4660" s="455">
        <f t="shared" ca="1" si="173"/>
        <v>-449522046239.54956</v>
      </c>
      <c r="L4660" s="455">
        <f t="shared" ca="1" si="174"/>
        <v>-108334813143731.44</v>
      </c>
      <c r="M4660" s="471">
        <f t="shared" si="176"/>
        <v>0.05</v>
      </c>
      <c r="N4660" s="475">
        <f t="shared" si="177"/>
        <v>192881</v>
      </c>
    </row>
    <row r="4661" spans="7:14" ht="11.25" customHeight="1" x14ac:dyDescent="0.3">
      <c r="G4661" s="470"/>
      <c r="H4661" s="470">
        <v>4654</v>
      </c>
      <c r="I4661" s="455">
        <f t="shared" ca="1" si="175"/>
        <v>-108334813143731.44</v>
      </c>
      <c r="J4661" s="455">
        <f t="array" ref="J4661">IFERROR(INDEX('Retirement Calculator'!K:K,MATCH('Lorri 401b'!N4661,'Retirement Calculator'!A:A,0),0),0)</f>
        <v>0</v>
      </c>
      <c r="K4661" s="455">
        <f t="shared" ca="1" si="173"/>
        <v>-451395054765.54767</v>
      </c>
      <c r="L4661" s="455">
        <f t="shared" ca="1" si="174"/>
        <v>-108786208198496.98</v>
      </c>
      <c r="M4661" s="471">
        <f t="shared" si="176"/>
        <v>0.05</v>
      </c>
      <c r="N4661" s="475">
        <f t="shared" si="177"/>
        <v>192910</v>
      </c>
    </row>
    <row r="4662" spans="7:14" ht="11.25" customHeight="1" x14ac:dyDescent="0.3">
      <c r="G4662" s="470"/>
      <c r="H4662" s="470">
        <v>4655</v>
      </c>
      <c r="I4662" s="455">
        <f t="shared" ca="1" si="175"/>
        <v>-108786208198496.98</v>
      </c>
      <c r="J4662" s="455">
        <f t="array" ref="J4662">IFERROR(INDEX('Retirement Calculator'!K:K,MATCH('Lorri 401b'!N4662,'Retirement Calculator'!A:A,0),0),0)</f>
        <v>0</v>
      </c>
      <c r="K4662" s="455">
        <f t="shared" ca="1" si="173"/>
        <v>-453275867493.73743</v>
      </c>
      <c r="L4662" s="455">
        <f t="shared" ca="1" si="174"/>
        <v>-109239484065990.72</v>
      </c>
      <c r="M4662" s="471">
        <f t="shared" si="176"/>
        <v>0.05</v>
      </c>
      <c r="N4662" s="475">
        <f t="shared" si="177"/>
        <v>192941</v>
      </c>
    </row>
    <row r="4663" spans="7:14" ht="11.25" customHeight="1" x14ac:dyDescent="0.3">
      <c r="G4663" s="470"/>
      <c r="H4663" s="470">
        <v>4656</v>
      </c>
      <c r="I4663" s="455">
        <f t="shared" ca="1" si="175"/>
        <v>-109239484065990.72</v>
      </c>
      <c r="J4663" s="455">
        <f t="array" ref="J4663">IFERROR(INDEX('Retirement Calculator'!K:K,MATCH('Lorri 401b'!N4663,'Retirement Calculator'!A:A,0),0),0)</f>
        <v>0</v>
      </c>
      <c r="K4663" s="455">
        <f t="shared" ca="1" si="173"/>
        <v>-455164516941.62799</v>
      </c>
      <c r="L4663" s="455">
        <f t="shared" ca="1" si="174"/>
        <v>-109694648582932.34</v>
      </c>
      <c r="M4663" s="471">
        <f t="shared" si="176"/>
        <v>0.05</v>
      </c>
      <c r="N4663" s="475">
        <f t="shared" si="177"/>
        <v>192971</v>
      </c>
    </row>
    <row r="4664" spans="7:14" ht="11.25" customHeight="1" x14ac:dyDescent="0.3">
      <c r="G4664" s="470"/>
      <c r="H4664" s="470">
        <v>4657</v>
      </c>
      <c r="I4664" s="455">
        <f t="shared" ca="1" si="175"/>
        <v>-109694648582932.34</v>
      </c>
      <c r="J4664" s="455">
        <f t="array" ref="J4664">IFERROR(INDEX('Retirement Calculator'!K:K,MATCH('Lorri 401b'!N4664,'Retirement Calculator'!A:A,0),0),0)</f>
        <v>0</v>
      </c>
      <c r="K4664" s="455">
        <f t="shared" ca="1" si="173"/>
        <v>-457061035762.21802</v>
      </c>
      <c r="L4664" s="455">
        <f t="shared" ca="1" si="174"/>
        <v>-110151709618694.56</v>
      </c>
      <c r="M4664" s="471">
        <f t="shared" si="176"/>
        <v>0.05</v>
      </c>
      <c r="N4664" s="475">
        <f t="shared" si="177"/>
        <v>193002</v>
      </c>
    </row>
    <row r="4665" spans="7:14" ht="11.25" customHeight="1" x14ac:dyDescent="0.3">
      <c r="G4665" s="470"/>
      <c r="H4665" s="470">
        <v>4658</v>
      </c>
      <c r="I4665" s="455">
        <f t="shared" ca="1" si="175"/>
        <v>-110151709618694.56</v>
      </c>
      <c r="J4665" s="455">
        <f t="array" ref="J4665">IFERROR(INDEX('Retirement Calculator'!K:K,MATCH('Lorri 401b'!N4665,'Retirement Calculator'!A:A,0),0),0)</f>
        <v>0</v>
      </c>
      <c r="K4665" s="455">
        <f t="shared" ca="1" si="173"/>
        <v>-458965456744.56067</v>
      </c>
      <c r="L4665" s="455">
        <f t="shared" ca="1" si="174"/>
        <v>-110610675075439.13</v>
      </c>
      <c r="M4665" s="471">
        <f t="shared" si="176"/>
        <v>0.05</v>
      </c>
      <c r="N4665" s="475">
        <f t="shared" si="177"/>
        <v>193032</v>
      </c>
    </row>
    <row r="4666" spans="7:14" ht="11.25" customHeight="1" x14ac:dyDescent="0.3">
      <c r="G4666" s="470"/>
      <c r="H4666" s="470">
        <v>4659</v>
      </c>
      <c r="I4666" s="455">
        <f t="shared" ca="1" si="175"/>
        <v>-110610675075439.13</v>
      </c>
      <c r="J4666" s="455">
        <f t="array" ref="J4666">IFERROR(INDEX('Retirement Calculator'!K:K,MATCH('Lorri 401b'!N4666,'Retirement Calculator'!A:A,0),0),0)</f>
        <v>0</v>
      </c>
      <c r="K4666" s="455">
        <f t="shared" ca="1" si="173"/>
        <v>-460877812814.32965</v>
      </c>
      <c r="L4666" s="455">
        <f t="shared" ca="1" si="174"/>
        <v>-111071552888253.45</v>
      </c>
      <c r="M4666" s="471">
        <f t="shared" si="176"/>
        <v>0.05</v>
      </c>
      <c r="N4666" s="475">
        <f t="shared" si="177"/>
        <v>193063</v>
      </c>
    </row>
    <row r="4667" spans="7:14" ht="11.25" customHeight="1" x14ac:dyDescent="0.3">
      <c r="G4667" s="470"/>
      <c r="H4667" s="470">
        <v>4660</v>
      </c>
      <c r="I4667" s="455">
        <f t="shared" ca="1" si="175"/>
        <v>-111071552888253.45</v>
      </c>
      <c r="J4667" s="455">
        <f t="array" ref="J4667">IFERROR(INDEX('Retirement Calculator'!K:K,MATCH('Lorri 401b'!N4667,'Retirement Calculator'!A:A,0),0),0)</f>
        <v>0</v>
      </c>
      <c r="K4667" s="455">
        <f t="shared" ca="1" si="173"/>
        <v>-462798137034.3894</v>
      </c>
      <c r="L4667" s="455">
        <f t="shared" ca="1" si="174"/>
        <v>-111534351025287.84</v>
      </c>
      <c r="M4667" s="471">
        <f t="shared" si="176"/>
        <v>0.05</v>
      </c>
      <c r="N4667" s="475">
        <f t="shared" si="177"/>
        <v>193094</v>
      </c>
    </row>
    <row r="4668" spans="7:14" ht="11.25" customHeight="1" x14ac:dyDescent="0.3">
      <c r="G4668" s="470"/>
      <c r="H4668" s="470">
        <v>4661</v>
      </c>
      <c r="I4668" s="455">
        <f t="shared" ca="1" si="175"/>
        <v>-111534351025287.84</v>
      </c>
      <c r="J4668" s="455">
        <f t="array" ref="J4668">IFERROR(INDEX('Retirement Calculator'!K:K,MATCH('Lorri 401b'!N4668,'Retirement Calculator'!A:A,0),0),0)</f>
        <v>0</v>
      </c>
      <c r="K4668" s="455">
        <f t="shared" ca="1" si="173"/>
        <v>-464726462605.36603</v>
      </c>
      <c r="L4668" s="455">
        <f t="shared" ca="1" si="174"/>
        <v>-111999077487893.2</v>
      </c>
      <c r="M4668" s="471">
        <f t="shared" si="176"/>
        <v>0.05</v>
      </c>
      <c r="N4668" s="475">
        <f t="shared" si="177"/>
        <v>193124</v>
      </c>
    </row>
    <row r="4669" spans="7:14" ht="11.25" customHeight="1" x14ac:dyDescent="0.3">
      <c r="G4669" s="470"/>
      <c r="H4669" s="470">
        <v>4662</v>
      </c>
      <c r="I4669" s="455">
        <f t="shared" ca="1" si="175"/>
        <v>-111999077487893.2</v>
      </c>
      <c r="J4669" s="455">
        <f t="array" ref="J4669">IFERROR(INDEX('Retirement Calculator'!K:K,MATCH('Lorri 401b'!N4669,'Retirement Calculator'!A:A,0),0),0)</f>
        <v>0</v>
      </c>
      <c r="K4669" s="455">
        <f t="shared" ca="1" si="173"/>
        <v>-466662822866.22162</v>
      </c>
      <c r="L4669" s="455">
        <f t="shared" ca="1" si="174"/>
        <v>-112465740310759.42</v>
      </c>
      <c r="M4669" s="471">
        <f t="shared" si="176"/>
        <v>0.05</v>
      </c>
      <c r="N4669" s="475">
        <f t="shared" si="177"/>
        <v>193155</v>
      </c>
    </row>
    <row r="4670" spans="7:14" ht="11.25" customHeight="1" x14ac:dyDescent="0.3">
      <c r="G4670" s="470"/>
      <c r="H4670" s="470">
        <v>4663</v>
      </c>
      <c r="I4670" s="455">
        <f t="shared" ca="1" si="175"/>
        <v>-112465740310759.42</v>
      </c>
      <c r="J4670" s="455">
        <f t="array" ref="J4670">IFERROR(INDEX('Retirement Calculator'!K:K,MATCH('Lorri 401b'!N4670,'Retirement Calculator'!A:A,0),0),0)</f>
        <v>0</v>
      </c>
      <c r="K4670" s="455">
        <f t="shared" ca="1" si="173"/>
        <v>-468607251294.83093</v>
      </c>
      <c r="L4670" s="455">
        <f t="shared" ca="1" si="174"/>
        <v>-112934347562054.25</v>
      </c>
      <c r="M4670" s="471">
        <f t="shared" si="176"/>
        <v>0.05</v>
      </c>
      <c r="N4670" s="475">
        <f t="shared" si="177"/>
        <v>193185</v>
      </c>
    </row>
    <row r="4671" spans="7:14" ht="11.25" customHeight="1" x14ac:dyDescent="0.3">
      <c r="G4671" s="470"/>
      <c r="H4671" s="470">
        <v>4664</v>
      </c>
      <c r="I4671" s="455">
        <f t="shared" ca="1" si="175"/>
        <v>-112934347562054.25</v>
      </c>
      <c r="J4671" s="455">
        <f t="array" ref="J4671">IFERROR(INDEX('Retirement Calculator'!K:K,MATCH('Lorri 401b'!N4671,'Retirement Calculator'!A:A,0),0),0)</f>
        <v>0</v>
      </c>
      <c r="K4671" s="455">
        <f t="shared" ca="1" si="173"/>
        <v>-470559781508.55945</v>
      </c>
      <c r="L4671" s="455">
        <f t="shared" ca="1" si="174"/>
        <v>-113404907343562.81</v>
      </c>
      <c r="M4671" s="471">
        <f t="shared" si="176"/>
        <v>0.05</v>
      </c>
      <c r="N4671" s="475">
        <f t="shared" si="177"/>
        <v>193216</v>
      </c>
    </row>
    <row r="4672" spans="7:14" ht="11.25" customHeight="1" x14ac:dyDescent="0.3">
      <c r="G4672" s="470"/>
      <c r="H4672" s="470">
        <v>4665</v>
      </c>
      <c r="I4672" s="455">
        <f t="shared" ca="1" si="175"/>
        <v>-113404907343562.81</v>
      </c>
      <c r="J4672" s="455">
        <f t="array" ref="J4672">IFERROR(INDEX('Retirement Calculator'!K:K,MATCH('Lorri 401b'!N4672,'Retirement Calculator'!A:A,0),0),0)</f>
        <v>0</v>
      </c>
      <c r="K4672" s="455">
        <f t="shared" ca="1" si="173"/>
        <v>-472520447264.84503</v>
      </c>
      <c r="L4672" s="455">
        <f t="shared" ca="1" si="174"/>
        <v>-113877427790827.66</v>
      </c>
      <c r="M4672" s="471">
        <f t="shared" si="176"/>
        <v>0.05</v>
      </c>
      <c r="N4672" s="475">
        <f t="shared" si="177"/>
        <v>193247</v>
      </c>
    </row>
    <row r="4673" spans="7:14" ht="11.25" customHeight="1" x14ac:dyDescent="0.3">
      <c r="G4673" s="470"/>
      <c r="H4673" s="470">
        <v>4666</v>
      </c>
      <c r="I4673" s="455">
        <f t="shared" ca="1" si="175"/>
        <v>-113877427790827.66</v>
      </c>
      <c r="J4673" s="455">
        <f t="array" ref="J4673">IFERROR(INDEX('Retirement Calculator'!K:K,MATCH('Lorri 401b'!N4673,'Retirement Calculator'!A:A,0),0),0)</f>
        <v>0</v>
      </c>
      <c r="K4673" s="455">
        <f t="shared" ca="1" si="173"/>
        <v>-474489282461.7818</v>
      </c>
      <c r="L4673" s="455">
        <f t="shared" ca="1" si="174"/>
        <v>-114351917073289.44</v>
      </c>
      <c r="M4673" s="471">
        <f t="shared" si="176"/>
        <v>0.05</v>
      </c>
      <c r="N4673" s="475">
        <f t="shared" si="177"/>
        <v>193275</v>
      </c>
    </row>
    <row r="4674" spans="7:14" ht="11.25" customHeight="1" x14ac:dyDescent="0.3">
      <c r="G4674" s="470"/>
      <c r="H4674" s="470">
        <v>4667</v>
      </c>
      <c r="I4674" s="455">
        <f t="shared" ca="1" si="175"/>
        <v>-114351917073289.44</v>
      </c>
      <c r="J4674" s="455">
        <f t="array" ref="J4674">IFERROR(INDEX('Retirement Calculator'!K:K,MATCH('Lorri 401b'!N4674,'Retirement Calculator'!A:A,0),0),0)</f>
        <v>0</v>
      </c>
      <c r="K4674" s="455">
        <f t="shared" ca="1" si="173"/>
        <v>-476466321138.70599</v>
      </c>
      <c r="L4674" s="455">
        <f t="shared" ca="1" si="174"/>
        <v>-114828383394428.14</v>
      </c>
      <c r="M4674" s="471">
        <f t="shared" si="176"/>
        <v>0.05</v>
      </c>
      <c r="N4674" s="475">
        <f t="shared" si="177"/>
        <v>193306</v>
      </c>
    </row>
    <row r="4675" spans="7:14" ht="11.25" customHeight="1" x14ac:dyDescent="0.3">
      <c r="G4675" s="470"/>
      <c r="H4675" s="470">
        <v>4668</v>
      </c>
      <c r="I4675" s="455">
        <f t="shared" ca="1" si="175"/>
        <v>-114828383394428.14</v>
      </c>
      <c r="J4675" s="455">
        <f t="array" ref="J4675">IFERROR(INDEX('Retirement Calculator'!K:K,MATCH('Lorri 401b'!N4675,'Retirement Calculator'!A:A,0),0),0)</f>
        <v>0</v>
      </c>
      <c r="K4675" s="455">
        <f t="shared" ca="1" si="173"/>
        <v>-478451597476.784</v>
      </c>
      <c r="L4675" s="455">
        <f t="shared" ca="1" si="174"/>
        <v>-115306834991904.92</v>
      </c>
      <c r="M4675" s="471">
        <f t="shared" si="176"/>
        <v>0.05</v>
      </c>
      <c r="N4675" s="475">
        <f t="shared" si="177"/>
        <v>193336</v>
      </c>
    </row>
    <row r="4676" spans="7:14" ht="11.25" customHeight="1" x14ac:dyDescent="0.3">
      <c r="G4676" s="470"/>
      <c r="H4676" s="470">
        <v>4669</v>
      </c>
      <c r="I4676" s="455">
        <f t="shared" ca="1" si="175"/>
        <v>-115306834991904.92</v>
      </c>
      <c r="J4676" s="455">
        <f t="array" ref="J4676">IFERROR(INDEX('Retirement Calculator'!K:K,MATCH('Lorri 401b'!N4676,'Retirement Calculator'!A:A,0),0),0)</f>
        <v>0</v>
      </c>
      <c r="K4676" s="455">
        <f t="shared" ca="1" si="173"/>
        <v>-480445145799.60382</v>
      </c>
      <c r="L4676" s="455">
        <f t="shared" ca="1" si="174"/>
        <v>-115787280137704.53</v>
      </c>
      <c r="M4676" s="471">
        <f t="shared" si="176"/>
        <v>0.05</v>
      </c>
      <c r="N4676" s="475">
        <f t="shared" si="177"/>
        <v>193367</v>
      </c>
    </row>
    <row r="4677" spans="7:14" ht="11.25" customHeight="1" x14ac:dyDescent="0.3">
      <c r="G4677" s="470"/>
      <c r="H4677" s="470">
        <v>4670</v>
      </c>
      <c r="I4677" s="455">
        <f t="shared" ca="1" si="175"/>
        <v>-115787280137704.53</v>
      </c>
      <c r="J4677" s="455">
        <f t="array" ref="J4677">IFERROR(INDEX('Retirement Calculator'!K:K,MATCH('Lorri 401b'!N4677,'Retirement Calculator'!A:A,0),0),0)</f>
        <v>0</v>
      </c>
      <c r="K4677" s="455">
        <f t="shared" ca="1" si="173"/>
        <v>-482447000573.76892</v>
      </c>
      <c r="L4677" s="455">
        <f t="shared" ca="1" si="174"/>
        <v>-116269727138278.3</v>
      </c>
      <c r="M4677" s="471">
        <f t="shared" si="176"/>
        <v>0.05</v>
      </c>
      <c r="N4677" s="475">
        <f t="shared" si="177"/>
        <v>193397</v>
      </c>
    </row>
    <row r="4678" spans="7:14" ht="11.25" customHeight="1" x14ac:dyDescent="0.3">
      <c r="G4678" s="470"/>
      <c r="H4678" s="470">
        <v>4671</v>
      </c>
      <c r="I4678" s="455">
        <f t="shared" ca="1" si="175"/>
        <v>-116269727138278.3</v>
      </c>
      <c r="J4678" s="455">
        <f t="array" ref="J4678">IFERROR(INDEX('Retirement Calculator'!K:K,MATCH('Lorri 401b'!N4678,'Retirement Calculator'!A:A,0),0),0)</f>
        <v>0</v>
      </c>
      <c r="K4678" s="455">
        <f t="shared" ca="1" si="173"/>
        <v>-484457196409.49292</v>
      </c>
      <c r="L4678" s="455">
        <f t="shared" ca="1" si="174"/>
        <v>-116754184334687.8</v>
      </c>
      <c r="M4678" s="471">
        <f t="shared" si="176"/>
        <v>0.05</v>
      </c>
      <c r="N4678" s="475">
        <f t="shared" si="177"/>
        <v>193428</v>
      </c>
    </row>
    <row r="4679" spans="7:14" ht="11.25" customHeight="1" x14ac:dyDescent="0.3">
      <c r="G4679" s="470"/>
      <c r="H4679" s="470">
        <v>4672</v>
      </c>
      <c r="I4679" s="455">
        <f t="shared" ca="1" si="175"/>
        <v>-116754184334687.8</v>
      </c>
      <c r="J4679" s="455">
        <f t="array" ref="J4679">IFERROR(INDEX('Retirement Calculator'!K:K,MATCH('Lorri 401b'!N4679,'Retirement Calculator'!A:A,0),0),0)</f>
        <v>0</v>
      </c>
      <c r="K4679" s="455">
        <f t="shared" ca="1" si="173"/>
        <v>-486475768061.1991</v>
      </c>
      <c r="L4679" s="455">
        <f t="shared" ca="1" si="174"/>
        <v>-117240660102749</v>
      </c>
      <c r="M4679" s="471">
        <f t="shared" si="176"/>
        <v>0.05</v>
      </c>
      <c r="N4679" s="475">
        <f t="shared" si="177"/>
        <v>193459</v>
      </c>
    </row>
    <row r="4680" spans="7:14" ht="11.25" customHeight="1" x14ac:dyDescent="0.3">
      <c r="G4680" s="470"/>
      <c r="H4680" s="470">
        <v>4673</v>
      </c>
      <c r="I4680" s="455">
        <f t="shared" ca="1" si="175"/>
        <v>-117240660102749</v>
      </c>
      <c r="J4680" s="455">
        <f t="array" ref="J4680">IFERROR(INDEX('Retirement Calculator'!K:K,MATCH('Lorri 401b'!N4680,'Retirement Calculator'!A:A,0),0),0)</f>
        <v>0</v>
      </c>
      <c r="K4680" s="455">
        <f t="shared" ca="1" si="173"/>
        <v>-488502750428.12085</v>
      </c>
      <c r="L4680" s="455">
        <f t="shared" ca="1" si="174"/>
        <v>-117729162853177.13</v>
      </c>
      <c r="M4680" s="471">
        <f t="shared" si="176"/>
        <v>0.05</v>
      </c>
      <c r="N4680" s="475">
        <f t="shared" si="177"/>
        <v>193489</v>
      </c>
    </row>
    <row r="4681" spans="7:14" ht="11.25" customHeight="1" x14ac:dyDescent="0.3">
      <c r="G4681" s="470"/>
      <c r="H4681" s="470">
        <v>4674</v>
      </c>
      <c r="I4681" s="455">
        <f t="shared" ca="1" si="175"/>
        <v>-117729162853177.13</v>
      </c>
      <c r="J4681" s="455">
        <f t="array" ref="J4681">IFERROR(INDEX('Retirement Calculator'!K:K,MATCH('Lorri 401b'!N4681,'Retirement Calculator'!A:A,0),0),0)</f>
        <v>0</v>
      </c>
      <c r="K4681" s="455">
        <f t="shared" ca="1" si="173"/>
        <v>-490538178554.90466</v>
      </c>
      <c r="L4681" s="455">
        <f t="shared" ca="1" si="174"/>
        <v>-118219701031732.03</v>
      </c>
      <c r="M4681" s="471">
        <f t="shared" si="176"/>
        <v>0.05</v>
      </c>
      <c r="N4681" s="475">
        <f t="shared" si="177"/>
        <v>193520</v>
      </c>
    </row>
    <row r="4682" spans="7:14" ht="11.25" customHeight="1" x14ac:dyDescent="0.3">
      <c r="G4682" s="470"/>
      <c r="H4682" s="470">
        <v>4675</v>
      </c>
      <c r="I4682" s="455">
        <f t="shared" ca="1" si="175"/>
        <v>-118219701031732.03</v>
      </c>
      <c r="J4682" s="455">
        <f t="array" ref="J4682">IFERROR(INDEX('Retirement Calculator'!K:K,MATCH('Lorri 401b'!N4682,'Retirement Calculator'!A:A,0),0),0)</f>
        <v>0</v>
      </c>
      <c r="K4682" s="455">
        <f t="shared" ca="1" si="173"/>
        <v>-492582087632.2168</v>
      </c>
      <c r="L4682" s="455">
        <f t="shared" ca="1" si="174"/>
        <v>-118712283119364.25</v>
      </c>
      <c r="M4682" s="471">
        <f t="shared" si="176"/>
        <v>0.05</v>
      </c>
      <c r="N4682" s="475">
        <f t="shared" si="177"/>
        <v>193550</v>
      </c>
    </row>
    <row r="4683" spans="7:14" ht="11.25" customHeight="1" x14ac:dyDescent="0.3">
      <c r="G4683" s="470"/>
      <c r="H4683" s="470">
        <v>4676</v>
      </c>
      <c r="I4683" s="455">
        <f t="shared" ca="1" si="175"/>
        <v>-118712283119364.25</v>
      </c>
      <c r="J4683" s="455">
        <f t="array" ref="J4683">IFERROR(INDEX('Retirement Calculator'!K:K,MATCH('Lorri 401b'!N4683,'Retirement Calculator'!A:A,0),0),0)</f>
        <v>0</v>
      </c>
      <c r="K4683" s="455">
        <f t="shared" ca="1" si="173"/>
        <v>-494634512997.35101</v>
      </c>
      <c r="L4683" s="455">
        <f t="shared" ca="1" si="174"/>
        <v>-119206917632361.59</v>
      </c>
      <c r="M4683" s="471">
        <f t="shared" si="176"/>
        <v>0.05</v>
      </c>
      <c r="N4683" s="475">
        <f t="shared" si="177"/>
        <v>193581</v>
      </c>
    </row>
    <row r="4684" spans="7:14" ht="11.25" customHeight="1" x14ac:dyDescent="0.3">
      <c r="G4684" s="470"/>
      <c r="H4684" s="470">
        <v>4677</v>
      </c>
      <c r="I4684" s="455">
        <f t="shared" ca="1" si="175"/>
        <v>-119206917632361.59</v>
      </c>
      <c r="J4684" s="455">
        <f t="array" ref="J4684">IFERROR(INDEX('Retirement Calculator'!K:K,MATCH('Lorri 401b'!N4684,'Retirement Calculator'!A:A,0),0),0)</f>
        <v>0</v>
      </c>
      <c r="K4684" s="455">
        <f t="shared" ca="1" si="173"/>
        <v>-496695490134.83997</v>
      </c>
      <c r="L4684" s="455">
        <f t="shared" ca="1" si="174"/>
        <v>-119703613122496.44</v>
      </c>
      <c r="M4684" s="471">
        <f t="shared" si="176"/>
        <v>0.05</v>
      </c>
      <c r="N4684" s="475">
        <f t="shared" si="177"/>
        <v>193612</v>
      </c>
    </row>
    <row r="4685" spans="7:14" ht="11.25" customHeight="1" x14ac:dyDescent="0.3">
      <c r="G4685" s="470"/>
      <c r="H4685" s="470">
        <v>4678</v>
      </c>
      <c r="I4685" s="455">
        <f t="shared" ca="1" si="175"/>
        <v>-119703613122496.44</v>
      </c>
      <c r="J4685" s="455">
        <f t="array" ref="J4685">IFERROR(INDEX('Retirement Calculator'!K:K,MATCH('Lorri 401b'!N4685,'Retirement Calculator'!A:A,0),0),0)</f>
        <v>0</v>
      </c>
      <c r="K4685" s="455">
        <f t="shared" ca="1" si="173"/>
        <v>-498765054677.06848</v>
      </c>
      <c r="L4685" s="455">
        <f t="shared" ca="1" si="174"/>
        <v>-120202378177173.5</v>
      </c>
      <c r="M4685" s="471">
        <f t="shared" si="176"/>
        <v>0.05</v>
      </c>
      <c r="N4685" s="475">
        <f t="shared" si="177"/>
        <v>193640</v>
      </c>
    </row>
    <row r="4686" spans="7:14" ht="11.25" customHeight="1" x14ac:dyDescent="0.3">
      <c r="G4686" s="470"/>
      <c r="H4686" s="470">
        <v>4679</v>
      </c>
      <c r="I4686" s="455">
        <f t="shared" ca="1" si="175"/>
        <v>-120202378177173.5</v>
      </c>
      <c r="J4686" s="455">
        <f t="array" ref="J4686">IFERROR(INDEX('Retirement Calculator'!K:K,MATCH('Lorri 401b'!N4686,'Retirement Calculator'!A:A,0),0),0)</f>
        <v>0</v>
      </c>
      <c r="K4686" s="455">
        <f t="shared" ca="1" si="173"/>
        <v>-500843242404.88959</v>
      </c>
      <c r="L4686" s="455">
        <f t="shared" ca="1" si="174"/>
        <v>-120703221419578.39</v>
      </c>
      <c r="M4686" s="471">
        <f t="shared" si="176"/>
        <v>0.05</v>
      </c>
      <c r="N4686" s="475">
        <f t="shared" si="177"/>
        <v>193671</v>
      </c>
    </row>
    <row r="4687" spans="7:14" ht="11.25" customHeight="1" x14ac:dyDescent="0.3">
      <c r="G4687" s="470"/>
      <c r="H4687" s="470">
        <v>4680</v>
      </c>
      <c r="I4687" s="455">
        <f t="shared" ca="1" si="175"/>
        <v>-120703221419578.39</v>
      </c>
      <c r="J4687" s="455">
        <f t="array" ref="J4687">IFERROR(INDEX('Retirement Calculator'!K:K,MATCH('Lorri 401b'!N4687,'Retirement Calculator'!A:A,0),0),0)</f>
        <v>0</v>
      </c>
      <c r="K4687" s="455">
        <f t="shared" ca="1" si="173"/>
        <v>-502930089248.24329</v>
      </c>
      <c r="L4687" s="455">
        <f t="shared" ca="1" si="174"/>
        <v>-121206151508826.64</v>
      </c>
      <c r="M4687" s="471">
        <f t="shared" si="176"/>
        <v>0.05</v>
      </c>
      <c r="N4687" s="475">
        <f t="shared" si="177"/>
        <v>193701</v>
      </c>
    </row>
    <row r="4688" spans="7:14" ht="11.25" customHeight="1" x14ac:dyDescent="0.3">
      <c r="G4688" s="470"/>
      <c r="H4688" s="470">
        <v>4681</v>
      </c>
      <c r="I4688" s="455">
        <f t="shared" ca="1" si="175"/>
        <v>-121206151508826.64</v>
      </c>
      <c r="J4688" s="455">
        <f t="array" ref="J4688">IFERROR(INDEX('Retirement Calculator'!K:K,MATCH('Lorri 401b'!N4688,'Retirement Calculator'!A:A,0),0),0)</f>
        <v>0</v>
      </c>
      <c r="K4688" s="455">
        <f t="shared" ca="1" si="173"/>
        <v>-505025631286.77765</v>
      </c>
      <c r="L4688" s="455">
        <f t="shared" ca="1" si="174"/>
        <v>-121711177140113.42</v>
      </c>
      <c r="M4688" s="471">
        <f t="shared" si="176"/>
        <v>0.05</v>
      </c>
      <c r="N4688" s="475">
        <f t="shared" si="177"/>
        <v>193732</v>
      </c>
    </row>
    <row r="4689" spans="7:14" ht="11.25" customHeight="1" x14ac:dyDescent="0.3">
      <c r="G4689" s="470"/>
      <c r="H4689" s="470">
        <v>4682</v>
      </c>
      <c r="I4689" s="455">
        <f t="shared" ca="1" si="175"/>
        <v>-121711177140113.42</v>
      </c>
      <c r="J4689" s="455">
        <f t="array" ref="J4689">IFERROR(INDEX('Retirement Calculator'!K:K,MATCH('Lorri 401b'!N4689,'Retirement Calculator'!A:A,0),0),0)</f>
        <v>0</v>
      </c>
      <c r="K4689" s="455">
        <f t="shared" ca="1" si="173"/>
        <v>-507129904750.4726</v>
      </c>
      <c r="L4689" s="455">
        <f t="shared" ca="1" si="174"/>
        <v>-122218307044863.89</v>
      </c>
      <c r="M4689" s="471">
        <f t="shared" si="176"/>
        <v>0.05</v>
      </c>
      <c r="N4689" s="475">
        <f t="shared" si="177"/>
        <v>193762</v>
      </c>
    </row>
    <row r="4690" spans="7:14" ht="11.25" customHeight="1" x14ac:dyDescent="0.3">
      <c r="G4690" s="470"/>
      <c r="H4690" s="470">
        <v>4683</v>
      </c>
      <c r="I4690" s="455">
        <f t="shared" ca="1" si="175"/>
        <v>-122218307044863.89</v>
      </c>
      <c r="J4690" s="455">
        <f t="array" ref="J4690">IFERROR(INDEX('Retirement Calculator'!K:K,MATCH('Lorri 401b'!N4690,'Retirement Calculator'!A:A,0),0),0)</f>
        <v>0</v>
      </c>
      <c r="K4690" s="455">
        <f t="shared" ca="1" si="173"/>
        <v>-509242946020.26617</v>
      </c>
      <c r="L4690" s="455">
        <f t="shared" ca="1" si="174"/>
        <v>-122727549990884.16</v>
      </c>
      <c r="M4690" s="471">
        <f t="shared" si="176"/>
        <v>0.05</v>
      </c>
      <c r="N4690" s="475">
        <f t="shared" si="177"/>
        <v>193793</v>
      </c>
    </row>
    <row r="4691" spans="7:14" ht="11.25" customHeight="1" x14ac:dyDescent="0.3">
      <c r="G4691" s="470"/>
      <c r="H4691" s="470">
        <v>4684</v>
      </c>
      <c r="I4691" s="455">
        <f t="shared" ca="1" si="175"/>
        <v>-122727549990884.16</v>
      </c>
      <c r="J4691" s="455">
        <f t="array" ref="J4691">IFERROR(INDEX('Retirement Calculator'!K:K,MATCH('Lorri 401b'!N4691,'Retirement Calculator'!A:A,0),0),0)</f>
        <v>0</v>
      </c>
      <c r="K4691" s="455">
        <f t="shared" ca="1" si="173"/>
        <v>-511364791628.68396</v>
      </c>
      <c r="L4691" s="455">
        <f t="shared" ca="1" si="174"/>
        <v>-123238914782512.84</v>
      </c>
      <c r="M4691" s="471">
        <f t="shared" si="176"/>
        <v>0.05</v>
      </c>
      <c r="N4691" s="475">
        <f t="shared" si="177"/>
        <v>193824</v>
      </c>
    </row>
    <row r="4692" spans="7:14" ht="11.25" customHeight="1" x14ac:dyDescent="0.3">
      <c r="G4692" s="470"/>
      <c r="H4692" s="470">
        <v>4685</v>
      </c>
      <c r="I4692" s="455">
        <f t="shared" ca="1" si="175"/>
        <v>-123238914782512.84</v>
      </c>
      <c r="J4692" s="455">
        <f t="array" ref="J4692">IFERROR(INDEX('Retirement Calculator'!K:K,MATCH('Lorri 401b'!N4692,'Retirement Calculator'!A:A,0),0),0)</f>
        <v>0</v>
      </c>
      <c r="K4692" s="455">
        <f t="shared" ca="1" si="173"/>
        <v>-513495478260.47015</v>
      </c>
      <c r="L4692" s="455">
        <f t="shared" ca="1" si="174"/>
        <v>-123752410260773.31</v>
      </c>
      <c r="M4692" s="471">
        <f t="shared" si="176"/>
        <v>0.05</v>
      </c>
      <c r="N4692" s="475">
        <f t="shared" si="177"/>
        <v>193854</v>
      </c>
    </row>
    <row r="4693" spans="7:14" ht="11.25" customHeight="1" x14ac:dyDescent="0.3">
      <c r="G4693" s="470"/>
      <c r="H4693" s="470">
        <v>4686</v>
      </c>
      <c r="I4693" s="455">
        <f t="shared" ca="1" si="175"/>
        <v>-123752410260773.31</v>
      </c>
      <c r="J4693" s="455">
        <f t="array" ref="J4693">IFERROR(INDEX('Retirement Calculator'!K:K,MATCH('Lorri 401b'!N4693,'Retirement Calculator'!A:A,0),0),0)</f>
        <v>0</v>
      </c>
      <c r="K4693" s="455">
        <f t="shared" ca="1" si="173"/>
        <v>-515635042753.22211</v>
      </c>
      <c r="L4693" s="455">
        <f t="shared" ca="1" si="174"/>
        <v>-124268045303526.53</v>
      </c>
      <c r="M4693" s="471">
        <f t="shared" si="176"/>
        <v>0.05</v>
      </c>
      <c r="N4693" s="475">
        <f t="shared" si="177"/>
        <v>193885</v>
      </c>
    </row>
    <row r="4694" spans="7:14" ht="11.25" customHeight="1" x14ac:dyDescent="0.3">
      <c r="G4694" s="470"/>
      <c r="H4694" s="470">
        <v>4687</v>
      </c>
      <c r="I4694" s="455">
        <f t="shared" ca="1" si="175"/>
        <v>-124268045303526.53</v>
      </c>
      <c r="J4694" s="455">
        <f t="array" ref="J4694">IFERROR(INDEX('Retirement Calculator'!K:K,MATCH('Lorri 401b'!N4694,'Retirement Calculator'!A:A,0),0),0)</f>
        <v>0</v>
      </c>
      <c r="K4694" s="455">
        <f t="shared" ca="1" si="173"/>
        <v>-517783522098.02722</v>
      </c>
      <c r="L4694" s="455">
        <f t="shared" ca="1" si="174"/>
        <v>-124785828825624.56</v>
      </c>
      <c r="M4694" s="471">
        <f t="shared" si="176"/>
        <v>0.05</v>
      </c>
      <c r="N4694" s="475">
        <f t="shared" si="177"/>
        <v>193915</v>
      </c>
    </row>
    <row r="4695" spans="7:14" ht="11.25" customHeight="1" x14ac:dyDescent="0.3">
      <c r="G4695" s="470"/>
      <c r="H4695" s="470">
        <v>4688</v>
      </c>
      <c r="I4695" s="455">
        <f t="shared" ca="1" si="175"/>
        <v>-124785828825624.56</v>
      </c>
      <c r="J4695" s="455">
        <f t="array" ref="J4695">IFERROR(INDEX('Retirement Calculator'!K:K,MATCH('Lorri 401b'!N4695,'Retirement Calculator'!A:A,0),0),0)</f>
        <v>0</v>
      </c>
      <c r="K4695" s="455">
        <f t="shared" ca="1" si="173"/>
        <v>-519940953440.10236</v>
      </c>
      <c r="L4695" s="455">
        <f t="shared" ca="1" si="174"/>
        <v>-125305769779064.67</v>
      </c>
      <c r="M4695" s="471">
        <f t="shared" si="176"/>
        <v>0.05</v>
      </c>
      <c r="N4695" s="475">
        <f t="shared" si="177"/>
        <v>193946</v>
      </c>
    </row>
    <row r="4696" spans="7:14" ht="11.25" customHeight="1" x14ac:dyDescent="0.3">
      <c r="G4696" s="470"/>
      <c r="H4696" s="470">
        <v>4689</v>
      </c>
      <c r="I4696" s="455">
        <f t="shared" ca="1" si="175"/>
        <v>-125305769779064.67</v>
      </c>
      <c r="J4696" s="455">
        <f t="array" ref="J4696">IFERROR(INDEX('Retirement Calculator'!K:K,MATCH('Lorri 401b'!N4696,'Retirement Calculator'!A:A,0),0),0)</f>
        <v>0</v>
      </c>
      <c r="K4696" s="455">
        <f t="shared" ca="1" si="173"/>
        <v>-522107374079.4361</v>
      </c>
      <c r="L4696" s="455">
        <f t="shared" ca="1" si="174"/>
        <v>-125827877153144.11</v>
      </c>
      <c r="M4696" s="471">
        <f t="shared" si="176"/>
        <v>0.05</v>
      </c>
      <c r="N4696" s="475">
        <f t="shared" si="177"/>
        <v>193977</v>
      </c>
    </row>
    <row r="4697" spans="7:14" ht="11.25" customHeight="1" x14ac:dyDescent="0.3">
      <c r="G4697" s="470"/>
      <c r="H4697" s="470">
        <v>4690</v>
      </c>
      <c r="I4697" s="455">
        <f t="shared" ca="1" si="175"/>
        <v>-125827877153144.11</v>
      </c>
      <c r="J4697" s="455">
        <f t="array" ref="J4697">IFERROR(INDEX('Retirement Calculator'!K:K,MATCH('Lorri 401b'!N4697,'Retirement Calculator'!A:A,0),0),0)</f>
        <v>0</v>
      </c>
      <c r="K4697" s="455">
        <f t="shared" ca="1" si="173"/>
        <v>-524282821471.43372</v>
      </c>
      <c r="L4697" s="455">
        <f t="shared" ca="1" si="174"/>
        <v>-126352159974615.55</v>
      </c>
      <c r="M4697" s="471">
        <f t="shared" si="176"/>
        <v>0.05</v>
      </c>
      <c r="N4697" s="475">
        <f t="shared" si="177"/>
        <v>194005</v>
      </c>
    </row>
    <row r="4698" spans="7:14" ht="11.25" customHeight="1" x14ac:dyDescent="0.3">
      <c r="G4698" s="470"/>
      <c r="H4698" s="470">
        <v>4691</v>
      </c>
      <c r="I4698" s="455">
        <f t="shared" ca="1" si="175"/>
        <v>-126352159974615.55</v>
      </c>
      <c r="J4698" s="455">
        <f t="array" ref="J4698">IFERROR(INDEX('Retirement Calculator'!K:K,MATCH('Lorri 401b'!N4698,'Retirement Calculator'!A:A,0),0),0)</f>
        <v>0</v>
      </c>
      <c r="K4698" s="455">
        <f t="shared" ca="1" si="173"/>
        <v>-526467333227.56476</v>
      </c>
      <c r="L4698" s="455">
        <f t="shared" ca="1" si="174"/>
        <v>-126878627307843.11</v>
      </c>
      <c r="M4698" s="471">
        <f t="shared" si="176"/>
        <v>0.05</v>
      </c>
      <c r="N4698" s="475">
        <f t="shared" si="177"/>
        <v>194036</v>
      </c>
    </row>
    <row r="4699" spans="7:14" ht="11.25" customHeight="1" x14ac:dyDescent="0.3">
      <c r="G4699" s="470"/>
      <c r="H4699" s="470">
        <v>4692</v>
      </c>
      <c r="I4699" s="455">
        <f t="shared" ca="1" si="175"/>
        <v>-126878627307843.11</v>
      </c>
      <c r="J4699" s="455">
        <f t="array" ref="J4699">IFERROR(INDEX('Retirement Calculator'!K:K,MATCH('Lorri 401b'!N4699,'Retirement Calculator'!A:A,0),0),0)</f>
        <v>0</v>
      </c>
      <c r="K4699" s="455">
        <f t="shared" ca="1" si="173"/>
        <v>-528660947116.01294</v>
      </c>
      <c r="L4699" s="455">
        <f t="shared" ca="1" si="174"/>
        <v>-127407288254959.13</v>
      </c>
      <c r="M4699" s="471">
        <f t="shared" si="176"/>
        <v>0.05</v>
      </c>
      <c r="N4699" s="475">
        <f t="shared" si="177"/>
        <v>194066</v>
      </c>
    </row>
    <row r="4700" spans="7:14" ht="11.25" customHeight="1" x14ac:dyDescent="0.3">
      <c r="G4700" s="470"/>
      <c r="H4700" s="470">
        <v>4693</v>
      </c>
      <c r="I4700" s="455">
        <f t="shared" ca="1" si="175"/>
        <v>-127407288254959.13</v>
      </c>
      <c r="J4700" s="455">
        <f t="array" ref="J4700">IFERROR(INDEX('Retirement Calculator'!K:K,MATCH('Lorri 401b'!N4700,'Retirement Calculator'!A:A,0),0),0)</f>
        <v>0</v>
      </c>
      <c r="K4700" s="455">
        <f t="shared" ca="1" si="173"/>
        <v>-530863701062.32965</v>
      </c>
      <c r="L4700" s="455">
        <f t="shared" ca="1" si="174"/>
        <v>-127938151956021.45</v>
      </c>
      <c r="M4700" s="471">
        <f t="shared" si="176"/>
        <v>0.05</v>
      </c>
      <c r="N4700" s="475">
        <f t="shared" si="177"/>
        <v>194097</v>
      </c>
    </row>
    <row r="4701" spans="7:14" ht="11.25" customHeight="1" x14ac:dyDescent="0.3">
      <c r="G4701" s="470"/>
      <c r="H4701" s="470">
        <v>4694</v>
      </c>
      <c r="I4701" s="455">
        <f t="shared" ca="1" si="175"/>
        <v>-127938151956021.45</v>
      </c>
      <c r="J4701" s="455">
        <f t="array" ref="J4701">IFERROR(INDEX('Retirement Calculator'!K:K,MATCH('Lorri 401b'!N4701,'Retirement Calculator'!A:A,0),0),0)</f>
        <v>0</v>
      </c>
      <c r="K4701" s="455">
        <f t="shared" ca="1" si="173"/>
        <v>-533075633150.08929</v>
      </c>
      <c r="L4701" s="455">
        <f t="shared" ca="1" si="174"/>
        <v>-128471227589171.55</v>
      </c>
      <c r="M4701" s="471">
        <f t="shared" si="176"/>
        <v>0.05</v>
      </c>
      <c r="N4701" s="475">
        <f t="shared" si="177"/>
        <v>194127</v>
      </c>
    </row>
    <row r="4702" spans="7:14" ht="11.25" customHeight="1" x14ac:dyDescent="0.3">
      <c r="G4702" s="470"/>
      <c r="H4702" s="470">
        <v>4695</v>
      </c>
      <c r="I4702" s="455">
        <f t="shared" ca="1" si="175"/>
        <v>-128471227589171.55</v>
      </c>
      <c r="J4702" s="455">
        <f t="array" ref="J4702">IFERROR(INDEX('Retirement Calculator'!K:K,MATCH('Lorri 401b'!N4702,'Retirement Calculator'!A:A,0),0),0)</f>
        <v>0</v>
      </c>
      <c r="K4702" s="455">
        <f t="shared" ca="1" si="173"/>
        <v>-535296781621.5481</v>
      </c>
      <c r="L4702" s="455">
        <f t="shared" ca="1" si="174"/>
        <v>-129006524370793.09</v>
      </c>
      <c r="M4702" s="471">
        <f t="shared" si="176"/>
        <v>0.05</v>
      </c>
      <c r="N4702" s="475">
        <f t="shared" si="177"/>
        <v>194158</v>
      </c>
    </row>
    <row r="4703" spans="7:14" ht="11.25" customHeight="1" x14ac:dyDescent="0.3">
      <c r="G4703" s="470"/>
      <c r="H4703" s="470">
        <v>4696</v>
      </c>
      <c r="I4703" s="455">
        <f t="shared" ca="1" si="175"/>
        <v>-129006524370793.09</v>
      </c>
      <c r="J4703" s="455">
        <f t="array" ref="J4703">IFERROR(INDEX('Retirement Calculator'!K:K,MATCH('Lorri 401b'!N4703,'Retirement Calculator'!A:A,0),0),0)</f>
        <v>0</v>
      </c>
      <c r="K4703" s="455">
        <f t="shared" ca="1" si="173"/>
        <v>-537527184878.30457</v>
      </c>
      <c r="L4703" s="455">
        <f t="shared" ca="1" si="174"/>
        <v>-129544051555671.39</v>
      </c>
      <c r="M4703" s="471">
        <f t="shared" si="176"/>
        <v>0.05</v>
      </c>
      <c r="N4703" s="475">
        <f t="shared" si="177"/>
        <v>194189</v>
      </c>
    </row>
    <row r="4704" spans="7:14" ht="11.25" customHeight="1" x14ac:dyDescent="0.3">
      <c r="G4704" s="470"/>
      <c r="H4704" s="470">
        <v>4697</v>
      </c>
      <c r="I4704" s="455">
        <f t="shared" ca="1" si="175"/>
        <v>-129544051555671.39</v>
      </c>
      <c r="J4704" s="455">
        <f t="array" ref="J4704">IFERROR(INDEX('Retirement Calculator'!K:K,MATCH('Lorri 401b'!N4704,'Retirement Calculator'!A:A,0),0),0)</f>
        <v>0</v>
      </c>
      <c r="K4704" s="455">
        <f t="shared" ca="1" si="173"/>
        <v>-539766881481.96411</v>
      </c>
      <c r="L4704" s="455">
        <f t="shared" ca="1" si="174"/>
        <v>-130083818437153.36</v>
      </c>
      <c r="M4704" s="471">
        <f t="shared" si="176"/>
        <v>0.05</v>
      </c>
      <c r="N4704" s="475">
        <f t="shared" si="177"/>
        <v>194219</v>
      </c>
    </row>
    <row r="4705" spans="7:14" ht="11.25" customHeight="1" x14ac:dyDescent="0.3">
      <c r="G4705" s="470"/>
      <c r="H4705" s="470">
        <v>4698</v>
      </c>
      <c r="I4705" s="455">
        <f t="shared" ca="1" si="175"/>
        <v>-130083818437153.36</v>
      </c>
      <c r="J4705" s="455">
        <f t="array" ref="J4705">IFERROR(INDEX('Retirement Calculator'!K:K,MATCH('Lorri 401b'!N4705,'Retirement Calculator'!A:A,0),0),0)</f>
        <v>0</v>
      </c>
      <c r="K4705" s="455">
        <f t="shared" ca="1" si="173"/>
        <v>-542015910154.80566</v>
      </c>
      <c r="L4705" s="455">
        <f t="shared" ca="1" si="174"/>
        <v>-130625834347308.17</v>
      </c>
      <c r="M4705" s="471">
        <f t="shared" si="176"/>
        <v>0.05</v>
      </c>
      <c r="N4705" s="475">
        <f t="shared" si="177"/>
        <v>194250</v>
      </c>
    </row>
    <row r="4706" spans="7:14" ht="11.25" customHeight="1" x14ac:dyDescent="0.3">
      <c r="G4706" s="470"/>
      <c r="H4706" s="470">
        <v>4699</v>
      </c>
      <c r="I4706" s="455">
        <f t="shared" ca="1" si="175"/>
        <v>-130625834347308.17</v>
      </c>
      <c r="J4706" s="455">
        <f t="array" ref="J4706">IFERROR(INDEX('Retirement Calculator'!K:K,MATCH('Lorri 401b'!N4706,'Retirement Calculator'!A:A,0),0),0)</f>
        <v>0</v>
      </c>
      <c r="K4706" s="455">
        <f t="shared" ca="1" si="173"/>
        <v>-544274309780.45068</v>
      </c>
      <c r="L4706" s="455">
        <f t="shared" ca="1" si="174"/>
        <v>-131170108657088.63</v>
      </c>
      <c r="M4706" s="471">
        <f t="shared" si="176"/>
        <v>0.05</v>
      </c>
      <c r="N4706" s="475">
        <f t="shared" si="177"/>
        <v>194280</v>
      </c>
    </row>
    <row r="4707" spans="7:14" ht="11.25" customHeight="1" x14ac:dyDescent="0.3">
      <c r="G4707" s="470"/>
      <c r="H4707" s="470">
        <v>4700</v>
      </c>
      <c r="I4707" s="455">
        <f t="shared" ca="1" si="175"/>
        <v>-131170108657088.63</v>
      </c>
      <c r="J4707" s="455">
        <f t="array" ref="J4707">IFERROR(INDEX('Retirement Calculator'!K:K,MATCH('Lorri 401b'!N4707,'Retirement Calculator'!A:A,0),0),0)</f>
        <v>0</v>
      </c>
      <c r="K4707" s="455">
        <f t="shared" ca="1" si="173"/>
        <v>-546542119404.53595</v>
      </c>
      <c r="L4707" s="455">
        <f t="shared" ca="1" si="174"/>
        <v>-131716650776493.16</v>
      </c>
      <c r="M4707" s="471">
        <f t="shared" si="176"/>
        <v>0.05</v>
      </c>
      <c r="N4707" s="475">
        <f t="shared" si="177"/>
        <v>194311</v>
      </c>
    </row>
    <row r="4708" spans="7:14" ht="11.25" customHeight="1" x14ac:dyDescent="0.3">
      <c r="G4708" s="470"/>
      <c r="H4708" s="470">
        <v>4701</v>
      </c>
      <c r="I4708" s="455">
        <f t="shared" ca="1" si="175"/>
        <v>-131716650776493.16</v>
      </c>
      <c r="J4708" s="455">
        <f t="array" ref="J4708">IFERROR(INDEX('Retirement Calculator'!K:K,MATCH('Lorri 401b'!N4708,'Retirement Calculator'!A:A,0),0),0)</f>
        <v>0</v>
      </c>
      <c r="K4708" s="455">
        <f t="shared" ca="1" si="173"/>
        <v>-548819378235.38812</v>
      </c>
      <c r="L4708" s="455">
        <f t="shared" ca="1" si="174"/>
        <v>-132265470154728.55</v>
      </c>
      <c r="M4708" s="471">
        <f t="shared" si="176"/>
        <v>0.05</v>
      </c>
      <c r="N4708" s="475">
        <f t="shared" si="177"/>
        <v>194342</v>
      </c>
    </row>
    <row r="4709" spans="7:14" ht="11.25" customHeight="1" x14ac:dyDescent="0.3">
      <c r="G4709" s="470"/>
      <c r="H4709" s="470">
        <v>4702</v>
      </c>
      <c r="I4709" s="455">
        <f t="shared" ca="1" si="175"/>
        <v>-132265470154728.55</v>
      </c>
      <c r="J4709" s="455">
        <f t="array" ref="J4709">IFERROR(INDEX('Retirement Calculator'!K:K,MATCH('Lorri 401b'!N4709,'Retirement Calculator'!A:A,0),0),0)</f>
        <v>0</v>
      </c>
      <c r="K4709" s="455">
        <f t="shared" ca="1" si="173"/>
        <v>-551106125644.70227</v>
      </c>
      <c r="L4709" s="455">
        <f t="shared" ca="1" si="174"/>
        <v>-132816576280373.25</v>
      </c>
      <c r="M4709" s="471">
        <f t="shared" si="176"/>
        <v>0.05</v>
      </c>
      <c r="N4709" s="475">
        <f t="shared" si="177"/>
        <v>194371</v>
      </c>
    </row>
    <row r="4710" spans="7:14" ht="11.25" customHeight="1" x14ac:dyDescent="0.3">
      <c r="G4710" s="470"/>
      <c r="H4710" s="470">
        <v>4703</v>
      </c>
      <c r="I4710" s="455">
        <f t="shared" ca="1" si="175"/>
        <v>-132816576280373.25</v>
      </c>
      <c r="J4710" s="455">
        <f t="array" ref="J4710">IFERROR(INDEX('Retirement Calculator'!K:K,MATCH('Lorri 401b'!N4710,'Retirement Calculator'!A:A,0),0),0)</f>
        <v>0</v>
      </c>
      <c r="K4710" s="455">
        <f t="shared" ca="1" si="173"/>
        <v>-553402401168.22192</v>
      </c>
      <c r="L4710" s="455">
        <f t="shared" ca="1" si="174"/>
        <v>-133369978681541.47</v>
      </c>
      <c r="M4710" s="471">
        <f t="shared" si="176"/>
        <v>0.05</v>
      </c>
      <c r="N4710" s="475">
        <f t="shared" si="177"/>
        <v>194402</v>
      </c>
    </row>
    <row r="4711" spans="7:14" ht="11.25" customHeight="1" x14ac:dyDescent="0.3">
      <c r="G4711" s="470"/>
      <c r="H4711" s="470">
        <v>4704</v>
      </c>
      <c r="I4711" s="455">
        <f t="shared" ca="1" si="175"/>
        <v>-133369978681541.47</v>
      </c>
      <c r="J4711" s="455">
        <f t="array" ref="J4711">IFERROR(INDEX('Retirement Calculator'!K:K,MATCH('Lorri 401b'!N4711,'Retirement Calculator'!A:A,0),0),0)</f>
        <v>0</v>
      </c>
      <c r="K4711" s="455">
        <f t="shared" ca="1" si="173"/>
        <v>-555708244506.42273</v>
      </c>
      <c r="L4711" s="455">
        <f t="shared" ca="1" si="174"/>
        <v>-133925686926047.89</v>
      </c>
      <c r="M4711" s="471">
        <f t="shared" si="176"/>
        <v>0.05</v>
      </c>
      <c r="N4711" s="475">
        <f t="shared" si="177"/>
        <v>194432</v>
      </c>
    </row>
    <row r="4712" spans="7:14" ht="11.25" customHeight="1" x14ac:dyDescent="0.3">
      <c r="G4712" s="470"/>
      <c r="H4712" s="470">
        <v>4705</v>
      </c>
      <c r="I4712" s="455">
        <f t="shared" ca="1" si="175"/>
        <v>-133925686926047.89</v>
      </c>
      <c r="J4712" s="455">
        <f t="array" ref="J4712">IFERROR(INDEX('Retirement Calculator'!K:K,MATCH('Lorri 401b'!N4712,'Retirement Calculator'!A:A,0),0),0)</f>
        <v>0</v>
      </c>
      <c r="K4712" s="455">
        <f t="shared" ca="1" si="173"/>
        <v>-558023695525.19958</v>
      </c>
      <c r="L4712" s="455">
        <f t="shared" ca="1" si="174"/>
        <v>-134483710621573.09</v>
      </c>
      <c r="M4712" s="471">
        <f t="shared" si="176"/>
        <v>0.05</v>
      </c>
      <c r="N4712" s="475">
        <f t="shared" si="177"/>
        <v>194463</v>
      </c>
    </row>
    <row r="4713" spans="7:14" ht="11.25" customHeight="1" x14ac:dyDescent="0.3">
      <c r="G4713" s="470"/>
      <c r="H4713" s="470">
        <v>4706</v>
      </c>
      <c r="I4713" s="455">
        <f t="shared" ca="1" si="175"/>
        <v>-134483710621573.09</v>
      </c>
      <c r="J4713" s="455">
        <f t="array" ref="J4713">IFERROR(INDEX('Retirement Calculator'!K:K,MATCH('Lorri 401b'!N4713,'Retirement Calculator'!A:A,0),0),0)</f>
        <v>0</v>
      </c>
      <c r="K4713" s="455">
        <f t="shared" ca="1" si="173"/>
        <v>-560348794256.55457</v>
      </c>
      <c r="L4713" s="455">
        <f t="shared" ca="1" si="174"/>
        <v>-135044059415829.64</v>
      </c>
      <c r="M4713" s="471">
        <f t="shared" si="176"/>
        <v>0.05</v>
      </c>
      <c r="N4713" s="475">
        <f t="shared" si="177"/>
        <v>194493</v>
      </c>
    </row>
    <row r="4714" spans="7:14" ht="11.25" customHeight="1" x14ac:dyDescent="0.3">
      <c r="G4714" s="470"/>
      <c r="H4714" s="470">
        <v>4707</v>
      </c>
      <c r="I4714" s="455">
        <f t="shared" ca="1" si="175"/>
        <v>-135044059415829.64</v>
      </c>
      <c r="J4714" s="455">
        <f t="array" ref="J4714">IFERROR(INDEX('Retirement Calculator'!K:K,MATCH('Lorri 401b'!N4714,'Retirement Calculator'!A:A,0),0),0)</f>
        <v>0</v>
      </c>
      <c r="K4714" s="455">
        <f t="shared" ca="1" si="173"/>
        <v>-562683580899.29016</v>
      </c>
      <c r="L4714" s="455">
        <f t="shared" ca="1" si="174"/>
        <v>-135606742996728.94</v>
      </c>
      <c r="M4714" s="471">
        <f t="shared" si="176"/>
        <v>0.05</v>
      </c>
      <c r="N4714" s="475">
        <f t="shared" si="177"/>
        <v>194524</v>
      </c>
    </row>
    <row r="4715" spans="7:14" ht="11.25" customHeight="1" x14ac:dyDescent="0.3">
      <c r="G4715" s="470"/>
      <c r="H4715" s="470">
        <v>4708</v>
      </c>
      <c r="I4715" s="455">
        <f t="shared" ca="1" si="175"/>
        <v>-135606742996728.94</v>
      </c>
      <c r="J4715" s="455">
        <f t="array" ref="J4715">IFERROR(INDEX('Retirement Calculator'!K:K,MATCH('Lorri 401b'!N4715,'Retirement Calculator'!A:A,0),0),0)</f>
        <v>0</v>
      </c>
      <c r="K4715" s="455">
        <f t="shared" ca="1" si="173"/>
        <v>-565028095819.70386</v>
      </c>
      <c r="L4715" s="455">
        <f t="shared" ca="1" si="174"/>
        <v>-136171771092548.64</v>
      </c>
      <c r="M4715" s="471">
        <f t="shared" si="176"/>
        <v>0.05</v>
      </c>
      <c r="N4715" s="475">
        <f t="shared" si="177"/>
        <v>194555</v>
      </c>
    </row>
    <row r="4716" spans="7:14" ht="11.25" customHeight="1" x14ac:dyDescent="0.3">
      <c r="G4716" s="470"/>
      <c r="H4716" s="470">
        <v>4709</v>
      </c>
      <c r="I4716" s="455">
        <f t="shared" ca="1" si="175"/>
        <v>-136171771092548.64</v>
      </c>
      <c r="J4716" s="455">
        <f t="array" ref="J4716">IFERROR(INDEX('Retirement Calculator'!K:K,MATCH('Lorri 401b'!N4716,'Retirement Calculator'!A:A,0),0),0)</f>
        <v>0</v>
      </c>
      <c r="K4716" s="455">
        <f t="shared" ca="1" si="173"/>
        <v>-567382379552.28601</v>
      </c>
      <c r="L4716" s="455">
        <f t="shared" ca="1" si="174"/>
        <v>-136739153472100.92</v>
      </c>
      <c r="M4716" s="471">
        <f t="shared" si="176"/>
        <v>0.05</v>
      </c>
      <c r="N4716" s="475">
        <f t="shared" si="177"/>
        <v>194585</v>
      </c>
    </row>
    <row r="4717" spans="7:14" ht="11.25" customHeight="1" x14ac:dyDescent="0.3">
      <c r="G4717" s="470"/>
      <c r="H4717" s="470">
        <v>4710</v>
      </c>
      <c r="I4717" s="455">
        <f t="shared" ca="1" si="175"/>
        <v>-136739153472100.92</v>
      </c>
      <c r="J4717" s="455">
        <f t="array" ref="J4717">IFERROR(INDEX('Retirement Calculator'!K:K,MATCH('Lorri 401b'!N4717,'Retirement Calculator'!A:A,0),0),0)</f>
        <v>0</v>
      </c>
      <c r="K4717" s="455">
        <f t="shared" ca="1" si="173"/>
        <v>-569746472800.42053</v>
      </c>
      <c r="L4717" s="455">
        <f t="shared" ca="1" si="174"/>
        <v>-137308899944901.34</v>
      </c>
      <c r="M4717" s="471">
        <f t="shared" si="176"/>
        <v>0.05</v>
      </c>
      <c r="N4717" s="475">
        <f t="shared" si="177"/>
        <v>194616</v>
      </c>
    </row>
    <row r="4718" spans="7:14" ht="11.25" customHeight="1" x14ac:dyDescent="0.3">
      <c r="G4718" s="470"/>
      <c r="H4718" s="470">
        <v>4711</v>
      </c>
      <c r="I4718" s="455">
        <f t="shared" ca="1" si="175"/>
        <v>-137308899944901.34</v>
      </c>
      <c r="J4718" s="455">
        <f t="array" ref="J4718">IFERROR(INDEX('Retirement Calculator'!K:K,MATCH('Lorri 401b'!N4718,'Retirement Calculator'!A:A,0),0),0)</f>
        <v>0</v>
      </c>
      <c r="K4718" s="455">
        <f t="shared" ca="1" si="173"/>
        <v>-572120416437.08899</v>
      </c>
      <c r="L4718" s="455">
        <f t="shared" ca="1" si="174"/>
        <v>-137881020361338.44</v>
      </c>
      <c r="M4718" s="471">
        <f t="shared" si="176"/>
        <v>0.05</v>
      </c>
      <c r="N4718" s="475">
        <f t="shared" si="177"/>
        <v>194646</v>
      </c>
    </row>
    <row r="4719" spans="7:14" ht="11.25" customHeight="1" x14ac:dyDescent="0.3">
      <c r="G4719" s="470"/>
      <c r="H4719" s="470">
        <v>4712</v>
      </c>
      <c r="I4719" s="455">
        <f t="shared" ca="1" si="175"/>
        <v>-137881020361338.44</v>
      </c>
      <c r="J4719" s="455">
        <f t="array" ref="J4719">IFERROR(INDEX('Retirement Calculator'!K:K,MATCH('Lorri 401b'!N4719,'Retirement Calculator'!A:A,0),0),0)</f>
        <v>0</v>
      </c>
      <c r="K4719" s="455">
        <f t="shared" ca="1" si="173"/>
        <v>-574504251505.57678</v>
      </c>
      <c r="L4719" s="455">
        <f t="shared" ca="1" si="174"/>
        <v>-138455524612844.02</v>
      </c>
      <c r="M4719" s="471">
        <f t="shared" si="176"/>
        <v>0.05</v>
      </c>
      <c r="N4719" s="475">
        <f t="shared" si="177"/>
        <v>194677</v>
      </c>
    </row>
    <row r="4720" spans="7:14" ht="11.25" customHeight="1" x14ac:dyDescent="0.3">
      <c r="G4720" s="470"/>
      <c r="H4720" s="470">
        <v>4713</v>
      </c>
      <c r="I4720" s="455">
        <f t="shared" ca="1" si="175"/>
        <v>-138455524612844.02</v>
      </c>
      <c r="J4720" s="455">
        <f t="array" ref="J4720">IFERROR(INDEX('Retirement Calculator'!K:K,MATCH('Lorri 401b'!N4720,'Retirement Calculator'!A:A,0),0),0)</f>
        <v>0</v>
      </c>
      <c r="K4720" s="455">
        <f t="shared" ca="1" si="173"/>
        <v>-576898019220.18335</v>
      </c>
      <c r="L4720" s="455">
        <f t="shared" ca="1" si="174"/>
        <v>-139032422632064.2</v>
      </c>
      <c r="M4720" s="471">
        <f t="shared" si="176"/>
        <v>0.05</v>
      </c>
      <c r="N4720" s="475">
        <f t="shared" si="177"/>
        <v>194708</v>
      </c>
    </row>
    <row r="4721" spans="7:14" ht="11.25" customHeight="1" x14ac:dyDescent="0.3">
      <c r="G4721" s="470"/>
      <c r="H4721" s="470">
        <v>4714</v>
      </c>
      <c r="I4721" s="455">
        <f t="shared" ca="1" si="175"/>
        <v>-139032422632064.2</v>
      </c>
      <c r="J4721" s="455">
        <f t="array" ref="J4721">IFERROR(INDEX('Retirement Calculator'!K:K,MATCH('Lorri 401b'!N4721,'Retirement Calculator'!A:A,0),0),0)</f>
        <v>0</v>
      </c>
      <c r="K4721" s="455">
        <f t="shared" ca="1" si="173"/>
        <v>-579301760966.9342</v>
      </c>
      <c r="L4721" s="455">
        <f t="shared" ca="1" si="174"/>
        <v>-139611724393031.14</v>
      </c>
      <c r="M4721" s="471">
        <f t="shared" si="176"/>
        <v>0.05</v>
      </c>
      <c r="N4721" s="475">
        <f t="shared" si="177"/>
        <v>194736</v>
      </c>
    </row>
    <row r="4722" spans="7:14" ht="11.25" customHeight="1" x14ac:dyDescent="0.3">
      <c r="G4722" s="470"/>
      <c r="H4722" s="470">
        <v>4715</v>
      </c>
      <c r="I4722" s="455">
        <f t="shared" ca="1" si="175"/>
        <v>-139611724393031.14</v>
      </c>
      <c r="J4722" s="455">
        <f t="array" ref="J4722">IFERROR(INDEX('Retirement Calculator'!K:K,MATCH('Lorri 401b'!N4722,'Retirement Calculator'!A:A,0),0),0)</f>
        <v>0</v>
      </c>
      <c r="K4722" s="455">
        <f t="shared" ca="1" si="173"/>
        <v>-581715518304.29651</v>
      </c>
      <c r="L4722" s="455">
        <f t="shared" ca="1" si="174"/>
        <v>-140193439911335.44</v>
      </c>
      <c r="M4722" s="471">
        <f t="shared" si="176"/>
        <v>0.05</v>
      </c>
      <c r="N4722" s="475">
        <f t="shared" si="177"/>
        <v>194767</v>
      </c>
    </row>
    <row r="4723" spans="7:14" ht="11.25" customHeight="1" x14ac:dyDescent="0.3">
      <c r="G4723" s="470"/>
      <c r="H4723" s="470">
        <v>4716</v>
      </c>
      <c r="I4723" s="455">
        <f t="shared" ca="1" si="175"/>
        <v>-140193439911335.44</v>
      </c>
      <c r="J4723" s="455">
        <f t="array" ref="J4723">IFERROR(INDEX('Retirement Calculator'!K:K,MATCH('Lorri 401b'!N4723,'Retirement Calculator'!A:A,0),0),0)</f>
        <v>0</v>
      </c>
      <c r="K4723" s="455">
        <f t="shared" ca="1" si="173"/>
        <v>-584139332963.89758</v>
      </c>
      <c r="L4723" s="455">
        <f t="shared" ca="1" si="174"/>
        <v>-140777579244299.34</v>
      </c>
      <c r="M4723" s="471">
        <f t="shared" si="176"/>
        <v>0.05</v>
      </c>
      <c r="N4723" s="475">
        <f t="shared" si="177"/>
        <v>194797</v>
      </c>
    </row>
    <row r="4724" spans="7:14" ht="11.25" customHeight="1" x14ac:dyDescent="0.3">
      <c r="G4724" s="470"/>
      <c r="H4724" s="470">
        <v>4717</v>
      </c>
      <c r="I4724" s="455">
        <f t="shared" ca="1" si="175"/>
        <v>-140777579244299.34</v>
      </c>
      <c r="J4724" s="455">
        <f t="array" ref="J4724">IFERROR(INDEX('Retirement Calculator'!K:K,MATCH('Lorri 401b'!N4724,'Retirement Calculator'!A:A,0),0),0)</f>
        <v>0</v>
      </c>
      <c r="K4724" s="455">
        <f t="shared" ca="1" si="173"/>
        <v>-586573246851.24731</v>
      </c>
      <c r="L4724" s="455">
        <f t="shared" ca="1" si="174"/>
        <v>-141364152491150.59</v>
      </c>
      <c r="M4724" s="471">
        <f t="shared" si="176"/>
        <v>0.05</v>
      </c>
      <c r="N4724" s="475">
        <f t="shared" si="177"/>
        <v>194828</v>
      </c>
    </row>
    <row r="4725" spans="7:14" ht="11.25" customHeight="1" x14ac:dyDescent="0.3">
      <c r="G4725" s="470"/>
      <c r="H4725" s="470">
        <v>4718</v>
      </c>
      <c r="I4725" s="455">
        <f t="shared" ca="1" si="175"/>
        <v>-141364152491150.59</v>
      </c>
      <c r="J4725" s="455">
        <f t="array" ref="J4725">IFERROR(INDEX('Retirement Calculator'!K:K,MATCH('Lorri 401b'!N4725,'Retirement Calculator'!A:A,0),0),0)</f>
        <v>0</v>
      </c>
      <c r="K4725" s="455">
        <f t="shared" ca="1" si="173"/>
        <v>-589017302046.46082</v>
      </c>
      <c r="L4725" s="455">
        <f t="shared" ca="1" si="174"/>
        <v>-141953169793197.06</v>
      </c>
      <c r="M4725" s="471">
        <f t="shared" si="176"/>
        <v>0.05</v>
      </c>
      <c r="N4725" s="475">
        <f t="shared" si="177"/>
        <v>194858</v>
      </c>
    </row>
    <row r="4726" spans="7:14" ht="11.25" customHeight="1" x14ac:dyDescent="0.3">
      <c r="G4726" s="470"/>
      <c r="H4726" s="470">
        <v>4719</v>
      </c>
      <c r="I4726" s="455">
        <f t="shared" ca="1" si="175"/>
        <v>-141953169793197.06</v>
      </c>
      <c r="J4726" s="455">
        <f t="array" ref="J4726">IFERROR(INDEX('Retirement Calculator'!K:K,MATCH('Lorri 401b'!N4726,'Retirement Calculator'!A:A,0),0),0)</f>
        <v>0</v>
      </c>
      <c r="K4726" s="455">
        <f t="shared" ca="1" si="173"/>
        <v>-591471540804.98779</v>
      </c>
      <c r="L4726" s="455">
        <f t="shared" ca="1" si="174"/>
        <v>-142544641334002.06</v>
      </c>
      <c r="M4726" s="471">
        <f t="shared" si="176"/>
        <v>0.05</v>
      </c>
      <c r="N4726" s="475">
        <f t="shared" si="177"/>
        <v>194889</v>
      </c>
    </row>
    <row r="4727" spans="7:14" ht="11.25" customHeight="1" x14ac:dyDescent="0.3">
      <c r="G4727" s="470"/>
      <c r="H4727" s="470">
        <v>4720</v>
      </c>
      <c r="I4727" s="455">
        <f t="shared" ca="1" si="175"/>
        <v>-142544641334002.06</v>
      </c>
      <c r="J4727" s="455">
        <f t="array" ref="J4727">IFERROR(INDEX('Retirement Calculator'!K:K,MATCH('Lorri 401b'!N4727,'Retirement Calculator'!A:A,0),0),0)</f>
        <v>0</v>
      </c>
      <c r="K4727" s="455">
        <f t="shared" ca="1" si="173"/>
        <v>-593936005558.34192</v>
      </c>
      <c r="L4727" s="455">
        <f t="shared" ca="1" si="174"/>
        <v>-143138577339560.41</v>
      </c>
      <c r="M4727" s="471">
        <f t="shared" si="176"/>
        <v>0.05</v>
      </c>
      <c r="N4727" s="475">
        <f t="shared" si="177"/>
        <v>194920</v>
      </c>
    </row>
    <row r="4728" spans="7:14" ht="11.25" customHeight="1" x14ac:dyDescent="0.3">
      <c r="G4728" s="470"/>
      <c r="H4728" s="470">
        <v>4721</v>
      </c>
      <c r="I4728" s="455">
        <f t="shared" ca="1" si="175"/>
        <v>-143138577339560.41</v>
      </c>
      <c r="J4728" s="455">
        <f t="array" ref="J4728">IFERROR(INDEX('Retirement Calculator'!K:K,MATCH('Lorri 401b'!N4728,'Retirement Calculator'!A:A,0),0),0)</f>
        <v>0</v>
      </c>
      <c r="K4728" s="455">
        <f t="shared" ca="1" si="173"/>
        <v>-596410738914.83496</v>
      </c>
      <c r="L4728" s="455">
        <f t="shared" ca="1" si="174"/>
        <v>-143734988078475.25</v>
      </c>
      <c r="M4728" s="471">
        <f t="shared" si="176"/>
        <v>0.05</v>
      </c>
      <c r="N4728" s="475">
        <f t="shared" si="177"/>
        <v>194950</v>
      </c>
    </row>
    <row r="4729" spans="7:14" ht="11.25" customHeight="1" x14ac:dyDescent="0.3">
      <c r="G4729" s="470"/>
      <c r="H4729" s="470">
        <v>4722</v>
      </c>
      <c r="I4729" s="455">
        <f t="shared" ca="1" si="175"/>
        <v>-143734988078475.25</v>
      </c>
      <c r="J4729" s="455">
        <f t="array" ref="J4729">IFERROR(INDEX('Retirement Calculator'!K:K,MATCH('Lorri 401b'!N4729,'Retirement Calculator'!A:A,0),0),0)</f>
        <v>0</v>
      </c>
      <c r="K4729" s="455">
        <f t="shared" ca="1" si="173"/>
        <v>-598895783660.31348</v>
      </c>
      <c r="L4729" s="455">
        <f t="shared" ca="1" si="174"/>
        <v>-144333883862135.56</v>
      </c>
      <c r="M4729" s="471">
        <f t="shared" si="176"/>
        <v>0.05</v>
      </c>
      <c r="N4729" s="475">
        <f t="shared" si="177"/>
        <v>194981</v>
      </c>
    </row>
    <row r="4730" spans="7:14" ht="11.25" customHeight="1" x14ac:dyDescent="0.3">
      <c r="G4730" s="470"/>
      <c r="H4730" s="470">
        <v>4723</v>
      </c>
      <c r="I4730" s="455">
        <f t="shared" ca="1" si="175"/>
        <v>-144333883862135.56</v>
      </c>
      <c r="J4730" s="455">
        <f t="array" ref="J4730">IFERROR(INDEX('Retirement Calculator'!K:K,MATCH('Lorri 401b'!N4730,'Retirement Calculator'!A:A,0),0),0)</f>
        <v>0</v>
      </c>
      <c r="K4730" s="455">
        <f t="shared" ca="1" si="173"/>
        <v>-601391182758.89819</v>
      </c>
      <c r="L4730" s="455">
        <f t="shared" ca="1" si="174"/>
        <v>-144935275044894.47</v>
      </c>
      <c r="M4730" s="471">
        <f t="shared" si="176"/>
        <v>0.05</v>
      </c>
      <c r="N4730" s="475">
        <f t="shared" si="177"/>
        <v>195011</v>
      </c>
    </row>
    <row r="4731" spans="7:14" ht="11.25" customHeight="1" x14ac:dyDescent="0.3">
      <c r="G4731" s="470"/>
      <c r="H4731" s="470">
        <v>4724</v>
      </c>
      <c r="I4731" s="455">
        <f t="shared" ca="1" si="175"/>
        <v>-144935275044894.47</v>
      </c>
      <c r="J4731" s="455">
        <f t="array" ref="J4731">IFERROR(INDEX('Retirement Calculator'!K:K,MATCH('Lorri 401b'!N4731,'Retirement Calculator'!A:A,0),0),0)</f>
        <v>0</v>
      </c>
      <c r="K4731" s="455">
        <f t="shared" ca="1" si="173"/>
        <v>-603896979353.72693</v>
      </c>
      <c r="L4731" s="455">
        <f t="shared" ca="1" si="174"/>
        <v>-145539172024248.19</v>
      </c>
      <c r="M4731" s="471">
        <f t="shared" si="176"/>
        <v>0.05</v>
      </c>
      <c r="N4731" s="475">
        <f t="shared" si="177"/>
        <v>195042</v>
      </c>
    </row>
    <row r="4732" spans="7:14" ht="11.25" customHeight="1" x14ac:dyDescent="0.3">
      <c r="G4732" s="470"/>
      <c r="H4732" s="470">
        <v>4725</v>
      </c>
      <c r="I4732" s="455">
        <f t="shared" ca="1" si="175"/>
        <v>-145539172024248.19</v>
      </c>
      <c r="J4732" s="455">
        <f t="array" ref="J4732">IFERROR(INDEX('Retirement Calculator'!K:K,MATCH('Lorri 401b'!N4732,'Retirement Calculator'!A:A,0),0),0)</f>
        <v>0</v>
      </c>
      <c r="K4732" s="455">
        <f t="shared" ca="1" si="173"/>
        <v>-606413216767.70081</v>
      </c>
      <c r="L4732" s="455">
        <f t="shared" ca="1" si="174"/>
        <v>-146145585241015.88</v>
      </c>
      <c r="M4732" s="471">
        <f t="shared" si="176"/>
        <v>0.05</v>
      </c>
      <c r="N4732" s="475">
        <f t="shared" si="177"/>
        <v>195073</v>
      </c>
    </row>
    <row r="4733" spans="7:14" ht="11.25" customHeight="1" x14ac:dyDescent="0.3">
      <c r="G4733" s="470"/>
      <c r="H4733" s="470">
        <v>4726</v>
      </c>
      <c r="I4733" s="455">
        <f t="shared" ca="1" si="175"/>
        <v>-146145585241015.88</v>
      </c>
      <c r="J4733" s="455">
        <f t="array" ref="J4733">IFERROR(INDEX('Retirement Calculator'!K:K,MATCH('Lorri 401b'!N4733,'Retirement Calculator'!A:A,0),0),0)</f>
        <v>0</v>
      </c>
      <c r="K4733" s="455">
        <f t="shared" ca="1" si="173"/>
        <v>-608939938504.23279</v>
      </c>
      <c r="L4733" s="455">
        <f t="shared" ca="1" si="174"/>
        <v>-146754525179520.09</v>
      </c>
      <c r="M4733" s="471">
        <f t="shared" si="176"/>
        <v>0.05</v>
      </c>
      <c r="N4733" s="475">
        <f t="shared" si="177"/>
        <v>195101</v>
      </c>
    </row>
    <row r="4734" spans="7:14" ht="11.25" customHeight="1" x14ac:dyDescent="0.3">
      <c r="G4734" s="470"/>
      <c r="H4734" s="470">
        <v>4727</v>
      </c>
      <c r="I4734" s="455">
        <f t="shared" ca="1" si="175"/>
        <v>-146754525179520.09</v>
      </c>
      <c r="J4734" s="455">
        <f t="array" ref="J4734">IFERROR(INDEX('Retirement Calculator'!K:K,MATCH('Lorri 401b'!N4734,'Retirement Calculator'!A:A,0),0),0)</f>
        <v>0</v>
      </c>
      <c r="K4734" s="455">
        <f t="shared" ca="1" si="173"/>
        <v>-611477188248.00037</v>
      </c>
      <c r="L4734" s="455">
        <f t="shared" ca="1" si="174"/>
        <v>-147366002367768.09</v>
      </c>
      <c r="M4734" s="471">
        <f t="shared" si="176"/>
        <v>0.05</v>
      </c>
      <c r="N4734" s="475">
        <f t="shared" si="177"/>
        <v>195132</v>
      </c>
    </row>
    <row r="4735" spans="7:14" ht="11.25" customHeight="1" x14ac:dyDescent="0.3">
      <c r="G4735" s="470"/>
      <c r="H4735" s="470">
        <v>4728</v>
      </c>
      <c r="I4735" s="455">
        <f t="shared" ca="1" si="175"/>
        <v>-147366002367768.09</v>
      </c>
      <c r="J4735" s="455">
        <f t="array" ref="J4735">IFERROR(INDEX('Retirement Calculator'!K:K,MATCH('Lorri 401b'!N4735,'Retirement Calculator'!A:A,0),0),0)</f>
        <v>0</v>
      </c>
      <c r="K4735" s="455">
        <f t="shared" ca="1" si="173"/>
        <v>-614025009865.70044</v>
      </c>
      <c r="L4735" s="455">
        <f t="shared" ca="1" si="174"/>
        <v>-147980027377633.78</v>
      </c>
      <c r="M4735" s="471">
        <f t="shared" si="176"/>
        <v>0.05</v>
      </c>
      <c r="N4735" s="475">
        <f t="shared" si="177"/>
        <v>195162</v>
      </c>
    </row>
    <row r="4736" spans="7:14" ht="11.25" customHeight="1" x14ac:dyDescent="0.3">
      <c r="G4736" s="470"/>
      <c r="H4736" s="470">
        <v>4729</v>
      </c>
      <c r="I4736" s="455">
        <f t="shared" ca="1" si="175"/>
        <v>-147980027377633.78</v>
      </c>
      <c r="J4736" s="455">
        <f t="array" ref="J4736">IFERROR(INDEX('Retirement Calculator'!K:K,MATCH('Lorri 401b'!N4736,'Retirement Calculator'!A:A,0),0),0)</f>
        <v>0</v>
      </c>
      <c r="K4736" s="455">
        <f t="shared" ca="1" si="173"/>
        <v>-616583447406.80737</v>
      </c>
      <c r="L4736" s="455">
        <f t="shared" ca="1" si="174"/>
        <v>-148596610825040.59</v>
      </c>
      <c r="M4736" s="471">
        <f t="shared" si="176"/>
        <v>0.05</v>
      </c>
      <c r="N4736" s="475">
        <f t="shared" si="177"/>
        <v>195193</v>
      </c>
    </row>
    <row r="4737" spans="7:14" ht="11.25" customHeight="1" x14ac:dyDescent="0.3">
      <c r="G4737" s="470"/>
      <c r="H4737" s="470">
        <v>4730</v>
      </c>
      <c r="I4737" s="455">
        <f t="shared" ca="1" si="175"/>
        <v>-148596610825040.59</v>
      </c>
      <c r="J4737" s="455">
        <f t="array" ref="J4737">IFERROR(INDEX('Retirement Calculator'!K:K,MATCH('Lorri 401b'!N4737,'Retirement Calculator'!A:A,0),0),0)</f>
        <v>0</v>
      </c>
      <c r="K4737" s="455">
        <f t="shared" ca="1" si="173"/>
        <v>-619152545104.33582</v>
      </c>
      <c r="L4737" s="455">
        <f t="shared" ca="1" si="174"/>
        <v>-149215763370144.94</v>
      </c>
      <c r="M4737" s="471">
        <f t="shared" si="176"/>
        <v>0.05</v>
      </c>
      <c r="N4737" s="475">
        <f t="shared" si="177"/>
        <v>195223</v>
      </c>
    </row>
    <row r="4738" spans="7:14" ht="11.25" customHeight="1" x14ac:dyDescent="0.3">
      <c r="G4738" s="470"/>
      <c r="H4738" s="470">
        <v>4731</v>
      </c>
      <c r="I4738" s="455">
        <f t="shared" ca="1" si="175"/>
        <v>-149215763370144.94</v>
      </c>
      <c r="J4738" s="455">
        <f t="array" ref="J4738">IFERROR(INDEX('Retirement Calculator'!K:K,MATCH('Lorri 401b'!N4738,'Retirement Calculator'!A:A,0),0),0)</f>
        <v>0</v>
      </c>
      <c r="K4738" s="455">
        <f t="shared" ca="1" si="173"/>
        <v>-621732347375.60388</v>
      </c>
      <c r="L4738" s="455">
        <f t="shared" ca="1" si="174"/>
        <v>-149837495717520.53</v>
      </c>
      <c r="M4738" s="471">
        <f t="shared" si="176"/>
        <v>0.05</v>
      </c>
      <c r="N4738" s="475">
        <f t="shared" si="177"/>
        <v>195254</v>
      </c>
    </row>
    <row r="4739" spans="7:14" ht="11.25" customHeight="1" x14ac:dyDescent="0.3">
      <c r="G4739" s="470"/>
      <c r="H4739" s="470">
        <v>4732</v>
      </c>
      <c r="I4739" s="455">
        <f t="shared" ca="1" si="175"/>
        <v>-149837495717520.53</v>
      </c>
      <c r="J4739" s="455">
        <f t="array" ref="J4739">IFERROR(INDEX('Retirement Calculator'!K:K,MATCH('Lorri 401b'!N4739,'Retirement Calculator'!A:A,0),0),0)</f>
        <v>0</v>
      </c>
      <c r="K4739" s="455">
        <f t="shared" ca="1" si="173"/>
        <v>-624322898823.0022</v>
      </c>
      <c r="L4739" s="455">
        <f t="shared" ca="1" si="174"/>
        <v>-150461818616343.53</v>
      </c>
      <c r="M4739" s="471">
        <f t="shared" si="176"/>
        <v>0.05</v>
      </c>
      <c r="N4739" s="475">
        <f t="shared" si="177"/>
        <v>195285</v>
      </c>
    </row>
    <row r="4740" spans="7:14" ht="11.25" customHeight="1" x14ac:dyDescent="0.3">
      <c r="G4740" s="470"/>
      <c r="H4740" s="470">
        <v>4733</v>
      </c>
      <c r="I4740" s="455">
        <f t="shared" ca="1" si="175"/>
        <v>-150461818616343.53</v>
      </c>
      <c r="J4740" s="455">
        <f t="array" ref="J4740">IFERROR(INDEX('Retirement Calculator'!K:K,MATCH('Lorri 401b'!N4740,'Retirement Calculator'!A:A,0),0),0)</f>
        <v>0</v>
      </c>
      <c r="K4740" s="455">
        <f t="shared" ca="1" si="173"/>
        <v>-626924244234.76465</v>
      </c>
      <c r="L4740" s="455">
        <f t="shared" ca="1" si="174"/>
        <v>-151088742860578.28</v>
      </c>
      <c r="M4740" s="471">
        <f t="shared" si="176"/>
        <v>0.05</v>
      </c>
      <c r="N4740" s="475">
        <f t="shared" si="177"/>
        <v>195315</v>
      </c>
    </row>
    <row r="4741" spans="7:14" ht="11.25" customHeight="1" x14ac:dyDescent="0.3">
      <c r="G4741" s="470"/>
      <c r="H4741" s="470">
        <v>4734</v>
      </c>
      <c r="I4741" s="455">
        <f t="shared" ca="1" si="175"/>
        <v>-151088742860578.28</v>
      </c>
      <c r="J4741" s="455">
        <f t="array" ref="J4741">IFERROR(INDEX('Retirement Calculator'!K:K,MATCH('Lorri 401b'!N4741,'Retirement Calculator'!A:A,0),0),0)</f>
        <v>0</v>
      </c>
      <c r="K4741" s="455">
        <f t="shared" ca="1" si="173"/>
        <v>-629536428585.7428</v>
      </c>
      <c r="L4741" s="455">
        <f t="shared" ca="1" si="174"/>
        <v>-151718279289164.03</v>
      </c>
      <c r="M4741" s="471">
        <f t="shared" si="176"/>
        <v>0.05</v>
      </c>
      <c r="N4741" s="475">
        <f t="shared" si="177"/>
        <v>195346</v>
      </c>
    </row>
    <row r="4742" spans="7:14" ht="11.25" customHeight="1" x14ac:dyDescent="0.3">
      <c r="G4742" s="470"/>
      <c r="H4742" s="470">
        <v>4735</v>
      </c>
      <c r="I4742" s="455">
        <f t="shared" ca="1" si="175"/>
        <v>-151718279289164.03</v>
      </c>
      <c r="J4742" s="455">
        <f t="array" ref="J4742">IFERROR(INDEX('Retirement Calculator'!K:K,MATCH('Lorri 401b'!N4742,'Retirement Calculator'!A:A,0),0),0)</f>
        <v>0</v>
      </c>
      <c r="K4742" s="455">
        <f t="shared" ca="1" si="173"/>
        <v>-632159497038.18347</v>
      </c>
      <c r="L4742" s="455">
        <f t="shared" ca="1" si="174"/>
        <v>-152350438786202.22</v>
      </c>
      <c r="M4742" s="471">
        <f t="shared" si="176"/>
        <v>0.05</v>
      </c>
      <c r="N4742" s="475">
        <f t="shared" si="177"/>
        <v>195376</v>
      </c>
    </row>
    <row r="4743" spans="7:14" ht="11.25" customHeight="1" x14ac:dyDescent="0.3">
      <c r="G4743" s="470"/>
      <c r="H4743" s="470">
        <v>4736</v>
      </c>
      <c r="I4743" s="455">
        <f t="shared" ca="1" si="175"/>
        <v>-152350438786202.22</v>
      </c>
      <c r="J4743" s="455">
        <f t="array" ref="J4743">IFERROR(INDEX('Retirement Calculator'!K:K,MATCH('Lorri 401b'!N4743,'Retirement Calculator'!A:A,0),0),0)</f>
        <v>0</v>
      </c>
      <c r="K4743" s="455">
        <f t="shared" ca="1" si="173"/>
        <v>-634793494942.50928</v>
      </c>
      <c r="L4743" s="455">
        <f t="shared" ca="1" si="174"/>
        <v>-152985232281144.72</v>
      </c>
      <c r="M4743" s="471">
        <f t="shared" si="176"/>
        <v>0.05</v>
      </c>
      <c r="N4743" s="475">
        <f t="shared" si="177"/>
        <v>195407</v>
      </c>
    </row>
    <row r="4744" spans="7:14" ht="11.25" customHeight="1" x14ac:dyDescent="0.3">
      <c r="G4744" s="470"/>
      <c r="H4744" s="470">
        <v>4737</v>
      </c>
      <c r="I4744" s="455">
        <f t="shared" ca="1" si="175"/>
        <v>-152985232281144.72</v>
      </c>
      <c r="J4744" s="455">
        <f t="array" ref="J4744">IFERROR(INDEX('Retirement Calculator'!K:K,MATCH('Lorri 401b'!N4744,'Retirement Calculator'!A:A,0),0),0)</f>
        <v>0</v>
      </c>
      <c r="K4744" s="455">
        <f t="shared" ca="1" si="173"/>
        <v>-637438467838.10303</v>
      </c>
      <c r="L4744" s="455">
        <f t="shared" ca="1" si="174"/>
        <v>-153622670748982.81</v>
      </c>
      <c r="M4744" s="471">
        <f t="shared" si="176"/>
        <v>0.05</v>
      </c>
      <c r="N4744" s="475">
        <f t="shared" si="177"/>
        <v>195438</v>
      </c>
    </row>
    <row r="4745" spans="7:14" ht="11.25" customHeight="1" x14ac:dyDescent="0.3">
      <c r="G4745" s="470"/>
      <c r="H4745" s="470">
        <v>4738</v>
      </c>
      <c r="I4745" s="455">
        <f t="shared" ca="1" si="175"/>
        <v>-153622670748982.81</v>
      </c>
      <c r="J4745" s="455">
        <f t="array" ref="J4745">IFERROR(INDEX('Retirement Calculator'!K:K,MATCH('Lorri 401b'!N4745,'Retirement Calculator'!A:A,0),0),0)</f>
        <v>0</v>
      </c>
      <c r="K4745" s="455">
        <f t="shared" ca="1" si="173"/>
        <v>-640094461454.09509</v>
      </c>
      <c r="L4745" s="455">
        <f t="shared" ca="1" si="174"/>
        <v>-154262765210436.91</v>
      </c>
      <c r="M4745" s="471">
        <f t="shared" si="176"/>
        <v>0.05</v>
      </c>
      <c r="N4745" s="475">
        <f t="shared" si="177"/>
        <v>195466</v>
      </c>
    </row>
    <row r="4746" spans="7:14" ht="11.25" customHeight="1" x14ac:dyDescent="0.3">
      <c r="G4746" s="470"/>
      <c r="H4746" s="470">
        <v>4739</v>
      </c>
      <c r="I4746" s="455">
        <f t="shared" ca="1" si="175"/>
        <v>-154262765210436.91</v>
      </c>
      <c r="J4746" s="455">
        <f t="array" ref="J4746">IFERROR(INDEX('Retirement Calculator'!K:K,MATCH('Lorri 401b'!N4746,'Retirement Calculator'!A:A,0),0),0)</f>
        <v>0</v>
      </c>
      <c r="K4746" s="455">
        <f t="shared" ca="1" si="173"/>
        <v>-642761521710.15381</v>
      </c>
      <c r="L4746" s="455">
        <f t="shared" ca="1" si="174"/>
        <v>-154905526732147.06</v>
      </c>
      <c r="M4746" s="471">
        <f t="shared" si="176"/>
        <v>0.05</v>
      </c>
      <c r="N4746" s="475">
        <f t="shared" si="177"/>
        <v>195497</v>
      </c>
    </row>
    <row r="4747" spans="7:14" ht="11.25" customHeight="1" x14ac:dyDescent="0.3">
      <c r="G4747" s="470"/>
      <c r="H4747" s="470">
        <v>4740</v>
      </c>
      <c r="I4747" s="455">
        <f t="shared" ca="1" si="175"/>
        <v>-154905526732147.06</v>
      </c>
      <c r="J4747" s="455">
        <f t="array" ref="J4747">IFERROR(INDEX('Retirement Calculator'!K:K,MATCH('Lorri 401b'!N4747,'Retirement Calculator'!A:A,0),0),0)</f>
        <v>0</v>
      </c>
      <c r="K4747" s="455">
        <f t="shared" ca="1" si="173"/>
        <v>-645439694717.27942</v>
      </c>
      <c r="L4747" s="455">
        <f t="shared" ca="1" si="174"/>
        <v>-155550966426864.34</v>
      </c>
      <c r="M4747" s="471">
        <f t="shared" si="176"/>
        <v>0.05</v>
      </c>
      <c r="N4747" s="475">
        <f t="shared" si="177"/>
        <v>195527</v>
      </c>
    </row>
    <row r="4748" spans="7:14" ht="11.25" customHeight="1" x14ac:dyDescent="0.3">
      <c r="G4748" s="470"/>
      <c r="H4748" s="470">
        <v>4741</v>
      </c>
      <c r="I4748" s="455">
        <f t="shared" ca="1" si="175"/>
        <v>-155550966426864.34</v>
      </c>
      <c r="J4748" s="455">
        <f t="array" ref="J4748">IFERROR(INDEX('Retirement Calculator'!K:K,MATCH('Lorri 401b'!N4748,'Retirement Calculator'!A:A,0),0),0)</f>
        <v>0</v>
      </c>
      <c r="K4748" s="455">
        <f t="shared" ca="1" si="173"/>
        <v>-648129026778.60144</v>
      </c>
      <c r="L4748" s="455">
        <f t="shared" ca="1" si="174"/>
        <v>-156199095453642.94</v>
      </c>
      <c r="M4748" s="471">
        <f t="shared" si="176"/>
        <v>0.05</v>
      </c>
      <c r="N4748" s="475">
        <f t="shared" si="177"/>
        <v>195558</v>
      </c>
    </row>
    <row r="4749" spans="7:14" ht="11.25" customHeight="1" x14ac:dyDescent="0.3">
      <c r="G4749" s="470"/>
      <c r="H4749" s="470">
        <v>4742</v>
      </c>
      <c r="I4749" s="455">
        <f t="shared" ca="1" si="175"/>
        <v>-156199095453642.94</v>
      </c>
      <c r="J4749" s="455">
        <f t="array" ref="J4749">IFERROR(INDEX('Retirement Calculator'!K:K,MATCH('Lorri 401b'!N4749,'Retirement Calculator'!A:A,0),0),0)</f>
        <v>0</v>
      </c>
      <c r="K4749" s="455">
        <f t="shared" ca="1" si="173"/>
        <v>-650829564390.17896</v>
      </c>
      <c r="L4749" s="455">
        <f t="shared" ca="1" si="174"/>
        <v>-156849925018033.13</v>
      </c>
      <c r="M4749" s="471">
        <f t="shared" si="176"/>
        <v>0.05</v>
      </c>
      <c r="N4749" s="475">
        <f t="shared" si="177"/>
        <v>195588</v>
      </c>
    </row>
    <row r="4750" spans="7:14" ht="11.25" customHeight="1" x14ac:dyDescent="0.3">
      <c r="G4750" s="470"/>
      <c r="H4750" s="470">
        <v>4743</v>
      </c>
      <c r="I4750" s="455">
        <f t="shared" ca="1" si="175"/>
        <v>-156849925018033.13</v>
      </c>
      <c r="J4750" s="455">
        <f t="array" ref="J4750">IFERROR(INDEX('Retirement Calculator'!K:K,MATCH('Lorri 401b'!N4750,'Retirement Calculator'!A:A,0),0),0)</f>
        <v>0</v>
      </c>
      <c r="K4750" s="455">
        <f t="shared" ca="1" si="173"/>
        <v>-653541354241.80469</v>
      </c>
      <c r="L4750" s="455">
        <f t="shared" ca="1" si="174"/>
        <v>-157503466372274.94</v>
      </c>
      <c r="M4750" s="471">
        <f t="shared" si="176"/>
        <v>0.05</v>
      </c>
      <c r="N4750" s="475">
        <f t="shared" si="177"/>
        <v>195619</v>
      </c>
    </row>
    <row r="4751" spans="7:14" ht="11.25" customHeight="1" x14ac:dyDescent="0.3">
      <c r="G4751" s="470"/>
      <c r="H4751" s="470">
        <v>4744</v>
      </c>
      <c r="I4751" s="455">
        <f t="shared" ca="1" si="175"/>
        <v>-157503466372274.94</v>
      </c>
      <c r="J4751" s="455">
        <f t="array" ref="J4751">IFERROR(INDEX('Retirement Calculator'!K:K,MATCH('Lorri 401b'!N4751,'Retirement Calculator'!A:A,0),0),0)</f>
        <v>0</v>
      </c>
      <c r="K4751" s="455">
        <f t="shared" ca="1" si="173"/>
        <v>-656264443217.81226</v>
      </c>
      <c r="L4751" s="455">
        <f t="shared" ca="1" si="174"/>
        <v>-158159730815492.75</v>
      </c>
      <c r="M4751" s="471">
        <f t="shared" si="176"/>
        <v>0.05</v>
      </c>
      <c r="N4751" s="475">
        <f t="shared" si="177"/>
        <v>195650</v>
      </c>
    </row>
    <row r="4752" spans="7:14" ht="11.25" customHeight="1" x14ac:dyDescent="0.3">
      <c r="G4752" s="470"/>
      <c r="H4752" s="470">
        <v>4745</v>
      </c>
      <c r="I4752" s="455">
        <f t="shared" ca="1" si="175"/>
        <v>-158159730815492.75</v>
      </c>
      <c r="J4752" s="455">
        <f t="array" ref="J4752">IFERROR(INDEX('Retirement Calculator'!K:K,MATCH('Lorri 401b'!N4752,'Retirement Calculator'!A:A,0),0),0)</f>
        <v>0</v>
      </c>
      <c r="K4752" s="455">
        <f t="shared" ca="1" si="173"/>
        <v>-658998878397.88647</v>
      </c>
      <c r="L4752" s="455">
        <f t="shared" ca="1" si="174"/>
        <v>-158818729693890.63</v>
      </c>
      <c r="M4752" s="471">
        <f t="shared" si="176"/>
        <v>0.05</v>
      </c>
      <c r="N4752" s="475">
        <f t="shared" si="177"/>
        <v>195680</v>
      </c>
    </row>
    <row r="4753" spans="7:14" ht="11.25" customHeight="1" x14ac:dyDescent="0.3">
      <c r="G4753" s="470"/>
      <c r="H4753" s="470">
        <v>4746</v>
      </c>
      <c r="I4753" s="455">
        <f t="shared" ca="1" si="175"/>
        <v>-158818729693890.63</v>
      </c>
      <c r="J4753" s="455">
        <f t="array" ref="J4753">IFERROR(INDEX('Retirement Calculator'!K:K,MATCH('Lorri 401b'!N4753,'Retirement Calculator'!A:A,0),0),0)</f>
        <v>0</v>
      </c>
      <c r="K4753" s="455">
        <f t="shared" ca="1" si="173"/>
        <v>-661744707057.87756</v>
      </c>
      <c r="L4753" s="455">
        <f t="shared" ca="1" si="174"/>
        <v>-159480474400948.5</v>
      </c>
      <c r="M4753" s="471">
        <f t="shared" si="176"/>
        <v>0.05</v>
      </c>
      <c r="N4753" s="475">
        <f t="shared" si="177"/>
        <v>195711</v>
      </c>
    </row>
    <row r="4754" spans="7:14" ht="11.25" customHeight="1" x14ac:dyDescent="0.3">
      <c r="G4754" s="470"/>
      <c r="H4754" s="470">
        <v>4747</v>
      </c>
      <c r="I4754" s="455">
        <f t="shared" ca="1" si="175"/>
        <v>-159480474400948.5</v>
      </c>
      <c r="J4754" s="455">
        <f t="array" ref="J4754">IFERROR(INDEX('Retirement Calculator'!K:K,MATCH('Lorri 401b'!N4754,'Retirement Calculator'!A:A,0),0),0)</f>
        <v>0</v>
      </c>
      <c r="K4754" s="455">
        <f t="shared" ca="1" si="173"/>
        <v>-664501976670.61877</v>
      </c>
      <c r="L4754" s="455">
        <f t="shared" ca="1" si="174"/>
        <v>-160144976377619.13</v>
      </c>
      <c r="M4754" s="471">
        <f t="shared" si="176"/>
        <v>0.05</v>
      </c>
      <c r="N4754" s="475">
        <f t="shared" si="177"/>
        <v>195741</v>
      </c>
    </row>
    <row r="4755" spans="7:14" ht="11.25" customHeight="1" x14ac:dyDescent="0.3">
      <c r="G4755" s="470"/>
      <c r="H4755" s="470">
        <v>4748</v>
      </c>
      <c r="I4755" s="455">
        <f t="shared" ca="1" si="175"/>
        <v>-160144976377619.13</v>
      </c>
      <c r="J4755" s="455">
        <f t="array" ref="J4755">IFERROR(INDEX('Retirement Calculator'!K:K,MATCH('Lorri 401b'!N4755,'Retirement Calculator'!A:A,0),0),0)</f>
        <v>0</v>
      </c>
      <c r="K4755" s="455">
        <f t="shared" ca="1" si="173"/>
        <v>-667270734906.74634</v>
      </c>
      <c r="L4755" s="455">
        <f t="shared" ca="1" si="174"/>
        <v>-160812247112525.88</v>
      </c>
      <c r="M4755" s="471">
        <f t="shared" si="176"/>
        <v>0.05</v>
      </c>
      <c r="N4755" s="475">
        <f t="shared" si="177"/>
        <v>195772</v>
      </c>
    </row>
    <row r="4756" spans="7:14" ht="11.25" customHeight="1" x14ac:dyDescent="0.3">
      <c r="G4756" s="470"/>
      <c r="H4756" s="470">
        <v>4749</v>
      </c>
      <c r="I4756" s="455">
        <f t="shared" ca="1" si="175"/>
        <v>-160812247112525.88</v>
      </c>
      <c r="J4756" s="455">
        <f t="array" ref="J4756">IFERROR(INDEX('Retirement Calculator'!K:K,MATCH('Lorri 401b'!N4756,'Retirement Calculator'!A:A,0),0),0)</f>
        <v>0</v>
      </c>
      <c r="K4756" s="455">
        <f t="shared" ca="1" si="173"/>
        <v>-670051029635.52441</v>
      </c>
      <c r="L4756" s="455">
        <f t="shared" ca="1" si="174"/>
        <v>-161482298142161.41</v>
      </c>
      <c r="M4756" s="471">
        <f t="shared" si="176"/>
        <v>0.05</v>
      </c>
      <c r="N4756" s="475">
        <f t="shared" si="177"/>
        <v>195803</v>
      </c>
    </row>
    <row r="4757" spans="7:14" ht="11.25" customHeight="1" x14ac:dyDescent="0.3">
      <c r="G4757" s="470"/>
      <c r="H4757" s="470">
        <v>4750</v>
      </c>
      <c r="I4757" s="455">
        <f t="shared" ca="1" si="175"/>
        <v>-161482298142161.41</v>
      </c>
      <c r="J4757" s="455">
        <f t="array" ref="J4757">IFERROR(INDEX('Retirement Calculator'!K:K,MATCH('Lorri 401b'!N4757,'Retirement Calculator'!A:A,0),0),0)</f>
        <v>0</v>
      </c>
      <c r="K4757" s="455">
        <f t="shared" ca="1" si="173"/>
        <v>-672842908925.67249</v>
      </c>
      <c r="L4757" s="455">
        <f t="shared" ca="1" si="174"/>
        <v>-162155141051087.09</v>
      </c>
      <c r="M4757" s="471">
        <f t="shared" si="176"/>
        <v>0.05</v>
      </c>
      <c r="N4757" s="475">
        <f t="shared" si="177"/>
        <v>195832</v>
      </c>
    </row>
    <row r="4758" spans="7:14" ht="11.25" customHeight="1" x14ac:dyDescent="0.3">
      <c r="G4758" s="470"/>
      <c r="H4758" s="470">
        <v>4751</v>
      </c>
      <c r="I4758" s="455">
        <f t="shared" ca="1" si="175"/>
        <v>-162155141051087.09</v>
      </c>
      <c r="J4758" s="455">
        <f t="array" ref="J4758">IFERROR(INDEX('Retirement Calculator'!K:K,MATCH('Lorri 401b'!N4758,'Retirement Calculator'!A:A,0),0),0)</f>
        <v>0</v>
      </c>
      <c r="K4758" s="455">
        <f t="shared" ca="1" si="173"/>
        <v>-675646421046.19617</v>
      </c>
      <c r="L4758" s="455">
        <f t="shared" ca="1" si="174"/>
        <v>-162830787472133.28</v>
      </c>
      <c r="M4758" s="471">
        <f t="shared" si="176"/>
        <v>0.05</v>
      </c>
      <c r="N4758" s="475">
        <f t="shared" si="177"/>
        <v>195863</v>
      </c>
    </row>
    <row r="4759" spans="7:14" ht="11.25" customHeight="1" x14ac:dyDescent="0.3">
      <c r="G4759" s="470"/>
      <c r="H4759" s="470">
        <v>4752</v>
      </c>
      <c r="I4759" s="455">
        <f t="shared" ca="1" si="175"/>
        <v>-162830787472133.28</v>
      </c>
      <c r="J4759" s="455">
        <f t="array" ref="J4759">IFERROR(INDEX('Retirement Calculator'!K:K,MATCH('Lorri 401b'!N4759,'Retirement Calculator'!A:A,0),0),0)</f>
        <v>0</v>
      </c>
      <c r="K4759" s="455">
        <f t="shared" ca="1" si="173"/>
        <v>-678461614467.22205</v>
      </c>
      <c r="L4759" s="455">
        <f t="shared" ca="1" si="174"/>
        <v>-163509249086600.5</v>
      </c>
      <c r="M4759" s="471">
        <f t="shared" si="176"/>
        <v>0.05</v>
      </c>
      <c r="N4759" s="475">
        <f t="shared" si="177"/>
        <v>195893</v>
      </c>
    </row>
    <row r="4760" spans="7:14" ht="11.25" customHeight="1" x14ac:dyDescent="0.3">
      <c r="G4760" s="470"/>
      <c r="H4760" s="470">
        <v>4753</v>
      </c>
      <c r="I4760" s="455">
        <f t="shared" ca="1" si="175"/>
        <v>-163509249086600.5</v>
      </c>
      <c r="J4760" s="455">
        <f t="array" ref="J4760">IFERROR(INDEX('Retirement Calculator'!K:K,MATCH('Lorri 401b'!N4760,'Retirement Calculator'!A:A,0),0),0)</f>
        <v>0</v>
      </c>
      <c r="K4760" s="455">
        <f t="shared" ca="1" si="173"/>
        <v>-681288537860.83545</v>
      </c>
      <c r="L4760" s="455">
        <f t="shared" ca="1" si="174"/>
        <v>-164190537624461.34</v>
      </c>
      <c r="M4760" s="471">
        <f t="shared" si="176"/>
        <v>0.05</v>
      </c>
      <c r="N4760" s="475">
        <f t="shared" si="177"/>
        <v>195924</v>
      </c>
    </row>
    <row r="4761" spans="7:14" ht="11.25" customHeight="1" x14ac:dyDescent="0.3">
      <c r="G4761" s="470"/>
      <c r="H4761" s="470">
        <v>4754</v>
      </c>
      <c r="I4761" s="455">
        <f t="shared" ca="1" si="175"/>
        <v>-164190537624461.34</v>
      </c>
      <c r="J4761" s="455">
        <f t="array" ref="J4761">IFERROR(INDEX('Retirement Calculator'!K:K,MATCH('Lorri 401b'!N4761,'Retirement Calculator'!A:A,0),0),0)</f>
        <v>0</v>
      </c>
      <c r="K4761" s="455">
        <f t="shared" ca="1" si="173"/>
        <v>-684127240101.92224</v>
      </c>
      <c r="L4761" s="455">
        <f t="shared" ca="1" si="174"/>
        <v>-164874664864563.28</v>
      </c>
      <c r="M4761" s="471">
        <f t="shared" si="176"/>
        <v>0.05</v>
      </c>
      <c r="N4761" s="475">
        <f t="shared" si="177"/>
        <v>195954</v>
      </c>
    </row>
    <row r="4762" spans="7:14" ht="11.25" customHeight="1" x14ac:dyDescent="0.3">
      <c r="G4762" s="470"/>
      <c r="H4762" s="470">
        <v>4755</v>
      </c>
      <c r="I4762" s="455">
        <f t="shared" ca="1" si="175"/>
        <v>-164874664864563.28</v>
      </c>
      <c r="J4762" s="455">
        <f t="array" ref="J4762">IFERROR(INDEX('Retirement Calculator'!K:K,MATCH('Lorri 401b'!N4762,'Retirement Calculator'!A:A,0),0),0)</f>
        <v>0</v>
      </c>
      <c r="K4762" s="455">
        <f t="shared" ca="1" si="173"/>
        <v>-686977770269.01367</v>
      </c>
      <c r="L4762" s="455">
        <f t="shared" ca="1" si="174"/>
        <v>-165561642634832.28</v>
      </c>
      <c r="M4762" s="471">
        <f t="shared" si="176"/>
        <v>0.05</v>
      </c>
      <c r="N4762" s="475">
        <f t="shared" si="177"/>
        <v>195985</v>
      </c>
    </row>
    <row r="4763" spans="7:14" ht="11.25" customHeight="1" x14ac:dyDescent="0.3">
      <c r="G4763" s="470"/>
      <c r="H4763" s="470">
        <v>4756</v>
      </c>
      <c r="I4763" s="455">
        <f t="shared" ca="1" si="175"/>
        <v>-165561642634832.28</v>
      </c>
      <c r="J4763" s="455">
        <f t="array" ref="J4763">IFERROR(INDEX('Retirement Calculator'!K:K,MATCH('Lorri 401b'!N4763,'Retirement Calculator'!A:A,0),0),0)</f>
        <v>0</v>
      </c>
      <c r="K4763" s="455">
        <f t="shared" ca="1" si="173"/>
        <v>-689840177645.13452</v>
      </c>
      <c r="L4763" s="455">
        <f t="shared" ca="1" si="174"/>
        <v>-166251482812477.41</v>
      </c>
      <c r="M4763" s="471">
        <f t="shared" si="176"/>
        <v>0.05</v>
      </c>
      <c r="N4763" s="475">
        <f t="shared" si="177"/>
        <v>196016</v>
      </c>
    </row>
    <row r="4764" spans="7:14" ht="11.25" customHeight="1" x14ac:dyDescent="0.3">
      <c r="G4764" s="470"/>
      <c r="H4764" s="470">
        <v>4757</v>
      </c>
      <c r="I4764" s="455">
        <f t="shared" ca="1" si="175"/>
        <v>-166251482812477.41</v>
      </c>
      <c r="J4764" s="455">
        <f t="array" ref="J4764">IFERROR(INDEX('Retirement Calculator'!K:K,MATCH('Lorri 401b'!N4764,'Retirement Calculator'!A:A,0),0),0)</f>
        <v>0</v>
      </c>
      <c r="K4764" s="455">
        <f t="shared" ca="1" si="173"/>
        <v>-692714511718.65588</v>
      </c>
      <c r="L4764" s="455">
        <f t="shared" ca="1" si="174"/>
        <v>-166944197324196.06</v>
      </c>
      <c r="M4764" s="471">
        <f t="shared" si="176"/>
        <v>0.05</v>
      </c>
      <c r="N4764" s="475">
        <f t="shared" si="177"/>
        <v>196046</v>
      </c>
    </row>
    <row r="4765" spans="7:14" ht="11.25" customHeight="1" x14ac:dyDescent="0.3">
      <c r="G4765" s="470"/>
      <c r="H4765" s="470">
        <v>4758</v>
      </c>
      <c r="I4765" s="455">
        <f t="shared" ca="1" si="175"/>
        <v>-166944197324196.06</v>
      </c>
      <c r="J4765" s="455">
        <f t="array" ref="J4765">IFERROR(INDEX('Retirement Calculator'!K:K,MATCH('Lorri 401b'!N4765,'Retirement Calculator'!A:A,0),0),0)</f>
        <v>0</v>
      </c>
      <c r="K4765" s="455">
        <f t="shared" ca="1" si="173"/>
        <v>-695600822184.15027</v>
      </c>
      <c r="L4765" s="455">
        <f t="shared" ca="1" si="174"/>
        <v>-167639798146380.22</v>
      </c>
      <c r="M4765" s="471">
        <f t="shared" si="176"/>
        <v>0.05</v>
      </c>
      <c r="N4765" s="475">
        <f t="shared" si="177"/>
        <v>196077</v>
      </c>
    </row>
    <row r="4766" spans="7:14" ht="11.25" customHeight="1" x14ac:dyDescent="0.3">
      <c r="G4766" s="470"/>
      <c r="H4766" s="470">
        <v>4759</v>
      </c>
      <c r="I4766" s="455">
        <f t="shared" ca="1" si="175"/>
        <v>-167639798146380.22</v>
      </c>
      <c r="J4766" s="455">
        <f t="array" ref="J4766">IFERROR(INDEX('Retirement Calculator'!K:K,MATCH('Lorri 401b'!N4766,'Retirement Calculator'!A:A,0),0),0)</f>
        <v>0</v>
      </c>
      <c r="K4766" s="455">
        <f t="shared" ca="1" si="173"/>
        <v>-698499158943.25085</v>
      </c>
      <c r="L4766" s="455">
        <f t="shared" ca="1" si="174"/>
        <v>-168338297305323.47</v>
      </c>
      <c r="M4766" s="471">
        <f t="shared" si="176"/>
        <v>0.05</v>
      </c>
      <c r="N4766" s="475">
        <f t="shared" si="177"/>
        <v>196107</v>
      </c>
    </row>
    <row r="4767" spans="7:14" ht="11.25" customHeight="1" x14ac:dyDescent="0.3">
      <c r="G4767" s="470"/>
      <c r="H4767" s="470">
        <v>4760</v>
      </c>
      <c r="I4767" s="455">
        <f t="shared" ca="1" si="175"/>
        <v>-168338297305323.47</v>
      </c>
      <c r="J4767" s="455">
        <f t="array" ref="J4767">IFERROR(INDEX('Retirement Calculator'!K:K,MATCH('Lorri 401b'!N4767,'Retirement Calculator'!A:A,0),0),0)</f>
        <v>0</v>
      </c>
      <c r="K4767" s="455">
        <f t="shared" ca="1" si="173"/>
        <v>-701409572105.5144</v>
      </c>
      <c r="L4767" s="455">
        <f t="shared" ca="1" si="174"/>
        <v>-169039706877428.97</v>
      </c>
      <c r="M4767" s="471">
        <f t="shared" si="176"/>
        <v>0.05</v>
      </c>
      <c r="N4767" s="475">
        <f t="shared" si="177"/>
        <v>196138</v>
      </c>
    </row>
    <row r="4768" spans="7:14" ht="11.25" customHeight="1" x14ac:dyDescent="0.3">
      <c r="G4768" s="470"/>
      <c r="H4768" s="470">
        <v>4761</v>
      </c>
      <c r="I4768" s="455">
        <f t="shared" ca="1" si="175"/>
        <v>-169039706877428.97</v>
      </c>
      <c r="J4768" s="455">
        <f t="array" ref="J4768">IFERROR(INDEX('Retirement Calculator'!K:K,MATCH('Lorri 401b'!N4768,'Retirement Calculator'!A:A,0),0),0)</f>
        <v>0</v>
      </c>
      <c r="K4768" s="455">
        <f t="shared" ca="1" si="173"/>
        <v>-704332111989.28735</v>
      </c>
      <c r="L4768" s="455">
        <f t="shared" ca="1" si="174"/>
        <v>-169744038989418.25</v>
      </c>
      <c r="M4768" s="471">
        <f t="shared" si="176"/>
        <v>0.05</v>
      </c>
      <c r="N4768" s="475">
        <f t="shared" si="177"/>
        <v>196169</v>
      </c>
    </row>
    <row r="4769" spans="7:14" ht="11.25" customHeight="1" x14ac:dyDescent="0.3">
      <c r="G4769" s="470"/>
      <c r="H4769" s="470">
        <v>4762</v>
      </c>
      <c r="I4769" s="455">
        <f t="shared" ca="1" si="175"/>
        <v>-169744038989418.25</v>
      </c>
      <c r="J4769" s="455">
        <f t="array" ref="J4769">IFERROR(INDEX('Retirement Calculator'!K:K,MATCH('Lorri 401b'!N4769,'Retirement Calculator'!A:A,0),0),0)</f>
        <v>0</v>
      </c>
      <c r="K4769" s="455">
        <f t="shared" ca="1" si="173"/>
        <v>-707266829122.57605</v>
      </c>
      <c r="L4769" s="455">
        <f t="shared" ca="1" si="174"/>
        <v>-170451305818540.81</v>
      </c>
      <c r="M4769" s="471">
        <f t="shared" si="176"/>
        <v>0.05</v>
      </c>
      <c r="N4769" s="475">
        <f t="shared" si="177"/>
        <v>196197</v>
      </c>
    </row>
    <row r="4770" spans="7:14" ht="11.25" customHeight="1" x14ac:dyDescent="0.3">
      <c r="G4770" s="470"/>
      <c r="H4770" s="470">
        <v>4763</v>
      </c>
      <c r="I4770" s="455">
        <f t="shared" ca="1" si="175"/>
        <v>-170451305818540.81</v>
      </c>
      <c r="J4770" s="455">
        <f t="array" ref="J4770">IFERROR(INDEX('Retirement Calculator'!K:K,MATCH('Lorri 401b'!N4770,'Retirement Calculator'!A:A,0),0),0)</f>
        <v>0</v>
      </c>
      <c r="K4770" s="455">
        <f t="shared" ca="1" si="173"/>
        <v>-710213774243.92004</v>
      </c>
      <c r="L4770" s="455">
        <f t="shared" ca="1" si="174"/>
        <v>-171161519592784.72</v>
      </c>
      <c r="M4770" s="471">
        <f t="shared" si="176"/>
        <v>0.05</v>
      </c>
      <c r="N4770" s="475">
        <f t="shared" si="177"/>
        <v>196228</v>
      </c>
    </row>
    <row r="4771" spans="7:14" ht="11.25" customHeight="1" x14ac:dyDescent="0.3">
      <c r="G4771" s="470"/>
      <c r="H4771" s="470">
        <v>4764</v>
      </c>
      <c r="I4771" s="455">
        <f t="shared" ca="1" si="175"/>
        <v>-171161519592784.72</v>
      </c>
      <c r="J4771" s="455">
        <f t="array" ref="J4771">IFERROR(INDEX('Retirement Calculator'!K:K,MATCH('Lorri 401b'!N4771,'Retirement Calculator'!A:A,0),0),0)</f>
        <v>0</v>
      </c>
      <c r="K4771" s="455">
        <f t="shared" ca="1" si="173"/>
        <v>-713172998303.26965</v>
      </c>
      <c r="L4771" s="455">
        <f t="shared" ca="1" si="174"/>
        <v>-171874692591088</v>
      </c>
      <c r="M4771" s="471">
        <f t="shared" si="176"/>
        <v>0.05</v>
      </c>
      <c r="N4771" s="475">
        <f t="shared" si="177"/>
        <v>196258</v>
      </c>
    </row>
    <row r="4772" spans="7:14" ht="11.25" customHeight="1" x14ac:dyDescent="0.3">
      <c r="G4772" s="470"/>
      <c r="H4772" s="470">
        <v>4765</v>
      </c>
      <c r="I4772" s="455">
        <f t="shared" ca="1" si="175"/>
        <v>-171874692591088</v>
      </c>
      <c r="J4772" s="455">
        <f t="array" ref="J4772">IFERROR(INDEX('Retirement Calculator'!K:K,MATCH('Lorri 401b'!N4772,'Retirement Calculator'!A:A,0),0),0)</f>
        <v>0</v>
      </c>
      <c r="K4772" s="455">
        <f t="shared" ca="1" si="173"/>
        <v>-716144552462.8667</v>
      </c>
      <c r="L4772" s="455">
        <f t="shared" ca="1" si="174"/>
        <v>-172590837143550.88</v>
      </c>
      <c r="M4772" s="471">
        <f t="shared" si="176"/>
        <v>0.05</v>
      </c>
      <c r="N4772" s="475">
        <f t="shared" si="177"/>
        <v>196289</v>
      </c>
    </row>
    <row r="4773" spans="7:14" ht="11.25" customHeight="1" x14ac:dyDescent="0.3">
      <c r="G4773" s="470"/>
      <c r="H4773" s="470">
        <v>4766</v>
      </c>
      <c r="I4773" s="455">
        <f t="shared" ca="1" si="175"/>
        <v>-172590837143550.88</v>
      </c>
      <c r="J4773" s="455">
        <f t="array" ref="J4773">IFERROR(INDEX('Retirement Calculator'!K:K,MATCH('Lorri 401b'!N4773,'Retirement Calculator'!A:A,0),0),0)</f>
        <v>0</v>
      </c>
      <c r="K4773" s="455">
        <f t="shared" ca="1" si="173"/>
        <v>-719128488098.12866</v>
      </c>
      <c r="L4773" s="455">
        <f t="shared" ca="1" si="174"/>
        <v>-173309965631649</v>
      </c>
      <c r="M4773" s="471">
        <f t="shared" si="176"/>
        <v>0.05</v>
      </c>
      <c r="N4773" s="475">
        <f t="shared" si="177"/>
        <v>196319</v>
      </c>
    </row>
    <row r="4774" spans="7:14" ht="11.25" customHeight="1" x14ac:dyDescent="0.3">
      <c r="G4774" s="470"/>
      <c r="H4774" s="470">
        <v>4767</v>
      </c>
      <c r="I4774" s="455">
        <f t="shared" ca="1" si="175"/>
        <v>-173309965631649</v>
      </c>
      <c r="J4774" s="455">
        <f t="array" ref="J4774">IFERROR(INDEX('Retirement Calculator'!K:K,MATCH('Lorri 401b'!N4774,'Retirement Calculator'!A:A,0),0),0)</f>
        <v>0</v>
      </c>
      <c r="K4774" s="455">
        <f t="shared" ca="1" si="173"/>
        <v>-722124856798.53748</v>
      </c>
      <c r="L4774" s="455">
        <f t="shared" ca="1" si="174"/>
        <v>-174032090488447.53</v>
      </c>
      <c r="M4774" s="471">
        <f t="shared" si="176"/>
        <v>0.05</v>
      </c>
      <c r="N4774" s="475">
        <f t="shared" si="177"/>
        <v>196350</v>
      </c>
    </row>
    <row r="4775" spans="7:14" ht="11.25" customHeight="1" x14ac:dyDescent="0.3">
      <c r="G4775" s="470"/>
      <c r="H4775" s="470">
        <v>4768</v>
      </c>
      <c r="I4775" s="455">
        <f t="shared" ca="1" si="175"/>
        <v>-174032090488447.53</v>
      </c>
      <c r="J4775" s="455">
        <f t="array" ref="J4775">IFERROR(INDEX('Retirement Calculator'!K:K,MATCH('Lorri 401b'!N4775,'Retirement Calculator'!A:A,0),0),0)</f>
        <v>0</v>
      </c>
      <c r="K4775" s="455">
        <f t="shared" ca="1" si="173"/>
        <v>-725133710368.53137</v>
      </c>
      <c r="L4775" s="455">
        <f t="shared" ca="1" si="174"/>
        <v>-174757224198816.06</v>
      </c>
      <c r="M4775" s="471">
        <f t="shared" si="176"/>
        <v>0.05</v>
      </c>
      <c r="N4775" s="475">
        <f t="shared" si="177"/>
        <v>196381</v>
      </c>
    </row>
    <row r="4776" spans="7:14" ht="11.25" customHeight="1" x14ac:dyDescent="0.3">
      <c r="G4776" s="470"/>
      <c r="H4776" s="470">
        <v>4769</v>
      </c>
      <c r="I4776" s="455">
        <f t="shared" ca="1" si="175"/>
        <v>-174757224198816.06</v>
      </c>
      <c r="J4776" s="455">
        <f t="array" ref="J4776">IFERROR(INDEX('Retirement Calculator'!K:K,MATCH('Lorri 401b'!N4776,'Retirement Calculator'!A:A,0),0),0)</f>
        <v>0</v>
      </c>
      <c r="K4776" s="455">
        <f t="shared" ca="1" si="173"/>
        <v>-728155100828.40027</v>
      </c>
      <c r="L4776" s="455">
        <f t="shared" ca="1" si="174"/>
        <v>-175485379299644.47</v>
      </c>
      <c r="M4776" s="471">
        <f t="shared" si="176"/>
        <v>0.05</v>
      </c>
      <c r="N4776" s="475">
        <f t="shared" si="177"/>
        <v>196411</v>
      </c>
    </row>
    <row r="4777" spans="7:14" ht="11.25" customHeight="1" x14ac:dyDescent="0.3">
      <c r="G4777" s="470"/>
      <c r="H4777" s="470">
        <v>4770</v>
      </c>
      <c r="I4777" s="455">
        <f t="shared" ca="1" si="175"/>
        <v>-175485379299644.47</v>
      </c>
      <c r="J4777" s="455">
        <f t="array" ref="J4777">IFERROR(INDEX('Retirement Calculator'!K:K,MATCH('Lorri 401b'!N4777,'Retirement Calculator'!A:A,0),0),0)</f>
        <v>0</v>
      </c>
      <c r="K4777" s="455">
        <f t="shared" ca="1" si="173"/>
        <v>-731189080415.1853</v>
      </c>
      <c r="L4777" s="455">
        <f t="shared" ca="1" si="174"/>
        <v>-176216568380059.66</v>
      </c>
      <c r="M4777" s="471">
        <f t="shared" si="176"/>
        <v>0.05</v>
      </c>
      <c r="N4777" s="475">
        <f t="shared" si="177"/>
        <v>196442</v>
      </c>
    </row>
    <row r="4778" spans="7:14" ht="11.25" customHeight="1" x14ac:dyDescent="0.3">
      <c r="G4778" s="470"/>
      <c r="H4778" s="470">
        <v>4771</v>
      </c>
      <c r="I4778" s="455">
        <f t="shared" ca="1" si="175"/>
        <v>-176216568380059.66</v>
      </c>
      <c r="J4778" s="455">
        <f t="array" ref="J4778">IFERROR(INDEX('Retirement Calculator'!K:K,MATCH('Lorri 401b'!N4778,'Retirement Calculator'!A:A,0),0),0)</f>
        <v>0</v>
      </c>
      <c r="K4778" s="455">
        <f t="shared" ca="1" si="173"/>
        <v>-734235701583.58191</v>
      </c>
      <c r="L4778" s="455">
        <f t="shared" ca="1" si="174"/>
        <v>-176950804081643.25</v>
      </c>
      <c r="M4778" s="471">
        <f t="shared" si="176"/>
        <v>0.05</v>
      </c>
      <c r="N4778" s="475">
        <f t="shared" si="177"/>
        <v>196472</v>
      </c>
    </row>
    <row r="4779" spans="7:14" ht="11.25" customHeight="1" x14ac:dyDescent="0.3">
      <c r="G4779" s="470"/>
      <c r="H4779" s="470">
        <v>4772</v>
      </c>
      <c r="I4779" s="455">
        <f t="shared" ca="1" si="175"/>
        <v>-176950804081643.25</v>
      </c>
      <c r="J4779" s="455">
        <f t="array" ref="J4779">IFERROR(INDEX('Retirement Calculator'!K:K,MATCH('Lorri 401b'!N4779,'Retirement Calculator'!A:A,0),0),0)</f>
        <v>0</v>
      </c>
      <c r="K4779" s="455">
        <f t="shared" ca="1" si="173"/>
        <v>-737295017006.84692</v>
      </c>
      <c r="L4779" s="455">
        <f t="shared" ca="1" si="174"/>
        <v>-177688099098650.09</v>
      </c>
      <c r="M4779" s="471">
        <f t="shared" si="176"/>
        <v>0.05</v>
      </c>
      <c r="N4779" s="475">
        <f t="shared" si="177"/>
        <v>196503</v>
      </c>
    </row>
    <row r="4780" spans="7:14" ht="11.25" customHeight="1" x14ac:dyDescent="0.3">
      <c r="G4780" s="470"/>
      <c r="H4780" s="470">
        <v>4773</v>
      </c>
      <c r="I4780" s="455">
        <f t="shared" ca="1" si="175"/>
        <v>-177688099098650.09</v>
      </c>
      <c r="J4780" s="455">
        <f t="array" ref="J4780">IFERROR(INDEX('Retirement Calculator'!K:K,MATCH('Lorri 401b'!N4780,'Retirement Calculator'!A:A,0),0),0)</f>
        <v>0</v>
      </c>
      <c r="K4780" s="455">
        <f t="shared" ca="1" si="173"/>
        <v>-740367079577.70874</v>
      </c>
      <c r="L4780" s="455">
        <f t="shared" ca="1" si="174"/>
        <v>-178428466178227.81</v>
      </c>
      <c r="M4780" s="471">
        <f t="shared" si="176"/>
        <v>0.05</v>
      </c>
      <c r="N4780" s="475">
        <f t="shared" si="177"/>
        <v>196534</v>
      </c>
    </row>
    <row r="4781" spans="7:14" ht="11.25" customHeight="1" x14ac:dyDescent="0.3">
      <c r="G4781" s="470"/>
      <c r="H4781" s="470">
        <v>4774</v>
      </c>
      <c r="I4781" s="455">
        <f t="shared" ca="1" si="175"/>
        <v>-178428466178227.81</v>
      </c>
      <c r="J4781" s="455">
        <f t="array" ref="J4781">IFERROR(INDEX('Retirement Calculator'!K:K,MATCH('Lorri 401b'!N4781,'Retirement Calculator'!A:A,0),0),0)</f>
        <v>0</v>
      </c>
      <c r="K4781" s="455">
        <f t="shared" ca="1" si="173"/>
        <v>-743451942409.28259</v>
      </c>
      <c r="L4781" s="455">
        <f t="shared" ca="1" si="174"/>
        <v>-179171918120637.09</v>
      </c>
      <c r="M4781" s="471">
        <f t="shared" si="176"/>
        <v>0.05</v>
      </c>
      <c r="N4781" s="475">
        <f t="shared" si="177"/>
        <v>196562</v>
      </c>
    </row>
    <row r="4782" spans="7:14" ht="11.25" customHeight="1" x14ac:dyDescent="0.3">
      <c r="G4782" s="470"/>
      <c r="H4782" s="470">
        <v>4775</v>
      </c>
      <c r="I4782" s="455">
        <f t="shared" ca="1" si="175"/>
        <v>-179171918120637.09</v>
      </c>
      <c r="J4782" s="455">
        <f t="array" ref="J4782">IFERROR(INDEX('Retirement Calculator'!K:K,MATCH('Lorri 401b'!N4782,'Retirement Calculator'!A:A,0),0),0)</f>
        <v>0</v>
      </c>
      <c r="K4782" s="455">
        <f t="shared" ca="1" si="173"/>
        <v>-746549658835.98792</v>
      </c>
      <c r="L4782" s="455">
        <f t="shared" ca="1" si="174"/>
        <v>-179918467779473.09</v>
      </c>
      <c r="M4782" s="471">
        <f t="shared" si="176"/>
        <v>0.05</v>
      </c>
      <c r="N4782" s="475">
        <f t="shared" si="177"/>
        <v>196593</v>
      </c>
    </row>
    <row r="4783" spans="7:14" ht="11.25" customHeight="1" x14ac:dyDescent="0.3">
      <c r="G4783" s="470"/>
      <c r="H4783" s="470">
        <v>4776</v>
      </c>
      <c r="I4783" s="455">
        <f t="shared" ca="1" si="175"/>
        <v>-179918467779473.09</v>
      </c>
      <c r="J4783" s="455">
        <f t="array" ref="J4783">IFERROR(INDEX('Retirement Calculator'!K:K,MATCH('Lorri 401b'!N4783,'Retirement Calculator'!A:A,0),0),0)</f>
        <v>0</v>
      </c>
      <c r="K4783" s="455">
        <f t="shared" ca="1" si="173"/>
        <v>-749660282414.47119</v>
      </c>
      <c r="L4783" s="455">
        <f t="shared" ca="1" si="174"/>
        <v>-180668128061887.56</v>
      </c>
      <c r="M4783" s="471">
        <f t="shared" si="176"/>
        <v>0.05</v>
      </c>
      <c r="N4783" s="475">
        <f t="shared" si="177"/>
        <v>196623</v>
      </c>
    </row>
    <row r="4784" spans="7:14" ht="11.25" customHeight="1" x14ac:dyDescent="0.3">
      <c r="G4784" s="470"/>
      <c r="H4784" s="470">
        <v>4777</v>
      </c>
      <c r="I4784" s="455">
        <f t="shared" ca="1" si="175"/>
        <v>-180668128061887.56</v>
      </c>
      <c r="J4784" s="455">
        <f t="array" ref="J4784">IFERROR(INDEX('Retirement Calculator'!K:K,MATCH('Lorri 401b'!N4784,'Retirement Calculator'!A:A,0),0),0)</f>
        <v>0</v>
      </c>
      <c r="K4784" s="455">
        <f t="shared" ca="1" si="173"/>
        <v>-752783866924.53149</v>
      </c>
      <c r="L4784" s="455">
        <f t="shared" ca="1" si="174"/>
        <v>-181420911928812.09</v>
      </c>
      <c r="M4784" s="471">
        <f t="shared" si="176"/>
        <v>0.05</v>
      </c>
      <c r="N4784" s="475">
        <f t="shared" si="177"/>
        <v>196654</v>
      </c>
    </row>
    <row r="4785" spans="7:14" ht="11.25" customHeight="1" x14ac:dyDescent="0.3">
      <c r="G4785" s="470"/>
      <c r="H4785" s="470">
        <v>4778</v>
      </c>
      <c r="I4785" s="455">
        <f t="shared" ca="1" si="175"/>
        <v>-181420911928812.09</v>
      </c>
      <c r="J4785" s="455">
        <f t="array" ref="J4785">IFERROR(INDEX('Retirement Calculator'!K:K,MATCH('Lorri 401b'!N4785,'Retirement Calculator'!A:A,0),0),0)</f>
        <v>0</v>
      </c>
      <c r="K4785" s="455">
        <f t="shared" ca="1" si="173"/>
        <v>-755920466370.05042</v>
      </c>
      <c r="L4785" s="455">
        <f t="shared" ca="1" si="174"/>
        <v>-182176832395182.16</v>
      </c>
      <c r="M4785" s="471">
        <f t="shared" si="176"/>
        <v>0.05</v>
      </c>
      <c r="N4785" s="475">
        <f t="shared" si="177"/>
        <v>196684</v>
      </c>
    </row>
    <row r="4786" spans="7:14" ht="11.25" customHeight="1" x14ac:dyDescent="0.3">
      <c r="G4786" s="470"/>
      <c r="H4786" s="470">
        <v>4779</v>
      </c>
      <c r="I4786" s="455">
        <f t="shared" ca="1" si="175"/>
        <v>-182176832395182.16</v>
      </c>
      <c r="J4786" s="455">
        <f t="array" ref="J4786">IFERROR(INDEX('Retirement Calculator'!K:K,MATCH('Lorri 401b'!N4786,'Retirement Calculator'!A:A,0),0),0)</f>
        <v>0</v>
      </c>
      <c r="K4786" s="455">
        <f t="shared" ca="1" si="173"/>
        <v>-759070134979.92566</v>
      </c>
      <c r="L4786" s="455">
        <f t="shared" ca="1" si="174"/>
        <v>-182935902530162.09</v>
      </c>
      <c r="M4786" s="471">
        <f t="shared" si="176"/>
        <v>0.05</v>
      </c>
      <c r="N4786" s="475">
        <f t="shared" si="177"/>
        <v>196715</v>
      </c>
    </row>
    <row r="4787" spans="7:14" ht="11.25" customHeight="1" x14ac:dyDescent="0.3">
      <c r="G4787" s="470"/>
      <c r="H4787" s="470">
        <v>4780</v>
      </c>
      <c r="I4787" s="455">
        <f t="shared" ca="1" si="175"/>
        <v>-182935902530162.09</v>
      </c>
      <c r="J4787" s="455">
        <f t="array" ref="J4787">IFERROR(INDEX('Retirement Calculator'!K:K,MATCH('Lorri 401b'!N4787,'Retirement Calculator'!A:A,0),0),0)</f>
        <v>0</v>
      </c>
      <c r="K4787" s="455">
        <f t="shared" ca="1" si="173"/>
        <v>-762232927209.00867</v>
      </c>
      <c r="L4787" s="455">
        <f t="shared" ca="1" si="174"/>
        <v>-183698135457371.09</v>
      </c>
      <c r="M4787" s="471">
        <f t="shared" si="176"/>
        <v>0.05</v>
      </c>
      <c r="N4787" s="475">
        <f t="shared" si="177"/>
        <v>196746</v>
      </c>
    </row>
    <row r="4788" spans="7:14" ht="11.25" customHeight="1" x14ac:dyDescent="0.3">
      <c r="G4788" s="470"/>
      <c r="H4788" s="470">
        <v>4781</v>
      </c>
      <c r="I4788" s="455">
        <f t="shared" ca="1" si="175"/>
        <v>-183698135457371.09</v>
      </c>
      <c r="J4788" s="455">
        <f t="array" ref="J4788">IFERROR(INDEX('Retirement Calculator'!K:K,MATCH('Lorri 401b'!N4788,'Retirement Calculator'!A:A,0),0),0)</f>
        <v>0</v>
      </c>
      <c r="K4788" s="455">
        <f t="shared" ca="1" si="173"/>
        <v>-765408897739.04626</v>
      </c>
      <c r="L4788" s="455">
        <f t="shared" ca="1" si="174"/>
        <v>-184463544355110.13</v>
      </c>
      <c r="M4788" s="471">
        <f t="shared" si="176"/>
        <v>0.05</v>
      </c>
      <c r="N4788" s="475">
        <f t="shared" si="177"/>
        <v>196776</v>
      </c>
    </row>
    <row r="4789" spans="7:14" ht="11.25" customHeight="1" x14ac:dyDescent="0.3">
      <c r="G4789" s="470"/>
      <c r="H4789" s="470">
        <v>4782</v>
      </c>
      <c r="I4789" s="455">
        <f t="shared" ca="1" si="175"/>
        <v>-184463544355110.13</v>
      </c>
      <c r="J4789" s="455">
        <f t="array" ref="J4789">IFERROR(INDEX('Retirement Calculator'!K:K,MATCH('Lorri 401b'!N4789,'Retirement Calculator'!A:A,0),0),0)</f>
        <v>0</v>
      </c>
      <c r="K4789" s="455">
        <f t="shared" ca="1" si="173"/>
        <v>-768598101479.62549</v>
      </c>
      <c r="L4789" s="455">
        <f t="shared" ca="1" si="174"/>
        <v>-185232142456589.75</v>
      </c>
      <c r="M4789" s="471">
        <f t="shared" si="176"/>
        <v>0.05</v>
      </c>
      <c r="N4789" s="475">
        <f t="shared" si="177"/>
        <v>196807</v>
      </c>
    </row>
    <row r="4790" spans="7:14" ht="11.25" customHeight="1" x14ac:dyDescent="0.3">
      <c r="G4790" s="470"/>
      <c r="H4790" s="470">
        <v>4783</v>
      </c>
      <c r="I4790" s="455">
        <f t="shared" ca="1" si="175"/>
        <v>-185232142456589.75</v>
      </c>
      <c r="J4790" s="455">
        <f t="array" ref="J4790">IFERROR(INDEX('Retirement Calculator'!K:K,MATCH('Lorri 401b'!N4790,'Retirement Calculator'!A:A,0),0),0)</f>
        <v>0</v>
      </c>
      <c r="K4790" s="455">
        <f t="shared" ca="1" si="173"/>
        <v>-771800593569.1239</v>
      </c>
      <c r="L4790" s="455">
        <f t="shared" ca="1" si="174"/>
        <v>-186003943050158.88</v>
      </c>
      <c r="M4790" s="471">
        <f t="shared" si="176"/>
        <v>0.05</v>
      </c>
      <c r="N4790" s="475">
        <f t="shared" si="177"/>
        <v>196837</v>
      </c>
    </row>
    <row r="4791" spans="7:14" ht="11.25" customHeight="1" x14ac:dyDescent="0.3">
      <c r="G4791" s="470"/>
      <c r="H4791" s="470">
        <v>4784</v>
      </c>
      <c r="I4791" s="455">
        <f t="shared" ca="1" si="175"/>
        <v>-186003943050158.88</v>
      </c>
      <c r="J4791" s="455">
        <f t="array" ref="J4791">IFERROR(INDEX('Retirement Calculator'!K:K,MATCH('Lorri 401b'!N4791,'Retirement Calculator'!A:A,0),0),0)</f>
        <v>0</v>
      </c>
      <c r="K4791" s="455">
        <f t="shared" ca="1" si="173"/>
        <v>-775016429375.66199</v>
      </c>
      <c r="L4791" s="455">
        <f t="shared" ca="1" si="174"/>
        <v>-186778959479534.53</v>
      </c>
      <c r="M4791" s="471">
        <f t="shared" si="176"/>
        <v>0.05</v>
      </c>
      <c r="N4791" s="475">
        <f t="shared" si="177"/>
        <v>196868</v>
      </c>
    </row>
    <row r="4792" spans="7:14" ht="11.25" customHeight="1" x14ac:dyDescent="0.3">
      <c r="G4792" s="470"/>
      <c r="H4792" s="470">
        <v>4785</v>
      </c>
      <c r="I4792" s="455">
        <f t="shared" ca="1" si="175"/>
        <v>-186778959479534.53</v>
      </c>
      <c r="J4792" s="455">
        <f t="array" ref="J4792">IFERROR(INDEX('Retirement Calculator'!K:K,MATCH('Lorri 401b'!N4792,'Retirement Calculator'!A:A,0),0),0)</f>
        <v>0</v>
      </c>
      <c r="K4792" s="455">
        <f t="shared" ca="1" si="173"/>
        <v>-778245664498.06055</v>
      </c>
      <c r="L4792" s="455">
        <f t="shared" ca="1" si="174"/>
        <v>-187557205144032.59</v>
      </c>
      <c r="M4792" s="471">
        <f t="shared" si="176"/>
        <v>0.05</v>
      </c>
      <c r="N4792" s="475">
        <f t="shared" si="177"/>
        <v>196899</v>
      </c>
    </row>
    <row r="4793" spans="7:14" ht="11.25" customHeight="1" x14ac:dyDescent="0.3">
      <c r="G4793" s="470"/>
      <c r="H4793" s="470">
        <v>4786</v>
      </c>
      <c r="I4793" s="455">
        <f t="shared" ca="1" si="175"/>
        <v>-187557205144032.59</v>
      </c>
      <c r="J4793" s="455">
        <f t="array" ref="J4793">IFERROR(INDEX('Retirement Calculator'!K:K,MATCH('Lorri 401b'!N4793,'Retirement Calculator'!A:A,0),0),0)</f>
        <v>0</v>
      </c>
      <c r="K4793" s="455">
        <f t="shared" ca="1" si="173"/>
        <v>-781488354766.80249</v>
      </c>
      <c r="L4793" s="455">
        <f t="shared" ca="1" si="174"/>
        <v>-188338693498799.41</v>
      </c>
      <c r="M4793" s="471">
        <f t="shared" si="176"/>
        <v>0.05</v>
      </c>
      <c r="N4793" s="475">
        <f t="shared" si="177"/>
        <v>196927</v>
      </c>
    </row>
    <row r="4794" spans="7:14" ht="11.25" customHeight="1" x14ac:dyDescent="0.3">
      <c r="G4794" s="470"/>
      <c r="H4794" s="470">
        <v>4787</v>
      </c>
      <c r="I4794" s="455">
        <f t="shared" ca="1" si="175"/>
        <v>-188338693498799.41</v>
      </c>
      <c r="J4794" s="455">
        <f t="array" ref="J4794">IFERROR(INDEX('Retirement Calculator'!K:K,MATCH('Lorri 401b'!N4794,'Retirement Calculator'!A:A,0),0),0)</f>
        <v>0</v>
      </c>
      <c r="K4794" s="455">
        <f t="shared" ca="1" si="173"/>
        <v>-784744556244.99756</v>
      </c>
      <c r="L4794" s="455">
        <f t="shared" ca="1" si="174"/>
        <v>-189123438055044.41</v>
      </c>
      <c r="M4794" s="471">
        <f t="shared" si="176"/>
        <v>0.05</v>
      </c>
      <c r="N4794" s="475">
        <f t="shared" si="177"/>
        <v>196958</v>
      </c>
    </row>
    <row r="4795" spans="7:14" ht="11.25" customHeight="1" x14ac:dyDescent="0.3">
      <c r="G4795" s="470"/>
      <c r="H4795" s="470">
        <v>4788</v>
      </c>
      <c r="I4795" s="455">
        <f t="shared" ca="1" si="175"/>
        <v>-189123438055044.41</v>
      </c>
      <c r="J4795" s="455">
        <f t="array" ref="J4795">IFERROR(INDEX('Retirement Calculator'!K:K,MATCH('Lorri 401b'!N4795,'Retirement Calculator'!A:A,0),0),0)</f>
        <v>0</v>
      </c>
      <c r="K4795" s="455">
        <f t="shared" ca="1" si="173"/>
        <v>-788014325229.35168</v>
      </c>
      <c r="L4795" s="455">
        <f t="shared" ca="1" si="174"/>
        <v>-189911452380273.75</v>
      </c>
      <c r="M4795" s="471">
        <f t="shared" si="176"/>
        <v>0.05</v>
      </c>
      <c r="N4795" s="475">
        <f t="shared" si="177"/>
        <v>196988</v>
      </c>
    </row>
    <row r="4796" spans="7:14" ht="11.25" customHeight="1" x14ac:dyDescent="0.3">
      <c r="G4796" s="470"/>
      <c r="H4796" s="470">
        <v>4789</v>
      </c>
      <c r="I4796" s="455">
        <f t="shared" ca="1" si="175"/>
        <v>-189911452380273.75</v>
      </c>
      <c r="J4796" s="455">
        <f t="array" ref="J4796">IFERROR(INDEX('Retirement Calculator'!K:K,MATCH('Lorri 401b'!N4796,'Retirement Calculator'!A:A,0),0),0)</f>
        <v>0</v>
      </c>
      <c r="K4796" s="455">
        <f t="shared" ca="1" si="173"/>
        <v>-791297718251.14063</v>
      </c>
      <c r="L4796" s="455">
        <f t="shared" ca="1" si="174"/>
        <v>-190702750098524.88</v>
      </c>
      <c r="M4796" s="471">
        <f t="shared" si="176"/>
        <v>0.05</v>
      </c>
      <c r="N4796" s="475">
        <f t="shared" si="177"/>
        <v>197019</v>
      </c>
    </row>
    <row r="4797" spans="7:14" ht="11.25" customHeight="1" x14ac:dyDescent="0.3">
      <c r="G4797" s="470"/>
      <c r="H4797" s="470">
        <v>4790</v>
      </c>
      <c r="I4797" s="455">
        <f t="shared" ca="1" si="175"/>
        <v>-190702750098524.88</v>
      </c>
      <c r="J4797" s="455">
        <f t="array" ref="J4797">IFERROR(INDEX('Retirement Calculator'!K:K,MATCH('Lorri 401b'!N4797,'Retirement Calculator'!A:A,0),0),0)</f>
        <v>0</v>
      </c>
      <c r="K4797" s="455">
        <f t="shared" ca="1" si="173"/>
        <v>-794594792077.18701</v>
      </c>
      <c r="L4797" s="455">
        <f t="shared" ca="1" si="174"/>
        <v>-191497344890602.06</v>
      </c>
      <c r="M4797" s="471">
        <f t="shared" si="176"/>
        <v>0.05</v>
      </c>
      <c r="N4797" s="475">
        <f t="shared" si="177"/>
        <v>197049</v>
      </c>
    </row>
    <row r="4798" spans="7:14" ht="11.25" customHeight="1" x14ac:dyDescent="0.3">
      <c r="G4798" s="470"/>
      <c r="H4798" s="470">
        <v>4791</v>
      </c>
      <c r="I4798" s="455">
        <f t="shared" ca="1" si="175"/>
        <v>-191497344890602.06</v>
      </c>
      <c r="J4798" s="455">
        <f t="array" ref="J4798">IFERROR(INDEX('Retirement Calculator'!K:K,MATCH('Lorri 401b'!N4798,'Retirement Calculator'!A:A,0),0),0)</f>
        <v>0</v>
      </c>
      <c r="K4798" s="455">
        <f t="shared" ca="1" si="173"/>
        <v>-797905603710.84192</v>
      </c>
      <c r="L4798" s="455">
        <f t="shared" ca="1" si="174"/>
        <v>-192295250494312.91</v>
      </c>
      <c r="M4798" s="471">
        <f t="shared" si="176"/>
        <v>0.05</v>
      </c>
      <c r="N4798" s="475">
        <f t="shared" si="177"/>
        <v>197080</v>
      </c>
    </row>
    <row r="4799" spans="7:14" ht="11.25" customHeight="1" x14ac:dyDescent="0.3">
      <c r="G4799" s="470"/>
      <c r="H4799" s="470">
        <v>4792</v>
      </c>
      <c r="I4799" s="455">
        <f t="shared" ca="1" si="175"/>
        <v>-192295250494312.91</v>
      </c>
      <c r="J4799" s="455">
        <f t="array" ref="J4799">IFERROR(INDEX('Retirement Calculator'!K:K,MATCH('Lorri 401b'!N4799,'Retirement Calculator'!A:A,0),0),0)</f>
        <v>0</v>
      </c>
      <c r="K4799" s="455">
        <f t="shared" ca="1" si="173"/>
        <v>-801230210392.97046</v>
      </c>
      <c r="L4799" s="455">
        <f t="shared" ca="1" si="174"/>
        <v>-193096480704705.88</v>
      </c>
      <c r="M4799" s="471">
        <f t="shared" si="176"/>
        <v>0.05</v>
      </c>
      <c r="N4799" s="475">
        <f t="shared" si="177"/>
        <v>197111</v>
      </c>
    </row>
    <row r="4800" spans="7:14" ht="11.25" customHeight="1" x14ac:dyDescent="0.3">
      <c r="G4800" s="470"/>
      <c r="H4800" s="470">
        <v>4793</v>
      </c>
      <c r="I4800" s="455">
        <f t="shared" ca="1" si="175"/>
        <v>-193096480704705.88</v>
      </c>
      <c r="J4800" s="455">
        <f t="array" ref="J4800">IFERROR(INDEX('Retirement Calculator'!K:K,MATCH('Lorri 401b'!N4800,'Retirement Calculator'!A:A,0),0),0)</f>
        <v>0</v>
      </c>
      <c r="K4800" s="455">
        <f t="shared" ca="1" si="173"/>
        <v>-804568669602.94116</v>
      </c>
      <c r="L4800" s="455">
        <f t="shared" ca="1" si="174"/>
        <v>-193901049374308.81</v>
      </c>
      <c r="M4800" s="471">
        <f t="shared" si="176"/>
        <v>0.05</v>
      </c>
      <c r="N4800" s="475">
        <f t="shared" si="177"/>
        <v>197141</v>
      </c>
    </row>
    <row r="4801" spans="7:14" ht="11.25" customHeight="1" x14ac:dyDescent="0.3">
      <c r="G4801" s="470"/>
      <c r="H4801" s="470">
        <v>4794</v>
      </c>
      <c r="I4801" s="455">
        <f t="shared" ca="1" si="175"/>
        <v>-193901049374308.81</v>
      </c>
      <c r="J4801" s="455">
        <f t="array" ref="J4801">IFERROR(INDEX('Retirement Calculator'!K:K,MATCH('Lorri 401b'!N4801,'Retirement Calculator'!A:A,0),0),0)</f>
        <v>0</v>
      </c>
      <c r="K4801" s="455">
        <f t="shared" ca="1" si="173"/>
        <v>-807921039059.62</v>
      </c>
      <c r="L4801" s="455">
        <f t="shared" ca="1" si="174"/>
        <v>-194708970413368.44</v>
      </c>
      <c r="M4801" s="471">
        <f t="shared" si="176"/>
        <v>0.05</v>
      </c>
      <c r="N4801" s="475">
        <f t="shared" si="177"/>
        <v>197172</v>
      </c>
    </row>
    <row r="4802" spans="7:14" ht="11.25" customHeight="1" x14ac:dyDescent="0.3">
      <c r="G4802" s="470"/>
      <c r="H4802" s="470">
        <v>4795</v>
      </c>
      <c r="I4802" s="455">
        <f t="shared" ca="1" si="175"/>
        <v>-194708970413368.44</v>
      </c>
      <c r="J4802" s="455">
        <f t="array" ref="J4802">IFERROR(INDEX('Retirement Calculator'!K:K,MATCH('Lorri 401b'!N4802,'Retirement Calculator'!A:A,0),0),0)</f>
        <v>0</v>
      </c>
      <c r="K4802" s="455">
        <f t="shared" ca="1" si="173"/>
        <v>-811287376722.36853</v>
      </c>
      <c r="L4802" s="455">
        <f t="shared" ca="1" si="174"/>
        <v>-195520257790090.81</v>
      </c>
      <c r="M4802" s="471">
        <f t="shared" si="176"/>
        <v>0.05</v>
      </c>
      <c r="N4802" s="475">
        <f t="shared" si="177"/>
        <v>197202</v>
      </c>
    </row>
    <row r="4803" spans="7:14" ht="11.25" customHeight="1" x14ac:dyDescent="0.3">
      <c r="G4803" s="470"/>
      <c r="H4803" s="470">
        <v>4796</v>
      </c>
      <c r="I4803" s="455">
        <f t="shared" ca="1" si="175"/>
        <v>-195520257790090.81</v>
      </c>
      <c r="J4803" s="455">
        <f t="array" ref="J4803">IFERROR(INDEX('Retirement Calculator'!K:K,MATCH('Lorri 401b'!N4803,'Retirement Calculator'!A:A,0),0),0)</f>
        <v>0</v>
      </c>
      <c r="K4803" s="455">
        <f t="shared" ca="1" si="173"/>
        <v>-814667740792.04504</v>
      </c>
      <c r="L4803" s="455">
        <f t="shared" ca="1" si="174"/>
        <v>-196334925530882.84</v>
      </c>
      <c r="M4803" s="471">
        <f t="shared" si="176"/>
        <v>0.05</v>
      </c>
      <c r="N4803" s="475">
        <f t="shared" si="177"/>
        <v>197233</v>
      </c>
    </row>
    <row r="4804" spans="7:14" ht="11.25" customHeight="1" x14ac:dyDescent="0.3">
      <c r="G4804" s="470"/>
      <c r="H4804" s="470">
        <v>4797</v>
      </c>
      <c r="I4804" s="455">
        <f t="shared" ca="1" si="175"/>
        <v>-196334925530882.84</v>
      </c>
      <c r="J4804" s="455">
        <f t="array" ref="J4804">IFERROR(INDEX('Retirement Calculator'!K:K,MATCH('Lorri 401b'!N4804,'Retirement Calculator'!A:A,0),0),0)</f>
        <v>0</v>
      </c>
      <c r="K4804" s="455">
        <f t="shared" ca="1" si="173"/>
        <v>-818062189712.01184</v>
      </c>
      <c r="L4804" s="455">
        <f t="shared" ca="1" si="174"/>
        <v>-197152987720594.84</v>
      </c>
      <c r="M4804" s="471">
        <f t="shared" si="176"/>
        <v>0.05</v>
      </c>
      <c r="N4804" s="475">
        <f t="shared" si="177"/>
        <v>197264</v>
      </c>
    </row>
    <row r="4805" spans="7:14" ht="11.25" customHeight="1" x14ac:dyDescent="0.3">
      <c r="G4805" s="470"/>
      <c r="H4805" s="470">
        <v>4798</v>
      </c>
      <c r="I4805" s="455">
        <f t="shared" ca="1" si="175"/>
        <v>-197152987720594.84</v>
      </c>
      <c r="J4805" s="455">
        <f t="array" ref="J4805">IFERROR(INDEX('Retirement Calculator'!K:K,MATCH('Lorri 401b'!N4805,'Retirement Calculator'!A:A,0),0),0)</f>
        <v>0</v>
      </c>
      <c r="K4805" s="455">
        <f t="shared" ca="1" si="173"/>
        <v>-821470782169.14514</v>
      </c>
      <c r="L4805" s="455">
        <f t="shared" ca="1" si="174"/>
        <v>-197974458502764</v>
      </c>
      <c r="M4805" s="471">
        <f t="shared" si="176"/>
        <v>0.05</v>
      </c>
      <c r="N4805" s="475">
        <f t="shared" si="177"/>
        <v>197293</v>
      </c>
    </row>
    <row r="4806" spans="7:14" ht="11.25" customHeight="1" x14ac:dyDescent="0.3">
      <c r="G4806" s="470"/>
      <c r="H4806" s="470">
        <v>4799</v>
      </c>
      <c r="I4806" s="455">
        <f t="shared" ca="1" si="175"/>
        <v>-197974458502764</v>
      </c>
      <c r="J4806" s="455">
        <f t="array" ref="J4806">IFERROR(INDEX('Retirement Calculator'!K:K,MATCH('Lorri 401b'!N4806,'Retirement Calculator'!A:A,0),0),0)</f>
        <v>0</v>
      </c>
      <c r="K4806" s="455">
        <f t="shared" ca="1" si="173"/>
        <v>-824893577094.84998</v>
      </c>
      <c r="L4806" s="455">
        <f t="shared" ca="1" si="174"/>
        <v>-198799352079858.84</v>
      </c>
      <c r="M4806" s="471">
        <f t="shared" si="176"/>
        <v>0.05</v>
      </c>
      <c r="N4806" s="475">
        <f t="shared" si="177"/>
        <v>197324</v>
      </c>
    </row>
    <row r="4807" spans="7:14" ht="11.25" customHeight="1" x14ac:dyDescent="0.3">
      <c r="G4807" s="470"/>
      <c r="H4807" s="470">
        <v>4800</v>
      </c>
      <c r="I4807" s="455">
        <f t="shared" ca="1" si="175"/>
        <v>-198799352079858.84</v>
      </c>
      <c r="J4807" s="455">
        <f t="array" ref="J4807">IFERROR(INDEX('Retirement Calculator'!K:K,MATCH('Lorri 401b'!N4807,'Retirement Calculator'!A:A,0),0),0)</f>
        <v>0</v>
      </c>
      <c r="K4807" s="455">
        <f t="shared" ca="1" si="173"/>
        <v>-828330633666.07849</v>
      </c>
      <c r="L4807" s="455">
        <f t="shared" ca="1" si="174"/>
        <v>-199627682713524.94</v>
      </c>
      <c r="M4807" s="471">
        <f t="shared" si="176"/>
        <v>0.05</v>
      </c>
      <c r="N4807" s="475">
        <f t="shared" si="177"/>
        <v>197354</v>
      </c>
    </row>
    <row r="4808" spans="7:14" ht="11.25" customHeight="1" x14ac:dyDescent="0.3">
      <c r="G4808" s="470"/>
      <c r="H4808" s="470">
        <v>4801</v>
      </c>
      <c r="I4808" s="455">
        <f t="shared" ca="1" si="175"/>
        <v>-199627682713524.94</v>
      </c>
      <c r="J4808" s="455">
        <f t="array" ref="J4808">IFERROR(INDEX('Retirement Calculator'!K:K,MATCH('Lorri 401b'!N4808,'Retirement Calculator'!A:A,0),0),0)</f>
        <v>0</v>
      </c>
      <c r="K4808" s="455">
        <f t="shared" ca="1" si="173"/>
        <v>-831782011306.35388</v>
      </c>
      <c r="L4808" s="455">
        <f t="shared" ca="1" si="174"/>
        <v>-200459464724831.28</v>
      </c>
      <c r="M4808" s="471">
        <f t="shared" si="176"/>
        <v>0.05</v>
      </c>
      <c r="N4808" s="475">
        <f t="shared" si="177"/>
        <v>197385</v>
      </c>
    </row>
    <row r="4809" spans="7:14" ht="11.25" customHeight="1" x14ac:dyDescent="0.3">
      <c r="G4809" s="470"/>
      <c r="H4809" s="470">
        <v>4802</v>
      </c>
      <c r="I4809" s="455">
        <f t="shared" ca="1" si="175"/>
        <v>-200459464724831.28</v>
      </c>
      <c r="J4809" s="455">
        <f t="array" ref="J4809">IFERROR(INDEX('Retirement Calculator'!K:K,MATCH('Lorri 401b'!N4809,'Retirement Calculator'!A:A,0),0),0)</f>
        <v>0</v>
      </c>
      <c r="K4809" s="455">
        <f t="shared" ca="1" si="173"/>
        <v>-835247769686.797</v>
      </c>
      <c r="L4809" s="455">
        <f t="shared" ca="1" si="174"/>
        <v>-201294712494518.09</v>
      </c>
      <c r="M4809" s="471">
        <f t="shared" si="176"/>
        <v>0.05</v>
      </c>
      <c r="N4809" s="475">
        <f t="shared" si="177"/>
        <v>197415</v>
      </c>
    </row>
    <row r="4810" spans="7:14" ht="11.25" customHeight="1" x14ac:dyDescent="0.3">
      <c r="G4810" s="470"/>
      <c r="H4810" s="470">
        <v>4803</v>
      </c>
      <c r="I4810" s="455">
        <f t="shared" ca="1" si="175"/>
        <v>-201294712494518.09</v>
      </c>
      <c r="J4810" s="455">
        <f t="array" ref="J4810">IFERROR(INDEX('Retirement Calculator'!K:K,MATCH('Lorri 401b'!N4810,'Retirement Calculator'!A:A,0),0),0)</f>
        <v>0</v>
      </c>
      <c r="K4810" s="455">
        <f t="shared" ca="1" si="173"/>
        <v>-838727968727.15869</v>
      </c>
      <c r="L4810" s="455">
        <f t="shared" ca="1" si="174"/>
        <v>-202133440463245.25</v>
      </c>
      <c r="M4810" s="471">
        <f t="shared" si="176"/>
        <v>0.05</v>
      </c>
      <c r="N4810" s="475">
        <f t="shared" si="177"/>
        <v>197446</v>
      </c>
    </row>
    <row r="4811" spans="7:14" ht="11.25" customHeight="1" x14ac:dyDescent="0.3">
      <c r="G4811" s="470"/>
      <c r="H4811" s="470">
        <v>4804</v>
      </c>
      <c r="I4811" s="455">
        <f t="shared" ca="1" si="175"/>
        <v>-202133440463245.25</v>
      </c>
      <c r="J4811" s="455">
        <f t="array" ref="J4811">IFERROR(INDEX('Retirement Calculator'!K:K,MATCH('Lorri 401b'!N4811,'Retirement Calculator'!A:A,0),0),0)</f>
        <v>0</v>
      </c>
      <c r="K4811" s="455">
        <f t="shared" ca="1" si="173"/>
        <v>-842222668596.85522</v>
      </c>
      <c r="L4811" s="455">
        <f t="shared" ca="1" si="174"/>
        <v>-202975663131842.09</v>
      </c>
      <c r="M4811" s="471">
        <f t="shared" si="176"/>
        <v>0.05</v>
      </c>
      <c r="N4811" s="475">
        <f t="shared" si="177"/>
        <v>197477</v>
      </c>
    </row>
    <row r="4812" spans="7:14" ht="11.25" customHeight="1" x14ac:dyDescent="0.3">
      <c r="G4812" s="470"/>
      <c r="H4812" s="470">
        <v>4805</v>
      </c>
      <c r="I4812" s="455">
        <f t="shared" ca="1" si="175"/>
        <v>-202975663131842.09</v>
      </c>
      <c r="J4812" s="455">
        <f t="array" ref="J4812">IFERROR(INDEX('Retirement Calculator'!K:K,MATCH('Lorri 401b'!N4812,'Retirement Calculator'!A:A,0),0),0)</f>
        <v>0</v>
      </c>
      <c r="K4812" s="455">
        <f t="shared" ca="1" si="173"/>
        <v>-845731929716.00867</v>
      </c>
      <c r="L4812" s="455">
        <f t="shared" ca="1" si="174"/>
        <v>-203821395061558.09</v>
      </c>
      <c r="M4812" s="471">
        <f t="shared" si="176"/>
        <v>0.05</v>
      </c>
      <c r="N4812" s="475">
        <f t="shared" si="177"/>
        <v>197507</v>
      </c>
    </row>
    <row r="4813" spans="7:14" ht="11.25" customHeight="1" x14ac:dyDescent="0.3">
      <c r="G4813" s="470"/>
      <c r="H4813" s="470">
        <v>4806</v>
      </c>
      <c r="I4813" s="455">
        <f t="shared" ca="1" si="175"/>
        <v>-203821395061558.09</v>
      </c>
      <c r="J4813" s="455">
        <f t="array" ref="J4813">IFERROR(INDEX('Retirement Calculator'!K:K,MATCH('Lorri 401b'!N4813,'Retirement Calculator'!A:A,0),0),0)</f>
        <v>0</v>
      </c>
      <c r="K4813" s="455">
        <f t="shared" ca="1" si="173"/>
        <v>-849255812756.49207</v>
      </c>
      <c r="L4813" s="455">
        <f t="shared" ca="1" si="174"/>
        <v>-204670650874314.59</v>
      </c>
      <c r="M4813" s="471">
        <f t="shared" si="176"/>
        <v>0.05</v>
      </c>
      <c r="N4813" s="475">
        <f t="shared" si="177"/>
        <v>197538</v>
      </c>
    </row>
    <row r="4814" spans="7:14" ht="11.25" customHeight="1" x14ac:dyDescent="0.3">
      <c r="G4814" s="470"/>
      <c r="H4814" s="470">
        <v>4807</v>
      </c>
      <c r="I4814" s="455">
        <f t="shared" ca="1" si="175"/>
        <v>-204670650874314.59</v>
      </c>
      <c r="J4814" s="455">
        <f t="array" ref="J4814">IFERROR(INDEX('Retirement Calculator'!K:K,MATCH('Lorri 401b'!N4814,'Retirement Calculator'!A:A,0),0),0)</f>
        <v>0</v>
      </c>
      <c r="K4814" s="455">
        <f t="shared" ca="1" si="173"/>
        <v>-852794378642.97742</v>
      </c>
      <c r="L4814" s="455">
        <f t="shared" ca="1" si="174"/>
        <v>-205523445252957.56</v>
      </c>
      <c r="M4814" s="471">
        <f t="shared" si="176"/>
        <v>0.05</v>
      </c>
      <c r="N4814" s="475">
        <f t="shared" si="177"/>
        <v>197568</v>
      </c>
    </row>
    <row r="4815" spans="7:14" ht="11.25" customHeight="1" x14ac:dyDescent="0.3">
      <c r="G4815" s="470"/>
      <c r="H4815" s="470">
        <v>4808</v>
      </c>
      <c r="I4815" s="455">
        <f t="shared" ca="1" si="175"/>
        <v>-205523445252957.56</v>
      </c>
      <c r="J4815" s="455">
        <f t="array" ref="J4815">IFERROR(INDEX('Retirement Calculator'!K:K,MATCH('Lorri 401b'!N4815,'Retirement Calculator'!A:A,0),0),0)</f>
        <v>0</v>
      </c>
      <c r="K4815" s="455">
        <f t="shared" ca="1" si="173"/>
        <v>-856347688553.98987</v>
      </c>
      <c r="L4815" s="455">
        <f t="shared" ca="1" si="174"/>
        <v>-206379792941511.56</v>
      </c>
      <c r="M4815" s="471">
        <f t="shared" si="176"/>
        <v>0.05</v>
      </c>
      <c r="N4815" s="475">
        <f t="shared" si="177"/>
        <v>197599</v>
      </c>
    </row>
    <row r="4816" spans="7:14" ht="11.25" customHeight="1" x14ac:dyDescent="0.3">
      <c r="G4816" s="470"/>
      <c r="H4816" s="470">
        <v>4809</v>
      </c>
      <c r="I4816" s="455">
        <f t="shared" ca="1" si="175"/>
        <v>-206379792941511.56</v>
      </c>
      <c r="J4816" s="455">
        <f t="array" ref="J4816">IFERROR(INDEX('Retirement Calculator'!K:K,MATCH('Lorri 401b'!N4816,'Retirement Calculator'!A:A,0),0),0)</f>
        <v>0</v>
      </c>
      <c r="K4816" s="455">
        <f t="shared" ca="1" si="173"/>
        <v>-859915803922.96484</v>
      </c>
      <c r="L4816" s="455">
        <f t="shared" ca="1" si="174"/>
        <v>-207239708745434.53</v>
      </c>
      <c r="M4816" s="471">
        <f t="shared" si="176"/>
        <v>0.05</v>
      </c>
      <c r="N4816" s="475">
        <f t="shared" si="177"/>
        <v>197630</v>
      </c>
    </row>
    <row r="4817" spans="7:14" ht="11.25" customHeight="1" x14ac:dyDescent="0.3">
      <c r="G4817" s="470"/>
      <c r="H4817" s="470">
        <v>4810</v>
      </c>
      <c r="I4817" s="455">
        <f t="shared" ca="1" si="175"/>
        <v>-207239708745434.53</v>
      </c>
      <c r="J4817" s="455">
        <f t="array" ref="J4817">IFERROR(INDEX('Retirement Calculator'!K:K,MATCH('Lorri 401b'!N4817,'Retirement Calculator'!A:A,0),0),0)</f>
        <v>0</v>
      </c>
      <c r="K4817" s="455">
        <f t="shared" ca="1" si="173"/>
        <v>-863498786439.31055</v>
      </c>
      <c r="L4817" s="455">
        <f t="shared" ca="1" si="174"/>
        <v>-208103207531873.84</v>
      </c>
      <c r="M4817" s="471">
        <f t="shared" si="176"/>
        <v>0.05</v>
      </c>
      <c r="N4817" s="475">
        <f t="shared" si="177"/>
        <v>197658</v>
      </c>
    </row>
    <row r="4818" spans="7:14" ht="11.25" customHeight="1" x14ac:dyDescent="0.3">
      <c r="G4818" s="470"/>
      <c r="H4818" s="470">
        <v>4811</v>
      </c>
      <c r="I4818" s="455">
        <f t="shared" ca="1" si="175"/>
        <v>-208103207531873.84</v>
      </c>
      <c r="J4818" s="455">
        <f t="array" ref="J4818">IFERROR(INDEX('Retirement Calculator'!K:K,MATCH('Lorri 401b'!N4818,'Retirement Calculator'!A:A,0),0),0)</f>
        <v>0</v>
      </c>
      <c r="K4818" s="455">
        <f t="shared" ca="1" si="173"/>
        <v>-867096698049.47437</v>
      </c>
      <c r="L4818" s="455">
        <f t="shared" ca="1" si="174"/>
        <v>-208970304229923.31</v>
      </c>
      <c r="M4818" s="471">
        <f t="shared" si="176"/>
        <v>0.05</v>
      </c>
      <c r="N4818" s="475">
        <f t="shared" si="177"/>
        <v>197689</v>
      </c>
    </row>
    <row r="4819" spans="7:14" ht="11.25" customHeight="1" x14ac:dyDescent="0.3">
      <c r="G4819" s="470"/>
      <c r="H4819" s="470">
        <v>4812</v>
      </c>
      <c r="I4819" s="455">
        <f t="shared" ca="1" si="175"/>
        <v>-208970304229923.31</v>
      </c>
      <c r="J4819" s="455">
        <f t="array" ref="J4819">IFERROR(INDEX('Retirement Calculator'!K:K,MATCH('Lorri 401b'!N4819,'Retirement Calculator'!A:A,0),0),0)</f>
        <v>0</v>
      </c>
      <c r="K4819" s="455">
        <f t="shared" ca="1" si="173"/>
        <v>-870709600958.01379</v>
      </c>
      <c r="L4819" s="455">
        <f t="shared" ca="1" si="174"/>
        <v>-209841013830881.31</v>
      </c>
      <c r="M4819" s="471">
        <f t="shared" si="176"/>
        <v>0.05</v>
      </c>
      <c r="N4819" s="475">
        <f t="shared" si="177"/>
        <v>197719</v>
      </c>
    </row>
    <row r="4820" spans="7:14" ht="11.25" customHeight="1" x14ac:dyDescent="0.3">
      <c r="G4820" s="470"/>
      <c r="H4820" s="470">
        <v>4813</v>
      </c>
      <c r="I4820" s="455">
        <f t="shared" ca="1" si="175"/>
        <v>-209841013830881.31</v>
      </c>
      <c r="J4820" s="455">
        <f t="array" ref="J4820">IFERROR(INDEX('Retirement Calculator'!K:K,MATCH('Lorri 401b'!N4820,'Retirement Calculator'!A:A,0),0),0)</f>
        <v>0</v>
      </c>
      <c r="K4820" s="455">
        <f t="shared" ca="1" si="173"/>
        <v>-874337557628.67212</v>
      </c>
      <c r="L4820" s="455">
        <f t="shared" ca="1" si="174"/>
        <v>-210715351388510</v>
      </c>
      <c r="M4820" s="471">
        <f t="shared" si="176"/>
        <v>0.05</v>
      </c>
      <c r="N4820" s="475">
        <f t="shared" si="177"/>
        <v>197750</v>
      </c>
    </row>
    <row r="4821" spans="7:14" ht="11.25" customHeight="1" x14ac:dyDescent="0.3">
      <c r="G4821" s="470"/>
      <c r="H4821" s="470">
        <v>4814</v>
      </c>
      <c r="I4821" s="455">
        <f t="shared" ca="1" si="175"/>
        <v>-210715351388510</v>
      </c>
      <c r="J4821" s="455">
        <f t="array" ref="J4821">IFERROR(INDEX('Retirement Calculator'!K:K,MATCH('Lorri 401b'!N4821,'Retirement Calculator'!A:A,0),0),0)</f>
        <v>0</v>
      </c>
      <c r="K4821" s="455">
        <f t="shared" ca="1" si="173"/>
        <v>-877980630785.45837</v>
      </c>
      <c r="L4821" s="455">
        <f t="shared" ca="1" si="174"/>
        <v>-211593332019295.47</v>
      </c>
      <c r="M4821" s="471">
        <f t="shared" si="176"/>
        <v>0.05</v>
      </c>
      <c r="N4821" s="475">
        <f t="shared" si="177"/>
        <v>197780</v>
      </c>
    </row>
    <row r="4822" spans="7:14" ht="11.25" customHeight="1" x14ac:dyDescent="0.3">
      <c r="G4822" s="470"/>
      <c r="H4822" s="470">
        <v>4815</v>
      </c>
      <c r="I4822" s="455">
        <f t="shared" ca="1" si="175"/>
        <v>-211593332019295.47</v>
      </c>
      <c r="J4822" s="455">
        <f t="array" ref="J4822">IFERROR(INDEX('Retirement Calculator'!K:K,MATCH('Lorri 401b'!N4822,'Retirement Calculator'!A:A,0),0),0)</f>
        <v>0</v>
      </c>
      <c r="K4822" s="455">
        <f t="shared" ca="1" si="173"/>
        <v>-881638883413.73108</v>
      </c>
      <c r="L4822" s="455">
        <f t="shared" ca="1" si="174"/>
        <v>-212474970902709.19</v>
      </c>
      <c r="M4822" s="471">
        <f t="shared" si="176"/>
        <v>0.05</v>
      </c>
      <c r="N4822" s="475">
        <f t="shared" si="177"/>
        <v>197811</v>
      </c>
    </row>
    <row r="4823" spans="7:14" ht="11.25" customHeight="1" x14ac:dyDescent="0.3">
      <c r="G4823" s="470"/>
      <c r="H4823" s="470">
        <v>4816</v>
      </c>
      <c r="I4823" s="455">
        <f t="shared" ca="1" si="175"/>
        <v>-212474970902709.19</v>
      </c>
      <c r="J4823" s="455">
        <f t="array" ref="J4823">IFERROR(INDEX('Retirement Calculator'!K:K,MATCH('Lorri 401b'!N4823,'Retirement Calculator'!A:A,0),0),0)</f>
        <v>0</v>
      </c>
      <c r="K4823" s="455">
        <f t="shared" ca="1" si="173"/>
        <v>-885312378761.28821</v>
      </c>
      <c r="L4823" s="455">
        <f t="shared" ca="1" si="174"/>
        <v>-213360283281470.47</v>
      </c>
      <c r="M4823" s="471">
        <f t="shared" si="176"/>
        <v>0.05</v>
      </c>
      <c r="N4823" s="475">
        <f t="shared" si="177"/>
        <v>197842</v>
      </c>
    </row>
    <row r="4824" spans="7:14" ht="11.25" customHeight="1" x14ac:dyDescent="0.3">
      <c r="G4824" s="470"/>
      <c r="H4824" s="470">
        <v>4817</v>
      </c>
      <c r="I4824" s="455">
        <f t="shared" ca="1" si="175"/>
        <v>-213360283281470.47</v>
      </c>
      <c r="J4824" s="455">
        <f t="array" ref="J4824">IFERROR(INDEX('Retirement Calculator'!K:K,MATCH('Lorri 401b'!N4824,'Retirement Calculator'!A:A,0),0),0)</f>
        <v>0</v>
      </c>
      <c r="K4824" s="455">
        <f t="shared" ca="1" si="173"/>
        <v>-889001180339.46033</v>
      </c>
      <c r="L4824" s="455">
        <f t="shared" ca="1" si="174"/>
        <v>-214249284461809.94</v>
      </c>
      <c r="M4824" s="471">
        <f t="shared" si="176"/>
        <v>0.05</v>
      </c>
      <c r="N4824" s="475">
        <f t="shared" si="177"/>
        <v>197872</v>
      </c>
    </row>
    <row r="4825" spans="7:14" ht="11.25" customHeight="1" x14ac:dyDescent="0.3">
      <c r="G4825" s="470"/>
      <c r="H4825" s="470">
        <v>4818</v>
      </c>
      <c r="I4825" s="455">
        <f t="shared" ca="1" si="175"/>
        <v>-214249284461809.94</v>
      </c>
      <c r="J4825" s="455">
        <f t="array" ref="J4825">IFERROR(INDEX('Retirement Calculator'!K:K,MATCH('Lorri 401b'!N4825,'Retirement Calculator'!A:A,0),0),0)</f>
        <v>0</v>
      </c>
      <c r="K4825" s="455">
        <f t="shared" ca="1" si="173"/>
        <v>-892705351924.20801</v>
      </c>
      <c r="L4825" s="455">
        <f t="shared" ca="1" si="174"/>
        <v>-215141989813734.16</v>
      </c>
      <c r="M4825" s="471">
        <f t="shared" si="176"/>
        <v>0.05</v>
      </c>
      <c r="N4825" s="475">
        <f t="shared" si="177"/>
        <v>197903</v>
      </c>
    </row>
    <row r="4826" spans="7:14" ht="11.25" customHeight="1" x14ac:dyDescent="0.3">
      <c r="G4826" s="470"/>
      <c r="H4826" s="470">
        <v>4819</v>
      </c>
      <c r="I4826" s="455">
        <f t="shared" ca="1" si="175"/>
        <v>-215141989813734.16</v>
      </c>
      <c r="J4826" s="455">
        <f t="array" ref="J4826">IFERROR(INDEX('Retirement Calculator'!K:K,MATCH('Lorri 401b'!N4826,'Retirement Calculator'!A:A,0),0),0)</f>
        <v>0</v>
      </c>
      <c r="K4826" s="455">
        <f t="shared" ca="1" si="173"/>
        <v>-896424957557.22559</v>
      </c>
      <c r="L4826" s="455">
        <f t="shared" ca="1" si="174"/>
        <v>-216038414771291.38</v>
      </c>
      <c r="M4826" s="471">
        <f t="shared" si="176"/>
        <v>0.05</v>
      </c>
      <c r="N4826" s="475">
        <f t="shared" si="177"/>
        <v>197933</v>
      </c>
    </row>
    <row r="4827" spans="7:14" ht="11.25" customHeight="1" x14ac:dyDescent="0.3">
      <c r="G4827" s="470"/>
      <c r="H4827" s="470">
        <v>4820</v>
      </c>
      <c r="I4827" s="455">
        <f t="shared" ca="1" si="175"/>
        <v>-216038414771291.38</v>
      </c>
      <c r="J4827" s="455">
        <f t="array" ref="J4827">IFERROR(INDEX('Retirement Calculator'!K:K,MATCH('Lorri 401b'!N4827,'Retirement Calculator'!A:A,0),0),0)</f>
        <v>0</v>
      </c>
      <c r="K4827" s="455">
        <f t="shared" ca="1" si="173"/>
        <v>-900160061547.04736</v>
      </c>
      <c r="L4827" s="455">
        <f t="shared" ca="1" si="174"/>
        <v>-216938574832838.44</v>
      </c>
      <c r="M4827" s="471">
        <f t="shared" si="176"/>
        <v>0.05</v>
      </c>
      <c r="N4827" s="475">
        <f t="shared" si="177"/>
        <v>197964</v>
      </c>
    </row>
    <row r="4828" spans="7:14" ht="11.25" customHeight="1" x14ac:dyDescent="0.3">
      <c r="G4828" s="470"/>
      <c r="H4828" s="470">
        <v>4821</v>
      </c>
      <c r="I4828" s="455">
        <f t="shared" ca="1" si="175"/>
        <v>-216938574832838.44</v>
      </c>
      <c r="J4828" s="455">
        <f t="array" ref="J4828">IFERROR(INDEX('Retirement Calculator'!K:K,MATCH('Lorri 401b'!N4828,'Retirement Calculator'!A:A,0),0),0)</f>
        <v>0</v>
      </c>
      <c r="K4828" s="455">
        <f t="shared" ca="1" si="173"/>
        <v>-903910728470.16016</v>
      </c>
      <c r="L4828" s="455">
        <f t="shared" ca="1" si="174"/>
        <v>-217842485561308.59</v>
      </c>
      <c r="M4828" s="471">
        <f t="shared" si="176"/>
        <v>0.05</v>
      </c>
      <c r="N4828" s="475">
        <f t="shared" si="177"/>
        <v>197995</v>
      </c>
    </row>
    <row r="4829" spans="7:14" ht="11.25" customHeight="1" x14ac:dyDescent="0.3">
      <c r="G4829" s="470"/>
      <c r="H4829" s="470">
        <v>4822</v>
      </c>
      <c r="I4829" s="455">
        <f t="shared" ca="1" si="175"/>
        <v>-217842485561308.59</v>
      </c>
      <c r="J4829" s="455">
        <f t="array" ref="J4829">IFERROR(INDEX('Retirement Calculator'!K:K,MATCH('Lorri 401b'!N4829,'Retirement Calculator'!A:A,0),0),0)</f>
        <v>0</v>
      </c>
      <c r="K4829" s="455">
        <f t="shared" ca="1" si="173"/>
        <v>-907677023172.11914</v>
      </c>
      <c r="L4829" s="455">
        <f t="shared" ca="1" si="174"/>
        <v>-218750162584480.72</v>
      </c>
      <c r="M4829" s="471">
        <f t="shared" si="176"/>
        <v>0.05</v>
      </c>
      <c r="N4829" s="475">
        <f t="shared" si="177"/>
        <v>198023</v>
      </c>
    </row>
    <row r="4830" spans="7:14" ht="11.25" customHeight="1" x14ac:dyDescent="0.3">
      <c r="G4830" s="470"/>
      <c r="H4830" s="470">
        <v>4823</v>
      </c>
      <c r="I4830" s="455">
        <f t="shared" ca="1" si="175"/>
        <v>-218750162584480.72</v>
      </c>
      <c r="J4830" s="455">
        <f t="array" ref="J4830">IFERROR(INDEX('Retirement Calculator'!K:K,MATCH('Lorri 401b'!N4830,'Retirement Calculator'!A:A,0),0),0)</f>
        <v>0</v>
      </c>
      <c r="K4830" s="455">
        <f t="shared" ca="1" si="173"/>
        <v>-911459010768.66968</v>
      </c>
      <c r="L4830" s="455">
        <f t="shared" ca="1" si="174"/>
        <v>-219661621595249.38</v>
      </c>
      <c r="M4830" s="471">
        <f t="shared" si="176"/>
        <v>0.05</v>
      </c>
      <c r="N4830" s="475">
        <f t="shared" si="177"/>
        <v>198054</v>
      </c>
    </row>
    <row r="4831" spans="7:14" ht="11.25" customHeight="1" x14ac:dyDescent="0.3">
      <c r="G4831" s="470"/>
      <c r="H4831" s="470">
        <v>4824</v>
      </c>
      <c r="I4831" s="455">
        <f t="shared" ca="1" si="175"/>
        <v>-219661621595249.38</v>
      </c>
      <c r="J4831" s="455">
        <f t="array" ref="J4831">IFERROR(INDEX('Retirement Calculator'!K:K,MATCH('Lorri 401b'!N4831,'Retirement Calculator'!A:A,0),0),0)</f>
        <v>0</v>
      </c>
      <c r="K4831" s="455">
        <f t="shared" ca="1" si="173"/>
        <v>-915256756646.87256</v>
      </c>
      <c r="L4831" s="455">
        <f t="shared" ca="1" si="174"/>
        <v>-220576878351896.25</v>
      </c>
      <c r="M4831" s="471">
        <f t="shared" si="176"/>
        <v>0.05</v>
      </c>
      <c r="N4831" s="475">
        <f t="shared" si="177"/>
        <v>198084</v>
      </c>
    </row>
    <row r="4832" spans="7:14" ht="11.25" customHeight="1" x14ac:dyDescent="0.3">
      <c r="G4832" s="470"/>
      <c r="H4832" s="470">
        <v>4825</v>
      </c>
      <c r="I4832" s="455">
        <f t="shared" ca="1" si="175"/>
        <v>-220576878351896.25</v>
      </c>
      <c r="J4832" s="455">
        <f t="array" ref="J4832">IFERROR(INDEX('Retirement Calculator'!K:K,MATCH('Lorri 401b'!N4832,'Retirement Calculator'!A:A,0),0),0)</f>
        <v>0</v>
      </c>
      <c r="K4832" s="455">
        <f t="shared" ca="1" si="173"/>
        <v>-919070326466.23438</v>
      </c>
      <c r="L4832" s="455">
        <f t="shared" ca="1" si="174"/>
        <v>-221495948678362.5</v>
      </c>
      <c r="M4832" s="471">
        <f t="shared" si="176"/>
        <v>0.05</v>
      </c>
      <c r="N4832" s="475">
        <f t="shared" si="177"/>
        <v>198115</v>
      </c>
    </row>
    <row r="4833" spans="7:14" ht="11.25" customHeight="1" x14ac:dyDescent="0.3">
      <c r="G4833" s="470"/>
      <c r="H4833" s="470">
        <v>4826</v>
      </c>
      <c r="I4833" s="455">
        <f t="shared" ca="1" si="175"/>
        <v>-221495948678362.5</v>
      </c>
      <c r="J4833" s="455">
        <f t="array" ref="J4833">IFERROR(INDEX('Retirement Calculator'!K:K,MATCH('Lorri 401b'!N4833,'Retirement Calculator'!A:A,0),0),0)</f>
        <v>0</v>
      </c>
      <c r="K4833" s="455">
        <f t="shared" ca="1" si="173"/>
        <v>-922899786159.84375</v>
      </c>
      <c r="L4833" s="455">
        <f t="shared" ca="1" si="174"/>
        <v>-222418848464522.34</v>
      </c>
      <c r="M4833" s="471">
        <f t="shared" si="176"/>
        <v>0.05</v>
      </c>
      <c r="N4833" s="475">
        <f t="shared" si="177"/>
        <v>198145</v>
      </c>
    </row>
    <row r="4834" spans="7:14" ht="11.25" customHeight="1" x14ac:dyDescent="0.3">
      <c r="G4834" s="470"/>
      <c r="H4834" s="470">
        <v>4827</v>
      </c>
      <c r="I4834" s="455">
        <f t="shared" ca="1" si="175"/>
        <v>-222418848464522.34</v>
      </c>
      <c r="J4834" s="455">
        <f t="array" ref="J4834">IFERROR(INDEX('Retirement Calculator'!K:K,MATCH('Lorri 401b'!N4834,'Retirement Calculator'!A:A,0),0),0)</f>
        <v>0</v>
      </c>
      <c r="K4834" s="455">
        <f t="shared" ca="1" si="173"/>
        <v>-926745201935.50964</v>
      </c>
      <c r="L4834" s="455">
        <f t="shared" ca="1" si="174"/>
        <v>-223345593666457.84</v>
      </c>
      <c r="M4834" s="471">
        <f t="shared" si="176"/>
        <v>0.05</v>
      </c>
      <c r="N4834" s="475">
        <f t="shared" si="177"/>
        <v>198176</v>
      </c>
    </row>
    <row r="4835" spans="7:14" ht="11.25" customHeight="1" x14ac:dyDescent="0.3">
      <c r="G4835" s="470"/>
      <c r="H4835" s="470">
        <v>4828</v>
      </c>
      <c r="I4835" s="455">
        <f t="shared" ca="1" si="175"/>
        <v>-223345593666457.84</v>
      </c>
      <c r="J4835" s="455">
        <f t="array" ref="J4835">IFERROR(INDEX('Retirement Calculator'!K:K,MATCH('Lorri 401b'!N4835,'Retirement Calculator'!A:A,0),0),0)</f>
        <v>0</v>
      </c>
      <c r="K4835" s="455">
        <f t="shared" ca="1" si="173"/>
        <v>-930606640276.90784</v>
      </c>
      <c r="L4835" s="455">
        <f t="shared" ca="1" si="174"/>
        <v>-224276200306734.75</v>
      </c>
      <c r="M4835" s="471">
        <f t="shared" si="176"/>
        <v>0.05</v>
      </c>
      <c r="N4835" s="475">
        <f t="shared" si="177"/>
        <v>198207</v>
      </c>
    </row>
    <row r="4836" spans="7:14" ht="11.25" customHeight="1" x14ac:dyDescent="0.3">
      <c r="G4836" s="470"/>
      <c r="H4836" s="470">
        <v>4829</v>
      </c>
      <c r="I4836" s="455">
        <f t="shared" ca="1" si="175"/>
        <v>-224276200306734.75</v>
      </c>
      <c r="J4836" s="455">
        <f t="array" ref="J4836">IFERROR(INDEX('Retirement Calculator'!K:K,MATCH('Lorri 401b'!N4836,'Retirement Calculator'!A:A,0),0),0)</f>
        <v>0</v>
      </c>
      <c r="K4836" s="455">
        <f t="shared" ca="1" si="173"/>
        <v>-934484167944.72815</v>
      </c>
      <c r="L4836" s="455">
        <f t="shared" ca="1" si="174"/>
        <v>-225210684474679.47</v>
      </c>
      <c r="M4836" s="471">
        <f t="shared" si="176"/>
        <v>0.05</v>
      </c>
      <c r="N4836" s="475">
        <f t="shared" si="177"/>
        <v>198237</v>
      </c>
    </row>
    <row r="4837" spans="7:14" ht="11.25" customHeight="1" x14ac:dyDescent="0.3">
      <c r="G4837" s="470"/>
      <c r="H4837" s="470">
        <v>4830</v>
      </c>
      <c r="I4837" s="455">
        <f t="shared" ca="1" si="175"/>
        <v>-225210684474679.47</v>
      </c>
      <c r="J4837" s="455">
        <f t="array" ref="J4837">IFERROR(INDEX('Retirement Calculator'!K:K,MATCH('Lorri 401b'!N4837,'Retirement Calculator'!A:A,0),0),0)</f>
        <v>0</v>
      </c>
      <c r="K4837" s="455">
        <f t="shared" ca="1" si="173"/>
        <v>-938377851977.83093</v>
      </c>
      <c r="L4837" s="455">
        <f t="shared" ca="1" si="174"/>
        <v>-226149062326657.31</v>
      </c>
      <c r="M4837" s="471">
        <f t="shared" si="176"/>
        <v>0.05</v>
      </c>
      <c r="N4837" s="475">
        <f t="shared" si="177"/>
        <v>198268</v>
      </c>
    </row>
    <row r="4838" spans="7:14" ht="11.25" customHeight="1" x14ac:dyDescent="0.3">
      <c r="G4838" s="470"/>
      <c r="H4838" s="470">
        <v>4831</v>
      </c>
      <c r="I4838" s="455">
        <f t="shared" ca="1" si="175"/>
        <v>-226149062326657.31</v>
      </c>
      <c r="J4838" s="455">
        <f t="array" ref="J4838">IFERROR(INDEX('Retirement Calculator'!K:K,MATCH('Lorri 401b'!N4838,'Retirement Calculator'!A:A,0),0),0)</f>
        <v>0</v>
      </c>
      <c r="K4838" s="455">
        <f t="shared" ca="1" si="173"/>
        <v>-942287759694.4054</v>
      </c>
      <c r="L4838" s="455">
        <f t="shared" ca="1" si="174"/>
        <v>-227091350086351.72</v>
      </c>
      <c r="M4838" s="471">
        <f t="shared" si="176"/>
        <v>0.05</v>
      </c>
      <c r="N4838" s="475">
        <f t="shared" si="177"/>
        <v>198298</v>
      </c>
    </row>
    <row r="4839" spans="7:14" ht="11.25" customHeight="1" x14ac:dyDescent="0.3">
      <c r="G4839" s="470"/>
      <c r="H4839" s="470">
        <v>4832</v>
      </c>
      <c r="I4839" s="455">
        <f t="shared" ca="1" si="175"/>
        <v>-227091350086351.72</v>
      </c>
      <c r="J4839" s="455">
        <f t="array" ref="J4839">IFERROR(INDEX('Retirement Calculator'!K:K,MATCH('Lorri 401b'!N4839,'Retirement Calculator'!A:A,0),0),0)</f>
        <v>0</v>
      </c>
      <c r="K4839" s="455">
        <f t="shared" ca="1" si="173"/>
        <v>-946213958693.13196</v>
      </c>
      <c r="L4839" s="455">
        <f t="shared" ca="1" si="174"/>
        <v>-228037564045044.84</v>
      </c>
      <c r="M4839" s="471">
        <f t="shared" si="176"/>
        <v>0.05</v>
      </c>
      <c r="N4839" s="475">
        <f t="shared" si="177"/>
        <v>198329</v>
      </c>
    </row>
    <row r="4840" spans="7:14" ht="11.25" customHeight="1" x14ac:dyDescent="0.3">
      <c r="G4840" s="470"/>
      <c r="H4840" s="470">
        <v>4833</v>
      </c>
      <c r="I4840" s="455">
        <f t="shared" ca="1" si="175"/>
        <v>-228037564045044.84</v>
      </c>
      <c r="J4840" s="455">
        <f t="array" ref="J4840">IFERROR(INDEX('Retirement Calculator'!K:K,MATCH('Lorri 401b'!N4840,'Retirement Calculator'!A:A,0),0),0)</f>
        <v>0</v>
      </c>
      <c r="K4840" s="455">
        <f t="shared" ca="1" si="173"/>
        <v>-950156516854.35352</v>
      </c>
      <c r="L4840" s="455">
        <f t="shared" ca="1" si="174"/>
        <v>-228987720561899.19</v>
      </c>
      <c r="M4840" s="471">
        <f t="shared" si="176"/>
        <v>0.05</v>
      </c>
      <c r="N4840" s="475">
        <f t="shared" si="177"/>
        <v>198360</v>
      </c>
    </row>
    <row r="4841" spans="7:14" ht="11.25" customHeight="1" x14ac:dyDescent="0.3">
      <c r="G4841" s="470"/>
      <c r="H4841" s="470">
        <v>4834</v>
      </c>
      <c r="I4841" s="455">
        <f t="shared" ca="1" si="175"/>
        <v>-228987720561899.19</v>
      </c>
      <c r="J4841" s="455">
        <f t="array" ref="J4841">IFERROR(INDEX('Retirement Calculator'!K:K,MATCH('Lorri 401b'!N4841,'Retirement Calculator'!A:A,0),0),0)</f>
        <v>0</v>
      </c>
      <c r="K4841" s="455">
        <f t="shared" ca="1" si="173"/>
        <v>-954115502341.24646</v>
      </c>
      <c r="L4841" s="455">
        <f t="shared" ca="1" si="174"/>
        <v>-229941836064240.44</v>
      </c>
      <c r="M4841" s="471">
        <f t="shared" si="176"/>
        <v>0.05</v>
      </c>
      <c r="N4841" s="475">
        <f t="shared" si="177"/>
        <v>198388</v>
      </c>
    </row>
    <row r="4842" spans="7:14" ht="11.25" customHeight="1" x14ac:dyDescent="0.3">
      <c r="G4842" s="470"/>
      <c r="H4842" s="470">
        <v>4835</v>
      </c>
      <c r="I4842" s="455">
        <f t="shared" ca="1" si="175"/>
        <v>-229941836064240.44</v>
      </c>
      <c r="J4842" s="455">
        <f t="array" ref="J4842">IFERROR(INDEX('Retirement Calculator'!K:K,MATCH('Lorri 401b'!N4842,'Retirement Calculator'!A:A,0),0),0)</f>
        <v>0</v>
      </c>
      <c r="K4842" s="455">
        <f t="shared" ca="1" si="173"/>
        <v>-958090983601.00183</v>
      </c>
      <c r="L4842" s="455">
        <f t="shared" ca="1" si="174"/>
        <v>-230899927047841.44</v>
      </c>
      <c r="M4842" s="471">
        <f t="shared" si="176"/>
        <v>0.05</v>
      </c>
      <c r="N4842" s="475">
        <f t="shared" si="177"/>
        <v>198419</v>
      </c>
    </row>
    <row r="4843" spans="7:14" ht="11.25" customHeight="1" x14ac:dyDescent="0.3">
      <c r="G4843" s="470"/>
      <c r="H4843" s="470">
        <v>4836</v>
      </c>
      <c r="I4843" s="455">
        <f t="shared" ca="1" si="175"/>
        <v>-230899927047841.44</v>
      </c>
      <c r="J4843" s="455">
        <f t="array" ref="J4843">IFERROR(INDEX('Retirement Calculator'!K:K,MATCH('Lorri 401b'!N4843,'Retirement Calculator'!A:A,0),0),0)</f>
        <v>0</v>
      </c>
      <c r="K4843" s="455">
        <f t="shared" ca="1" si="173"/>
        <v>-962083029366.00598</v>
      </c>
      <c r="L4843" s="455">
        <f t="shared" ca="1" si="174"/>
        <v>-231862010077207.44</v>
      </c>
      <c r="M4843" s="471">
        <f t="shared" si="176"/>
        <v>0.05</v>
      </c>
      <c r="N4843" s="475">
        <f t="shared" si="177"/>
        <v>198449</v>
      </c>
    </row>
    <row r="4844" spans="7:14" ht="11.25" customHeight="1" x14ac:dyDescent="0.3">
      <c r="G4844" s="470"/>
      <c r="H4844" s="470">
        <v>4837</v>
      </c>
      <c r="I4844" s="455">
        <f t="shared" ca="1" si="175"/>
        <v>-231862010077207.44</v>
      </c>
      <c r="J4844" s="455">
        <f t="array" ref="J4844">IFERROR(INDEX('Retirement Calculator'!K:K,MATCH('Lorri 401b'!N4844,'Retirement Calculator'!A:A,0),0),0)</f>
        <v>0</v>
      </c>
      <c r="K4844" s="455">
        <f t="shared" ca="1" si="173"/>
        <v>-966091708655.03101</v>
      </c>
      <c r="L4844" s="455">
        <f t="shared" ca="1" si="174"/>
        <v>-232828101785862.47</v>
      </c>
      <c r="M4844" s="471">
        <f t="shared" si="176"/>
        <v>0.05</v>
      </c>
      <c r="N4844" s="475">
        <f t="shared" si="177"/>
        <v>198480</v>
      </c>
    </row>
    <row r="4845" spans="7:14" ht="11.25" customHeight="1" x14ac:dyDescent="0.3">
      <c r="G4845" s="470"/>
      <c r="H4845" s="470">
        <v>4838</v>
      </c>
      <c r="I4845" s="455">
        <f t="shared" ca="1" si="175"/>
        <v>-232828101785862.47</v>
      </c>
      <c r="J4845" s="455">
        <f t="array" ref="J4845">IFERROR(INDEX('Retirement Calculator'!K:K,MATCH('Lorri 401b'!N4845,'Retirement Calculator'!A:A,0),0),0)</f>
        <v>0</v>
      </c>
      <c r="K4845" s="455">
        <f t="shared" ca="1" si="173"/>
        <v>-970117090774.42688</v>
      </c>
      <c r="L4845" s="455">
        <f t="shared" ca="1" si="174"/>
        <v>-233798218876636.91</v>
      </c>
      <c r="M4845" s="471">
        <f t="shared" si="176"/>
        <v>0.05</v>
      </c>
      <c r="N4845" s="475">
        <f t="shared" si="177"/>
        <v>198510</v>
      </c>
    </row>
    <row r="4846" spans="7:14" ht="11.25" customHeight="1" x14ac:dyDescent="0.3">
      <c r="G4846" s="470"/>
      <c r="H4846" s="470">
        <v>4839</v>
      </c>
      <c r="I4846" s="455">
        <f t="shared" ca="1" si="175"/>
        <v>-233798218876636.91</v>
      </c>
      <c r="J4846" s="455">
        <f t="array" ref="J4846">IFERROR(INDEX('Retirement Calculator'!K:K,MATCH('Lorri 401b'!N4846,'Retirement Calculator'!A:A,0),0),0)</f>
        <v>0</v>
      </c>
      <c r="K4846" s="455">
        <f t="shared" ca="1" si="173"/>
        <v>-974159245319.32043</v>
      </c>
      <c r="L4846" s="455">
        <f t="shared" ca="1" si="174"/>
        <v>-234772378121956.22</v>
      </c>
      <c r="M4846" s="471">
        <f t="shared" si="176"/>
        <v>0.05</v>
      </c>
      <c r="N4846" s="475">
        <f t="shared" si="177"/>
        <v>198541</v>
      </c>
    </row>
    <row r="4847" spans="7:14" ht="11.25" customHeight="1" x14ac:dyDescent="0.3">
      <c r="G4847" s="470"/>
      <c r="H4847" s="470">
        <v>4840</v>
      </c>
      <c r="I4847" s="455">
        <f t="shared" ca="1" si="175"/>
        <v>-234772378121956.22</v>
      </c>
      <c r="J4847" s="455">
        <f t="array" ref="J4847">IFERROR(INDEX('Retirement Calculator'!K:K,MATCH('Lorri 401b'!N4847,'Retirement Calculator'!A:A,0),0),0)</f>
        <v>0</v>
      </c>
      <c r="K4847" s="455">
        <f t="shared" ca="1" si="173"/>
        <v>-978218242174.81775</v>
      </c>
      <c r="L4847" s="455">
        <f t="shared" ca="1" si="174"/>
        <v>-235750596364131.03</v>
      </c>
      <c r="M4847" s="471">
        <f t="shared" si="176"/>
        <v>0.05</v>
      </c>
      <c r="N4847" s="475">
        <f t="shared" si="177"/>
        <v>198572</v>
      </c>
    </row>
    <row r="4848" spans="7:14" ht="11.25" customHeight="1" x14ac:dyDescent="0.3">
      <c r="G4848" s="470"/>
      <c r="H4848" s="470">
        <v>4841</v>
      </c>
      <c r="I4848" s="455">
        <f t="shared" ca="1" si="175"/>
        <v>-235750596364131.03</v>
      </c>
      <c r="J4848" s="455">
        <f t="array" ref="J4848">IFERROR(INDEX('Retirement Calculator'!K:K,MATCH('Lorri 401b'!N4848,'Retirement Calculator'!A:A,0),0),0)</f>
        <v>0</v>
      </c>
      <c r="K4848" s="455">
        <f t="shared" ca="1" si="173"/>
        <v>-982294151517.21265</v>
      </c>
      <c r="L4848" s="455">
        <f t="shared" ca="1" si="174"/>
        <v>-236732890515648.25</v>
      </c>
      <c r="M4848" s="471">
        <f t="shared" si="176"/>
        <v>0.05</v>
      </c>
      <c r="N4848" s="475">
        <f t="shared" si="177"/>
        <v>198602</v>
      </c>
    </row>
    <row r="4849" spans="7:14" ht="11.25" customHeight="1" x14ac:dyDescent="0.3">
      <c r="G4849" s="470"/>
      <c r="H4849" s="470">
        <v>4842</v>
      </c>
      <c r="I4849" s="455">
        <f t="shared" ca="1" si="175"/>
        <v>-236732890515648.25</v>
      </c>
      <c r="J4849" s="455">
        <f t="array" ref="J4849">IFERROR(INDEX('Retirement Calculator'!K:K,MATCH('Lorri 401b'!N4849,'Retirement Calculator'!A:A,0),0),0)</f>
        <v>0</v>
      </c>
      <c r="K4849" s="455">
        <f t="shared" ca="1" si="173"/>
        <v>-986387043815.20105</v>
      </c>
      <c r="L4849" s="455">
        <f t="shared" ca="1" si="174"/>
        <v>-237719277559463.44</v>
      </c>
      <c r="M4849" s="471">
        <f t="shared" si="176"/>
        <v>0.05</v>
      </c>
      <c r="N4849" s="475">
        <f t="shared" si="177"/>
        <v>198633</v>
      </c>
    </row>
    <row r="4850" spans="7:14" ht="11.25" customHeight="1" x14ac:dyDescent="0.3">
      <c r="G4850" s="470"/>
      <c r="H4850" s="470">
        <v>4843</v>
      </c>
      <c r="I4850" s="455">
        <f t="shared" ca="1" si="175"/>
        <v>-237719277559463.44</v>
      </c>
      <c r="J4850" s="455">
        <f t="array" ref="J4850">IFERROR(INDEX('Retirement Calculator'!K:K,MATCH('Lorri 401b'!N4850,'Retirement Calculator'!A:A,0),0),0)</f>
        <v>0</v>
      </c>
      <c r="K4850" s="455">
        <f t="shared" ca="1" si="173"/>
        <v>-990496989831.09766</v>
      </c>
      <c r="L4850" s="455">
        <f t="shared" ca="1" si="174"/>
        <v>-238709774549294.53</v>
      </c>
      <c r="M4850" s="471">
        <f t="shared" si="176"/>
        <v>0.05</v>
      </c>
      <c r="N4850" s="475">
        <f t="shared" si="177"/>
        <v>198663</v>
      </c>
    </row>
    <row r="4851" spans="7:14" ht="11.25" customHeight="1" x14ac:dyDescent="0.3">
      <c r="G4851" s="470"/>
      <c r="H4851" s="470">
        <v>4844</v>
      </c>
      <c r="I4851" s="455">
        <f t="shared" ca="1" si="175"/>
        <v>-238709774549294.53</v>
      </c>
      <c r="J4851" s="455">
        <f t="array" ref="J4851">IFERROR(INDEX('Retirement Calculator'!K:K,MATCH('Lorri 401b'!N4851,'Retirement Calculator'!A:A,0),0),0)</f>
        <v>0</v>
      </c>
      <c r="K4851" s="455">
        <f t="shared" ca="1" si="173"/>
        <v>-994624060622.06055</v>
      </c>
      <c r="L4851" s="455">
        <f t="shared" ca="1" si="174"/>
        <v>-239704398609916.59</v>
      </c>
      <c r="M4851" s="471">
        <f t="shared" si="176"/>
        <v>0.05</v>
      </c>
      <c r="N4851" s="475">
        <f t="shared" si="177"/>
        <v>198694</v>
      </c>
    </row>
    <row r="4852" spans="7:14" ht="11.25" customHeight="1" x14ac:dyDescent="0.3">
      <c r="G4852" s="470"/>
      <c r="H4852" s="470">
        <v>4845</v>
      </c>
      <c r="I4852" s="455">
        <f t="shared" ca="1" si="175"/>
        <v>-239704398609916.59</v>
      </c>
      <c r="J4852" s="455">
        <f t="array" ref="J4852">IFERROR(INDEX('Retirement Calculator'!K:K,MATCH('Lorri 401b'!N4852,'Retirement Calculator'!A:A,0),0),0)</f>
        <v>0</v>
      </c>
      <c r="K4852" s="455">
        <f t="shared" ca="1" si="173"/>
        <v>-998768327541.31909</v>
      </c>
      <c r="L4852" s="455">
        <f t="shared" ca="1" si="174"/>
        <v>-240703166937457.91</v>
      </c>
      <c r="M4852" s="471">
        <f t="shared" si="176"/>
        <v>0.05</v>
      </c>
      <c r="N4852" s="475">
        <f t="shared" si="177"/>
        <v>198725</v>
      </c>
    </row>
    <row r="4853" spans="7:14" ht="11.25" customHeight="1" x14ac:dyDescent="0.3">
      <c r="G4853" s="470"/>
      <c r="H4853" s="470">
        <v>4846</v>
      </c>
      <c r="I4853" s="455">
        <f t="shared" ca="1" si="175"/>
        <v>-240703166937457.91</v>
      </c>
      <c r="J4853" s="455">
        <f t="array" ref="J4853">IFERROR(INDEX('Retirement Calculator'!K:K,MATCH('Lorri 401b'!N4853,'Retirement Calculator'!A:A,0),0),0)</f>
        <v>0</v>
      </c>
      <c r="K4853" s="455">
        <f t="shared" ref="K4853:K5107" ca="1" si="178">IPMT(M4853/12,1,12,-I4853+J4853,,0)</f>
        <v>-1002929862239.408</v>
      </c>
      <c r="L4853" s="455">
        <f t="shared" ref="L4853:L5107" ca="1" si="179">I4853-J4853+K4853</f>
        <v>-241706096799697.31</v>
      </c>
      <c r="M4853" s="471">
        <f t="shared" si="176"/>
        <v>0.05</v>
      </c>
      <c r="N4853" s="475">
        <f t="shared" si="177"/>
        <v>198754</v>
      </c>
    </row>
    <row r="4854" spans="7:14" ht="11.25" customHeight="1" x14ac:dyDescent="0.3">
      <c r="G4854" s="470"/>
      <c r="H4854" s="470">
        <v>4847</v>
      </c>
      <c r="I4854" s="455">
        <f t="shared" ref="I4854:I5108" ca="1" si="180">L4853</f>
        <v>-241706096799697.31</v>
      </c>
      <c r="J4854" s="455">
        <f t="array" ref="J4854">IFERROR(INDEX('Retirement Calculator'!K:K,MATCH('Lorri 401b'!N4854,'Retirement Calculator'!A:A,0),0),0)</f>
        <v>0</v>
      </c>
      <c r="K4854" s="455">
        <f t="shared" ca="1" si="178"/>
        <v>-1007108736665.4056</v>
      </c>
      <c r="L4854" s="455">
        <f t="shared" ca="1" si="179"/>
        <v>-242713205536362.72</v>
      </c>
      <c r="M4854" s="471">
        <f t="shared" ref="M4854:M5108" si="181">M4853</f>
        <v>0.05</v>
      </c>
      <c r="N4854" s="475">
        <f t="shared" ref="N4854:N5108" si="182">EDATE(N4853,1)</f>
        <v>198785</v>
      </c>
    </row>
    <row r="4855" spans="7:14" ht="11.25" customHeight="1" x14ac:dyDescent="0.3">
      <c r="G4855" s="470"/>
      <c r="H4855" s="470">
        <v>4848</v>
      </c>
      <c r="I4855" s="455">
        <f t="shared" ca="1" si="180"/>
        <v>-242713205536362.72</v>
      </c>
      <c r="J4855" s="455">
        <f t="array" ref="J4855">IFERROR(INDEX('Retirement Calculator'!K:K,MATCH('Lorri 401b'!N4855,'Retirement Calculator'!A:A,0),0),0)</f>
        <v>0</v>
      </c>
      <c r="K4855" s="455">
        <f t="shared" ca="1" si="178"/>
        <v>-1011305023068.178</v>
      </c>
      <c r="L4855" s="455">
        <f t="shared" ca="1" si="179"/>
        <v>-243724510559430.91</v>
      </c>
      <c r="M4855" s="471">
        <f t="shared" si="181"/>
        <v>0.05</v>
      </c>
      <c r="N4855" s="475">
        <f t="shared" si="182"/>
        <v>198815</v>
      </c>
    </row>
    <row r="4856" spans="7:14" ht="11.25" customHeight="1" x14ac:dyDescent="0.3">
      <c r="G4856" s="470"/>
      <c r="H4856" s="470">
        <v>4849</v>
      </c>
      <c r="I4856" s="455">
        <f t="shared" ca="1" si="180"/>
        <v>-243724510559430.91</v>
      </c>
      <c r="J4856" s="455">
        <f t="array" ref="J4856">IFERROR(INDEX('Retirement Calculator'!K:K,MATCH('Lorri 401b'!N4856,'Retirement Calculator'!A:A,0),0),0)</f>
        <v>0</v>
      </c>
      <c r="K4856" s="455">
        <f t="shared" ca="1" si="178"/>
        <v>-1015518793997.6288</v>
      </c>
      <c r="L4856" s="455">
        <f t="shared" ca="1" si="179"/>
        <v>-244740029353428.53</v>
      </c>
      <c r="M4856" s="471">
        <f t="shared" si="181"/>
        <v>0.05</v>
      </c>
      <c r="N4856" s="475">
        <f t="shared" si="182"/>
        <v>198846</v>
      </c>
    </row>
    <row r="4857" spans="7:14" ht="11.25" customHeight="1" x14ac:dyDescent="0.3">
      <c r="G4857" s="470"/>
      <c r="H4857" s="470">
        <v>4850</v>
      </c>
      <c r="I4857" s="455">
        <f t="shared" ca="1" si="180"/>
        <v>-244740029353428.53</v>
      </c>
      <c r="J4857" s="455">
        <f t="array" ref="J4857">IFERROR(INDEX('Retirement Calculator'!K:K,MATCH('Lorri 401b'!N4857,'Retirement Calculator'!A:A,0),0),0)</f>
        <v>0</v>
      </c>
      <c r="K4857" s="455">
        <f t="shared" ca="1" si="178"/>
        <v>-1019750122305.952</v>
      </c>
      <c r="L4857" s="455">
        <f t="shared" ca="1" si="179"/>
        <v>-245759779475734.47</v>
      </c>
      <c r="M4857" s="471">
        <f t="shared" si="181"/>
        <v>0.05</v>
      </c>
      <c r="N4857" s="475">
        <f t="shared" si="182"/>
        <v>198876</v>
      </c>
    </row>
    <row r="4858" spans="7:14" ht="11.25" customHeight="1" x14ac:dyDescent="0.3">
      <c r="G4858" s="470"/>
      <c r="H4858" s="470">
        <v>4851</v>
      </c>
      <c r="I4858" s="455">
        <f t="shared" ca="1" si="180"/>
        <v>-245759779475734.47</v>
      </c>
      <c r="J4858" s="455">
        <f t="array" ref="J4858">IFERROR(INDEX('Retirement Calculator'!K:K,MATCH('Lorri 401b'!N4858,'Retirement Calculator'!A:A,0),0),0)</f>
        <v>0</v>
      </c>
      <c r="K4858" s="455">
        <f t="shared" ca="1" si="178"/>
        <v>-1023999081148.8936</v>
      </c>
      <c r="L4858" s="455">
        <f t="shared" ca="1" si="179"/>
        <v>-246783778556883.38</v>
      </c>
      <c r="M4858" s="471">
        <f t="shared" si="181"/>
        <v>0.05</v>
      </c>
      <c r="N4858" s="475">
        <f t="shared" si="182"/>
        <v>198907</v>
      </c>
    </row>
    <row r="4859" spans="7:14" ht="11.25" customHeight="1" x14ac:dyDescent="0.3">
      <c r="G4859" s="470"/>
      <c r="H4859" s="470">
        <v>4852</v>
      </c>
      <c r="I4859" s="455">
        <f t="shared" ca="1" si="180"/>
        <v>-246783778556883.38</v>
      </c>
      <c r="J4859" s="455">
        <f t="array" ref="J4859">IFERROR(INDEX('Retirement Calculator'!K:K,MATCH('Lorri 401b'!N4859,'Retirement Calculator'!A:A,0),0),0)</f>
        <v>0</v>
      </c>
      <c r="K4859" s="455">
        <f t="shared" ca="1" si="178"/>
        <v>-1028265743987.0142</v>
      </c>
      <c r="L4859" s="455">
        <f t="shared" ca="1" si="179"/>
        <v>-247812044300870.38</v>
      </c>
      <c r="M4859" s="471">
        <f t="shared" si="181"/>
        <v>0.05</v>
      </c>
      <c r="N4859" s="475">
        <f t="shared" si="182"/>
        <v>198938</v>
      </c>
    </row>
    <row r="4860" spans="7:14" ht="11.25" customHeight="1" x14ac:dyDescent="0.3">
      <c r="G4860" s="470"/>
      <c r="H4860" s="470">
        <v>4853</v>
      </c>
      <c r="I4860" s="455">
        <f t="shared" ca="1" si="180"/>
        <v>-247812044300870.38</v>
      </c>
      <c r="J4860" s="455">
        <f t="array" ref="J4860">IFERROR(INDEX('Retirement Calculator'!K:K,MATCH('Lorri 401b'!N4860,'Retirement Calculator'!A:A,0),0),0)</f>
        <v>0</v>
      </c>
      <c r="K4860" s="455">
        <f t="shared" ca="1" si="178"/>
        <v>-1032550184586.9598</v>
      </c>
      <c r="L4860" s="455">
        <f t="shared" ca="1" si="179"/>
        <v>-248844594485457.34</v>
      </c>
      <c r="M4860" s="471">
        <f t="shared" si="181"/>
        <v>0.05</v>
      </c>
      <c r="N4860" s="475">
        <f t="shared" si="182"/>
        <v>198968</v>
      </c>
    </row>
    <row r="4861" spans="7:14" ht="11.25" customHeight="1" x14ac:dyDescent="0.3">
      <c r="G4861" s="470"/>
      <c r="H4861" s="470">
        <v>4854</v>
      </c>
      <c r="I4861" s="455">
        <f t="shared" ca="1" si="180"/>
        <v>-248844594485457.34</v>
      </c>
      <c r="J4861" s="455">
        <f t="array" ref="J4861">IFERROR(INDEX('Retirement Calculator'!K:K,MATCH('Lorri 401b'!N4861,'Retirement Calculator'!A:A,0),0),0)</f>
        <v>0</v>
      </c>
      <c r="K4861" s="455">
        <f t="shared" ca="1" si="178"/>
        <v>-1036852477022.739</v>
      </c>
      <c r="L4861" s="455">
        <f t="shared" ca="1" si="179"/>
        <v>-249881446962480.09</v>
      </c>
      <c r="M4861" s="471">
        <f t="shared" si="181"/>
        <v>0.05</v>
      </c>
      <c r="N4861" s="475">
        <f t="shared" si="182"/>
        <v>198999</v>
      </c>
    </row>
    <row r="4862" spans="7:14" ht="11.25" customHeight="1" x14ac:dyDescent="0.3">
      <c r="G4862" s="470"/>
      <c r="H4862" s="470">
        <v>4855</v>
      </c>
      <c r="I4862" s="455">
        <f t="shared" ca="1" si="180"/>
        <v>-249881446962480.09</v>
      </c>
      <c r="J4862" s="455">
        <f t="array" ref="J4862">IFERROR(INDEX('Retirement Calculator'!K:K,MATCH('Lorri 401b'!N4862,'Retirement Calculator'!A:A,0),0),0)</f>
        <v>0</v>
      </c>
      <c r="K4862" s="455">
        <f t="shared" ca="1" si="178"/>
        <v>-1041172695677.0004</v>
      </c>
      <c r="L4862" s="455">
        <f t="shared" ca="1" si="179"/>
        <v>-250922619658157.09</v>
      </c>
      <c r="M4862" s="471">
        <f t="shared" si="181"/>
        <v>0.05</v>
      </c>
      <c r="N4862" s="475">
        <f t="shared" si="182"/>
        <v>199029</v>
      </c>
    </row>
    <row r="4863" spans="7:14" ht="11.25" customHeight="1" x14ac:dyDescent="0.3">
      <c r="G4863" s="470"/>
      <c r="H4863" s="470">
        <v>4856</v>
      </c>
      <c r="I4863" s="455">
        <f t="shared" ca="1" si="180"/>
        <v>-250922619658157.09</v>
      </c>
      <c r="J4863" s="455">
        <f t="array" ref="J4863">IFERROR(INDEX('Retirement Calculator'!K:K,MATCH('Lorri 401b'!N4863,'Retirement Calculator'!A:A,0),0),0)</f>
        <v>0</v>
      </c>
      <c r="K4863" s="455">
        <f t="shared" ca="1" si="178"/>
        <v>-1045510915242.321</v>
      </c>
      <c r="L4863" s="455">
        <f t="shared" ca="1" si="179"/>
        <v>-251968130573399.41</v>
      </c>
      <c r="M4863" s="471">
        <f t="shared" si="181"/>
        <v>0.05</v>
      </c>
      <c r="N4863" s="475">
        <f t="shared" si="182"/>
        <v>199060</v>
      </c>
    </row>
    <row r="4864" spans="7:14" ht="11.25" customHeight="1" x14ac:dyDescent="0.3">
      <c r="G4864" s="470"/>
      <c r="H4864" s="470">
        <v>4857</v>
      </c>
      <c r="I4864" s="455">
        <f t="shared" ca="1" si="180"/>
        <v>-251968130573399.41</v>
      </c>
      <c r="J4864" s="455">
        <f t="array" ref="J4864">IFERROR(INDEX('Retirement Calculator'!K:K,MATCH('Lorri 401b'!N4864,'Retirement Calculator'!A:A,0),0),0)</f>
        <v>0</v>
      </c>
      <c r="K4864" s="455">
        <f t="shared" ca="1" si="178"/>
        <v>-1049867210722.4974</v>
      </c>
      <c r="L4864" s="455">
        <f t="shared" ca="1" si="179"/>
        <v>-253017997784121.91</v>
      </c>
      <c r="M4864" s="471">
        <f t="shared" si="181"/>
        <v>0.05</v>
      </c>
      <c r="N4864" s="475">
        <f t="shared" si="182"/>
        <v>199091</v>
      </c>
    </row>
    <row r="4865" spans="7:14" ht="11.25" customHeight="1" x14ac:dyDescent="0.3">
      <c r="G4865" s="470"/>
      <c r="H4865" s="470">
        <v>4858</v>
      </c>
      <c r="I4865" s="455">
        <f t="shared" ca="1" si="180"/>
        <v>-253017997784121.91</v>
      </c>
      <c r="J4865" s="455">
        <f t="array" ref="J4865">IFERROR(INDEX('Retirement Calculator'!K:K,MATCH('Lorri 401b'!N4865,'Retirement Calculator'!A:A,0),0),0)</f>
        <v>0</v>
      </c>
      <c r="K4865" s="455">
        <f t="shared" ca="1" si="178"/>
        <v>-1054241657433.8413</v>
      </c>
      <c r="L4865" s="455">
        <f t="shared" ca="1" si="179"/>
        <v>-254072239441555.75</v>
      </c>
      <c r="M4865" s="471">
        <f t="shared" si="181"/>
        <v>0.05</v>
      </c>
      <c r="N4865" s="475">
        <f t="shared" si="182"/>
        <v>199119</v>
      </c>
    </row>
    <row r="4866" spans="7:14" ht="11.25" customHeight="1" x14ac:dyDescent="0.3">
      <c r="G4866" s="470"/>
      <c r="H4866" s="470">
        <v>4859</v>
      </c>
      <c r="I4866" s="455">
        <f t="shared" ca="1" si="180"/>
        <v>-254072239441555.75</v>
      </c>
      <c r="J4866" s="455">
        <f t="array" ref="J4866">IFERROR(INDEX('Retirement Calculator'!K:K,MATCH('Lorri 401b'!N4866,'Retirement Calculator'!A:A,0),0),0)</f>
        <v>0</v>
      </c>
      <c r="K4866" s="455">
        <f t="shared" ca="1" si="178"/>
        <v>-1058634331006.4824</v>
      </c>
      <c r="L4866" s="455">
        <f t="shared" ca="1" si="179"/>
        <v>-255130873772562.22</v>
      </c>
      <c r="M4866" s="471">
        <f t="shared" si="181"/>
        <v>0.05</v>
      </c>
      <c r="N4866" s="475">
        <f t="shared" si="182"/>
        <v>199150</v>
      </c>
    </row>
    <row r="4867" spans="7:14" ht="11.25" customHeight="1" x14ac:dyDescent="0.3">
      <c r="G4867" s="470"/>
      <c r="H4867" s="470">
        <v>4860</v>
      </c>
      <c r="I4867" s="455">
        <f t="shared" ca="1" si="180"/>
        <v>-255130873772562.22</v>
      </c>
      <c r="J4867" s="455">
        <f t="array" ref="J4867">IFERROR(INDEX('Retirement Calculator'!K:K,MATCH('Lorri 401b'!N4867,'Retirement Calculator'!A:A,0),0),0)</f>
        <v>0</v>
      </c>
      <c r="K4867" s="455">
        <f t="shared" ca="1" si="178"/>
        <v>-1063045307385.6759</v>
      </c>
      <c r="L4867" s="455">
        <f t="shared" ca="1" si="179"/>
        <v>-256193919079947.91</v>
      </c>
      <c r="M4867" s="471">
        <f t="shared" si="181"/>
        <v>0.05</v>
      </c>
      <c r="N4867" s="475">
        <f t="shared" si="182"/>
        <v>199180</v>
      </c>
    </row>
    <row r="4868" spans="7:14" ht="11.25" customHeight="1" x14ac:dyDescent="0.3">
      <c r="G4868" s="470"/>
      <c r="H4868" s="470">
        <v>4861</v>
      </c>
      <c r="I4868" s="455">
        <f t="shared" ca="1" si="180"/>
        <v>-256193919079947.91</v>
      </c>
      <c r="J4868" s="455">
        <f t="array" ref="J4868">IFERROR(INDEX('Retirement Calculator'!K:K,MATCH('Lorri 401b'!N4868,'Retirement Calculator'!A:A,0),0),0)</f>
        <v>0</v>
      </c>
      <c r="K4868" s="455">
        <f t="shared" ca="1" si="178"/>
        <v>-1067474662833.1162</v>
      </c>
      <c r="L4868" s="455">
        <f t="shared" ca="1" si="179"/>
        <v>-257261393742781.03</v>
      </c>
      <c r="M4868" s="471">
        <f t="shared" si="181"/>
        <v>0.05</v>
      </c>
      <c r="N4868" s="475">
        <f t="shared" si="182"/>
        <v>199211</v>
      </c>
    </row>
    <row r="4869" spans="7:14" ht="11.25" customHeight="1" x14ac:dyDescent="0.3">
      <c r="G4869" s="470"/>
      <c r="H4869" s="470">
        <v>4862</v>
      </c>
      <c r="I4869" s="455">
        <f t="shared" ca="1" si="180"/>
        <v>-257261393742781.03</v>
      </c>
      <c r="J4869" s="455">
        <f t="array" ref="J4869">IFERROR(INDEX('Retirement Calculator'!K:K,MATCH('Lorri 401b'!N4869,'Retirement Calculator'!A:A,0),0),0)</f>
        <v>0</v>
      </c>
      <c r="K4869" s="455">
        <f t="shared" ca="1" si="178"/>
        <v>-1071922473928.2544</v>
      </c>
      <c r="L4869" s="455">
        <f t="shared" ca="1" si="179"/>
        <v>-258333316216709.28</v>
      </c>
      <c r="M4869" s="471">
        <f t="shared" si="181"/>
        <v>0.05</v>
      </c>
      <c r="N4869" s="475">
        <f t="shared" si="182"/>
        <v>199241</v>
      </c>
    </row>
    <row r="4870" spans="7:14" ht="11.25" customHeight="1" x14ac:dyDescent="0.3">
      <c r="G4870" s="470"/>
      <c r="H4870" s="470">
        <v>4863</v>
      </c>
      <c r="I4870" s="455">
        <f t="shared" ca="1" si="180"/>
        <v>-258333316216709.28</v>
      </c>
      <c r="J4870" s="455">
        <f t="array" ref="J4870">IFERROR(INDEX('Retirement Calculator'!K:K,MATCH('Lorri 401b'!N4870,'Retirement Calculator'!A:A,0),0),0)</f>
        <v>0</v>
      </c>
      <c r="K4870" s="455">
        <f t="shared" ca="1" si="178"/>
        <v>-1076388817569.6218</v>
      </c>
      <c r="L4870" s="455">
        <f t="shared" ca="1" si="179"/>
        <v>-259409705034278.91</v>
      </c>
      <c r="M4870" s="471">
        <f t="shared" si="181"/>
        <v>0.05</v>
      </c>
      <c r="N4870" s="475">
        <f t="shared" si="182"/>
        <v>199272</v>
      </c>
    </row>
    <row r="4871" spans="7:14" ht="11.25" customHeight="1" x14ac:dyDescent="0.3">
      <c r="G4871" s="470"/>
      <c r="H4871" s="470">
        <v>4864</v>
      </c>
      <c r="I4871" s="455">
        <f t="shared" ca="1" si="180"/>
        <v>-259409705034278.91</v>
      </c>
      <c r="J4871" s="455">
        <f t="array" ref="J4871">IFERROR(INDEX('Retirement Calculator'!K:K,MATCH('Lorri 401b'!N4871,'Retirement Calculator'!A:A,0),0),0)</f>
        <v>0</v>
      </c>
      <c r="K4871" s="455">
        <f t="shared" ca="1" si="178"/>
        <v>-1080873770976.1621</v>
      </c>
      <c r="L4871" s="455">
        <f t="shared" ca="1" si="179"/>
        <v>-260490578805255.06</v>
      </c>
      <c r="M4871" s="471">
        <f t="shared" si="181"/>
        <v>0.05</v>
      </c>
      <c r="N4871" s="475">
        <f t="shared" si="182"/>
        <v>199303</v>
      </c>
    </row>
    <row r="4872" spans="7:14" ht="11.25" customHeight="1" x14ac:dyDescent="0.3">
      <c r="G4872" s="470"/>
      <c r="H4872" s="470">
        <v>4865</v>
      </c>
      <c r="I4872" s="455">
        <f t="shared" ca="1" si="180"/>
        <v>-260490578805255.06</v>
      </c>
      <c r="J4872" s="455">
        <f t="array" ref="J4872">IFERROR(INDEX('Retirement Calculator'!K:K,MATCH('Lorri 401b'!N4872,'Retirement Calculator'!A:A,0),0),0)</f>
        <v>0</v>
      </c>
      <c r="K4872" s="455">
        <f t="shared" ca="1" si="178"/>
        <v>-1085377411688.5627</v>
      </c>
      <c r="L4872" s="455">
        <f t="shared" ca="1" si="179"/>
        <v>-261575956216943.63</v>
      </c>
      <c r="M4872" s="471">
        <f t="shared" si="181"/>
        <v>0.05</v>
      </c>
      <c r="N4872" s="475">
        <f t="shared" si="182"/>
        <v>199333</v>
      </c>
    </row>
    <row r="4873" spans="7:14" ht="11.25" customHeight="1" x14ac:dyDescent="0.3">
      <c r="G4873" s="470"/>
      <c r="H4873" s="470">
        <v>4866</v>
      </c>
      <c r="I4873" s="455">
        <f t="shared" ca="1" si="180"/>
        <v>-261575956216943.63</v>
      </c>
      <c r="J4873" s="455">
        <f t="array" ref="J4873">IFERROR(INDEX('Retirement Calculator'!K:K,MATCH('Lorri 401b'!N4873,'Retirement Calculator'!A:A,0),0),0)</f>
        <v>0</v>
      </c>
      <c r="K4873" s="455">
        <f t="shared" ca="1" si="178"/>
        <v>-1089899817570.5983</v>
      </c>
      <c r="L4873" s="455">
        <f t="shared" ca="1" si="179"/>
        <v>-262665856034514.22</v>
      </c>
      <c r="M4873" s="471">
        <f t="shared" si="181"/>
        <v>0.05</v>
      </c>
      <c r="N4873" s="475">
        <f t="shared" si="182"/>
        <v>199364</v>
      </c>
    </row>
    <row r="4874" spans="7:14" ht="11.25" customHeight="1" x14ac:dyDescent="0.3">
      <c r="G4874" s="470"/>
      <c r="H4874" s="470">
        <v>4867</v>
      </c>
      <c r="I4874" s="455">
        <f t="shared" ca="1" si="180"/>
        <v>-262665856034514.22</v>
      </c>
      <c r="J4874" s="455">
        <f t="array" ref="J4874">IFERROR(INDEX('Retirement Calculator'!K:K,MATCH('Lorri 401b'!N4874,'Retirement Calculator'!A:A,0),0),0)</f>
        <v>0</v>
      </c>
      <c r="K4874" s="455">
        <f t="shared" ca="1" si="178"/>
        <v>-1094441066810.476</v>
      </c>
      <c r="L4874" s="455">
        <f t="shared" ca="1" si="179"/>
        <v>-263760297101324.69</v>
      </c>
      <c r="M4874" s="471">
        <f t="shared" si="181"/>
        <v>0.05</v>
      </c>
      <c r="N4874" s="475">
        <f t="shared" si="182"/>
        <v>199394</v>
      </c>
    </row>
    <row r="4875" spans="7:14" ht="11.25" customHeight="1" x14ac:dyDescent="0.3">
      <c r="G4875" s="470"/>
      <c r="H4875" s="470">
        <v>4868</v>
      </c>
      <c r="I4875" s="455">
        <f t="shared" ca="1" si="180"/>
        <v>-263760297101324.69</v>
      </c>
      <c r="J4875" s="455">
        <f t="array" ref="J4875">IFERROR(INDEX('Retirement Calculator'!K:K,MATCH('Lorri 401b'!N4875,'Retirement Calculator'!A:A,0),0),0)</f>
        <v>0</v>
      </c>
      <c r="K4875" s="455">
        <f t="shared" ca="1" si="178"/>
        <v>-1099001237922.1862</v>
      </c>
      <c r="L4875" s="455">
        <f t="shared" ca="1" si="179"/>
        <v>-264859298339246.88</v>
      </c>
      <c r="M4875" s="471">
        <f t="shared" si="181"/>
        <v>0.05</v>
      </c>
      <c r="N4875" s="475">
        <f t="shared" si="182"/>
        <v>199425</v>
      </c>
    </row>
    <row r="4876" spans="7:14" ht="11.25" customHeight="1" x14ac:dyDescent="0.3">
      <c r="G4876" s="470"/>
      <c r="H4876" s="470">
        <v>4869</v>
      </c>
      <c r="I4876" s="455">
        <f t="shared" ca="1" si="180"/>
        <v>-264859298339246.88</v>
      </c>
      <c r="J4876" s="455">
        <f t="array" ref="J4876">IFERROR(INDEX('Retirement Calculator'!K:K,MATCH('Lorri 401b'!N4876,'Retirement Calculator'!A:A,0),0),0)</f>
        <v>0</v>
      </c>
      <c r="K4876" s="455">
        <f t="shared" ca="1" si="178"/>
        <v>-1103580409746.8621</v>
      </c>
      <c r="L4876" s="455">
        <f t="shared" ca="1" si="179"/>
        <v>-265962878748993.75</v>
      </c>
      <c r="M4876" s="471">
        <f t="shared" si="181"/>
        <v>0.05</v>
      </c>
      <c r="N4876" s="475">
        <f t="shared" si="182"/>
        <v>199456</v>
      </c>
    </row>
    <row r="4877" spans="7:14" ht="11.25" customHeight="1" x14ac:dyDescent="0.3">
      <c r="G4877" s="470"/>
      <c r="H4877" s="470">
        <v>4870</v>
      </c>
      <c r="I4877" s="455">
        <f t="shared" ca="1" si="180"/>
        <v>-265962878748993.75</v>
      </c>
      <c r="J4877" s="455">
        <f t="array" ref="J4877">IFERROR(INDEX('Retirement Calculator'!K:K,MATCH('Lorri 401b'!N4877,'Retirement Calculator'!A:A,0),0),0)</f>
        <v>0</v>
      </c>
      <c r="K4877" s="455">
        <f t="shared" ca="1" si="178"/>
        <v>-1108178661454.1406</v>
      </c>
      <c r="L4877" s="455">
        <f t="shared" ca="1" si="179"/>
        <v>-267071057410447.88</v>
      </c>
      <c r="M4877" s="471">
        <f t="shared" si="181"/>
        <v>0.05</v>
      </c>
      <c r="N4877" s="475">
        <f t="shared" si="182"/>
        <v>199484</v>
      </c>
    </row>
    <row r="4878" spans="7:14" ht="11.25" customHeight="1" x14ac:dyDescent="0.3">
      <c r="G4878" s="470"/>
      <c r="H4878" s="470">
        <v>4871</v>
      </c>
      <c r="I4878" s="455">
        <f t="shared" ca="1" si="180"/>
        <v>-267071057410447.88</v>
      </c>
      <c r="J4878" s="455">
        <f t="array" ref="J4878">IFERROR(INDEX('Retirement Calculator'!K:K,MATCH('Lorri 401b'!N4878,'Retirement Calculator'!A:A,0),0),0)</f>
        <v>0</v>
      </c>
      <c r="K4878" s="455">
        <f t="shared" ca="1" si="178"/>
        <v>-1112796072543.5327</v>
      </c>
      <c r="L4878" s="455">
        <f t="shared" ca="1" si="179"/>
        <v>-268183853482991.41</v>
      </c>
      <c r="M4878" s="471">
        <f t="shared" si="181"/>
        <v>0.05</v>
      </c>
      <c r="N4878" s="475">
        <f t="shared" si="182"/>
        <v>199515</v>
      </c>
    </row>
    <row r="4879" spans="7:14" ht="11.25" customHeight="1" x14ac:dyDescent="0.3">
      <c r="G4879" s="470"/>
      <c r="H4879" s="470">
        <v>4872</v>
      </c>
      <c r="I4879" s="455">
        <f t="shared" ca="1" si="180"/>
        <v>-268183853482991.41</v>
      </c>
      <c r="J4879" s="455">
        <f t="array" ref="J4879">IFERROR(INDEX('Retirement Calculator'!K:K,MATCH('Lorri 401b'!N4879,'Retirement Calculator'!A:A,0),0),0)</f>
        <v>0</v>
      </c>
      <c r="K4879" s="455">
        <f t="shared" ca="1" si="178"/>
        <v>-1117432722845.7976</v>
      </c>
      <c r="L4879" s="455">
        <f t="shared" ca="1" si="179"/>
        <v>-269301286205837.22</v>
      </c>
      <c r="M4879" s="471">
        <f t="shared" si="181"/>
        <v>0.05</v>
      </c>
      <c r="N4879" s="475">
        <f t="shared" si="182"/>
        <v>199545</v>
      </c>
    </row>
    <row r="4880" spans="7:14" ht="11.25" customHeight="1" x14ac:dyDescent="0.3">
      <c r="G4880" s="470"/>
      <c r="H4880" s="470">
        <v>4873</v>
      </c>
      <c r="I4880" s="455">
        <f t="shared" ca="1" si="180"/>
        <v>-269301286205837.22</v>
      </c>
      <c r="J4880" s="455">
        <f t="array" ref="J4880">IFERROR(INDEX('Retirement Calculator'!K:K,MATCH('Lorri 401b'!N4880,'Retirement Calculator'!A:A,0),0),0)</f>
        <v>0</v>
      </c>
      <c r="K4880" s="455">
        <f t="shared" ca="1" si="178"/>
        <v>-1122088692524.3218</v>
      </c>
      <c r="L4880" s="455">
        <f t="shared" ca="1" si="179"/>
        <v>-270423374898361.53</v>
      </c>
      <c r="M4880" s="471">
        <f t="shared" si="181"/>
        <v>0.05</v>
      </c>
      <c r="N4880" s="475">
        <f t="shared" si="182"/>
        <v>199576</v>
      </c>
    </row>
    <row r="4881" spans="7:14" ht="11.25" customHeight="1" x14ac:dyDescent="0.3">
      <c r="G4881" s="470"/>
      <c r="H4881" s="470">
        <v>4874</v>
      </c>
      <c r="I4881" s="455">
        <f t="shared" ca="1" si="180"/>
        <v>-270423374898361.53</v>
      </c>
      <c r="J4881" s="455">
        <f t="array" ref="J4881">IFERROR(INDEX('Retirement Calculator'!K:K,MATCH('Lorri 401b'!N4881,'Retirement Calculator'!A:A,0),0),0)</f>
        <v>0</v>
      </c>
      <c r="K4881" s="455">
        <f t="shared" ca="1" si="178"/>
        <v>-1126764062076.5063</v>
      </c>
      <c r="L4881" s="455">
        <f t="shared" ca="1" si="179"/>
        <v>-271550138960438.03</v>
      </c>
      <c r="M4881" s="471">
        <f t="shared" si="181"/>
        <v>0.05</v>
      </c>
      <c r="N4881" s="475">
        <f t="shared" si="182"/>
        <v>199606</v>
      </c>
    </row>
    <row r="4882" spans="7:14" ht="11.25" customHeight="1" x14ac:dyDescent="0.3">
      <c r="G4882" s="470"/>
      <c r="H4882" s="470">
        <v>4875</v>
      </c>
      <c r="I4882" s="455">
        <f t="shared" ca="1" si="180"/>
        <v>-271550138960438.03</v>
      </c>
      <c r="J4882" s="455">
        <f t="array" ref="J4882">IFERROR(INDEX('Retirement Calculator'!K:K,MATCH('Lorri 401b'!N4882,'Retirement Calculator'!A:A,0),0),0)</f>
        <v>0</v>
      </c>
      <c r="K4882" s="455">
        <f t="shared" ca="1" si="178"/>
        <v>-1131458912335.1584</v>
      </c>
      <c r="L4882" s="455">
        <f t="shared" ca="1" si="179"/>
        <v>-272681597872773.19</v>
      </c>
      <c r="M4882" s="471">
        <f t="shared" si="181"/>
        <v>0.05</v>
      </c>
      <c r="N4882" s="475">
        <f t="shared" si="182"/>
        <v>199637</v>
      </c>
    </row>
    <row r="4883" spans="7:14" ht="11.25" customHeight="1" x14ac:dyDescent="0.3">
      <c r="G4883" s="470"/>
      <c r="H4883" s="470">
        <v>4876</v>
      </c>
      <c r="I4883" s="455">
        <f t="shared" ca="1" si="180"/>
        <v>-272681597872773.19</v>
      </c>
      <c r="J4883" s="455">
        <f t="array" ref="J4883">IFERROR(INDEX('Retirement Calculator'!K:K,MATCH('Lorri 401b'!N4883,'Retirement Calculator'!A:A,0),0),0)</f>
        <v>0</v>
      </c>
      <c r="K4883" s="455">
        <f t="shared" ca="1" si="178"/>
        <v>-1136173324469.8882</v>
      </c>
      <c r="L4883" s="455">
        <f t="shared" ca="1" si="179"/>
        <v>-273817771197243.06</v>
      </c>
      <c r="M4883" s="471">
        <f t="shared" si="181"/>
        <v>0.05</v>
      </c>
      <c r="N4883" s="475">
        <f t="shared" si="182"/>
        <v>199668</v>
      </c>
    </row>
    <row r="4884" spans="7:14" ht="11.25" customHeight="1" x14ac:dyDescent="0.3">
      <c r="G4884" s="470"/>
      <c r="H4884" s="470">
        <v>4877</v>
      </c>
      <c r="I4884" s="455">
        <f t="shared" ca="1" si="180"/>
        <v>-273817771197243.06</v>
      </c>
      <c r="J4884" s="455">
        <f t="array" ref="J4884">IFERROR(INDEX('Retirement Calculator'!K:K,MATCH('Lorri 401b'!N4884,'Retirement Calculator'!A:A,0),0),0)</f>
        <v>0</v>
      </c>
      <c r="K4884" s="455">
        <f t="shared" ca="1" si="178"/>
        <v>-1140907379988.5127</v>
      </c>
      <c r="L4884" s="455">
        <f t="shared" ca="1" si="179"/>
        <v>-274958678577231.56</v>
      </c>
      <c r="M4884" s="471">
        <f t="shared" si="181"/>
        <v>0.05</v>
      </c>
      <c r="N4884" s="475">
        <f t="shared" si="182"/>
        <v>199698</v>
      </c>
    </row>
    <row r="4885" spans="7:14" ht="11.25" customHeight="1" x14ac:dyDescent="0.3">
      <c r="G4885" s="470"/>
      <c r="H4885" s="470">
        <v>4878</v>
      </c>
      <c r="I4885" s="455">
        <f t="shared" ca="1" si="180"/>
        <v>-274958678577231.56</v>
      </c>
      <c r="J4885" s="455">
        <f t="array" ref="J4885">IFERROR(INDEX('Retirement Calculator'!K:K,MATCH('Lorri 401b'!N4885,'Retirement Calculator'!A:A,0),0),0)</f>
        <v>0</v>
      </c>
      <c r="K4885" s="455">
        <f t="shared" ca="1" si="178"/>
        <v>-1145661160738.4648</v>
      </c>
      <c r="L4885" s="455">
        <f t="shared" ca="1" si="179"/>
        <v>-276104339737970.03</v>
      </c>
      <c r="M4885" s="471">
        <f t="shared" si="181"/>
        <v>0.05</v>
      </c>
      <c r="N4885" s="475">
        <f t="shared" si="182"/>
        <v>199729</v>
      </c>
    </row>
    <row r="4886" spans="7:14" ht="11.25" customHeight="1" x14ac:dyDescent="0.3">
      <c r="G4886" s="470"/>
      <c r="H4886" s="470">
        <v>4879</v>
      </c>
      <c r="I4886" s="455">
        <f t="shared" ca="1" si="180"/>
        <v>-276104339737970.03</v>
      </c>
      <c r="J4886" s="455">
        <f t="array" ref="J4886">IFERROR(INDEX('Retirement Calculator'!K:K,MATCH('Lorri 401b'!N4886,'Retirement Calculator'!A:A,0),0),0)</f>
        <v>0</v>
      </c>
      <c r="K4886" s="455">
        <f t="shared" ca="1" si="178"/>
        <v>-1150434748908.2085</v>
      </c>
      <c r="L4886" s="455">
        <f t="shared" ca="1" si="179"/>
        <v>-277254774486878.25</v>
      </c>
      <c r="M4886" s="471">
        <f t="shared" si="181"/>
        <v>0.05</v>
      </c>
      <c r="N4886" s="475">
        <f t="shared" si="182"/>
        <v>199759</v>
      </c>
    </row>
    <row r="4887" spans="7:14" ht="11.25" customHeight="1" x14ac:dyDescent="0.3">
      <c r="G4887" s="470"/>
      <c r="H4887" s="470">
        <v>4880</v>
      </c>
      <c r="I4887" s="455">
        <f t="shared" ca="1" si="180"/>
        <v>-277254774486878.25</v>
      </c>
      <c r="J4887" s="455">
        <f t="array" ref="J4887">IFERROR(INDEX('Retirement Calculator'!K:K,MATCH('Lorri 401b'!N4887,'Retirement Calculator'!A:A,0),0),0)</f>
        <v>0</v>
      </c>
      <c r="K4887" s="455">
        <f t="shared" ca="1" si="178"/>
        <v>-1155228227028.6594</v>
      </c>
      <c r="L4887" s="455">
        <f t="shared" ca="1" si="179"/>
        <v>-278410002713906.91</v>
      </c>
      <c r="M4887" s="471">
        <f t="shared" si="181"/>
        <v>0.05</v>
      </c>
      <c r="N4887" s="475">
        <f t="shared" si="182"/>
        <v>199790</v>
      </c>
    </row>
    <row r="4888" spans="7:14" ht="11.25" customHeight="1" x14ac:dyDescent="0.3">
      <c r="G4888" s="470"/>
      <c r="H4888" s="470">
        <v>4881</v>
      </c>
      <c r="I4888" s="455">
        <f t="shared" ca="1" si="180"/>
        <v>-278410002713906.91</v>
      </c>
      <c r="J4888" s="455">
        <f t="array" ref="J4888">IFERROR(INDEX('Retirement Calculator'!K:K,MATCH('Lorri 401b'!N4888,'Retirement Calculator'!A:A,0),0),0)</f>
        <v>0</v>
      </c>
      <c r="K4888" s="455">
        <f t="shared" ca="1" si="178"/>
        <v>-1160041677974.6121</v>
      </c>
      <c r="L4888" s="455">
        <f t="shared" ca="1" si="179"/>
        <v>-279570044391881.53</v>
      </c>
      <c r="M4888" s="471">
        <f t="shared" si="181"/>
        <v>0.05</v>
      </c>
      <c r="N4888" s="475">
        <f t="shared" si="182"/>
        <v>199821</v>
      </c>
    </row>
    <row r="4889" spans="7:14" ht="11.25" customHeight="1" x14ac:dyDescent="0.3">
      <c r="G4889" s="470"/>
      <c r="H4889" s="470">
        <v>4882</v>
      </c>
      <c r="I4889" s="455">
        <f t="shared" ca="1" si="180"/>
        <v>-279570044391881.53</v>
      </c>
      <c r="J4889" s="455">
        <f t="array" ref="J4889">IFERROR(INDEX('Retirement Calculator'!K:K,MATCH('Lorri 401b'!N4889,'Retirement Calculator'!A:A,0),0),0)</f>
        <v>0</v>
      </c>
      <c r="K4889" s="455">
        <f t="shared" ca="1" si="178"/>
        <v>-1164875184966.1731</v>
      </c>
      <c r="L4889" s="455">
        <f t="shared" ca="1" si="179"/>
        <v>-280734919576847.72</v>
      </c>
      <c r="M4889" s="471">
        <f t="shared" si="181"/>
        <v>0.05</v>
      </c>
      <c r="N4889" s="475">
        <f t="shared" si="182"/>
        <v>199849</v>
      </c>
    </row>
    <row r="4890" spans="7:14" ht="11.25" customHeight="1" x14ac:dyDescent="0.3">
      <c r="G4890" s="470"/>
      <c r="H4890" s="470">
        <v>4883</v>
      </c>
      <c r="I4890" s="455">
        <f t="shared" ca="1" si="180"/>
        <v>-280734919576847.72</v>
      </c>
      <c r="J4890" s="455">
        <f t="array" ref="J4890">IFERROR(INDEX('Retirement Calculator'!K:K,MATCH('Lorri 401b'!N4890,'Retirement Calculator'!A:A,0),0),0)</f>
        <v>0</v>
      </c>
      <c r="K4890" s="455">
        <f t="shared" ca="1" si="178"/>
        <v>-1169728831570.1987</v>
      </c>
      <c r="L4890" s="455">
        <f t="shared" ca="1" si="179"/>
        <v>-281904648408417.94</v>
      </c>
      <c r="M4890" s="471">
        <f t="shared" si="181"/>
        <v>0.05</v>
      </c>
      <c r="N4890" s="475">
        <f t="shared" si="182"/>
        <v>199880</v>
      </c>
    </row>
    <row r="4891" spans="7:14" ht="11.25" customHeight="1" x14ac:dyDescent="0.3">
      <c r="G4891" s="470"/>
      <c r="H4891" s="470">
        <v>4884</v>
      </c>
      <c r="I4891" s="455">
        <f t="shared" ca="1" si="180"/>
        <v>-281904648408417.94</v>
      </c>
      <c r="J4891" s="455">
        <f t="array" ref="J4891">IFERROR(INDEX('Retirement Calculator'!K:K,MATCH('Lorri 401b'!N4891,'Retirement Calculator'!A:A,0),0),0)</f>
        <v>0</v>
      </c>
      <c r="K4891" s="455">
        <f t="shared" ca="1" si="178"/>
        <v>-1174602701701.7415</v>
      </c>
      <c r="L4891" s="455">
        <f t="shared" ca="1" si="179"/>
        <v>-283079251110119.69</v>
      </c>
      <c r="M4891" s="471">
        <f t="shared" si="181"/>
        <v>0.05</v>
      </c>
      <c r="N4891" s="475">
        <f t="shared" si="182"/>
        <v>199910</v>
      </c>
    </row>
    <row r="4892" spans="7:14" ht="11.25" customHeight="1" x14ac:dyDescent="0.3">
      <c r="G4892" s="470"/>
      <c r="H4892" s="470">
        <v>4885</v>
      </c>
      <c r="I4892" s="455">
        <f t="shared" ca="1" si="180"/>
        <v>-283079251110119.69</v>
      </c>
      <c r="J4892" s="455">
        <f t="array" ref="J4892">IFERROR(INDEX('Retirement Calculator'!K:K,MATCH('Lorri 401b'!N4892,'Retirement Calculator'!A:A,0),0),0)</f>
        <v>0</v>
      </c>
      <c r="K4892" s="455">
        <f t="shared" ca="1" si="178"/>
        <v>-1179496879625.4988</v>
      </c>
      <c r="L4892" s="455">
        <f t="shared" ca="1" si="179"/>
        <v>-284258747989745.19</v>
      </c>
      <c r="M4892" s="471">
        <f t="shared" si="181"/>
        <v>0.05</v>
      </c>
      <c r="N4892" s="475">
        <f t="shared" si="182"/>
        <v>199941</v>
      </c>
    </row>
    <row r="4893" spans="7:14" ht="11.25" customHeight="1" x14ac:dyDescent="0.3">
      <c r="G4893" s="470"/>
      <c r="H4893" s="470">
        <v>4886</v>
      </c>
      <c r="I4893" s="455">
        <f t="shared" ca="1" si="180"/>
        <v>-284258747989745.19</v>
      </c>
      <c r="J4893" s="455">
        <f t="array" ref="J4893">IFERROR(INDEX('Retirement Calculator'!K:K,MATCH('Lorri 401b'!N4893,'Retirement Calculator'!A:A,0),0),0)</f>
        <v>0</v>
      </c>
      <c r="K4893" s="455">
        <f t="shared" ca="1" si="178"/>
        <v>-1184411449957.2715</v>
      </c>
      <c r="L4893" s="455">
        <f t="shared" ca="1" si="179"/>
        <v>-285443159439702.44</v>
      </c>
      <c r="M4893" s="471">
        <f t="shared" si="181"/>
        <v>0.05</v>
      </c>
      <c r="N4893" s="475">
        <f t="shared" si="182"/>
        <v>199971</v>
      </c>
    </row>
    <row r="4894" spans="7:14" ht="11.25" customHeight="1" x14ac:dyDescent="0.3">
      <c r="G4894" s="470"/>
      <c r="H4894" s="470">
        <v>4887</v>
      </c>
      <c r="I4894" s="455">
        <f t="shared" ca="1" si="180"/>
        <v>-285443159439702.44</v>
      </c>
      <c r="J4894" s="455">
        <f t="array" ref="J4894">IFERROR(INDEX('Retirement Calculator'!K:K,MATCH('Lorri 401b'!N4894,'Retirement Calculator'!A:A,0),0),0)</f>
        <v>0</v>
      </c>
      <c r="K4894" s="455">
        <f t="shared" ca="1" si="178"/>
        <v>-1189346497665.4268</v>
      </c>
      <c r="L4894" s="455">
        <f t="shared" ca="1" si="179"/>
        <v>-286632505937367.88</v>
      </c>
      <c r="M4894" s="471">
        <f t="shared" si="181"/>
        <v>0.05</v>
      </c>
      <c r="N4894" s="475">
        <f t="shared" si="182"/>
        <v>200002</v>
      </c>
    </row>
    <row r="4895" spans="7:14" ht="11.25" customHeight="1" x14ac:dyDescent="0.3">
      <c r="G4895" s="470"/>
      <c r="H4895" s="470">
        <v>4888</v>
      </c>
      <c r="I4895" s="455">
        <f t="shared" ca="1" si="180"/>
        <v>-286632505937367.88</v>
      </c>
      <c r="J4895" s="455">
        <f t="array" ref="J4895">IFERROR(INDEX('Retirement Calculator'!K:K,MATCH('Lorri 401b'!N4895,'Retirement Calculator'!A:A,0),0),0)</f>
        <v>0</v>
      </c>
      <c r="K4895" s="455">
        <f t="shared" ca="1" si="178"/>
        <v>-1194302108072.3662</v>
      </c>
      <c r="L4895" s="455">
        <f t="shared" ca="1" si="179"/>
        <v>-287826808045440.25</v>
      </c>
      <c r="M4895" s="471">
        <f t="shared" si="181"/>
        <v>0.05</v>
      </c>
      <c r="N4895" s="475">
        <f t="shared" si="182"/>
        <v>200033</v>
      </c>
    </row>
    <row r="4896" spans="7:14" ht="11.25" customHeight="1" x14ac:dyDescent="0.3">
      <c r="G4896" s="470"/>
      <c r="H4896" s="470">
        <v>4889</v>
      </c>
      <c r="I4896" s="455">
        <f t="shared" ca="1" si="180"/>
        <v>-287826808045440.25</v>
      </c>
      <c r="J4896" s="455">
        <f t="array" ref="J4896">IFERROR(INDEX('Retirement Calculator'!K:K,MATCH('Lorri 401b'!N4896,'Retirement Calculator'!A:A,0),0),0)</f>
        <v>0</v>
      </c>
      <c r="K4896" s="455">
        <f t="shared" ca="1" si="178"/>
        <v>-1199278366856.001</v>
      </c>
      <c r="L4896" s="455">
        <f t="shared" ca="1" si="179"/>
        <v>-289026086412296.25</v>
      </c>
      <c r="M4896" s="471">
        <f t="shared" si="181"/>
        <v>0.05</v>
      </c>
      <c r="N4896" s="475">
        <f t="shared" si="182"/>
        <v>200063</v>
      </c>
    </row>
    <row r="4897" spans="7:14" ht="11.25" customHeight="1" x14ac:dyDescent="0.3">
      <c r="G4897" s="470"/>
      <c r="H4897" s="470">
        <v>4890</v>
      </c>
      <c r="I4897" s="455">
        <f t="shared" ca="1" si="180"/>
        <v>-289026086412296.25</v>
      </c>
      <c r="J4897" s="455">
        <f t="array" ref="J4897">IFERROR(INDEX('Retirement Calculator'!K:K,MATCH('Lorri 401b'!N4897,'Retirement Calculator'!A:A,0),0),0)</f>
        <v>0</v>
      </c>
      <c r="K4897" s="455">
        <f t="shared" ca="1" si="178"/>
        <v>-1204275360051.2344</v>
      </c>
      <c r="L4897" s="455">
        <f t="shared" ca="1" si="179"/>
        <v>-290230361772347.5</v>
      </c>
      <c r="M4897" s="471">
        <f t="shared" si="181"/>
        <v>0.05</v>
      </c>
      <c r="N4897" s="475">
        <f t="shared" si="182"/>
        <v>200094</v>
      </c>
    </row>
    <row r="4898" spans="7:14" ht="11.25" customHeight="1" x14ac:dyDescent="0.3">
      <c r="G4898" s="470"/>
      <c r="H4898" s="470">
        <v>4891</v>
      </c>
      <c r="I4898" s="455">
        <f t="shared" ca="1" si="180"/>
        <v>-290230361772347.5</v>
      </c>
      <c r="J4898" s="455">
        <f t="array" ref="J4898">IFERROR(INDEX('Retirement Calculator'!K:K,MATCH('Lorri 401b'!N4898,'Retirement Calculator'!A:A,0),0),0)</f>
        <v>0</v>
      </c>
      <c r="K4898" s="455">
        <f t="shared" ca="1" si="178"/>
        <v>-1209293174051.448</v>
      </c>
      <c r="L4898" s="455">
        <f t="shared" ca="1" si="179"/>
        <v>-291439654946398.94</v>
      </c>
      <c r="M4898" s="471">
        <f t="shared" si="181"/>
        <v>0.05</v>
      </c>
      <c r="N4898" s="475">
        <f t="shared" si="182"/>
        <v>200124</v>
      </c>
    </row>
    <row r="4899" spans="7:14" ht="11.25" customHeight="1" x14ac:dyDescent="0.3">
      <c r="G4899" s="470"/>
      <c r="H4899" s="470">
        <v>4892</v>
      </c>
      <c r="I4899" s="455">
        <f t="shared" ca="1" si="180"/>
        <v>-291439654946398.94</v>
      </c>
      <c r="J4899" s="455">
        <f t="array" ref="J4899">IFERROR(INDEX('Retirement Calculator'!K:K,MATCH('Lorri 401b'!N4899,'Retirement Calculator'!A:A,0),0),0)</f>
        <v>0</v>
      </c>
      <c r="K4899" s="455">
        <f t="shared" ca="1" si="178"/>
        <v>-1214331895609.9956</v>
      </c>
      <c r="L4899" s="455">
        <f t="shared" ca="1" si="179"/>
        <v>-292653986842008.94</v>
      </c>
      <c r="M4899" s="471">
        <f t="shared" si="181"/>
        <v>0.05</v>
      </c>
      <c r="N4899" s="475">
        <f t="shared" si="182"/>
        <v>200155</v>
      </c>
    </row>
    <row r="4900" spans="7:14" ht="11.25" customHeight="1" x14ac:dyDescent="0.3">
      <c r="G4900" s="470"/>
      <c r="H4900" s="470">
        <v>4893</v>
      </c>
      <c r="I4900" s="455">
        <f t="shared" ca="1" si="180"/>
        <v>-292653986842008.94</v>
      </c>
      <c r="J4900" s="455">
        <f t="array" ref="J4900">IFERROR(INDEX('Retirement Calculator'!K:K,MATCH('Lorri 401b'!N4900,'Retirement Calculator'!A:A,0),0),0)</f>
        <v>0</v>
      </c>
      <c r="K4900" s="455">
        <f t="shared" ca="1" si="178"/>
        <v>-1219391611841.7039</v>
      </c>
      <c r="L4900" s="455">
        <f t="shared" ca="1" si="179"/>
        <v>-293873378453850.63</v>
      </c>
      <c r="M4900" s="471">
        <f t="shared" si="181"/>
        <v>0.05</v>
      </c>
      <c r="N4900" s="475">
        <f t="shared" si="182"/>
        <v>200186</v>
      </c>
    </row>
    <row r="4901" spans="7:14" ht="11.25" customHeight="1" x14ac:dyDescent="0.3">
      <c r="G4901" s="470"/>
      <c r="H4901" s="470">
        <v>4894</v>
      </c>
      <c r="I4901" s="455">
        <f t="shared" ca="1" si="180"/>
        <v>-293873378453850.63</v>
      </c>
      <c r="J4901" s="455">
        <f t="array" ref="J4901">IFERROR(INDEX('Retirement Calculator'!K:K,MATCH('Lorri 401b'!N4901,'Retirement Calculator'!A:A,0),0),0)</f>
        <v>0</v>
      </c>
      <c r="K4901" s="455">
        <f t="shared" ca="1" si="178"/>
        <v>-1224472410224.3777</v>
      </c>
      <c r="L4901" s="455">
        <f t="shared" ca="1" si="179"/>
        <v>-295097850864075</v>
      </c>
      <c r="M4901" s="471">
        <f t="shared" si="181"/>
        <v>0.05</v>
      </c>
      <c r="N4901" s="475">
        <f t="shared" si="182"/>
        <v>200215</v>
      </c>
    </row>
    <row r="4902" spans="7:14" ht="11.25" customHeight="1" x14ac:dyDescent="0.3">
      <c r="G4902" s="470"/>
      <c r="H4902" s="470">
        <v>4895</v>
      </c>
      <c r="I4902" s="455">
        <f t="shared" ca="1" si="180"/>
        <v>-295097850864075</v>
      </c>
      <c r="J4902" s="455">
        <f t="array" ref="J4902">IFERROR(INDEX('Retirement Calculator'!K:K,MATCH('Lorri 401b'!N4902,'Retirement Calculator'!A:A,0),0),0)</f>
        <v>0</v>
      </c>
      <c r="K4902" s="455">
        <f t="shared" ca="1" si="178"/>
        <v>-1229574378600.3125</v>
      </c>
      <c r="L4902" s="455">
        <f t="shared" ca="1" si="179"/>
        <v>-296327425242675.31</v>
      </c>
      <c r="M4902" s="471">
        <f t="shared" si="181"/>
        <v>0.05</v>
      </c>
      <c r="N4902" s="475">
        <f t="shared" si="182"/>
        <v>200246</v>
      </c>
    </row>
    <row r="4903" spans="7:14" ht="11.25" customHeight="1" x14ac:dyDescent="0.3">
      <c r="G4903" s="470"/>
      <c r="H4903" s="470">
        <v>4896</v>
      </c>
      <c r="I4903" s="455">
        <f t="shared" ca="1" si="180"/>
        <v>-296327425242675.31</v>
      </c>
      <c r="J4903" s="455">
        <f t="array" ref="J4903">IFERROR(INDEX('Retirement Calculator'!K:K,MATCH('Lorri 401b'!N4903,'Retirement Calculator'!A:A,0),0),0)</f>
        <v>0</v>
      </c>
      <c r="K4903" s="455">
        <f t="shared" ca="1" si="178"/>
        <v>-1234697605177.8137</v>
      </c>
      <c r="L4903" s="455">
        <f t="shared" ca="1" si="179"/>
        <v>-297562122847853.13</v>
      </c>
      <c r="M4903" s="471">
        <f t="shared" si="181"/>
        <v>0.05</v>
      </c>
      <c r="N4903" s="475">
        <f t="shared" si="182"/>
        <v>200276</v>
      </c>
    </row>
    <row r="4904" spans="7:14" ht="11.25" customHeight="1" x14ac:dyDescent="0.3">
      <c r="G4904" s="470"/>
      <c r="H4904" s="470">
        <v>4897</v>
      </c>
      <c r="I4904" s="455">
        <f t="shared" ca="1" si="180"/>
        <v>-297562122847853.13</v>
      </c>
      <c r="J4904" s="455">
        <f t="array" ref="J4904">IFERROR(INDEX('Retirement Calculator'!K:K,MATCH('Lorri 401b'!N4904,'Retirement Calculator'!A:A,0),0),0)</f>
        <v>0</v>
      </c>
      <c r="K4904" s="455">
        <f t="shared" ca="1" si="178"/>
        <v>-1239842178532.7214</v>
      </c>
      <c r="L4904" s="455">
        <f t="shared" ca="1" si="179"/>
        <v>-298801965026385.88</v>
      </c>
      <c r="M4904" s="471">
        <f t="shared" si="181"/>
        <v>0.05</v>
      </c>
      <c r="N4904" s="475">
        <f t="shared" si="182"/>
        <v>200307</v>
      </c>
    </row>
    <row r="4905" spans="7:14" ht="11.25" customHeight="1" x14ac:dyDescent="0.3">
      <c r="G4905" s="470"/>
      <c r="H4905" s="470">
        <v>4898</v>
      </c>
      <c r="I4905" s="455">
        <f t="shared" ca="1" si="180"/>
        <v>-298801965026385.88</v>
      </c>
      <c r="J4905" s="455">
        <f t="array" ref="J4905">IFERROR(INDEX('Retirement Calculator'!K:K,MATCH('Lorri 401b'!N4905,'Retirement Calculator'!A:A,0),0),0)</f>
        <v>0</v>
      </c>
      <c r="K4905" s="455">
        <f t="shared" ca="1" si="178"/>
        <v>-1245008187609.9412</v>
      </c>
      <c r="L4905" s="455">
        <f t="shared" ca="1" si="179"/>
        <v>-300046973213995.81</v>
      </c>
      <c r="M4905" s="471">
        <f t="shared" si="181"/>
        <v>0.05</v>
      </c>
      <c r="N4905" s="475">
        <f t="shared" si="182"/>
        <v>200337</v>
      </c>
    </row>
    <row r="4906" spans="7:14" ht="11.25" customHeight="1" x14ac:dyDescent="0.3">
      <c r="G4906" s="470"/>
      <c r="H4906" s="470">
        <v>4899</v>
      </c>
      <c r="I4906" s="455">
        <f t="shared" ca="1" si="180"/>
        <v>-300046973213995.81</v>
      </c>
      <c r="J4906" s="455">
        <f t="array" ref="J4906">IFERROR(INDEX('Retirement Calculator'!K:K,MATCH('Lorri 401b'!N4906,'Retirement Calculator'!A:A,0),0),0)</f>
        <v>0</v>
      </c>
      <c r="K4906" s="455">
        <f t="shared" ca="1" si="178"/>
        <v>-1250195721724.9824</v>
      </c>
      <c r="L4906" s="455">
        <f t="shared" ca="1" si="179"/>
        <v>-301297168935720.81</v>
      </c>
      <c r="M4906" s="471">
        <f t="shared" si="181"/>
        <v>0.05</v>
      </c>
      <c r="N4906" s="475">
        <f t="shared" si="182"/>
        <v>200368</v>
      </c>
    </row>
    <row r="4907" spans="7:14" ht="11.25" customHeight="1" x14ac:dyDescent="0.3">
      <c r="G4907" s="470"/>
      <c r="H4907" s="470">
        <v>4900</v>
      </c>
      <c r="I4907" s="455">
        <f t="shared" ca="1" si="180"/>
        <v>-301297168935720.81</v>
      </c>
      <c r="J4907" s="455">
        <f t="array" ref="J4907">IFERROR(INDEX('Retirement Calculator'!K:K,MATCH('Lorri 401b'!N4907,'Retirement Calculator'!A:A,0),0),0)</f>
        <v>0</v>
      </c>
      <c r="K4907" s="455">
        <f t="shared" ca="1" si="178"/>
        <v>-1255404870565.5034</v>
      </c>
      <c r="L4907" s="455">
        <f t="shared" ca="1" si="179"/>
        <v>-302552573806286.31</v>
      </c>
      <c r="M4907" s="471">
        <f t="shared" si="181"/>
        <v>0.05</v>
      </c>
      <c r="N4907" s="475">
        <f t="shared" si="182"/>
        <v>200399</v>
      </c>
    </row>
    <row r="4908" spans="7:14" ht="11.25" customHeight="1" x14ac:dyDescent="0.3">
      <c r="G4908" s="470"/>
      <c r="H4908" s="470">
        <v>4901</v>
      </c>
      <c r="I4908" s="455">
        <f t="shared" ca="1" si="180"/>
        <v>-302552573806286.31</v>
      </c>
      <c r="J4908" s="455">
        <f t="array" ref="J4908">IFERROR(INDEX('Retirement Calculator'!K:K,MATCH('Lorri 401b'!N4908,'Retirement Calculator'!A:A,0),0),0)</f>
        <v>0</v>
      </c>
      <c r="K4908" s="455">
        <f t="shared" ca="1" si="178"/>
        <v>-1260635724192.8596</v>
      </c>
      <c r="L4908" s="455">
        <f t="shared" ca="1" si="179"/>
        <v>-303813209530479.19</v>
      </c>
      <c r="M4908" s="471">
        <f t="shared" si="181"/>
        <v>0.05</v>
      </c>
      <c r="N4908" s="475">
        <f t="shared" si="182"/>
        <v>200429</v>
      </c>
    </row>
    <row r="4909" spans="7:14" ht="11.25" customHeight="1" x14ac:dyDescent="0.3">
      <c r="G4909" s="470"/>
      <c r="H4909" s="470">
        <v>4902</v>
      </c>
      <c r="I4909" s="455">
        <f t="shared" ca="1" si="180"/>
        <v>-303813209530479.19</v>
      </c>
      <c r="J4909" s="455">
        <f t="array" ref="J4909">IFERROR(INDEX('Retirement Calculator'!K:K,MATCH('Lorri 401b'!N4909,'Retirement Calculator'!A:A,0),0),0)</f>
        <v>0</v>
      </c>
      <c r="K4909" s="455">
        <f t="shared" ca="1" si="178"/>
        <v>-1265888373043.6633</v>
      </c>
      <c r="L4909" s="455">
        <f t="shared" ca="1" si="179"/>
        <v>-305079097903522.88</v>
      </c>
      <c r="M4909" s="471">
        <f t="shared" si="181"/>
        <v>0.05</v>
      </c>
      <c r="N4909" s="475">
        <f t="shared" si="182"/>
        <v>200460</v>
      </c>
    </row>
    <row r="4910" spans="7:14" ht="11.25" customHeight="1" x14ac:dyDescent="0.3">
      <c r="G4910" s="470"/>
      <c r="H4910" s="470">
        <v>4903</v>
      </c>
      <c r="I4910" s="455">
        <f t="shared" ca="1" si="180"/>
        <v>-305079097903522.88</v>
      </c>
      <c r="J4910" s="455">
        <f t="array" ref="J4910">IFERROR(INDEX('Retirement Calculator'!K:K,MATCH('Lorri 401b'!N4910,'Retirement Calculator'!A:A,0),0),0)</f>
        <v>0</v>
      </c>
      <c r="K4910" s="455">
        <f t="shared" ca="1" si="178"/>
        <v>-1271162907931.3452</v>
      </c>
      <c r="L4910" s="455">
        <f t="shared" ca="1" si="179"/>
        <v>-306350260811454.25</v>
      </c>
      <c r="M4910" s="471">
        <f t="shared" si="181"/>
        <v>0.05</v>
      </c>
      <c r="N4910" s="475">
        <f t="shared" si="182"/>
        <v>200490</v>
      </c>
    </row>
    <row r="4911" spans="7:14" ht="11.25" customHeight="1" x14ac:dyDescent="0.3">
      <c r="G4911" s="470"/>
      <c r="H4911" s="470">
        <v>4904</v>
      </c>
      <c r="I4911" s="455">
        <f t="shared" ca="1" si="180"/>
        <v>-306350260811454.25</v>
      </c>
      <c r="J4911" s="455">
        <f t="array" ref="J4911">IFERROR(INDEX('Retirement Calculator'!K:K,MATCH('Lorri 401b'!N4911,'Retirement Calculator'!A:A,0),0),0)</f>
        <v>0</v>
      </c>
      <c r="K4911" s="455">
        <f t="shared" ca="1" si="178"/>
        <v>-1276459420047.7261</v>
      </c>
      <c r="L4911" s="455">
        <f t="shared" ca="1" si="179"/>
        <v>-307626720231502</v>
      </c>
      <c r="M4911" s="471">
        <f t="shared" si="181"/>
        <v>0.05</v>
      </c>
      <c r="N4911" s="475">
        <f t="shared" si="182"/>
        <v>200521</v>
      </c>
    </row>
    <row r="4912" spans="7:14" ht="11.25" customHeight="1" x14ac:dyDescent="0.3">
      <c r="G4912" s="470"/>
      <c r="H4912" s="470">
        <v>4905</v>
      </c>
      <c r="I4912" s="455">
        <f t="shared" ca="1" si="180"/>
        <v>-307626720231502</v>
      </c>
      <c r="J4912" s="455">
        <f t="array" ref="J4912">IFERROR(INDEX('Retirement Calculator'!K:K,MATCH('Lorri 401b'!N4912,'Retirement Calculator'!A:A,0),0),0)</f>
        <v>0</v>
      </c>
      <c r="K4912" s="455">
        <f t="shared" ca="1" si="178"/>
        <v>-1281778000964.5916</v>
      </c>
      <c r="L4912" s="455">
        <f t="shared" ca="1" si="179"/>
        <v>-308908498232466.56</v>
      </c>
      <c r="M4912" s="471">
        <f t="shared" si="181"/>
        <v>0.05</v>
      </c>
      <c r="N4912" s="475">
        <f t="shared" si="182"/>
        <v>200552</v>
      </c>
    </row>
    <row r="4913" spans="7:14" ht="11.25" customHeight="1" x14ac:dyDescent="0.3">
      <c r="G4913" s="470"/>
      <c r="H4913" s="470">
        <v>4906</v>
      </c>
      <c r="I4913" s="455">
        <f t="shared" ca="1" si="180"/>
        <v>-308908498232466.56</v>
      </c>
      <c r="J4913" s="455">
        <f t="array" ref="J4913">IFERROR(INDEX('Retirement Calculator'!K:K,MATCH('Lorri 401b'!N4913,'Retirement Calculator'!A:A,0),0),0)</f>
        <v>0</v>
      </c>
      <c r="K4913" s="455">
        <f t="shared" ca="1" si="178"/>
        <v>-1287118742635.2773</v>
      </c>
      <c r="L4913" s="455">
        <f t="shared" ca="1" si="179"/>
        <v>-310195616975101.81</v>
      </c>
      <c r="M4913" s="471">
        <f t="shared" si="181"/>
        <v>0.05</v>
      </c>
      <c r="N4913" s="475">
        <f t="shared" si="182"/>
        <v>200580</v>
      </c>
    </row>
    <row r="4914" spans="7:14" ht="11.25" customHeight="1" x14ac:dyDescent="0.3">
      <c r="G4914" s="470"/>
      <c r="H4914" s="470">
        <v>4907</v>
      </c>
      <c r="I4914" s="455">
        <f t="shared" ca="1" si="180"/>
        <v>-310195616975101.81</v>
      </c>
      <c r="J4914" s="455">
        <f t="array" ref="J4914">IFERROR(INDEX('Retirement Calculator'!K:K,MATCH('Lorri 401b'!N4914,'Retirement Calculator'!A:A,0),0),0)</f>
        <v>0</v>
      </c>
      <c r="K4914" s="455">
        <f t="shared" ca="1" si="178"/>
        <v>-1292481737396.2576</v>
      </c>
      <c r="L4914" s="455">
        <f t="shared" ca="1" si="179"/>
        <v>-311488098712498.06</v>
      </c>
      <c r="M4914" s="471">
        <f t="shared" si="181"/>
        <v>0.05</v>
      </c>
      <c r="N4914" s="475">
        <f t="shared" si="182"/>
        <v>200611</v>
      </c>
    </row>
    <row r="4915" spans="7:14" ht="11.25" customHeight="1" x14ac:dyDescent="0.3">
      <c r="G4915" s="470"/>
      <c r="H4915" s="470">
        <v>4908</v>
      </c>
      <c r="I4915" s="455">
        <f t="shared" ca="1" si="180"/>
        <v>-311488098712498.06</v>
      </c>
      <c r="J4915" s="455">
        <f t="array" ref="J4915">IFERROR(INDEX('Retirement Calculator'!K:K,MATCH('Lorri 401b'!N4915,'Retirement Calculator'!A:A,0),0),0)</f>
        <v>0</v>
      </c>
      <c r="K4915" s="455">
        <f t="shared" ca="1" si="178"/>
        <v>-1297867077968.7419</v>
      </c>
      <c r="L4915" s="455">
        <f t="shared" ca="1" si="179"/>
        <v>-312785965790466.81</v>
      </c>
      <c r="M4915" s="471">
        <f t="shared" si="181"/>
        <v>0.05</v>
      </c>
      <c r="N4915" s="475">
        <f t="shared" si="182"/>
        <v>200641</v>
      </c>
    </row>
    <row r="4916" spans="7:14" ht="11.25" customHeight="1" x14ac:dyDescent="0.3">
      <c r="G4916" s="470"/>
      <c r="H4916" s="470">
        <v>4909</v>
      </c>
      <c r="I4916" s="455">
        <f t="shared" ca="1" si="180"/>
        <v>-312785965790466.81</v>
      </c>
      <c r="J4916" s="455">
        <f t="array" ref="J4916">IFERROR(INDEX('Retirement Calculator'!K:K,MATCH('Lorri 401b'!N4916,'Retirement Calculator'!A:A,0),0),0)</f>
        <v>0</v>
      </c>
      <c r="K4916" s="455">
        <f t="shared" ca="1" si="178"/>
        <v>-1303274857460.2783</v>
      </c>
      <c r="L4916" s="455">
        <f t="shared" ca="1" si="179"/>
        <v>-314089240647927.06</v>
      </c>
      <c r="M4916" s="471">
        <f t="shared" si="181"/>
        <v>0.05</v>
      </c>
      <c r="N4916" s="475">
        <f t="shared" si="182"/>
        <v>200672</v>
      </c>
    </row>
    <row r="4917" spans="7:14" ht="11.25" customHeight="1" x14ac:dyDescent="0.3">
      <c r="G4917" s="470"/>
      <c r="H4917" s="470">
        <v>4910</v>
      </c>
      <c r="I4917" s="455">
        <f t="shared" ca="1" si="180"/>
        <v>-314089240647927.06</v>
      </c>
      <c r="J4917" s="455">
        <f t="array" ref="J4917">IFERROR(INDEX('Retirement Calculator'!K:K,MATCH('Lorri 401b'!N4917,'Retirement Calculator'!A:A,0),0),0)</f>
        <v>0</v>
      </c>
      <c r="K4917" s="455">
        <f t="shared" ca="1" si="178"/>
        <v>-1308705169366.3628</v>
      </c>
      <c r="L4917" s="455">
        <f t="shared" ca="1" si="179"/>
        <v>-315397945817293.44</v>
      </c>
      <c r="M4917" s="471">
        <f t="shared" si="181"/>
        <v>0.05</v>
      </c>
      <c r="N4917" s="475">
        <f t="shared" si="182"/>
        <v>200702</v>
      </c>
    </row>
    <row r="4918" spans="7:14" ht="11.25" customHeight="1" x14ac:dyDescent="0.3">
      <c r="G4918" s="470"/>
      <c r="H4918" s="470">
        <v>4911</v>
      </c>
      <c r="I4918" s="455">
        <f t="shared" ca="1" si="180"/>
        <v>-315397945817293.44</v>
      </c>
      <c r="J4918" s="455">
        <f t="array" ref="J4918">IFERROR(INDEX('Retirement Calculator'!K:K,MATCH('Lorri 401b'!N4918,'Retirement Calculator'!A:A,0),0),0)</f>
        <v>0</v>
      </c>
      <c r="K4918" s="455">
        <f t="shared" ca="1" si="178"/>
        <v>-1314158107572.0559</v>
      </c>
      <c r="L4918" s="455">
        <f t="shared" ca="1" si="179"/>
        <v>-316712103924865.5</v>
      </c>
      <c r="M4918" s="471">
        <f t="shared" si="181"/>
        <v>0.05</v>
      </c>
      <c r="N4918" s="475">
        <f t="shared" si="182"/>
        <v>200733</v>
      </c>
    </row>
    <row r="4919" spans="7:14" ht="11.25" customHeight="1" x14ac:dyDescent="0.3">
      <c r="G4919" s="470"/>
      <c r="H4919" s="470">
        <v>4912</v>
      </c>
      <c r="I4919" s="455">
        <f t="shared" ca="1" si="180"/>
        <v>-316712103924865.5</v>
      </c>
      <c r="J4919" s="455">
        <f t="array" ref="J4919">IFERROR(INDEX('Retirement Calculator'!K:K,MATCH('Lorri 401b'!N4919,'Retirement Calculator'!A:A,0),0),0)</f>
        <v>0</v>
      </c>
      <c r="K4919" s="455">
        <f t="shared" ca="1" si="178"/>
        <v>-1319633766353.6062</v>
      </c>
      <c r="L4919" s="455">
        <f t="shared" ca="1" si="179"/>
        <v>-318031737691219.13</v>
      </c>
      <c r="M4919" s="471">
        <f t="shared" si="181"/>
        <v>0.05</v>
      </c>
      <c r="N4919" s="475">
        <f t="shared" si="182"/>
        <v>200764</v>
      </c>
    </row>
    <row r="4920" spans="7:14" ht="11.25" customHeight="1" x14ac:dyDescent="0.3">
      <c r="G4920" s="470"/>
      <c r="H4920" s="470">
        <v>4913</v>
      </c>
      <c r="I4920" s="455">
        <f t="shared" ca="1" si="180"/>
        <v>-318031737691219.13</v>
      </c>
      <c r="J4920" s="455">
        <f t="array" ref="J4920">IFERROR(INDEX('Retirement Calculator'!K:K,MATCH('Lorri 401b'!N4920,'Retirement Calculator'!A:A,0),0),0)</f>
        <v>0</v>
      </c>
      <c r="K4920" s="455">
        <f t="shared" ca="1" si="178"/>
        <v>-1325132240380.0796</v>
      </c>
      <c r="L4920" s="455">
        <f t="shared" ca="1" si="179"/>
        <v>-319356869931599.19</v>
      </c>
      <c r="M4920" s="471">
        <f t="shared" si="181"/>
        <v>0.05</v>
      </c>
      <c r="N4920" s="475">
        <f t="shared" si="182"/>
        <v>200794</v>
      </c>
    </row>
    <row r="4921" spans="7:14" ht="11.25" customHeight="1" x14ac:dyDescent="0.3">
      <c r="G4921" s="470"/>
      <c r="H4921" s="470">
        <v>4914</v>
      </c>
      <c r="I4921" s="455">
        <f t="shared" ca="1" si="180"/>
        <v>-319356869931599.19</v>
      </c>
      <c r="J4921" s="455">
        <f t="array" ref="J4921">IFERROR(INDEX('Retirement Calculator'!K:K,MATCH('Lorri 401b'!N4921,'Retirement Calculator'!A:A,0),0),0)</f>
        <v>0</v>
      </c>
      <c r="K4921" s="455">
        <f t="shared" ca="1" si="178"/>
        <v>-1330653624714.9966</v>
      </c>
      <c r="L4921" s="455">
        <f t="shared" ca="1" si="179"/>
        <v>-320687523556314.19</v>
      </c>
      <c r="M4921" s="471">
        <f t="shared" si="181"/>
        <v>0.05</v>
      </c>
      <c r="N4921" s="475">
        <f t="shared" si="182"/>
        <v>200825</v>
      </c>
    </row>
    <row r="4922" spans="7:14" ht="11.25" customHeight="1" x14ac:dyDescent="0.3">
      <c r="G4922" s="470"/>
      <c r="H4922" s="470">
        <v>4915</v>
      </c>
      <c r="I4922" s="455">
        <f t="shared" ca="1" si="180"/>
        <v>-320687523556314.19</v>
      </c>
      <c r="J4922" s="455">
        <f t="array" ref="J4922">IFERROR(INDEX('Retirement Calculator'!K:K,MATCH('Lorri 401b'!N4922,'Retirement Calculator'!A:A,0),0),0)</f>
        <v>0</v>
      </c>
      <c r="K4922" s="455">
        <f t="shared" ca="1" si="178"/>
        <v>-1336198014817.9758</v>
      </c>
      <c r="L4922" s="455">
        <f t="shared" ca="1" si="179"/>
        <v>-322023721571132.19</v>
      </c>
      <c r="M4922" s="471">
        <f t="shared" si="181"/>
        <v>0.05</v>
      </c>
      <c r="N4922" s="475">
        <f t="shared" si="182"/>
        <v>200855</v>
      </c>
    </row>
    <row r="4923" spans="7:14" ht="11.25" customHeight="1" x14ac:dyDescent="0.3">
      <c r="G4923" s="470"/>
      <c r="H4923" s="470">
        <v>4916</v>
      </c>
      <c r="I4923" s="455">
        <f t="shared" ca="1" si="180"/>
        <v>-322023721571132.19</v>
      </c>
      <c r="J4923" s="455">
        <f t="array" ref="J4923">IFERROR(INDEX('Retirement Calculator'!K:K,MATCH('Lorri 401b'!N4923,'Retirement Calculator'!A:A,0),0),0)</f>
        <v>0</v>
      </c>
      <c r="K4923" s="455">
        <f t="shared" ca="1" si="178"/>
        <v>-1341765506546.384</v>
      </c>
      <c r="L4923" s="455">
        <f t="shared" ca="1" si="179"/>
        <v>-323365487077678.56</v>
      </c>
      <c r="M4923" s="471">
        <f t="shared" si="181"/>
        <v>0.05</v>
      </c>
      <c r="N4923" s="475">
        <f t="shared" si="182"/>
        <v>200886</v>
      </c>
    </row>
    <row r="4924" spans="7:14" ht="11.25" customHeight="1" x14ac:dyDescent="0.3">
      <c r="G4924" s="470"/>
      <c r="H4924" s="470">
        <v>4917</v>
      </c>
      <c r="I4924" s="455">
        <f t="shared" ca="1" si="180"/>
        <v>-323365487077678.56</v>
      </c>
      <c r="J4924" s="455">
        <f t="array" ref="J4924">IFERROR(INDEX('Retirement Calculator'!K:K,MATCH('Lorri 401b'!N4924,'Retirement Calculator'!A:A,0),0),0)</f>
        <v>0</v>
      </c>
      <c r="K4924" s="455">
        <f t="shared" ca="1" si="178"/>
        <v>-1347356196156.9939</v>
      </c>
      <c r="L4924" s="455">
        <f t="shared" ca="1" si="179"/>
        <v>-324712843273835.56</v>
      </c>
      <c r="M4924" s="471">
        <f t="shared" si="181"/>
        <v>0.05</v>
      </c>
      <c r="N4924" s="475">
        <f t="shared" si="182"/>
        <v>200917</v>
      </c>
    </row>
    <row r="4925" spans="7:14" ht="11.25" customHeight="1" x14ac:dyDescent="0.3">
      <c r="G4925" s="470"/>
      <c r="H4925" s="470">
        <v>4918</v>
      </c>
      <c r="I4925" s="455">
        <f t="shared" ca="1" si="180"/>
        <v>-324712843273835.56</v>
      </c>
      <c r="J4925" s="455">
        <f t="array" ref="J4925">IFERROR(INDEX('Retirement Calculator'!K:K,MATCH('Lorri 401b'!N4925,'Retirement Calculator'!A:A,0),0),0)</f>
        <v>0</v>
      </c>
      <c r="K4925" s="455">
        <f t="shared" ca="1" si="178"/>
        <v>-1352970180307.6482</v>
      </c>
      <c r="L4925" s="455">
        <f t="shared" ca="1" si="179"/>
        <v>-326065813454143.19</v>
      </c>
      <c r="M4925" s="471">
        <f t="shared" si="181"/>
        <v>0.05</v>
      </c>
      <c r="N4925" s="475">
        <f t="shared" si="182"/>
        <v>200945</v>
      </c>
    </row>
    <row r="4926" spans="7:14" ht="11.25" customHeight="1" x14ac:dyDescent="0.3">
      <c r="G4926" s="470"/>
      <c r="H4926" s="470">
        <v>4919</v>
      </c>
      <c r="I4926" s="455">
        <f t="shared" ca="1" si="180"/>
        <v>-326065813454143.19</v>
      </c>
      <c r="J4926" s="455">
        <f t="array" ref="J4926">IFERROR(INDEX('Retirement Calculator'!K:K,MATCH('Lorri 401b'!N4926,'Retirement Calculator'!A:A,0),0),0)</f>
        <v>0</v>
      </c>
      <c r="K4926" s="455">
        <f t="shared" ca="1" si="178"/>
        <v>-1358607556058.9299</v>
      </c>
      <c r="L4926" s="455">
        <f t="shared" ca="1" si="179"/>
        <v>-327424421010202.13</v>
      </c>
      <c r="M4926" s="471">
        <f t="shared" si="181"/>
        <v>0.05</v>
      </c>
      <c r="N4926" s="475">
        <f t="shared" si="182"/>
        <v>200976</v>
      </c>
    </row>
    <row r="4927" spans="7:14" ht="11.25" customHeight="1" x14ac:dyDescent="0.3">
      <c r="G4927" s="470"/>
      <c r="H4927" s="470">
        <v>4920</v>
      </c>
      <c r="I4927" s="455">
        <f t="shared" ca="1" si="180"/>
        <v>-327424421010202.13</v>
      </c>
      <c r="J4927" s="455">
        <f t="array" ref="J4927">IFERROR(INDEX('Retirement Calculator'!K:K,MATCH('Lorri 401b'!N4927,'Retirement Calculator'!A:A,0),0),0)</f>
        <v>0</v>
      </c>
      <c r="K4927" s="455">
        <f t="shared" ca="1" si="178"/>
        <v>-1364268420875.8423</v>
      </c>
      <c r="L4927" s="455">
        <f t="shared" ca="1" si="179"/>
        <v>-328788689431077.94</v>
      </c>
      <c r="M4927" s="471">
        <f t="shared" si="181"/>
        <v>0.05</v>
      </c>
      <c r="N4927" s="475">
        <f t="shared" si="182"/>
        <v>201006</v>
      </c>
    </row>
    <row r="4928" spans="7:14" ht="11.25" customHeight="1" x14ac:dyDescent="0.3">
      <c r="G4928" s="470"/>
      <c r="H4928" s="470">
        <v>4921</v>
      </c>
      <c r="I4928" s="455">
        <f t="shared" ca="1" si="180"/>
        <v>-328788689431077.94</v>
      </c>
      <c r="J4928" s="455">
        <f t="array" ref="J4928">IFERROR(INDEX('Retirement Calculator'!K:K,MATCH('Lorri 401b'!N4928,'Retirement Calculator'!A:A,0),0),0)</f>
        <v>0</v>
      </c>
      <c r="K4928" s="455">
        <f t="shared" ca="1" si="178"/>
        <v>-1369952872629.4915</v>
      </c>
      <c r="L4928" s="455">
        <f t="shared" ca="1" si="179"/>
        <v>-330158642303707.44</v>
      </c>
      <c r="M4928" s="471">
        <f t="shared" si="181"/>
        <v>0.05</v>
      </c>
      <c r="N4928" s="475">
        <f t="shared" si="182"/>
        <v>201037</v>
      </c>
    </row>
    <row r="4929" spans="7:14" ht="11.25" customHeight="1" x14ac:dyDescent="0.3">
      <c r="G4929" s="470"/>
      <c r="H4929" s="470">
        <v>4922</v>
      </c>
      <c r="I4929" s="455">
        <f t="shared" ca="1" si="180"/>
        <v>-330158642303707.44</v>
      </c>
      <c r="J4929" s="455">
        <f t="array" ref="J4929">IFERROR(INDEX('Retirement Calculator'!K:K,MATCH('Lorri 401b'!N4929,'Retirement Calculator'!A:A,0),0),0)</f>
        <v>0</v>
      </c>
      <c r="K4929" s="455">
        <f t="shared" ca="1" si="178"/>
        <v>-1375661009598.781</v>
      </c>
      <c r="L4929" s="455">
        <f t="shared" ca="1" si="179"/>
        <v>-331534303313306.19</v>
      </c>
      <c r="M4929" s="471">
        <f t="shared" si="181"/>
        <v>0.05</v>
      </c>
      <c r="N4929" s="475">
        <f t="shared" si="182"/>
        <v>201067</v>
      </c>
    </row>
    <row r="4930" spans="7:14" ht="11.25" customHeight="1" x14ac:dyDescent="0.3">
      <c r="G4930" s="470"/>
      <c r="H4930" s="470">
        <v>4923</v>
      </c>
      <c r="I4930" s="455">
        <f t="shared" ca="1" si="180"/>
        <v>-331534303313306.19</v>
      </c>
      <c r="J4930" s="455">
        <f t="array" ref="J4930">IFERROR(INDEX('Retirement Calculator'!K:K,MATCH('Lorri 401b'!N4930,'Retirement Calculator'!A:A,0),0),0)</f>
        <v>0</v>
      </c>
      <c r="K4930" s="455">
        <f t="shared" ca="1" si="178"/>
        <v>-1381392930472.1091</v>
      </c>
      <c r="L4930" s="455">
        <f t="shared" ca="1" si="179"/>
        <v>-332915696243778.31</v>
      </c>
      <c r="M4930" s="471">
        <f t="shared" si="181"/>
        <v>0.05</v>
      </c>
      <c r="N4930" s="475">
        <f t="shared" si="182"/>
        <v>201098</v>
      </c>
    </row>
    <row r="4931" spans="7:14" ht="11.25" customHeight="1" x14ac:dyDescent="0.3">
      <c r="G4931" s="470"/>
      <c r="H4931" s="470">
        <v>4924</v>
      </c>
      <c r="I4931" s="455">
        <f t="shared" ca="1" si="180"/>
        <v>-332915696243778.31</v>
      </c>
      <c r="J4931" s="455">
        <f t="array" ref="J4931">IFERROR(INDEX('Retirement Calculator'!K:K,MATCH('Lorri 401b'!N4931,'Retirement Calculator'!A:A,0),0),0)</f>
        <v>0</v>
      </c>
      <c r="K4931" s="455">
        <f t="shared" ca="1" si="178"/>
        <v>-1387148734349.0762</v>
      </c>
      <c r="L4931" s="455">
        <f t="shared" ca="1" si="179"/>
        <v>-334302844978127.38</v>
      </c>
      <c r="M4931" s="471">
        <f t="shared" si="181"/>
        <v>0.05</v>
      </c>
      <c r="N4931" s="475">
        <f t="shared" si="182"/>
        <v>201129</v>
      </c>
    </row>
    <row r="4932" spans="7:14" ht="11.25" customHeight="1" x14ac:dyDescent="0.3">
      <c r="G4932" s="470"/>
      <c r="H4932" s="470">
        <v>4925</v>
      </c>
      <c r="I4932" s="455">
        <f t="shared" ca="1" si="180"/>
        <v>-334302844978127.38</v>
      </c>
      <c r="J4932" s="455">
        <f t="array" ref="J4932">IFERROR(INDEX('Retirement Calculator'!K:K,MATCH('Lorri 401b'!N4932,'Retirement Calculator'!A:A,0),0),0)</f>
        <v>0</v>
      </c>
      <c r="K4932" s="455">
        <f t="shared" ca="1" si="178"/>
        <v>-1392928520742.1973</v>
      </c>
      <c r="L4932" s="455">
        <f t="shared" ca="1" si="179"/>
        <v>-335695773498869.56</v>
      </c>
      <c r="M4932" s="471">
        <f t="shared" si="181"/>
        <v>0.05</v>
      </c>
      <c r="N4932" s="475">
        <f t="shared" si="182"/>
        <v>201159</v>
      </c>
    </row>
    <row r="4933" spans="7:14" ht="11.25" customHeight="1" x14ac:dyDescent="0.3">
      <c r="G4933" s="470"/>
      <c r="H4933" s="470">
        <v>4926</v>
      </c>
      <c r="I4933" s="455">
        <f t="shared" ca="1" si="180"/>
        <v>-335695773498869.56</v>
      </c>
      <c r="J4933" s="455">
        <f t="array" ref="J4933">IFERROR(INDEX('Retirement Calculator'!K:K,MATCH('Lorri 401b'!N4933,'Retirement Calculator'!A:A,0),0),0)</f>
        <v>0</v>
      </c>
      <c r="K4933" s="455">
        <f t="shared" ca="1" si="178"/>
        <v>-1398732389578.623</v>
      </c>
      <c r="L4933" s="455">
        <f t="shared" ca="1" si="179"/>
        <v>-337094505888448.19</v>
      </c>
      <c r="M4933" s="471">
        <f t="shared" si="181"/>
        <v>0.05</v>
      </c>
      <c r="N4933" s="475">
        <f t="shared" si="182"/>
        <v>201190</v>
      </c>
    </row>
    <row r="4934" spans="7:14" ht="11.25" customHeight="1" x14ac:dyDescent="0.3">
      <c r="G4934" s="470"/>
      <c r="H4934" s="470">
        <v>4927</v>
      </c>
      <c r="I4934" s="455">
        <f t="shared" ca="1" si="180"/>
        <v>-337094505888448.19</v>
      </c>
      <c r="J4934" s="455">
        <f t="array" ref="J4934">IFERROR(INDEX('Retirement Calculator'!K:K,MATCH('Lorri 401b'!N4934,'Retirement Calculator'!A:A,0),0),0)</f>
        <v>0</v>
      </c>
      <c r="K4934" s="455">
        <f t="shared" ca="1" si="178"/>
        <v>-1404560441201.8674</v>
      </c>
      <c r="L4934" s="455">
        <f t="shared" ca="1" si="179"/>
        <v>-338499066329650.06</v>
      </c>
      <c r="M4934" s="471">
        <f t="shared" si="181"/>
        <v>0.05</v>
      </c>
      <c r="N4934" s="475">
        <f t="shared" si="182"/>
        <v>201220</v>
      </c>
    </row>
    <row r="4935" spans="7:14" ht="11.25" customHeight="1" x14ac:dyDescent="0.3">
      <c r="G4935" s="470"/>
      <c r="H4935" s="470">
        <v>4928</v>
      </c>
      <c r="I4935" s="455">
        <f t="shared" ca="1" si="180"/>
        <v>-338499066329650.06</v>
      </c>
      <c r="J4935" s="455">
        <f t="array" ref="J4935">IFERROR(INDEX('Retirement Calculator'!K:K,MATCH('Lorri 401b'!N4935,'Retirement Calculator'!A:A,0),0),0)</f>
        <v>0</v>
      </c>
      <c r="K4935" s="455">
        <f t="shared" ca="1" si="178"/>
        <v>-1410412776373.542</v>
      </c>
      <c r="L4935" s="455">
        <f t="shared" ca="1" si="179"/>
        <v>-339909479106023.63</v>
      </c>
      <c r="M4935" s="471">
        <f t="shared" si="181"/>
        <v>0.05</v>
      </c>
      <c r="N4935" s="475">
        <f t="shared" si="182"/>
        <v>201251</v>
      </c>
    </row>
    <row r="4936" spans="7:14" ht="11.25" customHeight="1" x14ac:dyDescent="0.3">
      <c r="G4936" s="470"/>
      <c r="H4936" s="470">
        <v>4929</v>
      </c>
      <c r="I4936" s="455">
        <f t="shared" ca="1" si="180"/>
        <v>-339909479106023.63</v>
      </c>
      <c r="J4936" s="455">
        <f t="array" ref="J4936">IFERROR(INDEX('Retirement Calculator'!K:K,MATCH('Lorri 401b'!N4936,'Retirement Calculator'!A:A,0),0),0)</f>
        <v>0</v>
      </c>
      <c r="K4936" s="455">
        <f t="shared" ca="1" si="178"/>
        <v>-1416289496275.0984</v>
      </c>
      <c r="L4936" s="455">
        <f t="shared" ca="1" si="179"/>
        <v>-341325768602298.75</v>
      </c>
      <c r="M4936" s="471">
        <f t="shared" si="181"/>
        <v>0.05</v>
      </c>
      <c r="N4936" s="475">
        <f t="shared" si="182"/>
        <v>201282</v>
      </c>
    </row>
    <row r="4937" spans="7:14" ht="11.25" customHeight="1" x14ac:dyDescent="0.3">
      <c r="G4937" s="470"/>
      <c r="H4937" s="470">
        <v>4930</v>
      </c>
      <c r="I4937" s="455">
        <f t="shared" ca="1" si="180"/>
        <v>-341325768602298.75</v>
      </c>
      <c r="J4937" s="455">
        <f t="array" ref="J4937">IFERROR(INDEX('Retirement Calculator'!K:K,MATCH('Lorri 401b'!N4937,'Retirement Calculator'!A:A,0),0),0)</f>
        <v>0</v>
      </c>
      <c r="K4937" s="455">
        <f t="shared" ca="1" si="178"/>
        <v>-1422190702509.5781</v>
      </c>
      <c r="L4937" s="455">
        <f t="shared" ca="1" si="179"/>
        <v>-342747959304808.31</v>
      </c>
      <c r="M4937" s="471">
        <f t="shared" si="181"/>
        <v>0.05</v>
      </c>
      <c r="N4937" s="475">
        <f t="shared" si="182"/>
        <v>201310</v>
      </c>
    </row>
    <row r="4938" spans="7:14" ht="11.25" customHeight="1" x14ac:dyDescent="0.3">
      <c r="G4938" s="470"/>
      <c r="H4938" s="470">
        <v>4931</v>
      </c>
      <c r="I4938" s="455">
        <f t="shared" ca="1" si="180"/>
        <v>-342747959304808.31</v>
      </c>
      <c r="J4938" s="455">
        <f t="array" ref="J4938">IFERROR(INDEX('Retirement Calculator'!K:K,MATCH('Lorri 401b'!N4938,'Retirement Calculator'!A:A,0),0),0)</f>
        <v>0</v>
      </c>
      <c r="K4938" s="455">
        <f t="shared" ca="1" si="178"/>
        <v>-1428116497103.3679</v>
      </c>
      <c r="L4938" s="455">
        <f t="shared" ca="1" si="179"/>
        <v>-344176075801911.69</v>
      </c>
      <c r="M4938" s="471">
        <f t="shared" si="181"/>
        <v>0.05</v>
      </c>
      <c r="N4938" s="475">
        <f t="shared" si="182"/>
        <v>201341</v>
      </c>
    </row>
    <row r="4939" spans="7:14" ht="11.25" customHeight="1" x14ac:dyDescent="0.3">
      <c r="G4939" s="470"/>
      <c r="H4939" s="470">
        <v>4932</v>
      </c>
      <c r="I4939" s="455">
        <f t="shared" ca="1" si="180"/>
        <v>-344176075801911.69</v>
      </c>
      <c r="J4939" s="455">
        <f t="array" ref="J4939">IFERROR(INDEX('Retirement Calculator'!K:K,MATCH('Lorri 401b'!N4939,'Retirement Calculator'!A:A,0),0),0)</f>
        <v>0</v>
      </c>
      <c r="K4939" s="455">
        <f t="shared" ca="1" si="178"/>
        <v>-1434066982507.9653</v>
      </c>
      <c r="L4939" s="455">
        <f t="shared" ca="1" si="179"/>
        <v>-345610142784419.63</v>
      </c>
      <c r="M4939" s="471">
        <f t="shared" si="181"/>
        <v>0.05</v>
      </c>
      <c r="N4939" s="475">
        <f t="shared" si="182"/>
        <v>201371</v>
      </c>
    </row>
    <row r="4940" spans="7:14" ht="11.25" customHeight="1" x14ac:dyDescent="0.3">
      <c r="G4940" s="470"/>
      <c r="H4940" s="470">
        <v>4933</v>
      </c>
      <c r="I4940" s="455">
        <f t="shared" ca="1" si="180"/>
        <v>-345610142784419.63</v>
      </c>
      <c r="J4940" s="455">
        <f t="array" ref="J4940">IFERROR(INDEX('Retirement Calculator'!K:K,MATCH('Lorri 401b'!N4940,'Retirement Calculator'!A:A,0),0),0)</f>
        <v>0</v>
      </c>
      <c r="K4940" s="455">
        <f t="shared" ca="1" si="178"/>
        <v>-1440042261601.7485</v>
      </c>
      <c r="L4940" s="455">
        <f t="shared" ca="1" si="179"/>
        <v>-347050185046021.38</v>
      </c>
      <c r="M4940" s="471">
        <f t="shared" si="181"/>
        <v>0.05</v>
      </c>
      <c r="N4940" s="475">
        <f t="shared" si="182"/>
        <v>201402</v>
      </c>
    </row>
    <row r="4941" spans="7:14" ht="11.25" customHeight="1" x14ac:dyDescent="0.3">
      <c r="G4941" s="470"/>
      <c r="H4941" s="470">
        <v>4934</v>
      </c>
      <c r="I4941" s="455">
        <f t="shared" ca="1" si="180"/>
        <v>-347050185046021.38</v>
      </c>
      <c r="J4941" s="455">
        <f t="array" ref="J4941">IFERROR(INDEX('Retirement Calculator'!K:K,MATCH('Lorri 401b'!N4941,'Retirement Calculator'!A:A,0),0),0)</f>
        <v>0</v>
      </c>
      <c r="K4941" s="455">
        <f t="shared" ca="1" si="178"/>
        <v>-1446042437691.7556</v>
      </c>
      <c r="L4941" s="455">
        <f t="shared" ca="1" si="179"/>
        <v>-348496227483713.13</v>
      </c>
      <c r="M4941" s="471">
        <f t="shared" si="181"/>
        <v>0.05</v>
      </c>
      <c r="N4941" s="475">
        <f t="shared" si="182"/>
        <v>201432</v>
      </c>
    </row>
    <row r="4942" spans="7:14" ht="11.25" customHeight="1" x14ac:dyDescent="0.3">
      <c r="G4942" s="470"/>
      <c r="H4942" s="470">
        <v>4935</v>
      </c>
      <c r="I4942" s="455">
        <f t="shared" ca="1" si="180"/>
        <v>-348496227483713.13</v>
      </c>
      <c r="J4942" s="455">
        <f t="array" ref="J4942">IFERROR(INDEX('Retirement Calculator'!K:K,MATCH('Lorri 401b'!N4942,'Retirement Calculator'!A:A,0),0),0)</f>
        <v>0</v>
      </c>
      <c r="K4942" s="455">
        <f t="shared" ca="1" si="178"/>
        <v>-1452067614515.4714</v>
      </c>
      <c r="L4942" s="455">
        <f t="shared" ca="1" si="179"/>
        <v>-349948295098228.63</v>
      </c>
      <c r="M4942" s="471">
        <f t="shared" si="181"/>
        <v>0.05</v>
      </c>
      <c r="N4942" s="475">
        <f t="shared" si="182"/>
        <v>201463</v>
      </c>
    </row>
    <row r="4943" spans="7:14" ht="11.25" customHeight="1" x14ac:dyDescent="0.3">
      <c r="G4943" s="470"/>
      <c r="H4943" s="470">
        <v>4936</v>
      </c>
      <c r="I4943" s="455">
        <f t="shared" ca="1" si="180"/>
        <v>-349948295098228.63</v>
      </c>
      <c r="J4943" s="455">
        <f t="array" ref="J4943">IFERROR(INDEX('Retirement Calculator'!K:K,MATCH('Lorri 401b'!N4943,'Retirement Calculator'!A:A,0),0),0)</f>
        <v>0</v>
      </c>
      <c r="K4943" s="455">
        <f t="shared" ca="1" si="178"/>
        <v>-1458117896242.6191</v>
      </c>
      <c r="L4943" s="455">
        <f t="shared" ca="1" si="179"/>
        <v>-351406412994471.25</v>
      </c>
      <c r="M4943" s="471">
        <f t="shared" si="181"/>
        <v>0.05</v>
      </c>
      <c r="N4943" s="475">
        <f t="shared" si="182"/>
        <v>201494</v>
      </c>
    </row>
    <row r="4944" spans="7:14" ht="11.25" customHeight="1" x14ac:dyDescent="0.3">
      <c r="G4944" s="470"/>
      <c r="H4944" s="470">
        <v>4937</v>
      </c>
      <c r="I4944" s="455">
        <f t="shared" ca="1" si="180"/>
        <v>-351406412994471.25</v>
      </c>
      <c r="J4944" s="455">
        <f t="array" ref="J4944">IFERROR(INDEX('Retirement Calculator'!K:K,MATCH('Lorri 401b'!N4944,'Retirement Calculator'!A:A,0),0),0)</f>
        <v>0</v>
      </c>
      <c r="K4944" s="455">
        <f t="shared" ca="1" si="178"/>
        <v>-1464193387476.9636</v>
      </c>
      <c r="L4944" s="455">
        <f t="shared" ca="1" si="179"/>
        <v>-352870606381948.19</v>
      </c>
      <c r="M4944" s="471">
        <f t="shared" si="181"/>
        <v>0.05</v>
      </c>
      <c r="N4944" s="475">
        <f t="shared" si="182"/>
        <v>201524</v>
      </c>
    </row>
    <row r="4945" spans="7:14" ht="11.25" customHeight="1" x14ac:dyDescent="0.3">
      <c r="G4945" s="470"/>
      <c r="H4945" s="470">
        <v>4938</v>
      </c>
      <c r="I4945" s="455">
        <f t="shared" ca="1" si="180"/>
        <v>-352870606381948.19</v>
      </c>
      <c r="J4945" s="455">
        <f t="array" ref="J4945">IFERROR(INDEX('Retirement Calculator'!K:K,MATCH('Lorri 401b'!N4945,'Retirement Calculator'!A:A,0),0),0)</f>
        <v>0</v>
      </c>
      <c r="K4945" s="455">
        <f t="shared" ca="1" si="178"/>
        <v>-1470294193258.1174</v>
      </c>
      <c r="L4945" s="455">
        <f t="shared" ca="1" si="179"/>
        <v>-354340900575206.31</v>
      </c>
      <c r="M4945" s="471">
        <f t="shared" si="181"/>
        <v>0.05</v>
      </c>
      <c r="N4945" s="475">
        <f t="shared" si="182"/>
        <v>201555</v>
      </c>
    </row>
    <row r="4946" spans="7:14" ht="11.25" customHeight="1" x14ac:dyDescent="0.3">
      <c r="G4946" s="470"/>
      <c r="H4946" s="470">
        <v>4939</v>
      </c>
      <c r="I4946" s="455">
        <f t="shared" ca="1" si="180"/>
        <v>-354340900575206.31</v>
      </c>
      <c r="J4946" s="455">
        <f t="array" ref="J4946">IFERROR(INDEX('Retirement Calculator'!K:K,MATCH('Lorri 401b'!N4946,'Retirement Calculator'!A:A,0),0),0)</f>
        <v>0</v>
      </c>
      <c r="K4946" s="455">
        <f t="shared" ca="1" si="178"/>
        <v>-1476420419063.3596</v>
      </c>
      <c r="L4946" s="455">
        <f t="shared" ca="1" si="179"/>
        <v>-355817320994269.69</v>
      </c>
      <c r="M4946" s="471">
        <f t="shared" si="181"/>
        <v>0.05</v>
      </c>
      <c r="N4946" s="475">
        <f t="shared" si="182"/>
        <v>201585</v>
      </c>
    </row>
    <row r="4947" spans="7:14" ht="11.25" customHeight="1" x14ac:dyDescent="0.3">
      <c r="G4947" s="470"/>
      <c r="H4947" s="470">
        <v>4940</v>
      </c>
      <c r="I4947" s="455">
        <f t="shared" ca="1" si="180"/>
        <v>-355817320994269.69</v>
      </c>
      <c r="J4947" s="455">
        <f t="array" ref="J4947">IFERROR(INDEX('Retirement Calculator'!K:K,MATCH('Lorri 401b'!N4947,'Retirement Calculator'!A:A,0),0),0)</f>
        <v>0</v>
      </c>
      <c r="K4947" s="455">
        <f t="shared" ca="1" si="178"/>
        <v>-1482572170809.457</v>
      </c>
      <c r="L4947" s="455">
        <f t="shared" ca="1" si="179"/>
        <v>-357299893165079.13</v>
      </c>
      <c r="M4947" s="471">
        <f t="shared" si="181"/>
        <v>0.05</v>
      </c>
      <c r="N4947" s="475">
        <f t="shared" si="182"/>
        <v>201616</v>
      </c>
    </row>
    <row r="4948" spans="7:14" ht="11.25" customHeight="1" x14ac:dyDescent="0.3">
      <c r="G4948" s="470"/>
      <c r="H4948" s="470">
        <v>4941</v>
      </c>
      <c r="I4948" s="455">
        <f t="shared" ca="1" si="180"/>
        <v>-357299893165079.13</v>
      </c>
      <c r="J4948" s="455">
        <f t="array" ref="J4948">IFERROR(INDEX('Retirement Calculator'!K:K,MATCH('Lorri 401b'!N4948,'Retirement Calculator'!A:A,0),0),0)</f>
        <v>0</v>
      </c>
      <c r="K4948" s="455">
        <f t="shared" ca="1" si="178"/>
        <v>-1488749554854.4963</v>
      </c>
      <c r="L4948" s="455">
        <f t="shared" ca="1" si="179"/>
        <v>-358788642719933.63</v>
      </c>
      <c r="M4948" s="471">
        <f t="shared" si="181"/>
        <v>0.05</v>
      </c>
      <c r="N4948" s="475">
        <f t="shared" si="182"/>
        <v>201647</v>
      </c>
    </row>
    <row r="4949" spans="7:14" ht="11.25" customHeight="1" x14ac:dyDescent="0.3">
      <c r="G4949" s="470"/>
      <c r="H4949" s="470">
        <v>4942</v>
      </c>
      <c r="I4949" s="455">
        <f t="shared" ca="1" si="180"/>
        <v>-358788642719933.63</v>
      </c>
      <c r="J4949" s="455">
        <f t="array" ref="J4949">IFERROR(INDEX('Retirement Calculator'!K:K,MATCH('Lorri 401b'!N4949,'Retirement Calculator'!A:A,0),0),0)</f>
        <v>0</v>
      </c>
      <c r="K4949" s="455">
        <f t="shared" ca="1" si="178"/>
        <v>-1494952677999.7234</v>
      </c>
      <c r="L4949" s="455">
        <f t="shared" ca="1" si="179"/>
        <v>-360283595397933.38</v>
      </c>
      <c r="M4949" s="471">
        <f t="shared" si="181"/>
        <v>0.05</v>
      </c>
      <c r="N4949" s="475">
        <f t="shared" si="182"/>
        <v>201676</v>
      </c>
    </row>
    <row r="4950" spans="7:14" ht="11.25" customHeight="1" x14ac:dyDescent="0.3">
      <c r="G4950" s="470"/>
      <c r="H4950" s="470">
        <v>4943</v>
      </c>
      <c r="I4950" s="455">
        <f t="shared" ca="1" si="180"/>
        <v>-360283595397933.38</v>
      </c>
      <c r="J4950" s="455">
        <f t="array" ref="J4950">IFERROR(INDEX('Retirement Calculator'!K:K,MATCH('Lorri 401b'!N4950,'Retirement Calculator'!A:A,0),0),0)</f>
        <v>0</v>
      </c>
      <c r="K4950" s="455">
        <f t="shared" ca="1" si="178"/>
        <v>-1501181647491.3892</v>
      </c>
      <c r="L4950" s="455">
        <f t="shared" ca="1" si="179"/>
        <v>-361784777045424.75</v>
      </c>
      <c r="M4950" s="471">
        <f t="shared" si="181"/>
        <v>0.05</v>
      </c>
      <c r="N4950" s="475">
        <f t="shared" si="182"/>
        <v>201707</v>
      </c>
    </row>
    <row r="4951" spans="7:14" ht="11.25" customHeight="1" x14ac:dyDescent="0.3">
      <c r="G4951" s="470"/>
      <c r="H4951" s="470">
        <v>4944</v>
      </c>
      <c r="I4951" s="455">
        <f t="shared" ca="1" si="180"/>
        <v>-361784777045424.75</v>
      </c>
      <c r="J4951" s="455">
        <f t="array" ref="J4951">IFERROR(INDEX('Retirement Calculator'!K:K,MATCH('Lorri 401b'!N4951,'Retirement Calculator'!A:A,0),0),0)</f>
        <v>0</v>
      </c>
      <c r="K4951" s="455">
        <f t="shared" ca="1" si="178"/>
        <v>-1507436571022.603</v>
      </c>
      <c r="L4951" s="455">
        <f t="shared" ca="1" si="179"/>
        <v>-363292213616447.38</v>
      </c>
      <c r="M4951" s="471">
        <f t="shared" si="181"/>
        <v>0.05</v>
      </c>
      <c r="N4951" s="475">
        <f t="shared" si="182"/>
        <v>201737</v>
      </c>
    </row>
    <row r="4952" spans="7:14" ht="11.25" customHeight="1" x14ac:dyDescent="0.3">
      <c r="G4952" s="470"/>
      <c r="H4952" s="470">
        <v>4945</v>
      </c>
      <c r="I4952" s="455">
        <f t="shared" ca="1" si="180"/>
        <v>-363292213616447.38</v>
      </c>
      <c r="J4952" s="455">
        <f t="array" ref="J4952">IFERROR(INDEX('Retirement Calculator'!K:K,MATCH('Lorri 401b'!N4952,'Retirement Calculator'!A:A,0),0),0)</f>
        <v>0</v>
      </c>
      <c r="K4952" s="455">
        <f t="shared" ca="1" si="178"/>
        <v>-1513717556735.1973</v>
      </c>
      <c r="L4952" s="455">
        <f t="shared" ca="1" si="179"/>
        <v>-364805931173182.56</v>
      </c>
      <c r="M4952" s="471">
        <f t="shared" si="181"/>
        <v>0.05</v>
      </c>
      <c r="N4952" s="475">
        <f t="shared" si="182"/>
        <v>201768</v>
      </c>
    </row>
    <row r="4953" spans="7:14" ht="11.25" customHeight="1" x14ac:dyDescent="0.3">
      <c r="G4953" s="470"/>
      <c r="H4953" s="470">
        <v>4946</v>
      </c>
      <c r="I4953" s="455">
        <f t="shared" ca="1" si="180"/>
        <v>-364805931173182.56</v>
      </c>
      <c r="J4953" s="455">
        <f t="array" ref="J4953">IFERROR(INDEX('Retirement Calculator'!K:K,MATCH('Lorri 401b'!N4953,'Retirement Calculator'!A:A,0),0),0)</f>
        <v>0</v>
      </c>
      <c r="K4953" s="455">
        <f t="shared" ca="1" si="178"/>
        <v>-1520024713221.594</v>
      </c>
      <c r="L4953" s="455">
        <f t="shared" ca="1" si="179"/>
        <v>-366325955886404.19</v>
      </c>
      <c r="M4953" s="471">
        <f t="shared" si="181"/>
        <v>0.05</v>
      </c>
      <c r="N4953" s="475">
        <f t="shared" si="182"/>
        <v>201798</v>
      </c>
    </row>
    <row r="4954" spans="7:14" ht="11.25" customHeight="1" x14ac:dyDescent="0.3">
      <c r="G4954" s="470"/>
      <c r="H4954" s="470">
        <v>4947</v>
      </c>
      <c r="I4954" s="455">
        <f t="shared" ca="1" si="180"/>
        <v>-366325955886404.19</v>
      </c>
      <c r="J4954" s="455">
        <f t="array" ref="J4954">IFERROR(INDEX('Retirement Calculator'!K:K,MATCH('Lorri 401b'!N4954,'Retirement Calculator'!A:A,0),0),0)</f>
        <v>0</v>
      </c>
      <c r="K4954" s="455">
        <f t="shared" ca="1" si="178"/>
        <v>-1526358149526.6841</v>
      </c>
      <c r="L4954" s="455">
        <f t="shared" ca="1" si="179"/>
        <v>-367852314035930.88</v>
      </c>
      <c r="M4954" s="471">
        <f t="shared" si="181"/>
        <v>0.05</v>
      </c>
      <c r="N4954" s="475">
        <f t="shared" si="182"/>
        <v>201829</v>
      </c>
    </row>
    <row r="4955" spans="7:14" ht="11.25" customHeight="1" x14ac:dyDescent="0.3">
      <c r="G4955" s="470"/>
      <c r="H4955" s="470">
        <v>4948</v>
      </c>
      <c r="I4955" s="455">
        <f t="shared" ca="1" si="180"/>
        <v>-367852314035930.88</v>
      </c>
      <c r="J4955" s="455">
        <f t="array" ref="J4955">IFERROR(INDEX('Retirement Calculator'!K:K,MATCH('Lorri 401b'!N4955,'Retirement Calculator'!A:A,0),0),0)</f>
        <v>0</v>
      </c>
      <c r="K4955" s="455">
        <f t="shared" ca="1" si="178"/>
        <v>-1532717975149.7119</v>
      </c>
      <c r="L4955" s="455">
        <f t="shared" ca="1" si="179"/>
        <v>-369385032011080.56</v>
      </c>
      <c r="M4955" s="471">
        <f t="shared" si="181"/>
        <v>0.05</v>
      </c>
      <c r="N4955" s="475">
        <f t="shared" si="182"/>
        <v>201860</v>
      </c>
    </row>
    <row r="4956" spans="7:14" ht="11.25" customHeight="1" x14ac:dyDescent="0.3">
      <c r="G4956" s="470"/>
      <c r="H4956" s="470">
        <v>4949</v>
      </c>
      <c r="I4956" s="455">
        <f t="shared" ca="1" si="180"/>
        <v>-369385032011080.56</v>
      </c>
      <c r="J4956" s="455">
        <f t="array" ref="J4956">IFERROR(INDEX('Retirement Calculator'!K:K,MATCH('Lorri 401b'!N4956,'Retirement Calculator'!A:A,0),0),0)</f>
        <v>0</v>
      </c>
      <c r="K4956" s="455">
        <f t="shared" ca="1" si="178"/>
        <v>-1539104300046.1689</v>
      </c>
      <c r="L4956" s="455">
        <f t="shared" ca="1" si="179"/>
        <v>-370924136311126.75</v>
      </c>
      <c r="M4956" s="471">
        <f t="shared" si="181"/>
        <v>0.05</v>
      </c>
      <c r="N4956" s="475">
        <f t="shared" si="182"/>
        <v>201890</v>
      </c>
    </row>
    <row r="4957" spans="7:14" ht="11.25" customHeight="1" x14ac:dyDescent="0.3">
      <c r="G4957" s="470"/>
      <c r="H4957" s="470">
        <v>4950</v>
      </c>
      <c r="I4957" s="455">
        <f t="shared" ca="1" si="180"/>
        <v>-370924136311126.75</v>
      </c>
      <c r="J4957" s="455">
        <f t="array" ref="J4957">IFERROR(INDEX('Retirement Calculator'!K:K,MATCH('Lorri 401b'!N4957,'Retirement Calculator'!A:A,0),0),0)</f>
        <v>0</v>
      </c>
      <c r="K4957" s="455">
        <f t="shared" ca="1" si="178"/>
        <v>-1545517234629.6948</v>
      </c>
      <c r="L4957" s="455">
        <f t="shared" ca="1" si="179"/>
        <v>-372469653545756.44</v>
      </c>
      <c r="M4957" s="471">
        <f t="shared" si="181"/>
        <v>0.05</v>
      </c>
      <c r="N4957" s="475">
        <f t="shared" si="182"/>
        <v>201921</v>
      </c>
    </row>
    <row r="4958" spans="7:14" ht="11.25" customHeight="1" x14ac:dyDescent="0.3">
      <c r="G4958" s="470"/>
      <c r="H4958" s="470">
        <v>4951</v>
      </c>
      <c r="I4958" s="455">
        <f t="shared" ca="1" si="180"/>
        <v>-372469653545756.44</v>
      </c>
      <c r="J4958" s="455">
        <f t="array" ref="J4958">IFERROR(INDEX('Retirement Calculator'!K:K,MATCH('Lorri 401b'!N4958,'Retirement Calculator'!A:A,0),0),0)</f>
        <v>0</v>
      </c>
      <c r="K4958" s="455">
        <f t="shared" ca="1" si="178"/>
        <v>-1551956889773.9851</v>
      </c>
      <c r="L4958" s="455">
        <f t="shared" ca="1" si="179"/>
        <v>-374021610435530.44</v>
      </c>
      <c r="M4958" s="471">
        <f t="shared" si="181"/>
        <v>0.05</v>
      </c>
      <c r="N4958" s="475">
        <f t="shared" si="182"/>
        <v>201951</v>
      </c>
    </row>
    <row r="4959" spans="7:14" ht="11.25" customHeight="1" x14ac:dyDescent="0.3">
      <c r="G4959" s="470"/>
      <c r="H4959" s="470">
        <v>4952</v>
      </c>
      <c r="I4959" s="455">
        <f t="shared" ca="1" si="180"/>
        <v>-374021610435530.44</v>
      </c>
      <c r="J4959" s="455">
        <f t="array" ref="J4959">IFERROR(INDEX('Retirement Calculator'!K:K,MATCH('Lorri 401b'!N4959,'Retirement Calculator'!A:A,0),0),0)</f>
        <v>0</v>
      </c>
      <c r="K4959" s="455">
        <f t="shared" ca="1" si="178"/>
        <v>-1558423376814.7102</v>
      </c>
      <c r="L4959" s="455">
        <f t="shared" ca="1" si="179"/>
        <v>-375580033812345.13</v>
      </c>
      <c r="M4959" s="471">
        <f t="shared" si="181"/>
        <v>0.05</v>
      </c>
      <c r="N4959" s="475">
        <f t="shared" si="182"/>
        <v>201982</v>
      </c>
    </row>
    <row r="4960" spans="7:14" ht="11.25" customHeight="1" x14ac:dyDescent="0.3">
      <c r="G4960" s="470"/>
      <c r="H4960" s="470">
        <v>4953</v>
      </c>
      <c r="I4960" s="455">
        <f t="shared" ca="1" si="180"/>
        <v>-375580033812345.13</v>
      </c>
      <c r="J4960" s="455">
        <f t="array" ref="J4960">IFERROR(INDEX('Retirement Calculator'!K:K,MATCH('Lorri 401b'!N4960,'Retirement Calculator'!A:A,0),0),0)</f>
        <v>0</v>
      </c>
      <c r="K4960" s="455">
        <f t="shared" ca="1" si="178"/>
        <v>-1564916807551.438</v>
      </c>
      <c r="L4960" s="455">
        <f t="shared" ca="1" si="179"/>
        <v>-377144950619896.56</v>
      </c>
      <c r="M4960" s="471">
        <f t="shared" si="181"/>
        <v>0.05</v>
      </c>
      <c r="N4960" s="475">
        <f t="shared" si="182"/>
        <v>202013</v>
      </c>
    </row>
    <row r="4961" spans="7:14" ht="11.25" customHeight="1" x14ac:dyDescent="0.3">
      <c r="G4961" s="470"/>
      <c r="H4961" s="470">
        <v>4954</v>
      </c>
      <c r="I4961" s="455">
        <f t="shared" ca="1" si="180"/>
        <v>-377144950619896.56</v>
      </c>
      <c r="J4961" s="455">
        <f t="array" ref="J4961">IFERROR(INDEX('Retirement Calculator'!K:K,MATCH('Lorri 401b'!N4961,'Retirement Calculator'!A:A,0),0),0)</f>
        <v>0</v>
      </c>
      <c r="K4961" s="455">
        <f t="shared" ca="1" si="178"/>
        <v>-1571437294249.5691</v>
      </c>
      <c r="L4961" s="455">
        <f t="shared" ca="1" si="179"/>
        <v>-378716387914146.13</v>
      </c>
      <c r="M4961" s="471">
        <f t="shared" si="181"/>
        <v>0.05</v>
      </c>
      <c r="N4961" s="475">
        <f t="shared" si="182"/>
        <v>202041</v>
      </c>
    </row>
    <row r="4962" spans="7:14" ht="11.25" customHeight="1" x14ac:dyDescent="0.3">
      <c r="G4962" s="470"/>
      <c r="H4962" s="470">
        <v>4955</v>
      </c>
      <c r="I4962" s="455">
        <f t="shared" ca="1" si="180"/>
        <v>-378716387914146.13</v>
      </c>
      <c r="J4962" s="455">
        <f t="array" ref="J4962">IFERROR(INDEX('Retirement Calculator'!K:K,MATCH('Lorri 401b'!N4962,'Retirement Calculator'!A:A,0),0),0)</f>
        <v>0</v>
      </c>
      <c r="K4962" s="455">
        <f t="shared" ca="1" si="178"/>
        <v>-1577984949642.2754</v>
      </c>
      <c r="L4962" s="455">
        <f t="shared" ca="1" si="179"/>
        <v>-380294372863788.38</v>
      </c>
      <c r="M4962" s="471">
        <f t="shared" si="181"/>
        <v>0.05</v>
      </c>
      <c r="N4962" s="475">
        <f t="shared" si="182"/>
        <v>202072</v>
      </c>
    </row>
    <row r="4963" spans="7:14" ht="11.25" customHeight="1" x14ac:dyDescent="0.3">
      <c r="G4963" s="470"/>
      <c r="H4963" s="470">
        <v>4956</v>
      </c>
      <c r="I4963" s="455">
        <f t="shared" ca="1" si="180"/>
        <v>-380294372863788.38</v>
      </c>
      <c r="J4963" s="455">
        <f t="array" ref="J4963">IFERROR(INDEX('Retirement Calculator'!K:K,MATCH('Lorri 401b'!N4963,'Retirement Calculator'!A:A,0),0),0)</f>
        <v>0</v>
      </c>
      <c r="K4963" s="455">
        <f t="shared" ca="1" si="178"/>
        <v>-1584559886932.4517</v>
      </c>
      <c r="L4963" s="455">
        <f t="shared" ca="1" si="179"/>
        <v>-381878932750720.81</v>
      </c>
      <c r="M4963" s="471">
        <f t="shared" si="181"/>
        <v>0.05</v>
      </c>
      <c r="N4963" s="475">
        <f t="shared" si="182"/>
        <v>202102</v>
      </c>
    </row>
    <row r="4964" spans="7:14" ht="11.25" customHeight="1" x14ac:dyDescent="0.3">
      <c r="G4964" s="470"/>
      <c r="H4964" s="470">
        <v>4957</v>
      </c>
      <c r="I4964" s="455">
        <f t="shared" ca="1" si="180"/>
        <v>-381878932750720.81</v>
      </c>
      <c r="J4964" s="455">
        <f t="array" ref="J4964">IFERROR(INDEX('Retirement Calculator'!K:K,MATCH('Lorri 401b'!N4964,'Retirement Calculator'!A:A,0),0),0)</f>
        <v>0</v>
      </c>
      <c r="K4964" s="455">
        <f t="shared" ca="1" si="178"/>
        <v>-1591162219794.6699</v>
      </c>
      <c r="L4964" s="455">
        <f t="shared" ca="1" si="179"/>
        <v>-383470094970515.5</v>
      </c>
      <c r="M4964" s="471">
        <f t="shared" si="181"/>
        <v>0.05</v>
      </c>
      <c r="N4964" s="475">
        <f t="shared" si="182"/>
        <v>202133</v>
      </c>
    </row>
    <row r="4965" spans="7:14" ht="11.25" customHeight="1" x14ac:dyDescent="0.3">
      <c r="G4965" s="470"/>
      <c r="H4965" s="470">
        <v>4958</v>
      </c>
      <c r="I4965" s="455">
        <f t="shared" ca="1" si="180"/>
        <v>-383470094970515.5</v>
      </c>
      <c r="J4965" s="455">
        <f t="array" ref="J4965">IFERROR(INDEX('Retirement Calculator'!K:K,MATCH('Lorri 401b'!N4965,'Retirement Calculator'!A:A,0),0),0)</f>
        <v>0</v>
      </c>
      <c r="K4965" s="455">
        <f t="shared" ca="1" si="178"/>
        <v>-1597792062377.1479</v>
      </c>
      <c r="L4965" s="455">
        <f t="shared" ca="1" si="179"/>
        <v>-385067887032892.63</v>
      </c>
      <c r="M4965" s="471">
        <f t="shared" si="181"/>
        <v>0.05</v>
      </c>
      <c r="N4965" s="475">
        <f t="shared" si="182"/>
        <v>202163</v>
      </c>
    </row>
    <row r="4966" spans="7:14" ht="11.25" customHeight="1" x14ac:dyDescent="0.3">
      <c r="G4966" s="470"/>
      <c r="H4966" s="470">
        <v>4959</v>
      </c>
      <c r="I4966" s="455">
        <f t="shared" ca="1" si="180"/>
        <v>-385067887032892.63</v>
      </c>
      <c r="J4966" s="455">
        <f t="array" ref="J4966">IFERROR(INDEX('Retirement Calculator'!K:K,MATCH('Lorri 401b'!N4966,'Retirement Calculator'!A:A,0),0),0)</f>
        <v>0</v>
      </c>
      <c r="K4966" s="455">
        <f t="shared" ca="1" si="178"/>
        <v>-1604449529303.7192</v>
      </c>
      <c r="L4966" s="455">
        <f t="shared" ca="1" si="179"/>
        <v>-386672336562196.38</v>
      </c>
      <c r="M4966" s="471">
        <f t="shared" si="181"/>
        <v>0.05</v>
      </c>
      <c r="N4966" s="475">
        <f t="shared" si="182"/>
        <v>202194</v>
      </c>
    </row>
    <row r="4967" spans="7:14" ht="11.25" customHeight="1" x14ac:dyDescent="0.3">
      <c r="G4967" s="470"/>
      <c r="H4967" s="470">
        <v>4960</v>
      </c>
      <c r="I4967" s="455">
        <f t="shared" ca="1" si="180"/>
        <v>-386672336562196.38</v>
      </c>
      <c r="J4967" s="455">
        <f t="array" ref="J4967">IFERROR(INDEX('Retirement Calculator'!K:K,MATCH('Lorri 401b'!N4967,'Retirement Calculator'!A:A,0),0),0)</f>
        <v>0</v>
      </c>
      <c r="K4967" s="455">
        <f t="shared" ca="1" si="178"/>
        <v>-1611134735675.8181</v>
      </c>
      <c r="L4967" s="455">
        <f t="shared" ca="1" si="179"/>
        <v>-388283471297872.19</v>
      </c>
      <c r="M4967" s="471">
        <f t="shared" si="181"/>
        <v>0.05</v>
      </c>
      <c r="N4967" s="475">
        <f t="shared" si="182"/>
        <v>202225</v>
      </c>
    </row>
    <row r="4968" spans="7:14" ht="11.25" customHeight="1" x14ac:dyDescent="0.3">
      <c r="G4968" s="470"/>
      <c r="H4968" s="470">
        <v>4961</v>
      </c>
      <c r="I4968" s="455">
        <f t="shared" ca="1" si="180"/>
        <v>-388283471297872.19</v>
      </c>
      <c r="J4968" s="455">
        <f t="array" ref="J4968">IFERROR(INDEX('Retirement Calculator'!K:K,MATCH('Lorri 401b'!N4968,'Retirement Calculator'!A:A,0),0),0)</f>
        <v>0</v>
      </c>
      <c r="K4968" s="455">
        <f t="shared" ca="1" si="178"/>
        <v>-1617847797074.4675</v>
      </c>
      <c r="L4968" s="455">
        <f t="shared" ca="1" si="179"/>
        <v>-389901319094946.63</v>
      </c>
      <c r="M4968" s="471">
        <f t="shared" si="181"/>
        <v>0.05</v>
      </c>
      <c r="N4968" s="475">
        <f t="shared" si="182"/>
        <v>202255</v>
      </c>
    </row>
    <row r="4969" spans="7:14" ht="11.25" customHeight="1" x14ac:dyDescent="0.3">
      <c r="G4969" s="470"/>
      <c r="H4969" s="470">
        <v>4962</v>
      </c>
      <c r="I4969" s="455">
        <f t="shared" ca="1" si="180"/>
        <v>-389901319094946.63</v>
      </c>
      <c r="J4969" s="455">
        <f t="array" ref="J4969">IFERROR(INDEX('Retirement Calculator'!K:K,MATCH('Lorri 401b'!N4969,'Retirement Calculator'!A:A,0),0),0)</f>
        <v>0</v>
      </c>
      <c r="K4969" s="455">
        <f t="shared" ca="1" si="178"/>
        <v>-1624588829562.2776</v>
      </c>
      <c r="L4969" s="455">
        <f t="shared" ca="1" si="179"/>
        <v>-391525907924508.88</v>
      </c>
      <c r="M4969" s="471">
        <f t="shared" si="181"/>
        <v>0.05</v>
      </c>
      <c r="N4969" s="475">
        <f t="shared" si="182"/>
        <v>202286</v>
      </c>
    </row>
    <row r="4970" spans="7:14" ht="11.25" customHeight="1" x14ac:dyDescent="0.3">
      <c r="G4970" s="470"/>
      <c r="H4970" s="470">
        <v>4963</v>
      </c>
      <c r="I4970" s="455">
        <f t="shared" ca="1" si="180"/>
        <v>-391525907924508.88</v>
      </c>
      <c r="J4970" s="455">
        <f t="array" ref="J4970">IFERROR(INDEX('Retirement Calculator'!K:K,MATCH('Lorri 401b'!N4970,'Retirement Calculator'!A:A,0),0),0)</f>
        <v>0</v>
      </c>
      <c r="K4970" s="455">
        <f t="shared" ca="1" si="178"/>
        <v>-1631357949685.4536</v>
      </c>
      <c r="L4970" s="455">
        <f t="shared" ca="1" si="179"/>
        <v>-393157265874194.31</v>
      </c>
      <c r="M4970" s="471">
        <f t="shared" si="181"/>
        <v>0.05</v>
      </c>
      <c r="N4970" s="475">
        <f t="shared" si="182"/>
        <v>202316</v>
      </c>
    </row>
    <row r="4971" spans="7:14" ht="11.25" customHeight="1" x14ac:dyDescent="0.3">
      <c r="G4971" s="470"/>
      <c r="H4971" s="470">
        <v>4964</v>
      </c>
      <c r="I4971" s="455">
        <f t="shared" ca="1" si="180"/>
        <v>-393157265874194.31</v>
      </c>
      <c r="J4971" s="455">
        <f t="array" ref="J4971">IFERROR(INDEX('Retirement Calculator'!K:K,MATCH('Lorri 401b'!N4971,'Retirement Calculator'!A:A,0),0),0)</f>
        <v>0</v>
      </c>
      <c r="K4971" s="455">
        <f t="shared" ca="1" si="178"/>
        <v>-1638155274475.8096</v>
      </c>
      <c r="L4971" s="455">
        <f t="shared" ca="1" si="179"/>
        <v>-394795421148670.13</v>
      </c>
      <c r="M4971" s="471">
        <f t="shared" si="181"/>
        <v>0.05</v>
      </c>
      <c r="N4971" s="475">
        <f t="shared" si="182"/>
        <v>202347</v>
      </c>
    </row>
    <row r="4972" spans="7:14" ht="11.25" customHeight="1" x14ac:dyDescent="0.3">
      <c r="G4972" s="470"/>
      <c r="H4972" s="470">
        <v>4965</v>
      </c>
      <c r="I4972" s="455">
        <f t="shared" ca="1" si="180"/>
        <v>-394795421148670.13</v>
      </c>
      <c r="J4972" s="455">
        <f t="array" ref="J4972">IFERROR(INDEX('Retirement Calculator'!K:K,MATCH('Lorri 401b'!N4972,'Retirement Calculator'!A:A,0),0),0)</f>
        <v>0</v>
      </c>
      <c r="K4972" s="455">
        <f t="shared" ca="1" si="178"/>
        <v>-1644980921452.7922</v>
      </c>
      <c r="L4972" s="455">
        <f t="shared" ca="1" si="179"/>
        <v>-396440402070122.94</v>
      </c>
      <c r="M4972" s="471">
        <f t="shared" si="181"/>
        <v>0.05</v>
      </c>
      <c r="N4972" s="475">
        <f t="shared" si="182"/>
        <v>202378</v>
      </c>
    </row>
    <row r="4973" spans="7:14" ht="11.25" customHeight="1" x14ac:dyDescent="0.3">
      <c r="G4973" s="470"/>
      <c r="H4973" s="470">
        <v>4966</v>
      </c>
      <c r="I4973" s="455">
        <f t="shared" ca="1" si="180"/>
        <v>-396440402070122.94</v>
      </c>
      <c r="J4973" s="455">
        <f t="array" ref="J4973">IFERROR(INDEX('Retirement Calculator'!K:K,MATCH('Lorri 401b'!N4973,'Retirement Calculator'!A:A,0),0),0)</f>
        <v>0</v>
      </c>
      <c r="K4973" s="455">
        <f t="shared" ca="1" si="178"/>
        <v>-1651835008625.5122</v>
      </c>
      <c r="L4973" s="455">
        <f t="shared" ca="1" si="179"/>
        <v>-398092237078748.44</v>
      </c>
      <c r="M4973" s="471">
        <f t="shared" si="181"/>
        <v>0.05</v>
      </c>
      <c r="N4973" s="475">
        <f t="shared" si="182"/>
        <v>202406</v>
      </c>
    </row>
    <row r="4974" spans="7:14" ht="11.25" customHeight="1" x14ac:dyDescent="0.3">
      <c r="G4974" s="470"/>
      <c r="H4974" s="470">
        <v>4967</v>
      </c>
      <c r="I4974" s="455">
        <f t="shared" ca="1" si="180"/>
        <v>-398092237078748.44</v>
      </c>
      <c r="J4974" s="455">
        <f t="array" ref="J4974">IFERROR(INDEX('Retirement Calculator'!K:K,MATCH('Lorri 401b'!N4974,'Retirement Calculator'!A:A,0),0),0)</f>
        <v>0</v>
      </c>
      <c r="K4974" s="455">
        <f t="shared" ca="1" si="178"/>
        <v>-1658717654494.7852</v>
      </c>
      <c r="L4974" s="455">
        <f t="shared" ca="1" si="179"/>
        <v>-399750954733243.25</v>
      </c>
      <c r="M4974" s="471">
        <f t="shared" si="181"/>
        <v>0.05</v>
      </c>
      <c r="N4974" s="475">
        <f t="shared" si="182"/>
        <v>202437</v>
      </c>
    </row>
    <row r="4975" spans="7:14" ht="11.25" customHeight="1" x14ac:dyDescent="0.3">
      <c r="G4975" s="470"/>
      <c r="H4975" s="470">
        <v>4968</v>
      </c>
      <c r="I4975" s="455">
        <f t="shared" ca="1" si="180"/>
        <v>-399750954733243.25</v>
      </c>
      <c r="J4975" s="455">
        <f t="array" ref="J4975">IFERROR(INDEX('Retirement Calculator'!K:K,MATCH('Lorri 401b'!N4975,'Retirement Calculator'!A:A,0),0),0)</f>
        <v>0</v>
      </c>
      <c r="K4975" s="455">
        <f t="shared" ca="1" si="178"/>
        <v>-1665628978055.1802</v>
      </c>
      <c r="L4975" s="455">
        <f t="shared" ca="1" si="179"/>
        <v>-401416583711298.44</v>
      </c>
      <c r="M4975" s="471">
        <f t="shared" si="181"/>
        <v>0.05</v>
      </c>
      <c r="N4975" s="475">
        <f t="shared" si="182"/>
        <v>202467</v>
      </c>
    </row>
    <row r="4976" spans="7:14" ht="11.25" customHeight="1" x14ac:dyDescent="0.3">
      <c r="G4976" s="470"/>
      <c r="H4976" s="470">
        <v>4969</v>
      </c>
      <c r="I4976" s="455">
        <f t="shared" ca="1" si="180"/>
        <v>-401416583711298.44</v>
      </c>
      <c r="J4976" s="455">
        <f t="array" ref="J4976">IFERROR(INDEX('Retirement Calculator'!K:K,MATCH('Lorri 401b'!N4976,'Retirement Calculator'!A:A,0),0),0)</f>
        <v>0</v>
      </c>
      <c r="K4976" s="455">
        <f t="shared" ca="1" si="178"/>
        <v>-1672569098797.0769</v>
      </c>
      <c r="L4976" s="455">
        <f t="shared" ca="1" si="179"/>
        <v>-403089152810095.5</v>
      </c>
      <c r="M4976" s="471">
        <f t="shared" si="181"/>
        <v>0.05</v>
      </c>
      <c r="N4976" s="475">
        <f t="shared" si="182"/>
        <v>202498</v>
      </c>
    </row>
    <row r="4977" spans="7:14" ht="11.25" customHeight="1" x14ac:dyDescent="0.3">
      <c r="G4977" s="470"/>
      <c r="H4977" s="470">
        <v>4970</v>
      </c>
      <c r="I4977" s="455">
        <f t="shared" ca="1" si="180"/>
        <v>-403089152810095.5</v>
      </c>
      <c r="J4977" s="455">
        <f t="array" ref="J4977">IFERROR(INDEX('Retirement Calculator'!K:K,MATCH('Lorri 401b'!N4977,'Retirement Calculator'!A:A,0),0),0)</f>
        <v>0</v>
      </c>
      <c r="K4977" s="455">
        <f t="shared" ca="1" si="178"/>
        <v>-1679538136708.7312</v>
      </c>
      <c r="L4977" s="455">
        <f t="shared" ca="1" si="179"/>
        <v>-404768690946804.25</v>
      </c>
      <c r="M4977" s="471">
        <f t="shared" si="181"/>
        <v>0.05</v>
      </c>
      <c r="N4977" s="475">
        <f t="shared" si="182"/>
        <v>202528</v>
      </c>
    </row>
    <row r="4978" spans="7:14" ht="11.25" customHeight="1" x14ac:dyDescent="0.3">
      <c r="G4978" s="470"/>
      <c r="H4978" s="470">
        <v>4971</v>
      </c>
      <c r="I4978" s="455">
        <f t="shared" ca="1" si="180"/>
        <v>-404768690946804.25</v>
      </c>
      <c r="J4978" s="455">
        <f t="array" ref="J4978">IFERROR(INDEX('Retirement Calculator'!K:K,MATCH('Lorri 401b'!N4978,'Retirement Calculator'!A:A,0),0),0)</f>
        <v>0</v>
      </c>
      <c r="K4978" s="455">
        <f t="shared" ca="1" si="178"/>
        <v>-1686536212278.3511</v>
      </c>
      <c r="L4978" s="455">
        <f t="shared" ca="1" si="179"/>
        <v>-406455227159082.63</v>
      </c>
      <c r="M4978" s="471">
        <f t="shared" si="181"/>
        <v>0.05</v>
      </c>
      <c r="N4978" s="475">
        <f t="shared" si="182"/>
        <v>202559</v>
      </c>
    </row>
    <row r="4979" spans="7:14" ht="11.25" customHeight="1" x14ac:dyDescent="0.3">
      <c r="G4979" s="470"/>
      <c r="H4979" s="470">
        <v>4972</v>
      </c>
      <c r="I4979" s="455">
        <f t="shared" ca="1" si="180"/>
        <v>-406455227159082.63</v>
      </c>
      <c r="J4979" s="455">
        <f t="array" ref="J4979">IFERROR(INDEX('Retirement Calculator'!K:K,MATCH('Lorri 401b'!N4979,'Retirement Calculator'!A:A,0),0),0)</f>
        <v>0</v>
      </c>
      <c r="K4979" s="455">
        <f t="shared" ca="1" si="178"/>
        <v>-1693563446496.1775</v>
      </c>
      <c r="L4979" s="455">
        <f t="shared" ca="1" si="179"/>
        <v>-408148790605578.81</v>
      </c>
      <c r="M4979" s="471">
        <f t="shared" si="181"/>
        <v>0.05</v>
      </c>
      <c r="N4979" s="475">
        <f t="shared" si="182"/>
        <v>202590</v>
      </c>
    </row>
    <row r="4980" spans="7:14" ht="11.25" customHeight="1" x14ac:dyDescent="0.3">
      <c r="G4980" s="470"/>
      <c r="H4980" s="470">
        <v>4973</v>
      </c>
      <c r="I4980" s="455">
        <f t="shared" ca="1" si="180"/>
        <v>-408148790605578.81</v>
      </c>
      <c r="J4980" s="455">
        <f t="array" ref="J4980">IFERROR(INDEX('Retirement Calculator'!K:K,MATCH('Lorri 401b'!N4980,'Retirement Calculator'!A:A,0),0),0)</f>
        <v>0</v>
      </c>
      <c r="K4980" s="455">
        <f t="shared" ca="1" si="178"/>
        <v>-1700619960856.5784</v>
      </c>
      <c r="L4980" s="455">
        <f t="shared" ca="1" si="179"/>
        <v>-409849410566435.38</v>
      </c>
      <c r="M4980" s="471">
        <f t="shared" si="181"/>
        <v>0.05</v>
      </c>
      <c r="N4980" s="475">
        <f t="shared" si="182"/>
        <v>202620</v>
      </c>
    </row>
    <row r="4981" spans="7:14" ht="11.25" customHeight="1" x14ac:dyDescent="0.3">
      <c r="G4981" s="470"/>
      <c r="H4981" s="470">
        <v>4974</v>
      </c>
      <c r="I4981" s="455">
        <f t="shared" ca="1" si="180"/>
        <v>-409849410566435.38</v>
      </c>
      <c r="J4981" s="455">
        <f t="array" ref="J4981">IFERROR(INDEX('Retirement Calculator'!K:K,MATCH('Lorri 401b'!N4981,'Retirement Calculator'!A:A,0),0),0)</f>
        <v>0</v>
      </c>
      <c r="K4981" s="455">
        <f t="shared" ca="1" si="178"/>
        <v>-1707705877360.1475</v>
      </c>
      <c r="L4981" s="455">
        <f t="shared" ca="1" si="179"/>
        <v>-411557116443795.5</v>
      </c>
      <c r="M4981" s="471">
        <f t="shared" si="181"/>
        <v>0.05</v>
      </c>
      <c r="N4981" s="475">
        <f t="shared" si="182"/>
        <v>202651</v>
      </c>
    </row>
    <row r="4982" spans="7:14" ht="11.25" customHeight="1" x14ac:dyDescent="0.3">
      <c r="G4982" s="470"/>
      <c r="H4982" s="470">
        <v>4975</v>
      </c>
      <c r="I4982" s="455">
        <f t="shared" ca="1" si="180"/>
        <v>-411557116443795.5</v>
      </c>
      <c r="J4982" s="455">
        <f t="array" ref="J4982">IFERROR(INDEX('Retirement Calculator'!K:K,MATCH('Lorri 401b'!N4982,'Retirement Calculator'!A:A,0),0),0)</f>
        <v>0</v>
      </c>
      <c r="K4982" s="455">
        <f t="shared" ca="1" si="178"/>
        <v>-1714821318515.8145</v>
      </c>
      <c r="L4982" s="455">
        <f t="shared" ca="1" si="179"/>
        <v>-413271937762311.31</v>
      </c>
      <c r="M4982" s="471">
        <f t="shared" si="181"/>
        <v>0.05</v>
      </c>
      <c r="N4982" s="475">
        <f t="shared" si="182"/>
        <v>202681</v>
      </c>
    </row>
    <row r="4983" spans="7:14" ht="11.25" customHeight="1" x14ac:dyDescent="0.3">
      <c r="G4983" s="470"/>
      <c r="H4983" s="470">
        <v>4976</v>
      </c>
      <c r="I4983" s="455">
        <f t="shared" ca="1" si="180"/>
        <v>-413271937762311.31</v>
      </c>
      <c r="J4983" s="455">
        <f t="array" ref="J4983">IFERROR(INDEX('Retirement Calculator'!K:K,MATCH('Lorri 401b'!N4983,'Retirement Calculator'!A:A,0),0),0)</f>
        <v>0</v>
      </c>
      <c r="K4983" s="455">
        <f t="shared" ca="1" si="178"/>
        <v>-1721966407342.9639</v>
      </c>
      <c r="L4983" s="455">
        <f t="shared" ca="1" si="179"/>
        <v>-414993904169654.25</v>
      </c>
      <c r="M4983" s="471">
        <f t="shared" si="181"/>
        <v>0.05</v>
      </c>
      <c r="N4983" s="475">
        <f t="shared" si="182"/>
        <v>202712</v>
      </c>
    </row>
    <row r="4984" spans="7:14" ht="11.25" customHeight="1" x14ac:dyDescent="0.3">
      <c r="G4984" s="470"/>
      <c r="H4984" s="470">
        <v>4977</v>
      </c>
      <c r="I4984" s="455">
        <f t="shared" ca="1" si="180"/>
        <v>-414993904169654.25</v>
      </c>
      <c r="J4984" s="455">
        <f t="array" ref="J4984">IFERROR(INDEX('Retirement Calculator'!K:K,MATCH('Lorri 401b'!N4984,'Retirement Calculator'!A:A,0),0),0)</f>
        <v>0</v>
      </c>
      <c r="K4984" s="455">
        <f t="shared" ca="1" si="178"/>
        <v>-1729141267373.5593</v>
      </c>
      <c r="L4984" s="455">
        <f t="shared" ca="1" si="179"/>
        <v>-416723045437027.81</v>
      </c>
      <c r="M4984" s="471">
        <f t="shared" si="181"/>
        <v>0.05</v>
      </c>
      <c r="N4984" s="475">
        <f t="shared" si="182"/>
        <v>202743</v>
      </c>
    </row>
    <row r="4985" spans="7:14" ht="11.25" customHeight="1" x14ac:dyDescent="0.3">
      <c r="G4985" s="470"/>
      <c r="H4985" s="470">
        <v>4978</v>
      </c>
      <c r="I4985" s="455">
        <f t="shared" ca="1" si="180"/>
        <v>-416723045437027.81</v>
      </c>
      <c r="J4985" s="455">
        <f t="array" ref="J4985">IFERROR(INDEX('Retirement Calculator'!K:K,MATCH('Lorri 401b'!N4985,'Retirement Calculator'!A:A,0),0),0)</f>
        <v>0</v>
      </c>
      <c r="K4985" s="455">
        <f t="shared" ca="1" si="178"/>
        <v>-1736346022654.2825</v>
      </c>
      <c r="L4985" s="455">
        <f t="shared" ca="1" si="179"/>
        <v>-418459391459682.13</v>
      </c>
      <c r="M4985" s="471">
        <f t="shared" si="181"/>
        <v>0.05</v>
      </c>
      <c r="N4985" s="475">
        <f t="shared" si="182"/>
        <v>202771</v>
      </c>
    </row>
    <row r="4986" spans="7:14" ht="11.25" customHeight="1" x14ac:dyDescent="0.3">
      <c r="G4986" s="470"/>
      <c r="H4986" s="470">
        <v>4979</v>
      </c>
      <c r="I4986" s="455">
        <f t="shared" ca="1" si="180"/>
        <v>-418459391459682.13</v>
      </c>
      <c r="J4986" s="455">
        <f t="array" ref="J4986">IFERROR(INDEX('Retirement Calculator'!K:K,MATCH('Lorri 401b'!N4986,'Retirement Calculator'!A:A,0),0),0)</f>
        <v>0</v>
      </c>
      <c r="K4986" s="455">
        <f t="shared" ca="1" si="178"/>
        <v>-1743580797748.6755</v>
      </c>
      <c r="L4986" s="455">
        <f t="shared" ca="1" si="179"/>
        <v>-420202972257430.81</v>
      </c>
      <c r="M4986" s="471">
        <f t="shared" si="181"/>
        <v>0.05</v>
      </c>
      <c r="N4986" s="475">
        <f t="shared" si="182"/>
        <v>202802</v>
      </c>
    </row>
    <row r="4987" spans="7:14" ht="11.25" customHeight="1" x14ac:dyDescent="0.3">
      <c r="G4987" s="470"/>
      <c r="H4987" s="470">
        <v>4980</v>
      </c>
      <c r="I4987" s="455">
        <f t="shared" ca="1" si="180"/>
        <v>-420202972257430.81</v>
      </c>
      <c r="J4987" s="455">
        <f t="array" ref="J4987">IFERROR(INDEX('Retirement Calculator'!K:K,MATCH('Lorri 401b'!N4987,'Retirement Calculator'!A:A,0),0),0)</f>
        <v>0</v>
      </c>
      <c r="K4987" s="455">
        <f t="shared" ca="1" si="178"/>
        <v>-1750845717739.2949</v>
      </c>
      <c r="L4987" s="455">
        <f t="shared" ca="1" si="179"/>
        <v>-421953817975170.13</v>
      </c>
      <c r="M4987" s="471">
        <f t="shared" si="181"/>
        <v>0.05</v>
      </c>
      <c r="N4987" s="475">
        <f t="shared" si="182"/>
        <v>202832</v>
      </c>
    </row>
    <row r="4988" spans="7:14" ht="11.25" customHeight="1" x14ac:dyDescent="0.3">
      <c r="G4988" s="470"/>
      <c r="H4988" s="470">
        <v>4981</v>
      </c>
      <c r="I4988" s="455">
        <f t="shared" ca="1" si="180"/>
        <v>-421953817975170.13</v>
      </c>
      <c r="J4988" s="455">
        <f t="array" ref="J4988">IFERROR(INDEX('Retirement Calculator'!K:K,MATCH('Lorri 401b'!N4988,'Retirement Calculator'!A:A,0),0),0)</f>
        <v>0</v>
      </c>
      <c r="K4988" s="455">
        <f t="shared" ca="1" si="178"/>
        <v>-1758140908229.8755</v>
      </c>
      <c r="L4988" s="455">
        <f t="shared" ca="1" si="179"/>
        <v>-423711958883400</v>
      </c>
      <c r="M4988" s="471">
        <f t="shared" si="181"/>
        <v>0.05</v>
      </c>
      <c r="N4988" s="475">
        <f t="shared" si="182"/>
        <v>202863</v>
      </c>
    </row>
    <row r="4989" spans="7:14" ht="11.25" customHeight="1" x14ac:dyDescent="0.3">
      <c r="G4989" s="470"/>
      <c r="H4989" s="470">
        <v>4982</v>
      </c>
      <c r="I4989" s="455">
        <f t="shared" ca="1" si="180"/>
        <v>-423711958883400</v>
      </c>
      <c r="J4989" s="455">
        <f t="array" ref="J4989">IFERROR(INDEX('Retirement Calculator'!K:K,MATCH('Lorri 401b'!N4989,'Retirement Calculator'!A:A,0),0),0)</f>
        <v>0</v>
      </c>
      <c r="K4989" s="455">
        <f t="shared" ca="1" si="178"/>
        <v>-1765466495347.5</v>
      </c>
      <c r="L4989" s="455">
        <f t="shared" ca="1" si="179"/>
        <v>-425477425378747.5</v>
      </c>
      <c r="M4989" s="471">
        <f t="shared" si="181"/>
        <v>0.05</v>
      </c>
      <c r="N4989" s="475">
        <f t="shared" si="182"/>
        <v>202893</v>
      </c>
    </row>
    <row r="4990" spans="7:14" ht="11.25" customHeight="1" x14ac:dyDescent="0.3">
      <c r="G4990" s="470"/>
      <c r="H4990" s="470">
        <v>4983</v>
      </c>
      <c r="I4990" s="455">
        <f t="shared" ca="1" si="180"/>
        <v>-425477425378747.5</v>
      </c>
      <c r="J4990" s="455">
        <f t="array" ref="J4990">IFERROR(INDEX('Retirement Calculator'!K:K,MATCH('Lorri 401b'!N4990,'Retirement Calculator'!A:A,0),0),0)</f>
        <v>0</v>
      </c>
      <c r="K4990" s="455">
        <f t="shared" ca="1" si="178"/>
        <v>-1772822605744.7813</v>
      </c>
      <c r="L4990" s="455">
        <f t="shared" ca="1" si="179"/>
        <v>-427250247984492.25</v>
      </c>
      <c r="M4990" s="471">
        <f t="shared" si="181"/>
        <v>0.05</v>
      </c>
      <c r="N4990" s="475">
        <f t="shared" si="182"/>
        <v>202924</v>
      </c>
    </row>
    <row r="4991" spans="7:14" ht="11.25" customHeight="1" x14ac:dyDescent="0.3">
      <c r="G4991" s="470"/>
      <c r="H4991" s="470">
        <v>4984</v>
      </c>
      <c r="I4991" s="455">
        <f t="shared" ca="1" si="180"/>
        <v>-427250247984492.25</v>
      </c>
      <c r="J4991" s="455">
        <f t="array" ref="J4991">IFERROR(INDEX('Retirement Calculator'!K:K,MATCH('Lorri 401b'!N4991,'Retirement Calculator'!A:A,0),0),0)</f>
        <v>0</v>
      </c>
      <c r="K4991" s="455">
        <f t="shared" ca="1" si="178"/>
        <v>-1780209366602.051</v>
      </c>
      <c r="L4991" s="455">
        <f t="shared" ca="1" si="179"/>
        <v>-429030457351094.31</v>
      </c>
      <c r="M4991" s="471">
        <f t="shared" si="181"/>
        <v>0.05</v>
      </c>
      <c r="N4991" s="475">
        <f t="shared" si="182"/>
        <v>202955</v>
      </c>
    </row>
    <row r="4992" spans="7:14" ht="11.25" customHeight="1" x14ac:dyDescent="0.3">
      <c r="G4992" s="470"/>
      <c r="H4992" s="470">
        <v>4985</v>
      </c>
      <c r="I4992" s="455">
        <f t="shared" ca="1" si="180"/>
        <v>-429030457351094.31</v>
      </c>
      <c r="J4992" s="455">
        <f t="array" ref="J4992">IFERROR(INDEX('Retirement Calculator'!K:K,MATCH('Lorri 401b'!N4992,'Retirement Calculator'!A:A,0),0),0)</f>
        <v>0</v>
      </c>
      <c r="K4992" s="455">
        <f t="shared" ca="1" si="178"/>
        <v>-1787626905629.5596</v>
      </c>
      <c r="L4992" s="455">
        <f t="shared" ca="1" si="179"/>
        <v>-430818084256723.88</v>
      </c>
      <c r="M4992" s="471">
        <f t="shared" si="181"/>
        <v>0.05</v>
      </c>
      <c r="N4992" s="475">
        <f t="shared" si="182"/>
        <v>202985</v>
      </c>
    </row>
    <row r="4993" spans="7:14" ht="11.25" customHeight="1" x14ac:dyDescent="0.3">
      <c r="G4993" s="470"/>
      <c r="H4993" s="470">
        <v>4986</v>
      </c>
      <c r="I4993" s="455">
        <f t="shared" ca="1" si="180"/>
        <v>-430818084256723.88</v>
      </c>
      <c r="J4993" s="455">
        <f t="array" ref="J4993">IFERROR(INDEX('Retirement Calculator'!K:K,MATCH('Lorri 401b'!N4993,'Retirement Calculator'!A:A,0),0),0)</f>
        <v>0</v>
      </c>
      <c r="K4993" s="455">
        <f t="shared" ca="1" si="178"/>
        <v>-1795075351069.6829</v>
      </c>
      <c r="L4993" s="455">
        <f t="shared" ca="1" si="179"/>
        <v>-432613159607793.56</v>
      </c>
      <c r="M4993" s="471">
        <f t="shared" si="181"/>
        <v>0.05</v>
      </c>
      <c r="N4993" s="475">
        <f t="shared" si="182"/>
        <v>203016</v>
      </c>
    </row>
    <row r="4994" spans="7:14" ht="11.25" customHeight="1" x14ac:dyDescent="0.3">
      <c r="G4994" s="470"/>
      <c r="H4994" s="470">
        <v>4987</v>
      </c>
      <c r="I4994" s="455">
        <f t="shared" ca="1" si="180"/>
        <v>-432613159607793.56</v>
      </c>
      <c r="J4994" s="455">
        <f t="array" ref="J4994">IFERROR(INDEX('Retirement Calculator'!K:K,MATCH('Lorri 401b'!N4994,'Retirement Calculator'!A:A,0),0),0)</f>
        <v>0</v>
      </c>
      <c r="K4994" s="455">
        <f t="shared" ca="1" si="178"/>
        <v>-1802554831699.1399</v>
      </c>
      <c r="L4994" s="455">
        <f t="shared" ca="1" si="179"/>
        <v>-434415714439492.69</v>
      </c>
      <c r="M4994" s="471">
        <f t="shared" si="181"/>
        <v>0.05</v>
      </c>
      <c r="N4994" s="475">
        <f t="shared" si="182"/>
        <v>203046</v>
      </c>
    </row>
    <row r="4995" spans="7:14" ht="11.25" customHeight="1" x14ac:dyDescent="0.3">
      <c r="G4995" s="470"/>
      <c r="H4995" s="470">
        <v>4988</v>
      </c>
      <c r="I4995" s="455">
        <f t="shared" ca="1" si="180"/>
        <v>-434415714439492.69</v>
      </c>
      <c r="J4995" s="455">
        <f t="array" ref="J4995">IFERROR(INDEX('Retirement Calculator'!K:K,MATCH('Lorri 401b'!N4995,'Retirement Calculator'!A:A,0),0),0)</f>
        <v>0</v>
      </c>
      <c r="K4995" s="455">
        <f t="shared" ca="1" si="178"/>
        <v>-1810065476831.2195</v>
      </c>
      <c r="L4995" s="455">
        <f t="shared" ca="1" si="179"/>
        <v>-436225779916323.94</v>
      </c>
      <c r="M4995" s="471">
        <f t="shared" si="181"/>
        <v>0.05</v>
      </c>
      <c r="N4995" s="475">
        <f t="shared" si="182"/>
        <v>203077</v>
      </c>
    </row>
    <row r="4996" spans="7:14" ht="11.25" customHeight="1" x14ac:dyDescent="0.3">
      <c r="G4996" s="470"/>
      <c r="H4996" s="470">
        <v>4989</v>
      </c>
      <c r="I4996" s="455">
        <f t="shared" ca="1" si="180"/>
        <v>-436225779916323.94</v>
      </c>
      <c r="J4996" s="455">
        <f t="array" ref="J4996">IFERROR(INDEX('Retirement Calculator'!K:K,MATCH('Lorri 401b'!N4996,'Retirement Calculator'!A:A,0),0),0)</f>
        <v>0</v>
      </c>
      <c r="K4996" s="455">
        <f t="shared" ca="1" si="178"/>
        <v>-1817607416318.0164</v>
      </c>
      <c r="L4996" s="455">
        <f t="shared" ca="1" si="179"/>
        <v>-438043387332641.94</v>
      </c>
      <c r="M4996" s="471">
        <f t="shared" si="181"/>
        <v>0.05</v>
      </c>
      <c r="N4996" s="475">
        <f t="shared" si="182"/>
        <v>203108</v>
      </c>
    </row>
    <row r="4997" spans="7:14" ht="11.25" customHeight="1" x14ac:dyDescent="0.3">
      <c r="G4997" s="470"/>
      <c r="H4997" s="470">
        <v>4990</v>
      </c>
      <c r="I4997" s="455">
        <f t="shared" ca="1" si="180"/>
        <v>-438043387332641.94</v>
      </c>
      <c r="J4997" s="455">
        <f t="array" ref="J4997">IFERROR(INDEX('Retirement Calculator'!K:K,MATCH('Lorri 401b'!N4997,'Retirement Calculator'!A:A,0),0),0)</f>
        <v>0</v>
      </c>
      <c r="K4997" s="455">
        <f t="shared" ca="1" si="178"/>
        <v>-1825180780552.6748</v>
      </c>
      <c r="L4997" s="455">
        <f t="shared" ca="1" si="179"/>
        <v>-439868568113194.63</v>
      </c>
      <c r="M4997" s="471">
        <f t="shared" si="181"/>
        <v>0.05</v>
      </c>
      <c r="N4997" s="475">
        <f t="shared" si="182"/>
        <v>203137</v>
      </c>
    </row>
    <row r="4998" spans="7:14" ht="11.25" customHeight="1" x14ac:dyDescent="0.3">
      <c r="G4998" s="470"/>
      <c r="H4998" s="470">
        <v>4991</v>
      </c>
      <c r="I4998" s="455">
        <f t="shared" ca="1" si="180"/>
        <v>-439868568113194.63</v>
      </c>
      <c r="J4998" s="455">
        <f t="array" ref="J4998">IFERROR(INDEX('Retirement Calculator'!K:K,MATCH('Lorri 401b'!N4998,'Retirement Calculator'!A:A,0),0),0)</f>
        <v>0</v>
      </c>
      <c r="K4998" s="455">
        <f t="shared" ca="1" si="178"/>
        <v>-1832785700471.6445</v>
      </c>
      <c r="L4998" s="455">
        <f t="shared" ca="1" si="179"/>
        <v>-441701353813666.25</v>
      </c>
      <c r="M4998" s="471">
        <f t="shared" si="181"/>
        <v>0.05</v>
      </c>
      <c r="N4998" s="475">
        <f t="shared" si="182"/>
        <v>203168</v>
      </c>
    </row>
    <row r="4999" spans="7:14" ht="11.25" customHeight="1" x14ac:dyDescent="0.3">
      <c r="G4999" s="470"/>
      <c r="H4999" s="470">
        <v>4992</v>
      </c>
      <c r="I4999" s="455">
        <f t="shared" ca="1" si="180"/>
        <v>-441701353813666.25</v>
      </c>
      <c r="J4999" s="455">
        <f t="array" ref="J4999">IFERROR(INDEX('Retirement Calculator'!K:K,MATCH('Lorri 401b'!N4999,'Retirement Calculator'!A:A,0),0),0)</f>
        <v>0</v>
      </c>
      <c r="K4999" s="455">
        <f t="shared" ca="1" si="178"/>
        <v>-1840422307556.9426</v>
      </c>
      <c r="L4999" s="455">
        <f t="shared" ca="1" si="179"/>
        <v>-443541776121223.19</v>
      </c>
      <c r="M4999" s="471">
        <f t="shared" si="181"/>
        <v>0.05</v>
      </c>
      <c r="N4999" s="475">
        <f t="shared" si="182"/>
        <v>203198</v>
      </c>
    </row>
    <row r="5000" spans="7:14" ht="11.25" customHeight="1" x14ac:dyDescent="0.3">
      <c r="G5000" s="470"/>
      <c r="H5000" s="470">
        <v>4993</v>
      </c>
      <c r="I5000" s="455">
        <f t="shared" ca="1" si="180"/>
        <v>-443541776121223.19</v>
      </c>
      <c r="J5000" s="455">
        <f t="array" ref="J5000">IFERROR(INDEX('Retirement Calculator'!K:K,MATCH('Lorri 401b'!N5000,'Retirement Calculator'!A:A,0),0),0)</f>
        <v>0</v>
      </c>
      <c r="K5000" s="455">
        <f t="shared" ca="1" si="178"/>
        <v>-1848090733838.4297</v>
      </c>
      <c r="L5000" s="455">
        <f t="shared" ca="1" si="179"/>
        <v>-445389866855061.63</v>
      </c>
      <c r="M5000" s="471">
        <f t="shared" si="181"/>
        <v>0.05</v>
      </c>
      <c r="N5000" s="475">
        <f t="shared" si="182"/>
        <v>203229</v>
      </c>
    </row>
    <row r="5001" spans="7:14" ht="11.25" customHeight="1" x14ac:dyDescent="0.3">
      <c r="G5001" s="470"/>
      <c r="H5001" s="470">
        <v>4994</v>
      </c>
      <c r="I5001" s="455">
        <f t="shared" ca="1" si="180"/>
        <v>-445389866855061.63</v>
      </c>
      <c r="J5001" s="455">
        <f t="array" ref="J5001">IFERROR(INDEX('Retirement Calculator'!K:K,MATCH('Lorri 401b'!N5001,'Retirement Calculator'!A:A,0),0),0)</f>
        <v>0</v>
      </c>
      <c r="K5001" s="455">
        <f t="shared" ca="1" si="178"/>
        <v>-1855791111896.0903</v>
      </c>
      <c r="L5001" s="455">
        <f t="shared" ca="1" si="179"/>
        <v>-447245657966957.69</v>
      </c>
      <c r="M5001" s="471">
        <f t="shared" si="181"/>
        <v>0.05</v>
      </c>
      <c r="N5001" s="475">
        <f t="shared" si="182"/>
        <v>203259</v>
      </c>
    </row>
    <row r="5002" spans="7:14" ht="11.25" customHeight="1" x14ac:dyDescent="0.3">
      <c r="G5002" s="470"/>
      <c r="H5002" s="470">
        <v>4995</v>
      </c>
      <c r="I5002" s="455">
        <f t="shared" ca="1" si="180"/>
        <v>-447245657966957.69</v>
      </c>
      <c r="J5002" s="455">
        <f t="array" ref="J5002">IFERROR(INDEX('Retirement Calculator'!K:K,MATCH('Lorri 401b'!N5002,'Retirement Calculator'!A:A,0),0),0)</f>
        <v>0</v>
      </c>
      <c r="K5002" s="455">
        <f t="shared" ca="1" si="178"/>
        <v>-1863523574862.3235</v>
      </c>
      <c r="L5002" s="455">
        <f t="shared" ca="1" si="179"/>
        <v>-449109181541820</v>
      </c>
      <c r="M5002" s="471">
        <f t="shared" si="181"/>
        <v>0.05</v>
      </c>
      <c r="N5002" s="475">
        <f t="shared" si="182"/>
        <v>203290</v>
      </c>
    </row>
    <row r="5003" spans="7:14" ht="11.25" customHeight="1" x14ac:dyDescent="0.3">
      <c r="G5003" s="470"/>
      <c r="H5003" s="470">
        <v>4996</v>
      </c>
      <c r="I5003" s="455">
        <f t="shared" ca="1" si="180"/>
        <v>-449109181541820</v>
      </c>
      <c r="J5003" s="455">
        <f t="array" ref="J5003">IFERROR(INDEX('Retirement Calculator'!K:K,MATCH('Lorri 401b'!N5003,'Retirement Calculator'!A:A,0),0),0)</f>
        <v>0</v>
      </c>
      <c r="K5003" s="455">
        <f t="shared" ca="1" si="178"/>
        <v>-1871288256424.25</v>
      </c>
      <c r="L5003" s="455">
        <f t="shared" ca="1" si="179"/>
        <v>-450980469798244.25</v>
      </c>
      <c r="M5003" s="471">
        <f t="shared" si="181"/>
        <v>0.05</v>
      </c>
      <c r="N5003" s="475">
        <f t="shared" si="182"/>
        <v>203321</v>
      </c>
    </row>
    <row r="5004" spans="7:14" ht="11.25" customHeight="1" x14ac:dyDescent="0.3">
      <c r="G5004" s="470"/>
      <c r="H5004" s="470">
        <v>4997</v>
      </c>
      <c r="I5004" s="455">
        <f t="shared" ca="1" si="180"/>
        <v>-450980469798244.25</v>
      </c>
      <c r="J5004" s="455">
        <f t="array" ref="J5004">IFERROR(INDEX('Retirement Calculator'!K:K,MATCH('Lorri 401b'!N5004,'Retirement Calculator'!A:A,0),0),0)</f>
        <v>0</v>
      </c>
      <c r="K5004" s="455">
        <f t="shared" ca="1" si="178"/>
        <v>-1879085290826.0173</v>
      </c>
      <c r="L5004" s="455">
        <f t="shared" ca="1" si="179"/>
        <v>-452859555089070.25</v>
      </c>
      <c r="M5004" s="471">
        <f t="shared" si="181"/>
        <v>0.05</v>
      </c>
      <c r="N5004" s="475">
        <f t="shared" si="182"/>
        <v>203351</v>
      </c>
    </row>
    <row r="5005" spans="7:14" ht="11.25" customHeight="1" x14ac:dyDescent="0.3">
      <c r="G5005" s="470"/>
      <c r="H5005" s="470">
        <v>4998</v>
      </c>
      <c r="I5005" s="455">
        <f t="shared" ca="1" si="180"/>
        <v>-452859555089070.25</v>
      </c>
      <c r="J5005" s="455">
        <f t="array" ref="J5005">IFERROR(INDEX('Retirement Calculator'!K:K,MATCH('Lorri 401b'!N5005,'Retirement Calculator'!A:A,0),0),0)</f>
        <v>0</v>
      </c>
      <c r="K5005" s="455">
        <f t="shared" ca="1" si="178"/>
        <v>-1886914812871.126</v>
      </c>
      <c r="L5005" s="455">
        <f t="shared" ca="1" si="179"/>
        <v>-454746469901941.38</v>
      </c>
      <c r="M5005" s="471">
        <f t="shared" si="181"/>
        <v>0.05</v>
      </c>
      <c r="N5005" s="475">
        <f t="shared" si="182"/>
        <v>203382</v>
      </c>
    </row>
    <row r="5006" spans="7:14" ht="11.25" customHeight="1" x14ac:dyDescent="0.3">
      <c r="G5006" s="470"/>
      <c r="H5006" s="470">
        <v>4999</v>
      </c>
      <c r="I5006" s="455">
        <f t="shared" ca="1" si="180"/>
        <v>-454746469901941.38</v>
      </c>
      <c r="J5006" s="455">
        <f t="array" ref="J5006">IFERROR(INDEX('Retirement Calculator'!K:K,MATCH('Lorri 401b'!N5006,'Retirement Calculator'!A:A,0),0),0)</f>
        <v>0</v>
      </c>
      <c r="K5006" s="455">
        <f t="shared" ca="1" si="178"/>
        <v>-1894776957924.7554</v>
      </c>
      <c r="L5006" s="455">
        <f t="shared" ca="1" si="179"/>
        <v>-456641246859866.13</v>
      </c>
      <c r="M5006" s="471">
        <f t="shared" si="181"/>
        <v>0.05</v>
      </c>
      <c r="N5006" s="475">
        <f t="shared" si="182"/>
        <v>203412</v>
      </c>
    </row>
    <row r="5007" spans="7:14" ht="11.25" customHeight="1" x14ac:dyDescent="0.3">
      <c r="G5007" s="470"/>
      <c r="H5007" s="470">
        <v>5000</v>
      </c>
      <c r="I5007" s="455">
        <f t="shared" ca="1" si="180"/>
        <v>-456641246859866.13</v>
      </c>
      <c r="J5007" s="455">
        <f t="array" ref="J5007">IFERROR(INDEX('Retirement Calculator'!K:K,MATCH('Lorri 401b'!N5007,'Retirement Calculator'!A:A,0),0),0)</f>
        <v>0</v>
      </c>
      <c r="K5007" s="455">
        <f t="shared" ca="1" si="178"/>
        <v>-1902671861916.1086</v>
      </c>
      <c r="L5007" s="455">
        <f t="shared" ca="1" si="179"/>
        <v>-458543918721782.25</v>
      </c>
      <c r="M5007" s="471">
        <f t="shared" si="181"/>
        <v>0.05</v>
      </c>
      <c r="N5007" s="475">
        <f t="shared" si="182"/>
        <v>203443</v>
      </c>
    </row>
    <row r="5008" spans="7:14" ht="11.25" customHeight="1" x14ac:dyDescent="0.3">
      <c r="G5008" s="470"/>
      <c r="H5008" s="470">
        <v>5001</v>
      </c>
      <c r="I5008" s="455">
        <f t="shared" ca="1" si="180"/>
        <v>-458543918721782.25</v>
      </c>
      <c r="J5008" s="455">
        <f t="array" ref="J5008">IFERROR(INDEX('Retirement Calculator'!K:K,MATCH('Lorri 401b'!N5008,'Retirement Calculator'!A:A,0),0),0)</f>
        <v>0</v>
      </c>
      <c r="K5008" s="455">
        <f t="shared" ca="1" si="178"/>
        <v>-1910599661340.7593</v>
      </c>
      <c r="L5008" s="455">
        <f t="shared" ca="1" si="179"/>
        <v>-460454518383123</v>
      </c>
      <c r="M5008" s="471">
        <f t="shared" si="181"/>
        <v>0.05</v>
      </c>
      <c r="N5008" s="475">
        <f t="shared" si="182"/>
        <v>203474</v>
      </c>
    </row>
    <row r="5009" spans="7:14" ht="11.25" customHeight="1" x14ac:dyDescent="0.3">
      <c r="G5009" s="470"/>
      <c r="H5009" s="470">
        <v>5002</v>
      </c>
      <c r="I5009" s="455">
        <f t="shared" ca="1" si="180"/>
        <v>-460454518383123</v>
      </c>
      <c r="J5009" s="455">
        <f t="array" ref="J5009">IFERROR(INDEX('Retirement Calculator'!K:K,MATCH('Lorri 401b'!N5009,'Retirement Calculator'!A:A,0),0),0)</f>
        <v>0</v>
      </c>
      <c r="K5009" s="455">
        <f t="shared" ca="1" si="178"/>
        <v>-1918560493263.0127</v>
      </c>
      <c r="L5009" s="455">
        <f t="shared" ca="1" si="179"/>
        <v>-462373078876386</v>
      </c>
      <c r="M5009" s="471">
        <f t="shared" si="181"/>
        <v>0.05</v>
      </c>
      <c r="N5009" s="475">
        <f t="shared" si="182"/>
        <v>203502</v>
      </c>
    </row>
    <row r="5010" spans="7:14" ht="11.25" customHeight="1" x14ac:dyDescent="0.3">
      <c r="G5010" s="470"/>
      <c r="H5010" s="470">
        <v>5003</v>
      </c>
      <c r="I5010" s="455">
        <f t="shared" ca="1" si="180"/>
        <v>-462373078876386</v>
      </c>
      <c r="J5010" s="455">
        <f t="array" ref="J5010">IFERROR(INDEX('Retirement Calculator'!K:K,MATCH('Lorri 401b'!N5010,'Retirement Calculator'!A:A,0),0),0)</f>
        <v>0</v>
      </c>
      <c r="K5010" s="455">
        <f t="shared" ca="1" si="178"/>
        <v>-1926554495318.2749</v>
      </c>
      <c r="L5010" s="455">
        <f t="shared" ca="1" si="179"/>
        <v>-464299633371704.25</v>
      </c>
      <c r="M5010" s="471">
        <f t="shared" si="181"/>
        <v>0.05</v>
      </c>
      <c r="N5010" s="475">
        <f t="shared" si="182"/>
        <v>203533</v>
      </c>
    </row>
    <row r="5011" spans="7:14" ht="11.25" customHeight="1" x14ac:dyDescent="0.3">
      <c r="G5011" s="470"/>
      <c r="H5011" s="470">
        <v>5004</v>
      </c>
      <c r="I5011" s="455">
        <f t="shared" ca="1" si="180"/>
        <v>-464299633371704.25</v>
      </c>
      <c r="J5011" s="455">
        <f t="array" ref="J5011">IFERROR(INDEX('Retirement Calculator'!K:K,MATCH('Lorri 401b'!N5011,'Retirement Calculator'!A:A,0),0),0)</f>
        <v>0</v>
      </c>
      <c r="K5011" s="455">
        <f t="shared" ca="1" si="178"/>
        <v>-1934581805715.4341</v>
      </c>
      <c r="L5011" s="455">
        <f t="shared" ca="1" si="179"/>
        <v>-466234215177419.69</v>
      </c>
      <c r="M5011" s="471">
        <f t="shared" si="181"/>
        <v>0.05</v>
      </c>
      <c r="N5011" s="475">
        <f t="shared" si="182"/>
        <v>203563</v>
      </c>
    </row>
    <row r="5012" spans="7:14" ht="11.25" customHeight="1" x14ac:dyDescent="0.3">
      <c r="G5012" s="470"/>
      <c r="H5012" s="470">
        <v>5005</v>
      </c>
      <c r="I5012" s="455">
        <f t="shared" ca="1" si="180"/>
        <v>-466234215177419.69</v>
      </c>
      <c r="J5012" s="455">
        <f t="array" ref="J5012">IFERROR(INDEX('Retirement Calculator'!K:K,MATCH('Lorri 401b'!N5012,'Retirement Calculator'!A:A,0),0),0)</f>
        <v>0</v>
      </c>
      <c r="K5012" s="455">
        <f t="shared" ca="1" si="178"/>
        <v>-1942642563239.2483</v>
      </c>
      <c r="L5012" s="455">
        <f t="shared" ca="1" si="179"/>
        <v>-468176857740658.94</v>
      </c>
      <c r="M5012" s="471">
        <f t="shared" si="181"/>
        <v>0.05</v>
      </c>
      <c r="N5012" s="475">
        <f t="shared" si="182"/>
        <v>203594</v>
      </c>
    </row>
    <row r="5013" spans="7:14" ht="11.25" customHeight="1" x14ac:dyDescent="0.3">
      <c r="G5013" s="470"/>
      <c r="H5013" s="470">
        <v>5006</v>
      </c>
      <c r="I5013" s="455">
        <f t="shared" ca="1" si="180"/>
        <v>-468176857740658.94</v>
      </c>
      <c r="J5013" s="455">
        <f t="array" ref="J5013">IFERROR(INDEX('Retirement Calculator'!K:K,MATCH('Lorri 401b'!N5013,'Retirement Calculator'!A:A,0),0),0)</f>
        <v>0</v>
      </c>
      <c r="K5013" s="455">
        <f t="shared" ca="1" si="178"/>
        <v>-1950736907252.7456</v>
      </c>
      <c r="L5013" s="455">
        <f t="shared" ca="1" si="179"/>
        <v>-470127594647911.69</v>
      </c>
      <c r="M5013" s="471">
        <f t="shared" si="181"/>
        <v>0.05</v>
      </c>
      <c r="N5013" s="475">
        <f t="shared" si="182"/>
        <v>203624</v>
      </c>
    </row>
    <row r="5014" spans="7:14" ht="11.25" customHeight="1" x14ac:dyDescent="0.3">
      <c r="G5014" s="470"/>
      <c r="H5014" s="470">
        <v>5007</v>
      </c>
      <c r="I5014" s="455">
        <f t="shared" ca="1" si="180"/>
        <v>-470127594647911.69</v>
      </c>
      <c r="J5014" s="455">
        <f t="array" ref="J5014">IFERROR(INDEX('Retirement Calculator'!K:K,MATCH('Lorri 401b'!N5014,'Retirement Calculator'!A:A,0),0),0)</f>
        <v>0</v>
      </c>
      <c r="K5014" s="455">
        <f t="shared" ca="1" si="178"/>
        <v>-1958864977699.6321</v>
      </c>
      <c r="L5014" s="455">
        <f t="shared" ca="1" si="179"/>
        <v>-472086459625611.31</v>
      </c>
      <c r="M5014" s="471">
        <f t="shared" si="181"/>
        <v>0.05</v>
      </c>
      <c r="N5014" s="475">
        <f t="shared" si="182"/>
        <v>203655</v>
      </c>
    </row>
    <row r="5015" spans="7:14" ht="11.25" customHeight="1" x14ac:dyDescent="0.3">
      <c r="G5015" s="470"/>
      <c r="H5015" s="470">
        <v>5008</v>
      </c>
      <c r="I5015" s="455">
        <f t="shared" ca="1" si="180"/>
        <v>-472086459625611.31</v>
      </c>
      <c r="J5015" s="455">
        <f t="array" ref="J5015">IFERROR(INDEX('Retirement Calculator'!K:K,MATCH('Lorri 401b'!N5015,'Retirement Calculator'!A:A,0),0),0)</f>
        <v>0</v>
      </c>
      <c r="K5015" s="455">
        <f t="shared" ca="1" si="178"/>
        <v>-1967026915106.7139</v>
      </c>
      <c r="L5015" s="455">
        <f t="shared" ca="1" si="179"/>
        <v>-474053486540718</v>
      </c>
      <c r="M5015" s="471">
        <f t="shared" si="181"/>
        <v>0.05</v>
      </c>
      <c r="N5015" s="475">
        <f t="shared" si="182"/>
        <v>203686</v>
      </c>
    </row>
    <row r="5016" spans="7:14" ht="11.25" customHeight="1" x14ac:dyDescent="0.3">
      <c r="G5016" s="470"/>
      <c r="H5016" s="470">
        <v>5009</v>
      </c>
      <c r="I5016" s="455">
        <f t="shared" ca="1" si="180"/>
        <v>-474053486540718</v>
      </c>
      <c r="J5016" s="455">
        <f t="array" ref="J5016">IFERROR(INDEX('Retirement Calculator'!K:K,MATCH('Lorri 401b'!N5016,'Retirement Calculator'!A:A,0),0),0)</f>
        <v>0</v>
      </c>
      <c r="K5016" s="455">
        <f t="shared" ca="1" si="178"/>
        <v>-1975222860586.3252</v>
      </c>
      <c r="L5016" s="455">
        <f t="shared" ca="1" si="179"/>
        <v>-476028709401304.31</v>
      </c>
      <c r="M5016" s="471">
        <f t="shared" si="181"/>
        <v>0.05</v>
      </c>
      <c r="N5016" s="475">
        <f t="shared" si="182"/>
        <v>203716</v>
      </c>
    </row>
    <row r="5017" spans="7:14" ht="11.25" customHeight="1" x14ac:dyDescent="0.3">
      <c r="G5017" s="470"/>
      <c r="H5017" s="470">
        <v>5010</v>
      </c>
      <c r="I5017" s="455">
        <f t="shared" ca="1" si="180"/>
        <v>-476028709401304.31</v>
      </c>
      <c r="J5017" s="455">
        <f t="array" ref="J5017">IFERROR(INDEX('Retirement Calculator'!K:K,MATCH('Lorri 401b'!N5017,'Retirement Calculator'!A:A,0),0),0)</f>
        <v>0</v>
      </c>
      <c r="K5017" s="455">
        <f t="shared" ca="1" si="178"/>
        <v>-1983452955838.7676</v>
      </c>
      <c r="L5017" s="455">
        <f t="shared" ca="1" si="179"/>
        <v>-478012162357143.06</v>
      </c>
      <c r="M5017" s="471">
        <f t="shared" si="181"/>
        <v>0.05</v>
      </c>
      <c r="N5017" s="475">
        <f t="shared" si="182"/>
        <v>203747</v>
      </c>
    </row>
    <row r="5018" spans="7:14" ht="11.25" customHeight="1" x14ac:dyDescent="0.3">
      <c r="G5018" s="470"/>
      <c r="H5018" s="470">
        <v>5011</v>
      </c>
      <c r="I5018" s="455">
        <f t="shared" ca="1" si="180"/>
        <v>-478012162357143.06</v>
      </c>
      <c r="J5018" s="455">
        <f t="array" ref="J5018">IFERROR(INDEX('Retirement Calculator'!K:K,MATCH('Lorri 401b'!N5018,'Retirement Calculator'!A:A,0),0),0)</f>
        <v>0</v>
      </c>
      <c r="K5018" s="455">
        <f t="shared" ca="1" si="178"/>
        <v>-1991717343154.7627</v>
      </c>
      <c r="L5018" s="455">
        <f t="shared" ca="1" si="179"/>
        <v>-480003879700297.81</v>
      </c>
      <c r="M5018" s="471">
        <f t="shared" si="181"/>
        <v>0.05</v>
      </c>
      <c r="N5018" s="475">
        <f t="shared" si="182"/>
        <v>203777</v>
      </c>
    </row>
    <row r="5019" spans="7:14" ht="11.25" customHeight="1" x14ac:dyDescent="0.3">
      <c r="G5019" s="470"/>
      <c r="H5019" s="470">
        <v>5012</v>
      </c>
      <c r="I5019" s="455">
        <f t="shared" ca="1" si="180"/>
        <v>-480003879700297.81</v>
      </c>
      <c r="J5019" s="455">
        <f t="array" ref="J5019">IFERROR(INDEX('Retirement Calculator'!K:K,MATCH('Lorri 401b'!N5019,'Retirement Calculator'!A:A,0),0),0)</f>
        <v>0</v>
      </c>
      <c r="K5019" s="455">
        <f t="shared" ca="1" si="178"/>
        <v>-2000016165417.9072</v>
      </c>
      <c r="L5019" s="455">
        <f t="shared" ca="1" si="179"/>
        <v>-482003895865715.75</v>
      </c>
      <c r="M5019" s="471">
        <f t="shared" si="181"/>
        <v>0.05</v>
      </c>
      <c r="N5019" s="475">
        <f t="shared" si="182"/>
        <v>203808</v>
      </c>
    </row>
    <row r="5020" spans="7:14" ht="11.25" customHeight="1" x14ac:dyDescent="0.3">
      <c r="G5020" s="470"/>
      <c r="H5020" s="470">
        <v>5013</v>
      </c>
      <c r="I5020" s="455">
        <f t="shared" ca="1" si="180"/>
        <v>-482003895865715.75</v>
      </c>
      <c r="J5020" s="455">
        <f t="array" ref="J5020">IFERROR(INDEX('Retirement Calculator'!K:K,MATCH('Lorri 401b'!N5020,'Retirement Calculator'!A:A,0),0),0)</f>
        <v>0</v>
      </c>
      <c r="K5020" s="455">
        <f t="shared" ca="1" si="178"/>
        <v>-2008349566107.1489</v>
      </c>
      <c r="L5020" s="455">
        <f t="shared" ca="1" si="179"/>
        <v>-484012245431822.88</v>
      </c>
      <c r="M5020" s="471">
        <f t="shared" si="181"/>
        <v>0.05</v>
      </c>
      <c r="N5020" s="475">
        <f t="shared" si="182"/>
        <v>203839</v>
      </c>
    </row>
    <row r="5021" spans="7:14" ht="11.25" customHeight="1" x14ac:dyDescent="0.3">
      <c r="G5021" s="470"/>
      <c r="H5021" s="470">
        <v>5014</v>
      </c>
      <c r="I5021" s="455">
        <f t="shared" ca="1" si="180"/>
        <v>-484012245431822.88</v>
      </c>
      <c r="J5021" s="455">
        <f t="array" ref="J5021">IFERROR(INDEX('Retirement Calculator'!K:K,MATCH('Lorri 401b'!N5021,'Retirement Calculator'!A:A,0),0),0)</f>
        <v>0</v>
      </c>
      <c r="K5021" s="455">
        <f t="shared" ca="1" si="178"/>
        <v>-2016717689299.262</v>
      </c>
      <c r="L5021" s="455">
        <f t="shared" ca="1" si="179"/>
        <v>-486028963121122.13</v>
      </c>
      <c r="M5021" s="471">
        <f t="shared" si="181"/>
        <v>0.05</v>
      </c>
      <c r="N5021" s="475">
        <f t="shared" si="182"/>
        <v>203867</v>
      </c>
    </row>
    <row r="5022" spans="7:14" ht="11.25" customHeight="1" x14ac:dyDescent="0.3">
      <c r="G5022" s="470"/>
      <c r="H5022" s="470">
        <v>5015</v>
      </c>
      <c r="I5022" s="455">
        <f t="shared" ca="1" si="180"/>
        <v>-486028963121122.13</v>
      </c>
      <c r="J5022" s="455">
        <f t="array" ref="J5022">IFERROR(INDEX('Retirement Calculator'!K:K,MATCH('Lorri 401b'!N5022,'Retirement Calculator'!A:A,0),0),0)</f>
        <v>0</v>
      </c>
      <c r="K5022" s="455">
        <f t="shared" ca="1" si="178"/>
        <v>-2025120679671.342</v>
      </c>
      <c r="L5022" s="455">
        <f t="shared" ca="1" si="179"/>
        <v>-488054083800793.44</v>
      </c>
      <c r="M5022" s="471">
        <f t="shared" si="181"/>
        <v>0.05</v>
      </c>
      <c r="N5022" s="475">
        <f t="shared" si="182"/>
        <v>203898</v>
      </c>
    </row>
    <row r="5023" spans="7:14" ht="11.25" customHeight="1" x14ac:dyDescent="0.3">
      <c r="G5023" s="470"/>
      <c r="H5023" s="470">
        <v>5016</v>
      </c>
      <c r="I5023" s="455">
        <f t="shared" ca="1" si="180"/>
        <v>-488054083800793.44</v>
      </c>
      <c r="J5023" s="455">
        <f t="array" ref="J5023">IFERROR(INDEX('Retirement Calculator'!K:K,MATCH('Lorri 401b'!N5023,'Retirement Calculator'!A:A,0),0),0)</f>
        <v>0</v>
      </c>
      <c r="K5023" s="455">
        <f t="shared" ca="1" si="178"/>
        <v>-2033558682503.3059</v>
      </c>
      <c r="L5023" s="455">
        <f t="shared" ca="1" si="179"/>
        <v>-490087642483296.75</v>
      </c>
      <c r="M5023" s="471">
        <f t="shared" si="181"/>
        <v>0.05</v>
      </c>
      <c r="N5023" s="475">
        <f t="shared" si="182"/>
        <v>203928</v>
      </c>
    </row>
    <row r="5024" spans="7:14" ht="11.25" customHeight="1" x14ac:dyDescent="0.3">
      <c r="G5024" s="470"/>
      <c r="H5024" s="470">
        <v>5017</v>
      </c>
      <c r="I5024" s="455">
        <f t="shared" ca="1" si="180"/>
        <v>-490087642483296.75</v>
      </c>
      <c r="J5024" s="455">
        <f t="array" ref="J5024">IFERROR(INDEX('Retirement Calculator'!K:K,MATCH('Lorri 401b'!N5024,'Retirement Calculator'!A:A,0),0),0)</f>
        <v>0</v>
      </c>
      <c r="K5024" s="455">
        <f t="shared" ca="1" si="178"/>
        <v>-2042031843680.4031</v>
      </c>
      <c r="L5024" s="455">
        <f t="shared" ca="1" si="179"/>
        <v>-492129674326977.13</v>
      </c>
      <c r="M5024" s="471">
        <f t="shared" si="181"/>
        <v>0.05</v>
      </c>
      <c r="N5024" s="475">
        <f t="shared" si="182"/>
        <v>203959</v>
      </c>
    </row>
    <row r="5025" spans="7:14" ht="11.25" customHeight="1" x14ac:dyDescent="0.3">
      <c r="G5025" s="470"/>
      <c r="H5025" s="470">
        <v>5018</v>
      </c>
      <c r="I5025" s="455">
        <f t="shared" ca="1" si="180"/>
        <v>-492129674326977.13</v>
      </c>
      <c r="J5025" s="455">
        <f t="array" ref="J5025">IFERROR(INDEX('Retirement Calculator'!K:K,MATCH('Lorri 401b'!N5025,'Retirement Calculator'!A:A,0),0),0)</f>
        <v>0</v>
      </c>
      <c r="K5025" s="455">
        <f t="shared" ca="1" si="178"/>
        <v>-2050540309695.7378</v>
      </c>
      <c r="L5025" s="455">
        <f t="shared" ca="1" si="179"/>
        <v>-494180214636672.88</v>
      </c>
      <c r="M5025" s="471">
        <f t="shared" si="181"/>
        <v>0.05</v>
      </c>
      <c r="N5025" s="475">
        <f t="shared" si="182"/>
        <v>203989</v>
      </c>
    </row>
    <row r="5026" spans="7:14" ht="11.25" customHeight="1" x14ac:dyDescent="0.3">
      <c r="G5026" s="470"/>
      <c r="H5026" s="470">
        <v>5019</v>
      </c>
      <c r="I5026" s="455">
        <f t="shared" ca="1" si="180"/>
        <v>-494180214636672.88</v>
      </c>
      <c r="J5026" s="455">
        <f t="array" ref="J5026">IFERROR(INDEX('Retirement Calculator'!K:K,MATCH('Lorri 401b'!N5026,'Retirement Calculator'!A:A,0),0),0)</f>
        <v>0</v>
      </c>
      <c r="K5026" s="455">
        <f t="shared" ca="1" si="178"/>
        <v>-2059084227652.8037</v>
      </c>
      <c r="L5026" s="455">
        <f t="shared" ca="1" si="179"/>
        <v>-496239298864325.69</v>
      </c>
      <c r="M5026" s="471">
        <f t="shared" si="181"/>
        <v>0.05</v>
      </c>
      <c r="N5026" s="475">
        <f t="shared" si="182"/>
        <v>204020</v>
      </c>
    </row>
    <row r="5027" spans="7:14" ht="11.25" customHeight="1" x14ac:dyDescent="0.3">
      <c r="G5027" s="470"/>
      <c r="H5027" s="470">
        <v>5020</v>
      </c>
      <c r="I5027" s="455">
        <f t="shared" ca="1" si="180"/>
        <v>-496239298864325.69</v>
      </c>
      <c r="J5027" s="455">
        <f t="array" ref="J5027">IFERROR(INDEX('Retirement Calculator'!K:K,MATCH('Lorri 401b'!N5027,'Retirement Calculator'!A:A,0),0),0)</f>
        <v>0</v>
      </c>
      <c r="K5027" s="455">
        <f t="shared" ca="1" si="178"/>
        <v>-2067663745268.0237</v>
      </c>
      <c r="L5027" s="455">
        <f t="shared" ca="1" si="179"/>
        <v>-498306962609593.69</v>
      </c>
      <c r="M5027" s="471">
        <f t="shared" si="181"/>
        <v>0.05</v>
      </c>
      <c r="N5027" s="475">
        <f t="shared" si="182"/>
        <v>204051</v>
      </c>
    </row>
    <row r="5028" spans="7:14" ht="11.25" customHeight="1" x14ac:dyDescent="0.3">
      <c r="G5028" s="470"/>
      <c r="H5028" s="470">
        <v>5021</v>
      </c>
      <c r="I5028" s="455">
        <f t="shared" ca="1" si="180"/>
        <v>-498306962609593.69</v>
      </c>
      <c r="J5028" s="455">
        <f t="array" ref="J5028">IFERROR(INDEX('Retirement Calculator'!K:K,MATCH('Lorri 401b'!N5028,'Retirement Calculator'!A:A,0),0),0)</f>
        <v>0</v>
      </c>
      <c r="K5028" s="455">
        <f t="shared" ca="1" si="178"/>
        <v>-2076279010873.3066</v>
      </c>
      <c r="L5028" s="455">
        <f t="shared" ca="1" si="179"/>
        <v>-500383241620467</v>
      </c>
      <c r="M5028" s="471">
        <f t="shared" si="181"/>
        <v>0.05</v>
      </c>
      <c r="N5028" s="475">
        <f t="shared" si="182"/>
        <v>204081</v>
      </c>
    </row>
    <row r="5029" spans="7:14" ht="11.25" customHeight="1" x14ac:dyDescent="0.3">
      <c r="G5029" s="470"/>
      <c r="H5029" s="470">
        <v>5022</v>
      </c>
      <c r="I5029" s="455">
        <f t="shared" ca="1" si="180"/>
        <v>-500383241620467</v>
      </c>
      <c r="J5029" s="455">
        <f t="array" ref="J5029">IFERROR(INDEX('Retirement Calculator'!K:K,MATCH('Lorri 401b'!N5029,'Retirement Calculator'!A:A,0),0),0)</f>
        <v>0</v>
      </c>
      <c r="K5029" s="455">
        <f t="shared" ca="1" si="178"/>
        <v>-2084930173418.6125</v>
      </c>
      <c r="L5029" s="455">
        <f t="shared" ca="1" si="179"/>
        <v>-502468171793885.63</v>
      </c>
      <c r="M5029" s="471">
        <f t="shared" si="181"/>
        <v>0.05</v>
      </c>
      <c r="N5029" s="475">
        <f t="shared" si="182"/>
        <v>204112</v>
      </c>
    </row>
    <row r="5030" spans="7:14" ht="11.25" customHeight="1" x14ac:dyDescent="0.3">
      <c r="G5030" s="470"/>
      <c r="H5030" s="470">
        <v>5023</v>
      </c>
      <c r="I5030" s="455">
        <f t="shared" ca="1" si="180"/>
        <v>-502468171793885.63</v>
      </c>
      <c r="J5030" s="455">
        <f t="array" ref="J5030">IFERROR(INDEX('Retirement Calculator'!K:K,MATCH('Lorri 401b'!N5030,'Retirement Calculator'!A:A,0),0),0)</f>
        <v>0</v>
      </c>
      <c r="K5030" s="455">
        <f t="shared" ca="1" si="178"/>
        <v>-2093617382474.5232</v>
      </c>
      <c r="L5030" s="455">
        <f t="shared" ca="1" si="179"/>
        <v>-504561789176360.13</v>
      </c>
      <c r="M5030" s="471">
        <f t="shared" si="181"/>
        <v>0.05</v>
      </c>
      <c r="N5030" s="475">
        <f t="shared" si="182"/>
        <v>204142</v>
      </c>
    </row>
    <row r="5031" spans="7:14" ht="11.25" customHeight="1" x14ac:dyDescent="0.3">
      <c r="G5031" s="470"/>
      <c r="H5031" s="470">
        <v>5024</v>
      </c>
      <c r="I5031" s="455">
        <f t="shared" ca="1" si="180"/>
        <v>-504561789176360.13</v>
      </c>
      <c r="J5031" s="455">
        <f t="array" ref="J5031">IFERROR(INDEX('Retirement Calculator'!K:K,MATCH('Lorri 401b'!N5031,'Retirement Calculator'!A:A,0),0),0)</f>
        <v>0</v>
      </c>
      <c r="K5031" s="455">
        <f t="shared" ca="1" si="178"/>
        <v>-2102340788234.8337</v>
      </c>
      <c r="L5031" s="455">
        <f t="shared" ca="1" si="179"/>
        <v>-506664129964594.94</v>
      </c>
      <c r="M5031" s="471">
        <f t="shared" si="181"/>
        <v>0.05</v>
      </c>
      <c r="N5031" s="475">
        <f t="shared" si="182"/>
        <v>204173</v>
      </c>
    </row>
    <row r="5032" spans="7:14" ht="11.25" customHeight="1" x14ac:dyDescent="0.3">
      <c r="G5032" s="470"/>
      <c r="H5032" s="470">
        <v>5025</v>
      </c>
      <c r="I5032" s="455">
        <f t="shared" ca="1" si="180"/>
        <v>-506664129964594.94</v>
      </c>
      <c r="J5032" s="455">
        <f t="array" ref="J5032">IFERROR(INDEX('Retirement Calculator'!K:K,MATCH('Lorri 401b'!N5032,'Retirement Calculator'!A:A,0),0),0)</f>
        <v>0</v>
      </c>
      <c r="K5032" s="455">
        <f t="shared" ca="1" si="178"/>
        <v>-2111100541519.1453</v>
      </c>
      <c r="L5032" s="455">
        <f t="shared" ca="1" si="179"/>
        <v>-508775230506114.06</v>
      </c>
      <c r="M5032" s="471">
        <f t="shared" si="181"/>
        <v>0.05</v>
      </c>
      <c r="N5032" s="475">
        <f t="shared" si="182"/>
        <v>204204</v>
      </c>
    </row>
    <row r="5033" spans="7:14" ht="11.25" customHeight="1" x14ac:dyDescent="0.3">
      <c r="G5033" s="470"/>
      <c r="H5033" s="470">
        <v>5026</v>
      </c>
      <c r="I5033" s="455">
        <f t="shared" ca="1" si="180"/>
        <v>-508775230506114.06</v>
      </c>
      <c r="J5033" s="455">
        <f t="array" ref="J5033">IFERROR(INDEX('Retirement Calculator'!K:K,MATCH('Lorri 401b'!N5033,'Retirement Calculator'!A:A,0),0),0)</f>
        <v>0</v>
      </c>
      <c r="K5033" s="455">
        <f t="shared" ca="1" si="178"/>
        <v>-2119896793775.4753</v>
      </c>
      <c r="L5033" s="455">
        <f t="shared" ca="1" si="179"/>
        <v>-510895127299889.56</v>
      </c>
      <c r="M5033" s="471">
        <f t="shared" si="181"/>
        <v>0.05</v>
      </c>
      <c r="N5033" s="475">
        <f t="shared" si="182"/>
        <v>204232</v>
      </c>
    </row>
    <row r="5034" spans="7:14" ht="11.25" customHeight="1" x14ac:dyDescent="0.3">
      <c r="G5034" s="470"/>
      <c r="H5034" s="470">
        <v>5027</v>
      </c>
      <c r="I5034" s="455">
        <f t="shared" ca="1" si="180"/>
        <v>-510895127299889.56</v>
      </c>
      <c r="J5034" s="455">
        <f t="array" ref="J5034">IFERROR(INDEX('Retirement Calculator'!K:K,MATCH('Lorri 401b'!N5034,'Retirement Calculator'!A:A,0),0),0)</f>
        <v>0</v>
      </c>
      <c r="K5034" s="455">
        <f t="shared" ca="1" si="178"/>
        <v>-2128729697082.873</v>
      </c>
      <c r="L5034" s="455">
        <f t="shared" ca="1" si="179"/>
        <v>-513023856996972.44</v>
      </c>
      <c r="M5034" s="471">
        <f t="shared" si="181"/>
        <v>0.05</v>
      </c>
      <c r="N5034" s="475">
        <f t="shared" si="182"/>
        <v>204263</v>
      </c>
    </row>
    <row r="5035" spans="7:14" ht="11.25" customHeight="1" x14ac:dyDescent="0.3">
      <c r="G5035" s="470"/>
      <c r="H5035" s="470">
        <v>5028</v>
      </c>
      <c r="I5035" s="455">
        <f t="shared" ca="1" si="180"/>
        <v>-513023856996972.44</v>
      </c>
      <c r="J5035" s="455">
        <f t="array" ref="J5035">IFERROR(INDEX('Retirement Calculator'!K:K,MATCH('Lorri 401b'!N5035,'Retirement Calculator'!A:A,0),0),0)</f>
        <v>0</v>
      </c>
      <c r="K5035" s="455">
        <f t="shared" ca="1" si="178"/>
        <v>-2137599404154.0518</v>
      </c>
      <c r="L5035" s="455">
        <f t="shared" ca="1" si="179"/>
        <v>-515161456401126.5</v>
      </c>
      <c r="M5035" s="471">
        <f t="shared" si="181"/>
        <v>0.05</v>
      </c>
      <c r="N5035" s="475">
        <f t="shared" si="182"/>
        <v>204293</v>
      </c>
    </row>
    <row r="5036" spans="7:14" ht="11.25" customHeight="1" x14ac:dyDescent="0.3">
      <c r="G5036" s="470"/>
      <c r="H5036" s="470">
        <v>5029</v>
      </c>
      <c r="I5036" s="455">
        <f t="shared" ca="1" si="180"/>
        <v>-515161456401126.5</v>
      </c>
      <c r="J5036" s="455">
        <f t="array" ref="J5036">IFERROR(INDEX('Retirement Calculator'!K:K,MATCH('Lorri 401b'!N5036,'Retirement Calculator'!A:A,0),0),0)</f>
        <v>0</v>
      </c>
      <c r="K5036" s="455">
        <f t="shared" ca="1" si="178"/>
        <v>-2146506068338.0271</v>
      </c>
      <c r="L5036" s="455">
        <f t="shared" ca="1" si="179"/>
        <v>-517307962469464.5</v>
      </c>
      <c r="M5036" s="471">
        <f t="shared" si="181"/>
        <v>0.05</v>
      </c>
      <c r="N5036" s="475">
        <f t="shared" si="182"/>
        <v>204324</v>
      </c>
    </row>
    <row r="5037" spans="7:14" ht="11.25" customHeight="1" x14ac:dyDescent="0.3">
      <c r="G5037" s="470"/>
      <c r="H5037" s="470">
        <v>5030</v>
      </c>
      <c r="I5037" s="455">
        <f t="shared" ca="1" si="180"/>
        <v>-517307962469464.5</v>
      </c>
      <c r="J5037" s="455">
        <f t="array" ref="J5037">IFERROR(INDEX('Retirement Calculator'!K:K,MATCH('Lorri 401b'!N5037,'Retirement Calculator'!A:A,0),0),0)</f>
        <v>0</v>
      </c>
      <c r="K5037" s="455">
        <f t="shared" ca="1" si="178"/>
        <v>-2155449843622.7686</v>
      </c>
      <c r="L5037" s="455">
        <f t="shared" ca="1" si="179"/>
        <v>-519463412313087.25</v>
      </c>
      <c r="M5037" s="471">
        <f t="shared" si="181"/>
        <v>0.05</v>
      </c>
      <c r="N5037" s="475">
        <f t="shared" si="182"/>
        <v>204354</v>
      </c>
    </row>
    <row r="5038" spans="7:14" ht="11.25" customHeight="1" x14ac:dyDescent="0.3">
      <c r="G5038" s="470"/>
      <c r="H5038" s="470">
        <v>5031</v>
      </c>
      <c r="I5038" s="455">
        <f t="shared" ca="1" si="180"/>
        <v>-519463412313087.25</v>
      </c>
      <c r="J5038" s="455">
        <f t="array" ref="J5038">IFERROR(INDEX('Retirement Calculator'!K:K,MATCH('Lorri 401b'!N5038,'Retirement Calculator'!A:A,0),0),0)</f>
        <v>0</v>
      </c>
      <c r="K5038" s="455">
        <f t="shared" ca="1" si="178"/>
        <v>-2164430884637.8635</v>
      </c>
      <c r="L5038" s="455">
        <f t="shared" ca="1" si="179"/>
        <v>-521627843197725.13</v>
      </c>
      <c r="M5038" s="471">
        <f t="shared" si="181"/>
        <v>0.05</v>
      </c>
      <c r="N5038" s="475">
        <f t="shared" si="182"/>
        <v>204385</v>
      </c>
    </row>
    <row r="5039" spans="7:14" ht="11.25" customHeight="1" x14ac:dyDescent="0.3">
      <c r="G5039" s="470"/>
      <c r="H5039" s="470">
        <v>5032</v>
      </c>
      <c r="I5039" s="455">
        <f t="shared" ca="1" si="180"/>
        <v>-521627843197725.13</v>
      </c>
      <c r="J5039" s="455">
        <f t="array" ref="J5039">IFERROR(INDEX('Retirement Calculator'!K:K,MATCH('Lorri 401b'!N5039,'Retirement Calculator'!A:A,0),0),0)</f>
        <v>0</v>
      </c>
      <c r="K5039" s="455">
        <f t="shared" ca="1" si="178"/>
        <v>-2173449346657.188</v>
      </c>
      <c r="L5039" s="455">
        <f t="shared" ca="1" si="179"/>
        <v>-523801292544382.31</v>
      </c>
      <c r="M5039" s="471">
        <f t="shared" si="181"/>
        <v>0.05</v>
      </c>
      <c r="N5039" s="475">
        <f t="shared" si="182"/>
        <v>204416</v>
      </c>
    </row>
    <row r="5040" spans="7:14" ht="11.25" customHeight="1" x14ac:dyDescent="0.3">
      <c r="G5040" s="470"/>
      <c r="H5040" s="470">
        <v>5033</v>
      </c>
      <c r="I5040" s="455">
        <f t="shared" ca="1" si="180"/>
        <v>-523801292544382.31</v>
      </c>
      <c r="J5040" s="455">
        <f t="array" ref="J5040">IFERROR(INDEX('Retirement Calculator'!K:K,MATCH('Lorri 401b'!N5040,'Retirement Calculator'!A:A,0),0),0)</f>
        <v>0</v>
      </c>
      <c r="K5040" s="455">
        <f t="shared" ca="1" si="178"/>
        <v>-2182505385601.593</v>
      </c>
      <c r="L5040" s="455">
        <f t="shared" ca="1" si="179"/>
        <v>-525983797929983.88</v>
      </c>
      <c r="M5040" s="471">
        <f t="shared" si="181"/>
        <v>0.05</v>
      </c>
      <c r="N5040" s="475">
        <f t="shared" si="182"/>
        <v>204446</v>
      </c>
    </row>
    <row r="5041" spans="7:14" ht="11.25" customHeight="1" x14ac:dyDescent="0.3">
      <c r="G5041" s="470"/>
      <c r="H5041" s="470">
        <v>5034</v>
      </c>
      <c r="I5041" s="455">
        <f t="shared" ca="1" si="180"/>
        <v>-525983797929983.88</v>
      </c>
      <c r="J5041" s="455">
        <f t="array" ref="J5041">IFERROR(INDEX('Retirement Calculator'!K:K,MATCH('Lorri 401b'!N5041,'Retirement Calculator'!A:A,0),0),0)</f>
        <v>0</v>
      </c>
      <c r="K5041" s="455">
        <f t="shared" ca="1" si="178"/>
        <v>-2191599158041.5994</v>
      </c>
      <c r="L5041" s="455">
        <f t="shared" ca="1" si="179"/>
        <v>-528175397088025.5</v>
      </c>
      <c r="M5041" s="471">
        <f t="shared" si="181"/>
        <v>0.05</v>
      </c>
      <c r="N5041" s="475">
        <f t="shared" si="182"/>
        <v>204477</v>
      </c>
    </row>
    <row r="5042" spans="7:14" ht="11.25" customHeight="1" x14ac:dyDescent="0.3">
      <c r="G5042" s="470"/>
      <c r="H5042" s="470">
        <v>5035</v>
      </c>
      <c r="I5042" s="455">
        <f t="shared" ca="1" si="180"/>
        <v>-528175397088025.5</v>
      </c>
      <c r="J5042" s="455">
        <f t="array" ref="J5042">IFERROR(INDEX('Retirement Calculator'!K:K,MATCH('Lorri 401b'!N5042,'Retirement Calculator'!A:A,0),0),0)</f>
        <v>0</v>
      </c>
      <c r="K5042" s="455">
        <f t="shared" ca="1" si="178"/>
        <v>-2200730821200.106</v>
      </c>
      <c r="L5042" s="455">
        <f t="shared" ca="1" si="179"/>
        <v>-530376127909225.63</v>
      </c>
      <c r="M5042" s="471">
        <f t="shared" si="181"/>
        <v>0.05</v>
      </c>
      <c r="N5042" s="475">
        <f t="shared" si="182"/>
        <v>204507</v>
      </c>
    </row>
    <row r="5043" spans="7:14" ht="11.25" customHeight="1" x14ac:dyDescent="0.3">
      <c r="G5043" s="470"/>
      <c r="H5043" s="470">
        <v>5036</v>
      </c>
      <c r="I5043" s="455">
        <f t="shared" ca="1" si="180"/>
        <v>-530376127909225.63</v>
      </c>
      <c r="J5043" s="455">
        <f t="array" ref="J5043">IFERROR(INDEX('Retirement Calculator'!K:K,MATCH('Lorri 401b'!N5043,'Retirement Calculator'!A:A,0),0),0)</f>
        <v>0</v>
      </c>
      <c r="K5043" s="455">
        <f t="shared" ca="1" si="178"/>
        <v>-2209900532955.1064</v>
      </c>
      <c r="L5043" s="455">
        <f t="shared" ca="1" si="179"/>
        <v>-532586028442180.75</v>
      </c>
      <c r="M5043" s="471">
        <f t="shared" si="181"/>
        <v>0.05</v>
      </c>
      <c r="N5043" s="475">
        <f t="shared" si="182"/>
        <v>204538</v>
      </c>
    </row>
    <row r="5044" spans="7:14" ht="11.25" customHeight="1" x14ac:dyDescent="0.3">
      <c r="G5044" s="470"/>
      <c r="H5044" s="470">
        <v>5037</v>
      </c>
      <c r="I5044" s="455">
        <f t="shared" ca="1" si="180"/>
        <v>-532586028442180.75</v>
      </c>
      <c r="J5044" s="455">
        <f t="array" ref="J5044">IFERROR(INDEX('Retirement Calculator'!K:K,MATCH('Lorri 401b'!N5044,'Retirement Calculator'!A:A,0),0),0)</f>
        <v>0</v>
      </c>
      <c r="K5044" s="455">
        <f t="shared" ca="1" si="178"/>
        <v>-2219108451842.4199</v>
      </c>
      <c r="L5044" s="455">
        <f t="shared" ca="1" si="179"/>
        <v>-534805136894023.19</v>
      </c>
      <c r="M5044" s="471">
        <f t="shared" si="181"/>
        <v>0.05</v>
      </c>
      <c r="N5044" s="475">
        <f t="shared" si="182"/>
        <v>204569</v>
      </c>
    </row>
    <row r="5045" spans="7:14" ht="11.25" customHeight="1" x14ac:dyDescent="0.3">
      <c r="G5045" s="470"/>
      <c r="H5045" s="470">
        <v>5038</v>
      </c>
      <c r="I5045" s="455">
        <f t="shared" ca="1" si="180"/>
        <v>-534805136894023.19</v>
      </c>
      <c r="J5045" s="455">
        <f t="array" ref="J5045">IFERROR(INDEX('Retirement Calculator'!K:K,MATCH('Lorri 401b'!N5045,'Retirement Calculator'!A:A,0),0),0)</f>
        <v>0</v>
      </c>
      <c r="K5045" s="455">
        <f t="shared" ca="1" si="178"/>
        <v>-2228354737058.4297</v>
      </c>
      <c r="L5045" s="455">
        <f t="shared" ca="1" si="179"/>
        <v>-537033491631081.63</v>
      </c>
      <c r="M5045" s="471">
        <f t="shared" si="181"/>
        <v>0.05</v>
      </c>
      <c r="N5045" s="475">
        <f t="shared" si="182"/>
        <v>204598</v>
      </c>
    </row>
    <row r="5046" spans="7:14" ht="11.25" customHeight="1" x14ac:dyDescent="0.3">
      <c r="G5046" s="470"/>
      <c r="H5046" s="470">
        <v>5039</v>
      </c>
      <c r="I5046" s="455">
        <f t="shared" ca="1" si="180"/>
        <v>-537033491631081.63</v>
      </c>
      <c r="J5046" s="455">
        <f t="array" ref="J5046">IFERROR(INDEX('Retirement Calculator'!K:K,MATCH('Lorri 401b'!N5046,'Retirement Calculator'!A:A,0),0),0)</f>
        <v>0</v>
      </c>
      <c r="K5046" s="455">
        <f t="shared" ca="1" si="178"/>
        <v>-2237639548462.8398</v>
      </c>
      <c r="L5046" s="455">
        <f t="shared" ca="1" si="179"/>
        <v>-539271131179544.44</v>
      </c>
      <c r="M5046" s="471">
        <f t="shared" si="181"/>
        <v>0.05</v>
      </c>
      <c r="N5046" s="475">
        <f t="shared" si="182"/>
        <v>204629</v>
      </c>
    </row>
    <row r="5047" spans="7:14" ht="11.25" customHeight="1" x14ac:dyDescent="0.3">
      <c r="G5047" s="470"/>
      <c r="H5047" s="470">
        <v>5040</v>
      </c>
      <c r="I5047" s="455">
        <f t="shared" ca="1" si="180"/>
        <v>-539271131179544.44</v>
      </c>
      <c r="J5047" s="455">
        <f t="array" ref="J5047">IFERROR(INDEX('Retirement Calculator'!K:K,MATCH('Lorri 401b'!N5047,'Retirement Calculator'!A:A,0),0),0)</f>
        <v>0</v>
      </c>
      <c r="K5047" s="455">
        <f t="shared" ca="1" si="178"/>
        <v>-2246963046581.4351</v>
      </c>
      <c r="L5047" s="455">
        <f t="shared" ca="1" si="179"/>
        <v>-541518094226125.88</v>
      </c>
      <c r="M5047" s="471">
        <f t="shared" si="181"/>
        <v>0.05</v>
      </c>
      <c r="N5047" s="475">
        <f t="shared" si="182"/>
        <v>204659</v>
      </c>
    </row>
    <row r="5048" spans="7:14" ht="11.25" customHeight="1" x14ac:dyDescent="0.3">
      <c r="G5048" s="470"/>
      <c r="H5048" s="470">
        <v>5041</v>
      </c>
      <c r="I5048" s="455">
        <f t="shared" ca="1" si="180"/>
        <v>-541518094226125.88</v>
      </c>
      <c r="J5048" s="455">
        <f t="array" ref="J5048">IFERROR(INDEX('Retirement Calculator'!K:K,MATCH('Lorri 401b'!N5048,'Retirement Calculator'!A:A,0),0),0)</f>
        <v>0</v>
      </c>
      <c r="K5048" s="455">
        <f t="shared" ca="1" si="178"/>
        <v>-2256325392608.8579</v>
      </c>
      <c r="L5048" s="455">
        <f t="shared" ca="1" si="179"/>
        <v>-543774419618734.75</v>
      </c>
      <c r="M5048" s="471">
        <f t="shared" si="181"/>
        <v>0.05</v>
      </c>
      <c r="N5048" s="475">
        <f t="shared" si="182"/>
        <v>204690</v>
      </c>
    </row>
    <row r="5049" spans="7:14" ht="11.25" customHeight="1" x14ac:dyDescent="0.3">
      <c r="G5049" s="470"/>
      <c r="H5049" s="470">
        <v>5042</v>
      </c>
      <c r="I5049" s="455">
        <f t="shared" ca="1" si="180"/>
        <v>-543774419618734.75</v>
      </c>
      <c r="J5049" s="455">
        <f t="array" ref="J5049">IFERROR(INDEX('Retirement Calculator'!K:K,MATCH('Lorri 401b'!N5049,'Retirement Calculator'!A:A,0),0),0)</f>
        <v>0</v>
      </c>
      <c r="K5049" s="455">
        <f t="shared" ca="1" si="178"/>
        <v>-2265726748411.3945</v>
      </c>
      <c r="L5049" s="455">
        <f t="shared" ca="1" si="179"/>
        <v>-546040146367146.13</v>
      </c>
      <c r="M5049" s="471">
        <f t="shared" si="181"/>
        <v>0.05</v>
      </c>
      <c r="N5049" s="475">
        <f t="shared" si="182"/>
        <v>204720</v>
      </c>
    </row>
    <row r="5050" spans="7:14" ht="11.25" customHeight="1" x14ac:dyDescent="0.3">
      <c r="G5050" s="470"/>
      <c r="H5050" s="470">
        <v>5043</v>
      </c>
      <c r="I5050" s="455">
        <f t="shared" ca="1" si="180"/>
        <v>-546040146367146.13</v>
      </c>
      <c r="J5050" s="455">
        <f t="array" ref="J5050">IFERROR(INDEX('Retirement Calculator'!K:K,MATCH('Lorri 401b'!N5050,'Retirement Calculator'!A:A,0),0),0)</f>
        <v>0</v>
      </c>
      <c r="K5050" s="455">
        <f t="shared" ca="1" si="178"/>
        <v>-2275167276529.7759</v>
      </c>
      <c r="L5050" s="455">
        <f t="shared" ca="1" si="179"/>
        <v>-548315313643675.88</v>
      </c>
      <c r="M5050" s="471">
        <f t="shared" si="181"/>
        <v>0.05</v>
      </c>
      <c r="N5050" s="475">
        <f t="shared" si="182"/>
        <v>204751</v>
      </c>
    </row>
    <row r="5051" spans="7:14" ht="11.25" customHeight="1" x14ac:dyDescent="0.3">
      <c r="G5051" s="470"/>
      <c r="H5051" s="470">
        <v>5044</v>
      </c>
      <c r="I5051" s="455">
        <f t="shared" ca="1" si="180"/>
        <v>-548315313643675.88</v>
      </c>
      <c r="J5051" s="455">
        <f t="array" ref="J5051">IFERROR(INDEX('Retirement Calculator'!K:K,MATCH('Lorri 401b'!N5051,'Retirement Calculator'!A:A,0),0),0)</f>
        <v>0</v>
      </c>
      <c r="K5051" s="455">
        <f t="shared" ca="1" si="178"/>
        <v>-2284647140181.9829</v>
      </c>
      <c r="L5051" s="455">
        <f t="shared" ca="1" si="179"/>
        <v>-550599960783857.88</v>
      </c>
      <c r="M5051" s="471">
        <f t="shared" si="181"/>
        <v>0.05</v>
      </c>
      <c r="N5051" s="475">
        <f t="shared" si="182"/>
        <v>204782</v>
      </c>
    </row>
    <row r="5052" spans="7:14" ht="11.25" customHeight="1" x14ac:dyDescent="0.3">
      <c r="G5052" s="470"/>
      <c r="H5052" s="470">
        <v>5045</v>
      </c>
      <c r="I5052" s="455">
        <f t="shared" ca="1" si="180"/>
        <v>-550599960783857.88</v>
      </c>
      <c r="J5052" s="455">
        <f t="array" ref="J5052">IFERROR(INDEX('Retirement Calculator'!K:K,MATCH('Lorri 401b'!N5052,'Retirement Calculator'!A:A,0),0),0)</f>
        <v>0</v>
      </c>
      <c r="K5052" s="455">
        <f t="shared" ca="1" si="178"/>
        <v>-2294166503266.0742</v>
      </c>
      <c r="L5052" s="455">
        <f t="shared" ca="1" si="179"/>
        <v>-552894127287123.94</v>
      </c>
      <c r="M5052" s="471">
        <f t="shared" si="181"/>
        <v>0.05</v>
      </c>
      <c r="N5052" s="475">
        <f t="shared" si="182"/>
        <v>204812</v>
      </c>
    </row>
    <row r="5053" spans="7:14" ht="11.25" customHeight="1" x14ac:dyDescent="0.3">
      <c r="G5053" s="470"/>
      <c r="H5053" s="470">
        <v>5046</v>
      </c>
      <c r="I5053" s="455">
        <f t="shared" ca="1" si="180"/>
        <v>-552894127287123.94</v>
      </c>
      <c r="J5053" s="455">
        <f t="array" ref="J5053">IFERROR(INDEX('Retirement Calculator'!K:K,MATCH('Lorri 401b'!N5053,'Retirement Calculator'!A:A,0),0),0)</f>
        <v>0</v>
      </c>
      <c r="K5053" s="455">
        <f t="shared" ca="1" si="178"/>
        <v>-2303725530363.0166</v>
      </c>
      <c r="L5053" s="455">
        <f t="shared" ca="1" si="179"/>
        <v>-555197852817486.94</v>
      </c>
      <c r="M5053" s="471">
        <f t="shared" si="181"/>
        <v>0.05</v>
      </c>
      <c r="N5053" s="475">
        <f t="shared" si="182"/>
        <v>204843</v>
      </c>
    </row>
    <row r="5054" spans="7:14" ht="11.25" customHeight="1" x14ac:dyDescent="0.3">
      <c r="G5054" s="470"/>
      <c r="H5054" s="470">
        <v>5047</v>
      </c>
      <c r="I5054" s="455">
        <f t="shared" ca="1" si="180"/>
        <v>-555197852817486.94</v>
      </c>
      <c r="J5054" s="455">
        <f t="array" ref="J5054">IFERROR(INDEX('Retirement Calculator'!K:K,MATCH('Lorri 401b'!N5054,'Retirement Calculator'!A:A,0),0),0)</f>
        <v>0</v>
      </c>
      <c r="K5054" s="455">
        <f t="shared" ca="1" si="178"/>
        <v>-2313324386739.5288</v>
      </c>
      <c r="L5054" s="455">
        <f t="shared" ca="1" si="179"/>
        <v>-557511177204226.44</v>
      </c>
      <c r="M5054" s="471">
        <f t="shared" si="181"/>
        <v>0.05</v>
      </c>
      <c r="N5054" s="475">
        <f t="shared" si="182"/>
        <v>204873</v>
      </c>
    </row>
    <row r="5055" spans="7:14" ht="11.25" customHeight="1" x14ac:dyDescent="0.3">
      <c r="G5055" s="470"/>
      <c r="H5055" s="470">
        <v>5048</v>
      </c>
      <c r="I5055" s="455">
        <f t="shared" ca="1" si="180"/>
        <v>-557511177204226.44</v>
      </c>
      <c r="J5055" s="455">
        <f t="array" ref="J5055">IFERROR(INDEX('Retirement Calculator'!K:K,MATCH('Lorri 401b'!N5055,'Retirement Calculator'!A:A,0),0),0)</f>
        <v>0</v>
      </c>
      <c r="K5055" s="455">
        <f t="shared" ca="1" si="178"/>
        <v>-2322963238350.9434</v>
      </c>
      <c r="L5055" s="455">
        <f t="shared" ca="1" si="179"/>
        <v>-559834140442577.38</v>
      </c>
      <c r="M5055" s="471">
        <f t="shared" si="181"/>
        <v>0.05</v>
      </c>
      <c r="N5055" s="475">
        <f t="shared" si="182"/>
        <v>204904</v>
      </c>
    </row>
    <row r="5056" spans="7:14" ht="11.25" customHeight="1" x14ac:dyDescent="0.3">
      <c r="G5056" s="470"/>
      <c r="H5056" s="470">
        <v>5049</v>
      </c>
      <c r="I5056" s="455">
        <f t="shared" ca="1" si="180"/>
        <v>-559834140442577.38</v>
      </c>
      <c r="J5056" s="455">
        <f t="array" ref="J5056">IFERROR(INDEX('Retirement Calculator'!K:K,MATCH('Lorri 401b'!N5056,'Retirement Calculator'!A:A,0),0),0)</f>
        <v>0</v>
      </c>
      <c r="K5056" s="455">
        <f t="shared" ca="1" si="178"/>
        <v>-2332642251844.0723</v>
      </c>
      <c r="L5056" s="455">
        <f t="shared" ca="1" si="179"/>
        <v>-562166782694421.44</v>
      </c>
      <c r="M5056" s="471">
        <f t="shared" si="181"/>
        <v>0.05</v>
      </c>
      <c r="N5056" s="475">
        <f t="shared" si="182"/>
        <v>204935</v>
      </c>
    </row>
    <row r="5057" spans="7:14" ht="11.25" customHeight="1" x14ac:dyDescent="0.3">
      <c r="G5057" s="470"/>
      <c r="H5057" s="470">
        <v>5050</v>
      </c>
      <c r="I5057" s="455">
        <f t="shared" ca="1" si="180"/>
        <v>-562166782694421.44</v>
      </c>
      <c r="J5057" s="455">
        <f t="array" ref="J5057">IFERROR(INDEX('Retirement Calculator'!K:K,MATCH('Lorri 401b'!N5057,'Retirement Calculator'!A:A,0),0),0)</f>
        <v>0</v>
      </c>
      <c r="K5057" s="455">
        <f t="shared" ca="1" si="178"/>
        <v>-2342361594560.0894</v>
      </c>
      <c r="L5057" s="455">
        <f t="shared" ca="1" si="179"/>
        <v>-564509144288981.5</v>
      </c>
      <c r="M5057" s="471">
        <f t="shared" si="181"/>
        <v>0.05</v>
      </c>
      <c r="N5057" s="475">
        <f t="shared" si="182"/>
        <v>204963</v>
      </c>
    </row>
    <row r="5058" spans="7:14" ht="11.25" customHeight="1" x14ac:dyDescent="0.3">
      <c r="G5058" s="470"/>
      <c r="H5058" s="470">
        <v>5051</v>
      </c>
      <c r="I5058" s="455">
        <f t="shared" ca="1" si="180"/>
        <v>-564509144288981.5</v>
      </c>
      <c r="J5058" s="455">
        <f t="array" ref="J5058">IFERROR(INDEX('Retirement Calculator'!K:K,MATCH('Lorri 401b'!N5058,'Retirement Calculator'!A:A,0),0),0)</f>
        <v>0</v>
      </c>
      <c r="K5058" s="455">
        <f t="shared" ca="1" si="178"/>
        <v>-2352121434537.4229</v>
      </c>
      <c r="L5058" s="455">
        <f t="shared" ca="1" si="179"/>
        <v>-566861265723518.88</v>
      </c>
      <c r="M5058" s="471">
        <f t="shared" si="181"/>
        <v>0.05</v>
      </c>
      <c r="N5058" s="475">
        <f t="shared" si="182"/>
        <v>204994</v>
      </c>
    </row>
    <row r="5059" spans="7:14" ht="11.25" customHeight="1" x14ac:dyDescent="0.3">
      <c r="G5059" s="470"/>
      <c r="H5059" s="470">
        <v>5052</v>
      </c>
      <c r="I5059" s="455">
        <f t="shared" ca="1" si="180"/>
        <v>-566861265723518.88</v>
      </c>
      <c r="J5059" s="455">
        <f t="array" ref="J5059">IFERROR(INDEX('Retirement Calculator'!K:K,MATCH('Lorri 401b'!N5059,'Retirement Calculator'!A:A,0),0),0)</f>
        <v>0</v>
      </c>
      <c r="K5059" s="455">
        <f t="shared" ca="1" si="178"/>
        <v>-2361921940514.6621</v>
      </c>
      <c r="L5059" s="455">
        <f t="shared" ca="1" si="179"/>
        <v>-569223187664033.5</v>
      </c>
      <c r="M5059" s="471">
        <f t="shared" si="181"/>
        <v>0.05</v>
      </c>
      <c r="N5059" s="475">
        <f t="shared" si="182"/>
        <v>205024</v>
      </c>
    </row>
    <row r="5060" spans="7:14" ht="11.25" customHeight="1" x14ac:dyDescent="0.3">
      <c r="G5060" s="470"/>
      <c r="H5060" s="470">
        <v>5053</v>
      </c>
      <c r="I5060" s="455">
        <f t="shared" ca="1" si="180"/>
        <v>-569223187664033.5</v>
      </c>
      <c r="J5060" s="455">
        <f t="array" ref="J5060">IFERROR(INDEX('Retirement Calculator'!K:K,MATCH('Lorri 401b'!N5060,'Retirement Calculator'!A:A,0),0),0)</f>
        <v>0</v>
      </c>
      <c r="K5060" s="455">
        <f t="shared" ca="1" si="178"/>
        <v>-2371763281933.4727</v>
      </c>
      <c r="L5060" s="455">
        <f t="shared" ca="1" si="179"/>
        <v>-571594950945967</v>
      </c>
      <c r="M5060" s="471">
        <f t="shared" si="181"/>
        <v>0.05</v>
      </c>
      <c r="N5060" s="475">
        <f t="shared" si="182"/>
        <v>205055</v>
      </c>
    </row>
    <row r="5061" spans="7:14" ht="11.25" customHeight="1" x14ac:dyDescent="0.3">
      <c r="G5061" s="470"/>
      <c r="H5061" s="470">
        <v>5054</v>
      </c>
      <c r="I5061" s="455">
        <f t="shared" ca="1" si="180"/>
        <v>-571594950945967</v>
      </c>
      <c r="J5061" s="455">
        <f t="array" ref="J5061">IFERROR(INDEX('Retirement Calculator'!K:K,MATCH('Lorri 401b'!N5061,'Retirement Calculator'!A:A,0),0),0)</f>
        <v>0</v>
      </c>
      <c r="K5061" s="455">
        <f t="shared" ca="1" si="178"/>
        <v>-2381645628941.5293</v>
      </c>
      <c r="L5061" s="455">
        <f t="shared" ca="1" si="179"/>
        <v>-573976596574908.5</v>
      </c>
      <c r="M5061" s="471">
        <f t="shared" si="181"/>
        <v>0.05</v>
      </c>
      <c r="N5061" s="475">
        <f t="shared" si="182"/>
        <v>205085</v>
      </c>
    </row>
    <row r="5062" spans="7:14" ht="11.25" customHeight="1" x14ac:dyDescent="0.3">
      <c r="G5062" s="470"/>
      <c r="H5062" s="470">
        <v>5055</v>
      </c>
      <c r="I5062" s="455">
        <f t="shared" ca="1" si="180"/>
        <v>-573976596574908.5</v>
      </c>
      <c r="J5062" s="455">
        <f t="array" ref="J5062">IFERROR(INDEX('Retirement Calculator'!K:K,MATCH('Lorri 401b'!N5062,'Retirement Calculator'!A:A,0),0),0)</f>
        <v>0</v>
      </c>
      <c r="K5062" s="455">
        <f t="shared" ca="1" si="178"/>
        <v>-2391569152395.4521</v>
      </c>
      <c r="L5062" s="455">
        <f t="shared" ca="1" si="179"/>
        <v>-576368165727304</v>
      </c>
      <c r="M5062" s="471">
        <f t="shared" si="181"/>
        <v>0.05</v>
      </c>
      <c r="N5062" s="475">
        <f t="shared" si="182"/>
        <v>205116</v>
      </c>
    </row>
    <row r="5063" spans="7:14" ht="11.25" customHeight="1" x14ac:dyDescent="0.3">
      <c r="G5063" s="470"/>
      <c r="H5063" s="470">
        <v>5056</v>
      </c>
      <c r="I5063" s="455">
        <f t="shared" ca="1" si="180"/>
        <v>-576368165727304</v>
      </c>
      <c r="J5063" s="455">
        <f t="array" ref="J5063">IFERROR(INDEX('Retirement Calculator'!K:K,MATCH('Lorri 401b'!N5063,'Retirement Calculator'!A:A,0),0),0)</f>
        <v>0</v>
      </c>
      <c r="K5063" s="455">
        <f t="shared" ca="1" si="178"/>
        <v>-2401534023863.7666</v>
      </c>
      <c r="L5063" s="455">
        <f t="shared" ca="1" si="179"/>
        <v>-578769699751167.75</v>
      </c>
      <c r="M5063" s="471">
        <f t="shared" si="181"/>
        <v>0.05</v>
      </c>
      <c r="N5063" s="475">
        <f t="shared" si="182"/>
        <v>205147</v>
      </c>
    </row>
    <row r="5064" spans="7:14" ht="11.25" customHeight="1" x14ac:dyDescent="0.3">
      <c r="G5064" s="470"/>
      <c r="H5064" s="470">
        <v>5057</v>
      </c>
      <c r="I5064" s="455">
        <f t="shared" ca="1" si="180"/>
        <v>-578769699751167.75</v>
      </c>
      <c r="J5064" s="455">
        <f t="array" ref="J5064">IFERROR(INDEX('Retirement Calculator'!K:K,MATCH('Lorri 401b'!N5064,'Retirement Calculator'!A:A,0),0),0)</f>
        <v>0</v>
      </c>
      <c r="K5064" s="455">
        <f t="shared" ca="1" si="178"/>
        <v>-2411540415629.8657</v>
      </c>
      <c r="L5064" s="455">
        <f t="shared" ca="1" si="179"/>
        <v>-581181240166797.63</v>
      </c>
      <c r="M5064" s="471">
        <f t="shared" si="181"/>
        <v>0.05</v>
      </c>
      <c r="N5064" s="475">
        <f t="shared" si="182"/>
        <v>205177</v>
      </c>
    </row>
    <row r="5065" spans="7:14" ht="11.25" customHeight="1" x14ac:dyDescent="0.3">
      <c r="G5065" s="470"/>
      <c r="H5065" s="470">
        <v>5058</v>
      </c>
      <c r="I5065" s="455">
        <f t="shared" ca="1" si="180"/>
        <v>-581181240166797.63</v>
      </c>
      <c r="J5065" s="455">
        <f t="array" ref="J5065">IFERROR(INDEX('Retirement Calculator'!K:K,MATCH('Lorri 401b'!N5065,'Retirement Calculator'!A:A,0),0),0)</f>
        <v>0</v>
      </c>
      <c r="K5065" s="455">
        <f t="shared" ca="1" si="178"/>
        <v>-2421588500694.9902</v>
      </c>
      <c r="L5065" s="455">
        <f t="shared" ca="1" si="179"/>
        <v>-583602828667492.63</v>
      </c>
      <c r="M5065" s="471">
        <f t="shared" si="181"/>
        <v>0.05</v>
      </c>
      <c r="N5065" s="475">
        <f t="shared" si="182"/>
        <v>205208</v>
      </c>
    </row>
    <row r="5066" spans="7:14" ht="11.25" customHeight="1" x14ac:dyDescent="0.3">
      <c r="G5066" s="470"/>
      <c r="H5066" s="470">
        <v>5059</v>
      </c>
      <c r="I5066" s="455">
        <f t="shared" ca="1" si="180"/>
        <v>-583602828667492.63</v>
      </c>
      <c r="J5066" s="455">
        <f t="array" ref="J5066">IFERROR(INDEX('Retirement Calculator'!K:K,MATCH('Lorri 401b'!N5066,'Retirement Calculator'!A:A,0),0),0)</f>
        <v>0</v>
      </c>
      <c r="K5066" s="455">
        <f t="shared" ca="1" si="178"/>
        <v>-2431678452781.2192</v>
      </c>
      <c r="L5066" s="455">
        <f t="shared" ca="1" si="179"/>
        <v>-586034507120273.88</v>
      </c>
      <c r="M5066" s="471">
        <f t="shared" si="181"/>
        <v>0.05</v>
      </c>
      <c r="N5066" s="475">
        <f t="shared" si="182"/>
        <v>205238</v>
      </c>
    </row>
    <row r="5067" spans="7:14" ht="11.25" customHeight="1" x14ac:dyDescent="0.3">
      <c r="G5067" s="470"/>
      <c r="H5067" s="470">
        <v>5060</v>
      </c>
      <c r="I5067" s="455">
        <f t="shared" ca="1" si="180"/>
        <v>-586034507120273.88</v>
      </c>
      <c r="J5067" s="455">
        <f t="array" ref="J5067">IFERROR(INDEX('Retirement Calculator'!K:K,MATCH('Lorri 401b'!N5067,'Retirement Calculator'!A:A,0),0),0)</f>
        <v>0</v>
      </c>
      <c r="K5067" s="455">
        <f t="shared" ca="1" si="178"/>
        <v>-2441810446334.4746</v>
      </c>
      <c r="L5067" s="455">
        <f t="shared" ca="1" si="179"/>
        <v>-588476317566608.38</v>
      </c>
      <c r="M5067" s="471">
        <f t="shared" si="181"/>
        <v>0.05</v>
      </c>
      <c r="N5067" s="475">
        <f t="shared" si="182"/>
        <v>205269</v>
      </c>
    </row>
    <row r="5068" spans="7:14" ht="11.25" customHeight="1" x14ac:dyDescent="0.3">
      <c r="G5068" s="470"/>
      <c r="H5068" s="470">
        <v>5061</v>
      </c>
      <c r="I5068" s="455">
        <f t="shared" ca="1" si="180"/>
        <v>-588476317566608.38</v>
      </c>
      <c r="J5068" s="455">
        <f t="array" ref="J5068">IFERROR(INDEX('Retirement Calculator'!K:K,MATCH('Lorri 401b'!N5068,'Retirement Calculator'!A:A,0),0),0)</f>
        <v>0</v>
      </c>
      <c r="K5068" s="455">
        <f t="shared" ca="1" si="178"/>
        <v>-2451984656527.5347</v>
      </c>
      <c r="L5068" s="455">
        <f t="shared" ca="1" si="179"/>
        <v>-590928302223135.88</v>
      </c>
      <c r="M5068" s="471">
        <f t="shared" si="181"/>
        <v>0.05</v>
      </c>
      <c r="N5068" s="475">
        <f t="shared" si="182"/>
        <v>205300</v>
      </c>
    </row>
    <row r="5069" spans="7:14" ht="11.25" customHeight="1" x14ac:dyDescent="0.3">
      <c r="G5069" s="470"/>
      <c r="H5069" s="470">
        <v>5062</v>
      </c>
      <c r="I5069" s="455">
        <f t="shared" ca="1" si="180"/>
        <v>-590928302223135.88</v>
      </c>
      <c r="J5069" s="455">
        <f t="array" ref="J5069">IFERROR(INDEX('Retirement Calculator'!K:K,MATCH('Lorri 401b'!N5069,'Retirement Calculator'!A:A,0),0),0)</f>
        <v>0</v>
      </c>
      <c r="K5069" s="455">
        <f t="shared" ca="1" si="178"/>
        <v>-2462201259263.0659</v>
      </c>
      <c r="L5069" s="455">
        <f t="shared" ca="1" si="179"/>
        <v>-593390503482399</v>
      </c>
      <c r="M5069" s="471">
        <f t="shared" si="181"/>
        <v>0.05</v>
      </c>
      <c r="N5069" s="475">
        <f t="shared" si="182"/>
        <v>205328</v>
      </c>
    </row>
    <row r="5070" spans="7:14" ht="11.25" customHeight="1" x14ac:dyDescent="0.3">
      <c r="G5070" s="470"/>
      <c r="H5070" s="470">
        <v>5063</v>
      </c>
      <c r="I5070" s="455">
        <f t="shared" ca="1" si="180"/>
        <v>-593390503482399</v>
      </c>
      <c r="J5070" s="455">
        <f t="array" ref="J5070">IFERROR(INDEX('Retirement Calculator'!K:K,MATCH('Lorri 401b'!N5070,'Retirement Calculator'!A:A,0),0),0)</f>
        <v>0</v>
      </c>
      <c r="K5070" s="455">
        <f t="shared" ca="1" si="178"/>
        <v>-2472460431176.6626</v>
      </c>
      <c r="L5070" s="455">
        <f t="shared" ca="1" si="179"/>
        <v>-595862963913575.63</v>
      </c>
      <c r="M5070" s="471">
        <f t="shared" si="181"/>
        <v>0.05</v>
      </c>
      <c r="N5070" s="475">
        <f t="shared" si="182"/>
        <v>205359</v>
      </c>
    </row>
    <row r="5071" spans="7:14" ht="11.25" customHeight="1" x14ac:dyDescent="0.3">
      <c r="G5071" s="470"/>
      <c r="H5071" s="470">
        <v>5064</v>
      </c>
      <c r="I5071" s="455">
        <f t="shared" ca="1" si="180"/>
        <v>-595862963913575.63</v>
      </c>
      <c r="J5071" s="455">
        <f t="array" ref="J5071">IFERROR(INDEX('Retirement Calculator'!K:K,MATCH('Lorri 401b'!N5071,'Retirement Calculator'!A:A,0),0),0)</f>
        <v>0</v>
      </c>
      <c r="K5071" s="455">
        <f t="shared" ca="1" si="178"/>
        <v>-2482762349639.8984</v>
      </c>
      <c r="L5071" s="455">
        <f t="shared" ca="1" si="179"/>
        <v>-598345726263215.5</v>
      </c>
      <c r="M5071" s="471">
        <f t="shared" si="181"/>
        <v>0.05</v>
      </c>
      <c r="N5071" s="475">
        <f t="shared" si="182"/>
        <v>205389</v>
      </c>
    </row>
    <row r="5072" spans="7:14" ht="11.25" customHeight="1" x14ac:dyDescent="0.3">
      <c r="G5072" s="470"/>
      <c r="H5072" s="470">
        <v>5065</v>
      </c>
      <c r="I5072" s="455">
        <f t="shared" ca="1" si="180"/>
        <v>-598345726263215.5</v>
      </c>
      <c r="J5072" s="455">
        <f t="array" ref="J5072">IFERROR(INDEX('Retirement Calculator'!K:K,MATCH('Lorri 401b'!N5072,'Retirement Calculator'!A:A,0),0),0)</f>
        <v>0</v>
      </c>
      <c r="K5072" s="455">
        <f t="shared" ca="1" si="178"/>
        <v>-2493107192763.3979</v>
      </c>
      <c r="L5072" s="455">
        <f t="shared" ca="1" si="179"/>
        <v>-600838833455978.88</v>
      </c>
      <c r="M5072" s="471">
        <f t="shared" si="181"/>
        <v>0.05</v>
      </c>
      <c r="N5072" s="475">
        <f t="shared" si="182"/>
        <v>205420</v>
      </c>
    </row>
    <row r="5073" spans="7:14" ht="11.25" customHeight="1" x14ac:dyDescent="0.3">
      <c r="G5073" s="470"/>
      <c r="H5073" s="470">
        <v>5066</v>
      </c>
      <c r="I5073" s="455">
        <f t="shared" ca="1" si="180"/>
        <v>-600838833455978.88</v>
      </c>
      <c r="J5073" s="455">
        <f t="array" ref="J5073">IFERROR(INDEX('Retirement Calculator'!K:K,MATCH('Lorri 401b'!N5073,'Retirement Calculator'!A:A,0),0),0)</f>
        <v>0</v>
      </c>
      <c r="K5073" s="455">
        <f t="shared" ca="1" si="178"/>
        <v>-2503495139399.9121</v>
      </c>
      <c r="L5073" s="455">
        <f t="shared" ca="1" si="179"/>
        <v>-603342328595378.75</v>
      </c>
      <c r="M5073" s="471">
        <f t="shared" si="181"/>
        <v>0.05</v>
      </c>
      <c r="N5073" s="475">
        <f t="shared" si="182"/>
        <v>205450</v>
      </c>
    </row>
    <row r="5074" spans="7:14" ht="11.25" customHeight="1" x14ac:dyDescent="0.3">
      <c r="G5074" s="470"/>
      <c r="H5074" s="470">
        <v>5067</v>
      </c>
      <c r="I5074" s="455">
        <f t="shared" ca="1" si="180"/>
        <v>-603342328595378.75</v>
      </c>
      <c r="J5074" s="455">
        <f t="array" ref="J5074">IFERROR(INDEX('Retirement Calculator'!K:K,MATCH('Lorri 401b'!N5074,'Retirement Calculator'!A:A,0),0),0)</f>
        <v>0</v>
      </c>
      <c r="K5074" s="455">
        <f t="shared" ca="1" si="178"/>
        <v>-2513926369147.4116</v>
      </c>
      <c r="L5074" s="455">
        <f t="shared" ca="1" si="179"/>
        <v>-605856254964526.13</v>
      </c>
      <c r="M5074" s="471">
        <f t="shared" si="181"/>
        <v>0.05</v>
      </c>
      <c r="N5074" s="475">
        <f t="shared" si="182"/>
        <v>205481</v>
      </c>
    </row>
    <row r="5075" spans="7:14" ht="11.25" customHeight="1" x14ac:dyDescent="0.3">
      <c r="G5075" s="470"/>
      <c r="H5075" s="470">
        <v>5068</v>
      </c>
      <c r="I5075" s="455">
        <f t="shared" ca="1" si="180"/>
        <v>-605856254964526.13</v>
      </c>
      <c r="J5075" s="455">
        <f t="array" ref="J5075">IFERROR(INDEX('Retirement Calculator'!K:K,MATCH('Lorri 401b'!N5075,'Retirement Calculator'!A:A,0),0),0)</f>
        <v>0</v>
      </c>
      <c r="K5075" s="455">
        <f t="shared" ca="1" si="178"/>
        <v>-2524401062352.1924</v>
      </c>
      <c r="L5075" s="455">
        <f t="shared" ca="1" si="179"/>
        <v>-608380656026878.38</v>
      </c>
      <c r="M5075" s="471">
        <f t="shared" si="181"/>
        <v>0.05</v>
      </c>
      <c r="N5075" s="475">
        <f t="shared" si="182"/>
        <v>205512</v>
      </c>
    </row>
    <row r="5076" spans="7:14" ht="11.25" customHeight="1" x14ac:dyDescent="0.3">
      <c r="G5076" s="470"/>
      <c r="H5076" s="470">
        <v>5069</v>
      </c>
      <c r="I5076" s="455">
        <f t="shared" ca="1" si="180"/>
        <v>-608380656026878.38</v>
      </c>
      <c r="J5076" s="455">
        <f t="array" ref="J5076">IFERROR(INDEX('Retirement Calculator'!K:K,MATCH('Lorri 401b'!N5076,'Retirement Calculator'!A:A,0),0),0)</f>
        <v>0</v>
      </c>
      <c r="K5076" s="455">
        <f t="shared" ca="1" si="178"/>
        <v>-2534919400111.9932</v>
      </c>
      <c r="L5076" s="455">
        <f t="shared" ca="1" si="179"/>
        <v>-610915575426990.38</v>
      </c>
      <c r="M5076" s="471">
        <f t="shared" si="181"/>
        <v>0.05</v>
      </c>
      <c r="N5076" s="475">
        <f t="shared" si="182"/>
        <v>205542</v>
      </c>
    </row>
    <row r="5077" spans="7:14" ht="11.25" customHeight="1" x14ac:dyDescent="0.3">
      <c r="G5077" s="470"/>
      <c r="H5077" s="470">
        <v>5070</v>
      </c>
      <c r="I5077" s="455">
        <f t="shared" ca="1" si="180"/>
        <v>-610915575426990.38</v>
      </c>
      <c r="J5077" s="455">
        <f t="array" ref="J5077">IFERROR(INDEX('Retirement Calculator'!K:K,MATCH('Lorri 401b'!N5077,'Retirement Calculator'!A:A,0),0),0)</f>
        <v>0</v>
      </c>
      <c r="K5077" s="455">
        <f t="shared" ca="1" si="178"/>
        <v>-2545481564279.1265</v>
      </c>
      <c r="L5077" s="455">
        <f t="shared" ca="1" si="179"/>
        <v>-613461056991269.5</v>
      </c>
      <c r="M5077" s="471">
        <f t="shared" si="181"/>
        <v>0.05</v>
      </c>
      <c r="N5077" s="475">
        <f t="shared" si="182"/>
        <v>205573</v>
      </c>
    </row>
    <row r="5078" spans="7:14" ht="11.25" customHeight="1" x14ac:dyDescent="0.3">
      <c r="G5078" s="470"/>
      <c r="H5078" s="470">
        <v>5071</v>
      </c>
      <c r="I5078" s="455">
        <f t="shared" ca="1" si="180"/>
        <v>-613461056991269.5</v>
      </c>
      <c r="J5078" s="455">
        <f t="array" ref="J5078">IFERROR(INDEX('Retirement Calculator'!K:K,MATCH('Lorri 401b'!N5078,'Retirement Calculator'!A:A,0),0),0)</f>
        <v>0</v>
      </c>
      <c r="K5078" s="455">
        <f t="shared" ca="1" si="178"/>
        <v>-2556087737463.623</v>
      </c>
      <c r="L5078" s="455">
        <f t="shared" ca="1" si="179"/>
        <v>-616017144728733.13</v>
      </c>
      <c r="M5078" s="471">
        <f t="shared" si="181"/>
        <v>0.05</v>
      </c>
      <c r="N5078" s="475">
        <f t="shared" si="182"/>
        <v>205603</v>
      </c>
    </row>
    <row r="5079" spans="7:14" ht="11.25" customHeight="1" x14ac:dyDescent="0.3">
      <c r="G5079" s="470"/>
      <c r="H5079" s="470">
        <v>5072</v>
      </c>
      <c r="I5079" s="455">
        <f t="shared" ca="1" si="180"/>
        <v>-616017144728733.13</v>
      </c>
      <c r="J5079" s="455">
        <f t="array" ref="J5079">IFERROR(INDEX('Retirement Calculator'!K:K,MATCH('Lorri 401b'!N5079,'Retirement Calculator'!A:A,0),0),0)</f>
        <v>0</v>
      </c>
      <c r="K5079" s="455">
        <f t="shared" ca="1" si="178"/>
        <v>-2566738103036.3882</v>
      </c>
      <c r="L5079" s="455">
        <f t="shared" ca="1" si="179"/>
        <v>-618583882831769.5</v>
      </c>
      <c r="M5079" s="471">
        <f t="shared" si="181"/>
        <v>0.05</v>
      </c>
      <c r="N5079" s="475">
        <f t="shared" si="182"/>
        <v>205634</v>
      </c>
    </row>
    <row r="5080" spans="7:14" ht="11.25" customHeight="1" x14ac:dyDescent="0.3">
      <c r="G5080" s="470"/>
      <c r="H5080" s="470">
        <v>5073</v>
      </c>
      <c r="I5080" s="455">
        <f t="shared" ca="1" si="180"/>
        <v>-618583882831769.5</v>
      </c>
      <c r="J5080" s="455">
        <f t="array" ref="J5080">IFERROR(INDEX('Retirement Calculator'!K:K,MATCH('Lorri 401b'!N5080,'Retirement Calculator'!A:A,0),0),0)</f>
        <v>0</v>
      </c>
      <c r="K5080" s="455">
        <f t="shared" ca="1" si="178"/>
        <v>-2577432845132.373</v>
      </c>
      <c r="L5080" s="455">
        <f t="shared" ca="1" si="179"/>
        <v>-621161315676901.88</v>
      </c>
      <c r="M5080" s="471">
        <f t="shared" si="181"/>
        <v>0.05</v>
      </c>
      <c r="N5080" s="475">
        <f t="shared" si="182"/>
        <v>205665</v>
      </c>
    </row>
    <row r="5081" spans="7:14" ht="11.25" customHeight="1" x14ac:dyDescent="0.3">
      <c r="G5081" s="470"/>
      <c r="H5081" s="470">
        <v>5074</v>
      </c>
      <c r="I5081" s="455">
        <f t="shared" ca="1" si="180"/>
        <v>-621161315676901.88</v>
      </c>
      <c r="J5081" s="455">
        <f t="array" ref="J5081">IFERROR(INDEX('Retirement Calculator'!K:K,MATCH('Lorri 401b'!N5081,'Retirement Calculator'!A:A,0),0),0)</f>
        <v>0</v>
      </c>
      <c r="K5081" s="455">
        <f t="shared" ca="1" si="178"/>
        <v>-2588172148653.7578</v>
      </c>
      <c r="L5081" s="455">
        <f t="shared" ca="1" si="179"/>
        <v>-623749487825555.63</v>
      </c>
      <c r="M5081" s="471">
        <f t="shared" si="181"/>
        <v>0.05</v>
      </c>
      <c r="N5081" s="475">
        <f t="shared" si="182"/>
        <v>205693</v>
      </c>
    </row>
    <row r="5082" spans="7:14" ht="11.25" customHeight="1" x14ac:dyDescent="0.3">
      <c r="G5082" s="470"/>
      <c r="H5082" s="470">
        <v>5075</v>
      </c>
      <c r="I5082" s="455">
        <f t="shared" ca="1" si="180"/>
        <v>-623749487825555.63</v>
      </c>
      <c r="J5082" s="455">
        <f t="array" ref="J5082">IFERROR(INDEX('Retirement Calculator'!K:K,MATCH('Lorri 401b'!N5082,'Retirement Calculator'!A:A,0),0),0)</f>
        <v>0</v>
      </c>
      <c r="K5082" s="455">
        <f t="shared" ca="1" si="178"/>
        <v>-2598956199273.1484</v>
      </c>
      <c r="L5082" s="455">
        <f t="shared" ca="1" si="179"/>
        <v>-626348444024828.75</v>
      </c>
      <c r="M5082" s="471">
        <f t="shared" si="181"/>
        <v>0.05</v>
      </c>
      <c r="N5082" s="475">
        <f t="shared" si="182"/>
        <v>205724</v>
      </c>
    </row>
    <row r="5083" spans="7:14" ht="11.25" customHeight="1" x14ac:dyDescent="0.3">
      <c r="G5083" s="470"/>
      <c r="H5083" s="470">
        <v>5076</v>
      </c>
      <c r="I5083" s="455">
        <f t="shared" ca="1" si="180"/>
        <v>-626348444024828.75</v>
      </c>
      <c r="J5083" s="455">
        <f t="array" ref="J5083">IFERROR(INDEX('Retirement Calculator'!K:K,MATCH('Lorri 401b'!N5083,'Retirement Calculator'!A:A,0),0),0)</f>
        <v>0</v>
      </c>
      <c r="K5083" s="455">
        <f t="shared" ca="1" si="178"/>
        <v>-2609785183436.7866</v>
      </c>
      <c r="L5083" s="455">
        <f t="shared" ca="1" si="179"/>
        <v>-628958229208265.5</v>
      </c>
      <c r="M5083" s="471">
        <f t="shared" si="181"/>
        <v>0.05</v>
      </c>
      <c r="N5083" s="475">
        <f t="shared" si="182"/>
        <v>205754</v>
      </c>
    </row>
    <row r="5084" spans="7:14" ht="11.25" customHeight="1" x14ac:dyDescent="0.3">
      <c r="G5084" s="470"/>
      <c r="H5084" s="470">
        <v>5077</v>
      </c>
      <c r="I5084" s="455">
        <f t="shared" ca="1" si="180"/>
        <v>-628958229208265.5</v>
      </c>
      <c r="J5084" s="455">
        <f t="array" ref="J5084">IFERROR(INDEX('Retirement Calculator'!K:K,MATCH('Lorri 401b'!N5084,'Retirement Calculator'!A:A,0),0),0)</f>
        <v>0</v>
      </c>
      <c r="K5084" s="455">
        <f t="shared" ca="1" si="178"/>
        <v>-2620659288367.7729</v>
      </c>
      <c r="L5084" s="455">
        <f t="shared" ca="1" si="179"/>
        <v>-631578888496633.25</v>
      </c>
      <c r="M5084" s="471">
        <f t="shared" si="181"/>
        <v>0.05</v>
      </c>
      <c r="N5084" s="475">
        <f t="shared" si="182"/>
        <v>205785</v>
      </c>
    </row>
    <row r="5085" spans="7:14" ht="11.25" customHeight="1" x14ac:dyDescent="0.3">
      <c r="G5085" s="470"/>
      <c r="H5085" s="470">
        <v>5078</v>
      </c>
      <c r="I5085" s="455">
        <f t="shared" ca="1" si="180"/>
        <v>-631578888496633.25</v>
      </c>
      <c r="J5085" s="455">
        <f t="array" ref="J5085">IFERROR(INDEX('Retirement Calculator'!K:K,MATCH('Lorri 401b'!N5085,'Retirement Calculator'!A:A,0),0),0)</f>
        <v>0</v>
      </c>
      <c r="K5085" s="455">
        <f t="shared" ca="1" si="178"/>
        <v>-2631578702069.3052</v>
      </c>
      <c r="L5085" s="455">
        <f t="shared" ca="1" si="179"/>
        <v>-634210467198702.5</v>
      </c>
      <c r="M5085" s="471">
        <f t="shared" si="181"/>
        <v>0.05</v>
      </c>
      <c r="N5085" s="475">
        <f t="shared" si="182"/>
        <v>205815</v>
      </c>
    </row>
    <row r="5086" spans="7:14" ht="11.25" customHeight="1" x14ac:dyDescent="0.3">
      <c r="G5086" s="470"/>
      <c r="H5086" s="470">
        <v>5079</v>
      </c>
      <c r="I5086" s="455">
        <f t="shared" ca="1" si="180"/>
        <v>-634210467198702.5</v>
      </c>
      <c r="J5086" s="455">
        <f t="array" ref="J5086">IFERROR(INDEX('Retirement Calculator'!K:K,MATCH('Lorri 401b'!N5086,'Retirement Calculator'!A:A,0),0),0)</f>
        <v>0</v>
      </c>
      <c r="K5086" s="455">
        <f t="shared" ca="1" si="178"/>
        <v>-2642543613327.9272</v>
      </c>
      <c r="L5086" s="455">
        <f t="shared" ca="1" si="179"/>
        <v>-636853010812030.38</v>
      </c>
      <c r="M5086" s="471">
        <f t="shared" si="181"/>
        <v>0.05</v>
      </c>
      <c r="N5086" s="475">
        <f t="shared" si="182"/>
        <v>205846</v>
      </c>
    </row>
    <row r="5087" spans="7:14" ht="11.25" customHeight="1" x14ac:dyDescent="0.3">
      <c r="G5087" s="470"/>
      <c r="H5087" s="470">
        <v>5080</v>
      </c>
      <c r="I5087" s="455">
        <f t="shared" ca="1" si="180"/>
        <v>-636853010812030.38</v>
      </c>
      <c r="J5087" s="455">
        <f t="array" ref="J5087">IFERROR(INDEX('Retirement Calculator'!K:K,MATCH('Lorri 401b'!N5087,'Retirement Calculator'!A:A,0),0),0)</f>
        <v>0</v>
      </c>
      <c r="K5087" s="455">
        <f t="shared" ca="1" si="178"/>
        <v>-2653554211716.793</v>
      </c>
      <c r="L5087" s="455">
        <f t="shared" ca="1" si="179"/>
        <v>-639506565023747.13</v>
      </c>
      <c r="M5087" s="471">
        <f t="shared" si="181"/>
        <v>0.05</v>
      </c>
      <c r="N5087" s="475">
        <f t="shared" si="182"/>
        <v>205877</v>
      </c>
    </row>
    <row r="5088" spans="7:14" ht="11.25" customHeight="1" x14ac:dyDescent="0.3">
      <c r="G5088" s="470"/>
      <c r="H5088" s="470">
        <v>5081</v>
      </c>
      <c r="I5088" s="455">
        <f t="shared" ca="1" si="180"/>
        <v>-639506565023747.13</v>
      </c>
      <c r="J5088" s="455">
        <f t="array" ref="J5088">IFERROR(INDEX('Retirement Calculator'!K:K,MATCH('Lorri 401b'!N5088,'Retirement Calculator'!A:A,0),0),0)</f>
        <v>0</v>
      </c>
      <c r="K5088" s="455">
        <f t="shared" ca="1" si="178"/>
        <v>-2664610687598.9463</v>
      </c>
      <c r="L5088" s="455">
        <f t="shared" ca="1" si="179"/>
        <v>-642171175711346.13</v>
      </c>
      <c r="M5088" s="471">
        <f t="shared" si="181"/>
        <v>0.05</v>
      </c>
      <c r="N5088" s="475">
        <f t="shared" si="182"/>
        <v>205907</v>
      </c>
    </row>
    <row r="5089" spans="7:14" ht="11.25" customHeight="1" x14ac:dyDescent="0.3">
      <c r="G5089" s="470"/>
      <c r="H5089" s="470">
        <v>5082</v>
      </c>
      <c r="I5089" s="455">
        <f t="shared" ca="1" si="180"/>
        <v>-642171175711346.13</v>
      </c>
      <c r="J5089" s="455">
        <f t="array" ref="J5089">IFERROR(INDEX('Retirement Calculator'!K:K,MATCH('Lorri 401b'!N5089,'Retirement Calculator'!A:A,0),0),0)</f>
        <v>0</v>
      </c>
      <c r="K5089" s="455">
        <f t="shared" ca="1" si="178"/>
        <v>-2675713232130.6089</v>
      </c>
      <c r="L5089" s="455">
        <f t="shared" ca="1" si="179"/>
        <v>-644846888943476.75</v>
      </c>
      <c r="M5089" s="471">
        <f t="shared" si="181"/>
        <v>0.05</v>
      </c>
      <c r="N5089" s="475">
        <f t="shared" si="182"/>
        <v>205938</v>
      </c>
    </row>
    <row r="5090" spans="7:14" ht="11.25" customHeight="1" x14ac:dyDescent="0.3">
      <c r="G5090" s="470"/>
      <c r="H5090" s="470">
        <v>5083</v>
      </c>
      <c r="I5090" s="455">
        <f t="shared" ca="1" si="180"/>
        <v>-644846888943476.75</v>
      </c>
      <c r="J5090" s="455">
        <f t="array" ref="J5090">IFERROR(INDEX('Retirement Calculator'!K:K,MATCH('Lorri 401b'!N5090,'Retirement Calculator'!A:A,0),0),0)</f>
        <v>0</v>
      </c>
      <c r="K5090" s="455">
        <f t="shared" ca="1" si="178"/>
        <v>-2686862037264.4863</v>
      </c>
      <c r="L5090" s="455">
        <f t="shared" ca="1" si="179"/>
        <v>-647533750980741.25</v>
      </c>
      <c r="M5090" s="471">
        <f t="shared" si="181"/>
        <v>0.05</v>
      </c>
      <c r="N5090" s="475">
        <f t="shared" si="182"/>
        <v>205968</v>
      </c>
    </row>
    <row r="5091" spans="7:14" ht="11.25" customHeight="1" x14ac:dyDescent="0.3">
      <c r="G5091" s="470"/>
      <c r="H5091" s="470">
        <v>5084</v>
      </c>
      <c r="I5091" s="455">
        <f t="shared" ca="1" si="180"/>
        <v>-647533750980741.25</v>
      </c>
      <c r="J5091" s="455">
        <f t="array" ref="J5091">IFERROR(INDEX('Retirement Calculator'!K:K,MATCH('Lorri 401b'!N5091,'Retirement Calculator'!A:A,0),0),0)</f>
        <v>0</v>
      </c>
      <c r="K5091" s="455">
        <f t="shared" ca="1" si="178"/>
        <v>-2698057295753.0884</v>
      </c>
      <c r="L5091" s="455">
        <f t="shared" ca="1" si="179"/>
        <v>-650231808276494.38</v>
      </c>
      <c r="M5091" s="471">
        <f t="shared" si="181"/>
        <v>0.05</v>
      </c>
      <c r="N5091" s="475">
        <f t="shared" si="182"/>
        <v>205999</v>
      </c>
    </row>
    <row r="5092" spans="7:14" ht="11.25" customHeight="1" x14ac:dyDescent="0.3">
      <c r="G5092" s="470"/>
      <c r="H5092" s="470">
        <v>5085</v>
      </c>
      <c r="I5092" s="455">
        <f t="shared" ca="1" si="180"/>
        <v>-650231808276494.38</v>
      </c>
      <c r="J5092" s="455">
        <f t="array" ref="J5092">IFERROR(INDEX('Retirement Calculator'!K:K,MATCH('Lorri 401b'!N5092,'Retirement Calculator'!A:A,0),0),0)</f>
        <v>0</v>
      </c>
      <c r="K5092" s="455">
        <f t="shared" ca="1" si="178"/>
        <v>-2709299201152.0601</v>
      </c>
      <c r="L5092" s="455">
        <f t="shared" ca="1" si="179"/>
        <v>-652941107477646.38</v>
      </c>
      <c r="M5092" s="471">
        <f t="shared" si="181"/>
        <v>0.05</v>
      </c>
      <c r="N5092" s="475">
        <f t="shared" si="182"/>
        <v>206030</v>
      </c>
    </row>
    <row r="5093" spans="7:14" ht="11.25" customHeight="1" x14ac:dyDescent="0.3">
      <c r="G5093" s="470"/>
      <c r="H5093" s="470">
        <v>5086</v>
      </c>
      <c r="I5093" s="455">
        <f t="shared" ca="1" si="180"/>
        <v>-652941107477646.38</v>
      </c>
      <c r="J5093" s="455">
        <f t="array" ref="J5093">IFERROR(INDEX('Retirement Calculator'!K:K,MATCH('Lorri 401b'!N5093,'Retirement Calculator'!A:A,0),0),0)</f>
        <v>0</v>
      </c>
      <c r="K5093" s="455">
        <f t="shared" ca="1" si="178"/>
        <v>-2720587947823.5264</v>
      </c>
      <c r="L5093" s="455">
        <f t="shared" ca="1" si="179"/>
        <v>-655661695425469.88</v>
      </c>
      <c r="M5093" s="471">
        <f t="shared" si="181"/>
        <v>0.05</v>
      </c>
      <c r="N5093" s="475">
        <f t="shared" si="182"/>
        <v>206059</v>
      </c>
    </row>
    <row r="5094" spans="7:14" ht="11.25" customHeight="1" x14ac:dyDescent="0.3">
      <c r="G5094" s="470"/>
      <c r="H5094" s="470">
        <v>5087</v>
      </c>
      <c r="I5094" s="455">
        <f t="shared" ca="1" si="180"/>
        <v>-655661695425469.88</v>
      </c>
      <c r="J5094" s="455">
        <f t="array" ref="J5094">IFERROR(INDEX('Retirement Calculator'!K:K,MATCH('Lorri 401b'!N5094,'Retirement Calculator'!A:A,0),0),0)</f>
        <v>0</v>
      </c>
      <c r="K5094" s="455">
        <f t="shared" ca="1" si="178"/>
        <v>-2731923730939.458</v>
      </c>
      <c r="L5094" s="455">
        <f t="shared" ca="1" si="179"/>
        <v>-658393619156409.38</v>
      </c>
      <c r="M5094" s="471">
        <f t="shared" si="181"/>
        <v>0.05</v>
      </c>
      <c r="N5094" s="475">
        <f t="shared" si="182"/>
        <v>206090</v>
      </c>
    </row>
    <row r="5095" spans="7:14" ht="11.25" customHeight="1" x14ac:dyDescent="0.3">
      <c r="G5095" s="470"/>
      <c r="H5095" s="470">
        <v>5088</v>
      </c>
      <c r="I5095" s="455">
        <f t="shared" ca="1" si="180"/>
        <v>-658393619156409.38</v>
      </c>
      <c r="J5095" s="455">
        <f t="array" ref="J5095">IFERROR(INDEX('Retirement Calculator'!K:K,MATCH('Lorri 401b'!N5095,'Retirement Calculator'!A:A,0),0),0)</f>
        <v>0</v>
      </c>
      <c r="K5095" s="455">
        <f t="shared" ca="1" si="178"/>
        <v>-2743306746485.0391</v>
      </c>
      <c r="L5095" s="455">
        <f t="shared" ca="1" si="179"/>
        <v>-661136925902894.38</v>
      </c>
      <c r="M5095" s="471">
        <f t="shared" si="181"/>
        <v>0.05</v>
      </c>
      <c r="N5095" s="475">
        <f t="shared" si="182"/>
        <v>206120</v>
      </c>
    </row>
    <row r="5096" spans="7:14" ht="11.25" customHeight="1" x14ac:dyDescent="0.3">
      <c r="G5096" s="470"/>
      <c r="H5096" s="470">
        <v>5089</v>
      </c>
      <c r="I5096" s="455">
        <f t="shared" ca="1" si="180"/>
        <v>-661136925902894.38</v>
      </c>
      <c r="J5096" s="455">
        <f t="array" ref="J5096">IFERROR(INDEX('Retirement Calculator'!K:K,MATCH('Lorri 401b'!N5096,'Retirement Calculator'!A:A,0),0),0)</f>
        <v>0</v>
      </c>
      <c r="K5096" s="455">
        <f t="shared" ca="1" si="178"/>
        <v>-2754737191262.0601</v>
      </c>
      <c r="L5096" s="455">
        <f t="shared" ca="1" si="179"/>
        <v>-663891663094156.38</v>
      </c>
      <c r="M5096" s="471">
        <f t="shared" si="181"/>
        <v>0.05</v>
      </c>
      <c r="N5096" s="475">
        <f t="shared" si="182"/>
        <v>206151</v>
      </c>
    </row>
    <row r="5097" spans="7:14" ht="11.25" customHeight="1" x14ac:dyDescent="0.3">
      <c r="G5097" s="470"/>
      <c r="H5097" s="470">
        <v>5090</v>
      </c>
      <c r="I5097" s="455">
        <f t="shared" ca="1" si="180"/>
        <v>-663891663094156.38</v>
      </c>
      <c r="J5097" s="455">
        <f t="array" ref="J5097">IFERROR(INDEX('Retirement Calculator'!K:K,MATCH('Lorri 401b'!N5097,'Retirement Calculator'!A:A,0),0),0)</f>
        <v>0</v>
      </c>
      <c r="K5097" s="455">
        <f t="shared" ca="1" si="178"/>
        <v>-2766215262892.3184</v>
      </c>
      <c r="L5097" s="455">
        <f t="shared" ca="1" si="179"/>
        <v>-666657878357048.75</v>
      </c>
      <c r="M5097" s="471">
        <f t="shared" si="181"/>
        <v>0.05</v>
      </c>
      <c r="N5097" s="475">
        <f t="shared" si="182"/>
        <v>206181</v>
      </c>
    </row>
    <row r="5098" spans="7:14" ht="11.25" customHeight="1" x14ac:dyDescent="0.3">
      <c r="G5098" s="470"/>
      <c r="H5098" s="470">
        <v>5091</v>
      </c>
      <c r="I5098" s="455">
        <f t="shared" ca="1" si="180"/>
        <v>-666657878357048.75</v>
      </c>
      <c r="J5098" s="455">
        <f t="array" ref="J5098">IFERROR(INDEX('Retirement Calculator'!K:K,MATCH('Lorri 401b'!N5098,'Retirement Calculator'!A:A,0),0),0)</f>
        <v>0</v>
      </c>
      <c r="K5098" s="455">
        <f t="shared" ca="1" si="178"/>
        <v>-2777741159821.0366</v>
      </c>
      <c r="L5098" s="455">
        <f t="shared" ca="1" si="179"/>
        <v>-669435619516869.75</v>
      </c>
      <c r="M5098" s="471">
        <f t="shared" si="181"/>
        <v>0.05</v>
      </c>
      <c r="N5098" s="475">
        <f t="shared" si="182"/>
        <v>206212</v>
      </c>
    </row>
    <row r="5099" spans="7:14" ht="11.25" customHeight="1" x14ac:dyDescent="0.3">
      <c r="G5099" s="470"/>
      <c r="H5099" s="470">
        <v>5092</v>
      </c>
      <c r="I5099" s="455">
        <f t="shared" ca="1" si="180"/>
        <v>-669435619516869.75</v>
      </c>
      <c r="J5099" s="455">
        <f t="array" ref="J5099">IFERROR(INDEX('Retirement Calculator'!K:K,MATCH('Lorri 401b'!N5099,'Retirement Calculator'!A:A,0),0),0)</f>
        <v>0</v>
      </c>
      <c r="K5099" s="455">
        <f t="shared" ca="1" si="178"/>
        <v>-2789315081320.2905</v>
      </c>
      <c r="L5099" s="455">
        <f t="shared" ca="1" si="179"/>
        <v>-672224934598190</v>
      </c>
      <c r="M5099" s="471">
        <f t="shared" si="181"/>
        <v>0.05</v>
      </c>
      <c r="N5099" s="475">
        <f t="shared" si="182"/>
        <v>206243</v>
      </c>
    </row>
    <row r="5100" spans="7:14" ht="11.25" customHeight="1" x14ac:dyDescent="0.3">
      <c r="G5100" s="470"/>
      <c r="H5100" s="470">
        <v>5093</v>
      </c>
      <c r="I5100" s="455">
        <f t="shared" ca="1" si="180"/>
        <v>-672224934598190</v>
      </c>
      <c r="J5100" s="455">
        <f t="array" ref="J5100">IFERROR(INDEX('Retirement Calculator'!K:K,MATCH('Lorri 401b'!N5100,'Retirement Calculator'!A:A,0),0),0)</f>
        <v>0</v>
      </c>
      <c r="K5100" s="455">
        <f t="shared" ca="1" si="178"/>
        <v>-2800937227492.4585</v>
      </c>
      <c r="L5100" s="455">
        <f t="shared" ca="1" si="179"/>
        <v>-675025871825682.5</v>
      </c>
      <c r="M5100" s="471">
        <f t="shared" si="181"/>
        <v>0.05</v>
      </c>
      <c r="N5100" s="475">
        <f t="shared" si="182"/>
        <v>206273</v>
      </c>
    </row>
    <row r="5101" spans="7:14" ht="11.25" customHeight="1" x14ac:dyDescent="0.3">
      <c r="G5101" s="470"/>
      <c r="H5101" s="470">
        <v>5094</v>
      </c>
      <c r="I5101" s="455">
        <f t="shared" ca="1" si="180"/>
        <v>-675025871825682.5</v>
      </c>
      <c r="J5101" s="455">
        <f t="array" ref="J5101">IFERROR(INDEX('Retirement Calculator'!K:K,MATCH('Lorri 401b'!N5101,'Retirement Calculator'!A:A,0),0),0)</f>
        <v>0</v>
      </c>
      <c r="K5101" s="455">
        <f t="shared" ca="1" si="178"/>
        <v>-2812607799273.6772</v>
      </c>
      <c r="L5101" s="455">
        <f t="shared" ca="1" si="179"/>
        <v>-677838479624956.13</v>
      </c>
      <c r="M5101" s="471">
        <f t="shared" si="181"/>
        <v>0.05</v>
      </c>
      <c r="N5101" s="475">
        <f t="shared" si="182"/>
        <v>206304</v>
      </c>
    </row>
    <row r="5102" spans="7:14" ht="11.25" customHeight="1" x14ac:dyDescent="0.3">
      <c r="G5102" s="470"/>
      <c r="H5102" s="470">
        <v>5095</v>
      </c>
      <c r="I5102" s="455">
        <f t="shared" ca="1" si="180"/>
        <v>-677838479624956.13</v>
      </c>
      <c r="J5102" s="455">
        <f t="array" ref="J5102">IFERROR(INDEX('Retirement Calculator'!K:K,MATCH('Lorri 401b'!N5102,'Retirement Calculator'!A:A,0),0),0)</f>
        <v>0</v>
      </c>
      <c r="K5102" s="455">
        <f t="shared" ca="1" si="178"/>
        <v>-2824326998437.3174</v>
      </c>
      <c r="L5102" s="455">
        <f t="shared" ca="1" si="179"/>
        <v>-680662806623393.5</v>
      </c>
      <c r="M5102" s="471">
        <f t="shared" si="181"/>
        <v>0.05</v>
      </c>
      <c r="N5102" s="475">
        <f t="shared" si="182"/>
        <v>206334</v>
      </c>
    </row>
    <row r="5103" spans="7:14" ht="11.25" customHeight="1" x14ac:dyDescent="0.3">
      <c r="G5103" s="470"/>
      <c r="H5103" s="470">
        <v>5096</v>
      </c>
      <c r="I5103" s="455">
        <f t="shared" ca="1" si="180"/>
        <v>-680662806623393.5</v>
      </c>
      <c r="J5103" s="455">
        <f t="array" ref="J5103">IFERROR(INDEX('Retirement Calculator'!K:K,MATCH('Lorri 401b'!N5103,'Retirement Calculator'!A:A,0),0),0)</f>
        <v>0</v>
      </c>
      <c r="K5103" s="455">
        <f t="shared" ca="1" si="178"/>
        <v>-2836095027597.4727</v>
      </c>
      <c r="L5103" s="455">
        <f t="shared" ca="1" si="179"/>
        <v>-683498901650991</v>
      </c>
      <c r="M5103" s="471">
        <f t="shared" si="181"/>
        <v>0.05</v>
      </c>
      <c r="N5103" s="475">
        <f t="shared" si="182"/>
        <v>206365</v>
      </c>
    </row>
    <row r="5104" spans="7:14" ht="11.25" customHeight="1" x14ac:dyDescent="0.3">
      <c r="G5104" s="470"/>
      <c r="H5104" s="470">
        <v>5097</v>
      </c>
      <c r="I5104" s="455">
        <f t="shared" ca="1" si="180"/>
        <v>-683498901650991</v>
      </c>
      <c r="J5104" s="455">
        <f t="array" ref="J5104">IFERROR(INDEX('Retirement Calculator'!K:K,MATCH('Lorri 401b'!N5104,'Retirement Calculator'!A:A,0),0),0)</f>
        <v>0</v>
      </c>
      <c r="K5104" s="455">
        <f t="shared" ca="1" si="178"/>
        <v>-2847912090212.4624</v>
      </c>
      <c r="L5104" s="455">
        <f t="shared" ca="1" si="179"/>
        <v>-686346813741203.5</v>
      </c>
      <c r="M5104" s="471">
        <f t="shared" si="181"/>
        <v>0.05</v>
      </c>
      <c r="N5104" s="475">
        <f t="shared" si="182"/>
        <v>206396</v>
      </c>
    </row>
    <row r="5105" spans="7:14" ht="11.25" customHeight="1" x14ac:dyDescent="0.3">
      <c r="G5105" s="470"/>
      <c r="H5105" s="470">
        <v>5098</v>
      </c>
      <c r="I5105" s="455">
        <f t="shared" ca="1" si="180"/>
        <v>-686346813741203.5</v>
      </c>
      <c r="J5105" s="455">
        <f t="array" ref="J5105">IFERROR(INDEX('Retirement Calculator'!K:K,MATCH('Lorri 401b'!N5105,'Retirement Calculator'!A:A,0),0),0)</f>
        <v>0</v>
      </c>
      <c r="K5105" s="455">
        <f t="shared" ca="1" si="178"/>
        <v>-2859778390588.3477</v>
      </c>
      <c r="L5105" s="455">
        <f t="shared" ca="1" si="179"/>
        <v>-689206592131791.88</v>
      </c>
      <c r="M5105" s="471">
        <f t="shared" si="181"/>
        <v>0.05</v>
      </c>
      <c r="N5105" s="475">
        <f t="shared" si="182"/>
        <v>206424</v>
      </c>
    </row>
    <row r="5106" spans="7:14" ht="11.25" customHeight="1" x14ac:dyDescent="0.3">
      <c r="G5106" s="470"/>
      <c r="H5106" s="470">
        <v>5099</v>
      </c>
      <c r="I5106" s="455">
        <f t="shared" ca="1" si="180"/>
        <v>-689206592131791.88</v>
      </c>
      <c r="J5106" s="455">
        <f t="array" ref="J5106">IFERROR(INDEX('Retirement Calculator'!K:K,MATCH('Lorri 401b'!N5106,'Retirement Calculator'!A:A,0),0),0)</f>
        <v>0</v>
      </c>
      <c r="K5106" s="455">
        <f t="shared" ca="1" si="178"/>
        <v>-2871694133882.4663</v>
      </c>
      <c r="L5106" s="455">
        <f t="shared" ca="1" si="179"/>
        <v>-692078286265674.38</v>
      </c>
      <c r="M5106" s="471">
        <f t="shared" si="181"/>
        <v>0.05</v>
      </c>
      <c r="N5106" s="475">
        <f t="shared" si="182"/>
        <v>206455</v>
      </c>
    </row>
    <row r="5107" spans="7:14" ht="11.25" customHeight="1" x14ac:dyDescent="0.3">
      <c r="G5107" s="470"/>
      <c r="H5107" s="470">
        <v>5100</v>
      </c>
      <c r="I5107" s="455">
        <f t="shared" ca="1" si="180"/>
        <v>-692078286265674.38</v>
      </c>
      <c r="J5107" s="455">
        <f t="array" ref="J5107">IFERROR(INDEX('Retirement Calculator'!K:K,MATCH('Lorri 401b'!N5107,'Retirement Calculator'!A:A,0),0),0)</f>
        <v>0</v>
      </c>
      <c r="K5107" s="455">
        <f t="shared" ca="1" si="178"/>
        <v>-2883659526106.9766</v>
      </c>
      <c r="L5107" s="455">
        <f t="shared" ca="1" si="179"/>
        <v>-694961945791781.38</v>
      </c>
      <c r="M5107" s="471">
        <f t="shared" si="181"/>
        <v>0.05</v>
      </c>
      <c r="N5107" s="475">
        <f t="shared" si="182"/>
        <v>206485</v>
      </c>
    </row>
    <row r="5108" spans="7:14" ht="11.25" customHeight="1" x14ac:dyDescent="0.3">
      <c r="G5108" s="470"/>
      <c r="H5108" s="470">
        <v>5101</v>
      </c>
      <c r="I5108" s="455">
        <f t="shared" ca="1" si="180"/>
        <v>-694961945791781.38</v>
      </c>
      <c r="J5108" s="455">
        <f t="array" ref="J5108">IFERROR(INDEX('Retirement Calculator'!K:K,MATCH('Lorri 401b'!N5108,'Retirement Calculator'!A:A,0),0),0)</f>
        <v>0</v>
      </c>
      <c r="K5108" s="455">
        <f t="shared" ref="K5108:K5362" ca="1" si="183">IPMT(M5108/12,1,12,-I5108+J5108,,0)</f>
        <v>-2895674774132.4224</v>
      </c>
      <c r="L5108" s="455">
        <f t="shared" ref="L5108:L5362" ca="1" si="184">I5108-J5108+K5108</f>
        <v>-697857620565913.75</v>
      </c>
      <c r="M5108" s="471">
        <f t="shared" si="181"/>
        <v>0.05</v>
      </c>
      <c r="N5108" s="475">
        <f t="shared" si="182"/>
        <v>206516</v>
      </c>
    </row>
    <row r="5109" spans="7:14" ht="11.25" customHeight="1" x14ac:dyDescent="0.3">
      <c r="G5109" s="470"/>
      <c r="H5109" s="470">
        <v>5102</v>
      </c>
      <c r="I5109" s="455">
        <f t="shared" ref="I5109:I5363" ca="1" si="185">L5108</f>
        <v>-697857620565913.75</v>
      </c>
      <c r="J5109" s="455">
        <f t="array" ref="J5109">IFERROR(INDEX('Retirement Calculator'!K:K,MATCH('Lorri 401b'!N5109,'Retirement Calculator'!A:A,0),0),0)</f>
        <v>0</v>
      </c>
      <c r="K5109" s="455">
        <f t="shared" ca="1" si="183"/>
        <v>-2907740085691.3071</v>
      </c>
      <c r="L5109" s="455">
        <f t="shared" ca="1" si="184"/>
        <v>-700765360651605</v>
      </c>
      <c r="M5109" s="471">
        <f t="shared" ref="M5109:M5363" si="186">M5108</f>
        <v>0.05</v>
      </c>
      <c r="N5109" s="475">
        <f t="shared" ref="N5109:N5363" si="187">EDATE(N5108,1)</f>
        <v>206546</v>
      </c>
    </row>
    <row r="5110" spans="7:14" ht="11.25" customHeight="1" x14ac:dyDescent="0.3">
      <c r="G5110" s="470"/>
      <c r="H5110" s="470">
        <v>5103</v>
      </c>
      <c r="I5110" s="455">
        <f t="shared" ca="1" si="185"/>
        <v>-700765360651605</v>
      </c>
      <c r="J5110" s="455">
        <f t="array" ref="J5110">IFERROR(INDEX('Retirement Calculator'!K:K,MATCH('Lorri 401b'!N5110,'Retirement Calculator'!A:A,0),0),0)</f>
        <v>0</v>
      </c>
      <c r="K5110" s="455">
        <f t="shared" ca="1" si="183"/>
        <v>-2919855669381.6875</v>
      </c>
      <c r="L5110" s="455">
        <f t="shared" ca="1" si="184"/>
        <v>-703685216320986.75</v>
      </c>
      <c r="M5110" s="471">
        <f t="shared" si="186"/>
        <v>0.05</v>
      </c>
      <c r="N5110" s="475">
        <f t="shared" si="187"/>
        <v>206577</v>
      </c>
    </row>
    <row r="5111" spans="7:14" ht="11.25" customHeight="1" x14ac:dyDescent="0.3">
      <c r="G5111" s="470"/>
      <c r="H5111" s="470">
        <v>5104</v>
      </c>
      <c r="I5111" s="455">
        <f t="shared" ca="1" si="185"/>
        <v>-703685216320986.75</v>
      </c>
      <c r="J5111" s="455">
        <f t="array" ref="J5111">IFERROR(INDEX('Retirement Calculator'!K:K,MATCH('Lorri 401b'!N5111,'Retirement Calculator'!A:A,0),0),0)</f>
        <v>0</v>
      </c>
      <c r="K5111" s="455">
        <f t="shared" ca="1" si="183"/>
        <v>-2932021734670.7783</v>
      </c>
      <c r="L5111" s="455">
        <f t="shared" ca="1" si="184"/>
        <v>-706617238055657.5</v>
      </c>
      <c r="M5111" s="471">
        <f t="shared" si="186"/>
        <v>0.05</v>
      </c>
      <c r="N5111" s="475">
        <f t="shared" si="187"/>
        <v>206608</v>
      </c>
    </row>
    <row r="5112" spans="7:14" ht="11.25" customHeight="1" x14ac:dyDescent="0.3">
      <c r="G5112" s="470"/>
      <c r="H5112" s="470">
        <v>5105</v>
      </c>
      <c r="I5112" s="455">
        <f t="shared" ca="1" si="185"/>
        <v>-706617238055657.5</v>
      </c>
      <c r="J5112" s="455">
        <f t="array" ref="J5112">IFERROR(INDEX('Retirement Calculator'!K:K,MATCH('Lorri 401b'!N5112,'Retirement Calculator'!A:A,0),0),0)</f>
        <v>0</v>
      </c>
      <c r="K5112" s="455">
        <f t="shared" ca="1" si="183"/>
        <v>-2944238491898.5728</v>
      </c>
      <c r="L5112" s="455">
        <f t="shared" ca="1" si="184"/>
        <v>-709561476547556.13</v>
      </c>
      <c r="M5112" s="471">
        <f t="shared" si="186"/>
        <v>0.05</v>
      </c>
      <c r="N5112" s="475">
        <f t="shared" si="187"/>
        <v>206638</v>
      </c>
    </row>
    <row r="5113" spans="7:14" ht="11.25" customHeight="1" x14ac:dyDescent="0.3">
      <c r="G5113" s="470"/>
      <c r="H5113" s="470">
        <v>5106</v>
      </c>
      <c r="I5113" s="455">
        <f t="shared" ca="1" si="185"/>
        <v>-709561476547556.13</v>
      </c>
      <c r="J5113" s="455">
        <f t="array" ref="J5113">IFERROR(INDEX('Retirement Calculator'!K:K,MATCH('Lorri 401b'!N5113,'Retirement Calculator'!A:A,0),0),0)</f>
        <v>0</v>
      </c>
      <c r="K5113" s="455">
        <f t="shared" ca="1" si="183"/>
        <v>-2956506152281.4839</v>
      </c>
      <c r="L5113" s="455">
        <f t="shared" ca="1" si="184"/>
        <v>-712517982699837.63</v>
      </c>
      <c r="M5113" s="471">
        <f t="shared" si="186"/>
        <v>0.05</v>
      </c>
      <c r="N5113" s="475">
        <f t="shared" si="187"/>
        <v>206669</v>
      </c>
    </row>
    <row r="5114" spans="7:14" ht="11.25" customHeight="1" x14ac:dyDescent="0.3">
      <c r="G5114" s="470"/>
      <c r="H5114" s="470">
        <v>5107</v>
      </c>
      <c r="I5114" s="455">
        <f t="shared" ca="1" si="185"/>
        <v>-712517982699837.63</v>
      </c>
      <c r="J5114" s="455">
        <f t="array" ref="J5114">IFERROR(INDEX('Retirement Calculator'!K:K,MATCH('Lorri 401b'!N5114,'Retirement Calculator'!A:A,0),0),0)</f>
        <v>0</v>
      </c>
      <c r="K5114" s="455">
        <f t="shared" ca="1" si="183"/>
        <v>-2968824927915.9902</v>
      </c>
      <c r="L5114" s="455">
        <f t="shared" ca="1" si="184"/>
        <v>-715486807627753.63</v>
      </c>
      <c r="M5114" s="471">
        <f t="shared" si="186"/>
        <v>0.05</v>
      </c>
      <c r="N5114" s="475">
        <f t="shared" si="187"/>
        <v>206699</v>
      </c>
    </row>
    <row r="5115" spans="7:14" ht="11.25" customHeight="1" x14ac:dyDescent="0.3">
      <c r="G5115" s="470"/>
      <c r="H5115" s="470">
        <v>5108</v>
      </c>
      <c r="I5115" s="455">
        <f t="shared" ca="1" si="185"/>
        <v>-715486807627753.63</v>
      </c>
      <c r="J5115" s="455">
        <f t="array" ref="J5115">IFERROR(INDEX('Retirement Calculator'!K:K,MATCH('Lorri 401b'!N5115,'Retirement Calculator'!A:A,0),0),0)</f>
        <v>0</v>
      </c>
      <c r="K5115" s="455">
        <f t="shared" ca="1" si="183"/>
        <v>-2981195031782.3066</v>
      </c>
      <c r="L5115" s="455">
        <f t="shared" ca="1" si="184"/>
        <v>-718468002659535.88</v>
      </c>
      <c r="M5115" s="471">
        <f t="shared" si="186"/>
        <v>0.05</v>
      </c>
      <c r="N5115" s="475">
        <f t="shared" si="187"/>
        <v>206730</v>
      </c>
    </row>
    <row r="5116" spans="7:14" ht="11.25" customHeight="1" x14ac:dyDescent="0.3">
      <c r="G5116" s="470"/>
      <c r="H5116" s="470">
        <v>5109</v>
      </c>
      <c r="I5116" s="455">
        <f t="shared" ca="1" si="185"/>
        <v>-718468002659535.88</v>
      </c>
      <c r="J5116" s="455">
        <f t="array" ref="J5116">IFERROR(INDEX('Retirement Calculator'!K:K,MATCH('Lorri 401b'!N5116,'Retirement Calculator'!A:A,0),0),0)</f>
        <v>0</v>
      </c>
      <c r="K5116" s="455">
        <f t="shared" ca="1" si="183"/>
        <v>-2993616677748.0659</v>
      </c>
      <c r="L5116" s="455">
        <f t="shared" ca="1" si="184"/>
        <v>-721461619337284</v>
      </c>
      <c r="M5116" s="471">
        <f t="shared" si="186"/>
        <v>0.05</v>
      </c>
      <c r="N5116" s="475">
        <f t="shared" si="187"/>
        <v>206761</v>
      </c>
    </row>
    <row r="5117" spans="7:14" ht="11.25" customHeight="1" x14ac:dyDescent="0.3">
      <c r="G5117" s="470"/>
      <c r="H5117" s="470">
        <v>5110</v>
      </c>
      <c r="I5117" s="455">
        <f t="shared" ca="1" si="185"/>
        <v>-721461619337284</v>
      </c>
      <c r="J5117" s="455">
        <f t="array" ref="J5117">IFERROR(INDEX('Retirement Calculator'!K:K,MATCH('Lorri 401b'!N5117,'Retirement Calculator'!A:A,0),0),0)</f>
        <v>0</v>
      </c>
      <c r="K5117" s="455">
        <f t="shared" ca="1" si="183"/>
        <v>-3006090080572.0166</v>
      </c>
      <c r="L5117" s="455">
        <f t="shared" ca="1" si="184"/>
        <v>-724467709417856</v>
      </c>
      <c r="M5117" s="471">
        <f t="shared" si="186"/>
        <v>0.05</v>
      </c>
      <c r="N5117" s="475">
        <f t="shared" si="187"/>
        <v>206789</v>
      </c>
    </row>
    <row r="5118" spans="7:14" ht="11.25" customHeight="1" x14ac:dyDescent="0.3">
      <c r="G5118" s="470"/>
      <c r="H5118" s="470">
        <v>5111</v>
      </c>
      <c r="I5118" s="455">
        <f t="shared" ca="1" si="185"/>
        <v>-724467709417856</v>
      </c>
      <c r="J5118" s="455">
        <f t="array" ref="J5118">IFERROR(INDEX('Retirement Calculator'!K:K,MATCH('Lorri 401b'!N5118,'Retirement Calculator'!A:A,0),0),0)</f>
        <v>0</v>
      </c>
      <c r="K5118" s="455">
        <f t="shared" ca="1" si="183"/>
        <v>-3018615455907.7334</v>
      </c>
      <c r="L5118" s="455">
        <f t="shared" ca="1" si="184"/>
        <v>-727486324873763.75</v>
      </c>
      <c r="M5118" s="471">
        <f t="shared" si="186"/>
        <v>0.05</v>
      </c>
      <c r="N5118" s="475">
        <f t="shared" si="187"/>
        <v>206820</v>
      </c>
    </row>
    <row r="5119" spans="7:14" ht="11.25" customHeight="1" x14ac:dyDescent="0.3">
      <c r="G5119" s="470"/>
      <c r="H5119" s="470">
        <v>5112</v>
      </c>
      <c r="I5119" s="455">
        <f t="shared" ca="1" si="185"/>
        <v>-727486324873763.75</v>
      </c>
      <c r="J5119" s="455">
        <f t="array" ref="J5119">IFERROR(INDEX('Retirement Calculator'!K:K,MATCH('Lorri 401b'!N5119,'Retirement Calculator'!A:A,0),0),0)</f>
        <v>0</v>
      </c>
      <c r="K5119" s="455">
        <f t="shared" ca="1" si="183"/>
        <v>-3031193020307.3491</v>
      </c>
      <c r="L5119" s="455">
        <f t="shared" ca="1" si="184"/>
        <v>-730517517894071.13</v>
      </c>
      <c r="M5119" s="471">
        <f t="shared" si="186"/>
        <v>0.05</v>
      </c>
      <c r="N5119" s="475">
        <f t="shared" si="187"/>
        <v>206850</v>
      </c>
    </row>
    <row r="5120" spans="7:14" ht="11.25" customHeight="1" x14ac:dyDescent="0.3">
      <c r="G5120" s="470"/>
      <c r="H5120" s="470">
        <v>5113</v>
      </c>
      <c r="I5120" s="455">
        <f t="shared" ca="1" si="185"/>
        <v>-730517517894071.13</v>
      </c>
      <c r="J5120" s="455">
        <f t="array" ref="J5120">IFERROR(INDEX('Retirement Calculator'!K:K,MATCH('Lorri 401b'!N5120,'Retirement Calculator'!A:A,0),0),0)</f>
        <v>0</v>
      </c>
      <c r="K5120" s="455">
        <f t="shared" ca="1" si="183"/>
        <v>-3043822991225.2964</v>
      </c>
      <c r="L5120" s="455">
        <f t="shared" ca="1" si="184"/>
        <v>-733561340885296.38</v>
      </c>
      <c r="M5120" s="471">
        <f t="shared" si="186"/>
        <v>0.05</v>
      </c>
      <c r="N5120" s="475">
        <f t="shared" si="187"/>
        <v>206881</v>
      </c>
    </row>
    <row r="5121" spans="7:14" ht="11.25" customHeight="1" x14ac:dyDescent="0.3">
      <c r="G5121" s="470"/>
      <c r="H5121" s="470">
        <v>5114</v>
      </c>
      <c r="I5121" s="455">
        <f t="shared" ca="1" si="185"/>
        <v>-733561340885296.38</v>
      </c>
      <c r="J5121" s="455">
        <f t="array" ref="J5121">IFERROR(INDEX('Retirement Calculator'!K:K,MATCH('Lorri 401b'!N5121,'Retirement Calculator'!A:A,0),0),0)</f>
        <v>0</v>
      </c>
      <c r="K5121" s="455">
        <f t="shared" ca="1" si="183"/>
        <v>-3056505587022.0684</v>
      </c>
      <c r="L5121" s="455">
        <f t="shared" ca="1" si="184"/>
        <v>-736617846472318.5</v>
      </c>
      <c r="M5121" s="471">
        <f t="shared" si="186"/>
        <v>0.05</v>
      </c>
      <c r="N5121" s="475">
        <f t="shared" si="187"/>
        <v>206911</v>
      </c>
    </row>
    <row r="5122" spans="7:14" ht="11.25" customHeight="1" x14ac:dyDescent="0.3">
      <c r="G5122" s="470"/>
      <c r="H5122" s="470">
        <v>5115</v>
      </c>
      <c r="I5122" s="455">
        <f t="shared" ca="1" si="185"/>
        <v>-736617846472318.5</v>
      </c>
      <c r="J5122" s="455">
        <f t="array" ref="J5122">IFERROR(INDEX('Retirement Calculator'!K:K,MATCH('Lorri 401b'!N5122,'Retirement Calculator'!A:A,0),0),0)</f>
        <v>0</v>
      </c>
      <c r="K5122" s="455">
        <f t="shared" ca="1" si="183"/>
        <v>-3069241026967.9937</v>
      </c>
      <c r="L5122" s="455">
        <f t="shared" ca="1" si="184"/>
        <v>-739687087499286.5</v>
      </c>
      <c r="M5122" s="471">
        <f t="shared" si="186"/>
        <v>0.05</v>
      </c>
      <c r="N5122" s="475">
        <f t="shared" si="187"/>
        <v>206942</v>
      </c>
    </row>
    <row r="5123" spans="7:14" ht="11.25" customHeight="1" x14ac:dyDescent="0.3">
      <c r="G5123" s="470"/>
      <c r="H5123" s="470">
        <v>5116</v>
      </c>
      <c r="I5123" s="455">
        <f t="shared" ca="1" si="185"/>
        <v>-739687087499286.5</v>
      </c>
      <c r="J5123" s="455">
        <f t="array" ref="J5123">IFERROR(INDEX('Retirement Calculator'!K:K,MATCH('Lorri 401b'!N5123,'Retirement Calculator'!A:A,0),0),0)</f>
        <v>0</v>
      </c>
      <c r="K5123" s="455">
        <f t="shared" ca="1" si="183"/>
        <v>-3082029531247.0269</v>
      </c>
      <c r="L5123" s="455">
        <f t="shared" ca="1" si="184"/>
        <v>-742769117030533.5</v>
      </c>
      <c r="M5123" s="471">
        <f t="shared" si="186"/>
        <v>0.05</v>
      </c>
      <c r="N5123" s="475">
        <f t="shared" si="187"/>
        <v>206973</v>
      </c>
    </row>
    <row r="5124" spans="7:14" ht="11.25" customHeight="1" x14ac:dyDescent="0.3">
      <c r="G5124" s="470"/>
      <c r="H5124" s="470">
        <v>5117</v>
      </c>
      <c r="I5124" s="455">
        <f t="shared" ca="1" si="185"/>
        <v>-742769117030533.5</v>
      </c>
      <c r="J5124" s="455">
        <f t="array" ref="J5124">IFERROR(INDEX('Retirement Calculator'!K:K,MATCH('Lorri 401b'!N5124,'Retirement Calculator'!A:A,0),0),0)</f>
        <v>0</v>
      </c>
      <c r="K5124" s="455">
        <f t="shared" ca="1" si="183"/>
        <v>-3094871320960.5562</v>
      </c>
      <c r="L5124" s="455">
        <f t="shared" ca="1" si="184"/>
        <v>-745863988351494</v>
      </c>
      <c r="M5124" s="471">
        <f t="shared" si="186"/>
        <v>0.05</v>
      </c>
      <c r="N5124" s="475">
        <f t="shared" si="187"/>
        <v>207003</v>
      </c>
    </row>
    <row r="5125" spans="7:14" ht="11.25" customHeight="1" x14ac:dyDescent="0.3">
      <c r="G5125" s="470"/>
      <c r="H5125" s="470">
        <v>5118</v>
      </c>
      <c r="I5125" s="455">
        <f t="shared" ca="1" si="185"/>
        <v>-745863988351494</v>
      </c>
      <c r="J5125" s="455">
        <f t="array" ref="J5125">IFERROR(INDEX('Retirement Calculator'!K:K,MATCH('Lorri 401b'!N5125,'Retirement Calculator'!A:A,0),0),0)</f>
        <v>0</v>
      </c>
      <c r="K5125" s="455">
        <f t="shared" ca="1" si="183"/>
        <v>-3107766618131.2251</v>
      </c>
      <c r="L5125" s="455">
        <f t="shared" ca="1" si="184"/>
        <v>-748971754969625.25</v>
      </c>
      <c r="M5125" s="471">
        <f t="shared" si="186"/>
        <v>0.05</v>
      </c>
      <c r="N5125" s="475">
        <f t="shared" si="187"/>
        <v>207034</v>
      </c>
    </row>
    <row r="5126" spans="7:14" ht="11.25" customHeight="1" x14ac:dyDescent="0.3">
      <c r="G5126" s="470"/>
      <c r="H5126" s="470">
        <v>5119</v>
      </c>
      <c r="I5126" s="455">
        <f t="shared" ca="1" si="185"/>
        <v>-748971754969625.25</v>
      </c>
      <c r="J5126" s="455">
        <f t="array" ref="J5126">IFERROR(INDEX('Retirement Calculator'!K:K,MATCH('Lorri 401b'!N5126,'Retirement Calculator'!A:A,0),0),0)</f>
        <v>0</v>
      </c>
      <c r="K5126" s="455">
        <f t="shared" ca="1" si="183"/>
        <v>-3120715645706.772</v>
      </c>
      <c r="L5126" s="455">
        <f t="shared" ca="1" si="184"/>
        <v>-752092470615332</v>
      </c>
      <c r="M5126" s="471">
        <f t="shared" si="186"/>
        <v>0.05</v>
      </c>
      <c r="N5126" s="475">
        <f t="shared" si="187"/>
        <v>207064</v>
      </c>
    </row>
    <row r="5127" spans="7:14" ht="11.25" customHeight="1" x14ac:dyDescent="0.3">
      <c r="G5127" s="470"/>
      <c r="H5127" s="470">
        <v>5120</v>
      </c>
      <c r="I5127" s="455">
        <f t="shared" ca="1" si="185"/>
        <v>-752092470615332</v>
      </c>
      <c r="J5127" s="455">
        <f t="array" ref="J5127">IFERROR(INDEX('Retirement Calculator'!K:K,MATCH('Lorri 401b'!N5127,'Retirement Calculator'!A:A,0),0),0)</f>
        <v>0</v>
      </c>
      <c r="K5127" s="455">
        <f t="shared" ca="1" si="183"/>
        <v>-3133718627563.8833</v>
      </c>
      <c r="L5127" s="455">
        <f t="shared" ca="1" si="184"/>
        <v>-755226189242895.88</v>
      </c>
      <c r="M5127" s="471">
        <f t="shared" si="186"/>
        <v>0.05</v>
      </c>
      <c r="N5127" s="475">
        <f t="shared" si="187"/>
        <v>207095</v>
      </c>
    </row>
    <row r="5128" spans="7:14" ht="11.25" customHeight="1" x14ac:dyDescent="0.3">
      <c r="G5128" s="470"/>
      <c r="H5128" s="470">
        <v>5121</v>
      </c>
      <c r="I5128" s="455">
        <f t="shared" ca="1" si="185"/>
        <v>-755226189242895.88</v>
      </c>
      <c r="J5128" s="455">
        <f t="array" ref="J5128">IFERROR(INDEX('Retirement Calculator'!K:K,MATCH('Lorri 401b'!N5128,'Retirement Calculator'!A:A,0),0),0)</f>
        <v>0</v>
      </c>
      <c r="K5128" s="455">
        <f t="shared" ca="1" si="183"/>
        <v>-3146775788512.0659</v>
      </c>
      <c r="L5128" s="455">
        <f t="shared" ca="1" si="184"/>
        <v>-758372965031408</v>
      </c>
      <c r="M5128" s="471">
        <f t="shared" si="186"/>
        <v>0.05</v>
      </c>
      <c r="N5128" s="475">
        <f t="shared" si="187"/>
        <v>207126</v>
      </c>
    </row>
    <row r="5129" spans="7:14" ht="11.25" customHeight="1" x14ac:dyDescent="0.3">
      <c r="G5129" s="470"/>
      <c r="H5129" s="470">
        <v>5122</v>
      </c>
      <c r="I5129" s="455">
        <f t="shared" ca="1" si="185"/>
        <v>-758372965031408</v>
      </c>
      <c r="J5129" s="455">
        <f t="array" ref="J5129">IFERROR(INDEX('Retirement Calculator'!K:K,MATCH('Lorri 401b'!N5129,'Retirement Calculator'!A:A,0),0),0)</f>
        <v>0</v>
      </c>
      <c r="K5129" s="455">
        <f t="shared" ca="1" si="183"/>
        <v>-3159887354297.5332</v>
      </c>
      <c r="L5129" s="455">
        <f t="shared" ca="1" si="184"/>
        <v>-761532852385705.5</v>
      </c>
      <c r="M5129" s="471">
        <f t="shared" si="186"/>
        <v>0.05</v>
      </c>
      <c r="N5129" s="475">
        <f t="shared" si="187"/>
        <v>207154</v>
      </c>
    </row>
    <row r="5130" spans="7:14" ht="11.25" customHeight="1" x14ac:dyDescent="0.3">
      <c r="G5130" s="470"/>
      <c r="H5130" s="470">
        <v>5123</v>
      </c>
      <c r="I5130" s="455">
        <f t="shared" ca="1" si="185"/>
        <v>-761532852385705.5</v>
      </c>
      <c r="J5130" s="455">
        <f t="array" ref="J5130">IFERROR(INDEX('Retirement Calculator'!K:K,MATCH('Lorri 401b'!N5130,'Retirement Calculator'!A:A,0),0),0)</f>
        <v>0</v>
      </c>
      <c r="K5130" s="455">
        <f t="shared" ca="1" si="183"/>
        <v>-3173053551607.1064</v>
      </c>
      <c r="L5130" s="455">
        <f t="shared" ca="1" si="184"/>
        <v>-764705905937312.63</v>
      </c>
      <c r="M5130" s="471">
        <f t="shared" si="186"/>
        <v>0.05</v>
      </c>
      <c r="N5130" s="475">
        <f t="shared" si="187"/>
        <v>207185</v>
      </c>
    </row>
    <row r="5131" spans="7:14" ht="11.25" customHeight="1" x14ac:dyDescent="0.3">
      <c r="G5131" s="470"/>
      <c r="H5131" s="470">
        <v>5124</v>
      </c>
      <c r="I5131" s="455">
        <f t="shared" ca="1" si="185"/>
        <v>-764705905937312.63</v>
      </c>
      <c r="J5131" s="455">
        <f t="array" ref="J5131">IFERROR(INDEX('Retirement Calculator'!K:K,MATCH('Lorri 401b'!N5131,'Retirement Calculator'!A:A,0),0),0)</f>
        <v>0</v>
      </c>
      <c r="K5131" s="455">
        <f t="shared" ca="1" si="183"/>
        <v>-3186274608072.1357</v>
      </c>
      <c r="L5131" s="455">
        <f t="shared" ca="1" si="184"/>
        <v>-767892180545384.75</v>
      </c>
      <c r="M5131" s="471">
        <f t="shared" si="186"/>
        <v>0.05</v>
      </c>
      <c r="N5131" s="475">
        <f t="shared" si="187"/>
        <v>207215</v>
      </c>
    </row>
    <row r="5132" spans="7:14" ht="11.25" customHeight="1" x14ac:dyDescent="0.3">
      <c r="G5132" s="470"/>
      <c r="H5132" s="470">
        <v>5125</v>
      </c>
      <c r="I5132" s="455">
        <f t="shared" ca="1" si="185"/>
        <v>-767892180545384.75</v>
      </c>
      <c r="J5132" s="455">
        <f t="array" ref="J5132">IFERROR(INDEX('Retirement Calculator'!K:K,MATCH('Lorri 401b'!N5132,'Retirement Calculator'!A:A,0),0),0)</f>
        <v>0</v>
      </c>
      <c r="K5132" s="455">
        <f t="shared" ca="1" si="183"/>
        <v>-3199550752272.4365</v>
      </c>
      <c r="L5132" s="455">
        <f t="shared" ca="1" si="184"/>
        <v>-771091731297657.13</v>
      </c>
      <c r="M5132" s="471">
        <f t="shared" si="186"/>
        <v>0.05</v>
      </c>
      <c r="N5132" s="475">
        <f t="shared" si="187"/>
        <v>207246</v>
      </c>
    </row>
    <row r="5133" spans="7:14" ht="11.25" customHeight="1" x14ac:dyDescent="0.3">
      <c r="G5133" s="470"/>
      <c r="H5133" s="470">
        <v>5126</v>
      </c>
      <c r="I5133" s="455">
        <f t="shared" ca="1" si="185"/>
        <v>-771091731297657.13</v>
      </c>
      <c r="J5133" s="455">
        <f t="array" ref="J5133">IFERROR(INDEX('Retirement Calculator'!K:K,MATCH('Lorri 401b'!N5133,'Retirement Calculator'!A:A,0),0),0)</f>
        <v>0</v>
      </c>
      <c r="K5133" s="455">
        <f t="shared" ca="1" si="183"/>
        <v>-3212882213740.2378</v>
      </c>
      <c r="L5133" s="455">
        <f t="shared" ca="1" si="184"/>
        <v>-774304613511397.38</v>
      </c>
      <c r="M5133" s="471">
        <f t="shared" si="186"/>
        <v>0.05</v>
      </c>
      <c r="N5133" s="475">
        <f t="shared" si="187"/>
        <v>207276</v>
      </c>
    </row>
    <row r="5134" spans="7:14" ht="11.25" customHeight="1" x14ac:dyDescent="0.3">
      <c r="G5134" s="470"/>
      <c r="H5134" s="470">
        <v>5127</v>
      </c>
      <c r="I5134" s="455">
        <f t="shared" ca="1" si="185"/>
        <v>-774304613511397.38</v>
      </c>
      <c r="J5134" s="455">
        <f t="array" ref="J5134">IFERROR(INDEX('Retirement Calculator'!K:K,MATCH('Lorri 401b'!N5134,'Retirement Calculator'!A:A,0),0),0)</f>
        <v>0</v>
      </c>
      <c r="K5134" s="455">
        <f t="shared" ca="1" si="183"/>
        <v>-3226269222964.1558</v>
      </c>
      <c r="L5134" s="455">
        <f t="shared" ca="1" si="184"/>
        <v>-777530882734361.5</v>
      </c>
      <c r="M5134" s="471">
        <f t="shared" si="186"/>
        <v>0.05</v>
      </c>
      <c r="N5134" s="475">
        <f t="shared" si="187"/>
        <v>207307</v>
      </c>
    </row>
    <row r="5135" spans="7:14" ht="11.25" customHeight="1" x14ac:dyDescent="0.3">
      <c r="G5135" s="470"/>
      <c r="H5135" s="470">
        <v>5128</v>
      </c>
      <c r="I5135" s="455">
        <f t="shared" ca="1" si="185"/>
        <v>-777530882734361.5</v>
      </c>
      <c r="J5135" s="455">
        <f t="array" ref="J5135">IFERROR(INDEX('Retirement Calculator'!K:K,MATCH('Lorri 401b'!N5135,'Retirement Calculator'!A:A,0),0),0)</f>
        <v>0</v>
      </c>
      <c r="K5135" s="455">
        <f t="shared" ca="1" si="183"/>
        <v>-3239712011393.1729</v>
      </c>
      <c r="L5135" s="455">
        <f t="shared" ca="1" si="184"/>
        <v>-780770594745754.63</v>
      </c>
      <c r="M5135" s="471">
        <f t="shared" si="186"/>
        <v>0.05</v>
      </c>
      <c r="N5135" s="475">
        <f t="shared" si="187"/>
        <v>207338</v>
      </c>
    </row>
    <row r="5136" spans="7:14" ht="11.25" customHeight="1" x14ac:dyDescent="0.3">
      <c r="G5136" s="470"/>
      <c r="H5136" s="470">
        <v>5129</v>
      </c>
      <c r="I5136" s="455">
        <f t="shared" ca="1" si="185"/>
        <v>-780770594745754.63</v>
      </c>
      <c r="J5136" s="455">
        <f t="array" ref="J5136">IFERROR(INDEX('Retirement Calculator'!K:K,MATCH('Lorri 401b'!N5136,'Retirement Calculator'!A:A,0),0),0)</f>
        <v>0</v>
      </c>
      <c r="K5136" s="455">
        <f t="shared" ca="1" si="183"/>
        <v>-3253210811440.644</v>
      </c>
      <c r="L5136" s="455">
        <f t="shared" ca="1" si="184"/>
        <v>-784023805557195.25</v>
      </c>
      <c r="M5136" s="471">
        <f t="shared" si="186"/>
        <v>0.05</v>
      </c>
      <c r="N5136" s="475">
        <f t="shared" si="187"/>
        <v>207368</v>
      </c>
    </row>
    <row r="5137" spans="7:14" ht="11.25" customHeight="1" x14ac:dyDescent="0.3">
      <c r="G5137" s="470"/>
      <c r="H5137" s="470">
        <v>5130</v>
      </c>
      <c r="I5137" s="455">
        <f t="shared" ca="1" si="185"/>
        <v>-784023805557195.25</v>
      </c>
      <c r="J5137" s="455">
        <f t="array" ref="J5137">IFERROR(INDEX('Retirement Calculator'!K:K,MATCH('Lorri 401b'!N5137,'Retirement Calculator'!A:A,0),0),0)</f>
        <v>0</v>
      </c>
      <c r="K5137" s="455">
        <f t="shared" ca="1" si="183"/>
        <v>-3266765856488.3135</v>
      </c>
      <c r="L5137" s="455">
        <f t="shared" ca="1" si="184"/>
        <v>-787290571413683.63</v>
      </c>
      <c r="M5137" s="471">
        <f t="shared" si="186"/>
        <v>0.05</v>
      </c>
      <c r="N5137" s="475">
        <f t="shared" si="187"/>
        <v>207399</v>
      </c>
    </row>
    <row r="5138" spans="7:14" ht="11.25" customHeight="1" x14ac:dyDescent="0.3">
      <c r="G5138" s="470"/>
      <c r="H5138" s="470">
        <v>5131</v>
      </c>
      <c r="I5138" s="455">
        <f t="shared" ca="1" si="185"/>
        <v>-787290571413683.63</v>
      </c>
      <c r="J5138" s="455">
        <f t="array" ref="J5138">IFERROR(INDEX('Retirement Calculator'!K:K,MATCH('Lorri 401b'!N5138,'Retirement Calculator'!A:A,0),0),0)</f>
        <v>0</v>
      </c>
      <c r="K5138" s="455">
        <f t="shared" ca="1" si="183"/>
        <v>-3280377380890.3486</v>
      </c>
      <c r="L5138" s="455">
        <f t="shared" ca="1" si="184"/>
        <v>-790570948794574</v>
      </c>
      <c r="M5138" s="471">
        <f t="shared" si="186"/>
        <v>0.05</v>
      </c>
      <c r="N5138" s="475">
        <f t="shared" si="187"/>
        <v>207429</v>
      </c>
    </row>
    <row r="5139" spans="7:14" ht="11.25" customHeight="1" x14ac:dyDescent="0.3">
      <c r="G5139" s="470"/>
      <c r="H5139" s="470">
        <v>5132</v>
      </c>
      <c r="I5139" s="455">
        <f t="shared" ca="1" si="185"/>
        <v>-790570948794574</v>
      </c>
      <c r="J5139" s="455">
        <f t="array" ref="J5139">IFERROR(INDEX('Retirement Calculator'!K:K,MATCH('Lorri 401b'!N5139,'Retirement Calculator'!A:A,0),0),0)</f>
        <v>0</v>
      </c>
      <c r="K5139" s="455">
        <f t="shared" ca="1" si="183"/>
        <v>-3294045619977.3916</v>
      </c>
      <c r="L5139" s="455">
        <f t="shared" ca="1" si="184"/>
        <v>-793864994414551.38</v>
      </c>
      <c r="M5139" s="471">
        <f t="shared" si="186"/>
        <v>0.05</v>
      </c>
      <c r="N5139" s="475">
        <f t="shared" si="187"/>
        <v>207460</v>
      </c>
    </row>
    <row r="5140" spans="7:14" ht="11.25" customHeight="1" x14ac:dyDescent="0.3">
      <c r="G5140" s="470"/>
      <c r="H5140" s="470">
        <v>5133</v>
      </c>
      <c r="I5140" s="455">
        <f t="shared" ca="1" si="185"/>
        <v>-793864994414551.38</v>
      </c>
      <c r="J5140" s="455">
        <f t="array" ref="J5140">IFERROR(INDEX('Retirement Calculator'!K:K,MATCH('Lorri 401b'!N5140,'Retirement Calculator'!A:A,0),0),0)</f>
        <v>0</v>
      </c>
      <c r="K5140" s="455">
        <f t="shared" ca="1" si="183"/>
        <v>-3307770810060.6309</v>
      </c>
      <c r="L5140" s="455">
        <f t="shared" ca="1" si="184"/>
        <v>-797172765224612</v>
      </c>
      <c r="M5140" s="471">
        <f t="shared" si="186"/>
        <v>0.05</v>
      </c>
      <c r="N5140" s="475">
        <f t="shared" si="187"/>
        <v>207491</v>
      </c>
    </row>
    <row r="5141" spans="7:14" ht="11.25" customHeight="1" x14ac:dyDescent="0.3">
      <c r="G5141" s="470"/>
      <c r="H5141" s="470">
        <v>5134</v>
      </c>
      <c r="I5141" s="455">
        <f t="shared" ca="1" si="185"/>
        <v>-797172765224612</v>
      </c>
      <c r="J5141" s="455">
        <f t="array" ref="J5141">IFERROR(INDEX('Retirement Calculator'!K:K,MATCH('Lorri 401b'!N5141,'Retirement Calculator'!A:A,0),0),0)</f>
        <v>0</v>
      </c>
      <c r="K5141" s="455">
        <f t="shared" ca="1" si="183"/>
        <v>-3321553188435.8833</v>
      </c>
      <c r="L5141" s="455">
        <f t="shared" ca="1" si="184"/>
        <v>-800494318413047.88</v>
      </c>
      <c r="M5141" s="471">
        <f t="shared" si="186"/>
        <v>0.05</v>
      </c>
      <c r="N5141" s="475">
        <f t="shared" si="187"/>
        <v>207520</v>
      </c>
    </row>
    <row r="5142" spans="7:14" ht="11.25" customHeight="1" x14ac:dyDescent="0.3">
      <c r="G5142" s="470"/>
      <c r="H5142" s="470">
        <v>5135</v>
      </c>
      <c r="I5142" s="455">
        <f t="shared" ca="1" si="185"/>
        <v>-800494318413047.88</v>
      </c>
      <c r="J5142" s="455">
        <f t="array" ref="J5142">IFERROR(INDEX('Retirement Calculator'!K:K,MATCH('Lorri 401b'!N5142,'Retirement Calculator'!A:A,0),0),0)</f>
        <v>0</v>
      </c>
      <c r="K5142" s="455">
        <f t="shared" ca="1" si="183"/>
        <v>-3335392993387.6992</v>
      </c>
      <c r="L5142" s="455">
        <f t="shared" ca="1" si="184"/>
        <v>-803829711406435.63</v>
      </c>
      <c r="M5142" s="471">
        <f t="shared" si="186"/>
        <v>0.05</v>
      </c>
      <c r="N5142" s="475">
        <f t="shared" si="187"/>
        <v>207551</v>
      </c>
    </row>
    <row r="5143" spans="7:14" ht="11.25" customHeight="1" x14ac:dyDescent="0.3">
      <c r="G5143" s="470"/>
      <c r="H5143" s="470">
        <v>5136</v>
      </c>
      <c r="I5143" s="455">
        <f t="shared" ca="1" si="185"/>
        <v>-803829711406435.63</v>
      </c>
      <c r="J5143" s="455">
        <f t="array" ref="J5143">IFERROR(INDEX('Retirement Calculator'!K:K,MATCH('Lorri 401b'!N5143,'Retirement Calculator'!A:A,0),0),0)</f>
        <v>0</v>
      </c>
      <c r="K5143" s="455">
        <f t="shared" ca="1" si="183"/>
        <v>-3349290464193.4819</v>
      </c>
      <c r="L5143" s="455">
        <f t="shared" ca="1" si="184"/>
        <v>-807179001870629.13</v>
      </c>
      <c r="M5143" s="471">
        <f t="shared" si="186"/>
        <v>0.05</v>
      </c>
      <c r="N5143" s="475">
        <f t="shared" si="187"/>
        <v>207581</v>
      </c>
    </row>
    <row r="5144" spans="7:14" ht="11.25" customHeight="1" x14ac:dyDescent="0.3">
      <c r="G5144" s="470"/>
      <c r="H5144" s="470">
        <v>5137</v>
      </c>
      <c r="I5144" s="455">
        <f t="shared" ca="1" si="185"/>
        <v>-807179001870629.13</v>
      </c>
      <c r="J5144" s="455">
        <f t="array" ref="J5144">IFERROR(INDEX('Retirement Calculator'!K:K,MATCH('Lorri 401b'!N5144,'Retirement Calculator'!A:A,0),0),0)</f>
        <v>0</v>
      </c>
      <c r="K5144" s="455">
        <f t="shared" ca="1" si="183"/>
        <v>-3363245841127.6211</v>
      </c>
      <c r="L5144" s="455">
        <f t="shared" ca="1" si="184"/>
        <v>-810542247711756.75</v>
      </c>
      <c r="M5144" s="471">
        <f t="shared" si="186"/>
        <v>0.05</v>
      </c>
      <c r="N5144" s="475">
        <f t="shared" si="187"/>
        <v>207612</v>
      </c>
    </row>
    <row r="5145" spans="7:14" ht="11.25" customHeight="1" x14ac:dyDescent="0.3">
      <c r="G5145" s="470"/>
      <c r="H5145" s="470">
        <v>5138</v>
      </c>
      <c r="I5145" s="455">
        <f t="shared" ca="1" si="185"/>
        <v>-810542247711756.75</v>
      </c>
      <c r="J5145" s="455">
        <f t="array" ref="J5145">IFERROR(INDEX('Retirement Calculator'!K:K,MATCH('Lorri 401b'!N5145,'Retirement Calculator'!A:A,0),0),0)</f>
        <v>0</v>
      </c>
      <c r="K5145" s="455">
        <f t="shared" ca="1" si="183"/>
        <v>-3377259365465.6533</v>
      </c>
      <c r="L5145" s="455">
        <f t="shared" ca="1" si="184"/>
        <v>-813919507077222.38</v>
      </c>
      <c r="M5145" s="471">
        <f t="shared" si="186"/>
        <v>0.05</v>
      </c>
      <c r="N5145" s="475">
        <f t="shared" si="187"/>
        <v>207642</v>
      </c>
    </row>
    <row r="5146" spans="7:14" ht="11.25" customHeight="1" x14ac:dyDescent="0.3">
      <c r="G5146" s="470"/>
      <c r="H5146" s="470">
        <v>5139</v>
      </c>
      <c r="I5146" s="455">
        <f t="shared" ca="1" si="185"/>
        <v>-813919507077222.38</v>
      </c>
      <c r="J5146" s="455">
        <f t="array" ref="J5146">IFERROR(INDEX('Retirement Calculator'!K:K,MATCH('Lorri 401b'!N5146,'Retirement Calculator'!A:A,0),0),0)</f>
        <v>0</v>
      </c>
      <c r="K5146" s="455">
        <f t="shared" ca="1" si="183"/>
        <v>-3391331279488.4268</v>
      </c>
      <c r="L5146" s="455">
        <f t="shared" ca="1" si="184"/>
        <v>-817310838356710.75</v>
      </c>
      <c r="M5146" s="471">
        <f t="shared" si="186"/>
        <v>0.05</v>
      </c>
      <c r="N5146" s="475">
        <f t="shared" si="187"/>
        <v>207673</v>
      </c>
    </row>
    <row r="5147" spans="7:14" ht="11.25" customHeight="1" x14ac:dyDescent="0.3">
      <c r="G5147" s="470"/>
      <c r="H5147" s="470">
        <v>5140</v>
      </c>
      <c r="I5147" s="455">
        <f t="shared" ca="1" si="185"/>
        <v>-817310838356710.75</v>
      </c>
      <c r="J5147" s="455">
        <f t="array" ref="J5147">IFERROR(INDEX('Retirement Calculator'!K:K,MATCH('Lorri 401b'!N5147,'Retirement Calculator'!A:A,0),0),0)</f>
        <v>0</v>
      </c>
      <c r="K5147" s="455">
        <f t="shared" ca="1" si="183"/>
        <v>-3405461826486.2949</v>
      </c>
      <c r="L5147" s="455">
        <f t="shared" ca="1" si="184"/>
        <v>-820716300183197</v>
      </c>
      <c r="M5147" s="471">
        <f t="shared" si="186"/>
        <v>0.05</v>
      </c>
      <c r="N5147" s="475">
        <f t="shared" si="187"/>
        <v>207704</v>
      </c>
    </row>
    <row r="5148" spans="7:14" ht="11.25" customHeight="1" x14ac:dyDescent="0.3">
      <c r="G5148" s="470"/>
      <c r="H5148" s="470">
        <v>5141</v>
      </c>
      <c r="I5148" s="455">
        <f t="shared" ca="1" si="185"/>
        <v>-820716300183197</v>
      </c>
      <c r="J5148" s="455">
        <f t="array" ref="J5148">IFERROR(INDEX('Retirement Calculator'!K:K,MATCH('Lorri 401b'!N5148,'Retirement Calculator'!A:A,0),0),0)</f>
        <v>0</v>
      </c>
      <c r="K5148" s="455">
        <f t="shared" ca="1" si="183"/>
        <v>-3419651250763.3208</v>
      </c>
      <c r="L5148" s="455">
        <f t="shared" ca="1" si="184"/>
        <v>-824135951433960.38</v>
      </c>
      <c r="M5148" s="471">
        <f t="shared" si="186"/>
        <v>0.05</v>
      </c>
      <c r="N5148" s="475">
        <f t="shared" si="187"/>
        <v>207734</v>
      </c>
    </row>
    <row r="5149" spans="7:14" ht="11.25" customHeight="1" x14ac:dyDescent="0.3">
      <c r="G5149" s="470"/>
      <c r="H5149" s="470">
        <v>5142</v>
      </c>
      <c r="I5149" s="455">
        <f t="shared" ca="1" si="185"/>
        <v>-824135951433960.38</v>
      </c>
      <c r="J5149" s="455">
        <f t="array" ref="J5149">IFERROR(INDEX('Retirement Calculator'!K:K,MATCH('Lorri 401b'!N5149,'Retirement Calculator'!A:A,0),0),0)</f>
        <v>0</v>
      </c>
      <c r="K5149" s="455">
        <f t="shared" ca="1" si="183"/>
        <v>-3433899797641.5015</v>
      </c>
      <c r="L5149" s="455">
        <f t="shared" ca="1" si="184"/>
        <v>-827569851231601.88</v>
      </c>
      <c r="M5149" s="471">
        <f t="shared" si="186"/>
        <v>0.05</v>
      </c>
      <c r="N5149" s="475">
        <f t="shared" si="187"/>
        <v>207765</v>
      </c>
    </row>
    <row r="5150" spans="7:14" ht="11.25" customHeight="1" x14ac:dyDescent="0.3">
      <c r="G5150" s="470"/>
      <c r="H5150" s="470">
        <v>5143</v>
      </c>
      <c r="I5150" s="455">
        <f t="shared" ca="1" si="185"/>
        <v>-827569851231601.88</v>
      </c>
      <c r="J5150" s="455">
        <f t="array" ref="J5150">IFERROR(INDEX('Retirement Calculator'!K:K,MATCH('Lorri 401b'!N5150,'Retirement Calculator'!A:A,0),0),0)</f>
        <v>0</v>
      </c>
      <c r="K5150" s="455">
        <f t="shared" ca="1" si="183"/>
        <v>-3448207713465.0078</v>
      </c>
      <c r="L5150" s="455">
        <f t="shared" ca="1" si="184"/>
        <v>-831018058945066.88</v>
      </c>
      <c r="M5150" s="471">
        <f t="shared" si="186"/>
        <v>0.05</v>
      </c>
      <c r="N5150" s="475">
        <f t="shared" si="187"/>
        <v>207795</v>
      </c>
    </row>
    <row r="5151" spans="7:14" ht="11.25" customHeight="1" x14ac:dyDescent="0.3">
      <c r="G5151" s="470"/>
      <c r="H5151" s="470">
        <v>5144</v>
      </c>
      <c r="I5151" s="455">
        <f t="shared" ca="1" si="185"/>
        <v>-831018058945066.88</v>
      </c>
      <c r="J5151" s="455">
        <f t="array" ref="J5151">IFERROR(INDEX('Retirement Calculator'!K:K,MATCH('Lorri 401b'!N5151,'Retirement Calculator'!A:A,0),0),0)</f>
        <v>0</v>
      </c>
      <c r="K5151" s="455">
        <f t="shared" ca="1" si="183"/>
        <v>-3462575245604.4453</v>
      </c>
      <c r="L5151" s="455">
        <f t="shared" ca="1" si="184"/>
        <v>-834480634190671.38</v>
      </c>
      <c r="M5151" s="471">
        <f t="shared" si="186"/>
        <v>0.05</v>
      </c>
      <c r="N5151" s="475">
        <f t="shared" si="187"/>
        <v>207826</v>
      </c>
    </row>
    <row r="5152" spans="7:14" ht="11.25" customHeight="1" x14ac:dyDescent="0.3">
      <c r="G5152" s="470"/>
      <c r="H5152" s="470">
        <v>5145</v>
      </c>
      <c r="I5152" s="455">
        <f t="shared" ca="1" si="185"/>
        <v>-834480634190671.38</v>
      </c>
      <c r="J5152" s="455">
        <f t="array" ref="J5152">IFERROR(INDEX('Retirement Calculator'!K:K,MATCH('Lorri 401b'!N5152,'Retirement Calculator'!A:A,0),0),0)</f>
        <v>0</v>
      </c>
      <c r="K5152" s="455">
        <f t="shared" ca="1" si="183"/>
        <v>-3477002642461.1309</v>
      </c>
      <c r="L5152" s="455">
        <f t="shared" ca="1" si="184"/>
        <v>-837957636833132.5</v>
      </c>
      <c r="M5152" s="471">
        <f t="shared" si="186"/>
        <v>0.05</v>
      </c>
      <c r="N5152" s="475">
        <f t="shared" si="187"/>
        <v>207857</v>
      </c>
    </row>
    <row r="5153" spans="7:14" ht="11.25" customHeight="1" x14ac:dyDescent="0.3">
      <c r="G5153" s="470"/>
      <c r="H5153" s="470">
        <v>5146</v>
      </c>
      <c r="I5153" s="455">
        <f t="shared" ca="1" si="185"/>
        <v>-837957636833132.5</v>
      </c>
      <c r="J5153" s="455">
        <f t="array" ref="J5153">IFERROR(INDEX('Retirement Calculator'!K:K,MATCH('Lorri 401b'!N5153,'Retirement Calculator'!A:A,0),0),0)</f>
        <v>0</v>
      </c>
      <c r="K5153" s="455">
        <f t="shared" ca="1" si="183"/>
        <v>-3491490153471.3853</v>
      </c>
      <c r="L5153" s="455">
        <f t="shared" ca="1" si="184"/>
        <v>-841449126986603.88</v>
      </c>
      <c r="M5153" s="471">
        <f t="shared" si="186"/>
        <v>0.05</v>
      </c>
      <c r="N5153" s="475">
        <f t="shared" si="187"/>
        <v>207885</v>
      </c>
    </row>
    <row r="5154" spans="7:14" ht="11.25" customHeight="1" x14ac:dyDescent="0.3">
      <c r="G5154" s="470"/>
      <c r="H5154" s="470">
        <v>5147</v>
      </c>
      <c r="I5154" s="455">
        <f t="shared" ca="1" si="185"/>
        <v>-841449126986603.88</v>
      </c>
      <c r="J5154" s="455">
        <f t="array" ref="J5154">IFERROR(INDEX('Retirement Calculator'!K:K,MATCH('Lorri 401b'!N5154,'Retirement Calculator'!A:A,0),0),0)</f>
        <v>0</v>
      </c>
      <c r="K5154" s="455">
        <f t="shared" ca="1" si="183"/>
        <v>-3506038029110.8496</v>
      </c>
      <c r="L5154" s="455">
        <f t="shared" ca="1" si="184"/>
        <v>-844955165015714.75</v>
      </c>
      <c r="M5154" s="471">
        <f t="shared" si="186"/>
        <v>0.05</v>
      </c>
      <c r="N5154" s="475">
        <f t="shared" si="187"/>
        <v>207916</v>
      </c>
    </row>
    <row r="5155" spans="7:14" ht="11.25" customHeight="1" x14ac:dyDescent="0.3">
      <c r="G5155" s="470"/>
      <c r="H5155" s="470">
        <v>5148</v>
      </c>
      <c r="I5155" s="455">
        <f t="shared" ca="1" si="185"/>
        <v>-844955165015714.75</v>
      </c>
      <c r="J5155" s="455">
        <f t="array" ref="J5155">IFERROR(INDEX('Retirement Calculator'!K:K,MATCH('Lorri 401b'!N5155,'Retirement Calculator'!A:A,0),0),0)</f>
        <v>0</v>
      </c>
      <c r="K5155" s="455">
        <f t="shared" ca="1" si="183"/>
        <v>-3520646520898.8115</v>
      </c>
      <c r="L5155" s="455">
        <f t="shared" ca="1" si="184"/>
        <v>-848475811536613.5</v>
      </c>
      <c r="M5155" s="471">
        <f t="shared" si="186"/>
        <v>0.05</v>
      </c>
      <c r="N5155" s="475">
        <f t="shared" si="187"/>
        <v>207946</v>
      </c>
    </row>
    <row r="5156" spans="7:14" ht="11.25" customHeight="1" x14ac:dyDescent="0.3">
      <c r="G5156" s="470"/>
      <c r="H5156" s="470">
        <v>5149</v>
      </c>
      <c r="I5156" s="455">
        <f t="shared" ca="1" si="185"/>
        <v>-848475811536613.5</v>
      </c>
      <c r="J5156" s="455">
        <f t="array" ref="J5156">IFERROR(INDEX('Retirement Calculator'!K:K,MATCH('Lorri 401b'!N5156,'Retirement Calculator'!A:A,0),0),0)</f>
        <v>0</v>
      </c>
      <c r="K5156" s="455">
        <f t="shared" ca="1" si="183"/>
        <v>-3535315881402.5562</v>
      </c>
      <c r="L5156" s="455">
        <f t="shared" ca="1" si="184"/>
        <v>-852011127418016</v>
      </c>
      <c r="M5156" s="471">
        <f t="shared" si="186"/>
        <v>0.05</v>
      </c>
      <c r="N5156" s="475">
        <f t="shared" si="187"/>
        <v>207977</v>
      </c>
    </row>
    <row r="5157" spans="7:14" ht="11.25" customHeight="1" x14ac:dyDescent="0.3">
      <c r="G5157" s="470"/>
      <c r="H5157" s="470">
        <v>5150</v>
      </c>
      <c r="I5157" s="455">
        <f t="shared" ca="1" si="185"/>
        <v>-852011127418016</v>
      </c>
      <c r="J5157" s="455">
        <f t="array" ref="J5157">IFERROR(INDEX('Retirement Calculator'!K:K,MATCH('Lorri 401b'!N5157,'Retirement Calculator'!A:A,0),0),0)</f>
        <v>0</v>
      </c>
      <c r="K5157" s="455">
        <f t="shared" ca="1" si="183"/>
        <v>-3550046364241.7334</v>
      </c>
      <c r="L5157" s="455">
        <f t="shared" ca="1" si="184"/>
        <v>-855561173782257.75</v>
      </c>
      <c r="M5157" s="471">
        <f t="shared" si="186"/>
        <v>0.05</v>
      </c>
      <c r="N5157" s="475">
        <f t="shared" si="187"/>
        <v>208007</v>
      </c>
    </row>
    <row r="5158" spans="7:14" ht="11.25" customHeight="1" x14ac:dyDescent="0.3">
      <c r="G5158" s="470"/>
      <c r="H5158" s="470">
        <v>5151</v>
      </c>
      <c r="I5158" s="455">
        <f t="shared" ca="1" si="185"/>
        <v>-855561173782257.75</v>
      </c>
      <c r="J5158" s="455">
        <f t="array" ref="J5158">IFERROR(INDEX('Retirement Calculator'!K:K,MATCH('Lorri 401b'!N5158,'Retirement Calculator'!A:A,0),0),0)</f>
        <v>0</v>
      </c>
      <c r="K5158" s="455">
        <f t="shared" ca="1" si="183"/>
        <v>-3564838224092.7407</v>
      </c>
      <c r="L5158" s="455">
        <f t="shared" ca="1" si="184"/>
        <v>-859126012006350.5</v>
      </c>
      <c r="M5158" s="471">
        <f t="shared" si="186"/>
        <v>0.05</v>
      </c>
      <c r="N5158" s="475">
        <f t="shared" si="187"/>
        <v>208038</v>
      </c>
    </row>
    <row r="5159" spans="7:14" ht="11.25" customHeight="1" x14ac:dyDescent="0.3">
      <c r="G5159" s="470"/>
      <c r="H5159" s="470">
        <v>5152</v>
      </c>
      <c r="I5159" s="455">
        <f t="shared" ca="1" si="185"/>
        <v>-859126012006350.5</v>
      </c>
      <c r="J5159" s="455">
        <f t="array" ref="J5159">IFERROR(INDEX('Retirement Calculator'!K:K,MATCH('Lorri 401b'!N5159,'Retirement Calculator'!A:A,0),0),0)</f>
        <v>0</v>
      </c>
      <c r="K5159" s="455">
        <f t="shared" ca="1" si="183"/>
        <v>-3579691716693.127</v>
      </c>
      <c r="L5159" s="455">
        <f t="shared" ca="1" si="184"/>
        <v>-862705703723043.63</v>
      </c>
      <c r="M5159" s="471">
        <f t="shared" si="186"/>
        <v>0.05</v>
      </c>
      <c r="N5159" s="475">
        <f t="shared" si="187"/>
        <v>208069</v>
      </c>
    </row>
    <row r="5160" spans="7:14" ht="11.25" customHeight="1" x14ac:dyDescent="0.3">
      <c r="G5160" s="470"/>
      <c r="H5160" s="470">
        <v>5153</v>
      </c>
      <c r="I5160" s="455">
        <f t="shared" ca="1" si="185"/>
        <v>-862705703723043.63</v>
      </c>
      <c r="J5160" s="455">
        <f t="array" ref="J5160">IFERROR(INDEX('Retirement Calculator'!K:K,MATCH('Lorri 401b'!N5160,'Retirement Calculator'!A:A,0),0),0)</f>
        <v>0</v>
      </c>
      <c r="K5160" s="455">
        <f t="shared" ca="1" si="183"/>
        <v>-3594607098846.0151</v>
      </c>
      <c r="L5160" s="455">
        <f t="shared" ca="1" si="184"/>
        <v>-866300310821889.63</v>
      </c>
      <c r="M5160" s="471">
        <f t="shared" si="186"/>
        <v>0.05</v>
      </c>
      <c r="N5160" s="475">
        <f t="shared" si="187"/>
        <v>208099</v>
      </c>
    </row>
    <row r="5161" spans="7:14" ht="11.25" customHeight="1" x14ac:dyDescent="0.3">
      <c r="G5161" s="470"/>
      <c r="H5161" s="470">
        <v>5154</v>
      </c>
      <c r="I5161" s="455">
        <f t="shared" ca="1" si="185"/>
        <v>-866300310821889.63</v>
      </c>
      <c r="J5161" s="455">
        <f t="array" ref="J5161">IFERROR(INDEX('Retirement Calculator'!K:K,MATCH('Lorri 401b'!N5161,'Retirement Calculator'!A:A,0),0),0)</f>
        <v>0</v>
      </c>
      <c r="K5161" s="455">
        <f t="shared" ca="1" si="183"/>
        <v>-3609584628424.54</v>
      </c>
      <c r="L5161" s="455">
        <f t="shared" ca="1" si="184"/>
        <v>-869909895450314.13</v>
      </c>
      <c r="M5161" s="471">
        <f t="shared" si="186"/>
        <v>0.05</v>
      </c>
      <c r="N5161" s="475">
        <f t="shared" si="187"/>
        <v>208130</v>
      </c>
    </row>
    <row r="5162" spans="7:14" ht="11.25" customHeight="1" x14ac:dyDescent="0.3">
      <c r="G5162" s="470"/>
      <c r="H5162" s="470">
        <v>5155</v>
      </c>
      <c r="I5162" s="455">
        <f t="shared" ca="1" si="185"/>
        <v>-869909895450314.13</v>
      </c>
      <c r="J5162" s="455">
        <f t="array" ref="J5162">IFERROR(INDEX('Retirement Calculator'!K:K,MATCH('Lorri 401b'!N5162,'Retirement Calculator'!A:A,0),0),0)</f>
        <v>0</v>
      </c>
      <c r="K5162" s="455">
        <f t="shared" ca="1" si="183"/>
        <v>-3624624564376.3086</v>
      </c>
      <c r="L5162" s="455">
        <f t="shared" ca="1" si="184"/>
        <v>-873534520014690.38</v>
      </c>
      <c r="M5162" s="471">
        <f t="shared" si="186"/>
        <v>0.05</v>
      </c>
      <c r="N5162" s="475">
        <f t="shared" si="187"/>
        <v>208160</v>
      </c>
    </row>
    <row r="5163" spans="7:14" ht="11.25" customHeight="1" x14ac:dyDescent="0.3">
      <c r="G5163" s="470"/>
      <c r="H5163" s="470">
        <v>5156</v>
      </c>
      <c r="I5163" s="455">
        <f t="shared" ca="1" si="185"/>
        <v>-873534520014690.38</v>
      </c>
      <c r="J5163" s="455">
        <f t="array" ref="J5163">IFERROR(INDEX('Retirement Calculator'!K:K,MATCH('Lorri 401b'!N5163,'Retirement Calculator'!A:A,0),0),0)</f>
        <v>0</v>
      </c>
      <c r="K5163" s="455">
        <f t="shared" ca="1" si="183"/>
        <v>-3639727166727.8765</v>
      </c>
      <c r="L5163" s="455">
        <f t="shared" ca="1" si="184"/>
        <v>-877174247181418.25</v>
      </c>
      <c r="M5163" s="471">
        <f t="shared" si="186"/>
        <v>0.05</v>
      </c>
      <c r="N5163" s="475">
        <f t="shared" si="187"/>
        <v>208191</v>
      </c>
    </row>
    <row r="5164" spans="7:14" ht="11.25" customHeight="1" x14ac:dyDescent="0.3">
      <c r="G5164" s="470"/>
      <c r="H5164" s="470">
        <v>5157</v>
      </c>
      <c r="I5164" s="455">
        <f t="shared" ca="1" si="185"/>
        <v>-877174247181418.25</v>
      </c>
      <c r="J5164" s="455">
        <f t="array" ref="J5164">IFERROR(INDEX('Retirement Calculator'!K:K,MATCH('Lorri 401b'!N5164,'Retirement Calculator'!A:A,0),0),0)</f>
        <v>0</v>
      </c>
      <c r="K5164" s="455">
        <f t="shared" ca="1" si="183"/>
        <v>-3654892696589.2432</v>
      </c>
      <c r="L5164" s="455">
        <f t="shared" ca="1" si="184"/>
        <v>-880829139878007.5</v>
      </c>
      <c r="M5164" s="471">
        <f t="shared" si="186"/>
        <v>0.05</v>
      </c>
      <c r="N5164" s="475">
        <f t="shared" si="187"/>
        <v>208222</v>
      </c>
    </row>
    <row r="5165" spans="7:14" ht="11.25" customHeight="1" x14ac:dyDescent="0.3">
      <c r="G5165" s="470"/>
      <c r="H5165" s="470">
        <v>5158</v>
      </c>
      <c r="I5165" s="455">
        <f t="shared" ca="1" si="185"/>
        <v>-880829139878007.5</v>
      </c>
      <c r="J5165" s="455">
        <f t="array" ref="J5165">IFERROR(INDEX('Retirement Calculator'!K:K,MATCH('Lorri 401b'!N5165,'Retirement Calculator'!A:A,0),0),0)</f>
        <v>0</v>
      </c>
      <c r="K5165" s="455">
        <f t="shared" ca="1" si="183"/>
        <v>-3670121416158.3652</v>
      </c>
      <c r="L5165" s="455">
        <f t="shared" ca="1" si="184"/>
        <v>-884499261294165.88</v>
      </c>
      <c r="M5165" s="471">
        <f t="shared" si="186"/>
        <v>0.05</v>
      </c>
      <c r="N5165" s="475">
        <f t="shared" si="187"/>
        <v>208250</v>
      </c>
    </row>
    <row r="5166" spans="7:14" ht="11.25" customHeight="1" x14ac:dyDescent="0.3">
      <c r="G5166" s="470"/>
      <c r="H5166" s="470">
        <v>5159</v>
      </c>
      <c r="I5166" s="455">
        <f t="shared" ca="1" si="185"/>
        <v>-884499261294165.88</v>
      </c>
      <c r="J5166" s="455">
        <f t="array" ref="J5166">IFERROR(INDEX('Retirement Calculator'!K:K,MATCH('Lorri 401b'!N5166,'Retirement Calculator'!A:A,0),0),0)</f>
        <v>0</v>
      </c>
      <c r="K5166" s="455">
        <f t="shared" ca="1" si="183"/>
        <v>-3685413588725.6909</v>
      </c>
      <c r="L5166" s="455">
        <f t="shared" ca="1" si="184"/>
        <v>-888184674882891.63</v>
      </c>
      <c r="M5166" s="471">
        <f t="shared" si="186"/>
        <v>0.05</v>
      </c>
      <c r="N5166" s="475">
        <f t="shared" si="187"/>
        <v>208281</v>
      </c>
    </row>
    <row r="5167" spans="7:14" ht="11.25" customHeight="1" x14ac:dyDescent="0.3">
      <c r="G5167" s="470"/>
      <c r="H5167" s="470">
        <v>5160</v>
      </c>
      <c r="I5167" s="455">
        <f t="shared" ca="1" si="185"/>
        <v>-888184674882891.63</v>
      </c>
      <c r="J5167" s="455">
        <f t="array" ref="J5167">IFERROR(INDEX('Retirement Calculator'!K:K,MATCH('Lorri 401b'!N5167,'Retirement Calculator'!A:A,0),0),0)</f>
        <v>0</v>
      </c>
      <c r="K5167" s="455">
        <f t="shared" ca="1" si="183"/>
        <v>-3700769478678.7153</v>
      </c>
      <c r="L5167" s="455">
        <f t="shared" ca="1" si="184"/>
        <v>-891885444361570.38</v>
      </c>
      <c r="M5167" s="471">
        <f t="shared" si="186"/>
        <v>0.05</v>
      </c>
      <c r="N5167" s="475">
        <f t="shared" si="187"/>
        <v>208311</v>
      </c>
    </row>
    <row r="5168" spans="7:14" ht="11.25" customHeight="1" x14ac:dyDescent="0.3">
      <c r="G5168" s="470"/>
      <c r="H5168" s="470">
        <v>5161</v>
      </c>
      <c r="I5168" s="455">
        <f t="shared" ca="1" si="185"/>
        <v>-891885444361570.38</v>
      </c>
      <c r="J5168" s="455">
        <f t="array" ref="J5168">IFERROR(INDEX('Retirement Calculator'!K:K,MATCH('Lorri 401b'!N5168,'Retirement Calculator'!A:A,0),0),0)</f>
        <v>0</v>
      </c>
      <c r="K5168" s="455">
        <f t="shared" ca="1" si="183"/>
        <v>-3716189351506.543</v>
      </c>
      <c r="L5168" s="455">
        <f t="shared" ca="1" si="184"/>
        <v>-895601633713076.88</v>
      </c>
      <c r="M5168" s="471">
        <f t="shared" si="186"/>
        <v>0.05</v>
      </c>
      <c r="N5168" s="475">
        <f t="shared" si="187"/>
        <v>208342</v>
      </c>
    </row>
    <row r="5169" spans="7:14" ht="11.25" customHeight="1" x14ac:dyDescent="0.3">
      <c r="G5169" s="470"/>
      <c r="H5169" s="470">
        <v>5162</v>
      </c>
      <c r="I5169" s="455">
        <f t="shared" ca="1" si="185"/>
        <v>-895601633713076.88</v>
      </c>
      <c r="J5169" s="455">
        <f t="array" ref="J5169">IFERROR(INDEX('Retirement Calculator'!K:K,MATCH('Lorri 401b'!N5169,'Retirement Calculator'!A:A,0),0),0)</f>
        <v>0</v>
      </c>
      <c r="K5169" s="455">
        <f t="shared" ca="1" si="183"/>
        <v>-3731673473804.4868</v>
      </c>
      <c r="L5169" s="455">
        <f t="shared" ca="1" si="184"/>
        <v>-899333307186881.38</v>
      </c>
      <c r="M5169" s="471">
        <f t="shared" si="186"/>
        <v>0.05</v>
      </c>
      <c r="N5169" s="475">
        <f t="shared" si="187"/>
        <v>208372</v>
      </c>
    </row>
    <row r="5170" spans="7:14" ht="11.25" customHeight="1" x14ac:dyDescent="0.3">
      <c r="G5170" s="470"/>
      <c r="H5170" s="470">
        <v>5163</v>
      </c>
      <c r="I5170" s="455">
        <f t="shared" ca="1" si="185"/>
        <v>-899333307186881.38</v>
      </c>
      <c r="J5170" s="455">
        <f t="array" ref="J5170">IFERROR(INDEX('Retirement Calculator'!K:K,MATCH('Lorri 401b'!N5170,'Retirement Calculator'!A:A,0),0),0)</f>
        <v>0</v>
      </c>
      <c r="K5170" s="455">
        <f t="shared" ca="1" si="183"/>
        <v>-3747222113278.6724</v>
      </c>
      <c r="L5170" s="455">
        <f t="shared" ca="1" si="184"/>
        <v>-903080529300160</v>
      </c>
      <c r="M5170" s="471">
        <f t="shared" si="186"/>
        <v>0.05</v>
      </c>
      <c r="N5170" s="475">
        <f t="shared" si="187"/>
        <v>208403</v>
      </c>
    </row>
    <row r="5171" spans="7:14" ht="11.25" customHeight="1" x14ac:dyDescent="0.3">
      <c r="G5171" s="470"/>
      <c r="H5171" s="470">
        <v>5164</v>
      </c>
      <c r="I5171" s="455">
        <f t="shared" ca="1" si="185"/>
        <v>-903080529300160</v>
      </c>
      <c r="J5171" s="455">
        <f t="array" ref="J5171">IFERROR(INDEX('Retirement Calculator'!K:K,MATCH('Lorri 401b'!N5171,'Retirement Calculator'!A:A,0),0),0)</f>
        <v>0</v>
      </c>
      <c r="K5171" s="455">
        <f t="shared" ca="1" si="183"/>
        <v>-3762835538750.6665</v>
      </c>
      <c r="L5171" s="455">
        <f t="shared" ca="1" si="184"/>
        <v>-906843364838910.63</v>
      </c>
      <c r="M5171" s="471">
        <f t="shared" si="186"/>
        <v>0.05</v>
      </c>
      <c r="N5171" s="475">
        <f t="shared" si="187"/>
        <v>208434</v>
      </c>
    </row>
    <row r="5172" spans="7:14" ht="11.25" customHeight="1" x14ac:dyDescent="0.3">
      <c r="G5172" s="470"/>
      <c r="H5172" s="470">
        <v>5165</v>
      </c>
      <c r="I5172" s="455">
        <f t="shared" ca="1" si="185"/>
        <v>-906843364838910.63</v>
      </c>
      <c r="J5172" s="455">
        <f t="array" ref="J5172">IFERROR(INDEX('Retirement Calculator'!K:K,MATCH('Lorri 401b'!N5172,'Retirement Calculator'!A:A,0),0),0)</f>
        <v>0</v>
      </c>
      <c r="K5172" s="455">
        <f t="shared" ca="1" si="183"/>
        <v>-3778514020162.1279</v>
      </c>
      <c r="L5172" s="455">
        <f t="shared" ca="1" si="184"/>
        <v>-910621878859072.75</v>
      </c>
      <c r="M5172" s="471">
        <f t="shared" si="186"/>
        <v>0.05</v>
      </c>
      <c r="N5172" s="475">
        <f t="shared" si="187"/>
        <v>208464</v>
      </c>
    </row>
    <row r="5173" spans="7:14" ht="11.25" customHeight="1" x14ac:dyDescent="0.3">
      <c r="G5173" s="470"/>
      <c r="H5173" s="470">
        <v>5166</v>
      </c>
      <c r="I5173" s="455">
        <f t="shared" ca="1" si="185"/>
        <v>-910621878859072.75</v>
      </c>
      <c r="J5173" s="455">
        <f t="array" ref="J5173">IFERROR(INDEX('Retirement Calculator'!K:K,MATCH('Lorri 401b'!N5173,'Retirement Calculator'!A:A,0),0),0)</f>
        <v>0</v>
      </c>
      <c r="K5173" s="455">
        <f t="shared" ca="1" si="183"/>
        <v>-3794257828579.4692</v>
      </c>
      <c r="L5173" s="455">
        <f t="shared" ca="1" si="184"/>
        <v>-914416136687652.25</v>
      </c>
      <c r="M5173" s="471">
        <f t="shared" si="186"/>
        <v>0.05</v>
      </c>
      <c r="N5173" s="475">
        <f t="shared" si="187"/>
        <v>208495</v>
      </c>
    </row>
    <row r="5174" spans="7:14" ht="11.25" customHeight="1" x14ac:dyDescent="0.3">
      <c r="G5174" s="470"/>
      <c r="H5174" s="470">
        <v>5167</v>
      </c>
      <c r="I5174" s="455">
        <f t="shared" ca="1" si="185"/>
        <v>-914416136687652.25</v>
      </c>
      <c r="J5174" s="455">
        <f t="array" ref="J5174">IFERROR(INDEX('Retirement Calculator'!K:K,MATCH('Lorri 401b'!N5174,'Retirement Calculator'!A:A,0),0),0)</f>
        <v>0</v>
      </c>
      <c r="K5174" s="455">
        <f t="shared" ca="1" si="183"/>
        <v>-3810067236198.5513</v>
      </c>
      <c r="L5174" s="455">
        <f t="shared" ca="1" si="184"/>
        <v>-918226203923850.75</v>
      </c>
      <c r="M5174" s="471">
        <f t="shared" si="186"/>
        <v>0.05</v>
      </c>
      <c r="N5174" s="475">
        <f t="shared" si="187"/>
        <v>208525</v>
      </c>
    </row>
    <row r="5175" spans="7:14" ht="11.25" customHeight="1" x14ac:dyDescent="0.3">
      <c r="G5175" s="470"/>
      <c r="H5175" s="470">
        <v>5168</v>
      </c>
      <c r="I5175" s="455">
        <f t="shared" ca="1" si="185"/>
        <v>-918226203923850.75</v>
      </c>
      <c r="J5175" s="455">
        <f t="array" ref="J5175">IFERROR(INDEX('Retirement Calculator'!K:K,MATCH('Lorri 401b'!N5175,'Retirement Calculator'!A:A,0),0),0)</f>
        <v>0</v>
      </c>
      <c r="K5175" s="455">
        <f t="shared" ca="1" si="183"/>
        <v>-3825942516349.3774</v>
      </c>
      <c r="L5175" s="455">
        <f t="shared" ca="1" si="184"/>
        <v>-922052146440200.13</v>
      </c>
      <c r="M5175" s="471">
        <f t="shared" si="186"/>
        <v>0.05</v>
      </c>
      <c r="N5175" s="475">
        <f t="shared" si="187"/>
        <v>208556</v>
      </c>
    </row>
    <row r="5176" spans="7:14" ht="11.25" customHeight="1" x14ac:dyDescent="0.3">
      <c r="G5176" s="470"/>
      <c r="H5176" s="470">
        <v>5169</v>
      </c>
      <c r="I5176" s="455">
        <f t="shared" ca="1" si="185"/>
        <v>-922052146440200.13</v>
      </c>
      <c r="J5176" s="455">
        <f t="array" ref="J5176">IFERROR(INDEX('Retirement Calculator'!K:K,MATCH('Lorri 401b'!N5176,'Retirement Calculator'!A:A,0),0),0)</f>
        <v>0</v>
      </c>
      <c r="K5176" s="455">
        <f t="shared" ca="1" si="183"/>
        <v>-3841883943500.8345</v>
      </c>
      <c r="L5176" s="455">
        <f t="shared" ca="1" si="184"/>
        <v>-925894030383701</v>
      </c>
      <c r="M5176" s="471">
        <f t="shared" si="186"/>
        <v>0.05</v>
      </c>
      <c r="N5176" s="475">
        <f t="shared" si="187"/>
        <v>208587</v>
      </c>
    </row>
    <row r="5177" spans="7:14" ht="11.25" customHeight="1" x14ac:dyDescent="0.3">
      <c r="G5177" s="470"/>
      <c r="H5177" s="470">
        <v>5170</v>
      </c>
      <c r="I5177" s="455">
        <f t="shared" ca="1" si="185"/>
        <v>-925894030383701</v>
      </c>
      <c r="J5177" s="455">
        <f t="array" ref="J5177">IFERROR(INDEX('Retirement Calculator'!K:K,MATCH('Lorri 401b'!N5177,'Retirement Calculator'!A:A,0),0),0)</f>
        <v>0</v>
      </c>
      <c r="K5177" s="455">
        <f t="shared" ca="1" si="183"/>
        <v>-3857891793265.4209</v>
      </c>
      <c r="L5177" s="455">
        <f t="shared" ca="1" si="184"/>
        <v>-929751922176966.38</v>
      </c>
      <c r="M5177" s="471">
        <f t="shared" si="186"/>
        <v>0.05</v>
      </c>
      <c r="N5177" s="475">
        <f t="shared" si="187"/>
        <v>208615</v>
      </c>
    </row>
    <row r="5178" spans="7:14" ht="11.25" customHeight="1" x14ac:dyDescent="0.3">
      <c r="G5178" s="470"/>
      <c r="H5178" s="470">
        <v>5171</v>
      </c>
      <c r="I5178" s="455">
        <f t="shared" ca="1" si="185"/>
        <v>-929751922176966.38</v>
      </c>
      <c r="J5178" s="455">
        <f t="array" ref="J5178">IFERROR(INDEX('Retirement Calculator'!K:K,MATCH('Lorri 401b'!N5178,'Retirement Calculator'!A:A,0),0),0)</f>
        <v>0</v>
      </c>
      <c r="K5178" s="455">
        <f t="shared" ca="1" si="183"/>
        <v>-3873966342404.0259</v>
      </c>
      <c r="L5178" s="455">
        <f t="shared" ca="1" si="184"/>
        <v>-933625888519370.38</v>
      </c>
      <c r="M5178" s="471">
        <f t="shared" si="186"/>
        <v>0.05</v>
      </c>
      <c r="N5178" s="475">
        <f t="shared" si="187"/>
        <v>208646</v>
      </c>
    </row>
    <row r="5179" spans="7:14" ht="11.25" customHeight="1" x14ac:dyDescent="0.3">
      <c r="G5179" s="470"/>
      <c r="H5179" s="470">
        <v>5172</v>
      </c>
      <c r="I5179" s="455">
        <f t="shared" ca="1" si="185"/>
        <v>-933625888519370.38</v>
      </c>
      <c r="J5179" s="455">
        <f t="array" ref="J5179">IFERROR(INDEX('Retirement Calculator'!K:K,MATCH('Lorri 401b'!N5179,'Retirement Calculator'!A:A,0),0),0)</f>
        <v>0</v>
      </c>
      <c r="K5179" s="455">
        <f t="shared" ca="1" si="183"/>
        <v>-3890107868830.7104</v>
      </c>
      <c r="L5179" s="455">
        <f t="shared" ca="1" si="184"/>
        <v>-937515996388201.13</v>
      </c>
      <c r="M5179" s="471">
        <f t="shared" si="186"/>
        <v>0.05</v>
      </c>
      <c r="N5179" s="475">
        <f t="shared" si="187"/>
        <v>208676</v>
      </c>
    </row>
    <row r="5180" spans="7:14" ht="11.25" customHeight="1" x14ac:dyDescent="0.3">
      <c r="G5180" s="470"/>
      <c r="H5180" s="470">
        <v>5173</v>
      </c>
      <c r="I5180" s="455">
        <f t="shared" ca="1" si="185"/>
        <v>-937515996388201.13</v>
      </c>
      <c r="J5180" s="455">
        <f t="array" ref="J5180">IFERROR(INDEX('Retirement Calculator'!K:K,MATCH('Lorri 401b'!N5180,'Retirement Calculator'!A:A,0),0),0)</f>
        <v>0</v>
      </c>
      <c r="K5180" s="455">
        <f t="shared" ca="1" si="183"/>
        <v>-3906316651617.5054</v>
      </c>
      <c r="L5180" s="455">
        <f t="shared" ca="1" si="184"/>
        <v>-941422313039818.63</v>
      </c>
      <c r="M5180" s="471">
        <f t="shared" si="186"/>
        <v>0.05</v>
      </c>
      <c r="N5180" s="475">
        <f t="shared" si="187"/>
        <v>208707</v>
      </c>
    </row>
    <row r="5181" spans="7:14" ht="11.25" customHeight="1" x14ac:dyDescent="0.3">
      <c r="G5181" s="470"/>
      <c r="H5181" s="470">
        <v>5174</v>
      </c>
      <c r="I5181" s="455">
        <f t="shared" ca="1" si="185"/>
        <v>-941422313039818.63</v>
      </c>
      <c r="J5181" s="455">
        <f t="array" ref="J5181">IFERROR(INDEX('Retirement Calculator'!K:K,MATCH('Lorri 401b'!N5181,'Retirement Calculator'!A:A,0),0),0)</f>
        <v>0</v>
      </c>
      <c r="K5181" s="455">
        <f t="shared" ca="1" si="183"/>
        <v>-3922592970999.2437</v>
      </c>
      <c r="L5181" s="455">
        <f t="shared" ca="1" si="184"/>
        <v>-945344906010817.88</v>
      </c>
      <c r="M5181" s="471">
        <f t="shared" si="186"/>
        <v>0.05</v>
      </c>
      <c r="N5181" s="475">
        <f t="shared" si="187"/>
        <v>208737</v>
      </c>
    </row>
    <row r="5182" spans="7:14" ht="11.25" customHeight="1" x14ac:dyDescent="0.3">
      <c r="G5182" s="470"/>
      <c r="H5182" s="470">
        <v>5175</v>
      </c>
      <c r="I5182" s="455">
        <f t="shared" ca="1" si="185"/>
        <v>-945344906010817.88</v>
      </c>
      <c r="J5182" s="455">
        <f t="array" ref="J5182">IFERROR(INDEX('Retirement Calculator'!K:K,MATCH('Lorri 401b'!N5182,'Retirement Calculator'!A:A,0),0),0)</f>
        <v>0</v>
      </c>
      <c r="K5182" s="455">
        <f t="shared" ca="1" si="183"/>
        <v>-3938937108378.4077</v>
      </c>
      <c r="L5182" s="455">
        <f t="shared" ca="1" si="184"/>
        <v>-949283843119196.25</v>
      </c>
      <c r="M5182" s="471">
        <f t="shared" si="186"/>
        <v>0.05</v>
      </c>
      <c r="N5182" s="475">
        <f t="shared" si="187"/>
        <v>208768</v>
      </c>
    </row>
    <row r="5183" spans="7:14" ht="11.25" customHeight="1" x14ac:dyDescent="0.3">
      <c r="G5183" s="470"/>
      <c r="H5183" s="470">
        <v>5176</v>
      </c>
      <c r="I5183" s="455">
        <f t="shared" ca="1" si="185"/>
        <v>-949283843119196.25</v>
      </c>
      <c r="J5183" s="455">
        <f t="array" ref="J5183">IFERROR(INDEX('Retirement Calculator'!K:K,MATCH('Lorri 401b'!N5183,'Retirement Calculator'!A:A,0),0),0)</f>
        <v>0</v>
      </c>
      <c r="K5183" s="455">
        <f t="shared" ca="1" si="183"/>
        <v>-3955349346329.9844</v>
      </c>
      <c r="L5183" s="455">
        <f t="shared" ca="1" si="184"/>
        <v>-953239192465526.25</v>
      </c>
      <c r="M5183" s="471">
        <f t="shared" si="186"/>
        <v>0.05</v>
      </c>
      <c r="N5183" s="475">
        <f t="shared" si="187"/>
        <v>208799</v>
      </c>
    </row>
    <row r="5184" spans="7:14" ht="11.25" customHeight="1" x14ac:dyDescent="0.3">
      <c r="G5184" s="470"/>
      <c r="H5184" s="470">
        <v>5177</v>
      </c>
      <c r="I5184" s="455">
        <f t="shared" ca="1" si="185"/>
        <v>-953239192465526.25</v>
      </c>
      <c r="J5184" s="455">
        <f t="array" ref="J5184">IFERROR(INDEX('Retirement Calculator'!K:K,MATCH('Lorri 401b'!N5184,'Retirement Calculator'!A:A,0),0),0)</f>
        <v>0</v>
      </c>
      <c r="K5184" s="455">
        <f t="shared" ca="1" si="183"/>
        <v>-3971829968606.3594</v>
      </c>
      <c r="L5184" s="455">
        <f t="shared" ca="1" si="184"/>
        <v>-957211022434132.63</v>
      </c>
      <c r="M5184" s="471">
        <f t="shared" si="186"/>
        <v>0.05</v>
      </c>
      <c r="N5184" s="475">
        <f t="shared" si="187"/>
        <v>208829</v>
      </c>
    </row>
    <row r="5185" spans="7:14" ht="11.25" customHeight="1" x14ac:dyDescent="0.3">
      <c r="G5185" s="470"/>
      <c r="H5185" s="470">
        <v>5178</v>
      </c>
      <c r="I5185" s="455">
        <f t="shared" ca="1" si="185"/>
        <v>-957211022434132.63</v>
      </c>
      <c r="J5185" s="455">
        <f t="array" ref="J5185">IFERROR(INDEX('Retirement Calculator'!K:K,MATCH('Lorri 401b'!N5185,'Retirement Calculator'!A:A,0),0),0)</f>
        <v>0</v>
      </c>
      <c r="K5185" s="455">
        <f t="shared" ca="1" si="183"/>
        <v>-3988379260142.2197</v>
      </c>
      <c r="L5185" s="455">
        <f t="shared" ca="1" si="184"/>
        <v>-961199401694274.88</v>
      </c>
      <c r="M5185" s="471">
        <f t="shared" si="186"/>
        <v>0.05</v>
      </c>
      <c r="N5185" s="475">
        <f t="shared" si="187"/>
        <v>208860</v>
      </c>
    </row>
    <row r="5186" spans="7:14" ht="11.25" customHeight="1" x14ac:dyDescent="0.3">
      <c r="G5186" s="470"/>
      <c r="H5186" s="470">
        <v>5179</v>
      </c>
      <c r="I5186" s="455">
        <f t="shared" ca="1" si="185"/>
        <v>-961199401694274.88</v>
      </c>
      <c r="J5186" s="455">
        <f t="array" ref="J5186">IFERROR(INDEX('Retirement Calculator'!K:K,MATCH('Lorri 401b'!N5186,'Retirement Calculator'!A:A,0),0),0)</f>
        <v>0</v>
      </c>
      <c r="K5186" s="455">
        <f t="shared" ca="1" si="183"/>
        <v>-4004997507059.4785</v>
      </c>
      <c r="L5186" s="455">
        <f t="shared" ca="1" si="184"/>
        <v>-965204399201334.38</v>
      </c>
      <c r="M5186" s="471">
        <f t="shared" si="186"/>
        <v>0.05</v>
      </c>
      <c r="N5186" s="475">
        <f t="shared" si="187"/>
        <v>208890</v>
      </c>
    </row>
    <row r="5187" spans="7:14" ht="11.25" customHeight="1" x14ac:dyDescent="0.3">
      <c r="G5187" s="470"/>
      <c r="H5187" s="470">
        <v>5180</v>
      </c>
      <c r="I5187" s="455">
        <f t="shared" ca="1" si="185"/>
        <v>-965204399201334.38</v>
      </c>
      <c r="J5187" s="455">
        <f t="array" ref="J5187">IFERROR(INDEX('Retirement Calculator'!K:K,MATCH('Lorri 401b'!N5187,'Retirement Calculator'!A:A,0),0),0)</f>
        <v>0</v>
      </c>
      <c r="K5187" s="455">
        <f t="shared" ca="1" si="183"/>
        <v>-4021684996672.2261</v>
      </c>
      <c r="L5187" s="455">
        <f t="shared" ca="1" si="184"/>
        <v>-969226084198006.63</v>
      </c>
      <c r="M5187" s="471">
        <f t="shared" si="186"/>
        <v>0.05</v>
      </c>
      <c r="N5187" s="475">
        <f t="shared" si="187"/>
        <v>208921</v>
      </c>
    </row>
    <row r="5188" spans="7:14" ht="11.25" customHeight="1" x14ac:dyDescent="0.3">
      <c r="G5188" s="470"/>
      <c r="H5188" s="470">
        <v>5181</v>
      </c>
      <c r="I5188" s="455">
        <f t="shared" ca="1" si="185"/>
        <v>-969226084198006.63</v>
      </c>
      <c r="J5188" s="455">
        <f t="array" ref="J5188">IFERROR(INDEX('Retirement Calculator'!K:K,MATCH('Lorri 401b'!N5188,'Retirement Calculator'!A:A,0),0),0)</f>
        <v>0</v>
      </c>
      <c r="K5188" s="455">
        <f t="shared" ca="1" si="183"/>
        <v>-4038442017491.6948</v>
      </c>
      <c r="L5188" s="455">
        <f t="shared" ca="1" si="184"/>
        <v>-973264526215498.38</v>
      </c>
      <c r="M5188" s="471">
        <f t="shared" si="186"/>
        <v>0.05</v>
      </c>
      <c r="N5188" s="475">
        <f t="shared" si="187"/>
        <v>208952</v>
      </c>
    </row>
    <row r="5189" spans="7:14" ht="11.25" customHeight="1" x14ac:dyDescent="0.3">
      <c r="G5189" s="470"/>
      <c r="H5189" s="470">
        <v>5182</v>
      </c>
      <c r="I5189" s="455">
        <f t="shared" ca="1" si="185"/>
        <v>-973264526215498.38</v>
      </c>
      <c r="J5189" s="455">
        <f t="array" ref="J5189">IFERROR(INDEX('Retirement Calculator'!K:K,MATCH('Lorri 401b'!N5189,'Retirement Calculator'!A:A,0),0),0)</f>
        <v>0</v>
      </c>
      <c r="K5189" s="455">
        <f t="shared" ca="1" si="183"/>
        <v>-4055268859231.2432</v>
      </c>
      <c r="L5189" s="455">
        <f t="shared" ca="1" si="184"/>
        <v>-977319795074729.63</v>
      </c>
      <c r="M5189" s="471">
        <f t="shared" si="186"/>
        <v>0.05</v>
      </c>
      <c r="N5189" s="475">
        <f t="shared" si="187"/>
        <v>208981</v>
      </c>
    </row>
    <row r="5190" spans="7:14" ht="11.25" customHeight="1" x14ac:dyDescent="0.3">
      <c r="G5190" s="470"/>
      <c r="H5190" s="470">
        <v>5183</v>
      </c>
      <c r="I5190" s="455">
        <f t="shared" ca="1" si="185"/>
        <v>-977319795074729.63</v>
      </c>
      <c r="J5190" s="455">
        <f t="array" ref="J5190">IFERROR(INDEX('Retirement Calculator'!K:K,MATCH('Lorri 401b'!N5190,'Retirement Calculator'!A:A,0),0),0)</f>
        <v>0</v>
      </c>
      <c r="K5190" s="455">
        <f t="shared" ca="1" si="183"/>
        <v>-4072165812811.374</v>
      </c>
      <c r="L5190" s="455">
        <f t="shared" ca="1" si="184"/>
        <v>-981391960887541</v>
      </c>
      <c r="M5190" s="471">
        <f t="shared" si="186"/>
        <v>0.05</v>
      </c>
      <c r="N5190" s="475">
        <f t="shared" si="187"/>
        <v>209012</v>
      </c>
    </row>
    <row r="5191" spans="7:14" ht="11.25" customHeight="1" x14ac:dyDescent="0.3">
      <c r="G5191" s="470"/>
      <c r="H5191" s="470">
        <v>5184</v>
      </c>
      <c r="I5191" s="455">
        <f t="shared" ca="1" si="185"/>
        <v>-981391960887541</v>
      </c>
      <c r="J5191" s="455">
        <f t="array" ref="J5191">IFERROR(INDEX('Retirement Calculator'!K:K,MATCH('Lorri 401b'!N5191,'Retirement Calculator'!A:A,0),0),0)</f>
        <v>0</v>
      </c>
      <c r="K5191" s="455">
        <f t="shared" ca="1" si="183"/>
        <v>-4089133170364.7539</v>
      </c>
      <c r="L5191" s="455">
        <f t="shared" ca="1" si="184"/>
        <v>-985481094057905.75</v>
      </c>
      <c r="M5191" s="471">
        <f t="shared" si="186"/>
        <v>0.05</v>
      </c>
      <c r="N5191" s="475">
        <f t="shared" si="187"/>
        <v>209042</v>
      </c>
    </row>
    <row r="5192" spans="7:14" ht="11.25" customHeight="1" x14ac:dyDescent="0.3">
      <c r="G5192" s="470"/>
      <c r="H5192" s="470">
        <v>5185</v>
      </c>
      <c r="I5192" s="455">
        <f t="shared" ca="1" si="185"/>
        <v>-985481094057905.75</v>
      </c>
      <c r="J5192" s="455">
        <f t="array" ref="J5192">IFERROR(INDEX('Retirement Calculator'!K:K,MATCH('Lorri 401b'!N5192,'Retirement Calculator'!A:A,0),0),0)</f>
        <v>0</v>
      </c>
      <c r="K5192" s="455">
        <f t="shared" ca="1" si="183"/>
        <v>-4106171225241.2739</v>
      </c>
      <c r="L5192" s="455">
        <f t="shared" ca="1" si="184"/>
        <v>-989587265283147</v>
      </c>
      <c r="M5192" s="471">
        <f t="shared" si="186"/>
        <v>0.05</v>
      </c>
      <c r="N5192" s="475">
        <f t="shared" si="187"/>
        <v>209073</v>
      </c>
    </row>
    <row r="5193" spans="7:14" ht="11.25" customHeight="1" x14ac:dyDescent="0.3">
      <c r="G5193" s="470"/>
      <c r="H5193" s="470">
        <v>5186</v>
      </c>
      <c r="I5193" s="455">
        <f t="shared" ca="1" si="185"/>
        <v>-989587265283147</v>
      </c>
      <c r="J5193" s="455">
        <f t="array" ref="J5193">IFERROR(INDEX('Retirement Calculator'!K:K,MATCH('Lorri 401b'!N5193,'Retirement Calculator'!A:A,0),0),0)</f>
        <v>0</v>
      </c>
      <c r="K5193" s="455">
        <f t="shared" ca="1" si="183"/>
        <v>-4123280272013.1123</v>
      </c>
      <c r="L5193" s="455">
        <f t="shared" ca="1" si="184"/>
        <v>-993710545555160.13</v>
      </c>
      <c r="M5193" s="471">
        <f t="shared" si="186"/>
        <v>0.05</v>
      </c>
      <c r="N5193" s="475">
        <f t="shared" si="187"/>
        <v>209103</v>
      </c>
    </row>
    <row r="5194" spans="7:14" ht="11.25" customHeight="1" x14ac:dyDescent="0.3">
      <c r="G5194" s="470"/>
      <c r="H5194" s="470">
        <v>5187</v>
      </c>
      <c r="I5194" s="455">
        <f t="shared" ca="1" si="185"/>
        <v>-993710545555160.13</v>
      </c>
      <c r="J5194" s="455">
        <f t="array" ref="J5194">IFERROR(INDEX('Retirement Calculator'!K:K,MATCH('Lorri 401b'!N5194,'Retirement Calculator'!A:A,0),0),0)</f>
        <v>0</v>
      </c>
      <c r="K5194" s="455">
        <f t="shared" ca="1" si="183"/>
        <v>-4140460606479.8335</v>
      </c>
      <c r="L5194" s="455">
        <f t="shared" ca="1" si="184"/>
        <v>-997851006161640</v>
      </c>
      <c r="M5194" s="471">
        <f t="shared" si="186"/>
        <v>0.05</v>
      </c>
      <c r="N5194" s="475">
        <f t="shared" si="187"/>
        <v>209134</v>
      </c>
    </row>
    <row r="5195" spans="7:14" ht="11.25" customHeight="1" x14ac:dyDescent="0.3">
      <c r="G5195" s="470"/>
      <c r="H5195" s="470">
        <v>5188</v>
      </c>
      <c r="I5195" s="455">
        <f t="shared" ca="1" si="185"/>
        <v>-997851006161640</v>
      </c>
      <c r="J5195" s="455">
        <f t="array" ref="J5195">IFERROR(INDEX('Retirement Calculator'!K:K,MATCH('Lorri 401b'!N5195,'Retirement Calculator'!A:A,0),0),0)</f>
        <v>0</v>
      </c>
      <c r="K5195" s="455">
        <f t="shared" ca="1" si="183"/>
        <v>-4157712525673.5</v>
      </c>
      <c r="L5195" s="455">
        <f t="shared" ca="1" si="184"/>
        <v>-1002008718687313.5</v>
      </c>
      <c r="M5195" s="471">
        <f t="shared" si="186"/>
        <v>0.05</v>
      </c>
      <c r="N5195" s="475">
        <f t="shared" si="187"/>
        <v>209165</v>
      </c>
    </row>
    <row r="5196" spans="7:14" ht="11.25" customHeight="1" x14ac:dyDescent="0.3">
      <c r="G5196" s="470"/>
      <c r="H5196" s="470">
        <v>5189</v>
      </c>
      <c r="I5196" s="455">
        <f t="shared" ca="1" si="185"/>
        <v>-1002008718687313.5</v>
      </c>
      <c r="J5196" s="455">
        <f t="array" ref="J5196">IFERROR(INDEX('Retirement Calculator'!K:K,MATCH('Lorri 401b'!N5196,'Retirement Calculator'!A:A,0),0),0)</f>
        <v>0</v>
      </c>
      <c r="K5196" s="455">
        <f t="shared" ca="1" si="183"/>
        <v>-4175036327863.8057</v>
      </c>
      <c r="L5196" s="455">
        <f t="shared" ca="1" si="184"/>
        <v>-1006183755015177.3</v>
      </c>
      <c r="M5196" s="471">
        <f t="shared" si="186"/>
        <v>0.05</v>
      </c>
      <c r="N5196" s="475">
        <f t="shared" si="187"/>
        <v>209195</v>
      </c>
    </row>
    <row r="5197" spans="7:14" ht="11.25" customHeight="1" x14ac:dyDescent="0.3">
      <c r="G5197" s="470"/>
      <c r="H5197" s="470">
        <v>5190</v>
      </c>
      <c r="I5197" s="455">
        <f t="shared" ca="1" si="185"/>
        <v>-1006183755015177.3</v>
      </c>
      <c r="J5197" s="455">
        <f t="array" ref="J5197">IFERROR(INDEX('Retirement Calculator'!K:K,MATCH('Lorri 401b'!N5197,'Retirement Calculator'!A:A,0),0),0)</f>
        <v>0</v>
      </c>
      <c r="K5197" s="455">
        <f t="shared" ca="1" si="183"/>
        <v>-4192432312563.2378</v>
      </c>
      <c r="L5197" s="455">
        <f t="shared" ca="1" si="184"/>
        <v>-1010376187327740.5</v>
      </c>
      <c r="M5197" s="471">
        <f t="shared" si="186"/>
        <v>0.05</v>
      </c>
      <c r="N5197" s="475">
        <f t="shared" si="187"/>
        <v>209226</v>
      </c>
    </row>
    <row r="5198" spans="7:14" ht="11.25" customHeight="1" x14ac:dyDescent="0.3">
      <c r="G5198" s="470"/>
      <c r="H5198" s="470">
        <v>5191</v>
      </c>
      <c r="I5198" s="455">
        <f t="shared" ca="1" si="185"/>
        <v>-1010376187327740.5</v>
      </c>
      <c r="J5198" s="455">
        <f t="array" ref="J5198">IFERROR(INDEX('Retirement Calculator'!K:K,MATCH('Lorri 401b'!N5198,'Retirement Calculator'!A:A,0),0),0)</f>
        <v>0</v>
      </c>
      <c r="K5198" s="455">
        <f t="shared" ca="1" si="183"/>
        <v>-4209900780532.252</v>
      </c>
      <c r="L5198" s="455">
        <f t="shared" ca="1" si="184"/>
        <v>-1014586088108272.8</v>
      </c>
      <c r="M5198" s="471">
        <f t="shared" si="186"/>
        <v>0.05</v>
      </c>
      <c r="N5198" s="475">
        <f t="shared" si="187"/>
        <v>209256</v>
      </c>
    </row>
    <row r="5199" spans="7:14" ht="11.25" customHeight="1" x14ac:dyDescent="0.3">
      <c r="G5199" s="470"/>
      <c r="H5199" s="470">
        <v>5192</v>
      </c>
      <c r="I5199" s="455">
        <f t="shared" ca="1" si="185"/>
        <v>-1014586088108272.8</v>
      </c>
      <c r="J5199" s="455">
        <f t="array" ref="J5199">IFERROR(INDEX('Retirement Calculator'!K:K,MATCH('Lorri 401b'!N5199,'Retirement Calculator'!A:A,0),0),0)</f>
        <v>0</v>
      </c>
      <c r="K5199" s="455">
        <f t="shared" ca="1" si="183"/>
        <v>-4227442033784.4697</v>
      </c>
      <c r="L5199" s="455">
        <f t="shared" ca="1" si="184"/>
        <v>-1018813530142057.3</v>
      </c>
      <c r="M5199" s="471">
        <f t="shared" si="186"/>
        <v>0.05</v>
      </c>
      <c r="N5199" s="475">
        <f t="shared" si="187"/>
        <v>209287</v>
      </c>
    </row>
    <row r="5200" spans="7:14" ht="11.25" customHeight="1" x14ac:dyDescent="0.3">
      <c r="G5200" s="470"/>
      <c r="H5200" s="470">
        <v>5193</v>
      </c>
      <c r="I5200" s="455">
        <f t="shared" ca="1" si="185"/>
        <v>-1018813530142057.3</v>
      </c>
      <c r="J5200" s="455">
        <f t="array" ref="J5200">IFERROR(INDEX('Retirement Calculator'!K:K,MATCH('Lorri 401b'!N5200,'Retirement Calculator'!A:A,0),0),0)</f>
        <v>0</v>
      </c>
      <c r="K5200" s="455">
        <f t="shared" ca="1" si="183"/>
        <v>-4245056375591.9048</v>
      </c>
      <c r="L5200" s="455">
        <f t="shared" ca="1" si="184"/>
        <v>-1023058586517649.1</v>
      </c>
      <c r="M5200" s="471">
        <f t="shared" si="186"/>
        <v>0.05</v>
      </c>
      <c r="N5200" s="475">
        <f t="shared" si="187"/>
        <v>209318</v>
      </c>
    </row>
    <row r="5201" spans="7:14" ht="11.25" customHeight="1" x14ac:dyDescent="0.3">
      <c r="G5201" s="470"/>
      <c r="H5201" s="470">
        <v>5194</v>
      </c>
      <c r="I5201" s="455">
        <f t="shared" ca="1" si="185"/>
        <v>-1023058586517649.1</v>
      </c>
      <c r="J5201" s="455">
        <f t="array" ref="J5201">IFERROR(INDEX('Retirement Calculator'!K:K,MATCH('Lorri 401b'!N5201,'Retirement Calculator'!A:A,0),0),0)</f>
        <v>0</v>
      </c>
      <c r="K5201" s="455">
        <f t="shared" ca="1" si="183"/>
        <v>-4262744110490.2046</v>
      </c>
      <c r="L5201" s="455">
        <f t="shared" ca="1" si="184"/>
        <v>-1027321330628139.4</v>
      </c>
      <c r="M5201" s="471">
        <f t="shared" si="186"/>
        <v>0.05</v>
      </c>
      <c r="N5201" s="475">
        <f t="shared" si="187"/>
        <v>209346</v>
      </c>
    </row>
    <row r="5202" spans="7:14" ht="11.25" customHeight="1" x14ac:dyDescent="0.3">
      <c r="G5202" s="470"/>
      <c r="H5202" s="470">
        <v>5195</v>
      </c>
      <c r="I5202" s="455">
        <f t="shared" ca="1" si="185"/>
        <v>-1027321330628139.4</v>
      </c>
      <c r="J5202" s="455">
        <f t="array" ref="J5202">IFERROR(INDEX('Retirement Calculator'!K:K,MATCH('Lorri 401b'!N5202,'Retirement Calculator'!A:A,0),0),0)</f>
        <v>0</v>
      </c>
      <c r="K5202" s="455">
        <f t="shared" ca="1" si="183"/>
        <v>-4280505544283.9146</v>
      </c>
      <c r="L5202" s="455">
        <f t="shared" ca="1" si="184"/>
        <v>-1031601836172423.3</v>
      </c>
      <c r="M5202" s="471">
        <f t="shared" si="186"/>
        <v>0.05</v>
      </c>
      <c r="N5202" s="475">
        <f t="shared" si="187"/>
        <v>209377</v>
      </c>
    </row>
    <row r="5203" spans="7:14" ht="11.25" customHeight="1" x14ac:dyDescent="0.3">
      <c r="G5203" s="470"/>
      <c r="H5203" s="470">
        <v>5196</v>
      </c>
      <c r="I5203" s="455">
        <f t="shared" ca="1" si="185"/>
        <v>-1031601836172423.3</v>
      </c>
      <c r="J5203" s="455">
        <f t="array" ref="J5203">IFERROR(INDEX('Retirement Calculator'!K:K,MATCH('Lorri 401b'!N5203,'Retirement Calculator'!A:A,0),0),0)</f>
        <v>0</v>
      </c>
      <c r="K5203" s="455">
        <f t="shared" ca="1" si="183"/>
        <v>-4298340984051.7632</v>
      </c>
      <c r="L5203" s="455">
        <f t="shared" ca="1" si="184"/>
        <v>-1035900177156475</v>
      </c>
      <c r="M5203" s="471">
        <f t="shared" si="186"/>
        <v>0.05</v>
      </c>
      <c r="N5203" s="475">
        <f t="shared" si="187"/>
        <v>209407</v>
      </c>
    </row>
    <row r="5204" spans="7:14" ht="11.25" customHeight="1" x14ac:dyDescent="0.3">
      <c r="G5204" s="470"/>
      <c r="H5204" s="470">
        <v>5197</v>
      </c>
      <c r="I5204" s="455">
        <f t="shared" ca="1" si="185"/>
        <v>-1035900177156475</v>
      </c>
      <c r="J5204" s="455">
        <f t="array" ref="J5204">IFERROR(INDEX('Retirement Calculator'!K:K,MATCH('Lorri 401b'!N5204,'Retirement Calculator'!A:A,0),0),0)</f>
        <v>0</v>
      </c>
      <c r="K5204" s="455">
        <f t="shared" ca="1" si="183"/>
        <v>-4316250738151.9785</v>
      </c>
      <c r="L5204" s="455">
        <f t="shared" ca="1" si="184"/>
        <v>-1040216427894627</v>
      </c>
      <c r="M5204" s="471">
        <f t="shared" si="186"/>
        <v>0.05</v>
      </c>
      <c r="N5204" s="475">
        <f t="shared" si="187"/>
        <v>209438</v>
      </c>
    </row>
    <row r="5205" spans="7:14" ht="11.25" customHeight="1" x14ac:dyDescent="0.3">
      <c r="G5205" s="470"/>
      <c r="H5205" s="470">
        <v>5198</v>
      </c>
      <c r="I5205" s="455">
        <f t="shared" ca="1" si="185"/>
        <v>-1040216427894627</v>
      </c>
      <c r="J5205" s="455">
        <f t="array" ref="J5205">IFERROR(INDEX('Retirement Calculator'!K:K,MATCH('Lorri 401b'!N5205,'Retirement Calculator'!A:A,0),0),0)</f>
        <v>0</v>
      </c>
      <c r="K5205" s="455">
        <f t="shared" ca="1" si="183"/>
        <v>-4334235116227.6123</v>
      </c>
      <c r="L5205" s="455">
        <f t="shared" ca="1" si="184"/>
        <v>-1044550663010854.6</v>
      </c>
      <c r="M5205" s="471">
        <f t="shared" si="186"/>
        <v>0.05</v>
      </c>
      <c r="N5205" s="475">
        <f t="shared" si="187"/>
        <v>209468</v>
      </c>
    </row>
    <row r="5206" spans="7:14" ht="11.25" customHeight="1" x14ac:dyDescent="0.3">
      <c r="G5206" s="470"/>
      <c r="H5206" s="470">
        <v>5199</v>
      </c>
      <c r="I5206" s="455">
        <f t="shared" ca="1" si="185"/>
        <v>-1044550663010854.6</v>
      </c>
      <c r="J5206" s="455">
        <f t="array" ref="J5206">IFERROR(INDEX('Retirement Calculator'!K:K,MATCH('Lorri 401b'!N5206,'Retirement Calculator'!A:A,0),0),0)</f>
        <v>0</v>
      </c>
      <c r="K5206" s="455">
        <f t="shared" ca="1" si="183"/>
        <v>-4352294429211.894</v>
      </c>
      <c r="L5206" s="455">
        <f t="shared" ca="1" si="184"/>
        <v>-1048902957440066.5</v>
      </c>
      <c r="M5206" s="471">
        <f t="shared" si="186"/>
        <v>0.05</v>
      </c>
      <c r="N5206" s="475">
        <f t="shared" si="187"/>
        <v>209499</v>
      </c>
    </row>
    <row r="5207" spans="7:14" ht="11.25" customHeight="1" x14ac:dyDescent="0.3">
      <c r="G5207" s="470"/>
      <c r="H5207" s="470">
        <v>5200</v>
      </c>
      <c r="I5207" s="455">
        <f t="shared" ca="1" si="185"/>
        <v>-1048902957440066.5</v>
      </c>
      <c r="J5207" s="455">
        <f t="array" ref="J5207">IFERROR(INDEX('Retirement Calculator'!K:K,MATCH('Lorri 401b'!N5207,'Retirement Calculator'!A:A,0),0),0)</f>
        <v>0</v>
      </c>
      <c r="K5207" s="455">
        <f t="shared" ca="1" si="183"/>
        <v>-4370428989333.6099</v>
      </c>
      <c r="L5207" s="455">
        <f t="shared" ca="1" si="184"/>
        <v>-1053273386429400.1</v>
      </c>
      <c r="M5207" s="471">
        <f t="shared" si="186"/>
        <v>0.05</v>
      </c>
      <c r="N5207" s="475">
        <f t="shared" si="187"/>
        <v>209530</v>
      </c>
    </row>
    <row r="5208" spans="7:14" ht="11.25" customHeight="1" x14ac:dyDescent="0.3">
      <c r="G5208" s="470"/>
      <c r="H5208" s="470">
        <v>5201</v>
      </c>
      <c r="I5208" s="455">
        <f t="shared" ca="1" si="185"/>
        <v>-1053273386429400.1</v>
      </c>
      <c r="J5208" s="455">
        <f t="array" ref="J5208">IFERROR(INDEX('Retirement Calculator'!K:K,MATCH('Lorri 401b'!N5208,'Retirement Calculator'!A:A,0),0),0)</f>
        <v>0</v>
      </c>
      <c r="K5208" s="455">
        <f t="shared" ca="1" si="183"/>
        <v>-4388639110122.5</v>
      </c>
      <c r="L5208" s="455">
        <f t="shared" ca="1" si="184"/>
        <v>-1057662025539522.6</v>
      </c>
      <c r="M5208" s="471">
        <f t="shared" si="186"/>
        <v>0.05</v>
      </c>
      <c r="N5208" s="475">
        <f t="shared" si="187"/>
        <v>209560</v>
      </c>
    </row>
    <row r="5209" spans="7:14" ht="11.25" customHeight="1" x14ac:dyDescent="0.3">
      <c r="G5209" s="470"/>
      <c r="H5209" s="470">
        <v>5202</v>
      </c>
      <c r="I5209" s="455">
        <f t="shared" ca="1" si="185"/>
        <v>-1057662025539522.6</v>
      </c>
      <c r="J5209" s="455">
        <f t="array" ref="J5209">IFERROR(INDEX('Retirement Calculator'!K:K,MATCH('Lorri 401b'!N5209,'Retirement Calculator'!A:A,0),0),0)</f>
        <v>0</v>
      </c>
      <c r="K5209" s="455">
        <f t="shared" ca="1" si="183"/>
        <v>-4406925106414.6768</v>
      </c>
      <c r="L5209" s="455">
        <f t="shared" ca="1" si="184"/>
        <v>-1062068950645937.3</v>
      </c>
      <c r="M5209" s="471">
        <f t="shared" si="186"/>
        <v>0.05</v>
      </c>
      <c r="N5209" s="475">
        <f t="shared" si="187"/>
        <v>209591</v>
      </c>
    </row>
    <row r="5210" spans="7:14" ht="11.25" customHeight="1" x14ac:dyDescent="0.3">
      <c r="G5210" s="470"/>
      <c r="H5210" s="470">
        <v>5203</v>
      </c>
      <c r="I5210" s="455">
        <f t="shared" ca="1" si="185"/>
        <v>-1062068950645937.3</v>
      </c>
      <c r="J5210" s="455">
        <f t="array" ref="J5210">IFERROR(INDEX('Retirement Calculator'!K:K,MATCH('Lorri 401b'!N5210,'Retirement Calculator'!A:A,0),0),0)</f>
        <v>0</v>
      </c>
      <c r="K5210" s="455">
        <f t="shared" ca="1" si="183"/>
        <v>-4425287294358.0723</v>
      </c>
      <c r="L5210" s="455">
        <f t="shared" ca="1" si="184"/>
        <v>-1066494237940295.4</v>
      </c>
      <c r="M5210" s="471">
        <f t="shared" si="186"/>
        <v>0.05</v>
      </c>
      <c r="N5210" s="475">
        <f t="shared" si="187"/>
        <v>209621</v>
      </c>
    </row>
    <row r="5211" spans="7:14" ht="11.25" customHeight="1" x14ac:dyDescent="0.3">
      <c r="G5211" s="470"/>
      <c r="H5211" s="470">
        <v>5204</v>
      </c>
      <c r="I5211" s="455">
        <f t="shared" ca="1" si="185"/>
        <v>-1066494237940295.4</v>
      </c>
      <c r="J5211" s="455">
        <f t="array" ref="J5211">IFERROR(INDEX('Retirement Calculator'!K:K,MATCH('Lorri 401b'!N5211,'Retirement Calculator'!A:A,0),0),0)</f>
        <v>0</v>
      </c>
      <c r="K5211" s="455">
        <f t="shared" ca="1" si="183"/>
        <v>-4443725991417.8975</v>
      </c>
      <c r="L5211" s="455">
        <f t="shared" ca="1" si="184"/>
        <v>-1070937963931713.3</v>
      </c>
      <c r="M5211" s="471">
        <f t="shared" si="186"/>
        <v>0.05</v>
      </c>
      <c r="N5211" s="475">
        <f t="shared" si="187"/>
        <v>209652</v>
      </c>
    </row>
    <row r="5212" spans="7:14" ht="11.25" customHeight="1" x14ac:dyDescent="0.3">
      <c r="G5212" s="470"/>
      <c r="H5212" s="470">
        <v>5205</v>
      </c>
      <c r="I5212" s="455">
        <f t="shared" ca="1" si="185"/>
        <v>-1070937963931713.3</v>
      </c>
      <c r="J5212" s="455">
        <f t="array" ref="J5212">IFERROR(INDEX('Retirement Calculator'!K:K,MATCH('Lorri 401b'!N5212,'Retirement Calculator'!A:A,0),0),0)</f>
        <v>0</v>
      </c>
      <c r="K5212" s="455">
        <f t="shared" ca="1" si="183"/>
        <v>-4462241516382.1387</v>
      </c>
      <c r="L5212" s="455">
        <f t="shared" ca="1" si="184"/>
        <v>-1075400205448095.4</v>
      </c>
      <c r="M5212" s="471">
        <f t="shared" si="186"/>
        <v>0.05</v>
      </c>
      <c r="N5212" s="475">
        <f t="shared" si="187"/>
        <v>209683</v>
      </c>
    </row>
    <row r="5213" spans="7:14" ht="11.25" customHeight="1" x14ac:dyDescent="0.3">
      <c r="G5213" s="470"/>
      <c r="H5213" s="470">
        <v>5206</v>
      </c>
      <c r="I5213" s="455">
        <f t="shared" ca="1" si="185"/>
        <v>-1075400205448095.4</v>
      </c>
      <c r="J5213" s="455">
        <f t="array" ref="J5213">IFERROR(INDEX('Retirement Calculator'!K:K,MATCH('Lorri 401b'!N5213,'Retirement Calculator'!A:A,0),0),0)</f>
        <v>0</v>
      </c>
      <c r="K5213" s="455">
        <f t="shared" ca="1" si="183"/>
        <v>-4480834189367.0645</v>
      </c>
      <c r="L5213" s="455">
        <f t="shared" ca="1" si="184"/>
        <v>-1079881039637462.5</v>
      </c>
      <c r="M5213" s="471">
        <f t="shared" si="186"/>
        <v>0.05</v>
      </c>
      <c r="N5213" s="475">
        <f t="shared" si="187"/>
        <v>209711</v>
      </c>
    </row>
    <row r="5214" spans="7:14" ht="11.25" customHeight="1" x14ac:dyDescent="0.3">
      <c r="G5214" s="470"/>
      <c r="H5214" s="470">
        <v>5207</v>
      </c>
      <c r="I5214" s="455">
        <f t="shared" ca="1" si="185"/>
        <v>-1079881039637462.5</v>
      </c>
      <c r="J5214" s="455">
        <f t="array" ref="J5214">IFERROR(INDEX('Retirement Calculator'!K:K,MATCH('Lorri 401b'!N5214,'Retirement Calculator'!A:A,0),0),0)</f>
        <v>0</v>
      </c>
      <c r="K5214" s="455">
        <f t="shared" ca="1" si="183"/>
        <v>-4499504331822.7607</v>
      </c>
      <c r="L5214" s="455">
        <f t="shared" ca="1" si="184"/>
        <v>-1084380543969285.3</v>
      </c>
      <c r="M5214" s="471">
        <f t="shared" si="186"/>
        <v>0.05</v>
      </c>
      <c r="N5214" s="475">
        <f t="shared" si="187"/>
        <v>209742</v>
      </c>
    </row>
    <row r="5215" spans="7:14" ht="11.25" customHeight="1" x14ac:dyDescent="0.3">
      <c r="G5215" s="470"/>
      <c r="H5215" s="470">
        <v>5208</v>
      </c>
      <c r="I5215" s="455">
        <f t="shared" ca="1" si="185"/>
        <v>-1084380543969285.3</v>
      </c>
      <c r="J5215" s="455">
        <f t="array" ref="J5215">IFERROR(INDEX('Retirement Calculator'!K:K,MATCH('Lorri 401b'!N5215,'Retirement Calculator'!A:A,0),0),0)</f>
        <v>0</v>
      </c>
      <c r="K5215" s="455">
        <f t="shared" ca="1" si="183"/>
        <v>-4518252266538.6885</v>
      </c>
      <c r="L5215" s="455">
        <f t="shared" ca="1" si="184"/>
        <v>-1088898796235824</v>
      </c>
      <c r="M5215" s="471">
        <f t="shared" si="186"/>
        <v>0.05</v>
      </c>
      <c r="N5215" s="475">
        <f t="shared" si="187"/>
        <v>209772</v>
      </c>
    </row>
    <row r="5216" spans="7:14" ht="11.25" customHeight="1" x14ac:dyDescent="0.3">
      <c r="G5216" s="470"/>
      <c r="H5216" s="470">
        <v>5209</v>
      </c>
      <c r="I5216" s="455">
        <f t="shared" ca="1" si="185"/>
        <v>-1088898796235824</v>
      </c>
      <c r="J5216" s="455">
        <f t="array" ref="J5216">IFERROR(INDEX('Retirement Calculator'!K:K,MATCH('Lorri 401b'!N5216,'Retirement Calculator'!A:A,0),0),0)</f>
        <v>0</v>
      </c>
      <c r="K5216" s="455">
        <f t="shared" ca="1" si="183"/>
        <v>-4537078317649.2666</v>
      </c>
      <c r="L5216" s="455">
        <f t="shared" ca="1" si="184"/>
        <v>-1093435874553473.3</v>
      </c>
      <c r="M5216" s="471">
        <f t="shared" si="186"/>
        <v>0.05</v>
      </c>
      <c r="N5216" s="475">
        <f t="shared" si="187"/>
        <v>209803</v>
      </c>
    </row>
    <row r="5217" spans="7:14" ht="11.25" customHeight="1" x14ac:dyDescent="0.3">
      <c r="G5217" s="470"/>
      <c r="H5217" s="470">
        <v>5210</v>
      </c>
      <c r="I5217" s="455">
        <f t="shared" ca="1" si="185"/>
        <v>-1093435874553473.3</v>
      </c>
      <c r="J5217" s="455">
        <f t="array" ref="J5217">IFERROR(INDEX('Retirement Calculator'!K:K,MATCH('Lorri 401b'!N5217,'Retirement Calculator'!A:A,0),0),0)</f>
        <v>0</v>
      </c>
      <c r="K5217" s="455">
        <f t="shared" ca="1" si="183"/>
        <v>-4555982810639.4717</v>
      </c>
      <c r="L5217" s="455">
        <f t="shared" ca="1" si="184"/>
        <v>-1097991857364112.8</v>
      </c>
      <c r="M5217" s="471">
        <f t="shared" si="186"/>
        <v>0.05</v>
      </c>
      <c r="N5217" s="475">
        <f t="shared" si="187"/>
        <v>209833</v>
      </c>
    </row>
    <row r="5218" spans="7:14" ht="11.25" customHeight="1" x14ac:dyDescent="0.3">
      <c r="G5218" s="470"/>
      <c r="H5218" s="470">
        <v>5211</v>
      </c>
      <c r="I5218" s="455">
        <f t="shared" ca="1" si="185"/>
        <v>-1097991857364112.8</v>
      </c>
      <c r="J5218" s="455">
        <f t="array" ref="J5218">IFERROR(INDEX('Retirement Calculator'!K:K,MATCH('Lorri 401b'!N5218,'Retirement Calculator'!A:A,0),0),0)</f>
        <v>0</v>
      </c>
      <c r="K5218" s="455">
        <f t="shared" ca="1" si="183"/>
        <v>-4574966072350.4697</v>
      </c>
      <c r="L5218" s="455">
        <f t="shared" ca="1" si="184"/>
        <v>-1102566823436463.3</v>
      </c>
      <c r="M5218" s="471">
        <f t="shared" si="186"/>
        <v>0.05</v>
      </c>
      <c r="N5218" s="475">
        <f t="shared" si="187"/>
        <v>209864</v>
      </c>
    </row>
    <row r="5219" spans="7:14" ht="11.25" customHeight="1" x14ac:dyDescent="0.3">
      <c r="G5219" s="470"/>
      <c r="H5219" s="470">
        <v>5212</v>
      </c>
      <c r="I5219" s="455">
        <f t="shared" ca="1" si="185"/>
        <v>-1102566823436463.3</v>
      </c>
      <c r="J5219" s="455">
        <f t="array" ref="J5219">IFERROR(INDEX('Retirement Calculator'!K:K,MATCH('Lorri 401b'!N5219,'Retirement Calculator'!A:A,0),0),0)</f>
        <v>0</v>
      </c>
      <c r="K5219" s="455">
        <f t="shared" ca="1" si="183"/>
        <v>-4594028430985.2637</v>
      </c>
      <c r="L5219" s="455">
        <f t="shared" ca="1" si="184"/>
        <v>-1107160851867448.5</v>
      </c>
      <c r="M5219" s="471">
        <f t="shared" si="186"/>
        <v>0.05</v>
      </c>
      <c r="N5219" s="475">
        <f t="shared" si="187"/>
        <v>209895</v>
      </c>
    </row>
    <row r="5220" spans="7:14" ht="11.25" customHeight="1" x14ac:dyDescent="0.3">
      <c r="G5220" s="470"/>
      <c r="H5220" s="470">
        <v>5213</v>
      </c>
      <c r="I5220" s="455">
        <f t="shared" ca="1" si="185"/>
        <v>-1107160851867448.5</v>
      </c>
      <c r="J5220" s="455">
        <f t="array" ref="J5220">IFERROR(INDEX('Retirement Calculator'!K:K,MATCH('Lorri 401b'!N5220,'Retirement Calculator'!A:A,0),0),0)</f>
        <v>0</v>
      </c>
      <c r="K5220" s="455">
        <f t="shared" ca="1" si="183"/>
        <v>-4613170216114.3691</v>
      </c>
      <c r="L5220" s="455">
        <f t="shared" ca="1" si="184"/>
        <v>-1111774022083562.9</v>
      </c>
      <c r="M5220" s="471">
        <f t="shared" si="186"/>
        <v>0.05</v>
      </c>
      <c r="N5220" s="475">
        <f t="shared" si="187"/>
        <v>209925</v>
      </c>
    </row>
    <row r="5221" spans="7:14" ht="11.25" customHeight="1" x14ac:dyDescent="0.3">
      <c r="G5221" s="470"/>
      <c r="H5221" s="470">
        <v>5214</v>
      </c>
      <c r="I5221" s="455">
        <f t="shared" ca="1" si="185"/>
        <v>-1111774022083562.9</v>
      </c>
      <c r="J5221" s="455">
        <f t="array" ref="J5221">IFERROR(INDEX('Retirement Calculator'!K:K,MATCH('Lorri 401b'!N5221,'Retirement Calculator'!A:A,0),0),0)</f>
        <v>0</v>
      </c>
      <c r="K5221" s="455">
        <f t="shared" ca="1" si="183"/>
        <v>-4632391758681.5127</v>
      </c>
      <c r="L5221" s="455">
        <f t="shared" ca="1" si="184"/>
        <v>-1116406413842244.4</v>
      </c>
      <c r="M5221" s="471">
        <f t="shared" si="186"/>
        <v>0.05</v>
      </c>
      <c r="N5221" s="475">
        <f t="shared" si="187"/>
        <v>209956</v>
      </c>
    </row>
    <row r="5222" spans="7:14" ht="11.25" customHeight="1" x14ac:dyDescent="0.3">
      <c r="G5222" s="470"/>
      <c r="H5222" s="470">
        <v>5215</v>
      </c>
      <c r="I5222" s="455">
        <f t="shared" ca="1" si="185"/>
        <v>-1116406413842244.4</v>
      </c>
      <c r="J5222" s="455">
        <f t="array" ref="J5222">IFERROR(INDEX('Retirement Calculator'!K:K,MATCH('Lorri 401b'!N5222,'Retirement Calculator'!A:A,0),0),0)</f>
        <v>0</v>
      </c>
      <c r="K5222" s="455">
        <f t="shared" ca="1" si="183"/>
        <v>-4651693391009.3516</v>
      </c>
      <c r="L5222" s="455">
        <f t="shared" ca="1" si="184"/>
        <v>-1121058107233253.8</v>
      </c>
      <c r="M5222" s="471">
        <f t="shared" si="186"/>
        <v>0.05</v>
      </c>
      <c r="N5222" s="475">
        <f t="shared" si="187"/>
        <v>209986</v>
      </c>
    </row>
    <row r="5223" spans="7:14" ht="11.25" customHeight="1" x14ac:dyDescent="0.3">
      <c r="G5223" s="470"/>
      <c r="H5223" s="470">
        <v>5216</v>
      </c>
      <c r="I5223" s="455">
        <f t="shared" ca="1" si="185"/>
        <v>-1121058107233253.8</v>
      </c>
      <c r="J5223" s="455">
        <f t="array" ref="J5223">IFERROR(INDEX('Retirement Calculator'!K:K,MATCH('Lorri 401b'!N5223,'Retirement Calculator'!A:A,0),0),0)</f>
        <v>0</v>
      </c>
      <c r="K5223" s="455">
        <f t="shared" ca="1" si="183"/>
        <v>-4671075446805.2236</v>
      </c>
      <c r="L5223" s="455">
        <f t="shared" ca="1" si="184"/>
        <v>-1125729182680059</v>
      </c>
      <c r="M5223" s="471">
        <f t="shared" si="186"/>
        <v>0.05</v>
      </c>
      <c r="N5223" s="475">
        <f t="shared" si="187"/>
        <v>210017</v>
      </c>
    </row>
    <row r="5224" spans="7:14" ht="11.25" customHeight="1" x14ac:dyDescent="0.3">
      <c r="G5224" s="470"/>
      <c r="H5224" s="470">
        <v>5217</v>
      </c>
      <c r="I5224" s="455">
        <f t="shared" ca="1" si="185"/>
        <v>-1125729182680059</v>
      </c>
      <c r="J5224" s="455">
        <f t="array" ref="J5224">IFERROR(INDEX('Retirement Calculator'!K:K,MATCH('Lorri 401b'!N5224,'Retirement Calculator'!A:A,0),0),0)</f>
        <v>0</v>
      </c>
      <c r="K5224" s="455">
        <f t="shared" ca="1" si="183"/>
        <v>-4690538261166.9121</v>
      </c>
      <c r="L5224" s="455">
        <f t="shared" ca="1" si="184"/>
        <v>-1130419720941226</v>
      </c>
      <c r="M5224" s="471">
        <f t="shared" si="186"/>
        <v>0.05</v>
      </c>
      <c r="N5224" s="475">
        <f t="shared" si="187"/>
        <v>210048</v>
      </c>
    </row>
    <row r="5225" spans="7:14" ht="11.25" customHeight="1" x14ac:dyDescent="0.3">
      <c r="G5225" s="470"/>
      <c r="H5225" s="470">
        <v>5218</v>
      </c>
      <c r="I5225" s="455">
        <f t="shared" ca="1" si="185"/>
        <v>-1130419720941226</v>
      </c>
      <c r="J5225" s="455">
        <f t="array" ref="J5225">IFERROR(INDEX('Retirement Calculator'!K:K,MATCH('Lorri 401b'!N5225,'Retirement Calculator'!A:A,0),0),0)</f>
        <v>0</v>
      </c>
      <c r="K5225" s="455">
        <f t="shared" ca="1" si="183"/>
        <v>-4710082170588.4414</v>
      </c>
      <c r="L5225" s="455">
        <f t="shared" ca="1" si="184"/>
        <v>-1135129803111814.5</v>
      </c>
      <c r="M5225" s="471">
        <f t="shared" si="186"/>
        <v>0.05</v>
      </c>
      <c r="N5225" s="475">
        <f t="shared" si="187"/>
        <v>210076</v>
      </c>
    </row>
    <row r="5226" spans="7:14" ht="11.25" customHeight="1" x14ac:dyDescent="0.3">
      <c r="G5226" s="470"/>
      <c r="H5226" s="470">
        <v>5219</v>
      </c>
      <c r="I5226" s="455">
        <f t="shared" ca="1" si="185"/>
        <v>-1135129803111814.5</v>
      </c>
      <c r="J5226" s="455">
        <f t="array" ref="J5226">IFERROR(INDEX('Retirement Calculator'!K:K,MATCH('Lorri 401b'!N5226,'Retirement Calculator'!A:A,0),0),0)</f>
        <v>0</v>
      </c>
      <c r="K5226" s="455">
        <f t="shared" ca="1" si="183"/>
        <v>-4729707512965.8936</v>
      </c>
      <c r="L5226" s="455">
        <f t="shared" ca="1" si="184"/>
        <v>-1139859510624780.5</v>
      </c>
      <c r="M5226" s="471">
        <f t="shared" si="186"/>
        <v>0.05</v>
      </c>
      <c r="N5226" s="475">
        <f t="shared" si="187"/>
        <v>210107</v>
      </c>
    </row>
    <row r="5227" spans="7:14" ht="11.25" customHeight="1" x14ac:dyDescent="0.3">
      <c r="G5227" s="470"/>
      <c r="H5227" s="470">
        <v>5220</v>
      </c>
      <c r="I5227" s="455">
        <f t="shared" ca="1" si="185"/>
        <v>-1139859510624780.5</v>
      </c>
      <c r="J5227" s="455">
        <f t="array" ref="J5227">IFERROR(INDEX('Retirement Calculator'!K:K,MATCH('Lorri 401b'!N5227,'Retirement Calculator'!A:A,0),0),0)</f>
        <v>0</v>
      </c>
      <c r="K5227" s="455">
        <f t="shared" ca="1" si="183"/>
        <v>-4749414627603.252</v>
      </c>
      <c r="L5227" s="455">
        <f t="shared" ca="1" si="184"/>
        <v>-1144608925252383.8</v>
      </c>
      <c r="M5227" s="471">
        <f t="shared" si="186"/>
        <v>0.05</v>
      </c>
      <c r="N5227" s="475">
        <f t="shared" si="187"/>
        <v>210137</v>
      </c>
    </row>
    <row r="5228" spans="7:14" ht="11.25" customHeight="1" x14ac:dyDescent="0.3">
      <c r="G5228" s="470"/>
      <c r="H5228" s="470">
        <v>5221</v>
      </c>
      <c r="I5228" s="455">
        <f t="shared" ca="1" si="185"/>
        <v>-1144608925252383.8</v>
      </c>
      <c r="J5228" s="455">
        <f t="array" ref="J5228">IFERROR(INDEX('Retirement Calculator'!K:K,MATCH('Lorri 401b'!N5228,'Retirement Calculator'!A:A,0),0),0)</f>
        <v>0</v>
      </c>
      <c r="K5228" s="455">
        <f t="shared" ca="1" si="183"/>
        <v>-4769203855218.2656</v>
      </c>
      <c r="L5228" s="455">
        <f t="shared" ca="1" si="184"/>
        <v>-1149378129107602</v>
      </c>
      <c r="M5228" s="471">
        <f t="shared" si="186"/>
        <v>0.05</v>
      </c>
      <c r="N5228" s="475">
        <f t="shared" si="187"/>
        <v>210168</v>
      </c>
    </row>
    <row r="5229" spans="7:14" ht="11.25" customHeight="1" x14ac:dyDescent="0.3">
      <c r="G5229" s="470"/>
      <c r="H5229" s="470">
        <v>5222</v>
      </c>
      <c r="I5229" s="455">
        <f t="shared" ca="1" si="185"/>
        <v>-1149378129107602</v>
      </c>
      <c r="J5229" s="455">
        <f t="array" ref="J5229">IFERROR(INDEX('Retirement Calculator'!K:K,MATCH('Lorri 401b'!N5229,'Retirement Calculator'!A:A,0),0),0)</f>
        <v>0</v>
      </c>
      <c r="K5229" s="455">
        <f t="shared" ca="1" si="183"/>
        <v>-4789075537948.3418</v>
      </c>
      <c r="L5229" s="455">
        <f t="shared" ca="1" si="184"/>
        <v>-1154167204645550.3</v>
      </c>
      <c r="M5229" s="471">
        <f t="shared" si="186"/>
        <v>0.05</v>
      </c>
      <c r="N5229" s="475">
        <f t="shared" si="187"/>
        <v>210198</v>
      </c>
    </row>
    <row r="5230" spans="7:14" ht="11.25" customHeight="1" x14ac:dyDescent="0.3">
      <c r="G5230" s="470"/>
      <c r="H5230" s="470">
        <v>5223</v>
      </c>
      <c r="I5230" s="455">
        <f t="shared" ca="1" si="185"/>
        <v>-1154167204645550.3</v>
      </c>
      <c r="J5230" s="455">
        <f t="array" ref="J5230">IFERROR(INDEX('Retirement Calculator'!K:K,MATCH('Lorri 401b'!N5230,'Retirement Calculator'!A:A,0),0),0)</f>
        <v>0</v>
      </c>
      <c r="K5230" s="455">
        <f t="shared" ca="1" si="183"/>
        <v>-4809030019356.459</v>
      </c>
      <c r="L5230" s="455">
        <f t="shared" ca="1" si="184"/>
        <v>-1158976234664906.8</v>
      </c>
      <c r="M5230" s="471">
        <f t="shared" si="186"/>
        <v>0.05</v>
      </c>
      <c r="N5230" s="475">
        <f t="shared" si="187"/>
        <v>210229</v>
      </c>
    </row>
    <row r="5231" spans="7:14" ht="11.25" customHeight="1" x14ac:dyDescent="0.3">
      <c r="G5231" s="470"/>
      <c r="H5231" s="470">
        <v>5224</v>
      </c>
      <c r="I5231" s="455">
        <f t="shared" ca="1" si="185"/>
        <v>-1158976234664906.8</v>
      </c>
      <c r="J5231" s="455">
        <f t="array" ref="J5231">IFERROR(INDEX('Retirement Calculator'!K:K,MATCH('Lorri 401b'!N5231,'Retirement Calculator'!A:A,0),0),0)</f>
        <v>0</v>
      </c>
      <c r="K5231" s="455">
        <f t="shared" ca="1" si="183"/>
        <v>-4829067644437.1113</v>
      </c>
      <c r="L5231" s="455">
        <f t="shared" ca="1" si="184"/>
        <v>-1163805302309343.8</v>
      </c>
      <c r="M5231" s="471">
        <f t="shared" si="186"/>
        <v>0.05</v>
      </c>
      <c r="N5231" s="475">
        <f t="shared" si="187"/>
        <v>210260</v>
      </c>
    </row>
    <row r="5232" spans="7:14" ht="11.25" customHeight="1" x14ac:dyDescent="0.3">
      <c r="G5232" s="470"/>
      <c r="H5232" s="470">
        <v>5225</v>
      </c>
      <c r="I5232" s="455">
        <f t="shared" ca="1" si="185"/>
        <v>-1163805302309343.8</v>
      </c>
      <c r="J5232" s="455">
        <f t="array" ref="J5232">IFERROR(INDEX('Retirement Calculator'!K:K,MATCH('Lorri 401b'!N5232,'Retirement Calculator'!A:A,0),0),0)</f>
        <v>0</v>
      </c>
      <c r="K5232" s="455">
        <f t="shared" ca="1" si="183"/>
        <v>-4849188759622.2656</v>
      </c>
      <c r="L5232" s="455">
        <f t="shared" ca="1" si="184"/>
        <v>-1168654491068966</v>
      </c>
      <c r="M5232" s="471">
        <f t="shared" si="186"/>
        <v>0.05</v>
      </c>
      <c r="N5232" s="475">
        <f t="shared" si="187"/>
        <v>210290</v>
      </c>
    </row>
    <row r="5233" spans="7:14" ht="11.25" customHeight="1" x14ac:dyDescent="0.3">
      <c r="G5233" s="470"/>
      <c r="H5233" s="470">
        <v>5226</v>
      </c>
      <c r="I5233" s="455">
        <f t="shared" ca="1" si="185"/>
        <v>-1168654491068966</v>
      </c>
      <c r="J5233" s="455">
        <f t="array" ref="J5233">IFERROR(INDEX('Retirement Calculator'!K:K,MATCH('Lorri 401b'!N5233,'Retirement Calculator'!A:A,0),0),0)</f>
        <v>0</v>
      </c>
      <c r="K5233" s="455">
        <f t="shared" ca="1" si="183"/>
        <v>-4869393712787.3584</v>
      </c>
      <c r="L5233" s="455">
        <f t="shared" ca="1" si="184"/>
        <v>-1173523884781753.3</v>
      </c>
      <c r="M5233" s="471">
        <f t="shared" si="186"/>
        <v>0.05</v>
      </c>
      <c r="N5233" s="475">
        <f t="shared" si="187"/>
        <v>210321</v>
      </c>
    </row>
    <row r="5234" spans="7:14" ht="11.25" customHeight="1" x14ac:dyDescent="0.3">
      <c r="G5234" s="470"/>
      <c r="H5234" s="470">
        <v>5227</v>
      </c>
      <c r="I5234" s="455">
        <f t="shared" ca="1" si="185"/>
        <v>-1173523884781753.3</v>
      </c>
      <c r="J5234" s="455">
        <f t="array" ref="J5234">IFERROR(INDEX('Retirement Calculator'!K:K,MATCH('Lorri 401b'!N5234,'Retirement Calculator'!A:A,0),0),0)</f>
        <v>0</v>
      </c>
      <c r="K5234" s="455">
        <f t="shared" ca="1" si="183"/>
        <v>-4889682853257.3047</v>
      </c>
      <c r="L5234" s="455">
        <f t="shared" ca="1" si="184"/>
        <v>-1178413567635010.5</v>
      </c>
      <c r="M5234" s="471">
        <f t="shared" si="186"/>
        <v>0.05</v>
      </c>
      <c r="N5234" s="475">
        <f t="shared" si="187"/>
        <v>210351</v>
      </c>
    </row>
    <row r="5235" spans="7:14" ht="11.25" customHeight="1" x14ac:dyDescent="0.3">
      <c r="G5235" s="470"/>
      <c r="H5235" s="470">
        <v>5228</v>
      </c>
      <c r="I5235" s="455">
        <f t="shared" ca="1" si="185"/>
        <v>-1178413567635010.5</v>
      </c>
      <c r="J5235" s="455">
        <f t="array" ref="J5235">IFERROR(INDEX('Retirement Calculator'!K:K,MATCH('Lorri 401b'!N5235,'Retirement Calculator'!A:A,0),0),0)</f>
        <v>0</v>
      </c>
      <c r="K5235" s="455">
        <f t="shared" ca="1" si="183"/>
        <v>-4910056531812.5439</v>
      </c>
      <c r="L5235" s="455">
        <f t="shared" ca="1" si="184"/>
        <v>-1183323624166823</v>
      </c>
      <c r="M5235" s="471">
        <f t="shared" si="186"/>
        <v>0.05</v>
      </c>
      <c r="N5235" s="475">
        <f t="shared" si="187"/>
        <v>210382</v>
      </c>
    </row>
    <row r="5236" spans="7:14" ht="11.25" customHeight="1" x14ac:dyDescent="0.3">
      <c r="G5236" s="470"/>
      <c r="H5236" s="470">
        <v>5229</v>
      </c>
      <c r="I5236" s="455">
        <f t="shared" ca="1" si="185"/>
        <v>-1183323624166823</v>
      </c>
      <c r="J5236" s="455">
        <f t="array" ref="J5236">IFERROR(INDEX('Retirement Calculator'!K:K,MATCH('Lorri 401b'!N5236,'Retirement Calculator'!A:A,0),0),0)</f>
        <v>0</v>
      </c>
      <c r="K5236" s="455">
        <f t="shared" ca="1" si="183"/>
        <v>-4930515100695.0957</v>
      </c>
      <c r="L5236" s="455">
        <f t="shared" ca="1" si="184"/>
        <v>-1188254139267518</v>
      </c>
      <c r="M5236" s="471">
        <f t="shared" si="186"/>
        <v>0.05</v>
      </c>
      <c r="N5236" s="475">
        <f t="shared" si="187"/>
        <v>210413</v>
      </c>
    </row>
    <row r="5237" spans="7:14" ht="11.25" customHeight="1" x14ac:dyDescent="0.3">
      <c r="G5237" s="470"/>
      <c r="H5237" s="470">
        <v>5230</v>
      </c>
      <c r="I5237" s="455">
        <f t="shared" ca="1" si="185"/>
        <v>-1188254139267518</v>
      </c>
      <c r="J5237" s="455">
        <f t="array" ref="J5237">IFERROR(INDEX('Retirement Calculator'!K:K,MATCH('Lorri 401b'!N5237,'Retirement Calculator'!A:A,0),0),0)</f>
        <v>0</v>
      </c>
      <c r="K5237" s="455">
        <f t="shared" ca="1" si="183"/>
        <v>-4951058913614.6582</v>
      </c>
      <c r="L5237" s="455">
        <f t="shared" ca="1" si="184"/>
        <v>-1193205198181132.8</v>
      </c>
      <c r="M5237" s="471">
        <f t="shared" si="186"/>
        <v>0.05</v>
      </c>
      <c r="N5237" s="475">
        <f t="shared" si="187"/>
        <v>210442</v>
      </c>
    </row>
    <row r="5238" spans="7:14" ht="11.25" customHeight="1" x14ac:dyDescent="0.3">
      <c r="G5238" s="470"/>
      <c r="H5238" s="470">
        <v>5231</v>
      </c>
      <c r="I5238" s="455">
        <f t="shared" ca="1" si="185"/>
        <v>-1193205198181132.8</v>
      </c>
      <c r="J5238" s="455">
        <f t="array" ref="J5238">IFERROR(INDEX('Retirement Calculator'!K:K,MATCH('Lorri 401b'!N5238,'Retirement Calculator'!A:A,0),0),0)</f>
        <v>0</v>
      </c>
      <c r="K5238" s="455">
        <f t="shared" ca="1" si="183"/>
        <v>-4971688325754.7197</v>
      </c>
      <c r="L5238" s="455">
        <f t="shared" ca="1" si="184"/>
        <v>-1198176886506887.5</v>
      </c>
      <c r="M5238" s="471">
        <f t="shared" si="186"/>
        <v>0.05</v>
      </c>
      <c r="N5238" s="475">
        <f t="shared" si="187"/>
        <v>210473</v>
      </c>
    </row>
    <row r="5239" spans="7:14" ht="11.25" customHeight="1" x14ac:dyDescent="0.3">
      <c r="G5239" s="470"/>
      <c r="H5239" s="470">
        <v>5232</v>
      </c>
      <c r="I5239" s="455">
        <f t="shared" ca="1" si="185"/>
        <v>-1198176886506887.5</v>
      </c>
      <c r="J5239" s="455">
        <f t="array" ref="J5239">IFERROR(INDEX('Retirement Calculator'!K:K,MATCH('Lorri 401b'!N5239,'Retirement Calculator'!A:A,0),0),0)</f>
        <v>0</v>
      </c>
      <c r="K5239" s="455">
        <f t="shared" ca="1" si="183"/>
        <v>-4992403693778.6982</v>
      </c>
      <c r="L5239" s="455">
        <f t="shared" ca="1" si="184"/>
        <v>-1203169290200666.3</v>
      </c>
      <c r="M5239" s="471">
        <f t="shared" si="186"/>
        <v>0.05</v>
      </c>
      <c r="N5239" s="475">
        <f t="shared" si="187"/>
        <v>210503</v>
      </c>
    </row>
    <row r="5240" spans="7:14" ht="11.25" customHeight="1" x14ac:dyDescent="0.3">
      <c r="G5240" s="470"/>
      <c r="H5240" s="470">
        <v>5233</v>
      </c>
      <c r="I5240" s="455">
        <f t="shared" ca="1" si="185"/>
        <v>-1203169290200666.3</v>
      </c>
      <c r="J5240" s="455">
        <f t="array" ref="J5240">IFERROR(INDEX('Retirement Calculator'!K:K,MATCH('Lorri 401b'!N5240,'Retirement Calculator'!A:A,0),0),0)</f>
        <v>0</v>
      </c>
      <c r="K5240" s="455">
        <f t="shared" ca="1" si="183"/>
        <v>-5013205375836.1094</v>
      </c>
      <c r="L5240" s="455">
        <f t="shared" ca="1" si="184"/>
        <v>-1208182495576502.3</v>
      </c>
      <c r="M5240" s="471">
        <f t="shared" si="186"/>
        <v>0.05</v>
      </c>
      <c r="N5240" s="475">
        <f t="shared" si="187"/>
        <v>210534</v>
      </c>
    </row>
    <row r="5241" spans="7:14" ht="11.25" customHeight="1" x14ac:dyDescent="0.3">
      <c r="G5241" s="470"/>
      <c r="H5241" s="470">
        <v>5234</v>
      </c>
      <c r="I5241" s="455">
        <f t="shared" ca="1" si="185"/>
        <v>-1208182495576502.3</v>
      </c>
      <c r="J5241" s="455">
        <f t="array" ref="J5241">IFERROR(INDEX('Retirement Calculator'!K:K,MATCH('Lorri 401b'!N5241,'Retirement Calculator'!A:A,0),0),0)</f>
        <v>0</v>
      </c>
      <c r="K5241" s="455">
        <f t="shared" ca="1" si="183"/>
        <v>-5034093731568.7598</v>
      </c>
      <c r="L5241" s="455">
        <f t="shared" ca="1" si="184"/>
        <v>-1213216589308071</v>
      </c>
      <c r="M5241" s="471">
        <f t="shared" si="186"/>
        <v>0.05</v>
      </c>
      <c r="N5241" s="475">
        <f t="shared" si="187"/>
        <v>210564</v>
      </c>
    </row>
    <row r="5242" spans="7:14" ht="11.25" customHeight="1" x14ac:dyDescent="0.3">
      <c r="G5242" s="470"/>
      <c r="H5242" s="470">
        <v>5235</v>
      </c>
      <c r="I5242" s="455">
        <f t="shared" ca="1" si="185"/>
        <v>-1213216589308071</v>
      </c>
      <c r="J5242" s="455">
        <f t="array" ref="J5242">IFERROR(INDEX('Retirement Calculator'!K:K,MATCH('Lorri 401b'!N5242,'Retirement Calculator'!A:A,0),0),0)</f>
        <v>0</v>
      </c>
      <c r="K5242" s="455">
        <f t="shared" ca="1" si="183"/>
        <v>-5055069122116.9629</v>
      </c>
      <c r="L5242" s="455">
        <f t="shared" ca="1" si="184"/>
        <v>-1218271658430188</v>
      </c>
      <c r="M5242" s="471">
        <f t="shared" si="186"/>
        <v>0.05</v>
      </c>
      <c r="N5242" s="475">
        <f t="shared" si="187"/>
        <v>210595</v>
      </c>
    </row>
    <row r="5243" spans="7:14" ht="11.25" customHeight="1" x14ac:dyDescent="0.3">
      <c r="G5243" s="470"/>
      <c r="H5243" s="470">
        <v>5236</v>
      </c>
      <c r="I5243" s="455">
        <f t="shared" ca="1" si="185"/>
        <v>-1218271658430188</v>
      </c>
      <c r="J5243" s="455">
        <f t="array" ref="J5243">IFERROR(INDEX('Retirement Calculator'!K:K,MATCH('Lorri 401b'!N5243,'Retirement Calculator'!A:A,0),0),0)</f>
        <v>0</v>
      </c>
      <c r="K5243" s="455">
        <f t="shared" ca="1" si="183"/>
        <v>-5076131910125.7832</v>
      </c>
      <c r="L5243" s="455">
        <f t="shared" ca="1" si="184"/>
        <v>-1223347790340313.8</v>
      </c>
      <c r="M5243" s="471">
        <f t="shared" si="186"/>
        <v>0.05</v>
      </c>
      <c r="N5243" s="475">
        <f t="shared" si="187"/>
        <v>210626</v>
      </c>
    </row>
    <row r="5244" spans="7:14" ht="11.25" customHeight="1" x14ac:dyDescent="0.3">
      <c r="G5244" s="470"/>
      <c r="H5244" s="470">
        <v>5237</v>
      </c>
      <c r="I5244" s="455">
        <f t="shared" ca="1" si="185"/>
        <v>-1223347790340313.8</v>
      </c>
      <c r="J5244" s="455">
        <f t="array" ref="J5244">IFERROR(INDEX('Retirement Calculator'!K:K,MATCH('Lorri 401b'!N5244,'Retirement Calculator'!A:A,0),0),0)</f>
        <v>0</v>
      </c>
      <c r="K5244" s="455">
        <f t="shared" ca="1" si="183"/>
        <v>-5097282459751.3076</v>
      </c>
      <c r="L5244" s="455">
        <f t="shared" ca="1" si="184"/>
        <v>-1228445072800065</v>
      </c>
      <c r="M5244" s="471">
        <f t="shared" si="186"/>
        <v>0.05</v>
      </c>
      <c r="N5244" s="475">
        <f t="shared" si="187"/>
        <v>210656</v>
      </c>
    </row>
    <row r="5245" spans="7:14" ht="11.25" customHeight="1" x14ac:dyDescent="0.3">
      <c r="G5245" s="470"/>
      <c r="H5245" s="470">
        <v>5238</v>
      </c>
      <c r="I5245" s="455">
        <f t="shared" ca="1" si="185"/>
        <v>-1228445072800065</v>
      </c>
      <c r="J5245" s="455">
        <f t="array" ref="J5245">IFERROR(INDEX('Retirement Calculator'!K:K,MATCH('Lorri 401b'!N5245,'Retirement Calculator'!A:A,0),0),0)</f>
        <v>0</v>
      </c>
      <c r="K5245" s="455">
        <f t="shared" ca="1" si="183"/>
        <v>-5118521136666.9375</v>
      </c>
      <c r="L5245" s="455">
        <f t="shared" ca="1" si="184"/>
        <v>-1233563593936732</v>
      </c>
      <c r="M5245" s="471">
        <f t="shared" si="186"/>
        <v>0.05</v>
      </c>
      <c r="N5245" s="475">
        <f t="shared" si="187"/>
        <v>210687</v>
      </c>
    </row>
    <row r="5246" spans="7:14" ht="11.25" customHeight="1" x14ac:dyDescent="0.3">
      <c r="G5246" s="470"/>
      <c r="H5246" s="470">
        <v>5239</v>
      </c>
      <c r="I5246" s="455">
        <f t="shared" ca="1" si="185"/>
        <v>-1233563593936732</v>
      </c>
      <c r="J5246" s="455">
        <f t="array" ref="J5246">IFERROR(INDEX('Retirement Calculator'!K:K,MATCH('Lorri 401b'!N5246,'Retirement Calculator'!A:A,0),0),0)</f>
        <v>0</v>
      </c>
      <c r="K5246" s="455">
        <f t="shared" ca="1" si="183"/>
        <v>-5139848308069.7168</v>
      </c>
      <c r="L5246" s="455">
        <f t="shared" ca="1" si="184"/>
        <v>-1238703442244801.8</v>
      </c>
      <c r="M5246" s="471">
        <f t="shared" si="186"/>
        <v>0.05</v>
      </c>
      <c r="N5246" s="475">
        <f t="shared" si="187"/>
        <v>210717</v>
      </c>
    </row>
    <row r="5247" spans="7:14" ht="11.25" customHeight="1" x14ac:dyDescent="0.3">
      <c r="G5247" s="470"/>
      <c r="H5247" s="470">
        <v>5240</v>
      </c>
      <c r="I5247" s="455">
        <f t="shared" ca="1" si="185"/>
        <v>-1238703442244801.8</v>
      </c>
      <c r="J5247" s="455">
        <f t="array" ref="J5247">IFERROR(INDEX('Retirement Calculator'!K:K,MATCH('Lorri 401b'!N5247,'Retirement Calculator'!A:A,0),0),0)</f>
        <v>0</v>
      </c>
      <c r="K5247" s="455">
        <f t="shared" ca="1" si="183"/>
        <v>-5161264342686.6738</v>
      </c>
      <c r="L5247" s="455">
        <f t="shared" ca="1" si="184"/>
        <v>-1243864706587488.5</v>
      </c>
      <c r="M5247" s="471">
        <f t="shared" si="186"/>
        <v>0.05</v>
      </c>
      <c r="N5247" s="475">
        <f t="shared" si="187"/>
        <v>210748</v>
      </c>
    </row>
    <row r="5248" spans="7:14" ht="11.25" customHeight="1" x14ac:dyDescent="0.3">
      <c r="G5248" s="470"/>
      <c r="H5248" s="470">
        <v>5241</v>
      </c>
      <c r="I5248" s="455">
        <f t="shared" ca="1" si="185"/>
        <v>-1243864706587488.5</v>
      </c>
      <c r="J5248" s="455">
        <f t="array" ref="J5248">IFERROR(INDEX('Retirement Calculator'!K:K,MATCH('Lorri 401b'!N5248,'Retirement Calculator'!A:A,0),0),0)</f>
        <v>0</v>
      </c>
      <c r="K5248" s="455">
        <f t="shared" ca="1" si="183"/>
        <v>-5182769610781.2021</v>
      </c>
      <c r="L5248" s="455">
        <f t="shared" ca="1" si="184"/>
        <v>-1249047476198269.8</v>
      </c>
      <c r="M5248" s="471">
        <f t="shared" si="186"/>
        <v>0.05</v>
      </c>
      <c r="N5248" s="475">
        <f t="shared" si="187"/>
        <v>210779</v>
      </c>
    </row>
    <row r="5249" spans="7:14" ht="11.25" customHeight="1" x14ac:dyDescent="0.3">
      <c r="G5249" s="470"/>
      <c r="H5249" s="470">
        <v>5242</v>
      </c>
      <c r="I5249" s="455">
        <f t="shared" ca="1" si="185"/>
        <v>-1249047476198269.8</v>
      </c>
      <c r="J5249" s="455">
        <f t="array" ref="J5249">IFERROR(INDEX('Retirement Calculator'!K:K,MATCH('Lorri 401b'!N5249,'Retirement Calculator'!A:A,0),0),0)</f>
        <v>0</v>
      </c>
      <c r="K5249" s="455">
        <f t="shared" ca="1" si="183"/>
        <v>-5204364484159.457</v>
      </c>
      <c r="L5249" s="455">
        <f t="shared" ca="1" si="184"/>
        <v>-1254251840682429.3</v>
      </c>
      <c r="M5249" s="471">
        <f t="shared" si="186"/>
        <v>0.05</v>
      </c>
      <c r="N5249" s="475">
        <f t="shared" si="187"/>
        <v>210807</v>
      </c>
    </row>
    <row r="5250" spans="7:14" ht="11.25" customHeight="1" x14ac:dyDescent="0.3">
      <c r="G5250" s="470"/>
      <c r="H5250" s="470">
        <v>5243</v>
      </c>
      <c r="I5250" s="455">
        <f t="shared" ca="1" si="185"/>
        <v>-1254251840682429.3</v>
      </c>
      <c r="J5250" s="455">
        <f t="array" ref="J5250">IFERROR(INDEX('Retirement Calculator'!K:K,MATCH('Lorri 401b'!N5250,'Retirement Calculator'!A:A,0),0),0)</f>
        <v>0</v>
      </c>
      <c r="K5250" s="455">
        <f t="shared" ca="1" si="183"/>
        <v>-5226049336176.7881</v>
      </c>
      <c r="L5250" s="455">
        <f t="shared" ca="1" si="184"/>
        <v>-1259477890018606</v>
      </c>
      <c r="M5250" s="471">
        <f t="shared" si="186"/>
        <v>0.05</v>
      </c>
      <c r="N5250" s="475">
        <f t="shared" si="187"/>
        <v>210838</v>
      </c>
    </row>
    <row r="5251" spans="7:14" ht="11.25" customHeight="1" x14ac:dyDescent="0.3">
      <c r="G5251" s="470"/>
      <c r="H5251" s="470">
        <v>5244</v>
      </c>
      <c r="I5251" s="455">
        <f t="shared" ca="1" si="185"/>
        <v>-1259477890018606</v>
      </c>
      <c r="J5251" s="455">
        <f t="array" ref="J5251">IFERROR(INDEX('Retirement Calculator'!K:K,MATCH('Lorri 401b'!N5251,'Retirement Calculator'!A:A,0),0),0)</f>
        <v>0</v>
      </c>
      <c r="K5251" s="455">
        <f t="shared" ca="1" si="183"/>
        <v>-5247824541744.1914</v>
      </c>
      <c r="L5251" s="455">
        <f t="shared" ca="1" si="184"/>
        <v>-1264725714560350.3</v>
      </c>
      <c r="M5251" s="471">
        <f t="shared" si="186"/>
        <v>0.05</v>
      </c>
      <c r="N5251" s="475">
        <f t="shared" si="187"/>
        <v>210868</v>
      </c>
    </row>
    <row r="5252" spans="7:14" ht="11.25" customHeight="1" x14ac:dyDescent="0.3">
      <c r="G5252" s="470"/>
      <c r="H5252" s="470">
        <v>5245</v>
      </c>
      <c r="I5252" s="455">
        <f t="shared" ca="1" si="185"/>
        <v>-1264725714560350.3</v>
      </c>
      <c r="J5252" s="455">
        <f t="array" ref="J5252">IFERROR(INDEX('Retirement Calculator'!K:K,MATCH('Lorri 401b'!N5252,'Retirement Calculator'!A:A,0),0),0)</f>
        <v>0</v>
      </c>
      <c r="K5252" s="455">
        <f t="shared" ca="1" si="183"/>
        <v>-5269690477334.793</v>
      </c>
      <c r="L5252" s="455">
        <f t="shared" ca="1" si="184"/>
        <v>-1269995405037685</v>
      </c>
      <c r="M5252" s="471">
        <f t="shared" si="186"/>
        <v>0.05</v>
      </c>
      <c r="N5252" s="475">
        <f t="shared" si="187"/>
        <v>210899</v>
      </c>
    </row>
    <row r="5253" spans="7:14" ht="11.25" customHeight="1" x14ac:dyDescent="0.3">
      <c r="G5253" s="470"/>
      <c r="H5253" s="470">
        <v>5246</v>
      </c>
      <c r="I5253" s="455">
        <f t="shared" ca="1" si="185"/>
        <v>-1269995405037685</v>
      </c>
      <c r="J5253" s="455">
        <f t="array" ref="J5253">IFERROR(INDEX('Retirement Calculator'!K:K,MATCH('Lorri 401b'!N5253,'Retirement Calculator'!A:A,0),0),0)</f>
        <v>0</v>
      </c>
      <c r="K5253" s="455">
        <f t="shared" ca="1" si="183"/>
        <v>-5291647520990.3545</v>
      </c>
      <c r="L5253" s="455">
        <f t="shared" ca="1" si="184"/>
        <v>-1275287052558675.3</v>
      </c>
      <c r="M5253" s="471">
        <f t="shared" si="186"/>
        <v>0.05</v>
      </c>
      <c r="N5253" s="475">
        <f t="shared" si="187"/>
        <v>210929</v>
      </c>
    </row>
    <row r="5254" spans="7:14" ht="11.25" customHeight="1" x14ac:dyDescent="0.3">
      <c r="G5254" s="470"/>
      <c r="H5254" s="470">
        <v>5247</v>
      </c>
      <c r="I5254" s="455">
        <f t="shared" ca="1" si="185"/>
        <v>-1275287052558675.3</v>
      </c>
      <c r="J5254" s="455">
        <f t="array" ref="J5254">IFERROR(INDEX('Retirement Calculator'!K:K,MATCH('Lorri 401b'!N5254,'Retirement Calculator'!A:A,0),0),0)</f>
        <v>0</v>
      </c>
      <c r="K5254" s="455">
        <f t="shared" ca="1" si="183"/>
        <v>-5313696052327.8135</v>
      </c>
      <c r="L5254" s="455">
        <f t="shared" ca="1" si="184"/>
        <v>-1280600748611003</v>
      </c>
      <c r="M5254" s="471">
        <f t="shared" si="186"/>
        <v>0.05</v>
      </c>
      <c r="N5254" s="475">
        <f t="shared" si="187"/>
        <v>210960</v>
      </c>
    </row>
    <row r="5255" spans="7:14" ht="11.25" customHeight="1" x14ac:dyDescent="0.3">
      <c r="G5255" s="470"/>
      <c r="H5255" s="470">
        <v>5248</v>
      </c>
      <c r="I5255" s="455">
        <f t="shared" ca="1" si="185"/>
        <v>-1280600748611003</v>
      </c>
      <c r="J5255" s="455">
        <f t="array" ref="J5255">IFERROR(INDEX('Retirement Calculator'!K:K,MATCH('Lorri 401b'!N5255,'Retirement Calculator'!A:A,0),0),0)</f>
        <v>0</v>
      </c>
      <c r="K5255" s="455">
        <f t="shared" ca="1" si="183"/>
        <v>-5335836452545.8457</v>
      </c>
      <c r="L5255" s="455">
        <f t="shared" ca="1" si="184"/>
        <v>-1285936585063548.8</v>
      </c>
      <c r="M5255" s="471">
        <f t="shared" si="186"/>
        <v>0.05</v>
      </c>
      <c r="N5255" s="475">
        <f t="shared" si="187"/>
        <v>210991</v>
      </c>
    </row>
    <row r="5256" spans="7:14" ht="11.25" customHeight="1" x14ac:dyDescent="0.3">
      <c r="G5256" s="470"/>
      <c r="H5256" s="470">
        <v>5249</v>
      </c>
      <c r="I5256" s="455">
        <f t="shared" ca="1" si="185"/>
        <v>-1285936585063548.8</v>
      </c>
      <c r="J5256" s="455">
        <f t="array" ref="J5256">IFERROR(INDEX('Retirement Calculator'!K:K,MATCH('Lorri 401b'!N5256,'Retirement Calculator'!A:A,0),0),0)</f>
        <v>0</v>
      </c>
      <c r="K5256" s="455">
        <f t="shared" ca="1" si="183"/>
        <v>-5358069104431.4531</v>
      </c>
      <c r="L5256" s="455">
        <f t="shared" ca="1" si="184"/>
        <v>-1291294654167980.3</v>
      </c>
      <c r="M5256" s="471">
        <f t="shared" si="186"/>
        <v>0.05</v>
      </c>
      <c r="N5256" s="475">
        <f t="shared" si="187"/>
        <v>211021</v>
      </c>
    </row>
    <row r="5257" spans="7:14" ht="11.25" customHeight="1" x14ac:dyDescent="0.3">
      <c r="G5257" s="470"/>
      <c r="H5257" s="470">
        <v>5250</v>
      </c>
      <c r="I5257" s="455">
        <f t="shared" ca="1" si="185"/>
        <v>-1291294654167980.3</v>
      </c>
      <c r="J5257" s="455">
        <f t="array" ref="J5257">IFERROR(INDEX('Retirement Calculator'!K:K,MATCH('Lorri 401b'!N5257,'Retirement Calculator'!A:A,0),0),0)</f>
        <v>0</v>
      </c>
      <c r="K5257" s="455">
        <f t="shared" ca="1" si="183"/>
        <v>-5380394392366.584</v>
      </c>
      <c r="L5257" s="455">
        <f t="shared" ca="1" si="184"/>
        <v>-1296675048560346.8</v>
      </c>
      <c r="M5257" s="471">
        <f t="shared" si="186"/>
        <v>0.05</v>
      </c>
      <c r="N5257" s="475">
        <f t="shared" si="187"/>
        <v>211052</v>
      </c>
    </row>
    <row r="5258" spans="7:14" ht="11.25" customHeight="1" x14ac:dyDescent="0.3">
      <c r="G5258" s="470"/>
      <c r="H5258" s="470">
        <v>5251</v>
      </c>
      <c r="I5258" s="455">
        <f t="shared" ca="1" si="185"/>
        <v>-1296675048560346.8</v>
      </c>
      <c r="J5258" s="455">
        <f t="array" ref="J5258">IFERROR(INDEX('Retirement Calculator'!K:K,MATCH('Lorri 401b'!N5258,'Retirement Calculator'!A:A,0),0),0)</f>
        <v>0</v>
      </c>
      <c r="K5258" s="455">
        <f t="shared" ca="1" si="183"/>
        <v>-5402812702334.7783</v>
      </c>
      <c r="L5258" s="455">
        <f t="shared" ca="1" si="184"/>
        <v>-1302077861262681.5</v>
      </c>
      <c r="M5258" s="471">
        <f t="shared" si="186"/>
        <v>0.05</v>
      </c>
      <c r="N5258" s="475">
        <f t="shared" si="187"/>
        <v>211082</v>
      </c>
    </row>
    <row r="5259" spans="7:14" ht="11.25" customHeight="1" x14ac:dyDescent="0.3">
      <c r="G5259" s="470"/>
      <c r="H5259" s="470">
        <v>5252</v>
      </c>
      <c r="I5259" s="455">
        <f t="shared" ca="1" si="185"/>
        <v>-1302077861262681.5</v>
      </c>
      <c r="J5259" s="455">
        <f t="array" ref="J5259">IFERROR(INDEX('Retirement Calculator'!K:K,MATCH('Lorri 401b'!N5259,'Retirement Calculator'!A:A,0),0),0)</f>
        <v>0</v>
      </c>
      <c r="K5259" s="455">
        <f t="shared" ca="1" si="183"/>
        <v>-5425324421927.8398</v>
      </c>
      <c r="L5259" s="455">
        <f t="shared" ca="1" si="184"/>
        <v>-1307503185684609.3</v>
      </c>
      <c r="M5259" s="471">
        <f t="shared" si="186"/>
        <v>0.05</v>
      </c>
      <c r="N5259" s="475">
        <f t="shared" si="187"/>
        <v>211113</v>
      </c>
    </row>
    <row r="5260" spans="7:14" ht="11.25" customHeight="1" x14ac:dyDescent="0.3">
      <c r="G5260" s="470"/>
      <c r="H5260" s="470">
        <v>5253</v>
      </c>
      <c r="I5260" s="455">
        <f t="shared" ca="1" si="185"/>
        <v>-1307503185684609.3</v>
      </c>
      <c r="J5260" s="455">
        <f t="array" ref="J5260">IFERROR(INDEX('Retirement Calculator'!K:K,MATCH('Lorri 401b'!N5260,'Retirement Calculator'!A:A,0),0),0)</f>
        <v>0</v>
      </c>
      <c r="K5260" s="455">
        <f t="shared" ca="1" si="183"/>
        <v>-5447929940352.5381</v>
      </c>
      <c r="L5260" s="455">
        <f t="shared" ca="1" si="184"/>
        <v>-1312951115624961.8</v>
      </c>
      <c r="M5260" s="471">
        <f t="shared" si="186"/>
        <v>0.05</v>
      </c>
      <c r="N5260" s="475">
        <f t="shared" si="187"/>
        <v>211144</v>
      </c>
    </row>
    <row r="5261" spans="7:14" ht="11.25" customHeight="1" x14ac:dyDescent="0.3">
      <c r="G5261" s="470"/>
      <c r="H5261" s="470">
        <v>5254</v>
      </c>
      <c r="I5261" s="455">
        <f t="shared" ca="1" si="185"/>
        <v>-1312951115624961.8</v>
      </c>
      <c r="J5261" s="455">
        <f t="array" ref="J5261">IFERROR(INDEX('Retirement Calculator'!K:K,MATCH('Lorri 401b'!N5261,'Retirement Calculator'!A:A,0),0),0)</f>
        <v>0</v>
      </c>
      <c r="K5261" s="455">
        <f t="shared" ca="1" si="183"/>
        <v>-5470629648437.3408</v>
      </c>
      <c r="L5261" s="455">
        <f t="shared" ca="1" si="184"/>
        <v>-1318421745273399</v>
      </c>
      <c r="M5261" s="471">
        <f t="shared" si="186"/>
        <v>0.05</v>
      </c>
      <c r="N5261" s="475">
        <f t="shared" si="187"/>
        <v>211172</v>
      </c>
    </row>
    <row r="5262" spans="7:14" ht="11.25" customHeight="1" x14ac:dyDescent="0.3">
      <c r="G5262" s="470"/>
      <c r="H5262" s="470">
        <v>5255</v>
      </c>
      <c r="I5262" s="455">
        <f t="shared" ca="1" si="185"/>
        <v>-1318421745273399</v>
      </c>
      <c r="J5262" s="455">
        <f t="array" ref="J5262">IFERROR(INDEX('Retirement Calculator'!K:K,MATCH('Lorri 401b'!N5262,'Retirement Calculator'!A:A,0),0),0)</f>
        <v>0</v>
      </c>
      <c r="K5262" s="455">
        <f t="shared" ca="1" si="183"/>
        <v>-5493423938639.1621</v>
      </c>
      <c r="L5262" s="455">
        <f t="shared" ca="1" si="184"/>
        <v>-1323915169212038.3</v>
      </c>
      <c r="M5262" s="471">
        <f t="shared" si="186"/>
        <v>0.05</v>
      </c>
      <c r="N5262" s="475">
        <f t="shared" si="187"/>
        <v>211203</v>
      </c>
    </row>
    <row r="5263" spans="7:14" ht="11.25" customHeight="1" x14ac:dyDescent="0.3">
      <c r="G5263" s="470"/>
      <c r="H5263" s="470">
        <v>5256</v>
      </c>
      <c r="I5263" s="455">
        <f t="shared" ca="1" si="185"/>
        <v>-1323915169212038.3</v>
      </c>
      <c r="J5263" s="455">
        <f t="array" ref="J5263">IFERROR(INDEX('Retirement Calculator'!K:K,MATCH('Lorri 401b'!N5263,'Retirement Calculator'!A:A,0),0),0)</f>
        <v>0</v>
      </c>
      <c r="K5263" s="455">
        <f t="shared" ca="1" si="183"/>
        <v>-5516313205050.1592</v>
      </c>
      <c r="L5263" s="455">
        <f t="shared" ca="1" si="184"/>
        <v>-1329431482417088.5</v>
      </c>
      <c r="M5263" s="471">
        <f t="shared" si="186"/>
        <v>0.05</v>
      </c>
      <c r="N5263" s="475">
        <f t="shared" si="187"/>
        <v>211233</v>
      </c>
    </row>
    <row r="5264" spans="7:14" ht="11.25" customHeight="1" x14ac:dyDescent="0.3">
      <c r="G5264" s="470"/>
      <c r="H5264" s="470">
        <v>5257</v>
      </c>
      <c r="I5264" s="455">
        <f t="shared" ca="1" si="185"/>
        <v>-1329431482417088.5</v>
      </c>
      <c r="J5264" s="455">
        <f t="array" ref="J5264">IFERROR(INDEX('Retirement Calculator'!K:K,MATCH('Lorri 401b'!N5264,'Retirement Calculator'!A:A,0),0),0)</f>
        <v>0</v>
      </c>
      <c r="K5264" s="455">
        <f t="shared" ca="1" si="183"/>
        <v>-5539297843404.5352</v>
      </c>
      <c r="L5264" s="455">
        <f t="shared" ca="1" si="184"/>
        <v>-1334970780260493</v>
      </c>
      <c r="M5264" s="471">
        <f t="shared" si="186"/>
        <v>0.05</v>
      </c>
      <c r="N5264" s="475">
        <f t="shared" si="187"/>
        <v>211264</v>
      </c>
    </row>
    <row r="5265" spans="7:14" ht="11.25" customHeight="1" x14ac:dyDescent="0.3">
      <c r="G5265" s="470"/>
      <c r="H5265" s="470">
        <v>5258</v>
      </c>
      <c r="I5265" s="455">
        <f t="shared" ca="1" si="185"/>
        <v>-1334970780260493</v>
      </c>
      <c r="J5265" s="455">
        <f t="array" ref="J5265">IFERROR(INDEX('Retirement Calculator'!K:K,MATCH('Lorri 401b'!N5265,'Retirement Calculator'!A:A,0),0),0)</f>
        <v>0</v>
      </c>
      <c r="K5265" s="455">
        <f t="shared" ca="1" si="183"/>
        <v>-5562378251085.3877</v>
      </c>
      <c r="L5265" s="455">
        <f t="shared" ca="1" si="184"/>
        <v>-1340533158511578.5</v>
      </c>
      <c r="M5265" s="471">
        <f t="shared" si="186"/>
        <v>0.05</v>
      </c>
      <c r="N5265" s="475">
        <f t="shared" si="187"/>
        <v>211294</v>
      </c>
    </row>
    <row r="5266" spans="7:14" ht="11.25" customHeight="1" x14ac:dyDescent="0.3">
      <c r="G5266" s="470"/>
      <c r="H5266" s="470">
        <v>5259</v>
      </c>
      <c r="I5266" s="455">
        <f t="shared" ca="1" si="185"/>
        <v>-1340533158511578.5</v>
      </c>
      <c r="J5266" s="455">
        <f t="array" ref="J5266">IFERROR(INDEX('Retirement Calculator'!K:K,MATCH('Lorri 401b'!N5266,'Retirement Calculator'!A:A,0),0),0)</f>
        <v>0</v>
      </c>
      <c r="K5266" s="455">
        <f t="shared" ca="1" si="183"/>
        <v>-5585554827131.5771</v>
      </c>
      <c r="L5266" s="455">
        <f t="shared" ca="1" si="184"/>
        <v>-1346118713338710</v>
      </c>
      <c r="M5266" s="471">
        <f t="shared" si="186"/>
        <v>0.05</v>
      </c>
      <c r="N5266" s="475">
        <f t="shared" si="187"/>
        <v>211325</v>
      </c>
    </row>
    <row r="5267" spans="7:14" ht="11.25" customHeight="1" x14ac:dyDescent="0.3">
      <c r="G5267" s="470"/>
      <c r="H5267" s="470">
        <v>5260</v>
      </c>
      <c r="I5267" s="455">
        <f t="shared" ca="1" si="185"/>
        <v>-1346118713338710</v>
      </c>
      <c r="J5267" s="455">
        <f t="array" ref="J5267">IFERROR(INDEX('Retirement Calculator'!K:K,MATCH('Lorri 401b'!N5267,'Retirement Calculator'!A:A,0),0),0)</f>
        <v>0</v>
      </c>
      <c r="K5267" s="455">
        <f t="shared" ca="1" si="183"/>
        <v>-5608827972244.625</v>
      </c>
      <c r="L5267" s="455">
        <f t="shared" ca="1" si="184"/>
        <v>-1351727541310954.5</v>
      </c>
      <c r="M5267" s="471">
        <f t="shared" si="186"/>
        <v>0.05</v>
      </c>
      <c r="N5267" s="475">
        <f t="shared" si="187"/>
        <v>211356</v>
      </c>
    </row>
    <row r="5268" spans="7:14" ht="11.25" customHeight="1" x14ac:dyDescent="0.3">
      <c r="G5268" s="470"/>
      <c r="H5268" s="470">
        <v>5261</v>
      </c>
      <c r="I5268" s="455">
        <f t="shared" ca="1" si="185"/>
        <v>-1351727541310954.5</v>
      </c>
      <c r="J5268" s="455">
        <f t="array" ref="J5268">IFERROR(INDEX('Retirement Calculator'!K:K,MATCH('Lorri 401b'!N5268,'Retirement Calculator'!A:A,0),0),0)</f>
        <v>0</v>
      </c>
      <c r="K5268" s="455">
        <f t="shared" ca="1" si="183"/>
        <v>-5632198088795.6436</v>
      </c>
      <c r="L5268" s="455">
        <f t="shared" ca="1" si="184"/>
        <v>-1357359739399750.3</v>
      </c>
      <c r="M5268" s="471">
        <f t="shared" si="186"/>
        <v>0.05</v>
      </c>
      <c r="N5268" s="475">
        <f t="shared" si="187"/>
        <v>211386</v>
      </c>
    </row>
    <row r="5269" spans="7:14" ht="11.25" customHeight="1" x14ac:dyDescent="0.3">
      <c r="G5269" s="470"/>
      <c r="H5269" s="470">
        <v>5262</v>
      </c>
      <c r="I5269" s="455">
        <f t="shared" ca="1" si="185"/>
        <v>-1357359739399750.3</v>
      </c>
      <c r="J5269" s="455">
        <f t="array" ref="J5269">IFERROR(INDEX('Retirement Calculator'!K:K,MATCH('Lorri 401b'!N5269,'Retirement Calculator'!A:A,0),0),0)</f>
        <v>0</v>
      </c>
      <c r="K5269" s="455">
        <f t="shared" ca="1" si="183"/>
        <v>-5655665580832.293</v>
      </c>
      <c r="L5269" s="455">
        <f t="shared" ca="1" si="184"/>
        <v>-1363015404980582.5</v>
      </c>
      <c r="M5269" s="471">
        <f t="shared" si="186"/>
        <v>0.05</v>
      </c>
      <c r="N5269" s="475">
        <f t="shared" si="187"/>
        <v>211417</v>
      </c>
    </row>
    <row r="5270" spans="7:14" ht="11.25" customHeight="1" x14ac:dyDescent="0.3">
      <c r="G5270" s="470"/>
      <c r="H5270" s="470">
        <v>5263</v>
      </c>
      <c r="I5270" s="455">
        <f t="shared" ca="1" si="185"/>
        <v>-1363015404980582.5</v>
      </c>
      <c r="J5270" s="455">
        <f t="array" ref="J5270">IFERROR(INDEX('Retirement Calculator'!K:K,MATCH('Lorri 401b'!N5270,'Retirement Calculator'!A:A,0),0),0)</f>
        <v>0</v>
      </c>
      <c r="K5270" s="455">
        <f t="shared" ca="1" si="183"/>
        <v>-5679230854085.7607</v>
      </c>
      <c r="L5270" s="455">
        <f t="shared" ca="1" si="184"/>
        <v>-1368694635834668.3</v>
      </c>
      <c r="M5270" s="471">
        <f t="shared" si="186"/>
        <v>0.05</v>
      </c>
      <c r="N5270" s="475">
        <f t="shared" si="187"/>
        <v>211447</v>
      </c>
    </row>
    <row r="5271" spans="7:14" ht="11.25" customHeight="1" x14ac:dyDescent="0.3">
      <c r="G5271" s="470"/>
      <c r="H5271" s="470">
        <v>5264</v>
      </c>
      <c r="I5271" s="455">
        <f t="shared" ca="1" si="185"/>
        <v>-1368694635834668.3</v>
      </c>
      <c r="J5271" s="455">
        <f t="array" ref="J5271">IFERROR(INDEX('Retirement Calculator'!K:K,MATCH('Lorri 401b'!N5271,'Retirement Calculator'!A:A,0),0),0)</f>
        <v>0</v>
      </c>
      <c r="K5271" s="455">
        <f t="shared" ca="1" si="183"/>
        <v>-5702894315977.7842</v>
      </c>
      <c r="L5271" s="455">
        <f t="shared" ca="1" si="184"/>
        <v>-1374397530150646</v>
      </c>
      <c r="M5271" s="471">
        <f t="shared" si="186"/>
        <v>0.05</v>
      </c>
      <c r="N5271" s="475">
        <f t="shared" si="187"/>
        <v>211478</v>
      </c>
    </row>
    <row r="5272" spans="7:14" ht="11.25" customHeight="1" x14ac:dyDescent="0.3">
      <c r="G5272" s="470"/>
      <c r="H5272" s="470">
        <v>5265</v>
      </c>
      <c r="I5272" s="455">
        <f t="shared" ca="1" si="185"/>
        <v>-1374397530150646</v>
      </c>
      <c r="J5272" s="455">
        <f t="array" ref="J5272">IFERROR(INDEX('Retirement Calculator'!K:K,MATCH('Lorri 401b'!N5272,'Retirement Calculator'!A:A,0),0),0)</f>
        <v>0</v>
      </c>
      <c r="K5272" s="455">
        <f t="shared" ca="1" si="183"/>
        <v>-5726656375627.6914</v>
      </c>
      <c r="L5272" s="455">
        <f t="shared" ca="1" si="184"/>
        <v>-1380124186526273.8</v>
      </c>
      <c r="M5272" s="471">
        <f t="shared" si="186"/>
        <v>0.05</v>
      </c>
      <c r="N5272" s="475">
        <f t="shared" si="187"/>
        <v>211509</v>
      </c>
    </row>
    <row r="5273" spans="7:14" ht="11.25" customHeight="1" x14ac:dyDescent="0.3">
      <c r="G5273" s="470"/>
      <c r="H5273" s="470">
        <v>5266</v>
      </c>
      <c r="I5273" s="455">
        <f t="shared" ca="1" si="185"/>
        <v>-1380124186526273.8</v>
      </c>
      <c r="J5273" s="455">
        <f t="array" ref="J5273">IFERROR(INDEX('Retirement Calculator'!K:K,MATCH('Lorri 401b'!N5273,'Retirement Calculator'!A:A,0),0),0)</f>
        <v>0</v>
      </c>
      <c r="K5273" s="455">
        <f t="shared" ca="1" si="183"/>
        <v>-5750517443859.4736</v>
      </c>
      <c r="L5273" s="455">
        <f t="shared" ca="1" si="184"/>
        <v>-1385874703970133.3</v>
      </c>
      <c r="M5273" s="471">
        <f t="shared" si="186"/>
        <v>0.05</v>
      </c>
      <c r="N5273" s="475">
        <f t="shared" si="187"/>
        <v>211537</v>
      </c>
    </row>
    <row r="5274" spans="7:14" ht="11.25" customHeight="1" x14ac:dyDescent="0.3">
      <c r="G5274" s="470"/>
      <c r="H5274" s="470">
        <v>5267</v>
      </c>
      <c r="I5274" s="455">
        <f t="shared" ca="1" si="185"/>
        <v>-1385874703970133.3</v>
      </c>
      <c r="J5274" s="455">
        <f t="array" ref="J5274">IFERROR(INDEX('Retirement Calculator'!K:K,MATCH('Lorri 401b'!N5274,'Retirement Calculator'!A:A,0),0),0)</f>
        <v>0</v>
      </c>
      <c r="K5274" s="455">
        <f t="shared" ca="1" si="183"/>
        <v>-5774477933208.8887</v>
      </c>
      <c r="L5274" s="455">
        <f t="shared" ca="1" si="184"/>
        <v>-1391649181903342.3</v>
      </c>
      <c r="M5274" s="471">
        <f t="shared" si="186"/>
        <v>0.05</v>
      </c>
      <c r="N5274" s="475">
        <f t="shared" si="187"/>
        <v>211568</v>
      </c>
    </row>
    <row r="5275" spans="7:14" ht="11.25" customHeight="1" x14ac:dyDescent="0.3">
      <c r="G5275" s="470"/>
      <c r="H5275" s="470">
        <v>5268</v>
      </c>
      <c r="I5275" s="455">
        <f t="shared" ca="1" si="185"/>
        <v>-1391649181903342.3</v>
      </c>
      <c r="J5275" s="455">
        <f t="array" ref="J5275">IFERROR(INDEX('Retirement Calculator'!K:K,MATCH('Lorri 401b'!N5275,'Retirement Calculator'!A:A,0),0),0)</f>
        <v>0</v>
      </c>
      <c r="K5275" s="455">
        <f t="shared" ca="1" si="183"/>
        <v>-5798538257930.5928</v>
      </c>
      <c r="L5275" s="455">
        <f t="shared" ca="1" si="184"/>
        <v>-1397447720161272.8</v>
      </c>
      <c r="M5275" s="471">
        <f t="shared" si="186"/>
        <v>0.05</v>
      </c>
      <c r="N5275" s="475">
        <f t="shared" si="187"/>
        <v>211598</v>
      </c>
    </row>
    <row r="5276" spans="7:14" ht="11.25" customHeight="1" x14ac:dyDescent="0.3">
      <c r="G5276" s="470"/>
      <c r="H5276" s="470">
        <v>5269</v>
      </c>
      <c r="I5276" s="455">
        <f t="shared" ca="1" si="185"/>
        <v>-1397447720161272.8</v>
      </c>
      <c r="J5276" s="455">
        <f t="array" ref="J5276">IFERROR(INDEX('Retirement Calculator'!K:K,MATCH('Lorri 401b'!N5276,'Retirement Calculator'!A:A,0),0),0)</f>
        <v>0</v>
      </c>
      <c r="K5276" s="455">
        <f t="shared" ca="1" si="183"/>
        <v>-5822698834005.3027</v>
      </c>
      <c r="L5276" s="455">
        <f t="shared" ca="1" si="184"/>
        <v>-1403270418995278</v>
      </c>
      <c r="M5276" s="471">
        <f t="shared" si="186"/>
        <v>0.05</v>
      </c>
      <c r="N5276" s="475">
        <f t="shared" si="187"/>
        <v>211629</v>
      </c>
    </row>
    <row r="5277" spans="7:14" ht="11.25" customHeight="1" x14ac:dyDescent="0.3">
      <c r="G5277" s="470"/>
      <c r="H5277" s="470">
        <v>5270</v>
      </c>
      <c r="I5277" s="455">
        <f t="shared" ca="1" si="185"/>
        <v>-1403270418995278</v>
      </c>
      <c r="J5277" s="455">
        <f t="array" ref="J5277">IFERROR(INDEX('Retirement Calculator'!K:K,MATCH('Lorri 401b'!N5277,'Retirement Calculator'!A:A,0),0),0)</f>
        <v>0</v>
      </c>
      <c r="K5277" s="455">
        <f t="shared" ca="1" si="183"/>
        <v>-5846960079146.9912</v>
      </c>
      <c r="L5277" s="455">
        <f t="shared" ca="1" si="184"/>
        <v>-1409117379074425</v>
      </c>
      <c r="M5277" s="471">
        <f t="shared" si="186"/>
        <v>0.05</v>
      </c>
      <c r="N5277" s="475">
        <f t="shared" si="187"/>
        <v>211659</v>
      </c>
    </row>
    <row r="5278" spans="7:14" ht="11.25" customHeight="1" x14ac:dyDescent="0.3">
      <c r="G5278" s="470"/>
      <c r="H5278" s="470">
        <v>5271</v>
      </c>
      <c r="I5278" s="455">
        <f t="shared" ca="1" si="185"/>
        <v>-1409117379074425</v>
      </c>
      <c r="J5278" s="455">
        <f t="array" ref="J5278">IFERROR(INDEX('Retirement Calculator'!K:K,MATCH('Lorri 401b'!N5278,'Retirement Calculator'!A:A,0),0),0)</f>
        <v>0</v>
      </c>
      <c r="K5278" s="455">
        <f t="shared" ca="1" si="183"/>
        <v>-5871322412810.1045</v>
      </c>
      <c r="L5278" s="455">
        <f t="shared" ca="1" si="184"/>
        <v>-1414988701487235</v>
      </c>
      <c r="M5278" s="471">
        <f t="shared" si="186"/>
        <v>0.05</v>
      </c>
      <c r="N5278" s="475">
        <f t="shared" si="187"/>
        <v>211690</v>
      </c>
    </row>
    <row r="5279" spans="7:14" ht="11.25" customHeight="1" x14ac:dyDescent="0.3">
      <c r="G5279" s="470"/>
      <c r="H5279" s="470">
        <v>5272</v>
      </c>
      <c r="I5279" s="455">
        <f t="shared" ca="1" si="185"/>
        <v>-1414988701487235</v>
      </c>
      <c r="J5279" s="455">
        <f t="array" ref="J5279">IFERROR(INDEX('Retirement Calculator'!K:K,MATCH('Lorri 401b'!N5279,'Retirement Calculator'!A:A,0),0),0)</f>
        <v>0</v>
      </c>
      <c r="K5279" s="455">
        <f t="shared" ca="1" si="183"/>
        <v>-5895786256196.8125</v>
      </c>
      <c r="L5279" s="455">
        <f t="shared" ca="1" si="184"/>
        <v>-1420884487743431.8</v>
      </c>
      <c r="M5279" s="471">
        <f t="shared" si="186"/>
        <v>0.05</v>
      </c>
      <c r="N5279" s="475">
        <f t="shared" si="187"/>
        <v>211721</v>
      </c>
    </row>
    <row r="5280" spans="7:14" ht="11.25" customHeight="1" x14ac:dyDescent="0.3">
      <c r="G5280" s="470"/>
      <c r="H5280" s="470">
        <v>5273</v>
      </c>
      <c r="I5280" s="455">
        <f t="shared" ca="1" si="185"/>
        <v>-1420884487743431.8</v>
      </c>
      <c r="J5280" s="455">
        <f t="array" ref="J5280">IFERROR(INDEX('Retirement Calculator'!K:K,MATCH('Lorri 401b'!N5280,'Retirement Calculator'!A:A,0),0),0)</f>
        <v>0</v>
      </c>
      <c r="K5280" s="455">
        <f t="shared" ca="1" si="183"/>
        <v>-5920352032264.2988</v>
      </c>
      <c r="L5280" s="455">
        <f t="shared" ca="1" si="184"/>
        <v>-1426804839775696</v>
      </c>
      <c r="M5280" s="471">
        <f t="shared" si="186"/>
        <v>0.05</v>
      </c>
      <c r="N5280" s="475">
        <f t="shared" si="187"/>
        <v>211751</v>
      </c>
    </row>
    <row r="5281" spans="7:14" ht="11.25" customHeight="1" x14ac:dyDescent="0.3">
      <c r="G5281" s="470"/>
      <c r="H5281" s="470">
        <v>5274</v>
      </c>
      <c r="I5281" s="455">
        <f t="shared" ca="1" si="185"/>
        <v>-1426804839775696</v>
      </c>
      <c r="J5281" s="455">
        <f t="array" ref="J5281">IFERROR(INDEX('Retirement Calculator'!K:K,MATCH('Lorri 401b'!N5281,'Retirement Calculator'!A:A,0),0),0)</f>
        <v>0</v>
      </c>
      <c r="K5281" s="455">
        <f t="shared" ca="1" si="183"/>
        <v>-5945020165732.0664</v>
      </c>
      <c r="L5281" s="455">
        <f t="shared" ca="1" si="184"/>
        <v>-1432749859941428</v>
      </c>
      <c r="M5281" s="471">
        <f t="shared" si="186"/>
        <v>0.05</v>
      </c>
      <c r="N5281" s="475">
        <f t="shared" si="187"/>
        <v>211782</v>
      </c>
    </row>
    <row r="5282" spans="7:14" ht="11.25" customHeight="1" x14ac:dyDescent="0.3">
      <c r="G5282" s="470"/>
      <c r="H5282" s="470">
        <v>5275</v>
      </c>
      <c r="I5282" s="455">
        <f t="shared" ca="1" si="185"/>
        <v>-1432749859941428</v>
      </c>
      <c r="J5282" s="455">
        <f t="array" ref="J5282">IFERROR(INDEX('Retirement Calculator'!K:K,MATCH('Lorri 401b'!N5282,'Retirement Calculator'!A:A,0),0),0)</f>
        <v>0</v>
      </c>
      <c r="K5282" s="455">
        <f t="shared" ca="1" si="183"/>
        <v>-5969791083089.2832</v>
      </c>
      <c r="L5282" s="455">
        <f t="shared" ca="1" si="184"/>
        <v>-1438719651024517.3</v>
      </c>
      <c r="M5282" s="471">
        <f t="shared" si="186"/>
        <v>0.05</v>
      </c>
      <c r="N5282" s="475">
        <f t="shared" si="187"/>
        <v>211812</v>
      </c>
    </row>
    <row r="5283" spans="7:14" ht="11.25" customHeight="1" x14ac:dyDescent="0.3">
      <c r="G5283" s="470"/>
      <c r="H5283" s="470">
        <v>5276</v>
      </c>
      <c r="I5283" s="455">
        <f t="shared" ca="1" si="185"/>
        <v>-1438719651024517.3</v>
      </c>
      <c r="J5283" s="455">
        <f t="array" ref="J5283">IFERROR(INDEX('Retirement Calculator'!K:K,MATCH('Lorri 401b'!N5283,'Retirement Calculator'!A:A,0),0),0)</f>
        <v>0</v>
      </c>
      <c r="K5283" s="455">
        <f t="shared" ca="1" si="183"/>
        <v>-5994665212602.1553</v>
      </c>
      <c r="L5283" s="455">
        <f t="shared" ca="1" si="184"/>
        <v>-1444714316237119.5</v>
      </c>
      <c r="M5283" s="471">
        <f t="shared" si="186"/>
        <v>0.05</v>
      </c>
      <c r="N5283" s="475">
        <f t="shared" si="187"/>
        <v>211843</v>
      </c>
    </row>
    <row r="5284" spans="7:14" ht="11.25" customHeight="1" x14ac:dyDescent="0.3">
      <c r="G5284" s="470"/>
      <c r="H5284" s="470">
        <v>5277</v>
      </c>
      <c r="I5284" s="455">
        <f t="shared" ca="1" si="185"/>
        <v>-1444714316237119.5</v>
      </c>
      <c r="J5284" s="455">
        <f t="array" ref="J5284">IFERROR(INDEX('Retirement Calculator'!K:K,MATCH('Lorri 401b'!N5284,'Retirement Calculator'!A:A,0),0),0)</f>
        <v>0</v>
      </c>
      <c r="K5284" s="455">
        <f t="shared" ca="1" si="183"/>
        <v>-6019642984321.3311</v>
      </c>
      <c r="L5284" s="455">
        <f t="shared" ca="1" si="184"/>
        <v>-1450733959221440.8</v>
      </c>
      <c r="M5284" s="471">
        <f t="shared" si="186"/>
        <v>0.05</v>
      </c>
      <c r="N5284" s="475">
        <f t="shared" si="187"/>
        <v>211874</v>
      </c>
    </row>
    <row r="5285" spans="7:14" ht="11.25" customHeight="1" x14ac:dyDescent="0.3">
      <c r="G5285" s="470"/>
      <c r="H5285" s="470">
        <v>5278</v>
      </c>
      <c r="I5285" s="455">
        <f t="shared" ca="1" si="185"/>
        <v>-1450733959221440.8</v>
      </c>
      <c r="J5285" s="455">
        <f t="array" ref="J5285">IFERROR(INDEX('Retirement Calculator'!K:K,MATCH('Lorri 401b'!N5285,'Retirement Calculator'!A:A,0),0),0)</f>
        <v>0</v>
      </c>
      <c r="K5285" s="455">
        <f t="shared" ca="1" si="183"/>
        <v>-6044724830089.3359</v>
      </c>
      <c r="L5285" s="455">
        <f t="shared" ca="1" si="184"/>
        <v>-1456778684051530</v>
      </c>
      <c r="M5285" s="471">
        <f t="shared" si="186"/>
        <v>0.05</v>
      </c>
      <c r="N5285" s="475">
        <f t="shared" si="187"/>
        <v>211903</v>
      </c>
    </row>
    <row r="5286" spans="7:14" ht="11.25" customHeight="1" x14ac:dyDescent="0.3">
      <c r="G5286" s="470"/>
      <c r="H5286" s="470">
        <v>5279</v>
      </c>
      <c r="I5286" s="455">
        <f t="shared" ca="1" si="185"/>
        <v>-1456778684051530</v>
      </c>
      <c r="J5286" s="455">
        <f t="array" ref="J5286">IFERROR(INDEX('Retirement Calculator'!K:K,MATCH('Lorri 401b'!N5286,'Retirement Calculator'!A:A,0),0),0)</f>
        <v>0</v>
      </c>
      <c r="K5286" s="455">
        <f t="shared" ca="1" si="183"/>
        <v>-6069911183548.042</v>
      </c>
      <c r="L5286" s="455">
        <f t="shared" ca="1" si="184"/>
        <v>-1462848595235078</v>
      </c>
      <c r="M5286" s="471">
        <f t="shared" si="186"/>
        <v>0.05</v>
      </c>
      <c r="N5286" s="475">
        <f t="shared" si="187"/>
        <v>211934</v>
      </c>
    </row>
    <row r="5287" spans="7:14" ht="11.25" customHeight="1" x14ac:dyDescent="0.3">
      <c r="G5287" s="470"/>
      <c r="H5287" s="470">
        <v>5280</v>
      </c>
      <c r="I5287" s="455">
        <f t="shared" ca="1" si="185"/>
        <v>-1462848595235078</v>
      </c>
      <c r="J5287" s="455">
        <f t="array" ref="J5287">IFERROR(INDEX('Retirement Calculator'!K:K,MATCH('Lorri 401b'!N5287,'Retirement Calculator'!A:A,0),0),0)</f>
        <v>0</v>
      </c>
      <c r="K5287" s="455">
        <f t="shared" ca="1" si="183"/>
        <v>-6095202480146.1582</v>
      </c>
      <c r="L5287" s="455">
        <f t="shared" ca="1" si="184"/>
        <v>-1468943797715224.3</v>
      </c>
      <c r="M5287" s="471">
        <f t="shared" si="186"/>
        <v>0.05</v>
      </c>
      <c r="N5287" s="475">
        <f t="shared" si="187"/>
        <v>211964</v>
      </c>
    </row>
    <row r="5288" spans="7:14" ht="11.25" customHeight="1" x14ac:dyDescent="0.3">
      <c r="G5288" s="470"/>
      <c r="H5288" s="470">
        <v>5281</v>
      </c>
      <c r="I5288" s="455">
        <f t="shared" ca="1" si="185"/>
        <v>-1468943797715224.3</v>
      </c>
      <c r="J5288" s="455">
        <f t="array" ref="J5288">IFERROR(INDEX('Retirement Calculator'!K:K,MATCH('Lorri 401b'!N5288,'Retirement Calculator'!A:A,0),0),0)</f>
        <v>0</v>
      </c>
      <c r="K5288" s="455">
        <f t="shared" ca="1" si="183"/>
        <v>-6120599157146.7676</v>
      </c>
      <c r="L5288" s="455">
        <f t="shared" ca="1" si="184"/>
        <v>-1475064396872371</v>
      </c>
      <c r="M5288" s="471">
        <f t="shared" si="186"/>
        <v>0.05</v>
      </c>
      <c r="N5288" s="475">
        <f t="shared" si="187"/>
        <v>211995</v>
      </c>
    </row>
    <row r="5289" spans="7:14" ht="11.25" customHeight="1" x14ac:dyDescent="0.3">
      <c r="G5289" s="470"/>
      <c r="H5289" s="470">
        <v>5282</v>
      </c>
      <c r="I5289" s="455">
        <f t="shared" ca="1" si="185"/>
        <v>-1475064396872371</v>
      </c>
      <c r="J5289" s="455">
        <f t="array" ref="J5289">IFERROR(INDEX('Retirement Calculator'!K:K,MATCH('Lorri 401b'!N5289,'Retirement Calculator'!A:A,0),0),0)</f>
        <v>0</v>
      </c>
      <c r="K5289" s="455">
        <f t="shared" ca="1" si="183"/>
        <v>-6146101653634.8789</v>
      </c>
      <c r="L5289" s="455">
        <f t="shared" ca="1" si="184"/>
        <v>-1481210498526006</v>
      </c>
      <c r="M5289" s="471">
        <f t="shared" si="186"/>
        <v>0.05</v>
      </c>
      <c r="N5289" s="475">
        <f t="shared" si="187"/>
        <v>212025</v>
      </c>
    </row>
    <row r="5290" spans="7:14" ht="11.25" customHeight="1" x14ac:dyDescent="0.3">
      <c r="G5290" s="470"/>
      <c r="H5290" s="470">
        <v>5283</v>
      </c>
      <c r="I5290" s="455">
        <f t="shared" ca="1" si="185"/>
        <v>-1481210498526006</v>
      </c>
      <c r="J5290" s="455">
        <f t="array" ref="J5290">IFERROR(INDEX('Retirement Calculator'!K:K,MATCH('Lorri 401b'!N5290,'Retirement Calculator'!A:A,0),0),0)</f>
        <v>0</v>
      </c>
      <c r="K5290" s="455">
        <f t="shared" ca="1" si="183"/>
        <v>-6171710410525.0254</v>
      </c>
      <c r="L5290" s="455">
        <f t="shared" ca="1" si="184"/>
        <v>-1487382208936531</v>
      </c>
      <c r="M5290" s="471">
        <f t="shared" si="186"/>
        <v>0.05</v>
      </c>
      <c r="N5290" s="475">
        <f t="shared" si="187"/>
        <v>212056</v>
      </c>
    </row>
    <row r="5291" spans="7:14" ht="11.25" customHeight="1" x14ac:dyDescent="0.3">
      <c r="G5291" s="470"/>
      <c r="H5291" s="470">
        <v>5284</v>
      </c>
      <c r="I5291" s="455">
        <f t="shared" ca="1" si="185"/>
        <v>-1487382208936531</v>
      </c>
      <c r="J5291" s="455">
        <f t="array" ref="J5291">IFERROR(INDEX('Retirement Calculator'!K:K,MATCH('Lorri 401b'!N5291,'Retirement Calculator'!A:A,0),0),0)</f>
        <v>0</v>
      </c>
      <c r="K5291" s="455">
        <f t="shared" ca="1" si="183"/>
        <v>-6197425870568.8789</v>
      </c>
      <c r="L5291" s="455">
        <f t="shared" ca="1" si="184"/>
        <v>-1493579634807100</v>
      </c>
      <c r="M5291" s="471">
        <f t="shared" si="186"/>
        <v>0.05</v>
      </c>
      <c r="N5291" s="475">
        <f t="shared" si="187"/>
        <v>212087</v>
      </c>
    </row>
    <row r="5292" spans="7:14" ht="11.25" customHeight="1" x14ac:dyDescent="0.3">
      <c r="G5292" s="470"/>
      <c r="H5292" s="470">
        <v>5285</v>
      </c>
      <c r="I5292" s="455">
        <f t="shared" ca="1" si="185"/>
        <v>-1493579634807100</v>
      </c>
      <c r="J5292" s="455">
        <f t="array" ref="J5292">IFERROR(INDEX('Retirement Calculator'!K:K,MATCH('Lorri 401b'!N5292,'Retirement Calculator'!A:A,0),0),0)</f>
        <v>0</v>
      </c>
      <c r="K5292" s="455">
        <f t="shared" ca="1" si="183"/>
        <v>-6223248478362.917</v>
      </c>
      <c r="L5292" s="455">
        <f t="shared" ca="1" si="184"/>
        <v>-1499802883285463</v>
      </c>
      <c r="M5292" s="471">
        <f t="shared" si="186"/>
        <v>0.05</v>
      </c>
      <c r="N5292" s="475">
        <f t="shared" si="187"/>
        <v>212117</v>
      </c>
    </row>
    <row r="5293" spans="7:14" ht="11.25" customHeight="1" x14ac:dyDescent="0.3">
      <c r="G5293" s="470"/>
      <c r="H5293" s="470">
        <v>5286</v>
      </c>
      <c r="I5293" s="455">
        <f t="shared" ca="1" si="185"/>
        <v>-1499802883285463</v>
      </c>
      <c r="J5293" s="455">
        <f t="array" ref="J5293">IFERROR(INDEX('Retirement Calculator'!K:K,MATCH('Lorri 401b'!N5293,'Retirement Calculator'!A:A,0),0),0)</f>
        <v>0</v>
      </c>
      <c r="K5293" s="455">
        <f t="shared" ca="1" si="183"/>
        <v>-6249178680356.0957</v>
      </c>
      <c r="L5293" s="455">
        <f t="shared" ca="1" si="184"/>
        <v>-1506052061965819</v>
      </c>
      <c r="M5293" s="471">
        <f t="shared" si="186"/>
        <v>0.05</v>
      </c>
      <c r="N5293" s="475">
        <f t="shared" si="187"/>
        <v>212148</v>
      </c>
    </row>
    <row r="5294" spans="7:14" ht="11.25" customHeight="1" x14ac:dyDescent="0.3">
      <c r="G5294" s="470"/>
      <c r="H5294" s="470">
        <v>5287</v>
      </c>
      <c r="I5294" s="455">
        <f t="shared" ca="1" si="185"/>
        <v>-1506052061965819</v>
      </c>
      <c r="J5294" s="455">
        <f t="array" ref="J5294">IFERROR(INDEX('Retirement Calculator'!K:K,MATCH('Lorri 401b'!N5294,'Retirement Calculator'!A:A,0),0),0)</f>
        <v>0</v>
      </c>
      <c r="K5294" s="455">
        <f t="shared" ca="1" si="183"/>
        <v>-6275216924857.5791</v>
      </c>
      <c r="L5294" s="455">
        <f t="shared" ca="1" si="184"/>
        <v>-1512327278890676.5</v>
      </c>
      <c r="M5294" s="471">
        <f t="shared" si="186"/>
        <v>0.05</v>
      </c>
      <c r="N5294" s="475">
        <f t="shared" si="187"/>
        <v>212178</v>
      </c>
    </row>
    <row r="5295" spans="7:14" ht="11.25" customHeight="1" x14ac:dyDescent="0.3">
      <c r="G5295" s="470"/>
      <c r="H5295" s="470">
        <v>5288</v>
      </c>
      <c r="I5295" s="455">
        <f t="shared" ca="1" si="185"/>
        <v>-1512327278890676.5</v>
      </c>
      <c r="J5295" s="455">
        <f t="array" ref="J5295">IFERROR(INDEX('Retirement Calculator'!K:K,MATCH('Lorri 401b'!N5295,'Retirement Calculator'!A:A,0),0),0)</f>
        <v>0</v>
      </c>
      <c r="K5295" s="455">
        <f t="shared" ca="1" si="183"/>
        <v>-6301363662044.4854</v>
      </c>
      <c r="L5295" s="455">
        <f t="shared" ca="1" si="184"/>
        <v>-1518628642552721</v>
      </c>
      <c r="M5295" s="471">
        <f t="shared" si="186"/>
        <v>0.05</v>
      </c>
      <c r="N5295" s="475">
        <f t="shared" si="187"/>
        <v>212209</v>
      </c>
    </row>
    <row r="5296" spans="7:14" ht="11.25" customHeight="1" x14ac:dyDescent="0.3">
      <c r="G5296" s="470"/>
      <c r="H5296" s="470">
        <v>5289</v>
      </c>
      <c r="I5296" s="455">
        <f t="shared" ca="1" si="185"/>
        <v>-1518628642552721</v>
      </c>
      <c r="J5296" s="455">
        <f t="array" ref="J5296">IFERROR(INDEX('Retirement Calculator'!K:K,MATCH('Lorri 401b'!N5296,'Retirement Calculator'!A:A,0),0),0)</f>
        <v>0</v>
      </c>
      <c r="K5296" s="455">
        <f t="shared" ca="1" si="183"/>
        <v>-6327619343969.6709</v>
      </c>
      <c r="L5296" s="455">
        <f t="shared" ca="1" si="184"/>
        <v>-1524956261896690.8</v>
      </c>
      <c r="M5296" s="471">
        <f t="shared" si="186"/>
        <v>0.05</v>
      </c>
      <c r="N5296" s="475">
        <f t="shared" si="187"/>
        <v>212240</v>
      </c>
    </row>
    <row r="5297" spans="7:14" ht="11.25" customHeight="1" x14ac:dyDescent="0.3">
      <c r="G5297" s="470"/>
      <c r="H5297" s="470">
        <v>5290</v>
      </c>
      <c r="I5297" s="455">
        <f t="shared" ca="1" si="185"/>
        <v>-1524956261896690.8</v>
      </c>
      <c r="J5297" s="455">
        <f t="array" ref="J5297">IFERROR(INDEX('Retirement Calculator'!K:K,MATCH('Lorri 401b'!N5297,'Retirement Calculator'!A:A,0),0),0)</f>
        <v>0</v>
      </c>
      <c r="K5297" s="455">
        <f t="shared" ca="1" si="183"/>
        <v>-6353984424569.5449</v>
      </c>
      <c r="L5297" s="455">
        <f t="shared" ca="1" si="184"/>
        <v>-1531310246321260.3</v>
      </c>
      <c r="M5297" s="471">
        <f t="shared" si="186"/>
        <v>0.05</v>
      </c>
      <c r="N5297" s="475">
        <f t="shared" si="187"/>
        <v>212268</v>
      </c>
    </row>
    <row r="5298" spans="7:14" ht="11.25" customHeight="1" x14ac:dyDescent="0.3">
      <c r="G5298" s="470"/>
      <c r="H5298" s="470">
        <v>5291</v>
      </c>
      <c r="I5298" s="455">
        <f t="shared" ca="1" si="185"/>
        <v>-1531310246321260.3</v>
      </c>
      <c r="J5298" s="455">
        <f t="array" ref="J5298">IFERROR(INDEX('Retirement Calculator'!K:K,MATCH('Lorri 401b'!N5298,'Retirement Calculator'!A:A,0),0),0)</f>
        <v>0</v>
      </c>
      <c r="K5298" s="455">
        <f t="shared" ca="1" si="183"/>
        <v>-6380459359671.918</v>
      </c>
      <c r="L5298" s="455">
        <f t="shared" ca="1" si="184"/>
        <v>-1537690705680932.3</v>
      </c>
      <c r="M5298" s="471">
        <f t="shared" si="186"/>
        <v>0.05</v>
      </c>
      <c r="N5298" s="475">
        <f t="shared" si="187"/>
        <v>212299</v>
      </c>
    </row>
    <row r="5299" spans="7:14" ht="11.25" customHeight="1" x14ac:dyDescent="0.3">
      <c r="G5299" s="470"/>
      <c r="H5299" s="470">
        <v>5292</v>
      </c>
      <c r="I5299" s="455">
        <f t="shared" ca="1" si="185"/>
        <v>-1537690705680932.3</v>
      </c>
      <c r="J5299" s="455">
        <f t="array" ref="J5299">IFERROR(INDEX('Retirement Calculator'!K:K,MATCH('Lorri 401b'!N5299,'Retirement Calculator'!A:A,0),0),0)</f>
        <v>0</v>
      </c>
      <c r="K5299" s="455">
        <f t="shared" ca="1" si="183"/>
        <v>-6407044607003.8848</v>
      </c>
      <c r="L5299" s="455">
        <f t="shared" ca="1" si="184"/>
        <v>-1544097750287936.3</v>
      </c>
      <c r="M5299" s="471">
        <f t="shared" si="186"/>
        <v>0.05</v>
      </c>
      <c r="N5299" s="475">
        <f t="shared" si="187"/>
        <v>212329</v>
      </c>
    </row>
    <row r="5300" spans="7:14" ht="11.25" customHeight="1" x14ac:dyDescent="0.3">
      <c r="G5300" s="470"/>
      <c r="H5300" s="470">
        <v>5293</v>
      </c>
      <c r="I5300" s="455">
        <f t="shared" ca="1" si="185"/>
        <v>-1544097750287936.3</v>
      </c>
      <c r="J5300" s="455">
        <f t="array" ref="J5300">IFERROR(INDEX('Retirement Calculator'!K:K,MATCH('Lorri 401b'!N5300,'Retirement Calculator'!A:A,0),0),0)</f>
        <v>0</v>
      </c>
      <c r="K5300" s="455">
        <f t="shared" ca="1" si="183"/>
        <v>-6433740626199.7344</v>
      </c>
      <c r="L5300" s="455">
        <f t="shared" ca="1" si="184"/>
        <v>-1550531490914136</v>
      </c>
      <c r="M5300" s="471">
        <f t="shared" si="186"/>
        <v>0.05</v>
      </c>
      <c r="N5300" s="475">
        <f t="shared" si="187"/>
        <v>212360</v>
      </c>
    </row>
    <row r="5301" spans="7:14" ht="11.25" customHeight="1" x14ac:dyDescent="0.3">
      <c r="G5301" s="470"/>
      <c r="H5301" s="470">
        <v>5294</v>
      </c>
      <c r="I5301" s="455">
        <f t="shared" ca="1" si="185"/>
        <v>-1550531490914136</v>
      </c>
      <c r="J5301" s="455">
        <f t="array" ref="J5301">IFERROR(INDEX('Retirement Calculator'!K:K,MATCH('Lorri 401b'!N5301,'Retirement Calculator'!A:A,0),0),0)</f>
        <v>0</v>
      </c>
      <c r="K5301" s="455">
        <f t="shared" ca="1" si="183"/>
        <v>-6460547878808.9004</v>
      </c>
      <c r="L5301" s="455">
        <f t="shared" ca="1" si="184"/>
        <v>-1556992038792945</v>
      </c>
      <c r="M5301" s="471">
        <f t="shared" si="186"/>
        <v>0.05</v>
      </c>
      <c r="N5301" s="475">
        <f t="shared" si="187"/>
        <v>212390</v>
      </c>
    </row>
    <row r="5302" spans="7:14" ht="11.25" customHeight="1" x14ac:dyDescent="0.3">
      <c r="G5302" s="470"/>
      <c r="H5302" s="470">
        <v>5295</v>
      </c>
      <c r="I5302" s="455">
        <f t="shared" ca="1" si="185"/>
        <v>-1556992038792945</v>
      </c>
      <c r="J5302" s="455">
        <f t="array" ref="J5302">IFERROR(INDEX('Retirement Calculator'!K:K,MATCH('Lorri 401b'!N5302,'Retirement Calculator'!A:A,0),0),0)</f>
        <v>0</v>
      </c>
      <c r="K5302" s="455">
        <f t="shared" ca="1" si="183"/>
        <v>-6487466828303.9375</v>
      </c>
      <c r="L5302" s="455">
        <f t="shared" ca="1" si="184"/>
        <v>-1563479505621249</v>
      </c>
      <c r="M5302" s="471">
        <f t="shared" si="186"/>
        <v>0.05</v>
      </c>
      <c r="N5302" s="475">
        <f t="shared" si="187"/>
        <v>212421</v>
      </c>
    </row>
    <row r="5303" spans="7:14" ht="11.25" customHeight="1" x14ac:dyDescent="0.3">
      <c r="G5303" s="470"/>
      <c r="H5303" s="470">
        <v>5296</v>
      </c>
      <c r="I5303" s="455">
        <f t="shared" ca="1" si="185"/>
        <v>-1563479505621249</v>
      </c>
      <c r="J5303" s="455">
        <f t="array" ref="J5303">IFERROR(INDEX('Retirement Calculator'!K:K,MATCH('Lorri 401b'!N5303,'Retirement Calculator'!A:A,0),0),0)</f>
        <v>0</v>
      </c>
      <c r="K5303" s="455">
        <f t="shared" ca="1" si="183"/>
        <v>-6514497940088.5371</v>
      </c>
      <c r="L5303" s="455">
        <f t="shared" ca="1" si="184"/>
        <v>-1569994003561337.5</v>
      </c>
      <c r="M5303" s="471">
        <f t="shared" si="186"/>
        <v>0.05</v>
      </c>
      <c r="N5303" s="475">
        <f t="shared" si="187"/>
        <v>212452</v>
      </c>
    </row>
    <row r="5304" spans="7:14" ht="11.25" customHeight="1" x14ac:dyDescent="0.3">
      <c r="G5304" s="470"/>
      <c r="H5304" s="470">
        <v>5297</v>
      </c>
      <c r="I5304" s="455">
        <f t="shared" ca="1" si="185"/>
        <v>-1569994003561337.5</v>
      </c>
      <c r="J5304" s="455">
        <f t="array" ref="J5304">IFERROR(INDEX('Retirement Calculator'!K:K,MATCH('Lorri 401b'!N5304,'Retirement Calculator'!A:A,0),0),0)</f>
        <v>0</v>
      </c>
      <c r="K5304" s="455">
        <f t="shared" ca="1" si="183"/>
        <v>-6541641681505.5732</v>
      </c>
      <c r="L5304" s="455">
        <f t="shared" ca="1" si="184"/>
        <v>-1576535645242843</v>
      </c>
      <c r="M5304" s="471">
        <f t="shared" si="186"/>
        <v>0.05</v>
      </c>
      <c r="N5304" s="475">
        <f t="shared" si="187"/>
        <v>212482</v>
      </c>
    </row>
    <row r="5305" spans="7:14" ht="11.25" customHeight="1" x14ac:dyDescent="0.3">
      <c r="G5305" s="470"/>
      <c r="H5305" s="470">
        <v>5298</v>
      </c>
      <c r="I5305" s="455">
        <f t="shared" ca="1" si="185"/>
        <v>-1576535645242843</v>
      </c>
      <c r="J5305" s="455">
        <f t="array" ref="J5305">IFERROR(INDEX('Retirement Calculator'!K:K,MATCH('Lorri 401b'!N5305,'Retirement Calculator'!A:A,0),0),0)</f>
        <v>0</v>
      </c>
      <c r="K5305" s="455">
        <f t="shared" ca="1" si="183"/>
        <v>-6568898521845.1787</v>
      </c>
      <c r="L5305" s="455">
        <f t="shared" ca="1" si="184"/>
        <v>-1583104543764688.3</v>
      </c>
      <c r="M5305" s="471">
        <f t="shared" si="186"/>
        <v>0.05</v>
      </c>
      <c r="N5305" s="475">
        <f t="shared" si="187"/>
        <v>212513</v>
      </c>
    </row>
    <row r="5306" spans="7:14" ht="11.25" customHeight="1" x14ac:dyDescent="0.3">
      <c r="G5306" s="470"/>
      <c r="H5306" s="470">
        <v>5299</v>
      </c>
      <c r="I5306" s="455">
        <f t="shared" ca="1" si="185"/>
        <v>-1583104543764688.3</v>
      </c>
      <c r="J5306" s="455">
        <f t="array" ref="J5306">IFERROR(INDEX('Retirement Calculator'!K:K,MATCH('Lorri 401b'!N5306,'Retirement Calculator'!A:A,0),0),0)</f>
        <v>0</v>
      </c>
      <c r="K5306" s="455">
        <f t="shared" ca="1" si="183"/>
        <v>-6596268932352.8672</v>
      </c>
      <c r="L5306" s="455">
        <f t="shared" ca="1" si="184"/>
        <v>-1589700812697041</v>
      </c>
      <c r="M5306" s="471">
        <f t="shared" si="186"/>
        <v>0.05</v>
      </c>
      <c r="N5306" s="475">
        <f t="shared" si="187"/>
        <v>212543</v>
      </c>
    </row>
    <row r="5307" spans="7:14" ht="11.25" customHeight="1" x14ac:dyDescent="0.3">
      <c r="G5307" s="470"/>
      <c r="H5307" s="470">
        <v>5300</v>
      </c>
      <c r="I5307" s="455">
        <f t="shared" ca="1" si="185"/>
        <v>-1589700812697041</v>
      </c>
      <c r="J5307" s="455">
        <f t="array" ref="J5307">IFERROR(INDEX('Retirement Calculator'!K:K,MATCH('Lorri 401b'!N5307,'Retirement Calculator'!A:A,0),0),0)</f>
        <v>0</v>
      </c>
      <c r="K5307" s="455">
        <f t="shared" ca="1" si="183"/>
        <v>-6623753386237.6709</v>
      </c>
      <c r="L5307" s="455">
        <f t="shared" ca="1" si="184"/>
        <v>-1596324566083278.8</v>
      </c>
      <c r="M5307" s="471">
        <f t="shared" si="186"/>
        <v>0.05</v>
      </c>
      <c r="N5307" s="475">
        <f t="shared" si="187"/>
        <v>212574</v>
      </c>
    </row>
    <row r="5308" spans="7:14" ht="11.25" customHeight="1" x14ac:dyDescent="0.3">
      <c r="G5308" s="470"/>
      <c r="H5308" s="470">
        <v>5301</v>
      </c>
      <c r="I5308" s="455">
        <f t="shared" ca="1" si="185"/>
        <v>-1596324566083278.8</v>
      </c>
      <c r="J5308" s="455">
        <f t="array" ref="J5308">IFERROR(INDEX('Retirement Calculator'!K:K,MATCH('Lorri 401b'!N5308,'Retirement Calculator'!A:A,0),0),0)</f>
        <v>0</v>
      </c>
      <c r="K5308" s="455">
        <f t="shared" ca="1" si="183"/>
        <v>-6651352358680.3281</v>
      </c>
      <c r="L5308" s="455">
        <f t="shared" ca="1" si="184"/>
        <v>-1602975918441959</v>
      </c>
      <c r="M5308" s="471">
        <f t="shared" si="186"/>
        <v>0.05</v>
      </c>
      <c r="N5308" s="475">
        <f t="shared" si="187"/>
        <v>212605</v>
      </c>
    </row>
    <row r="5309" spans="7:14" ht="11.25" customHeight="1" x14ac:dyDescent="0.3">
      <c r="G5309" s="470"/>
      <c r="H5309" s="470">
        <v>5302</v>
      </c>
      <c r="I5309" s="455">
        <f t="shared" ca="1" si="185"/>
        <v>-1602975918441959</v>
      </c>
      <c r="J5309" s="455">
        <f t="array" ref="J5309">IFERROR(INDEX('Retirement Calculator'!K:K,MATCH('Lorri 401b'!N5309,'Retirement Calculator'!A:A,0),0),0)</f>
        <v>0</v>
      </c>
      <c r="K5309" s="455">
        <f t="shared" ca="1" si="183"/>
        <v>-6679066326841.4961</v>
      </c>
      <c r="L5309" s="455">
        <f t="shared" ca="1" si="184"/>
        <v>-1609654984768800.5</v>
      </c>
      <c r="M5309" s="471">
        <f t="shared" si="186"/>
        <v>0.05</v>
      </c>
      <c r="N5309" s="475">
        <f t="shared" si="187"/>
        <v>212633</v>
      </c>
    </row>
    <row r="5310" spans="7:14" ht="11.25" customHeight="1" x14ac:dyDescent="0.3">
      <c r="G5310" s="470"/>
      <c r="H5310" s="470">
        <v>5303</v>
      </c>
      <c r="I5310" s="455">
        <f t="shared" ca="1" si="185"/>
        <v>-1609654984768800.5</v>
      </c>
      <c r="J5310" s="455">
        <f t="array" ref="J5310">IFERROR(INDEX('Retirement Calculator'!K:K,MATCH('Lorri 401b'!N5310,'Retirement Calculator'!A:A,0),0),0)</f>
        <v>0</v>
      </c>
      <c r="K5310" s="455">
        <f t="shared" ca="1" si="183"/>
        <v>-6706895769870.002</v>
      </c>
      <c r="L5310" s="455">
        <f t="shared" ca="1" si="184"/>
        <v>-1616361880538670.5</v>
      </c>
      <c r="M5310" s="471">
        <f t="shared" si="186"/>
        <v>0.05</v>
      </c>
      <c r="N5310" s="475">
        <f t="shared" si="187"/>
        <v>212664</v>
      </c>
    </row>
    <row r="5311" spans="7:14" ht="11.25" customHeight="1" x14ac:dyDescent="0.3">
      <c r="G5311" s="470"/>
      <c r="H5311" s="470">
        <v>5304</v>
      </c>
      <c r="I5311" s="455">
        <f t="shared" ca="1" si="185"/>
        <v>-1616361880538670.5</v>
      </c>
      <c r="J5311" s="455">
        <f t="array" ref="J5311">IFERROR(INDEX('Retirement Calculator'!K:K,MATCH('Lorri 401b'!N5311,'Retirement Calculator'!A:A,0),0),0)</f>
        <v>0</v>
      </c>
      <c r="K5311" s="455">
        <f t="shared" ca="1" si="183"/>
        <v>-6734841168911.127</v>
      </c>
      <c r="L5311" s="455">
        <f t="shared" ca="1" si="184"/>
        <v>-1623096721707581.8</v>
      </c>
      <c r="M5311" s="471">
        <f t="shared" si="186"/>
        <v>0.05</v>
      </c>
      <c r="N5311" s="475">
        <f t="shared" si="187"/>
        <v>212694</v>
      </c>
    </row>
    <row r="5312" spans="7:14" ht="11.25" customHeight="1" x14ac:dyDescent="0.3">
      <c r="G5312" s="470"/>
      <c r="H5312" s="470">
        <v>5305</v>
      </c>
      <c r="I5312" s="455">
        <f t="shared" ca="1" si="185"/>
        <v>-1623096721707581.8</v>
      </c>
      <c r="J5312" s="455">
        <f t="array" ref="J5312">IFERROR(INDEX('Retirement Calculator'!K:K,MATCH('Lorri 401b'!N5312,'Retirement Calculator'!A:A,0),0),0)</f>
        <v>0</v>
      </c>
      <c r="K5312" s="455">
        <f t="shared" ca="1" si="183"/>
        <v>-6762903007114.9238</v>
      </c>
      <c r="L5312" s="455">
        <f t="shared" ca="1" si="184"/>
        <v>-1629859624714696.8</v>
      </c>
      <c r="M5312" s="471">
        <f t="shared" si="186"/>
        <v>0.05</v>
      </c>
      <c r="N5312" s="475">
        <f t="shared" si="187"/>
        <v>212725</v>
      </c>
    </row>
    <row r="5313" spans="7:14" ht="11.25" customHeight="1" x14ac:dyDescent="0.3">
      <c r="G5313" s="470"/>
      <c r="H5313" s="470">
        <v>5306</v>
      </c>
      <c r="I5313" s="455">
        <f t="shared" ca="1" si="185"/>
        <v>-1629859624714696.8</v>
      </c>
      <c r="J5313" s="455">
        <f t="array" ref="J5313">IFERROR(INDEX('Retirement Calculator'!K:K,MATCH('Lorri 401b'!N5313,'Retirement Calculator'!A:A,0),0),0)</f>
        <v>0</v>
      </c>
      <c r="K5313" s="455">
        <f t="shared" ca="1" si="183"/>
        <v>-6791081769644.5693</v>
      </c>
      <c r="L5313" s="455">
        <f t="shared" ca="1" si="184"/>
        <v>-1636650706484341.3</v>
      </c>
      <c r="M5313" s="471">
        <f t="shared" si="186"/>
        <v>0.05</v>
      </c>
      <c r="N5313" s="475">
        <f t="shared" si="187"/>
        <v>212755</v>
      </c>
    </row>
    <row r="5314" spans="7:14" ht="11.25" customHeight="1" x14ac:dyDescent="0.3">
      <c r="G5314" s="470"/>
      <c r="H5314" s="470">
        <v>5307</v>
      </c>
      <c r="I5314" s="455">
        <f t="shared" ca="1" si="185"/>
        <v>-1636650706484341.3</v>
      </c>
      <c r="J5314" s="455">
        <f t="array" ref="J5314">IFERROR(INDEX('Retirement Calculator'!K:K,MATCH('Lorri 401b'!N5314,'Retirement Calculator'!A:A,0),0),0)</f>
        <v>0</v>
      </c>
      <c r="K5314" s="455">
        <f t="shared" ca="1" si="183"/>
        <v>-6819377943684.7549</v>
      </c>
      <c r="L5314" s="455">
        <f t="shared" ca="1" si="184"/>
        <v>-1643470084428026</v>
      </c>
      <c r="M5314" s="471">
        <f t="shared" si="186"/>
        <v>0.05</v>
      </c>
      <c r="N5314" s="475">
        <f t="shared" si="187"/>
        <v>212786</v>
      </c>
    </row>
    <row r="5315" spans="7:14" ht="11.25" customHeight="1" x14ac:dyDescent="0.3">
      <c r="G5315" s="470"/>
      <c r="H5315" s="470">
        <v>5308</v>
      </c>
      <c r="I5315" s="455">
        <f t="shared" ca="1" si="185"/>
        <v>-1643470084428026</v>
      </c>
      <c r="J5315" s="455">
        <f t="array" ref="J5315">IFERROR(INDEX('Retirement Calculator'!K:K,MATCH('Lorri 401b'!N5315,'Retirement Calculator'!A:A,0),0),0)</f>
        <v>0</v>
      </c>
      <c r="K5315" s="455">
        <f t="shared" ca="1" si="183"/>
        <v>-6847792018450.1084</v>
      </c>
      <c r="L5315" s="455">
        <f t="shared" ca="1" si="184"/>
        <v>-1650317876446476</v>
      </c>
      <c r="M5315" s="471">
        <f t="shared" si="186"/>
        <v>0.05</v>
      </c>
      <c r="N5315" s="475">
        <f t="shared" si="187"/>
        <v>212817</v>
      </c>
    </row>
    <row r="5316" spans="7:14" ht="11.25" customHeight="1" x14ac:dyDescent="0.3">
      <c r="G5316" s="470"/>
      <c r="H5316" s="470">
        <v>5309</v>
      </c>
      <c r="I5316" s="455">
        <f t="shared" ca="1" si="185"/>
        <v>-1650317876446476</v>
      </c>
      <c r="J5316" s="455">
        <f t="array" ref="J5316">IFERROR(INDEX('Retirement Calculator'!K:K,MATCH('Lorri 401b'!N5316,'Retirement Calculator'!A:A,0),0),0)</f>
        <v>0</v>
      </c>
      <c r="K5316" s="455">
        <f t="shared" ca="1" si="183"/>
        <v>-6876324485193.6504</v>
      </c>
      <c r="L5316" s="455">
        <f t="shared" ca="1" si="184"/>
        <v>-1657194200931669.8</v>
      </c>
      <c r="M5316" s="471">
        <f t="shared" si="186"/>
        <v>0.05</v>
      </c>
      <c r="N5316" s="475">
        <f t="shared" si="187"/>
        <v>212847</v>
      </c>
    </row>
    <row r="5317" spans="7:14" ht="11.25" customHeight="1" x14ac:dyDescent="0.3">
      <c r="G5317" s="470"/>
      <c r="H5317" s="470">
        <v>5310</v>
      </c>
      <c r="I5317" s="455">
        <f t="shared" ca="1" si="185"/>
        <v>-1657194200931669.8</v>
      </c>
      <c r="J5317" s="455">
        <f t="array" ref="J5317">IFERROR(INDEX('Retirement Calculator'!K:K,MATCH('Lorri 401b'!N5317,'Retirement Calculator'!A:A,0),0),0)</f>
        <v>0</v>
      </c>
      <c r="K5317" s="455">
        <f t="shared" ca="1" si="183"/>
        <v>-6904975837215.291</v>
      </c>
      <c r="L5317" s="455">
        <f t="shared" ca="1" si="184"/>
        <v>-1664099176768885</v>
      </c>
      <c r="M5317" s="471">
        <f t="shared" si="186"/>
        <v>0.05</v>
      </c>
      <c r="N5317" s="475">
        <f t="shared" si="187"/>
        <v>212878</v>
      </c>
    </row>
    <row r="5318" spans="7:14" ht="11.25" customHeight="1" x14ac:dyDescent="0.3">
      <c r="G5318" s="470"/>
      <c r="H5318" s="470">
        <v>5311</v>
      </c>
      <c r="I5318" s="455">
        <f t="shared" ca="1" si="185"/>
        <v>-1664099176768885</v>
      </c>
      <c r="J5318" s="455">
        <f t="array" ref="J5318">IFERROR(INDEX('Retirement Calculator'!K:K,MATCH('Lorri 401b'!N5318,'Retirement Calculator'!A:A,0),0),0)</f>
        <v>0</v>
      </c>
      <c r="K5318" s="455">
        <f t="shared" ca="1" si="183"/>
        <v>-6933746569870.3545</v>
      </c>
      <c r="L5318" s="455">
        <f t="shared" ca="1" si="184"/>
        <v>-1671032923338755.3</v>
      </c>
      <c r="M5318" s="471">
        <f t="shared" si="186"/>
        <v>0.05</v>
      </c>
      <c r="N5318" s="475">
        <f t="shared" si="187"/>
        <v>212908</v>
      </c>
    </row>
    <row r="5319" spans="7:14" ht="11.25" customHeight="1" x14ac:dyDescent="0.3">
      <c r="G5319" s="470"/>
      <c r="H5319" s="470">
        <v>5312</v>
      </c>
      <c r="I5319" s="455">
        <f t="shared" ca="1" si="185"/>
        <v>-1671032923338755.3</v>
      </c>
      <c r="J5319" s="455">
        <f t="array" ref="J5319">IFERROR(INDEX('Retirement Calculator'!K:K,MATCH('Lorri 401b'!N5319,'Retirement Calculator'!A:A,0),0),0)</f>
        <v>0</v>
      </c>
      <c r="K5319" s="455">
        <f t="shared" ca="1" si="183"/>
        <v>-6962637180578.1465</v>
      </c>
      <c r="L5319" s="455">
        <f t="shared" ca="1" si="184"/>
        <v>-1677995560519333.5</v>
      </c>
      <c r="M5319" s="471">
        <f t="shared" si="186"/>
        <v>0.05</v>
      </c>
      <c r="N5319" s="475">
        <f t="shared" si="187"/>
        <v>212939</v>
      </c>
    </row>
    <row r="5320" spans="7:14" ht="11.25" customHeight="1" x14ac:dyDescent="0.3">
      <c r="G5320" s="470"/>
      <c r="H5320" s="470">
        <v>5313</v>
      </c>
      <c r="I5320" s="455">
        <f t="shared" ca="1" si="185"/>
        <v>-1677995560519333.5</v>
      </c>
      <c r="J5320" s="455">
        <f t="array" ref="J5320">IFERROR(INDEX('Retirement Calculator'!K:K,MATCH('Lorri 401b'!N5320,'Retirement Calculator'!A:A,0),0),0)</f>
        <v>0</v>
      </c>
      <c r="K5320" s="455">
        <f t="shared" ca="1" si="183"/>
        <v>-6991648168830.5566</v>
      </c>
      <c r="L5320" s="455">
        <f t="shared" ca="1" si="184"/>
        <v>-1684987208688164</v>
      </c>
      <c r="M5320" s="471">
        <f t="shared" si="186"/>
        <v>0.05</v>
      </c>
      <c r="N5320" s="475">
        <f t="shared" si="187"/>
        <v>212970</v>
      </c>
    </row>
    <row r="5321" spans="7:14" ht="11.25" customHeight="1" x14ac:dyDescent="0.3">
      <c r="G5321" s="470"/>
      <c r="H5321" s="470">
        <v>5314</v>
      </c>
      <c r="I5321" s="455">
        <f t="shared" ca="1" si="185"/>
        <v>-1684987208688164</v>
      </c>
      <c r="J5321" s="455">
        <f t="array" ref="J5321">IFERROR(INDEX('Retirement Calculator'!K:K,MATCH('Lorri 401b'!N5321,'Retirement Calculator'!A:A,0),0),0)</f>
        <v>0</v>
      </c>
      <c r="K5321" s="455">
        <f t="shared" ca="1" si="183"/>
        <v>-7020780036200.6836</v>
      </c>
      <c r="L5321" s="455">
        <f t="shared" ca="1" si="184"/>
        <v>-1692007988724364.8</v>
      </c>
      <c r="M5321" s="471">
        <f t="shared" si="186"/>
        <v>0.05</v>
      </c>
      <c r="N5321" s="475">
        <f t="shared" si="187"/>
        <v>212998</v>
      </c>
    </row>
    <row r="5322" spans="7:14" ht="11.25" customHeight="1" x14ac:dyDescent="0.3">
      <c r="G5322" s="470"/>
      <c r="H5322" s="470">
        <v>5315</v>
      </c>
      <c r="I5322" s="455">
        <f t="shared" ca="1" si="185"/>
        <v>-1692007988724364.8</v>
      </c>
      <c r="J5322" s="455">
        <f t="array" ref="J5322">IFERROR(INDEX('Retirement Calculator'!K:K,MATCH('Lorri 401b'!N5322,'Retirement Calculator'!A:A,0),0),0)</f>
        <v>0</v>
      </c>
      <c r="K5322" s="455">
        <f t="shared" ca="1" si="183"/>
        <v>-7050033286351.5195</v>
      </c>
      <c r="L5322" s="455">
        <f t="shared" ca="1" si="184"/>
        <v>-1699058022010716.3</v>
      </c>
      <c r="M5322" s="471">
        <f t="shared" si="186"/>
        <v>0.05</v>
      </c>
      <c r="N5322" s="475">
        <f t="shared" si="187"/>
        <v>213029</v>
      </c>
    </row>
    <row r="5323" spans="7:14" ht="11.25" customHeight="1" x14ac:dyDescent="0.3">
      <c r="G5323" s="470"/>
      <c r="H5323" s="470">
        <v>5316</v>
      </c>
      <c r="I5323" s="455">
        <f t="shared" ca="1" si="185"/>
        <v>-1699058022010716.3</v>
      </c>
      <c r="J5323" s="455">
        <f t="array" ref="J5323">IFERROR(INDEX('Retirement Calculator'!K:K,MATCH('Lorri 401b'!N5323,'Retirement Calculator'!A:A,0),0),0)</f>
        <v>0</v>
      </c>
      <c r="K5323" s="455">
        <f t="shared" ca="1" si="183"/>
        <v>-7079408425044.6514</v>
      </c>
      <c r="L5323" s="455">
        <f t="shared" ca="1" si="184"/>
        <v>-1706137430435761</v>
      </c>
      <c r="M5323" s="471">
        <f t="shared" si="186"/>
        <v>0.05</v>
      </c>
      <c r="N5323" s="475">
        <f t="shared" si="187"/>
        <v>213059</v>
      </c>
    </row>
    <row r="5324" spans="7:14" ht="11.25" customHeight="1" x14ac:dyDescent="0.3">
      <c r="G5324" s="470"/>
      <c r="H5324" s="470">
        <v>5317</v>
      </c>
      <c r="I5324" s="455">
        <f t="shared" ca="1" si="185"/>
        <v>-1706137430435761</v>
      </c>
      <c r="J5324" s="455">
        <f t="array" ref="J5324">IFERROR(INDEX('Retirement Calculator'!K:K,MATCH('Lorri 401b'!N5324,'Retirement Calculator'!A:A,0),0),0)</f>
        <v>0</v>
      </c>
      <c r="K5324" s="455">
        <f t="shared" ca="1" si="183"/>
        <v>-7108905960149.0039</v>
      </c>
      <c r="L5324" s="455">
        <f t="shared" ca="1" si="184"/>
        <v>-1713246336395910</v>
      </c>
      <c r="M5324" s="471">
        <f t="shared" si="186"/>
        <v>0.05</v>
      </c>
      <c r="N5324" s="475">
        <f t="shared" si="187"/>
        <v>213090</v>
      </c>
    </row>
    <row r="5325" spans="7:14" ht="11.25" customHeight="1" x14ac:dyDescent="0.3">
      <c r="G5325" s="470"/>
      <c r="H5325" s="470">
        <v>5318</v>
      </c>
      <c r="I5325" s="455">
        <f t="shared" ca="1" si="185"/>
        <v>-1713246336395910</v>
      </c>
      <c r="J5325" s="455">
        <f t="array" ref="J5325">IFERROR(INDEX('Retirement Calculator'!K:K,MATCH('Lorri 401b'!N5325,'Retirement Calculator'!A:A,0),0),0)</f>
        <v>0</v>
      </c>
      <c r="K5325" s="455">
        <f t="shared" ca="1" si="183"/>
        <v>-7138526401649.625</v>
      </c>
      <c r="L5325" s="455">
        <f t="shared" ca="1" si="184"/>
        <v>-1720384862797559.5</v>
      </c>
      <c r="M5325" s="471">
        <f t="shared" si="186"/>
        <v>0.05</v>
      </c>
      <c r="N5325" s="475">
        <f t="shared" si="187"/>
        <v>213120</v>
      </c>
    </row>
    <row r="5326" spans="7:14" ht="11.25" customHeight="1" x14ac:dyDescent="0.3">
      <c r="G5326" s="470"/>
      <c r="H5326" s="470">
        <v>5319</v>
      </c>
      <c r="I5326" s="455">
        <f t="shared" ca="1" si="185"/>
        <v>-1720384862797559.5</v>
      </c>
      <c r="J5326" s="455">
        <f t="array" ref="J5326">IFERROR(INDEX('Retirement Calculator'!K:K,MATCH('Lorri 401b'!N5326,'Retirement Calculator'!A:A,0),0),0)</f>
        <v>0</v>
      </c>
      <c r="K5326" s="455">
        <f t="shared" ca="1" si="183"/>
        <v>-7168270261656.498</v>
      </c>
      <c r="L5326" s="455">
        <f t="shared" ca="1" si="184"/>
        <v>-1727553133059216</v>
      </c>
      <c r="M5326" s="471">
        <f t="shared" si="186"/>
        <v>0.05</v>
      </c>
      <c r="N5326" s="475">
        <f t="shared" si="187"/>
        <v>213151</v>
      </c>
    </row>
    <row r="5327" spans="7:14" ht="11.25" customHeight="1" x14ac:dyDescent="0.3">
      <c r="G5327" s="470"/>
      <c r="H5327" s="470">
        <v>5320</v>
      </c>
      <c r="I5327" s="455">
        <f t="shared" ca="1" si="185"/>
        <v>-1727553133059216</v>
      </c>
      <c r="J5327" s="455">
        <f t="array" ref="J5327">IFERROR(INDEX('Retirement Calculator'!K:K,MATCH('Lorri 401b'!N5327,'Retirement Calculator'!A:A,0),0),0)</f>
        <v>0</v>
      </c>
      <c r="K5327" s="455">
        <f t="shared" ca="1" si="183"/>
        <v>-7198138054413.3994</v>
      </c>
      <c r="L5327" s="455">
        <f t="shared" ca="1" si="184"/>
        <v>-1734751271113629.5</v>
      </c>
      <c r="M5327" s="471">
        <f t="shared" si="186"/>
        <v>0.05</v>
      </c>
      <c r="N5327" s="475">
        <f t="shared" si="187"/>
        <v>213182</v>
      </c>
    </row>
    <row r="5328" spans="7:14" ht="11.25" customHeight="1" x14ac:dyDescent="0.3">
      <c r="G5328" s="470"/>
      <c r="H5328" s="470">
        <v>5321</v>
      </c>
      <c r="I5328" s="455">
        <f t="shared" ca="1" si="185"/>
        <v>-1734751271113629.5</v>
      </c>
      <c r="J5328" s="455">
        <f t="array" ref="J5328">IFERROR(INDEX('Retirement Calculator'!K:K,MATCH('Lorri 401b'!N5328,'Retirement Calculator'!A:A,0),0),0)</f>
        <v>0</v>
      </c>
      <c r="K5328" s="455">
        <f t="shared" ca="1" si="183"/>
        <v>-7228130296306.7891</v>
      </c>
      <c r="L5328" s="455">
        <f t="shared" ca="1" si="184"/>
        <v>-1741979401409936.3</v>
      </c>
      <c r="M5328" s="471">
        <f t="shared" si="186"/>
        <v>0.05</v>
      </c>
      <c r="N5328" s="475">
        <f t="shared" si="187"/>
        <v>213212</v>
      </c>
    </row>
    <row r="5329" spans="7:14" ht="11.25" customHeight="1" x14ac:dyDescent="0.3">
      <c r="G5329" s="470"/>
      <c r="H5329" s="470">
        <v>5322</v>
      </c>
      <c r="I5329" s="455">
        <f t="shared" ca="1" si="185"/>
        <v>-1741979401409936.3</v>
      </c>
      <c r="J5329" s="455">
        <f t="array" ref="J5329">IFERROR(INDEX('Retirement Calculator'!K:K,MATCH('Lorri 401b'!N5329,'Retirement Calculator'!A:A,0),0),0)</f>
        <v>0</v>
      </c>
      <c r="K5329" s="455">
        <f t="shared" ca="1" si="183"/>
        <v>-7258247505874.7344</v>
      </c>
      <c r="L5329" s="455">
        <f t="shared" ca="1" si="184"/>
        <v>-1749237648915811</v>
      </c>
      <c r="M5329" s="471">
        <f t="shared" si="186"/>
        <v>0.05</v>
      </c>
      <c r="N5329" s="475">
        <f t="shared" si="187"/>
        <v>213243</v>
      </c>
    </row>
    <row r="5330" spans="7:14" ht="11.25" customHeight="1" x14ac:dyDescent="0.3">
      <c r="G5330" s="470"/>
      <c r="H5330" s="470">
        <v>5323</v>
      </c>
      <c r="I5330" s="455">
        <f t="shared" ca="1" si="185"/>
        <v>-1749237648915811</v>
      </c>
      <c r="J5330" s="455">
        <f t="array" ref="J5330">IFERROR(INDEX('Retirement Calculator'!K:K,MATCH('Lorri 401b'!N5330,'Retirement Calculator'!A:A,0),0),0)</f>
        <v>0</v>
      </c>
      <c r="K5330" s="455">
        <f t="shared" ca="1" si="183"/>
        <v>-7288490203815.8789</v>
      </c>
      <c r="L5330" s="455">
        <f t="shared" ca="1" si="184"/>
        <v>-1756526139119627</v>
      </c>
      <c r="M5330" s="471">
        <f t="shared" si="186"/>
        <v>0.05</v>
      </c>
      <c r="N5330" s="475">
        <f t="shared" si="187"/>
        <v>213273</v>
      </c>
    </row>
    <row r="5331" spans="7:14" ht="11.25" customHeight="1" x14ac:dyDescent="0.3">
      <c r="G5331" s="470"/>
      <c r="H5331" s="470">
        <v>5324</v>
      </c>
      <c r="I5331" s="455">
        <f t="shared" ca="1" si="185"/>
        <v>-1756526139119627</v>
      </c>
      <c r="J5331" s="455">
        <f t="array" ref="J5331">IFERROR(INDEX('Retirement Calculator'!K:K,MATCH('Lorri 401b'!N5331,'Retirement Calculator'!A:A,0),0),0)</f>
        <v>0</v>
      </c>
      <c r="K5331" s="455">
        <f t="shared" ca="1" si="183"/>
        <v>-7318858912998.4443</v>
      </c>
      <c r="L5331" s="455">
        <f t="shared" ca="1" si="184"/>
        <v>-1763844998032625.5</v>
      </c>
      <c r="M5331" s="471">
        <f t="shared" si="186"/>
        <v>0.05</v>
      </c>
      <c r="N5331" s="475">
        <f t="shared" si="187"/>
        <v>213304</v>
      </c>
    </row>
    <row r="5332" spans="7:14" ht="11.25" customHeight="1" x14ac:dyDescent="0.3">
      <c r="G5332" s="470"/>
      <c r="H5332" s="470">
        <v>5325</v>
      </c>
      <c r="I5332" s="455">
        <f t="shared" ca="1" si="185"/>
        <v>-1763844998032625.5</v>
      </c>
      <c r="J5332" s="455">
        <f t="array" ref="J5332">IFERROR(INDEX('Retirement Calculator'!K:K,MATCH('Lorri 401b'!N5332,'Retirement Calculator'!A:A,0),0),0)</f>
        <v>0</v>
      </c>
      <c r="K5332" s="455">
        <f t="shared" ca="1" si="183"/>
        <v>-7349354158469.2725</v>
      </c>
      <c r="L5332" s="455">
        <f t="shared" ca="1" si="184"/>
        <v>-1771194352191094.8</v>
      </c>
      <c r="M5332" s="471">
        <f t="shared" si="186"/>
        <v>0.05</v>
      </c>
      <c r="N5332" s="475">
        <f t="shared" si="187"/>
        <v>213335</v>
      </c>
    </row>
    <row r="5333" spans="7:14" ht="11.25" customHeight="1" x14ac:dyDescent="0.3">
      <c r="G5333" s="470"/>
      <c r="H5333" s="470">
        <v>5326</v>
      </c>
      <c r="I5333" s="455">
        <f t="shared" ca="1" si="185"/>
        <v>-1771194352191094.8</v>
      </c>
      <c r="J5333" s="455">
        <f t="array" ref="J5333">IFERROR(INDEX('Retirement Calculator'!K:K,MATCH('Lorri 401b'!N5333,'Retirement Calculator'!A:A,0),0),0)</f>
        <v>0</v>
      </c>
      <c r="K5333" s="455">
        <f t="shared" ca="1" si="183"/>
        <v>-7379976467462.8936</v>
      </c>
      <c r="L5333" s="455">
        <f t="shared" ca="1" si="184"/>
        <v>-1778574328658557.8</v>
      </c>
      <c r="M5333" s="471">
        <f t="shared" si="186"/>
        <v>0.05</v>
      </c>
      <c r="N5333" s="475">
        <f t="shared" si="187"/>
        <v>213364</v>
      </c>
    </row>
    <row r="5334" spans="7:14" ht="11.25" customHeight="1" x14ac:dyDescent="0.3">
      <c r="G5334" s="470"/>
      <c r="H5334" s="470">
        <v>5327</v>
      </c>
      <c r="I5334" s="455">
        <f t="shared" ca="1" si="185"/>
        <v>-1778574328658557.8</v>
      </c>
      <c r="J5334" s="455">
        <f t="array" ref="J5334">IFERROR(INDEX('Retirement Calculator'!K:K,MATCH('Lorri 401b'!N5334,'Retirement Calculator'!A:A,0),0),0)</f>
        <v>0</v>
      </c>
      <c r="K5334" s="455">
        <f t="shared" ca="1" si="183"/>
        <v>-7410726369410.6572</v>
      </c>
      <c r="L5334" s="455">
        <f t="shared" ca="1" si="184"/>
        <v>-1785985055027968.5</v>
      </c>
      <c r="M5334" s="471">
        <f t="shared" si="186"/>
        <v>0.05</v>
      </c>
      <c r="N5334" s="475">
        <f t="shared" si="187"/>
        <v>213395</v>
      </c>
    </row>
    <row r="5335" spans="7:14" ht="11.25" customHeight="1" x14ac:dyDescent="0.3">
      <c r="G5335" s="470"/>
      <c r="H5335" s="470">
        <v>5328</v>
      </c>
      <c r="I5335" s="455">
        <f t="shared" ca="1" si="185"/>
        <v>-1785985055027968.5</v>
      </c>
      <c r="J5335" s="455">
        <f t="array" ref="J5335">IFERROR(INDEX('Retirement Calculator'!K:K,MATCH('Lorri 401b'!N5335,'Retirement Calculator'!A:A,0),0),0)</f>
        <v>0</v>
      </c>
      <c r="K5335" s="455">
        <f t="shared" ca="1" si="183"/>
        <v>-7441604395949.8672</v>
      </c>
      <c r="L5335" s="455">
        <f t="shared" ca="1" si="184"/>
        <v>-1793426659423918.3</v>
      </c>
      <c r="M5335" s="471">
        <f t="shared" si="186"/>
        <v>0.05</v>
      </c>
      <c r="N5335" s="475">
        <f t="shared" si="187"/>
        <v>213425</v>
      </c>
    </row>
    <row r="5336" spans="7:14" ht="11.25" customHeight="1" x14ac:dyDescent="0.3">
      <c r="G5336" s="470"/>
      <c r="H5336" s="470">
        <v>5329</v>
      </c>
      <c r="I5336" s="455">
        <f t="shared" ca="1" si="185"/>
        <v>-1793426659423918.3</v>
      </c>
      <c r="J5336" s="455">
        <f t="array" ref="J5336">IFERROR(INDEX('Retirement Calculator'!K:K,MATCH('Lorri 401b'!N5336,'Retirement Calculator'!A:A,0),0),0)</f>
        <v>0</v>
      </c>
      <c r="K5336" s="455">
        <f t="shared" ca="1" si="183"/>
        <v>-7472611080932.9932</v>
      </c>
      <c r="L5336" s="455">
        <f t="shared" ca="1" si="184"/>
        <v>-1800899270504851.3</v>
      </c>
      <c r="M5336" s="471">
        <f t="shared" si="186"/>
        <v>0.05</v>
      </c>
      <c r="N5336" s="475">
        <f t="shared" si="187"/>
        <v>213456</v>
      </c>
    </row>
    <row r="5337" spans="7:14" ht="11.25" customHeight="1" x14ac:dyDescent="0.3">
      <c r="G5337" s="470"/>
      <c r="H5337" s="470">
        <v>5330</v>
      </c>
      <c r="I5337" s="455">
        <f t="shared" ca="1" si="185"/>
        <v>-1800899270504851.3</v>
      </c>
      <c r="J5337" s="455">
        <f t="array" ref="J5337">IFERROR(INDEX('Retirement Calculator'!K:K,MATCH('Lorri 401b'!N5337,'Retirement Calculator'!A:A,0),0),0)</f>
        <v>0</v>
      </c>
      <c r="K5337" s="455">
        <f t="shared" ca="1" si="183"/>
        <v>-7503746960436.8799</v>
      </c>
      <c r="L5337" s="455">
        <f t="shared" ca="1" si="184"/>
        <v>-1808403017465288.3</v>
      </c>
      <c r="M5337" s="471">
        <f t="shared" si="186"/>
        <v>0.05</v>
      </c>
      <c r="N5337" s="475">
        <f t="shared" si="187"/>
        <v>213486</v>
      </c>
    </row>
    <row r="5338" spans="7:14" ht="11.25" customHeight="1" x14ac:dyDescent="0.3">
      <c r="G5338" s="470"/>
      <c r="H5338" s="470">
        <v>5331</v>
      </c>
      <c r="I5338" s="455">
        <f t="shared" ca="1" si="185"/>
        <v>-1808403017465288.3</v>
      </c>
      <c r="J5338" s="455">
        <f t="array" ref="J5338">IFERROR(INDEX('Retirement Calculator'!K:K,MATCH('Lorri 401b'!N5338,'Retirement Calculator'!A:A,0),0),0)</f>
        <v>0</v>
      </c>
      <c r="K5338" s="455">
        <f t="shared" ca="1" si="183"/>
        <v>-7535012572772.0342</v>
      </c>
      <c r="L5338" s="455">
        <f t="shared" ca="1" si="184"/>
        <v>-1815938030038060.3</v>
      </c>
      <c r="M5338" s="471">
        <f t="shared" si="186"/>
        <v>0.05</v>
      </c>
      <c r="N5338" s="475">
        <f t="shared" si="187"/>
        <v>213517</v>
      </c>
    </row>
    <row r="5339" spans="7:14" ht="11.25" customHeight="1" x14ac:dyDescent="0.3">
      <c r="G5339" s="470"/>
      <c r="H5339" s="470">
        <v>5332</v>
      </c>
      <c r="I5339" s="455">
        <f t="shared" ca="1" si="185"/>
        <v>-1815938030038060.3</v>
      </c>
      <c r="J5339" s="455">
        <f t="array" ref="J5339">IFERROR(INDEX('Retirement Calculator'!K:K,MATCH('Lorri 401b'!N5339,'Retirement Calculator'!A:A,0),0),0)</f>
        <v>0</v>
      </c>
      <c r="K5339" s="455">
        <f t="shared" ca="1" si="183"/>
        <v>-7566408458491.9189</v>
      </c>
      <c r="L5339" s="455">
        <f t="shared" ca="1" si="184"/>
        <v>-1823504438496552.3</v>
      </c>
      <c r="M5339" s="471">
        <f t="shared" si="186"/>
        <v>0.05</v>
      </c>
      <c r="N5339" s="475">
        <f t="shared" si="187"/>
        <v>213548</v>
      </c>
    </row>
    <row r="5340" spans="7:14" ht="11.25" customHeight="1" x14ac:dyDescent="0.3">
      <c r="G5340" s="470"/>
      <c r="H5340" s="470">
        <v>5333</v>
      </c>
      <c r="I5340" s="455">
        <f t="shared" ca="1" si="185"/>
        <v>-1823504438496552.3</v>
      </c>
      <c r="J5340" s="455">
        <f t="array" ref="J5340">IFERROR(INDEX('Retirement Calculator'!K:K,MATCH('Lorri 401b'!N5340,'Retirement Calculator'!A:A,0),0),0)</f>
        <v>0</v>
      </c>
      <c r="K5340" s="455">
        <f t="shared" ca="1" si="183"/>
        <v>-7597935160402.3008</v>
      </c>
      <c r="L5340" s="455">
        <f t="shared" ca="1" si="184"/>
        <v>-1831102373656954.5</v>
      </c>
      <c r="M5340" s="471">
        <f t="shared" si="186"/>
        <v>0.05</v>
      </c>
      <c r="N5340" s="475">
        <f t="shared" si="187"/>
        <v>213578</v>
      </c>
    </row>
    <row r="5341" spans="7:14" ht="11.25" customHeight="1" x14ac:dyDescent="0.3">
      <c r="G5341" s="470"/>
      <c r="H5341" s="470">
        <v>5334</v>
      </c>
      <c r="I5341" s="455">
        <f t="shared" ca="1" si="185"/>
        <v>-1831102373656954.5</v>
      </c>
      <c r="J5341" s="455">
        <f t="array" ref="J5341">IFERROR(INDEX('Retirement Calculator'!K:K,MATCH('Lorri 401b'!N5341,'Retirement Calculator'!A:A,0),0),0)</f>
        <v>0</v>
      </c>
      <c r="K5341" s="455">
        <f t="shared" ca="1" si="183"/>
        <v>-7629593223570.6436</v>
      </c>
      <c r="L5341" s="455">
        <f t="shared" ca="1" si="184"/>
        <v>-1838731966880525.3</v>
      </c>
      <c r="M5341" s="471">
        <f t="shared" si="186"/>
        <v>0.05</v>
      </c>
      <c r="N5341" s="475">
        <f t="shared" si="187"/>
        <v>213609</v>
      </c>
    </row>
    <row r="5342" spans="7:14" ht="11.25" customHeight="1" x14ac:dyDescent="0.3">
      <c r="G5342" s="470"/>
      <c r="H5342" s="470">
        <v>5335</v>
      </c>
      <c r="I5342" s="455">
        <f t="shared" ca="1" si="185"/>
        <v>-1838731966880525.3</v>
      </c>
      <c r="J5342" s="455">
        <f t="array" ref="J5342">IFERROR(INDEX('Retirement Calculator'!K:K,MATCH('Lorri 401b'!N5342,'Retirement Calculator'!A:A,0),0),0)</f>
        <v>0</v>
      </c>
      <c r="K5342" s="455">
        <f t="shared" ca="1" si="183"/>
        <v>-7661383195335.5215</v>
      </c>
      <c r="L5342" s="455">
        <f t="shared" ca="1" si="184"/>
        <v>-1846393350075860.8</v>
      </c>
      <c r="M5342" s="471">
        <f t="shared" si="186"/>
        <v>0.05</v>
      </c>
      <c r="N5342" s="475">
        <f t="shared" si="187"/>
        <v>213639</v>
      </c>
    </row>
    <row r="5343" spans="7:14" ht="11.25" customHeight="1" x14ac:dyDescent="0.3">
      <c r="G5343" s="470"/>
      <c r="H5343" s="470">
        <v>5336</v>
      </c>
      <c r="I5343" s="455">
        <f t="shared" ca="1" si="185"/>
        <v>-1846393350075860.8</v>
      </c>
      <c r="J5343" s="455">
        <f t="array" ref="J5343">IFERROR(INDEX('Retirement Calculator'!K:K,MATCH('Lorri 401b'!N5343,'Retirement Calculator'!A:A,0),0),0)</f>
        <v>0</v>
      </c>
      <c r="K5343" s="455">
        <f t="shared" ca="1" si="183"/>
        <v>-7693305625316.0859</v>
      </c>
      <c r="L5343" s="455">
        <f t="shared" ca="1" si="184"/>
        <v>-1854086655701176.8</v>
      </c>
      <c r="M5343" s="471">
        <f t="shared" si="186"/>
        <v>0.05</v>
      </c>
      <c r="N5343" s="475">
        <f t="shared" si="187"/>
        <v>213670</v>
      </c>
    </row>
    <row r="5344" spans="7:14" ht="11.25" customHeight="1" x14ac:dyDescent="0.3">
      <c r="G5344" s="470"/>
      <c r="H5344" s="470">
        <v>5337</v>
      </c>
      <c r="I5344" s="455">
        <f t="shared" ca="1" si="185"/>
        <v>-1854086655701176.8</v>
      </c>
      <c r="J5344" s="455">
        <f t="array" ref="J5344">IFERROR(INDEX('Retirement Calculator'!K:K,MATCH('Lorri 401b'!N5344,'Retirement Calculator'!A:A,0),0),0)</f>
        <v>0</v>
      </c>
      <c r="K5344" s="455">
        <f t="shared" ca="1" si="183"/>
        <v>-7725361065421.5684</v>
      </c>
      <c r="L5344" s="455">
        <f t="shared" ca="1" si="184"/>
        <v>-1861812016766598.3</v>
      </c>
      <c r="M5344" s="471">
        <f t="shared" si="186"/>
        <v>0.05</v>
      </c>
      <c r="N5344" s="475">
        <f t="shared" si="187"/>
        <v>213701</v>
      </c>
    </row>
    <row r="5345" spans="7:14" ht="11.25" customHeight="1" x14ac:dyDescent="0.3">
      <c r="G5345" s="470"/>
      <c r="H5345" s="470">
        <v>5338</v>
      </c>
      <c r="I5345" s="455">
        <f t="shared" ca="1" si="185"/>
        <v>-1861812016766598.3</v>
      </c>
      <c r="J5345" s="455">
        <f t="array" ref="J5345">IFERROR(INDEX('Retirement Calculator'!K:K,MATCH('Lorri 401b'!N5345,'Retirement Calculator'!A:A,0),0),0)</f>
        <v>0</v>
      </c>
      <c r="K5345" s="455">
        <f t="shared" ca="1" si="183"/>
        <v>-7757550069860.8271</v>
      </c>
      <c r="L5345" s="455">
        <f t="shared" ca="1" si="184"/>
        <v>-1869569566836459</v>
      </c>
      <c r="M5345" s="471">
        <f t="shared" si="186"/>
        <v>0.05</v>
      </c>
      <c r="N5345" s="475">
        <f t="shared" si="187"/>
        <v>213729</v>
      </c>
    </row>
    <row r="5346" spans="7:14" ht="11.25" customHeight="1" x14ac:dyDescent="0.3">
      <c r="G5346" s="470"/>
      <c r="H5346" s="470">
        <v>5339</v>
      </c>
      <c r="I5346" s="455">
        <f t="shared" ca="1" si="185"/>
        <v>-1869569566836459</v>
      </c>
      <c r="J5346" s="455">
        <f t="array" ref="J5346">IFERROR(INDEX('Retirement Calculator'!K:K,MATCH('Lorri 401b'!N5346,'Retirement Calculator'!A:A,0),0),0)</f>
        <v>0</v>
      </c>
      <c r="K5346" s="455">
        <f t="shared" ca="1" si="183"/>
        <v>-7789873195151.9121</v>
      </c>
      <c r="L5346" s="455">
        <f t="shared" ca="1" si="184"/>
        <v>-1877359440031611</v>
      </c>
      <c r="M5346" s="471">
        <f t="shared" si="186"/>
        <v>0.05</v>
      </c>
      <c r="N5346" s="475">
        <f t="shared" si="187"/>
        <v>213760</v>
      </c>
    </row>
    <row r="5347" spans="7:14" ht="11.25" customHeight="1" x14ac:dyDescent="0.3">
      <c r="G5347" s="470"/>
      <c r="H5347" s="470">
        <v>5340</v>
      </c>
      <c r="I5347" s="455">
        <f t="shared" ca="1" si="185"/>
        <v>-1877359440031611</v>
      </c>
      <c r="J5347" s="455">
        <f t="array" ref="J5347">IFERROR(INDEX('Retirement Calculator'!K:K,MATCH('Lorri 401b'!N5347,'Retirement Calculator'!A:A,0),0),0)</f>
        <v>0</v>
      </c>
      <c r="K5347" s="455">
        <f t="shared" ca="1" si="183"/>
        <v>-7822331000131.7139</v>
      </c>
      <c r="L5347" s="455">
        <f t="shared" ca="1" si="184"/>
        <v>-1885181771031742.8</v>
      </c>
      <c r="M5347" s="471">
        <f t="shared" si="186"/>
        <v>0.05</v>
      </c>
      <c r="N5347" s="475">
        <f t="shared" si="187"/>
        <v>213790</v>
      </c>
    </row>
    <row r="5348" spans="7:14" ht="11.25" customHeight="1" x14ac:dyDescent="0.3">
      <c r="G5348" s="470"/>
      <c r="H5348" s="470">
        <v>5341</v>
      </c>
      <c r="I5348" s="455">
        <f t="shared" ca="1" si="185"/>
        <v>-1885181771031742.8</v>
      </c>
      <c r="J5348" s="455">
        <f t="array" ref="J5348">IFERROR(INDEX('Retirement Calculator'!K:K,MATCH('Lorri 401b'!N5348,'Retirement Calculator'!A:A,0),0),0)</f>
        <v>0</v>
      </c>
      <c r="K5348" s="455">
        <f t="shared" ca="1" si="183"/>
        <v>-7854924045965.5947</v>
      </c>
      <c r="L5348" s="455">
        <f t="shared" ca="1" si="184"/>
        <v>-1893036695077708.3</v>
      </c>
      <c r="M5348" s="471">
        <f t="shared" si="186"/>
        <v>0.05</v>
      </c>
      <c r="N5348" s="475">
        <f t="shared" si="187"/>
        <v>213821</v>
      </c>
    </row>
    <row r="5349" spans="7:14" ht="11.25" customHeight="1" x14ac:dyDescent="0.3">
      <c r="G5349" s="470"/>
      <c r="H5349" s="470">
        <v>5342</v>
      </c>
      <c r="I5349" s="455">
        <f t="shared" ca="1" si="185"/>
        <v>-1893036695077708.3</v>
      </c>
      <c r="J5349" s="455">
        <f t="array" ref="J5349">IFERROR(INDEX('Retirement Calculator'!K:K,MATCH('Lorri 401b'!N5349,'Retirement Calculator'!A:A,0),0),0)</f>
        <v>0</v>
      </c>
      <c r="K5349" s="455">
        <f t="shared" ca="1" si="183"/>
        <v>-7887652896157.1162</v>
      </c>
      <c r="L5349" s="455">
        <f t="shared" ca="1" si="184"/>
        <v>-1900924347973865.3</v>
      </c>
      <c r="M5349" s="471">
        <f t="shared" si="186"/>
        <v>0.05</v>
      </c>
      <c r="N5349" s="475">
        <f t="shared" si="187"/>
        <v>213851</v>
      </c>
    </row>
    <row r="5350" spans="7:14" ht="11.25" customHeight="1" x14ac:dyDescent="0.3">
      <c r="G5350" s="470"/>
      <c r="H5350" s="470">
        <v>5343</v>
      </c>
      <c r="I5350" s="455">
        <f t="shared" ca="1" si="185"/>
        <v>-1900924347973865.3</v>
      </c>
      <c r="J5350" s="455">
        <f t="array" ref="J5350">IFERROR(INDEX('Retirement Calculator'!K:K,MATCH('Lorri 401b'!N5350,'Retirement Calculator'!A:A,0),0),0)</f>
        <v>0</v>
      </c>
      <c r="K5350" s="455">
        <f t="shared" ca="1" si="183"/>
        <v>-7920518116557.7725</v>
      </c>
      <c r="L5350" s="455">
        <f t="shared" ca="1" si="184"/>
        <v>-1908844866090423</v>
      </c>
      <c r="M5350" s="471">
        <f t="shared" si="186"/>
        <v>0.05</v>
      </c>
      <c r="N5350" s="475">
        <f t="shared" si="187"/>
        <v>213882</v>
      </c>
    </row>
    <row r="5351" spans="7:14" ht="11.25" customHeight="1" x14ac:dyDescent="0.3">
      <c r="G5351" s="470"/>
      <c r="H5351" s="470">
        <v>5344</v>
      </c>
      <c r="I5351" s="455">
        <f t="shared" ca="1" si="185"/>
        <v>-1908844866090423</v>
      </c>
      <c r="J5351" s="455">
        <f t="array" ref="J5351">IFERROR(INDEX('Retirement Calculator'!K:K,MATCH('Lorri 401b'!N5351,'Retirement Calculator'!A:A,0),0),0)</f>
        <v>0</v>
      </c>
      <c r="K5351" s="455">
        <f t="shared" ca="1" si="183"/>
        <v>-7953520275376.7627</v>
      </c>
      <c r="L5351" s="455">
        <f t="shared" ca="1" si="184"/>
        <v>-1916798386365799.8</v>
      </c>
      <c r="M5351" s="471">
        <f t="shared" si="186"/>
        <v>0.05</v>
      </c>
      <c r="N5351" s="475">
        <f t="shared" si="187"/>
        <v>213913</v>
      </c>
    </row>
    <row r="5352" spans="7:14" ht="11.25" customHeight="1" x14ac:dyDescent="0.3">
      <c r="G5352" s="470"/>
      <c r="H5352" s="470">
        <v>5345</v>
      </c>
      <c r="I5352" s="455">
        <f t="shared" ca="1" si="185"/>
        <v>-1916798386365799.8</v>
      </c>
      <c r="J5352" s="455">
        <f t="array" ref="J5352">IFERROR(INDEX('Retirement Calculator'!K:K,MATCH('Lorri 401b'!N5352,'Retirement Calculator'!A:A,0),0),0)</f>
        <v>0</v>
      </c>
      <c r="K5352" s="455">
        <f t="shared" ca="1" si="183"/>
        <v>-7986659943190.8311</v>
      </c>
      <c r="L5352" s="455">
        <f t="shared" ca="1" si="184"/>
        <v>-1924785046308990.5</v>
      </c>
      <c r="M5352" s="471">
        <f t="shared" si="186"/>
        <v>0.05</v>
      </c>
      <c r="N5352" s="475">
        <f t="shared" si="187"/>
        <v>213943</v>
      </c>
    </row>
    <row r="5353" spans="7:14" ht="11.25" customHeight="1" x14ac:dyDescent="0.3">
      <c r="G5353" s="470"/>
      <c r="H5353" s="470">
        <v>5346</v>
      </c>
      <c r="I5353" s="455">
        <f t="shared" ca="1" si="185"/>
        <v>-1924785046308990.5</v>
      </c>
      <c r="J5353" s="455">
        <f t="array" ref="J5353">IFERROR(INDEX('Retirement Calculator'!K:K,MATCH('Lorri 401b'!N5353,'Retirement Calculator'!A:A,0),0),0)</f>
        <v>0</v>
      </c>
      <c r="K5353" s="455">
        <f t="shared" ca="1" si="183"/>
        <v>-8019937692954.127</v>
      </c>
      <c r="L5353" s="455">
        <f t="shared" ca="1" si="184"/>
        <v>-1932804984001944.8</v>
      </c>
      <c r="M5353" s="471">
        <f t="shared" si="186"/>
        <v>0.05</v>
      </c>
      <c r="N5353" s="475">
        <f t="shared" si="187"/>
        <v>213974</v>
      </c>
    </row>
    <row r="5354" spans="7:14" ht="11.25" customHeight="1" x14ac:dyDescent="0.3">
      <c r="G5354" s="470"/>
      <c r="H5354" s="470">
        <v>5347</v>
      </c>
      <c r="I5354" s="455">
        <f t="shared" ca="1" si="185"/>
        <v>-1932804984001944.8</v>
      </c>
      <c r="J5354" s="455">
        <f t="array" ref="J5354">IFERROR(INDEX('Retirement Calculator'!K:K,MATCH('Lorri 401b'!N5354,'Retirement Calculator'!A:A,0),0),0)</f>
        <v>0</v>
      </c>
      <c r="K5354" s="455">
        <f t="shared" ca="1" si="183"/>
        <v>-8053354100008.1045</v>
      </c>
      <c r="L5354" s="455">
        <f t="shared" ca="1" si="184"/>
        <v>-1940858338101952.8</v>
      </c>
      <c r="M5354" s="471">
        <f t="shared" si="186"/>
        <v>0.05</v>
      </c>
      <c r="N5354" s="475">
        <f t="shared" si="187"/>
        <v>214004</v>
      </c>
    </row>
    <row r="5355" spans="7:14" ht="11.25" customHeight="1" x14ac:dyDescent="0.3">
      <c r="G5355" s="470"/>
      <c r="H5355" s="470">
        <v>5348</v>
      </c>
      <c r="I5355" s="455">
        <f t="shared" ca="1" si="185"/>
        <v>-1940858338101952.8</v>
      </c>
      <c r="J5355" s="455">
        <f t="array" ref="J5355">IFERROR(INDEX('Retirement Calculator'!K:K,MATCH('Lorri 401b'!N5355,'Retirement Calculator'!A:A,0),0),0)</f>
        <v>0</v>
      </c>
      <c r="K5355" s="455">
        <f t="shared" ca="1" si="183"/>
        <v>-8086909742091.4697</v>
      </c>
      <c r="L5355" s="455">
        <f t="shared" ca="1" si="184"/>
        <v>-1948945247844044.3</v>
      </c>
      <c r="M5355" s="471">
        <f t="shared" si="186"/>
        <v>0.05</v>
      </c>
      <c r="N5355" s="475">
        <f t="shared" si="187"/>
        <v>214035</v>
      </c>
    </row>
    <row r="5356" spans="7:14" ht="11.25" customHeight="1" x14ac:dyDescent="0.3">
      <c r="G5356" s="470"/>
      <c r="H5356" s="470">
        <v>5349</v>
      </c>
      <c r="I5356" s="455">
        <f t="shared" ca="1" si="185"/>
        <v>-1948945247844044.3</v>
      </c>
      <c r="J5356" s="455">
        <f t="array" ref="J5356">IFERROR(INDEX('Retirement Calculator'!K:K,MATCH('Lorri 401b'!N5356,'Retirement Calculator'!A:A,0),0),0)</f>
        <v>0</v>
      </c>
      <c r="K5356" s="455">
        <f t="shared" ca="1" si="183"/>
        <v>-8120605199350.1846</v>
      </c>
      <c r="L5356" s="455">
        <f t="shared" ca="1" si="184"/>
        <v>-1957065853043394.5</v>
      </c>
      <c r="M5356" s="471">
        <f t="shared" si="186"/>
        <v>0.05</v>
      </c>
      <c r="N5356" s="475">
        <f t="shared" si="187"/>
        <v>214066</v>
      </c>
    </row>
    <row r="5357" spans="7:14" ht="11.25" customHeight="1" x14ac:dyDescent="0.3">
      <c r="G5357" s="470"/>
      <c r="H5357" s="470">
        <v>5350</v>
      </c>
      <c r="I5357" s="455">
        <f t="shared" ca="1" si="185"/>
        <v>-1957065853043394.5</v>
      </c>
      <c r="J5357" s="455">
        <f t="array" ref="J5357">IFERROR(INDEX('Retirement Calculator'!K:K,MATCH('Lorri 401b'!N5357,'Retirement Calculator'!A:A,0),0),0)</f>
        <v>0</v>
      </c>
      <c r="K5357" s="455">
        <f t="shared" ca="1" si="183"/>
        <v>-8154441054347.4756</v>
      </c>
      <c r="L5357" s="455">
        <f t="shared" ca="1" si="184"/>
        <v>-1965220294097742</v>
      </c>
      <c r="M5357" s="471">
        <f t="shared" si="186"/>
        <v>0.05</v>
      </c>
      <c r="N5357" s="475">
        <f t="shared" si="187"/>
        <v>214094</v>
      </c>
    </row>
    <row r="5358" spans="7:14" ht="11.25" customHeight="1" x14ac:dyDescent="0.3">
      <c r="G5358" s="470"/>
      <c r="H5358" s="470">
        <v>5351</v>
      </c>
      <c r="I5358" s="455">
        <f t="shared" ca="1" si="185"/>
        <v>-1965220294097742</v>
      </c>
      <c r="J5358" s="455">
        <f t="array" ref="J5358">IFERROR(INDEX('Retirement Calculator'!K:K,MATCH('Lorri 401b'!N5358,'Retirement Calculator'!A:A,0),0),0)</f>
        <v>0</v>
      </c>
      <c r="K5358" s="455">
        <f t="shared" ca="1" si="183"/>
        <v>-8188417892073.9248</v>
      </c>
      <c r="L5358" s="455">
        <f t="shared" ca="1" si="184"/>
        <v>-1973408711989816</v>
      </c>
      <c r="M5358" s="471">
        <f t="shared" si="186"/>
        <v>0.05</v>
      </c>
      <c r="N5358" s="475">
        <f t="shared" si="187"/>
        <v>214125</v>
      </c>
    </row>
    <row r="5359" spans="7:14" ht="11.25" customHeight="1" x14ac:dyDescent="0.3">
      <c r="G5359" s="470"/>
      <c r="H5359" s="470">
        <v>5352</v>
      </c>
      <c r="I5359" s="455">
        <f t="shared" ca="1" si="185"/>
        <v>-1973408711989816</v>
      </c>
      <c r="J5359" s="455">
        <f t="array" ref="J5359">IFERROR(INDEX('Retirement Calculator'!K:K,MATCH('Lorri 401b'!N5359,'Retirement Calculator'!A:A,0),0),0)</f>
        <v>0</v>
      </c>
      <c r="K5359" s="455">
        <f t="shared" ca="1" si="183"/>
        <v>-8222536299957.5654</v>
      </c>
      <c r="L5359" s="455">
        <f t="shared" ca="1" si="184"/>
        <v>-1981631248289773.5</v>
      </c>
      <c r="M5359" s="471">
        <f t="shared" si="186"/>
        <v>0.05</v>
      </c>
      <c r="N5359" s="475">
        <f t="shared" si="187"/>
        <v>214155</v>
      </c>
    </row>
    <row r="5360" spans="7:14" ht="11.25" customHeight="1" x14ac:dyDescent="0.3">
      <c r="G5360" s="470"/>
      <c r="H5360" s="470">
        <v>5353</v>
      </c>
      <c r="I5360" s="455">
        <f t="shared" ca="1" si="185"/>
        <v>-1981631248289773.5</v>
      </c>
      <c r="J5360" s="455">
        <f t="array" ref="J5360">IFERROR(INDEX('Retirement Calculator'!K:K,MATCH('Lorri 401b'!N5360,'Retirement Calculator'!A:A,0),0),0)</f>
        <v>0</v>
      </c>
      <c r="K5360" s="455">
        <f t="shared" ca="1" si="183"/>
        <v>-8256796867874.0557</v>
      </c>
      <c r="L5360" s="455">
        <f t="shared" ca="1" si="184"/>
        <v>-1989888045157647.5</v>
      </c>
      <c r="M5360" s="471">
        <f t="shared" si="186"/>
        <v>0.05</v>
      </c>
      <c r="N5360" s="475">
        <f t="shared" si="187"/>
        <v>214186</v>
      </c>
    </row>
    <row r="5361" spans="7:14" ht="11.25" customHeight="1" x14ac:dyDescent="0.3">
      <c r="G5361" s="470"/>
      <c r="H5361" s="470">
        <v>5354</v>
      </c>
      <c r="I5361" s="455">
        <f t="shared" ca="1" si="185"/>
        <v>-1989888045157647.5</v>
      </c>
      <c r="J5361" s="455">
        <f t="array" ref="J5361">IFERROR(INDEX('Retirement Calculator'!K:K,MATCH('Lorri 401b'!N5361,'Retirement Calculator'!A:A,0),0),0)</f>
        <v>0</v>
      </c>
      <c r="K5361" s="455">
        <f t="shared" ca="1" si="183"/>
        <v>-8291200188156.8643</v>
      </c>
      <c r="L5361" s="455">
        <f t="shared" ca="1" si="184"/>
        <v>-1998179245345804.3</v>
      </c>
      <c r="M5361" s="471">
        <f t="shared" si="186"/>
        <v>0.05</v>
      </c>
      <c r="N5361" s="475">
        <f t="shared" si="187"/>
        <v>214216</v>
      </c>
    </row>
    <row r="5362" spans="7:14" ht="11.25" customHeight="1" x14ac:dyDescent="0.3">
      <c r="G5362" s="470"/>
      <c r="H5362" s="470">
        <v>5355</v>
      </c>
      <c r="I5362" s="455">
        <f t="shared" ca="1" si="185"/>
        <v>-1998179245345804.3</v>
      </c>
      <c r="J5362" s="455">
        <f t="array" ref="J5362">IFERROR(INDEX('Retirement Calculator'!K:K,MATCH('Lorri 401b'!N5362,'Retirement Calculator'!A:A,0),0),0)</f>
        <v>0</v>
      </c>
      <c r="K5362" s="455">
        <f t="shared" ca="1" si="183"/>
        <v>-8325746855607.5176</v>
      </c>
      <c r="L5362" s="455">
        <f t="shared" ca="1" si="184"/>
        <v>-2006504992201411.8</v>
      </c>
      <c r="M5362" s="471">
        <f t="shared" si="186"/>
        <v>0.05</v>
      </c>
      <c r="N5362" s="475">
        <f t="shared" si="187"/>
        <v>214247</v>
      </c>
    </row>
    <row r="5363" spans="7:14" ht="11.25" customHeight="1" x14ac:dyDescent="0.3">
      <c r="G5363" s="470"/>
      <c r="H5363" s="470">
        <v>5356</v>
      </c>
      <c r="I5363" s="455">
        <f t="shared" ca="1" si="185"/>
        <v>-2006504992201411.8</v>
      </c>
      <c r="J5363" s="455">
        <f t="array" ref="J5363">IFERROR(INDEX('Retirement Calculator'!K:K,MATCH('Lorri 401b'!N5363,'Retirement Calculator'!A:A,0),0),0)</f>
        <v>0</v>
      </c>
      <c r="K5363" s="455">
        <f t="shared" ref="K5363:K5617" ca="1" si="188">IPMT(M5363/12,1,12,-I5363+J5363,,0)</f>
        <v>-8360437467505.8818</v>
      </c>
      <c r="L5363" s="455">
        <f t="shared" ref="L5363:L5617" ca="1" si="189">I5363-J5363+K5363</f>
        <v>-2014865429668917.8</v>
      </c>
      <c r="M5363" s="471">
        <f t="shared" si="186"/>
        <v>0.05</v>
      </c>
      <c r="N5363" s="475">
        <f t="shared" si="187"/>
        <v>214278</v>
      </c>
    </row>
    <row r="5364" spans="7:14" ht="11.25" customHeight="1" x14ac:dyDescent="0.3">
      <c r="G5364" s="470"/>
      <c r="H5364" s="470">
        <v>5357</v>
      </c>
      <c r="I5364" s="455">
        <f t="shared" ref="I5364:I5618" ca="1" si="190">L5363</f>
        <v>-2014865429668917.8</v>
      </c>
      <c r="J5364" s="455">
        <f t="array" ref="J5364">IFERROR(INDEX('Retirement Calculator'!K:K,MATCH('Lorri 401b'!N5364,'Retirement Calculator'!A:A,0),0),0)</f>
        <v>0</v>
      </c>
      <c r="K5364" s="455">
        <f t="shared" ca="1" si="188"/>
        <v>-8395272623620.4902</v>
      </c>
      <c r="L5364" s="455">
        <f t="shared" ca="1" si="189"/>
        <v>-2023260702292538.3</v>
      </c>
      <c r="M5364" s="471">
        <f t="shared" ref="M5364:M5618" si="191">M5363</f>
        <v>0.05</v>
      </c>
      <c r="N5364" s="475">
        <f t="shared" ref="N5364:N5618" si="192">EDATE(N5363,1)</f>
        <v>214308</v>
      </c>
    </row>
    <row r="5365" spans="7:14" ht="11.25" customHeight="1" x14ac:dyDescent="0.3">
      <c r="G5365" s="470"/>
      <c r="H5365" s="470">
        <v>5358</v>
      </c>
      <c r="I5365" s="455">
        <f t="shared" ca="1" si="190"/>
        <v>-2023260702292538.3</v>
      </c>
      <c r="J5365" s="455">
        <f t="array" ref="J5365">IFERROR(INDEX('Retirement Calculator'!K:K,MATCH('Lorri 401b'!N5365,'Retirement Calculator'!A:A,0),0),0)</f>
        <v>0</v>
      </c>
      <c r="K5365" s="455">
        <f t="shared" ca="1" si="188"/>
        <v>-8430252926218.9082</v>
      </c>
      <c r="L5365" s="455">
        <f t="shared" ca="1" si="189"/>
        <v>-2031690955218757.3</v>
      </c>
      <c r="M5365" s="471">
        <f t="shared" si="191"/>
        <v>0.05</v>
      </c>
      <c r="N5365" s="475">
        <f t="shared" si="192"/>
        <v>214339</v>
      </c>
    </row>
    <row r="5366" spans="7:14" ht="11.25" customHeight="1" x14ac:dyDescent="0.3">
      <c r="G5366" s="470"/>
      <c r="H5366" s="470">
        <v>5359</v>
      </c>
      <c r="I5366" s="455">
        <f t="shared" ca="1" si="190"/>
        <v>-2031690955218757.3</v>
      </c>
      <c r="J5366" s="455">
        <f t="array" ref="J5366">IFERROR(INDEX('Retirement Calculator'!K:K,MATCH('Lorri 401b'!N5366,'Retirement Calculator'!A:A,0),0),0)</f>
        <v>0</v>
      </c>
      <c r="K5366" s="455">
        <f t="shared" ca="1" si="188"/>
        <v>-8465378980078.1543</v>
      </c>
      <c r="L5366" s="455">
        <f t="shared" ca="1" si="189"/>
        <v>-2040156334198835.5</v>
      </c>
      <c r="M5366" s="471">
        <f t="shared" si="191"/>
        <v>0.05</v>
      </c>
      <c r="N5366" s="475">
        <f t="shared" si="192"/>
        <v>214369</v>
      </c>
    </row>
    <row r="5367" spans="7:14" ht="11.25" customHeight="1" x14ac:dyDescent="0.3">
      <c r="G5367" s="470"/>
      <c r="H5367" s="470">
        <v>5360</v>
      </c>
      <c r="I5367" s="455">
        <f t="shared" ca="1" si="190"/>
        <v>-2040156334198835.5</v>
      </c>
      <c r="J5367" s="455">
        <f t="array" ref="J5367">IFERROR(INDEX('Retirement Calculator'!K:K,MATCH('Lorri 401b'!N5367,'Retirement Calculator'!A:A,0),0),0)</f>
        <v>0</v>
      </c>
      <c r="K5367" s="455">
        <f t="shared" ca="1" si="188"/>
        <v>-8500651392495.1475</v>
      </c>
      <c r="L5367" s="455">
        <f t="shared" ca="1" si="189"/>
        <v>-2048656985591330.8</v>
      </c>
      <c r="M5367" s="471">
        <f t="shared" si="191"/>
        <v>0.05</v>
      </c>
      <c r="N5367" s="475">
        <f t="shared" si="192"/>
        <v>214400</v>
      </c>
    </row>
    <row r="5368" spans="7:14" ht="11.25" customHeight="1" x14ac:dyDescent="0.3">
      <c r="G5368" s="470"/>
      <c r="H5368" s="470">
        <v>5361</v>
      </c>
      <c r="I5368" s="455">
        <f t="shared" ca="1" si="190"/>
        <v>-2048656985591330.8</v>
      </c>
      <c r="J5368" s="455">
        <f t="array" ref="J5368">IFERROR(INDEX('Retirement Calculator'!K:K,MATCH('Lorri 401b'!N5368,'Retirement Calculator'!A:A,0),0),0)</f>
        <v>0</v>
      </c>
      <c r="K5368" s="455">
        <f t="shared" ca="1" si="188"/>
        <v>-8536070773297.21</v>
      </c>
      <c r="L5368" s="455">
        <f t="shared" ca="1" si="189"/>
        <v>-2057193056364628</v>
      </c>
      <c r="M5368" s="471">
        <f t="shared" si="191"/>
        <v>0.05</v>
      </c>
      <c r="N5368" s="475">
        <f t="shared" si="192"/>
        <v>214431</v>
      </c>
    </row>
    <row r="5369" spans="7:14" ht="11.25" customHeight="1" x14ac:dyDescent="0.3">
      <c r="G5369" s="470"/>
      <c r="H5369" s="470">
        <v>5362</v>
      </c>
      <c r="I5369" s="455">
        <f t="shared" ca="1" si="190"/>
        <v>-2057193056364628</v>
      </c>
      <c r="J5369" s="455">
        <f t="array" ref="J5369">IFERROR(INDEX('Retirement Calculator'!K:K,MATCH('Lorri 401b'!N5369,'Retirement Calculator'!A:A,0),0),0)</f>
        <v>0</v>
      </c>
      <c r="K5369" s="455">
        <f t="shared" ca="1" si="188"/>
        <v>-8571637734852.6162</v>
      </c>
      <c r="L5369" s="455">
        <f t="shared" ca="1" si="189"/>
        <v>-2065764694099480.5</v>
      </c>
      <c r="M5369" s="471">
        <f t="shared" si="191"/>
        <v>0.05</v>
      </c>
      <c r="N5369" s="475">
        <f t="shared" si="192"/>
        <v>214459</v>
      </c>
    </row>
    <row r="5370" spans="7:14" ht="11.25" customHeight="1" x14ac:dyDescent="0.3">
      <c r="G5370" s="470"/>
      <c r="H5370" s="470">
        <v>5363</v>
      </c>
      <c r="I5370" s="455">
        <f t="shared" ca="1" si="190"/>
        <v>-2065764694099480.5</v>
      </c>
      <c r="J5370" s="455">
        <f t="array" ref="J5370">IFERROR(INDEX('Retirement Calculator'!K:K,MATCH('Lorri 401b'!N5370,'Retirement Calculator'!A:A,0),0),0)</f>
        <v>0</v>
      </c>
      <c r="K5370" s="455">
        <f t="shared" ca="1" si="188"/>
        <v>-8607352892081.168</v>
      </c>
      <c r="L5370" s="455">
        <f t="shared" ca="1" si="189"/>
        <v>-2074372046991561.8</v>
      </c>
      <c r="M5370" s="471">
        <f t="shared" si="191"/>
        <v>0.05</v>
      </c>
      <c r="N5370" s="475">
        <f t="shared" si="192"/>
        <v>214490</v>
      </c>
    </row>
    <row r="5371" spans="7:14" ht="11.25" customHeight="1" x14ac:dyDescent="0.3">
      <c r="G5371" s="470"/>
      <c r="H5371" s="470">
        <v>5364</v>
      </c>
      <c r="I5371" s="455">
        <f t="shared" ca="1" si="190"/>
        <v>-2074372046991561.8</v>
      </c>
      <c r="J5371" s="455">
        <f t="array" ref="J5371">IFERROR(INDEX('Retirement Calculator'!K:K,MATCH('Lorri 401b'!N5371,'Retirement Calculator'!A:A,0),0),0)</f>
        <v>0</v>
      </c>
      <c r="K5371" s="455">
        <f t="shared" ca="1" si="188"/>
        <v>-8643216862464.8408</v>
      </c>
      <c r="L5371" s="455">
        <f t="shared" ca="1" si="189"/>
        <v>-2083015263854026.5</v>
      </c>
      <c r="M5371" s="471">
        <f t="shared" si="191"/>
        <v>0.05</v>
      </c>
      <c r="N5371" s="475">
        <f t="shared" si="192"/>
        <v>214520</v>
      </c>
    </row>
    <row r="5372" spans="7:14" ht="11.25" customHeight="1" x14ac:dyDescent="0.3">
      <c r="G5372" s="470"/>
      <c r="H5372" s="470">
        <v>5365</v>
      </c>
      <c r="I5372" s="455">
        <f t="shared" ca="1" si="190"/>
        <v>-2083015263854026.5</v>
      </c>
      <c r="J5372" s="455">
        <f t="array" ref="J5372">IFERROR(INDEX('Retirement Calculator'!K:K,MATCH('Lorri 401b'!N5372,'Retirement Calculator'!A:A,0),0),0)</f>
        <v>0</v>
      </c>
      <c r="K5372" s="455">
        <f t="shared" ca="1" si="188"/>
        <v>-8679230266058.4434</v>
      </c>
      <c r="L5372" s="455">
        <f t="shared" ca="1" si="189"/>
        <v>-2091694494120085</v>
      </c>
      <c r="M5372" s="471">
        <f t="shared" si="191"/>
        <v>0.05</v>
      </c>
      <c r="N5372" s="475">
        <f t="shared" si="192"/>
        <v>214551</v>
      </c>
    </row>
    <row r="5373" spans="7:14" ht="11.25" customHeight="1" x14ac:dyDescent="0.3">
      <c r="G5373" s="470"/>
      <c r="H5373" s="470">
        <v>5366</v>
      </c>
      <c r="I5373" s="455">
        <f t="shared" ca="1" si="190"/>
        <v>-2091694494120085</v>
      </c>
      <c r="J5373" s="455">
        <f t="array" ref="J5373">IFERROR(INDEX('Retirement Calculator'!K:K,MATCH('Lorri 401b'!N5373,'Retirement Calculator'!A:A,0),0),0)</f>
        <v>0</v>
      </c>
      <c r="K5373" s="455">
        <f t="shared" ca="1" si="188"/>
        <v>-8715393725500.3545</v>
      </c>
      <c r="L5373" s="455">
        <f t="shared" ca="1" si="189"/>
        <v>-2100409887845585.3</v>
      </c>
      <c r="M5373" s="471">
        <f t="shared" si="191"/>
        <v>0.05</v>
      </c>
      <c r="N5373" s="475">
        <f t="shared" si="192"/>
        <v>214581</v>
      </c>
    </row>
    <row r="5374" spans="7:14" ht="11.25" customHeight="1" x14ac:dyDescent="0.3">
      <c r="G5374" s="470"/>
      <c r="H5374" s="470">
        <v>5367</v>
      </c>
      <c r="I5374" s="455">
        <f t="shared" ca="1" si="190"/>
        <v>-2100409887845585.3</v>
      </c>
      <c r="J5374" s="455">
        <f t="array" ref="J5374">IFERROR(INDEX('Retirement Calculator'!K:K,MATCH('Lorri 401b'!N5374,'Retirement Calculator'!A:A,0),0),0)</f>
        <v>0</v>
      </c>
      <c r="K5374" s="455">
        <f t="shared" ca="1" si="188"/>
        <v>-8751707866023.2715</v>
      </c>
      <c r="L5374" s="455">
        <f t="shared" ca="1" si="189"/>
        <v>-2109161595711608.5</v>
      </c>
      <c r="M5374" s="471">
        <f t="shared" si="191"/>
        <v>0.05</v>
      </c>
      <c r="N5374" s="475">
        <f t="shared" si="192"/>
        <v>214612</v>
      </c>
    </row>
    <row r="5375" spans="7:14" ht="11.25" customHeight="1" x14ac:dyDescent="0.3">
      <c r="G5375" s="470"/>
      <c r="H5375" s="470">
        <v>5368</v>
      </c>
      <c r="I5375" s="455">
        <f t="shared" ca="1" si="190"/>
        <v>-2109161595711608.5</v>
      </c>
      <c r="J5375" s="455">
        <f t="array" ref="J5375">IFERROR(INDEX('Retirement Calculator'!K:K,MATCH('Lorri 401b'!N5375,'Retirement Calculator'!A:A,0),0),0)</f>
        <v>0</v>
      </c>
      <c r="K5375" s="455">
        <f t="shared" ca="1" si="188"/>
        <v>-8788173315465.0352</v>
      </c>
      <c r="L5375" s="455">
        <f t="shared" ca="1" si="189"/>
        <v>-2117949769027073.5</v>
      </c>
      <c r="M5375" s="471">
        <f t="shared" si="191"/>
        <v>0.05</v>
      </c>
      <c r="N5375" s="475">
        <f t="shared" si="192"/>
        <v>214643</v>
      </c>
    </row>
    <row r="5376" spans="7:14" ht="11.25" customHeight="1" x14ac:dyDescent="0.3">
      <c r="G5376" s="470"/>
      <c r="H5376" s="470">
        <v>5369</v>
      </c>
      <c r="I5376" s="455">
        <f t="shared" ca="1" si="190"/>
        <v>-2117949769027073.5</v>
      </c>
      <c r="J5376" s="455">
        <f t="array" ref="J5376">IFERROR(INDEX('Retirement Calculator'!K:K,MATCH('Lorri 401b'!N5376,'Retirement Calculator'!A:A,0),0),0)</f>
        <v>0</v>
      </c>
      <c r="K5376" s="455">
        <f t="shared" ca="1" si="188"/>
        <v>-8824790704279.4727</v>
      </c>
      <c r="L5376" s="455">
        <f t="shared" ca="1" si="189"/>
        <v>-2126774559731353</v>
      </c>
      <c r="M5376" s="471">
        <f t="shared" si="191"/>
        <v>0.05</v>
      </c>
      <c r="N5376" s="475">
        <f t="shared" si="192"/>
        <v>214673</v>
      </c>
    </row>
    <row r="5377" spans="7:14" ht="11.25" customHeight="1" x14ac:dyDescent="0.3">
      <c r="G5377" s="470"/>
      <c r="H5377" s="470">
        <v>5370</v>
      </c>
      <c r="I5377" s="455">
        <f t="shared" ca="1" si="190"/>
        <v>-2126774559731353</v>
      </c>
      <c r="J5377" s="455">
        <f t="array" ref="J5377">IFERROR(INDEX('Retirement Calculator'!K:K,MATCH('Lorri 401b'!N5377,'Retirement Calculator'!A:A,0),0),0)</f>
        <v>0</v>
      </c>
      <c r="K5377" s="455">
        <f t="shared" ca="1" si="188"/>
        <v>-8861560665547.3047</v>
      </c>
      <c r="L5377" s="455">
        <f t="shared" ca="1" si="189"/>
        <v>-2135636120396900.3</v>
      </c>
      <c r="M5377" s="471">
        <f t="shared" si="191"/>
        <v>0.05</v>
      </c>
      <c r="N5377" s="475">
        <f t="shared" si="192"/>
        <v>214704</v>
      </c>
    </row>
    <row r="5378" spans="7:14" ht="11.25" customHeight="1" x14ac:dyDescent="0.3">
      <c r="G5378" s="470"/>
      <c r="H5378" s="470">
        <v>5371</v>
      </c>
      <c r="I5378" s="455">
        <f t="shared" ca="1" si="190"/>
        <v>-2135636120396900.3</v>
      </c>
      <c r="J5378" s="455">
        <f t="array" ref="J5378">IFERROR(INDEX('Retirement Calculator'!K:K,MATCH('Lorri 401b'!N5378,'Retirement Calculator'!A:A,0),0),0)</f>
        <v>0</v>
      </c>
      <c r="K5378" s="455">
        <f t="shared" ca="1" si="188"/>
        <v>-8898483834987.084</v>
      </c>
      <c r="L5378" s="455">
        <f t="shared" ca="1" si="189"/>
        <v>-2144534604231887.3</v>
      </c>
      <c r="M5378" s="471">
        <f t="shared" si="191"/>
        <v>0.05</v>
      </c>
      <c r="N5378" s="475">
        <f t="shared" si="192"/>
        <v>214734</v>
      </c>
    </row>
    <row r="5379" spans="7:14" ht="11.25" customHeight="1" x14ac:dyDescent="0.3">
      <c r="G5379" s="470"/>
      <c r="H5379" s="470">
        <v>5372</v>
      </c>
      <c r="I5379" s="455">
        <f t="shared" ca="1" si="190"/>
        <v>-2144534604231887.3</v>
      </c>
      <c r="J5379" s="455">
        <f t="array" ref="J5379">IFERROR(INDEX('Retirement Calculator'!K:K,MATCH('Lorri 401b'!N5379,'Retirement Calculator'!A:A,0),0),0)</f>
        <v>0</v>
      </c>
      <c r="K5379" s="455">
        <f t="shared" ca="1" si="188"/>
        <v>-8935560850966.1973</v>
      </c>
      <c r="L5379" s="455">
        <f t="shared" ca="1" si="189"/>
        <v>-2153470165082853.5</v>
      </c>
      <c r="M5379" s="471">
        <f t="shared" si="191"/>
        <v>0.05</v>
      </c>
      <c r="N5379" s="475">
        <f t="shared" si="192"/>
        <v>214765</v>
      </c>
    </row>
    <row r="5380" spans="7:14" ht="11.25" customHeight="1" x14ac:dyDescent="0.3">
      <c r="G5380" s="470"/>
      <c r="H5380" s="470">
        <v>5373</v>
      </c>
      <c r="I5380" s="455">
        <f t="shared" ca="1" si="190"/>
        <v>-2153470165082853.5</v>
      </c>
      <c r="J5380" s="455">
        <f t="array" ref="J5380">IFERROR(INDEX('Retirement Calculator'!K:K,MATCH('Lorri 401b'!N5380,'Retirement Calculator'!A:A,0),0),0)</f>
        <v>0</v>
      </c>
      <c r="K5380" s="455">
        <f t="shared" ca="1" si="188"/>
        <v>-8972792354511.8906</v>
      </c>
      <c r="L5380" s="455">
        <f t="shared" ca="1" si="189"/>
        <v>-2162442957437365.5</v>
      </c>
      <c r="M5380" s="471">
        <f t="shared" si="191"/>
        <v>0.05</v>
      </c>
      <c r="N5380" s="475">
        <f t="shared" si="192"/>
        <v>214796</v>
      </c>
    </row>
    <row r="5381" spans="7:14" ht="11.25" customHeight="1" x14ac:dyDescent="0.3">
      <c r="G5381" s="470"/>
      <c r="H5381" s="470">
        <v>5374</v>
      </c>
      <c r="I5381" s="455">
        <f t="shared" ca="1" si="190"/>
        <v>-2162442957437365.5</v>
      </c>
      <c r="J5381" s="455">
        <f t="array" ref="J5381">IFERROR(INDEX('Retirement Calculator'!K:K,MATCH('Lorri 401b'!N5381,'Retirement Calculator'!A:A,0),0),0)</f>
        <v>0</v>
      </c>
      <c r="K5381" s="455">
        <f t="shared" ca="1" si="188"/>
        <v>-9010178989322.3555</v>
      </c>
      <c r="L5381" s="455">
        <f t="shared" ca="1" si="189"/>
        <v>-2171453136426687.8</v>
      </c>
      <c r="M5381" s="471">
        <f t="shared" si="191"/>
        <v>0.05</v>
      </c>
      <c r="N5381" s="475">
        <f t="shared" si="192"/>
        <v>214825</v>
      </c>
    </row>
    <row r="5382" spans="7:14" ht="11.25" customHeight="1" x14ac:dyDescent="0.3">
      <c r="G5382" s="470"/>
      <c r="H5382" s="470">
        <v>5375</v>
      </c>
      <c r="I5382" s="455">
        <f t="shared" ca="1" si="190"/>
        <v>-2171453136426687.8</v>
      </c>
      <c r="J5382" s="455">
        <f t="array" ref="J5382">IFERROR(INDEX('Retirement Calculator'!K:K,MATCH('Lorri 401b'!N5382,'Retirement Calculator'!A:A,0),0),0)</f>
        <v>0</v>
      </c>
      <c r="K5382" s="455">
        <f t="shared" ca="1" si="188"/>
        <v>-9047721401777.8652</v>
      </c>
      <c r="L5382" s="455">
        <f t="shared" ca="1" si="189"/>
        <v>-2180500857828465.5</v>
      </c>
      <c r="M5382" s="471">
        <f t="shared" si="191"/>
        <v>0.05</v>
      </c>
      <c r="N5382" s="475">
        <f t="shared" si="192"/>
        <v>214856</v>
      </c>
    </row>
    <row r="5383" spans="7:14" ht="11.25" customHeight="1" x14ac:dyDescent="0.3">
      <c r="G5383" s="470"/>
      <c r="H5383" s="470">
        <v>5376</v>
      </c>
      <c r="I5383" s="455">
        <f t="shared" ca="1" si="190"/>
        <v>-2180500857828465.5</v>
      </c>
      <c r="J5383" s="455">
        <f t="array" ref="J5383">IFERROR(INDEX('Retirement Calculator'!K:K,MATCH('Lorri 401b'!N5383,'Retirement Calculator'!A:A,0),0),0)</f>
        <v>0</v>
      </c>
      <c r="K5383" s="455">
        <f t="shared" ca="1" si="188"/>
        <v>-9085420240951.9375</v>
      </c>
      <c r="L5383" s="455">
        <f t="shared" ca="1" si="189"/>
        <v>-2189586278069417.5</v>
      </c>
      <c r="M5383" s="471">
        <f t="shared" si="191"/>
        <v>0.05</v>
      </c>
      <c r="N5383" s="475">
        <f t="shared" si="192"/>
        <v>214886</v>
      </c>
    </row>
    <row r="5384" spans="7:14" ht="11.25" customHeight="1" x14ac:dyDescent="0.3">
      <c r="G5384" s="470"/>
      <c r="H5384" s="470">
        <v>5377</v>
      </c>
      <c r="I5384" s="455">
        <f t="shared" ca="1" si="190"/>
        <v>-2189586278069417.5</v>
      </c>
      <c r="J5384" s="455">
        <f t="array" ref="J5384">IFERROR(INDEX('Retirement Calculator'!K:K,MATCH('Lorri 401b'!N5384,'Retirement Calculator'!A:A,0),0),0)</f>
        <v>0</v>
      </c>
      <c r="K5384" s="455">
        <f t="shared" ca="1" si="188"/>
        <v>-9123276158622.5723</v>
      </c>
      <c r="L5384" s="455">
        <f t="shared" ca="1" si="189"/>
        <v>-2198709554228040</v>
      </c>
      <c r="M5384" s="471">
        <f t="shared" si="191"/>
        <v>0.05</v>
      </c>
      <c r="N5384" s="475">
        <f t="shared" si="192"/>
        <v>214917</v>
      </c>
    </row>
    <row r="5385" spans="7:14" ht="11.25" customHeight="1" x14ac:dyDescent="0.3">
      <c r="G5385" s="470"/>
      <c r="H5385" s="470">
        <v>5378</v>
      </c>
      <c r="I5385" s="455">
        <f t="shared" ca="1" si="190"/>
        <v>-2198709554228040</v>
      </c>
      <c r="J5385" s="455">
        <f t="array" ref="J5385">IFERROR(INDEX('Retirement Calculator'!K:K,MATCH('Lorri 401b'!N5385,'Retirement Calculator'!A:A,0),0),0)</f>
        <v>0</v>
      </c>
      <c r="K5385" s="455">
        <f t="shared" ca="1" si="188"/>
        <v>-9161289809283.498</v>
      </c>
      <c r="L5385" s="455">
        <f t="shared" ca="1" si="189"/>
        <v>-2207870844037323.5</v>
      </c>
      <c r="M5385" s="471">
        <f t="shared" si="191"/>
        <v>0.05</v>
      </c>
      <c r="N5385" s="475">
        <f t="shared" si="192"/>
        <v>214947</v>
      </c>
    </row>
    <row r="5386" spans="7:14" ht="11.25" customHeight="1" x14ac:dyDescent="0.3">
      <c r="G5386" s="470"/>
      <c r="H5386" s="470">
        <v>5379</v>
      </c>
      <c r="I5386" s="455">
        <f t="shared" ca="1" si="190"/>
        <v>-2207870844037323.5</v>
      </c>
      <c r="J5386" s="455">
        <f t="array" ref="J5386">IFERROR(INDEX('Retirement Calculator'!K:K,MATCH('Lorri 401b'!N5386,'Retirement Calculator'!A:A,0),0),0)</f>
        <v>0</v>
      </c>
      <c r="K5386" s="455">
        <f t="shared" ca="1" si="188"/>
        <v>-9199461850155.5156</v>
      </c>
      <c r="L5386" s="455">
        <f t="shared" ca="1" si="189"/>
        <v>-2217070305887479</v>
      </c>
      <c r="M5386" s="471">
        <f t="shared" si="191"/>
        <v>0.05</v>
      </c>
      <c r="N5386" s="475">
        <f t="shared" si="192"/>
        <v>214978</v>
      </c>
    </row>
    <row r="5387" spans="7:14" ht="11.25" customHeight="1" x14ac:dyDescent="0.3">
      <c r="G5387" s="470"/>
      <c r="H5387" s="470">
        <v>5380</v>
      </c>
      <c r="I5387" s="455">
        <f t="shared" ca="1" si="190"/>
        <v>-2217070305887479</v>
      </c>
      <c r="J5387" s="455">
        <f t="array" ref="J5387">IFERROR(INDEX('Retirement Calculator'!K:K,MATCH('Lorri 401b'!N5387,'Retirement Calculator'!A:A,0),0),0)</f>
        <v>0</v>
      </c>
      <c r="K5387" s="455">
        <f t="shared" ca="1" si="188"/>
        <v>-9237792941197.8281</v>
      </c>
      <c r="L5387" s="455">
        <f t="shared" ca="1" si="189"/>
        <v>-2226308098828676.8</v>
      </c>
      <c r="M5387" s="471">
        <f t="shared" si="191"/>
        <v>0.05</v>
      </c>
      <c r="N5387" s="475">
        <f t="shared" si="192"/>
        <v>215009</v>
      </c>
    </row>
    <row r="5388" spans="7:14" ht="11.25" customHeight="1" x14ac:dyDescent="0.3">
      <c r="G5388" s="470"/>
      <c r="H5388" s="470">
        <v>5381</v>
      </c>
      <c r="I5388" s="455">
        <f t="shared" ca="1" si="190"/>
        <v>-2226308098828676.8</v>
      </c>
      <c r="J5388" s="455">
        <f t="array" ref="J5388">IFERROR(INDEX('Retirement Calculator'!K:K,MATCH('Lorri 401b'!N5388,'Retirement Calculator'!A:A,0),0),0)</f>
        <v>0</v>
      </c>
      <c r="K5388" s="455">
        <f t="shared" ca="1" si="188"/>
        <v>-9276283745119.4863</v>
      </c>
      <c r="L5388" s="455">
        <f t="shared" ca="1" si="189"/>
        <v>-2235584382573796.3</v>
      </c>
      <c r="M5388" s="471">
        <f t="shared" si="191"/>
        <v>0.05</v>
      </c>
      <c r="N5388" s="475">
        <f t="shared" si="192"/>
        <v>215039</v>
      </c>
    </row>
    <row r="5389" spans="7:14" ht="11.25" customHeight="1" x14ac:dyDescent="0.3">
      <c r="G5389" s="470"/>
      <c r="H5389" s="470">
        <v>5382</v>
      </c>
      <c r="I5389" s="455">
        <f t="shared" ca="1" si="190"/>
        <v>-2235584382573796.3</v>
      </c>
      <c r="J5389" s="455">
        <f t="array" ref="J5389">IFERROR(INDEX('Retirement Calculator'!K:K,MATCH('Lorri 401b'!N5389,'Retirement Calculator'!A:A,0),0),0)</f>
        <v>0</v>
      </c>
      <c r="K5389" s="455">
        <f t="shared" ca="1" si="188"/>
        <v>-9314934927390.8184</v>
      </c>
      <c r="L5389" s="455">
        <f t="shared" ca="1" si="189"/>
        <v>-2244899317501187</v>
      </c>
      <c r="M5389" s="471">
        <f t="shared" si="191"/>
        <v>0.05</v>
      </c>
      <c r="N5389" s="475">
        <f t="shared" si="192"/>
        <v>215070</v>
      </c>
    </row>
    <row r="5390" spans="7:14" ht="11.25" customHeight="1" x14ac:dyDescent="0.3">
      <c r="G5390" s="470"/>
      <c r="H5390" s="470">
        <v>5383</v>
      </c>
      <c r="I5390" s="455">
        <f t="shared" ca="1" si="190"/>
        <v>-2244899317501187</v>
      </c>
      <c r="J5390" s="455">
        <f t="array" ref="J5390">IFERROR(INDEX('Retirement Calculator'!K:K,MATCH('Lorri 401b'!N5390,'Retirement Calculator'!A:A,0),0),0)</f>
        <v>0</v>
      </c>
      <c r="K5390" s="455">
        <f t="shared" ca="1" si="188"/>
        <v>-9353747156254.9473</v>
      </c>
      <c r="L5390" s="455">
        <f t="shared" ca="1" si="189"/>
        <v>-2254253064657442</v>
      </c>
      <c r="M5390" s="471">
        <f t="shared" si="191"/>
        <v>0.05</v>
      </c>
      <c r="N5390" s="475">
        <f t="shared" si="192"/>
        <v>215100</v>
      </c>
    </row>
    <row r="5391" spans="7:14" ht="11.25" customHeight="1" x14ac:dyDescent="0.3">
      <c r="G5391" s="470"/>
      <c r="H5391" s="470">
        <v>5384</v>
      </c>
      <c r="I5391" s="455">
        <f t="shared" ca="1" si="190"/>
        <v>-2254253064657442</v>
      </c>
      <c r="J5391" s="455">
        <f t="array" ref="J5391">IFERROR(INDEX('Retirement Calculator'!K:K,MATCH('Lorri 401b'!N5391,'Retirement Calculator'!A:A,0),0),0)</f>
        <v>0</v>
      </c>
      <c r="K5391" s="455">
        <f t="shared" ca="1" si="188"/>
        <v>-9392721102739.3418</v>
      </c>
      <c r="L5391" s="455">
        <f t="shared" ca="1" si="189"/>
        <v>-2263645785760181.5</v>
      </c>
      <c r="M5391" s="471">
        <f t="shared" si="191"/>
        <v>0.05</v>
      </c>
      <c r="N5391" s="475">
        <f t="shared" si="192"/>
        <v>215131</v>
      </c>
    </row>
    <row r="5392" spans="7:14" ht="11.25" customHeight="1" x14ac:dyDescent="0.3">
      <c r="G5392" s="470"/>
      <c r="H5392" s="470">
        <v>5385</v>
      </c>
      <c r="I5392" s="455">
        <f t="shared" ca="1" si="190"/>
        <v>-2263645785760181.5</v>
      </c>
      <c r="J5392" s="455">
        <f t="array" ref="J5392">IFERROR(INDEX('Retirement Calculator'!K:K,MATCH('Lorri 401b'!N5392,'Retirement Calculator'!A:A,0),0),0)</f>
        <v>0</v>
      </c>
      <c r="K5392" s="455">
        <f t="shared" ca="1" si="188"/>
        <v>-9431857440667.4219</v>
      </c>
      <c r="L5392" s="455">
        <f t="shared" ca="1" si="189"/>
        <v>-2273077643200849</v>
      </c>
      <c r="M5392" s="471">
        <f t="shared" si="191"/>
        <v>0.05</v>
      </c>
      <c r="N5392" s="475">
        <f t="shared" si="192"/>
        <v>215162</v>
      </c>
    </row>
    <row r="5393" spans="7:14" ht="11.25" customHeight="1" x14ac:dyDescent="0.3">
      <c r="G5393" s="470"/>
      <c r="H5393" s="470">
        <v>5386</v>
      </c>
      <c r="I5393" s="455">
        <f t="shared" ca="1" si="190"/>
        <v>-2273077643200849</v>
      </c>
      <c r="J5393" s="455">
        <f t="array" ref="J5393">IFERROR(INDEX('Retirement Calculator'!K:K,MATCH('Lorri 401b'!N5393,'Retirement Calculator'!A:A,0),0),0)</f>
        <v>0</v>
      </c>
      <c r="K5393" s="455">
        <f t="shared" ca="1" si="188"/>
        <v>-9471156846670.2031</v>
      </c>
      <c r="L5393" s="455">
        <f t="shared" ca="1" si="189"/>
        <v>-2282548800047519</v>
      </c>
      <c r="M5393" s="471">
        <f t="shared" si="191"/>
        <v>0.05</v>
      </c>
      <c r="N5393" s="475">
        <f t="shared" si="192"/>
        <v>215190</v>
      </c>
    </row>
    <row r="5394" spans="7:14" ht="11.25" customHeight="1" x14ac:dyDescent="0.3">
      <c r="G5394" s="470"/>
      <c r="H5394" s="470">
        <v>5387</v>
      </c>
      <c r="I5394" s="455">
        <f t="shared" ca="1" si="190"/>
        <v>-2282548800047519</v>
      </c>
      <c r="J5394" s="455">
        <f t="array" ref="J5394">IFERROR(INDEX('Retirement Calculator'!K:K,MATCH('Lorri 401b'!N5394,'Retirement Calculator'!A:A,0),0),0)</f>
        <v>0</v>
      </c>
      <c r="K5394" s="455">
        <f t="shared" ca="1" si="188"/>
        <v>-9510620000197.9961</v>
      </c>
      <c r="L5394" s="455">
        <f t="shared" ca="1" si="189"/>
        <v>-2292059420047717</v>
      </c>
      <c r="M5394" s="471">
        <f t="shared" si="191"/>
        <v>0.05</v>
      </c>
      <c r="N5394" s="475">
        <f t="shared" si="192"/>
        <v>215221</v>
      </c>
    </row>
    <row r="5395" spans="7:14" ht="11.25" customHeight="1" x14ac:dyDescent="0.3">
      <c r="G5395" s="470"/>
      <c r="H5395" s="470">
        <v>5388</v>
      </c>
      <c r="I5395" s="455">
        <f t="shared" ca="1" si="190"/>
        <v>-2292059420047717</v>
      </c>
      <c r="J5395" s="455">
        <f t="array" ref="J5395">IFERROR(INDEX('Retirement Calculator'!K:K,MATCH('Lorri 401b'!N5395,'Retirement Calculator'!A:A,0),0),0)</f>
        <v>0</v>
      </c>
      <c r="K5395" s="455">
        <f t="shared" ca="1" si="188"/>
        <v>-9550247583532.1543</v>
      </c>
      <c r="L5395" s="455">
        <f t="shared" ca="1" si="189"/>
        <v>-2301609667631249</v>
      </c>
      <c r="M5395" s="471">
        <f t="shared" si="191"/>
        <v>0.05</v>
      </c>
      <c r="N5395" s="475">
        <f t="shared" si="192"/>
        <v>215251</v>
      </c>
    </row>
    <row r="5396" spans="7:14" ht="11.25" customHeight="1" x14ac:dyDescent="0.3">
      <c r="G5396" s="470"/>
      <c r="H5396" s="470">
        <v>5389</v>
      </c>
      <c r="I5396" s="455">
        <f t="shared" ca="1" si="190"/>
        <v>-2301609667631249</v>
      </c>
      <c r="J5396" s="455">
        <f t="array" ref="J5396">IFERROR(INDEX('Retirement Calculator'!K:K,MATCH('Lorri 401b'!N5396,'Retirement Calculator'!A:A,0),0),0)</f>
        <v>0</v>
      </c>
      <c r="K5396" s="455">
        <f t="shared" ca="1" si="188"/>
        <v>-9590040281796.8711</v>
      </c>
      <c r="L5396" s="455">
        <f t="shared" ca="1" si="189"/>
        <v>-2311199707913046</v>
      </c>
      <c r="M5396" s="471">
        <f t="shared" si="191"/>
        <v>0.05</v>
      </c>
      <c r="N5396" s="475">
        <f t="shared" si="192"/>
        <v>215282</v>
      </c>
    </row>
    <row r="5397" spans="7:14" ht="11.25" customHeight="1" x14ac:dyDescent="0.3">
      <c r="G5397" s="470"/>
      <c r="H5397" s="470">
        <v>5390</v>
      </c>
      <c r="I5397" s="455">
        <f t="shared" ca="1" si="190"/>
        <v>-2311199707913046</v>
      </c>
      <c r="J5397" s="455">
        <f t="array" ref="J5397">IFERROR(INDEX('Retirement Calculator'!K:K,MATCH('Lorri 401b'!N5397,'Retirement Calculator'!A:A,0),0),0)</f>
        <v>0</v>
      </c>
      <c r="K5397" s="455">
        <f t="shared" ca="1" si="188"/>
        <v>-9629998782971.0254</v>
      </c>
      <c r="L5397" s="455">
        <f t="shared" ca="1" si="189"/>
        <v>-2320829706696017</v>
      </c>
      <c r="M5397" s="471">
        <f t="shared" si="191"/>
        <v>0.05</v>
      </c>
      <c r="N5397" s="475">
        <f t="shared" si="192"/>
        <v>215312</v>
      </c>
    </row>
    <row r="5398" spans="7:14" ht="11.25" customHeight="1" x14ac:dyDescent="0.3">
      <c r="G5398" s="470"/>
      <c r="H5398" s="470">
        <v>5391</v>
      </c>
      <c r="I5398" s="455">
        <f t="shared" ca="1" si="190"/>
        <v>-2320829706696017</v>
      </c>
      <c r="J5398" s="455">
        <f t="array" ref="J5398">IFERROR(INDEX('Retirement Calculator'!K:K,MATCH('Lorri 401b'!N5398,'Retirement Calculator'!A:A,0),0),0)</f>
        <v>0</v>
      </c>
      <c r="K5398" s="455">
        <f t="shared" ca="1" si="188"/>
        <v>-9670123777900.0703</v>
      </c>
      <c r="L5398" s="455">
        <f t="shared" ca="1" si="189"/>
        <v>-2330499830473917</v>
      </c>
      <c r="M5398" s="471">
        <f t="shared" si="191"/>
        <v>0.05</v>
      </c>
      <c r="N5398" s="475">
        <f t="shared" si="192"/>
        <v>215343</v>
      </c>
    </row>
    <row r="5399" spans="7:14" ht="11.25" customHeight="1" x14ac:dyDescent="0.3">
      <c r="G5399" s="470"/>
      <c r="H5399" s="470">
        <v>5392</v>
      </c>
      <c r="I5399" s="455">
        <f t="shared" ca="1" si="190"/>
        <v>-2330499830473917</v>
      </c>
      <c r="J5399" s="455">
        <f t="array" ref="J5399">IFERROR(INDEX('Retirement Calculator'!K:K,MATCH('Lorri 401b'!N5399,'Retirement Calculator'!A:A,0),0),0)</f>
        <v>0</v>
      </c>
      <c r="K5399" s="455">
        <f t="shared" ca="1" si="188"/>
        <v>-9710415960307.9883</v>
      </c>
      <c r="L5399" s="455">
        <f t="shared" ca="1" si="189"/>
        <v>-2340210246434225</v>
      </c>
      <c r="M5399" s="471">
        <f t="shared" si="191"/>
        <v>0.05</v>
      </c>
      <c r="N5399" s="475">
        <f t="shared" si="192"/>
        <v>215374</v>
      </c>
    </row>
    <row r="5400" spans="7:14" ht="11.25" customHeight="1" x14ac:dyDescent="0.3">
      <c r="G5400" s="470"/>
      <c r="H5400" s="470">
        <v>5393</v>
      </c>
      <c r="I5400" s="455">
        <f t="shared" ca="1" si="190"/>
        <v>-2340210246434225</v>
      </c>
      <c r="J5400" s="455">
        <f t="array" ref="J5400">IFERROR(INDEX('Retirement Calculator'!K:K,MATCH('Lorri 401b'!N5400,'Retirement Calculator'!A:A,0),0),0)</f>
        <v>0</v>
      </c>
      <c r="K5400" s="455">
        <f t="shared" ca="1" si="188"/>
        <v>-9750876026809.2715</v>
      </c>
      <c r="L5400" s="455">
        <f t="shared" ca="1" si="189"/>
        <v>-2349961122461034.5</v>
      </c>
      <c r="M5400" s="471">
        <f t="shared" si="191"/>
        <v>0.05</v>
      </c>
      <c r="N5400" s="475">
        <f t="shared" si="192"/>
        <v>215404</v>
      </c>
    </row>
    <row r="5401" spans="7:14" ht="11.25" customHeight="1" x14ac:dyDescent="0.3">
      <c r="G5401" s="470"/>
      <c r="H5401" s="470">
        <v>5394</v>
      </c>
      <c r="I5401" s="455">
        <f t="shared" ca="1" si="190"/>
        <v>-2349961122461034.5</v>
      </c>
      <c r="J5401" s="455">
        <f t="array" ref="J5401">IFERROR(INDEX('Retirement Calculator'!K:K,MATCH('Lorri 401b'!N5401,'Retirement Calculator'!A:A,0),0),0)</f>
        <v>0</v>
      </c>
      <c r="K5401" s="455">
        <f t="shared" ca="1" si="188"/>
        <v>-9791504676920.9766</v>
      </c>
      <c r="L5401" s="455">
        <f t="shared" ca="1" si="189"/>
        <v>-2359752627137955.5</v>
      </c>
      <c r="M5401" s="471">
        <f t="shared" si="191"/>
        <v>0.05</v>
      </c>
      <c r="N5401" s="475">
        <f t="shared" si="192"/>
        <v>215435</v>
      </c>
    </row>
    <row r="5402" spans="7:14" ht="11.25" customHeight="1" x14ac:dyDescent="0.3">
      <c r="G5402" s="470"/>
      <c r="H5402" s="470">
        <v>5395</v>
      </c>
      <c r="I5402" s="455">
        <f t="shared" ca="1" si="190"/>
        <v>-2359752627137955.5</v>
      </c>
      <c r="J5402" s="455">
        <f t="array" ref="J5402">IFERROR(INDEX('Retirement Calculator'!K:K,MATCH('Lorri 401b'!N5402,'Retirement Calculator'!A:A,0),0),0)</f>
        <v>0</v>
      </c>
      <c r="K5402" s="455">
        <f t="shared" ca="1" si="188"/>
        <v>-9832302613074.8145</v>
      </c>
      <c r="L5402" s="455">
        <f t="shared" ca="1" si="189"/>
        <v>-2369584929751030.5</v>
      </c>
      <c r="M5402" s="471">
        <f t="shared" si="191"/>
        <v>0.05</v>
      </c>
      <c r="N5402" s="475">
        <f t="shared" si="192"/>
        <v>215465</v>
      </c>
    </row>
    <row r="5403" spans="7:14" ht="11.25" customHeight="1" x14ac:dyDescent="0.3">
      <c r="G5403" s="470"/>
      <c r="H5403" s="470">
        <v>5396</v>
      </c>
      <c r="I5403" s="455">
        <f t="shared" ca="1" si="190"/>
        <v>-2369584929751030.5</v>
      </c>
      <c r="J5403" s="455">
        <f t="array" ref="J5403">IFERROR(INDEX('Retirement Calculator'!K:K,MATCH('Lorri 401b'!N5403,'Retirement Calculator'!A:A,0),0),0)</f>
        <v>0</v>
      </c>
      <c r="K5403" s="455">
        <f t="shared" ca="1" si="188"/>
        <v>-9873270540629.293</v>
      </c>
      <c r="L5403" s="455">
        <f t="shared" ca="1" si="189"/>
        <v>-2379458200291660</v>
      </c>
      <c r="M5403" s="471">
        <f t="shared" si="191"/>
        <v>0.05</v>
      </c>
      <c r="N5403" s="475">
        <f t="shared" si="192"/>
        <v>215496</v>
      </c>
    </row>
    <row r="5404" spans="7:14" ht="11.25" customHeight="1" x14ac:dyDescent="0.3">
      <c r="G5404" s="470"/>
      <c r="H5404" s="470">
        <v>5397</v>
      </c>
      <c r="I5404" s="455">
        <f t="shared" ca="1" si="190"/>
        <v>-2379458200291660</v>
      </c>
      <c r="J5404" s="455">
        <f t="array" ref="J5404">IFERROR(INDEX('Retirement Calculator'!K:K,MATCH('Lorri 401b'!N5404,'Retirement Calculator'!A:A,0),0),0)</f>
        <v>0</v>
      </c>
      <c r="K5404" s="455">
        <f t="shared" ca="1" si="188"/>
        <v>-9914409167881.916</v>
      </c>
      <c r="L5404" s="455">
        <f t="shared" ca="1" si="189"/>
        <v>-2389372609459542</v>
      </c>
      <c r="M5404" s="471">
        <f t="shared" si="191"/>
        <v>0.05</v>
      </c>
      <c r="N5404" s="475">
        <f t="shared" si="192"/>
        <v>215527</v>
      </c>
    </row>
    <row r="5405" spans="7:14" ht="11.25" customHeight="1" x14ac:dyDescent="0.3">
      <c r="G5405" s="470"/>
      <c r="H5405" s="470">
        <v>5398</v>
      </c>
      <c r="I5405" s="455">
        <f t="shared" ca="1" si="190"/>
        <v>-2389372609459542</v>
      </c>
      <c r="J5405" s="455">
        <f t="array" ref="J5405">IFERROR(INDEX('Retirement Calculator'!K:K,MATCH('Lorri 401b'!N5405,'Retirement Calculator'!A:A,0),0),0)</f>
        <v>0</v>
      </c>
      <c r="K5405" s="455">
        <f t="shared" ca="1" si="188"/>
        <v>-9955719206081.4258</v>
      </c>
      <c r="L5405" s="455">
        <f t="shared" ca="1" si="189"/>
        <v>-2399328328665623.5</v>
      </c>
      <c r="M5405" s="471">
        <f t="shared" si="191"/>
        <v>0.05</v>
      </c>
      <c r="N5405" s="475">
        <f t="shared" si="192"/>
        <v>215555</v>
      </c>
    </row>
    <row r="5406" spans="7:14" ht="11.25" customHeight="1" x14ac:dyDescent="0.3">
      <c r="G5406" s="470"/>
      <c r="H5406" s="470">
        <v>5399</v>
      </c>
      <c r="I5406" s="455">
        <f t="shared" ca="1" si="190"/>
        <v>-2399328328665623.5</v>
      </c>
      <c r="J5406" s="455">
        <f t="array" ref="J5406">IFERROR(INDEX('Retirement Calculator'!K:K,MATCH('Lorri 401b'!N5406,'Retirement Calculator'!A:A,0),0),0)</f>
        <v>0</v>
      </c>
      <c r="K5406" s="455">
        <f t="shared" ca="1" si="188"/>
        <v>-9997201369440.0977</v>
      </c>
      <c r="L5406" s="455">
        <f t="shared" ca="1" si="189"/>
        <v>-2409325530035063.5</v>
      </c>
      <c r="M5406" s="471">
        <f t="shared" si="191"/>
        <v>0.05</v>
      </c>
      <c r="N5406" s="475">
        <f t="shared" si="192"/>
        <v>215586</v>
      </c>
    </row>
    <row r="5407" spans="7:14" ht="11.25" customHeight="1" x14ac:dyDescent="0.3">
      <c r="G5407" s="470"/>
      <c r="H5407" s="470">
        <v>5400</v>
      </c>
      <c r="I5407" s="455">
        <f t="shared" ca="1" si="190"/>
        <v>-2409325530035063.5</v>
      </c>
      <c r="J5407" s="455">
        <f t="array" ref="J5407">IFERROR(INDEX('Retirement Calculator'!K:K,MATCH('Lorri 401b'!N5407,'Retirement Calculator'!A:A,0),0),0)</f>
        <v>0</v>
      </c>
      <c r="K5407" s="455">
        <f t="shared" ca="1" si="188"/>
        <v>-10038856375146.098</v>
      </c>
      <c r="L5407" s="455">
        <f t="shared" ca="1" si="189"/>
        <v>-2419364386410209.5</v>
      </c>
      <c r="M5407" s="471">
        <f t="shared" si="191"/>
        <v>0.05</v>
      </c>
      <c r="N5407" s="475">
        <f t="shared" si="192"/>
        <v>215616</v>
      </c>
    </row>
    <row r="5408" spans="7:14" ht="11.25" customHeight="1" x14ac:dyDescent="0.3">
      <c r="G5408" s="470"/>
      <c r="H5408" s="470">
        <v>5401</v>
      </c>
      <c r="I5408" s="455">
        <f t="shared" ca="1" si="190"/>
        <v>-2419364386410209.5</v>
      </c>
      <c r="J5408" s="455">
        <f t="array" ref="J5408">IFERROR(INDEX('Retirement Calculator'!K:K,MATCH('Lorri 401b'!N5408,'Retirement Calculator'!A:A,0),0),0)</f>
        <v>0</v>
      </c>
      <c r="K5408" s="455">
        <f t="shared" ca="1" si="188"/>
        <v>-10080684943375.873</v>
      </c>
      <c r="L5408" s="455">
        <f t="shared" ca="1" si="189"/>
        <v>-2429445071353585.5</v>
      </c>
      <c r="M5408" s="471">
        <f t="shared" si="191"/>
        <v>0.05</v>
      </c>
      <c r="N5408" s="475">
        <f t="shared" si="192"/>
        <v>215647</v>
      </c>
    </row>
    <row r="5409" spans="7:14" ht="11.25" customHeight="1" x14ac:dyDescent="0.3">
      <c r="G5409" s="470"/>
      <c r="H5409" s="470">
        <v>5402</v>
      </c>
      <c r="I5409" s="455">
        <f t="shared" ca="1" si="190"/>
        <v>-2429445071353585.5</v>
      </c>
      <c r="J5409" s="455">
        <f t="array" ref="J5409">IFERROR(INDEX('Retirement Calculator'!K:K,MATCH('Lorri 401b'!N5409,'Retirement Calculator'!A:A,0),0),0)</f>
        <v>0</v>
      </c>
      <c r="K5409" s="455">
        <f t="shared" ca="1" si="188"/>
        <v>-10122687797306.605</v>
      </c>
      <c r="L5409" s="455">
        <f t="shared" ca="1" si="189"/>
        <v>-2439567759150892</v>
      </c>
      <c r="M5409" s="471">
        <f t="shared" si="191"/>
        <v>0.05</v>
      </c>
      <c r="N5409" s="475">
        <f t="shared" si="192"/>
        <v>215677</v>
      </c>
    </row>
    <row r="5410" spans="7:14" ht="11.25" customHeight="1" x14ac:dyDescent="0.3">
      <c r="G5410" s="470"/>
      <c r="H5410" s="470">
        <v>5403</v>
      </c>
      <c r="I5410" s="455">
        <f t="shared" ca="1" si="190"/>
        <v>-2439567759150892</v>
      </c>
      <c r="J5410" s="455">
        <f t="array" ref="J5410">IFERROR(INDEX('Retirement Calculator'!K:K,MATCH('Lorri 401b'!N5410,'Retirement Calculator'!A:A,0),0),0)</f>
        <v>0</v>
      </c>
      <c r="K5410" s="455">
        <f t="shared" ca="1" si="188"/>
        <v>-10164865663128.717</v>
      </c>
      <c r="L5410" s="455">
        <f t="shared" ca="1" si="189"/>
        <v>-2449732624814020.5</v>
      </c>
      <c r="M5410" s="471">
        <f t="shared" si="191"/>
        <v>0.05</v>
      </c>
      <c r="N5410" s="475">
        <f t="shared" si="192"/>
        <v>215708</v>
      </c>
    </row>
    <row r="5411" spans="7:14" ht="11.25" customHeight="1" x14ac:dyDescent="0.3">
      <c r="G5411" s="470"/>
      <c r="H5411" s="470">
        <v>5404</v>
      </c>
      <c r="I5411" s="455">
        <f t="shared" ca="1" si="190"/>
        <v>-2449732624814020.5</v>
      </c>
      <c r="J5411" s="455">
        <f t="array" ref="J5411">IFERROR(INDEX('Retirement Calculator'!K:K,MATCH('Lorri 401b'!N5411,'Retirement Calculator'!A:A,0),0),0)</f>
        <v>0</v>
      </c>
      <c r="K5411" s="455">
        <f t="shared" ca="1" si="188"/>
        <v>-10207219270058.418</v>
      </c>
      <c r="L5411" s="455">
        <f t="shared" ca="1" si="189"/>
        <v>-2459939844084079</v>
      </c>
      <c r="M5411" s="471">
        <f t="shared" si="191"/>
        <v>0.05</v>
      </c>
      <c r="N5411" s="475">
        <f t="shared" si="192"/>
        <v>215739</v>
      </c>
    </row>
    <row r="5412" spans="7:14" ht="11.25" customHeight="1" x14ac:dyDescent="0.3">
      <c r="G5412" s="470"/>
      <c r="H5412" s="470">
        <v>5405</v>
      </c>
      <c r="I5412" s="455">
        <f t="shared" ca="1" si="190"/>
        <v>-2459939844084079</v>
      </c>
      <c r="J5412" s="455">
        <f t="array" ref="J5412">IFERROR(INDEX('Retirement Calculator'!K:K,MATCH('Lorri 401b'!N5412,'Retirement Calculator'!A:A,0),0),0)</f>
        <v>0</v>
      </c>
      <c r="K5412" s="455">
        <f t="shared" ca="1" si="188"/>
        <v>-10249749350350.328</v>
      </c>
      <c r="L5412" s="455">
        <f t="shared" ca="1" si="189"/>
        <v>-2470189593434429.5</v>
      </c>
      <c r="M5412" s="471">
        <f t="shared" si="191"/>
        <v>0.05</v>
      </c>
      <c r="N5412" s="475">
        <f t="shared" si="192"/>
        <v>215769</v>
      </c>
    </row>
    <row r="5413" spans="7:14" ht="11.25" customHeight="1" x14ac:dyDescent="0.3">
      <c r="G5413" s="470"/>
      <c r="H5413" s="470">
        <v>5406</v>
      </c>
      <c r="I5413" s="455">
        <f t="shared" ca="1" si="190"/>
        <v>-2470189593434429.5</v>
      </c>
      <c r="J5413" s="455">
        <f t="array" ref="J5413">IFERROR(INDEX('Retirement Calculator'!K:K,MATCH('Lorri 401b'!N5413,'Retirement Calculator'!A:A,0),0),0)</f>
        <v>0</v>
      </c>
      <c r="K5413" s="455">
        <f t="shared" ca="1" si="188"/>
        <v>-10292456639310.123</v>
      </c>
      <c r="L5413" s="455">
        <f t="shared" ca="1" si="189"/>
        <v>-2480482050073739.5</v>
      </c>
      <c r="M5413" s="471">
        <f t="shared" si="191"/>
        <v>0.05</v>
      </c>
      <c r="N5413" s="475">
        <f t="shared" si="192"/>
        <v>215800</v>
      </c>
    </row>
    <row r="5414" spans="7:14" ht="11.25" customHeight="1" x14ac:dyDescent="0.3">
      <c r="G5414" s="470"/>
      <c r="H5414" s="470">
        <v>5407</v>
      </c>
      <c r="I5414" s="455">
        <f t="shared" ca="1" si="190"/>
        <v>-2480482050073739.5</v>
      </c>
      <c r="J5414" s="455">
        <f t="array" ref="J5414">IFERROR(INDEX('Retirement Calculator'!K:K,MATCH('Lorri 401b'!N5414,'Retirement Calculator'!A:A,0),0),0)</f>
        <v>0</v>
      </c>
      <c r="K5414" s="455">
        <f t="shared" ca="1" si="188"/>
        <v>-10335341875307.248</v>
      </c>
      <c r="L5414" s="455">
        <f t="shared" ca="1" si="189"/>
        <v>-2490817391949046.5</v>
      </c>
      <c r="M5414" s="471">
        <f t="shared" si="191"/>
        <v>0.05</v>
      </c>
      <c r="N5414" s="475">
        <f t="shared" si="192"/>
        <v>215830</v>
      </c>
    </row>
    <row r="5415" spans="7:14" ht="11.25" customHeight="1" x14ac:dyDescent="0.3">
      <c r="G5415" s="470"/>
      <c r="H5415" s="470">
        <v>5408</v>
      </c>
      <c r="I5415" s="455">
        <f t="shared" ca="1" si="190"/>
        <v>-2490817391949046.5</v>
      </c>
      <c r="J5415" s="455">
        <f t="array" ref="J5415">IFERROR(INDEX('Retirement Calculator'!K:K,MATCH('Lorri 401b'!N5415,'Retirement Calculator'!A:A,0),0),0)</f>
        <v>0</v>
      </c>
      <c r="K5415" s="455">
        <f t="shared" ca="1" si="188"/>
        <v>-10378405799787.693</v>
      </c>
      <c r="L5415" s="455">
        <f t="shared" ca="1" si="189"/>
        <v>-2501195797748834</v>
      </c>
      <c r="M5415" s="471">
        <f t="shared" si="191"/>
        <v>0.05</v>
      </c>
      <c r="N5415" s="475">
        <f t="shared" si="192"/>
        <v>215861</v>
      </c>
    </row>
    <row r="5416" spans="7:14" ht="11.25" customHeight="1" x14ac:dyDescent="0.3">
      <c r="G5416" s="470"/>
      <c r="H5416" s="470">
        <v>5409</v>
      </c>
      <c r="I5416" s="455">
        <f t="shared" ca="1" si="190"/>
        <v>-2501195797748834</v>
      </c>
      <c r="J5416" s="455">
        <f t="array" ref="J5416">IFERROR(INDEX('Retirement Calculator'!K:K,MATCH('Lorri 401b'!N5416,'Retirement Calculator'!A:A,0),0),0)</f>
        <v>0</v>
      </c>
      <c r="K5416" s="455">
        <f t="shared" ca="1" si="188"/>
        <v>-10421649157286.809</v>
      </c>
      <c r="L5416" s="455">
        <f t="shared" ca="1" si="189"/>
        <v>-2511617446906121</v>
      </c>
      <c r="M5416" s="471">
        <f t="shared" si="191"/>
        <v>0.05</v>
      </c>
      <c r="N5416" s="475">
        <f t="shared" si="192"/>
        <v>215892</v>
      </c>
    </row>
    <row r="5417" spans="7:14" ht="11.25" customHeight="1" x14ac:dyDescent="0.3">
      <c r="G5417" s="470"/>
      <c r="H5417" s="470">
        <v>5410</v>
      </c>
      <c r="I5417" s="455">
        <f t="shared" ca="1" si="190"/>
        <v>-2511617446906121</v>
      </c>
      <c r="J5417" s="455">
        <f t="array" ref="J5417">IFERROR(INDEX('Retirement Calculator'!K:K,MATCH('Lorri 401b'!N5417,'Retirement Calculator'!A:A,0),0),0)</f>
        <v>0</v>
      </c>
      <c r="K5417" s="455">
        <f t="shared" ca="1" si="188"/>
        <v>-10465072695442.17</v>
      </c>
      <c r="L5417" s="455">
        <f t="shared" ca="1" si="189"/>
        <v>-2522082519601563</v>
      </c>
      <c r="M5417" s="471">
        <f t="shared" si="191"/>
        <v>0.05</v>
      </c>
      <c r="N5417" s="475">
        <f t="shared" si="192"/>
        <v>215920</v>
      </c>
    </row>
    <row r="5418" spans="7:14" ht="11.25" customHeight="1" x14ac:dyDescent="0.3">
      <c r="G5418" s="470"/>
      <c r="H5418" s="470">
        <v>5411</v>
      </c>
      <c r="I5418" s="455">
        <f t="shared" ca="1" si="190"/>
        <v>-2522082519601563</v>
      </c>
      <c r="J5418" s="455">
        <f t="array" ref="J5418">IFERROR(INDEX('Retirement Calculator'!K:K,MATCH('Lorri 401b'!N5418,'Retirement Calculator'!A:A,0),0),0)</f>
        <v>0</v>
      </c>
      <c r="K5418" s="455">
        <f t="shared" ca="1" si="188"/>
        <v>-10508677165006.512</v>
      </c>
      <c r="L5418" s="455">
        <f t="shared" ca="1" si="189"/>
        <v>-2532591196766569.5</v>
      </c>
      <c r="M5418" s="471">
        <f t="shared" si="191"/>
        <v>0.05</v>
      </c>
      <c r="N5418" s="475">
        <f t="shared" si="192"/>
        <v>215951</v>
      </c>
    </row>
    <row r="5419" spans="7:14" ht="11.25" customHeight="1" x14ac:dyDescent="0.3">
      <c r="G5419" s="470"/>
      <c r="H5419" s="470">
        <v>5412</v>
      </c>
      <c r="I5419" s="455">
        <f t="shared" ca="1" si="190"/>
        <v>-2532591196766569.5</v>
      </c>
      <c r="J5419" s="455">
        <f t="array" ref="J5419">IFERROR(INDEX('Retirement Calculator'!K:K,MATCH('Lorri 401b'!N5419,'Retirement Calculator'!A:A,0),0),0)</f>
        <v>0</v>
      </c>
      <c r="K5419" s="455">
        <f t="shared" ca="1" si="188"/>
        <v>-10552463319860.707</v>
      </c>
      <c r="L5419" s="455">
        <f t="shared" ca="1" si="189"/>
        <v>-2543143660086430</v>
      </c>
      <c r="M5419" s="471">
        <f t="shared" si="191"/>
        <v>0.05</v>
      </c>
      <c r="N5419" s="475">
        <f t="shared" si="192"/>
        <v>215981</v>
      </c>
    </row>
    <row r="5420" spans="7:14" ht="11.25" customHeight="1" x14ac:dyDescent="0.3">
      <c r="G5420" s="470"/>
      <c r="H5420" s="470">
        <v>5413</v>
      </c>
      <c r="I5420" s="455">
        <f t="shared" ca="1" si="190"/>
        <v>-2543143660086430</v>
      </c>
      <c r="J5420" s="455">
        <f t="array" ref="J5420">IFERROR(INDEX('Retirement Calculator'!K:K,MATCH('Lorri 401b'!N5420,'Retirement Calculator'!A:A,0),0),0)</f>
        <v>0</v>
      </c>
      <c r="K5420" s="455">
        <f t="shared" ca="1" si="188"/>
        <v>-10596431917026.791</v>
      </c>
      <c r="L5420" s="455">
        <f t="shared" ca="1" si="189"/>
        <v>-2553740092003457</v>
      </c>
      <c r="M5420" s="471">
        <f t="shared" si="191"/>
        <v>0.05</v>
      </c>
      <c r="N5420" s="475">
        <f t="shared" si="192"/>
        <v>216012</v>
      </c>
    </row>
    <row r="5421" spans="7:14" ht="11.25" customHeight="1" x14ac:dyDescent="0.3">
      <c r="G5421" s="470"/>
      <c r="H5421" s="470">
        <v>5414</v>
      </c>
      <c r="I5421" s="455">
        <f t="shared" ca="1" si="190"/>
        <v>-2553740092003457</v>
      </c>
      <c r="J5421" s="455">
        <f t="array" ref="J5421">IFERROR(INDEX('Retirement Calculator'!K:K,MATCH('Lorri 401b'!N5421,'Retirement Calculator'!A:A,0),0),0)</f>
        <v>0</v>
      </c>
      <c r="K5421" s="455">
        <f t="shared" ca="1" si="188"/>
        <v>-10640583716681.07</v>
      </c>
      <c r="L5421" s="455">
        <f t="shared" ca="1" si="189"/>
        <v>-2564380675720138</v>
      </c>
      <c r="M5421" s="471">
        <f t="shared" si="191"/>
        <v>0.05</v>
      </c>
      <c r="N5421" s="475">
        <f t="shared" si="192"/>
        <v>216042</v>
      </c>
    </row>
    <row r="5422" spans="7:14" ht="11.25" customHeight="1" x14ac:dyDescent="0.3">
      <c r="G5422" s="470"/>
      <c r="H5422" s="470">
        <v>5415</v>
      </c>
      <c r="I5422" s="455">
        <f t="shared" ca="1" si="190"/>
        <v>-2564380675720138</v>
      </c>
      <c r="J5422" s="455">
        <f t="array" ref="J5422">IFERROR(INDEX('Retirement Calculator'!K:K,MATCH('Lorri 401b'!N5422,'Retirement Calculator'!A:A,0),0),0)</f>
        <v>0</v>
      </c>
      <c r="K5422" s="455">
        <f t="shared" ca="1" si="188"/>
        <v>-10684919482167.242</v>
      </c>
      <c r="L5422" s="455">
        <f t="shared" ca="1" si="189"/>
        <v>-2575065595202305</v>
      </c>
      <c r="M5422" s="471">
        <f t="shared" si="191"/>
        <v>0.05</v>
      </c>
      <c r="N5422" s="475">
        <f t="shared" si="192"/>
        <v>216073</v>
      </c>
    </row>
    <row r="5423" spans="7:14" ht="11.25" customHeight="1" x14ac:dyDescent="0.3">
      <c r="G5423" s="470"/>
      <c r="H5423" s="470">
        <v>5416</v>
      </c>
      <c r="I5423" s="455">
        <f t="shared" ca="1" si="190"/>
        <v>-2575065595202305</v>
      </c>
      <c r="J5423" s="455">
        <f t="array" ref="J5423">IFERROR(INDEX('Retirement Calculator'!K:K,MATCH('Lorri 401b'!N5423,'Retirement Calculator'!A:A,0),0),0)</f>
        <v>0</v>
      </c>
      <c r="K5423" s="455">
        <f t="shared" ca="1" si="188"/>
        <v>-10729439980009.604</v>
      </c>
      <c r="L5423" s="455">
        <f t="shared" ca="1" si="189"/>
        <v>-2585795035182314.5</v>
      </c>
      <c r="M5423" s="471">
        <f t="shared" si="191"/>
        <v>0.05</v>
      </c>
      <c r="N5423" s="475">
        <f t="shared" si="192"/>
        <v>216104</v>
      </c>
    </row>
    <row r="5424" spans="7:14" ht="11.25" customHeight="1" x14ac:dyDescent="0.3">
      <c r="G5424" s="470"/>
      <c r="H5424" s="470">
        <v>5417</v>
      </c>
      <c r="I5424" s="455">
        <f t="shared" ca="1" si="190"/>
        <v>-2585795035182314.5</v>
      </c>
      <c r="J5424" s="455">
        <f t="array" ref="J5424">IFERROR(INDEX('Retirement Calculator'!K:K,MATCH('Lorri 401b'!N5424,'Retirement Calculator'!A:A,0),0),0)</f>
        <v>0</v>
      </c>
      <c r="K5424" s="455">
        <f t="shared" ca="1" si="188"/>
        <v>-10774145979926.311</v>
      </c>
      <c r="L5424" s="455">
        <f t="shared" ca="1" si="189"/>
        <v>-2596569181162241</v>
      </c>
      <c r="M5424" s="471">
        <f t="shared" si="191"/>
        <v>0.05</v>
      </c>
      <c r="N5424" s="475">
        <f t="shared" si="192"/>
        <v>216134</v>
      </c>
    </row>
    <row r="5425" spans="7:14" ht="11.25" customHeight="1" x14ac:dyDescent="0.3">
      <c r="G5425" s="470"/>
      <c r="H5425" s="470">
        <v>5418</v>
      </c>
      <c r="I5425" s="455">
        <f t="shared" ca="1" si="190"/>
        <v>-2596569181162241</v>
      </c>
      <c r="J5425" s="455">
        <f t="array" ref="J5425">IFERROR(INDEX('Retirement Calculator'!K:K,MATCH('Lorri 401b'!N5425,'Retirement Calculator'!A:A,0),0),0)</f>
        <v>0</v>
      </c>
      <c r="K5425" s="455">
        <f t="shared" ca="1" si="188"/>
        <v>-10819038254842.67</v>
      </c>
      <c r="L5425" s="455">
        <f t="shared" ca="1" si="189"/>
        <v>-2607388219417083.5</v>
      </c>
      <c r="M5425" s="471">
        <f t="shared" si="191"/>
        <v>0.05</v>
      </c>
      <c r="N5425" s="475">
        <f t="shared" si="192"/>
        <v>216165</v>
      </c>
    </row>
    <row r="5426" spans="7:14" ht="11.25" customHeight="1" x14ac:dyDescent="0.3">
      <c r="G5426" s="470"/>
      <c r="H5426" s="470">
        <v>5419</v>
      </c>
      <c r="I5426" s="455">
        <f t="shared" ca="1" si="190"/>
        <v>-2607388219417083.5</v>
      </c>
      <c r="J5426" s="455">
        <f t="array" ref="J5426">IFERROR(INDEX('Retirement Calculator'!K:K,MATCH('Lorri 401b'!N5426,'Retirement Calculator'!A:A,0),0),0)</f>
        <v>0</v>
      </c>
      <c r="K5426" s="455">
        <f t="shared" ca="1" si="188"/>
        <v>-10864117580904.514</v>
      </c>
      <c r="L5426" s="455">
        <f t="shared" ca="1" si="189"/>
        <v>-2618252336997988</v>
      </c>
      <c r="M5426" s="471">
        <f t="shared" si="191"/>
        <v>0.05</v>
      </c>
      <c r="N5426" s="475">
        <f t="shared" si="192"/>
        <v>216195</v>
      </c>
    </row>
    <row r="5427" spans="7:14" ht="11.25" customHeight="1" x14ac:dyDescent="0.3">
      <c r="G5427" s="470"/>
      <c r="H5427" s="470">
        <v>5420</v>
      </c>
      <c r="I5427" s="455">
        <f t="shared" ca="1" si="190"/>
        <v>-2618252336997988</v>
      </c>
      <c r="J5427" s="455">
        <f t="array" ref="J5427">IFERROR(INDEX('Retirement Calculator'!K:K,MATCH('Lorri 401b'!N5427,'Retirement Calculator'!A:A,0),0),0)</f>
        <v>0</v>
      </c>
      <c r="K5427" s="455">
        <f t="shared" ca="1" si="188"/>
        <v>-10909384737491.617</v>
      </c>
      <c r="L5427" s="455">
        <f t="shared" ca="1" si="189"/>
        <v>-2629161721735479.5</v>
      </c>
      <c r="M5427" s="471">
        <f t="shared" si="191"/>
        <v>0.05</v>
      </c>
      <c r="N5427" s="475">
        <f t="shared" si="192"/>
        <v>216226</v>
      </c>
    </row>
    <row r="5428" spans="7:14" ht="11.25" customHeight="1" x14ac:dyDescent="0.3">
      <c r="G5428" s="470"/>
      <c r="H5428" s="470">
        <v>5421</v>
      </c>
      <c r="I5428" s="455">
        <f t="shared" ca="1" si="190"/>
        <v>-2629161721735479.5</v>
      </c>
      <c r="J5428" s="455">
        <f t="array" ref="J5428">IFERROR(INDEX('Retirement Calculator'!K:K,MATCH('Lorri 401b'!N5428,'Retirement Calculator'!A:A,0),0),0)</f>
        <v>0</v>
      </c>
      <c r="K5428" s="455">
        <f t="shared" ca="1" si="188"/>
        <v>-10954840507231.164</v>
      </c>
      <c r="L5428" s="455">
        <f t="shared" ca="1" si="189"/>
        <v>-2640116562242710.5</v>
      </c>
      <c r="M5428" s="471">
        <f t="shared" si="191"/>
        <v>0.05</v>
      </c>
      <c r="N5428" s="475">
        <f t="shared" si="192"/>
        <v>216257</v>
      </c>
    </row>
    <row r="5429" spans="7:14" ht="11.25" customHeight="1" x14ac:dyDescent="0.3">
      <c r="G5429" s="470"/>
      <c r="H5429" s="470">
        <v>5422</v>
      </c>
      <c r="I5429" s="455">
        <f t="shared" ca="1" si="190"/>
        <v>-2640116562242710.5</v>
      </c>
      <c r="J5429" s="455">
        <f t="array" ref="J5429">IFERROR(INDEX('Retirement Calculator'!K:K,MATCH('Lorri 401b'!N5429,'Retirement Calculator'!A:A,0),0),0)</f>
        <v>0</v>
      </c>
      <c r="K5429" s="455">
        <f t="shared" ca="1" si="188"/>
        <v>-11000485676011.293</v>
      </c>
      <c r="L5429" s="455">
        <f t="shared" ca="1" si="189"/>
        <v>-2651117047918722</v>
      </c>
      <c r="M5429" s="471">
        <f t="shared" si="191"/>
        <v>0.05</v>
      </c>
      <c r="N5429" s="475">
        <f t="shared" si="192"/>
        <v>216286</v>
      </c>
    </row>
    <row r="5430" spans="7:14" ht="11.25" customHeight="1" x14ac:dyDescent="0.3">
      <c r="G5430" s="470"/>
      <c r="H5430" s="470">
        <v>5423</v>
      </c>
      <c r="I5430" s="455">
        <f t="shared" ca="1" si="190"/>
        <v>-2651117047918722</v>
      </c>
      <c r="J5430" s="455">
        <f t="array" ref="J5430">IFERROR(INDEX('Retirement Calculator'!K:K,MATCH('Lorri 401b'!N5430,'Retirement Calculator'!A:A,0),0),0)</f>
        <v>0</v>
      </c>
      <c r="K5430" s="455">
        <f t="shared" ca="1" si="188"/>
        <v>-11046321032994.676</v>
      </c>
      <c r="L5430" s="455">
        <f t="shared" ca="1" si="189"/>
        <v>-2662163368951716.5</v>
      </c>
      <c r="M5430" s="471">
        <f t="shared" si="191"/>
        <v>0.05</v>
      </c>
      <c r="N5430" s="475">
        <f t="shared" si="192"/>
        <v>216317</v>
      </c>
    </row>
    <row r="5431" spans="7:14" ht="11.25" customHeight="1" x14ac:dyDescent="0.3">
      <c r="G5431" s="470"/>
      <c r="H5431" s="470">
        <v>5424</v>
      </c>
      <c r="I5431" s="455">
        <f t="shared" ca="1" si="190"/>
        <v>-2662163368951716.5</v>
      </c>
      <c r="J5431" s="455">
        <f t="array" ref="J5431">IFERROR(INDEX('Retirement Calculator'!K:K,MATCH('Lorri 401b'!N5431,'Retirement Calculator'!A:A,0),0),0)</f>
        <v>0</v>
      </c>
      <c r="K5431" s="455">
        <f t="shared" ca="1" si="188"/>
        <v>-11092347370632.152</v>
      </c>
      <c r="L5431" s="455">
        <f t="shared" ca="1" si="189"/>
        <v>-2673255716322348.5</v>
      </c>
      <c r="M5431" s="471">
        <f t="shared" si="191"/>
        <v>0.05</v>
      </c>
      <c r="N5431" s="475">
        <f t="shared" si="192"/>
        <v>216347</v>
      </c>
    </row>
    <row r="5432" spans="7:14" ht="11.25" customHeight="1" x14ac:dyDescent="0.3">
      <c r="G5432" s="470"/>
      <c r="H5432" s="470">
        <v>5425</v>
      </c>
      <c r="I5432" s="455">
        <f t="shared" ca="1" si="190"/>
        <v>-2673255716322348.5</v>
      </c>
      <c r="J5432" s="455">
        <f t="array" ref="J5432">IFERROR(INDEX('Retirement Calculator'!K:K,MATCH('Lorri 401b'!N5432,'Retirement Calculator'!A:A,0),0),0)</f>
        <v>0</v>
      </c>
      <c r="K5432" s="455">
        <f t="shared" ca="1" si="188"/>
        <v>-11138565484676.451</v>
      </c>
      <c r="L5432" s="455">
        <f t="shared" ca="1" si="189"/>
        <v>-2684394281807025</v>
      </c>
      <c r="M5432" s="471">
        <f t="shared" si="191"/>
        <v>0.05</v>
      </c>
      <c r="N5432" s="475">
        <f t="shared" si="192"/>
        <v>216378</v>
      </c>
    </row>
    <row r="5433" spans="7:14" ht="11.25" customHeight="1" x14ac:dyDescent="0.3">
      <c r="G5433" s="470"/>
      <c r="H5433" s="470">
        <v>5426</v>
      </c>
      <c r="I5433" s="455">
        <f t="shared" ca="1" si="190"/>
        <v>-2684394281807025</v>
      </c>
      <c r="J5433" s="455">
        <f t="array" ref="J5433">IFERROR(INDEX('Retirement Calculator'!K:K,MATCH('Lorri 401b'!N5433,'Retirement Calculator'!A:A,0),0),0)</f>
        <v>0</v>
      </c>
      <c r="K5433" s="455">
        <f t="shared" ca="1" si="188"/>
        <v>-11184976174195.938</v>
      </c>
      <c r="L5433" s="455">
        <f t="shared" ca="1" si="189"/>
        <v>-2695579257981221</v>
      </c>
      <c r="M5433" s="471">
        <f t="shared" si="191"/>
        <v>0.05</v>
      </c>
      <c r="N5433" s="475">
        <f t="shared" si="192"/>
        <v>216408</v>
      </c>
    </row>
    <row r="5434" spans="7:14" ht="11.25" customHeight="1" x14ac:dyDescent="0.3">
      <c r="G5434" s="470"/>
      <c r="H5434" s="470">
        <v>5427</v>
      </c>
      <c r="I5434" s="455">
        <f t="shared" ca="1" si="190"/>
        <v>-2695579257981221</v>
      </c>
      <c r="J5434" s="455">
        <f t="array" ref="J5434">IFERROR(INDEX('Retirement Calculator'!K:K,MATCH('Lorri 401b'!N5434,'Retirement Calculator'!A:A,0),0),0)</f>
        <v>0</v>
      </c>
      <c r="K5434" s="455">
        <f t="shared" ca="1" si="188"/>
        <v>-11231580241588.42</v>
      </c>
      <c r="L5434" s="455">
        <f t="shared" ca="1" si="189"/>
        <v>-2706810838222809.5</v>
      </c>
      <c r="M5434" s="471">
        <f t="shared" si="191"/>
        <v>0.05</v>
      </c>
      <c r="N5434" s="475">
        <f t="shared" si="192"/>
        <v>216439</v>
      </c>
    </row>
    <row r="5435" spans="7:14" ht="11.25" customHeight="1" x14ac:dyDescent="0.3">
      <c r="G5435" s="470"/>
      <c r="H5435" s="470">
        <v>5428</v>
      </c>
      <c r="I5435" s="455">
        <f t="shared" ca="1" si="190"/>
        <v>-2706810838222809.5</v>
      </c>
      <c r="J5435" s="455">
        <f t="array" ref="J5435">IFERROR(INDEX('Retirement Calculator'!K:K,MATCH('Lorri 401b'!N5435,'Retirement Calculator'!A:A,0),0),0)</f>
        <v>0</v>
      </c>
      <c r="K5435" s="455">
        <f t="shared" ca="1" si="188"/>
        <v>-11278378492595.039</v>
      </c>
      <c r="L5435" s="455">
        <f t="shared" ca="1" si="189"/>
        <v>-2718089216715404.5</v>
      </c>
      <c r="M5435" s="471">
        <f t="shared" si="191"/>
        <v>0.05</v>
      </c>
      <c r="N5435" s="475">
        <f t="shared" si="192"/>
        <v>216470</v>
      </c>
    </row>
    <row r="5436" spans="7:14" ht="11.25" customHeight="1" x14ac:dyDescent="0.3">
      <c r="G5436" s="470"/>
      <c r="H5436" s="470">
        <v>5429</v>
      </c>
      <c r="I5436" s="455">
        <f t="shared" ca="1" si="190"/>
        <v>-2718089216715404.5</v>
      </c>
      <c r="J5436" s="455">
        <f t="array" ref="J5436">IFERROR(INDEX('Retirement Calculator'!K:K,MATCH('Lorri 401b'!N5436,'Retirement Calculator'!A:A,0),0),0)</f>
        <v>0</v>
      </c>
      <c r="K5436" s="455">
        <f t="shared" ca="1" si="188"/>
        <v>-11325371736314.186</v>
      </c>
      <c r="L5436" s="455">
        <f t="shared" ca="1" si="189"/>
        <v>-2729414588451718.5</v>
      </c>
      <c r="M5436" s="471">
        <f t="shared" si="191"/>
        <v>0.05</v>
      </c>
      <c r="N5436" s="475">
        <f t="shared" si="192"/>
        <v>216500</v>
      </c>
    </row>
    <row r="5437" spans="7:14" ht="11.25" customHeight="1" x14ac:dyDescent="0.3">
      <c r="G5437" s="470"/>
      <c r="H5437" s="470">
        <v>5430</v>
      </c>
      <c r="I5437" s="455">
        <f t="shared" ca="1" si="190"/>
        <v>-2729414588451718.5</v>
      </c>
      <c r="J5437" s="455">
        <f t="array" ref="J5437">IFERROR(INDEX('Retirement Calculator'!K:K,MATCH('Lorri 401b'!N5437,'Retirement Calculator'!A:A,0),0),0)</f>
        <v>0</v>
      </c>
      <c r="K5437" s="455">
        <f t="shared" ca="1" si="188"/>
        <v>-11372560785215.494</v>
      </c>
      <c r="L5437" s="455">
        <f t="shared" ca="1" si="189"/>
        <v>-2740787149236934</v>
      </c>
      <c r="M5437" s="471">
        <f t="shared" si="191"/>
        <v>0.05</v>
      </c>
      <c r="N5437" s="475">
        <f t="shared" si="192"/>
        <v>216531</v>
      </c>
    </row>
    <row r="5438" spans="7:14" ht="11.25" customHeight="1" x14ac:dyDescent="0.3">
      <c r="G5438" s="470"/>
      <c r="H5438" s="470">
        <v>5431</v>
      </c>
      <c r="I5438" s="455">
        <f t="shared" ca="1" si="190"/>
        <v>-2740787149236934</v>
      </c>
      <c r="J5438" s="455">
        <f t="array" ref="J5438">IFERROR(INDEX('Retirement Calculator'!K:K,MATCH('Lorri 401b'!N5438,'Retirement Calculator'!A:A,0),0),0)</f>
        <v>0</v>
      </c>
      <c r="K5438" s="455">
        <f t="shared" ca="1" si="188"/>
        <v>-11419946455153.891</v>
      </c>
      <c r="L5438" s="455">
        <f t="shared" ca="1" si="189"/>
        <v>-2752207095692088</v>
      </c>
      <c r="M5438" s="471">
        <f t="shared" si="191"/>
        <v>0.05</v>
      </c>
      <c r="N5438" s="475">
        <f t="shared" si="192"/>
        <v>216561</v>
      </c>
    </row>
    <row r="5439" spans="7:14" ht="11.25" customHeight="1" x14ac:dyDescent="0.3">
      <c r="G5439" s="470"/>
      <c r="H5439" s="470">
        <v>5432</v>
      </c>
      <c r="I5439" s="455">
        <f t="shared" ca="1" si="190"/>
        <v>-2752207095692088</v>
      </c>
      <c r="J5439" s="455">
        <f t="array" ref="J5439">IFERROR(INDEX('Retirement Calculator'!K:K,MATCH('Lorri 401b'!N5439,'Retirement Calculator'!A:A,0),0),0)</f>
        <v>0</v>
      </c>
      <c r="K5439" s="455">
        <f t="shared" ca="1" si="188"/>
        <v>-11467529565383.699</v>
      </c>
      <c r="L5439" s="455">
        <f t="shared" ca="1" si="189"/>
        <v>-2763674625257471.5</v>
      </c>
      <c r="M5439" s="471">
        <f t="shared" si="191"/>
        <v>0.05</v>
      </c>
      <c r="N5439" s="475">
        <f t="shared" si="192"/>
        <v>216592</v>
      </c>
    </row>
    <row r="5440" spans="7:14" ht="11.25" customHeight="1" x14ac:dyDescent="0.3">
      <c r="G5440" s="470"/>
      <c r="H5440" s="470">
        <v>5433</v>
      </c>
      <c r="I5440" s="455">
        <f t="shared" ca="1" si="190"/>
        <v>-2763674625257471.5</v>
      </c>
      <c r="J5440" s="455">
        <f t="array" ref="J5440">IFERROR(INDEX('Retirement Calculator'!K:K,MATCH('Lorri 401b'!N5440,'Retirement Calculator'!A:A,0),0),0)</f>
        <v>0</v>
      </c>
      <c r="K5440" s="455">
        <f t="shared" ca="1" si="188"/>
        <v>-11515310938572.797</v>
      </c>
      <c r="L5440" s="455">
        <f t="shared" ca="1" si="189"/>
        <v>-2775189936196044.5</v>
      </c>
      <c r="M5440" s="471">
        <f t="shared" si="191"/>
        <v>0.05</v>
      </c>
      <c r="N5440" s="475">
        <f t="shared" si="192"/>
        <v>216623</v>
      </c>
    </row>
    <row r="5441" spans="7:14" ht="11.25" customHeight="1" x14ac:dyDescent="0.3">
      <c r="G5441" s="470"/>
      <c r="H5441" s="470">
        <v>5434</v>
      </c>
      <c r="I5441" s="455">
        <f t="shared" ca="1" si="190"/>
        <v>-2775189936196044.5</v>
      </c>
      <c r="J5441" s="455">
        <f t="array" ref="J5441">IFERROR(INDEX('Retirement Calculator'!K:K,MATCH('Lorri 401b'!N5441,'Retirement Calculator'!A:A,0),0),0)</f>
        <v>0</v>
      </c>
      <c r="K5441" s="455">
        <f t="shared" ca="1" si="188"/>
        <v>-11563291400816.852</v>
      </c>
      <c r="L5441" s="455">
        <f t="shared" ca="1" si="189"/>
        <v>-2786753227596861.5</v>
      </c>
      <c r="M5441" s="471">
        <f t="shared" si="191"/>
        <v>0.05</v>
      </c>
      <c r="N5441" s="475">
        <f t="shared" si="192"/>
        <v>216651</v>
      </c>
    </row>
    <row r="5442" spans="7:14" ht="11.25" customHeight="1" x14ac:dyDescent="0.3">
      <c r="G5442" s="470"/>
      <c r="H5442" s="470">
        <v>5435</v>
      </c>
      <c r="I5442" s="455">
        <f t="shared" ca="1" si="190"/>
        <v>-2786753227596861.5</v>
      </c>
      <c r="J5442" s="455">
        <f t="array" ref="J5442">IFERROR(INDEX('Retirement Calculator'!K:K,MATCH('Lorri 401b'!N5442,'Retirement Calculator'!A:A,0),0),0)</f>
        <v>0</v>
      </c>
      <c r="K5442" s="455">
        <f t="shared" ca="1" si="188"/>
        <v>-11611471781653.59</v>
      </c>
      <c r="L5442" s="455">
        <f t="shared" ca="1" si="189"/>
        <v>-2798364699378515</v>
      </c>
      <c r="M5442" s="471">
        <f t="shared" si="191"/>
        <v>0.05</v>
      </c>
      <c r="N5442" s="475">
        <f t="shared" si="192"/>
        <v>216682</v>
      </c>
    </row>
    <row r="5443" spans="7:14" ht="11.25" customHeight="1" x14ac:dyDescent="0.3">
      <c r="G5443" s="470"/>
      <c r="H5443" s="470">
        <v>5436</v>
      </c>
      <c r="I5443" s="455">
        <f t="shared" ca="1" si="190"/>
        <v>-2798364699378515</v>
      </c>
      <c r="J5443" s="455">
        <f t="array" ref="J5443">IFERROR(INDEX('Retirement Calculator'!K:K,MATCH('Lorri 401b'!N5443,'Retirement Calculator'!A:A,0),0),0)</f>
        <v>0</v>
      </c>
      <c r="K5443" s="455">
        <f t="shared" ca="1" si="188"/>
        <v>-11659852914077.146</v>
      </c>
      <c r="L5443" s="455">
        <f t="shared" ca="1" si="189"/>
        <v>-2810024552292592</v>
      </c>
      <c r="M5443" s="471">
        <f t="shared" si="191"/>
        <v>0.05</v>
      </c>
      <c r="N5443" s="475">
        <f t="shared" si="192"/>
        <v>216712</v>
      </c>
    </row>
    <row r="5444" spans="7:14" ht="11.25" customHeight="1" x14ac:dyDescent="0.3">
      <c r="G5444" s="470"/>
      <c r="H5444" s="470">
        <v>5437</v>
      </c>
      <c r="I5444" s="455">
        <f t="shared" ca="1" si="190"/>
        <v>-2810024552292592</v>
      </c>
      <c r="J5444" s="455">
        <f t="array" ref="J5444">IFERROR(INDEX('Retirement Calculator'!K:K,MATCH('Lorri 401b'!N5444,'Retirement Calculator'!A:A,0),0),0)</f>
        <v>0</v>
      </c>
      <c r="K5444" s="455">
        <f t="shared" ca="1" si="188"/>
        <v>-11708435634552.467</v>
      </c>
      <c r="L5444" s="455">
        <f t="shared" ca="1" si="189"/>
        <v>-2821732987927144.5</v>
      </c>
      <c r="M5444" s="471">
        <f t="shared" si="191"/>
        <v>0.05</v>
      </c>
      <c r="N5444" s="475">
        <f t="shared" si="192"/>
        <v>216743</v>
      </c>
    </row>
    <row r="5445" spans="7:14" ht="11.25" customHeight="1" x14ac:dyDescent="0.3">
      <c r="G5445" s="470"/>
      <c r="H5445" s="470">
        <v>5438</v>
      </c>
      <c r="I5445" s="455">
        <f t="shared" ca="1" si="190"/>
        <v>-2821732987927144.5</v>
      </c>
      <c r="J5445" s="455">
        <f t="array" ref="J5445">IFERROR(INDEX('Retirement Calculator'!K:K,MATCH('Lorri 401b'!N5445,'Retirement Calculator'!A:A,0),0),0)</f>
        <v>0</v>
      </c>
      <c r="K5445" s="455">
        <f t="shared" ca="1" si="188"/>
        <v>-11757220783029.77</v>
      </c>
      <c r="L5445" s="455">
        <f t="shared" ca="1" si="189"/>
        <v>-2833490208710174.5</v>
      </c>
      <c r="M5445" s="471">
        <f t="shared" si="191"/>
        <v>0.05</v>
      </c>
      <c r="N5445" s="475">
        <f t="shared" si="192"/>
        <v>216773</v>
      </c>
    </row>
    <row r="5446" spans="7:14" ht="11.25" customHeight="1" x14ac:dyDescent="0.3">
      <c r="G5446" s="470"/>
      <c r="H5446" s="470">
        <v>5439</v>
      </c>
      <c r="I5446" s="455">
        <f t="shared" ca="1" si="190"/>
        <v>-2833490208710174.5</v>
      </c>
      <c r="J5446" s="455">
        <f t="array" ref="J5446">IFERROR(INDEX('Retirement Calculator'!K:K,MATCH('Lorri 401b'!N5446,'Retirement Calculator'!A:A,0),0),0)</f>
        <v>0</v>
      </c>
      <c r="K5446" s="455">
        <f t="shared" ca="1" si="188"/>
        <v>-11806209202959.061</v>
      </c>
      <c r="L5446" s="455">
        <f t="shared" ca="1" si="189"/>
        <v>-2845296417913133.5</v>
      </c>
      <c r="M5446" s="471">
        <f t="shared" si="191"/>
        <v>0.05</v>
      </c>
      <c r="N5446" s="475">
        <f t="shared" si="192"/>
        <v>216804</v>
      </c>
    </row>
    <row r="5447" spans="7:14" ht="11.25" customHeight="1" x14ac:dyDescent="0.3">
      <c r="G5447" s="470"/>
      <c r="H5447" s="470">
        <v>5440</v>
      </c>
      <c r="I5447" s="455">
        <f t="shared" ca="1" si="190"/>
        <v>-2845296417913133.5</v>
      </c>
      <c r="J5447" s="455">
        <f t="array" ref="J5447">IFERROR(INDEX('Retirement Calculator'!K:K,MATCH('Lorri 401b'!N5447,'Retirement Calculator'!A:A,0),0),0)</f>
        <v>0</v>
      </c>
      <c r="K5447" s="455">
        <f t="shared" ca="1" si="188"/>
        <v>-11855401741304.723</v>
      </c>
      <c r="L5447" s="455">
        <f t="shared" ca="1" si="189"/>
        <v>-2857151819654438</v>
      </c>
      <c r="M5447" s="471">
        <f t="shared" si="191"/>
        <v>0.05</v>
      </c>
      <c r="N5447" s="475">
        <f t="shared" si="192"/>
        <v>216835</v>
      </c>
    </row>
    <row r="5448" spans="7:14" ht="11.25" customHeight="1" x14ac:dyDescent="0.3">
      <c r="G5448" s="470"/>
      <c r="H5448" s="470">
        <v>5441</v>
      </c>
      <c r="I5448" s="455">
        <f t="shared" ca="1" si="190"/>
        <v>-2857151819654438</v>
      </c>
      <c r="J5448" s="455">
        <f t="array" ref="J5448">IFERROR(INDEX('Retirement Calculator'!K:K,MATCH('Lorri 401b'!N5448,'Retirement Calculator'!A:A,0),0),0)</f>
        <v>0</v>
      </c>
      <c r="K5448" s="455">
        <f t="shared" ca="1" si="188"/>
        <v>-11904799248560.158</v>
      </c>
      <c r="L5448" s="455">
        <f t="shared" ca="1" si="189"/>
        <v>-2869056618902998</v>
      </c>
      <c r="M5448" s="471">
        <f t="shared" si="191"/>
        <v>0.05</v>
      </c>
      <c r="N5448" s="475">
        <f t="shared" si="192"/>
        <v>216865</v>
      </c>
    </row>
    <row r="5449" spans="7:14" ht="11.25" customHeight="1" x14ac:dyDescent="0.3">
      <c r="G5449" s="470"/>
      <c r="H5449" s="470">
        <v>5442</v>
      </c>
      <c r="I5449" s="455">
        <f t="shared" ca="1" si="190"/>
        <v>-2869056618902998</v>
      </c>
      <c r="J5449" s="455">
        <f t="array" ref="J5449">IFERROR(INDEX('Retirement Calculator'!K:K,MATCH('Lorri 401b'!N5449,'Retirement Calculator'!A:A,0),0),0)</f>
        <v>0</v>
      </c>
      <c r="K5449" s="455">
        <f t="shared" ca="1" si="188"/>
        <v>-11954402578762.492</v>
      </c>
      <c r="L5449" s="455">
        <f t="shared" ca="1" si="189"/>
        <v>-2881011021481760.5</v>
      </c>
      <c r="M5449" s="471">
        <f t="shared" si="191"/>
        <v>0.05</v>
      </c>
      <c r="N5449" s="475">
        <f t="shared" si="192"/>
        <v>216896</v>
      </c>
    </row>
    <row r="5450" spans="7:14" ht="11.25" customHeight="1" x14ac:dyDescent="0.3">
      <c r="G5450" s="470"/>
      <c r="H5450" s="470">
        <v>5443</v>
      </c>
      <c r="I5450" s="455">
        <f t="shared" ca="1" si="190"/>
        <v>-2881011021481760.5</v>
      </c>
      <c r="J5450" s="455">
        <f t="array" ref="J5450">IFERROR(INDEX('Retirement Calculator'!K:K,MATCH('Lorri 401b'!N5450,'Retirement Calculator'!A:A,0),0),0)</f>
        <v>0</v>
      </c>
      <c r="K5450" s="455">
        <f t="shared" ca="1" si="188"/>
        <v>-12004212589507.336</v>
      </c>
      <c r="L5450" s="455">
        <f t="shared" ca="1" si="189"/>
        <v>-2893015234071268</v>
      </c>
      <c r="M5450" s="471">
        <f t="shared" si="191"/>
        <v>0.05</v>
      </c>
      <c r="N5450" s="475">
        <f t="shared" si="192"/>
        <v>216926</v>
      </c>
    </row>
    <row r="5451" spans="7:14" ht="11.25" customHeight="1" x14ac:dyDescent="0.3">
      <c r="G5451" s="470"/>
      <c r="H5451" s="470">
        <v>5444</v>
      </c>
      <c r="I5451" s="455">
        <f t="shared" ca="1" si="190"/>
        <v>-2893015234071268</v>
      </c>
      <c r="J5451" s="455">
        <f t="array" ref="J5451">IFERROR(INDEX('Retirement Calculator'!K:K,MATCH('Lorri 401b'!N5451,'Retirement Calculator'!A:A,0),0),0)</f>
        <v>0</v>
      </c>
      <c r="K5451" s="455">
        <f t="shared" ca="1" si="188"/>
        <v>-12054230141963.617</v>
      </c>
      <c r="L5451" s="455">
        <f t="shared" ca="1" si="189"/>
        <v>-2905069464213231.5</v>
      </c>
      <c r="M5451" s="471">
        <f t="shared" si="191"/>
        <v>0.05</v>
      </c>
      <c r="N5451" s="475">
        <f t="shared" si="192"/>
        <v>216957</v>
      </c>
    </row>
    <row r="5452" spans="7:14" ht="11.25" customHeight="1" x14ac:dyDescent="0.3">
      <c r="G5452" s="470"/>
      <c r="H5452" s="470">
        <v>5445</v>
      </c>
      <c r="I5452" s="455">
        <f t="shared" ca="1" si="190"/>
        <v>-2905069464213231.5</v>
      </c>
      <c r="J5452" s="455">
        <f t="array" ref="J5452">IFERROR(INDEX('Retirement Calculator'!K:K,MATCH('Lorri 401b'!N5452,'Retirement Calculator'!A:A,0),0),0)</f>
        <v>0</v>
      </c>
      <c r="K5452" s="455">
        <f t="shared" ca="1" si="188"/>
        <v>-12104456100888.465</v>
      </c>
      <c r="L5452" s="455">
        <f t="shared" ca="1" si="189"/>
        <v>-2917173920314120</v>
      </c>
      <c r="M5452" s="471">
        <f t="shared" si="191"/>
        <v>0.05</v>
      </c>
      <c r="N5452" s="475">
        <f t="shared" si="192"/>
        <v>216988</v>
      </c>
    </row>
    <row r="5453" spans="7:14" ht="11.25" customHeight="1" x14ac:dyDescent="0.3">
      <c r="G5453" s="470"/>
      <c r="H5453" s="470">
        <v>5446</v>
      </c>
      <c r="I5453" s="455">
        <f t="shared" ca="1" si="190"/>
        <v>-2917173920314120</v>
      </c>
      <c r="J5453" s="455">
        <f t="array" ref="J5453">IFERROR(INDEX('Retirement Calculator'!K:K,MATCH('Lorri 401b'!N5453,'Retirement Calculator'!A:A,0),0),0)</f>
        <v>0</v>
      </c>
      <c r="K5453" s="455">
        <f t="shared" ca="1" si="188"/>
        <v>-12154891334642.166</v>
      </c>
      <c r="L5453" s="455">
        <f t="shared" ca="1" si="189"/>
        <v>-2929328811648762</v>
      </c>
      <c r="M5453" s="471">
        <f t="shared" si="191"/>
        <v>0.05</v>
      </c>
      <c r="N5453" s="475">
        <f t="shared" si="192"/>
        <v>217016</v>
      </c>
    </row>
    <row r="5454" spans="7:14" ht="11.25" customHeight="1" x14ac:dyDescent="0.3">
      <c r="G5454" s="470"/>
      <c r="H5454" s="470">
        <v>5447</v>
      </c>
      <c r="I5454" s="455">
        <f t="shared" ca="1" si="190"/>
        <v>-2929328811648762</v>
      </c>
      <c r="J5454" s="455">
        <f t="array" ref="J5454">IFERROR(INDEX('Retirement Calculator'!K:K,MATCH('Lorri 401b'!N5454,'Retirement Calculator'!A:A,0),0),0)</f>
        <v>0</v>
      </c>
      <c r="K5454" s="455">
        <f t="shared" ca="1" si="188"/>
        <v>-12205536715203.176</v>
      </c>
      <c r="L5454" s="455">
        <f t="shared" ca="1" si="189"/>
        <v>-2941534348363965</v>
      </c>
      <c r="M5454" s="471">
        <f t="shared" si="191"/>
        <v>0.05</v>
      </c>
      <c r="N5454" s="475">
        <f t="shared" si="192"/>
        <v>217047</v>
      </c>
    </row>
    <row r="5455" spans="7:14" ht="11.25" customHeight="1" x14ac:dyDescent="0.3">
      <c r="G5455" s="470"/>
      <c r="H5455" s="470">
        <v>5448</v>
      </c>
      <c r="I5455" s="455">
        <f t="shared" ca="1" si="190"/>
        <v>-2941534348363965</v>
      </c>
      <c r="J5455" s="455">
        <f t="array" ref="J5455">IFERROR(INDEX('Retirement Calculator'!K:K,MATCH('Lorri 401b'!N5455,'Retirement Calculator'!A:A,0),0),0)</f>
        <v>0</v>
      </c>
      <c r="K5455" s="455">
        <f t="shared" ca="1" si="188"/>
        <v>-12256393118183.188</v>
      </c>
      <c r="L5455" s="455">
        <f t="shared" ca="1" si="189"/>
        <v>-2953790741482148</v>
      </c>
      <c r="M5455" s="471">
        <f t="shared" si="191"/>
        <v>0.05</v>
      </c>
      <c r="N5455" s="475">
        <f t="shared" si="192"/>
        <v>217077</v>
      </c>
    </row>
    <row r="5456" spans="7:14" ht="11.25" customHeight="1" x14ac:dyDescent="0.3">
      <c r="G5456" s="470"/>
      <c r="H5456" s="470">
        <v>5449</v>
      </c>
      <c r="I5456" s="455">
        <f t="shared" ca="1" si="190"/>
        <v>-2953790741482148</v>
      </c>
      <c r="J5456" s="455">
        <f t="array" ref="J5456">IFERROR(INDEX('Retirement Calculator'!K:K,MATCH('Lorri 401b'!N5456,'Retirement Calculator'!A:A,0),0),0)</f>
        <v>0</v>
      </c>
      <c r="K5456" s="455">
        <f t="shared" ca="1" si="188"/>
        <v>-12307461422842.283</v>
      </c>
      <c r="L5456" s="455">
        <f t="shared" ca="1" si="189"/>
        <v>-2966098202904990.5</v>
      </c>
      <c r="M5456" s="471">
        <f t="shared" si="191"/>
        <v>0.05</v>
      </c>
      <c r="N5456" s="475">
        <f t="shared" si="192"/>
        <v>217108</v>
      </c>
    </row>
    <row r="5457" spans="7:14" ht="11.25" customHeight="1" x14ac:dyDescent="0.3">
      <c r="G5457" s="470"/>
      <c r="H5457" s="470">
        <v>5450</v>
      </c>
      <c r="I5457" s="455">
        <f t="shared" ca="1" si="190"/>
        <v>-2966098202904990.5</v>
      </c>
      <c r="J5457" s="455">
        <f t="array" ref="J5457">IFERROR(INDEX('Retirement Calculator'!K:K,MATCH('Lorri 401b'!N5457,'Retirement Calculator'!A:A,0),0),0)</f>
        <v>0</v>
      </c>
      <c r="K5457" s="455">
        <f t="shared" ca="1" si="188"/>
        <v>-12358742512104.127</v>
      </c>
      <c r="L5457" s="455">
        <f t="shared" ca="1" si="189"/>
        <v>-2978456945417094.5</v>
      </c>
      <c r="M5457" s="471">
        <f t="shared" si="191"/>
        <v>0.05</v>
      </c>
      <c r="N5457" s="475">
        <f t="shared" si="192"/>
        <v>217138</v>
      </c>
    </row>
    <row r="5458" spans="7:14" ht="11.25" customHeight="1" x14ac:dyDescent="0.3">
      <c r="G5458" s="470"/>
      <c r="H5458" s="470">
        <v>5451</v>
      </c>
      <c r="I5458" s="455">
        <f t="shared" ca="1" si="190"/>
        <v>-2978456945417094.5</v>
      </c>
      <c r="J5458" s="455">
        <f t="array" ref="J5458">IFERROR(INDEX('Retirement Calculator'!K:K,MATCH('Lorri 401b'!N5458,'Retirement Calculator'!A:A,0),0),0)</f>
        <v>0</v>
      </c>
      <c r="K5458" s="455">
        <f t="shared" ca="1" si="188"/>
        <v>-12410237272571.227</v>
      </c>
      <c r="L5458" s="455">
        <f t="shared" ca="1" si="189"/>
        <v>-2990867182689665.5</v>
      </c>
      <c r="M5458" s="471">
        <f t="shared" si="191"/>
        <v>0.05</v>
      </c>
      <c r="N5458" s="475">
        <f t="shared" si="192"/>
        <v>217169</v>
      </c>
    </row>
    <row r="5459" spans="7:14" ht="11.25" customHeight="1" x14ac:dyDescent="0.3">
      <c r="G5459" s="470"/>
      <c r="H5459" s="470">
        <v>5452</v>
      </c>
      <c r="I5459" s="455">
        <f t="shared" ca="1" si="190"/>
        <v>-2990867182689665.5</v>
      </c>
      <c r="J5459" s="455">
        <f t="array" ref="J5459">IFERROR(INDEX('Retirement Calculator'!K:K,MATCH('Lorri 401b'!N5459,'Retirement Calculator'!A:A,0),0),0)</f>
        <v>0</v>
      </c>
      <c r="K5459" s="455">
        <f t="shared" ca="1" si="188"/>
        <v>-12461946594540.273</v>
      </c>
      <c r="L5459" s="455">
        <f t="shared" ca="1" si="189"/>
        <v>-3003329129284206</v>
      </c>
      <c r="M5459" s="471">
        <f t="shared" si="191"/>
        <v>0.05</v>
      </c>
      <c r="N5459" s="475">
        <f t="shared" si="192"/>
        <v>217200</v>
      </c>
    </row>
    <row r="5460" spans="7:14" ht="11.25" customHeight="1" x14ac:dyDescent="0.3">
      <c r="G5460" s="470"/>
      <c r="H5460" s="470">
        <v>5453</v>
      </c>
      <c r="I5460" s="455">
        <f t="shared" ca="1" si="190"/>
        <v>-3003329129284206</v>
      </c>
      <c r="J5460" s="455">
        <f t="array" ref="J5460">IFERROR(INDEX('Retirement Calculator'!K:K,MATCH('Lorri 401b'!N5460,'Retirement Calculator'!A:A,0),0),0)</f>
        <v>0</v>
      </c>
      <c r="K5460" s="455">
        <f t="shared" ca="1" si="188"/>
        <v>-12513871372017.525</v>
      </c>
      <c r="L5460" s="455">
        <f t="shared" ca="1" si="189"/>
        <v>-3015843000656223.5</v>
      </c>
      <c r="M5460" s="471">
        <f t="shared" si="191"/>
        <v>0.05</v>
      </c>
      <c r="N5460" s="475">
        <f t="shared" si="192"/>
        <v>217230</v>
      </c>
    </row>
    <row r="5461" spans="7:14" ht="11.25" customHeight="1" x14ac:dyDescent="0.3">
      <c r="G5461" s="470"/>
      <c r="H5461" s="470">
        <v>5454</v>
      </c>
      <c r="I5461" s="455">
        <f t="shared" ca="1" si="190"/>
        <v>-3015843000656223.5</v>
      </c>
      <c r="J5461" s="455">
        <f t="array" ref="J5461">IFERROR(INDEX('Retirement Calculator'!K:K,MATCH('Lorri 401b'!N5461,'Retirement Calculator'!A:A,0),0),0)</f>
        <v>0</v>
      </c>
      <c r="K5461" s="455">
        <f t="shared" ca="1" si="188"/>
        <v>-12566012502734.264</v>
      </c>
      <c r="L5461" s="455">
        <f t="shared" ca="1" si="189"/>
        <v>-3028409013158958</v>
      </c>
      <c r="M5461" s="471">
        <f t="shared" si="191"/>
        <v>0.05</v>
      </c>
      <c r="N5461" s="475">
        <f t="shared" si="192"/>
        <v>217261</v>
      </c>
    </row>
    <row r="5462" spans="7:14" ht="11.25" customHeight="1" x14ac:dyDescent="0.3">
      <c r="G5462" s="470"/>
      <c r="H5462" s="470">
        <v>5455</v>
      </c>
      <c r="I5462" s="455">
        <f t="shared" ca="1" si="190"/>
        <v>-3028409013158958</v>
      </c>
      <c r="J5462" s="455">
        <f t="array" ref="J5462">IFERROR(INDEX('Retirement Calculator'!K:K,MATCH('Lorri 401b'!N5462,'Retirement Calculator'!A:A,0),0),0)</f>
        <v>0</v>
      </c>
      <c r="K5462" s="455">
        <f t="shared" ca="1" si="188"/>
        <v>-12618370888162.324</v>
      </c>
      <c r="L5462" s="455">
        <f t="shared" ca="1" si="189"/>
        <v>-3041027384047120.5</v>
      </c>
      <c r="M5462" s="471">
        <f t="shared" si="191"/>
        <v>0.05</v>
      </c>
      <c r="N5462" s="475">
        <f t="shared" si="192"/>
        <v>217291</v>
      </c>
    </row>
    <row r="5463" spans="7:14" ht="11.25" customHeight="1" x14ac:dyDescent="0.3">
      <c r="G5463" s="470"/>
      <c r="H5463" s="470">
        <v>5456</v>
      </c>
      <c r="I5463" s="455">
        <f t="shared" ca="1" si="190"/>
        <v>-3041027384047120.5</v>
      </c>
      <c r="J5463" s="455">
        <f t="array" ref="J5463">IFERROR(INDEX('Retirement Calculator'!K:K,MATCH('Lorri 401b'!N5463,'Retirement Calculator'!A:A,0),0),0)</f>
        <v>0</v>
      </c>
      <c r="K5463" s="455">
        <f t="shared" ca="1" si="188"/>
        <v>-12670947433529.668</v>
      </c>
      <c r="L5463" s="455">
        <f t="shared" ca="1" si="189"/>
        <v>-3053698331480650</v>
      </c>
      <c r="M5463" s="471">
        <f t="shared" si="191"/>
        <v>0.05</v>
      </c>
      <c r="N5463" s="475">
        <f t="shared" si="192"/>
        <v>217322</v>
      </c>
    </row>
    <row r="5464" spans="7:14" ht="11.25" customHeight="1" x14ac:dyDescent="0.3">
      <c r="G5464" s="470"/>
      <c r="H5464" s="470">
        <v>5457</v>
      </c>
      <c r="I5464" s="455">
        <f t="shared" ca="1" si="190"/>
        <v>-3053698331480650</v>
      </c>
      <c r="J5464" s="455">
        <f t="array" ref="J5464">IFERROR(INDEX('Retirement Calculator'!K:K,MATCH('Lorri 401b'!N5464,'Retirement Calculator'!A:A,0),0),0)</f>
        <v>0</v>
      </c>
      <c r="K5464" s="455">
        <f t="shared" ca="1" si="188"/>
        <v>-12723743047836.041</v>
      </c>
      <c r="L5464" s="455">
        <f t="shared" ca="1" si="189"/>
        <v>-3066422074528486</v>
      </c>
      <c r="M5464" s="471">
        <f t="shared" si="191"/>
        <v>0.05</v>
      </c>
      <c r="N5464" s="475">
        <f t="shared" si="192"/>
        <v>217353</v>
      </c>
    </row>
    <row r="5465" spans="7:14" ht="11.25" customHeight="1" x14ac:dyDescent="0.3">
      <c r="G5465" s="470"/>
      <c r="H5465" s="470">
        <v>5458</v>
      </c>
      <c r="I5465" s="455">
        <f t="shared" ca="1" si="190"/>
        <v>-3066422074528486</v>
      </c>
      <c r="J5465" s="455">
        <f t="array" ref="J5465">IFERROR(INDEX('Retirement Calculator'!K:K,MATCH('Lorri 401b'!N5465,'Retirement Calculator'!A:A,0),0),0)</f>
        <v>0</v>
      </c>
      <c r="K5465" s="455">
        <f t="shared" ca="1" si="188"/>
        <v>-12776758643868.691</v>
      </c>
      <c r="L5465" s="455">
        <f t="shared" ca="1" si="189"/>
        <v>-3079198833172354.5</v>
      </c>
      <c r="M5465" s="471">
        <f t="shared" si="191"/>
        <v>0.05</v>
      </c>
      <c r="N5465" s="475">
        <f t="shared" si="192"/>
        <v>217381</v>
      </c>
    </row>
    <row r="5466" spans="7:14" ht="11.25" customHeight="1" x14ac:dyDescent="0.3">
      <c r="G5466" s="470"/>
      <c r="H5466" s="470">
        <v>5459</v>
      </c>
      <c r="I5466" s="455">
        <f t="shared" ca="1" si="190"/>
        <v>-3079198833172354.5</v>
      </c>
      <c r="J5466" s="455">
        <f t="array" ref="J5466">IFERROR(INDEX('Retirement Calculator'!K:K,MATCH('Lorri 401b'!N5466,'Retirement Calculator'!A:A,0),0),0)</f>
        <v>0</v>
      </c>
      <c r="K5466" s="455">
        <f t="shared" ca="1" si="188"/>
        <v>-12829995138218.145</v>
      </c>
      <c r="L5466" s="455">
        <f t="shared" ca="1" si="189"/>
        <v>-3092028828310572.5</v>
      </c>
      <c r="M5466" s="471">
        <f t="shared" si="191"/>
        <v>0.05</v>
      </c>
      <c r="N5466" s="475">
        <f t="shared" si="192"/>
        <v>217412</v>
      </c>
    </row>
    <row r="5467" spans="7:14" ht="11.25" customHeight="1" x14ac:dyDescent="0.3">
      <c r="G5467" s="470"/>
      <c r="H5467" s="470">
        <v>5460</v>
      </c>
      <c r="I5467" s="455">
        <f t="shared" ca="1" si="190"/>
        <v>-3092028828310572.5</v>
      </c>
      <c r="J5467" s="455">
        <f t="array" ref="J5467">IFERROR(INDEX('Retirement Calculator'!K:K,MATCH('Lorri 401b'!N5467,'Retirement Calculator'!A:A,0),0),0)</f>
        <v>0</v>
      </c>
      <c r="K5467" s="455">
        <f t="shared" ca="1" si="188"/>
        <v>-12883453451294.053</v>
      </c>
      <c r="L5467" s="455">
        <f t="shared" ca="1" si="189"/>
        <v>-3104912281761866.5</v>
      </c>
      <c r="M5467" s="471">
        <f t="shared" si="191"/>
        <v>0.05</v>
      </c>
      <c r="N5467" s="475">
        <f t="shared" si="192"/>
        <v>217442</v>
      </c>
    </row>
    <row r="5468" spans="7:14" ht="11.25" customHeight="1" x14ac:dyDescent="0.3">
      <c r="G5468" s="470"/>
      <c r="H5468" s="470">
        <v>5461</v>
      </c>
      <c r="I5468" s="455">
        <f t="shared" ca="1" si="190"/>
        <v>-3104912281761866.5</v>
      </c>
      <c r="J5468" s="455">
        <f t="array" ref="J5468">IFERROR(INDEX('Retirement Calculator'!K:K,MATCH('Lorri 401b'!N5468,'Retirement Calculator'!A:A,0),0),0)</f>
        <v>0</v>
      </c>
      <c r="K5468" s="455">
        <f t="shared" ca="1" si="188"/>
        <v>-12937134507341.109</v>
      </c>
      <c r="L5468" s="455">
        <f t="shared" ca="1" si="189"/>
        <v>-3117849416269207.5</v>
      </c>
      <c r="M5468" s="471">
        <f t="shared" si="191"/>
        <v>0.05</v>
      </c>
      <c r="N5468" s="475">
        <f t="shared" si="192"/>
        <v>217473</v>
      </c>
    </row>
    <row r="5469" spans="7:14" ht="11.25" customHeight="1" x14ac:dyDescent="0.3">
      <c r="G5469" s="470"/>
      <c r="H5469" s="470">
        <v>5462</v>
      </c>
      <c r="I5469" s="455">
        <f t="shared" ca="1" si="190"/>
        <v>-3117849416269207.5</v>
      </c>
      <c r="J5469" s="455">
        <f t="array" ref="J5469">IFERROR(INDEX('Retirement Calculator'!K:K,MATCH('Lorri 401b'!N5469,'Retirement Calculator'!A:A,0),0),0)</f>
        <v>0</v>
      </c>
      <c r="K5469" s="455">
        <f t="shared" ca="1" si="188"/>
        <v>-12991039234455.031</v>
      </c>
      <c r="L5469" s="455">
        <f t="shared" ca="1" si="189"/>
        <v>-3130840455503662.5</v>
      </c>
      <c r="M5469" s="471">
        <f t="shared" si="191"/>
        <v>0.05</v>
      </c>
      <c r="N5469" s="475">
        <f t="shared" si="192"/>
        <v>217503</v>
      </c>
    </row>
    <row r="5470" spans="7:14" ht="11.25" customHeight="1" x14ac:dyDescent="0.3">
      <c r="G5470" s="470"/>
      <c r="H5470" s="470">
        <v>5463</v>
      </c>
      <c r="I5470" s="455">
        <f t="shared" ca="1" si="190"/>
        <v>-3130840455503662.5</v>
      </c>
      <c r="J5470" s="455">
        <f t="array" ref="J5470">IFERROR(INDEX('Retirement Calculator'!K:K,MATCH('Lorri 401b'!N5470,'Retirement Calculator'!A:A,0),0),0)</f>
        <v>0</v>
      </c>
      <c r="K5470" s="455">
        <f t="shared" ca="1" si="188"/>
        <v>-13045168564598.594</v>
      </c>
      <c r="L5470" s="455">
        <f t="shared" ca="1" si="189"/>
        <v>-3143885624068261</v>
      </c>
      <c r="M5470" s="471">
        <f t="shared" si="191"/>
        <v>0.05</v>
      </c>
      <c r="N5470" s="475">
        <f t="shared" si="192"/>
        <v>217534</v>
      </c>
    </row>
    <row r="5471" spans="7:14" ht="11.25" customHeight="1" x14ac:dyDescent="0.3">
      <c r="G5471" s="470"/>
      <c r="H5471" s="470">
        <v>5464</v>
      </c>
      <c r="I5471" s="455">
        <f t="shared" ca="1" si="190"/>
        <v>-3143885624068261</v>
      </c>
      <c r="J5471" s="455">
        <f t="array" ref="J5471">IFERROR(INDEX('Retirement Calculator'!K:K,MATCH('Lorri 401b'!N5471,'Retirement Calculator'!A:A,0),0),0)</f>
        <v>0</v>
      </c>
      <c r="K5471" s="455">
        <f t="shared" ca="1" si="188"/>
        <v>-13099523433617.754</v>
      </c>
      <c r="L5471" s="455">
        <f t="shared" ca="1" si="189"/>
        <v>-3156985147501879</v>
      </c>
      <c r="M5471" s="471">
        <f t="shared" si="191"/>
        <v>0.05</v>
      </c>
      <c r="N5471" s="475">
        <f t="shared" si="192"/>
        <v>217565</v>
      </c>
    </row>
    <row r="5472" spans="7:14" ht="11.25" customHeight="1" x14ac:dyDescent="0.3">
      <c r="G5472" s="470"/>
      <c r="H5472" s="470">
        <v>5465</v>
      </c>
      <c r="I5472" s="455">
        <f t="shared" ca="1" si="190"/>
        <v>-3156985147501879</v>
      </c>
      <c r="J5472" s="455">
        <f t="array" ref="J5472">IFERROR(INDEX('Retirement Calculator'!K:K,MATCH('Lorri 401b'!N5472,'Retirement Calculator'!A:A,0),0),0)</f>
        <v>0</v>
      </c>
      <c r="K5472" s="455">
        <f t="shared" ca="1" si="188"/>
        <v>-13154104781257.828</v>
      </c>
      <c r="L5472" s="455">
        <f t="shared" ca="1" si="189"/>
        <v>-3170139252283137</v>
      </c>
      <c r="M5472" s="471">
        <f t="shared" si="191"/>
        <v>0.05</v>
      </c>
      <c r="N5472" s="475">
        <f t="shared" si="192"/>
        <v>217595</v>
      </c>
    </row>
    <row r="5473" spans="7:14" ht="11.25" customHeight="1" x14ac:dyDescent="0.3">
      <c r="G5473" s="470"/>
      <c r="H5473" s="470">
        <v>5466</v>
      </c>
      <c r="I5473" s="455">
        <f t="shared" ca="1" si="190"/>
        <v>-3170139252283137</v>
      </c>
      <c r="J5473" s="455">
        <f t="array" ref="J5473">IFERROR(INDEX('Retirement Calculator'!K:K,MATCH('Lorri 401b'!N5473,'Retirement Calculator'!A:A,0),0),0)</f>
        <v>0</v>
      </c>
      <c r="K5473" s="455">
        <f t="shared" ca="1" si="188"/>
        <v>-13208913551179.738</v>
      </c>
      <c r="L5473" s="455">
        <f t="shared" ca="1" si="189"/>
        <v>-3183348165834316.5</v>
      </c>
      <c r="M5473" s="471">
        <f t="shared" si="191"/>
        <v>0.05</v>
      </c>
      <c r="N5473" s="475">
        <f t="shared" si="192"/>
        <v>217626</v>
      </c>
    </row>
    <row r="5474" spans="7:14" ht="11.25" customHeight="1" x14ac:dyDescent="0.3">
      <c r="G5474" s="470"/>
      <c r="H5474" s="470">
        <v>5467</v>
      </c>
      <c r="I5474" s="455">
        <f t="shared" ca="1" si="190"/>
        <v>-3183348165834316.5</v>
      </c>
      <c r="J5474" s="455">
        <f t="array" ref="J5474">IFERROR(INDEX('Retirement Calculator'!K:K,MATCH('Lorri 401b'!N5474,'Retirement Calculator'!A:A,0),0),0)</f>
        <v>0</v>
      </c>
      <c r="K5474" s="455">
        <f t="shared" ca="1" si="188"/>
        <v>-13263950690976.318</v>
      </c>
      <c r="L5474" s="455">
        <f t="shared" ca="1" si="189"/>
        <v>-3196612116525293</v>
      </c>
      <c r="M5474" s="471">
        <f t="shared" si="191"/>
        <v>0.05</v>
      </c>
      <c r="N5474" s="475">
        <f t="shared" si="192"/>
        <v>217656</v>
      </c>
    </row>
    <row r="5475" spans="7:14" ht="11.25" customHeight="1" x14ac:dyDescent="0.3">
      <c r="G5475" s="470"/>
      <c r="H5475" s="470">
        <v>5468</v>
      </c>
      <c r="I5475" s="455">
        <f t="shared" ca="1" si="190"/>
        <v>-3196612116525293</v>
      </c>
      <c r="J5475" s="455">
        <f t="array" ref="J5475">IFERROR(INDEX('Retirement Calculator'!K:K,MATCH('Lorri 401b'!N5475,'Retirement Calculator'!A:A,0),0),0)</f>
        <v>0</v>
      </c>
      <c r="K5475" s="455">
        <f t="shared" ca="1" si="188"/>
        <v>-13319217152188.721</v>
      </c>
      <c r="L5475" s="455">
        <f t="shared" ca="1" si="189"/>
        <v>-3209931333677481.5</v>
      </c>
      <c r="M5475" s="471">
        <f t="shared" si="191"/>
        <v>0.05</v>
      </c>
      <c r="N5475" s="475">
        <f t="shared" si="192"/>
        <v>217687</v>
      </c>
    </row>
    <row r="5476" spans="7:14" ht="11.25" customHeight="1" x14ac:dyDescent="0.3">
      <c r="G5476" s="470"/>
      <c r="H5476" s="470">
        <v>5469</v>
      </c>
      <c r="I5476" s="455">
        <f t="shared" ca="1" si="190"/>
        <v>-3209931333677481.5</v>
      </c>
      <c r="J5476" s="455">
        <f t="array" ref="J5476">IFERROR(INDEX('Retirement Calculator'!K:K,MATCH('Lorri 401b'!N5476,'Retirement Calculator'!A:A,0),0),0)</f>
        <v>0</v>
      </c>
      <c r="K5476" s="455">
        <f t="shared" ca="1" si="188"/>
        <v>-13374713890322.84</v>
      </c>
      <c r="L5476" s="455">
        <f t="shared" ca="1" si="189"/>
        <v>-3223306047567804.5</v>
      </c>
      <c r="M5476" s="471">
        <f t="shared" si="191"/>
        <v>0.05</v>
      </c>
      <c r="N5476" s="475">
        <f t="shared" si="192"/>
        <v>217718</v>
      </c>
    </row>
    <row r="5477" spans="7:14" ht="11.25" customHeight="1" x14ac:dyDescent="0.3">
      <c r="G5477" s="470"/>
      <c r="H5477" s="470">
        <v>5470</v>
      </c>
      <c r="I5477" s="455">
        <f t="shared" ca="1" si="190"/>
        <v>-3223306047567804.5</v>
      </c>
      <c r="J5477" s="455">
        <f t="array" ref="J5477">IFERROR(INDEX('Retirement Calculator'!K:K,MATCH('Lorri 401b'!N5477,'Retirement Calculator'!A:A,0),0),0)</f>
        <v>0</v>
      </c>
      <c r="K5477" s="455">
        <f t="shared" ca="1" si="188"/>
        <v>-13430441864865.852</v>
      </c>
      <c r="L5477" s="455">
        <f t="shared" ca="1" si="189"/>
        <v>-3236736489432670.5</v>
      </c>
      <c r="M5477" s="471">
        <f t="shared" si="191"/>
        <v>0.05</v>
      </c>
      <c r="N5477" s="475">
        <f t="shared" si="192"/>
        <v>217747</v>
      </c>
    </row>
    <row r="5478" spans="7:14" ht="11.25" customHeight="1" x14ac:dyDescent="0.3">
      <c r="G5478" s="470"/>
      <c r="H5478" s="470">
        <v>5471</v>
      </c>
      <c r="I5478" s="455">
        <f t="shared" ca="1" si="190"/>
        <v>-3236736489432670.5</v>
      </c>
      <c r="J5478" s="455">
        <f t="array" ref="J5478">IFERROR(INDEX('Retirement Calculator'!K:K,MATCH('Lorri 401b'!N5478,'Retirement Calculator'!A:A,0),0),0)</f>
        <v>0</v>
      </c>
      <c r="K5478" s="455">
        <f t="shared" ca="1" si="188"/>
        <v>-13486402039302.793</v>
      </c>
      <c r="L5478" s="455">
        <f t="shared" ca="1" si="189"/>
        <v>-3250222891471973.5</v>
      </c>
      <c r="M5478" s="471">
        <f t="shared" si="191"/>
        <v>0.05</v>
      </c>
      <c r="N5478" s="475">
        <f t="shared" si="192"/>
        <v>217778</v>
      </c>
    </row>
    <row r="5479" spans="7:14" ht="11.25" customHeight="1" x14ac:dyDescent="0.3">
      <c r="G5479" s="470"/>
      <c r="H5479" s="470">
        <v>5472</v>
      </c>
      <c r="I5479" s="455">
        <f t="shared" ca="1" si="190"/>
        <v>-3250222891471973.5</v>
      </c>
      <c r="J5479" s="455">
        <f t="array" ref="J5479">IFERROR(INDEX('Retirement Calculator'!K:K,MATCH('Lorri 401b'!N5479,'Retirement Calculator'!A:A,0),0),0)</f>
        <v>0</v>
      </c>
      <c r="K5479" s="455">
        <f t="shared" ca="1" si="188"/>
        <v>-13542595381133.223</v>
      </c>
      <c r="L5479" s="455">
        <f t="shared" ca="1" si="189"/>
        <v>-3263765486853106.5</v>
      </c>
      <c r="M5479" s="471">
        <f t="shared" si="191"/>
        <v>0.05</v>
      </c>
      <c r="N5479" s="475">
        <f t="shared" si="192"/>
        <v>217808</v>
      </c>
    </row>
    <row r="5480" spans="7:14" ht="11.25" customHeight="1" x14ac:dyDescent="0.3">
      <c r="G5480" s="470"/>
      <c r="H5480" s="470">
        <v>5473</v>
      </c>
      <c r="I5480" s="455">
        <f t="shared" ca="1" si="190"/>
        <v>-3263765486853106.5</v>
      </c>
      <c r="J5480" s="455">
        <f t="array" ref="J5480">IFERROR(INDEX('Retirement Calculator'!K:K,MATCH('Lorri 401b'!N5480,'Retirement Calculator'!A:A,0),0),0)</f>
        <v>0</v>
      </c>
      <c r="K5480" s="455">
        <f t="shared" ca="1" si="188"/>
        <v>-13599022861887.943</v>
      </c>
      <c r="L5480" s="455">
        <f t="shared" ca="1" si="189"/>
        <v>-3277364509714994.5</v>
      </c>
      <c r="M5480" s="471">
        <f t="shared" si="191"/>
        <v>0.05</v>
      </c>
      <c r="N5480" s="475">
        <f t="shared" si="192"/>
        <v>217839</v>
      </c>
    </row>
    <row r="5481" spans="7:14" ht="11.25" customHeight="1" x14ac:dyDescent="0.3">
      <c r="G5481" s="470"/>
      <c r="H5481" s="470">
        <v>5474</v>
      </c>
      <c r="I5481" s="455">
        <f t="shared" ca="1" si="190"/>
        <v>-3277364509714994.5</v>
      </c>
      <c r="J5481" s="455">
        <f t="array" ref="J5481">IFERROR(INDEX('Retirement Calculator'!K:K,MATCH('Lorri 401b'!N5481,'Retirement Calculator'!A:A,0),0),0)</f>
        <v>0</v>
      </c>
      <c r="K5481" s="455">
        <f t="shared" ca="1" si="188"/>
        <v>-13655685457145.811</v>
      </c>
      <c r="L5481" s="455">
        <f t="shared" ca="1" si="189"/>
        <v>-3291020195172140.5</v>
      </c>
      <c r="M5481" s="471">
        <f t="shared" si="191"/>
        <v>0.05</v>
      </c>
      <c r="N5481" s="475">
        <f t="shared" si="192"/>
        <v>217869</v>
      </c>
    </row>
    <row r="5482" spans="7:14" ht="11.25" customHeight="1" x14ac:dyDescent="0.3">
      <c r="G5482" s="470"/>
      <c r="H5482" s="470">
        <v>5475</v>
      </c>
      <c r="I5482" s="455">
        <f t="shared" ca="1" si="190"/>
        <v>-3291020195172140.5</v>
      </c>
      <c r="J5482" s="455">
        <f t="array" ref="J5482">IFERROR(INDEX('Retirement Calculator'!K:K,MATCH('Lorri 401b'!N5482,'Retirement Calculator'!A:A,0),0),0)</f>
        <v>0</v>
      </c>
      <c r="K5482" s="455">
        <f t="shared" ca="1" si="188"/>
        <v>-13712584146550.586</v>
      </c>
      <c r="L5482" s="455">
        <f t="shared" ca="1" si="189"/>
        <v>-3304732779318691</v>
      </c>
      <c r="M5482" s="471">
        <f t="shared" si="191"/>
        <v>0.05</v>
      </c>
      <c r="N5482" s="475">
        <f t="shared" si="192"/>
        <v>217900</v>
      </c>
    </row>
    <row r="5483" spans="7:14" ht="11.25" customHeight="1" x14ac:dyDescent="0.3">
      <c r="G5483" s="470"/>
      <c r="H5483" s="470">
        <v>5476</v>
      </c>
      <c r="I5483" s="455">
        <f t="shared" ca="1" si="190"/>
        <v>-3304732779318691</v>
      </c>
      <c r="J5483" s="455">
        <f t="array" ref="J5483">IFERROR(INDEX('Retirement Calculator'!K:K,MATCH('Lorri 401b'!N5483,'Retirement Calculator'!A:A,0),0),0)</f>
        <v>0</v>
      </c>
      <c r="K5483" s="455">
        <f t="shared" ca="1" si="188"/>
        <v>-13769719913827.879</v>
      </c>
      <c r="L5483" s="455">
        <f t="shared" ca="1" si="189"/>
        <v>-3318502499232519</v>
      </c>
      <c r="M5483" s="471">
        <f t="shared" si="191"/>
        <v>0.05</v>
      </c>
      <c r="N5483" s="475">
        <f t="shared" si="192"/>
        <v>217931</v>
      </c>
    </row>
    <row r="5484" spans="7:14" ht="11.25" customHeight="1" x14ac:dyDescent="0.3">
      <c r="G5484" s="470"/>
      <c r="H5484" s="470">
        <v>5477</v>
      </c>
      <c r="I5484" s="455">
        <f t="shared" ca="1" si="190"/>
        <v>-3318502499232519</v>
      </c>
      <c r="J5484" s="455">
        <f t="array" ref="J5484">IFERROR(INDEX('Retirement Calculator'!K:K,MATCH('Lorri 401b'!N5484,'Retirement Calculator'!A:A,0),0),0)</f>
        <v>0</v>
      </c>
      <c r="K5484" s="455">
        <f t="shared" ca="1" si="188"/>
        <v>-13827093746802.162</v>
      </c>
      <c r="L5484" s="455">
        <f t="shared" ca="1" si="189"/>
        <v>-3332329592979321</v>
      </c>
      <c r="M5484" s="471">
        <f t="shared" si="191"/>
        <v>0.05</v>
      </c>
      <c r="N5484" s="475">
        <f t="shared" si="192"/>
        <v>217961</v>
      </c>
    </row>
    <row r="5485" spans="7:14" ht="11.25" customHeight="1" x14ac:dyDescent="0.3">
      <c r="G5485" s="470"/>
      <c r="H5485" s="470">
        <v>5478</v>
      </c>
      <c r="I5485" s="455">
        <f t="shared" ca="1" si="190"/>
        <v>-3332329592979321</v>
      </c>
      <c r="J5485" s="455">
        <f t="array" ref="J5485">IFERROR(INDEX('Retirement Calculator'!K:K,MATCH('Lorri 401b'!N5485,'Retirement Calculator'!A:A,0),0),0)</f>
        <v>0</v>
      </c>
      <c r="K5485" s="455">
        <f t="shared" ca="1" si="188"/>
        <v>-13884706637413.838</v>
      </c>
      <c r="L5485" s="455">
        <f t="shared" ca="1" si="189"/>
        <v>-3346214299616735</v>
      </c>
      <c r="M5485" s="471">
        <f t="shared" si="191"/>
        <v>0.05</v>
      </c>
      <c r="N5485" s="475">
        <f t="shared" si="192"/>
        <v>217992</v>
      </c>
    </row>
    <row r="5486" spans="7:14" ht="11.25" customHeight="1" x14ac:dyDescent="0.3">
      <c r="G5486" s="470"/>
      <c r="H5486" s="470">
        <v>5479</v>
      </c>
      <c r="I5486" s="455">
        <f t="shared" ca="1" si="190"/>
        <v>-3346214299616735</v>
      </c>
      <c r="J5486" s="455">
        <f t="array" ref="J5486">IFERROR(INDEX('Retirement Calculator'!K:K,MATCH('Lorri 401b'!N5486,'Retirement Calculator'!A:A,0),0),0)</f>
        <v>0</v>
      </c>
      <c r="K5486" s="455">
        <f t="shared" ca="1" si="188"/>
        <v>-13942559581736.396</v>
      </c>
      <c r="L5486" s="455">
        <f t="shared" ca="1" si="189"/>
        <v>-3360156859198471.5</v>
      </c>
      <c r="M5486" s="471">
        <f t="shared" si="191"/>
        <v>0.05</v>
      </c>
      <c r="N5486" s="475">
        <f t="shared" si="192"/>
        <v>218022</v>
      </c>
    </row>
    <row r="5487" spans="7:14" ht="11.25" customHeight="1" x14ac:dyDescent="0.3">
      <c r="G5487" s="470"/>
      <c r="H5487" s="470">
        <v>5480</v>
      </c>
      <c r="I5487" s="455">
        <f t="shared" ca="1" si="190"/>
        <v>-3360156859198471.5</v>
      </c>
      <c r="J5487" s="455">
        <f t="array" ref="J5487">IFERROR(INDEX('Retirement Calculator'!K:K,MATCH('Lorri 401b'!N5487,'Retirement Calculator'!A:A,0),0),0)</f>
        <v>0</v>
      </c>
      <c r="K5487" s="455">
        <f t="shared" ca="1" si="188"/>
        <v>-14000653579993.631</v>
      </c>
      <c r="L5487" s="455">
        <f t="shared" ca="1" si="189"/>
        <v>-3374157512778465</v>
      </c>
      <c r="M5487" s="471">
        <f t="shared" si="191"/>
        <v>0.05</v>
      </c>
      <c r="N5487" s="475">
        <f t="shared" si="192"/>
        <v>218053</v>
      </c>
    </row>
    <row r="5488" spans="7:14" ht="11.25" customHeight="1" x14ac:dyDescent="0.3">
      <c r="G5488" s="470"/>
      <c r="H5488" s="470">
        <v>5481</v>
      </c>
      <c r="I5488" s="455">
        <f t="shared" ca="1" si="190"/>
        <v>-3374157512778465</v>
      </c>
      <c r="J5488" s="455">
        <f t="array" ref="J5488">IFERROR(INDEX('Retirement Calculator'!K:K,MATCH('Lorri 401b'!N5488,'Retirement Calculator'!A:A,0),0),0)</f>
        <v>0</v>
      </c>
      <c r="K5488" s="455">
        <f t="shared" ca="1" si="188"/>
        <v>-14058989636576.938</v>
      </c>
      <c r="L5488" s="455">
        <f t="shared" ca="1" si="189"/>
        <v>-3388216502415042</v>
      </c>
      <c r="M5488" s="471">
        <f t="shared" si="191"/>
        <v>0.05</v>
      </c>
      <c r="N5488" s="475">
        <f t="shared" si="192"/>
        <v>218084</v>
      </c>
    </row>
    <row r="5489" spans="7:14" ht="11.25" customHeight="1" x14ac:dyDescent="0.3">
      <c r="G5489" s="470"/>
      <c r="H5489" s="470">
        <v>5482</v>
      </c>
      <c r="I5489" s="455">
        <f t="shared" ca="1" si="190"/>
        <v>-3388216502415042</v>
      </c>
      <c r="J5489" s="455">
        <f t="array" ref="J5489">IFERROR(INDEX('Retirement Calculator'!K:K,MATCH('Lorri 401b'!N5489,'Retirement Calculator'!A:A,0),0),0)</f>
        <v>0</v>
      </c>
      <c r="K5489" s="455">
        <f t="shared" ca="1" si="188"/>
        <v>-14117568760062.674</v>
      </c>
      <c r="L5489" s="455">
        <f t="shared" ca="1" si="189"/>
        <v>-3402334071175104.5</v>
      </c>
      <c r="M5489" s="471">
        <f t="shared" si="191"/>
        <v>0.05</v>
      </c>
      <c r="N5489" s="475">
        <f t="shared" si="192"/>
        <v>218112</v>
      </c>
    </row>
    <row r="5490" spans="7:14" ht="11.25" customHeight="1" x14ac:dyDescent="0.3">
      <c r="G5490" s="470"/>
      <c r="H5490" s="470">
        <v>5483</v>
      </c>
      <c r="I5490" s="455">
        <f t="shared" ca="1" si="190"/>
        <v>-3402334071175104.5</v>
      </c>
      <c r="J5490" s="455">
        <f t="array" ref="J5490">IFERROR(INDEX('Retirement Calculator'!K:K,MATCH('Lorri 401b'!N5490,'Retirement Calculator'!A:A,0),0),0)</f>
        <v>0</v>
      </c>
      <c r="K5490" s="455">
        <f t="shared" ca="1" si="188"/>
        <v>-14176391963229.602</v>
      </c>
      <c r="L5490" s="455">
        <f t="shared" ca="1" si="189"/>
        <v>-3416510463138334</v>
      </c>
      <c r="M5490" s="471">
        <f t="shared" si="191"/>
        <v>0.05</v>
      </c>
      <c r="N5490" s="475">
        <f t="shared" si="192"/>
        <v>218143</v>
      </c>
    </row>
    <row r="5491" spans="7:14" ht="11.25" customHeight="1" x14ac:dyDescent="0.3">
      <c r="G5491" s="470"/>
      <c r="H5491" s="470">
        <v>5484</v>
      </c>
      <c r="I5491" s="455">
        <f t="shared" ca="1" si="190"/>
        <v>-3416510463138334</v>
      </c>
      <c r="J5491" s="455">
        <f t="array" ref="J5491">IFERROR(INDEX('Retirement Calculator'!K:K,MATCH('Lorri 401b'!N5491,'Retirement Calculator'!A:A,0),0),0)</f>
        <v>0</v>
      </c>
      <c r="K5491" s="455">
        <f t="shared" ca="1" si="188"/>
        <v>-14235460263076.391</v>
      </c>
      <c r="L5491" s="455">
        <f t="shared" ca="1" si="189"/>
        <v>-3430745923401410.5</v>
      </c>
      <c r="M5491" s="471">
        <f t="shared" si="191"/>
        <v>0.05</v>
      </c>
      <c r="N5491" s="475">
        <f t="shared" si="192"/>
        <v>218173</v>
      </c>
    </row>
    <row r="5492" spans="7:14" ht="11.25" customHeight="1" x14ac:dyDescent="0.3">
      <c r="G5492" s="470"/>
      <c r="H5492" s="470">
        <v>5485</v>
      </c>
      <c r="I5492" s="455">
        <f t="shared" ca="1" si="190"/>
        <v>-3430745923401410.5</v>
      </c>
      <c r="J5492" s="455">
        <f t="array" ref="J5492">IFERROR(INDEX('Retirement Calculator'!K:K,MATCH('Lorri 401b'!N5492,'Retirement Calculator'!A:A,0),0),0)</f>
        <v>0</v>
      </c>
      <c r="K5492" s="455">
        <f t="shared" ca="1" si="188"/>
        <v>-14294774680839.211</v>
      </c>
      <c r="L5492" s="455">
        <f t="shared" ca="1" si="189"/>
        <v>-3445040698082249.5</v>
      </c>
      <c r="M5492" s="471">
        <f t="shared" si="191"/>
        <v>0.05</v>
      </c>
      <c r="N5492" s="475">
        <f t="shared" si="192"/>
        <v>218204</v>
      </c>
    </row>
    <row r="5493" spans="7:14" ht="11.25" customHeight="1" x14ac:dyDescent="0.3">
      <c r="G5493" s="470"/>
      <c r="H5493" s="470">
        <v>5486</v>
      </c>
      <c r="I5493" s="455">
        <f t="shared" ca="1" si="190"/>
        <v>-3445040698082249.5</v>
      </c>
      <c r="J5493" s="455">
        <f t="array" ref="J5493">IFERROR(INDEX('Retirement Calculator'!K:K,MATCH('Lorri 401b'!N5493,'Retirement Calculator'!A:A,0),0),0)</f>
        <v>0</v>
      </c>
      <c r="K5493" s="455">
        <f t="shared" ca="1" si="188"/>
        <v>-14354336242009.373</v>
      </c>
      <c r="L5493" s="455">
        <f t="shared" ca="1" si="189"/>
        <v>-3459395034324259</v>
      </c>
      <c r="M5493" s="471">
        <f t="shared" si="191"/>
        <v>0.05</v>
      </c>
      <c r="N5493" s="475">
        <f t="shared" si="192"/>
        <v>218234</v>
      </c>
    </row>
    <row r="5494" spans="7:14" ht="11.25" customHeight="1" x14ac:dyDescent="0.3">
      <c r="G5494" s="470"/>
      <c r="H5494" s="470">
        <v>5487</v>
      </c>
      <c r="I5494" s="455">
        <f t="shared" ca="1" si="190"/>
        <v>-3459395034324259</v>
      </c>
      <c r="J5494" s="455">
        <f t="array" ref="J5494">IFERROR(INDEX('Retirement Calculator'!K:K,MATCH('Lorri 401b'!N5494,'Retirement Calculator'!A:A,0),0),0)</f>
        <v>0</v>
      </c>
      <c r="K5494" s="455">
        <f t="shared" ca="1" si="188"/>
        <v>-14414145976351.078</v>
      </c>
      <c r="L5494" s="455">
        <f t="shared" ca="1" si="189"/>
        <v>-3473809180300610</v>
      </c>
      <c r="M5494" s="471">
        <f t="shared" si="191"/>
        <v>0.05</v>
      </c>
      <c r="N5494" s="475">
        <f t="shared" si="192"/>
        <v>218265</v>
      </c>
    </row>
    <row r="5495" spans="7:14" ht="11.25" customHeight="1" x14ac:dyDescent="0.3">
      <c r="G5495" s="470"/>
      <c r="H5495" s="470">
        <v>5488</v>
      </c>
      <c r="I5495" s="455">
        <f t="shared" ca="1" si="190"/>
        <v>-3473809180300610</v>
      </c>
      <c r="J5495" s="455">
        <f t="array" ref="J5495">IFERROR(INDEX('Retirement Calculator'!K:K,MATCH('Lorri 401b'!N5495,'Retirement Calculator'!A:A,0),0),0)</f>
        <v>0</v>
      </c>
      <c r="K5495" s="455">
        <f t="shared" ca="1" si="188"/>
        <v>-14474204917919.209</v>
      </c>
      <c r="L5495" s="455">
        <f t="shared" ca="1" si="189"/>
        <v>-3488283385218529</v>
      </c>
      <c r="M5495" s="471">
        <f t="shared" si="191"/>
        <v>0.05</v>
      </c>
      <c r="N5495" s="475">
        <f t="shared" si="192"/>
        <v>218296</v>
      </c>
    </row>
    <row r="5496" spans="7:14" ht="11.25" customHeight="1" x14ac:dyDescent="0.3">
      <c r="G5496" s="470"/>
      <c r="H5496" s="470">
        <v>5489</v>
      </c>
      <c r="I5496" s="455">
        <f t="shared" ca="1" si="190"/>
        <v>-3488283385218529</v>
      </c>
      <c r="J5496" s="455">
        <f t="array" ref="J5496">IFERROR(INDEX('Retirement Calculator'!K:K,MATCH('Lorri 401b'!N5496,'Retirement Calculator'!A:A,0),0),0)</f>
        <v>0</v>
      </c>
      <c r="K5496" s="455">
        <f t="shared" ca="1" si="188"/>
        <v>-14534514105077.203</v>
      </c>
      <c r="L5496" s="455">
        <f t="shared" ca="1" si="189"/>
        <v>-3502817899323606</v>
      </c>
      <c r="M5496" s="471">
        <f t="shared" si="191"/>
        <v>0.05</v>
      </c>
      <c r="N5496" s="475">
        <f t="shared" si="192"/>
        <v>218326</v>
      </c>
    </row>
    <row r="5497" spans="7:14" ht="11.25" customHeight="1" x14ac:dyDescent="0.3">
      <c r="G5497" s="470"/>
      <c r="H5497" s="470">
        <v>5490</v>
      </c>
      <c r="I5497" s="455">
        <f t="shared" ca="1" si="190"/>
        <v>-3502817899323606</v>
      </c>
      <c r="J5497" s="455">
        <f t="array" ref="J5497">IFERROR(INDEX('Retirement Calculator'!K:K,MATCH('Lorri 401b'!N5497,'Retirement Calculator'!A:A,0),0),0)</f>
        <v>0</v>
      </c>
      <c r="K5497" s="455">
        <f t="shared" ca="1" si="188"/>
        <v>-14595074580515.025</v>
      </c>
      <c r="L5497" s="455">
        <f t="shared" ca="1" si="189"/>
        <v>-3517412973904121</v>
      </c>
      <c r="M5497" s="471">
        <f t="shared" si="191"/>
        <v>0.05</v>
      </c>
      <c r="N5497" s="475">
        <f t="shared" si="192"/>
        <v>218357</v>
      </c>
    </row>
    <row r="5498" spans="7:14" ht="11.25" customHeight="1" x14ac:dyDescent="0.3">
      <c r="G5498" s="470"/>
      <c r="H5498" s="470">
        <v>5491</v>
      </c>
      <c r="I5498" s="455">
        <f t="shared" ca="1" si="190"/>
        <v>-3517412973904121</v>
      </c>
      <c r="J5498" s="455">
        <f t="array" ref="J5498">IFERROR(INDEX('Retirement Calculator'!K:K,MATCH('Lorri 401b'!N5498,'Retirement Calculator'!A:A,0),0),0)</f>
        <v>0</v>
      </c>
      <c r="K5498" s="455">
        <f t="shared" ca="1" si="188"/>
        <v>-14655887391267.172</v>
      </c>
      <c r="L5498" s="455">
        <f t="shared" ca="1" si="189"/>
        <v>-3532068861295388</v>
      </c>
      <c r="M5498" s="471">
        <f t="shared" si="191"/>
        <v>0.05</v>
      </c>
      <c r="N5498" s="475">
        <f t="shared" si="192"/>
        <v>218387</v>
      </c>
    </row>
    <row r="5499" spans="7:14" ht="11.25" customHeight="1" x14ac:dyDescent="0.3">
      <c r="G5499" s="470"/>
      <c r="H5499" s="470">
        <v>5492</v>
      </c>
      <c r="I5499" s="455">
        <f t="shared" ca="1" si="190"/>
        <v>-3532068861295388</v>
      </c>
      <c r="J5499" s="455">
        <f t="array" ref="J5499">IFERROR(INDEX('Retirement Calculator'!K:K,MATCH('Lorri 401b'!N5499,'Retirement Calculator'!A:A,0),0),0)</f>
        <v>0</v>
      </c>
      <c r="K5499" s="455">
        <f t="shared" ca="1" si="188"/>
        <v>-14716953588730.781</v>
      </c>
      <c r="L5499" s="455">
        <f t="shared" ca="1" si="189"/>
        <v>-3546785814884119</v>
      </c>
      <c r="M5499" s="471">
        <f t="shared" si="191"/>
        <v>0.05</v>
      </c>
      <c r="N5499" s="475">
        <f t="shared" si="192"/>
        <v>218418</v>
      </c>
    </row>
    <row r="5500" spans="7:14" ht="11.25" customHeight="1" x14ac:dyDescent="0.3">
      <c r="G5500" s="470"/>
      <c r="H5500" s="470">
        <v>5493</v>
      </c>
      <c r="I5500" s="455">
        <f t="shared" ca="1" si="190"/>
        <v>-3546785814884119</v>
      </c>
      <c r="J5500" s="455">
        <f t="array" ref="J5500">IFERROR(INDEX('Retirement Calculator'!K:K,MATCH('Lorri 401b'!N5500,'Retirement Calculator'!A:A,0),0),0)</f>
        <v>0</v>
      </c>
      <c r="K5500" s="455">
        <f t="shared" ca="1" si="188"/>
        <v>-14778274228683.826</v>
      </c>
      <c r="L5500" s="455">
        <f t="shared" ca="1" si="189"/>
        <v>-3561564089112803</v>
      </c>
      <c r="M5500" s="471">
        <f t="shared" si="191"/>
        <v>0.05</v>
      </c>
      <c r="N5500" s="475">
        <f t="shared" si="192"/>
        <v>218449</v>
      </c>
    </row>
    <row r="5501" spans="7:14" ht="11.25" customHeight="1" x14ac:dyDescent="0.3">
      <c r="G5501" s="470"/>
      <c r="H5501" s="470">
        <v>5494</v>
      </c>
      <c r="I5501" s="455">
        <f t="shared" ca="1" si="190"/>
        <v>-3561564089112803</v>
      </c>
      <c r="J5501" s="455">
        <f t="array" ref="J5501">IFERROR(INDEX('Retirement Calculator'!K:K,MATCH('Lorri 401b'!N5501,'Retirement Calculator'!A:A,0),0),0)</f>
        <v>0</v>
      </c>
      <c r="K5501" s="455">
        <f t="shared" ca="1" si="188"/>
        <v>-14839850371303.346</v>
      </c>
      <c r="L5501" s="455">
        <f t="shared" ca="1" si="189"/>
        <v>-3576403939484106.5</v>
      </c>
      <c r="M5501" s="471">
        <f t="shared" si="191"/>
        <v>0.05</v>
      </c>
      <c r="N5501" s="475">
        <f t="shared" si="192"/>
        <v>218477</v>
      </c>
    </row>
    <row r="5502" spans="7:14" ht="11.25" customHeight="1" x14ac:dyDescent="0.3">
      <c r="G5502" s="470"/>
      <c r="H5502" s="470">
        <v>5495</v>
      </c>
      <c r="I5502" s="455">
        <f t="shared" ca="1" si="190"/>
        <v>-3576403939484106.5</v>
      </c>
      <c r="J5502" s="455">
        <f t="array" ref="J5502">IFERROR(INDEX('Retirement Calculator'!K:K,MATCH('Lorri 401b'!N5502,'Retirement Calculator'!A:A,0),0),0)</f>
        <v>0</v>
      </c>
      <c r="K5502" s="455">
        <f t="shared" ca="1" si="188"/>
        <v>-14901683081183.777</v>
      </c>
      <c r="L5502" s="455">
        <f t="shared" ca="1" si="189"/>
        <v>-3591305622565290.5</v>
      </c>
      <c r="M5502" s="471">
        <f t="shared" si="191"/>
        <v>0.05</v>
      </c>
      <c r="N5502" s="475">
        <f t="shared" si="192"/>
        <v>218508</v>
      </c>
    </row>
    <row r="5503" spans="7:14" ht="11.25" customHeight="1" x14ac:dyDescent="0.3">
      <c r="G5503" s="470"/>
      <c r="H5503" s="470">
        <v>5496</v>
      </c>
      <c r="I5503" s="455">
        <f t="shared" ca="1" si="190"/>
        <v>-3591305622565290.5</v>
      </c>
      <c r="J5503" s="455">
        <f t="array" ref="J5503">IFERROR(INDEX('Retirement Calculator'!K:K,MATCH('Lorri 401b'!N5503,'Retirement Calculator'!A:A,0),0),0)</f>
        <v>0</v>
      </c>
      <c r="K5503" s="455">
        <f t="shared" ca="1" si="188"/>
        <v>-14963773427355.377</v>
      </c>
      <c r="L5503" s="455">
        <f t="shared" ca="1" si="189"/>
        <v>-3606269395992646</v>
      </c>
      <c r="M5503" s="471">
        <f t="shared" si="191"/>
        <v>0.05</v>
      </c>
      <c r="N5503" s="475">
        <f t="shared" si="192"/>
        <v>218538</v>
      </c>
    </row>
    <row r="5504" spans="7:14" ht="11.25" customHeight="1" x14ac:dyDescent="0.3">
      <c r="G5504" s="470"/>
      <c r="H5504" s="470">
        <v>5497</v>
      </c>
      <c r="I5504" s="455">
        <f t="shared" ca="1" si="190"/>
        <v>-3606269395992646</v>
      </c>
      <c r="J5504" s="455">
        <f t="array" ref="J5504">IFERROR(INDEX('Retirement Calculator'!K:K,MATCH('Lorri 401b'!N5504,'Retirement Calculator'!A:A,0),0),0)</f>
        <v>0</v>
      </c>
      <c r="K5504" s="455">
        <f t="shared" ca="1" si="188"/>
        <v>-15026122483302.691</v>
      </c>
      <c r="L5504" s="455">
        <f t="shared" ca="1" si="189"/>
        <v>-3621295518475948.5</v>
      </c>
      <c r="M5504" s="471">
        <f t="shared" si="191"/>
        <v>0.05</v>
      </c>
      <c r="N5504" s="475">
        <f t="shared" si="192"/>
        <v>218569</v>
      </c>
    </row>
    <row r="5505" spans="7:14" ht="11.25" customHeight="1" x14ac:dyDescent="0.3">
      <c r="G5505" s="470"/>
      <c r="H5505" s="470">
        <v>5498</v>
      </c>
      <c r="I5505" s="455">
        <f t="shared" ca="1" si="190"/>
        <v>-3621295518475948.5</v>
      </c>
      <c r="J5505" s="455">
        <f t="array" ref="J5505">IFERROR(INDEX('Retirement Calculator'!K:K,MATCH('Lorri 401b'!N5505,'Retirement Calculator'!A:A,0),0),0)</f>
        <v>0</v>
      </c>
      <c r="K5505" s="455">
        <f t="shared" ca="1" si="188"/>
        <v>-15088731326983.119</v>
      </c>
      <c r="L5505" s="455">
        <f t="shared" ca="1" si="189"/>
        <v>-3636384249802931.5</v>
      </c>
      <c r="M5505" s="471">
        <f t="shared" si="191"/>
        <v>0.05</v>
      </c>
      <c r="N5505" s="475">
        <f t="shared" si="192"/>
        <v>218599</v>
      </c>
    </row>
    <row r="5506" spans="7:14" ht="11.25" customHeight="1" x14ac:dyDescent="0.3">
      <c r="G5506" s="470"/>
      <c r="H5506" s="470">
        <v>5499</v>
      </c>
      <c r="I5506" s="455">
        <f t="shared" ca="1" si="190"/>
        <v>-3636384249802931.5</v>
      </c>
      <c r="J5506" s="455">
        <f t="array" ref="J5506">IFERROR(INDEX('Retirement Calculator'!K:K,MATCH('Lorri 401b'!N5506,'Retirement Calculator'!A:A,0),0),0)</f>
        <v>0</v>
      </c>
      <c r="K5506" s="455">
        <f t="shared" ca="1" si="188"/>
        <v>-15151601040845.545</v>
      </c>
      <c r="L5506" s="455">
        <f t="shared" ca="1" si="189"/>
        <v>-3651535850843777</v>
      </c>
      <c r="M5506" s="471">
        <f t="shared" si="191"/>
        <v>0.05</v>
      </c>
      <c r="N5506" s="475">
        <f t="shared" si="192"/>
        <v>218630</v>
      </c>
    </row>
    <row r="5507" spans="7:14" ht="11.25" customHeight="1" x14ac:dyDescent="0.3">
      <c r="G5507" s="470"/>
      <c r="H5507" s="470">
        <v>5500</v>
      </c>
      <c r="I5507" s="455">
        <f t="shared" ca="1" si="190"/>
        <v>-3651535850843777</v>
      </c>
      <c r="J5507" s="455">
        <f t="array" ref="J5507">IFERROR(INDEX('Retirement Calculator'!K:K,MATCH('Lorri 401b'!N5507,'Retirement Calculator'!A:A,0),0),0)</f>
        <v>0</v>
      </c>
      <c r="K5507" s="455">
        <f t="shared" ca="1" si="188"/>
        <v>-15214732711849.07</v>
      </c>
      <c r="L5507" s="455">
        <f t="shared" ca="1" si="189"/>
        <v>-3666750583555626</v>
      </c>
      <c r="M5507" s="471">
        <f t="shared" si="191"/>
        <v>0.05</v>
      </c>
      <c r="N5507" s="475">
        <f t="shared" si="192"/>
        <v>218661</v>
      </c>
    </row>
    <row r="5508" spans="7:14" ht="11.25" customHeight="1" x14ac:dyDescent="0.3">
      <c r="G5508" s="470"/>
      <c r="H5508" s="470">
        <v>5501</v>
      </c>
      <c r="I5508" s="455">
        <f t="shared" ca="1" si="190"/>
        <v>-3666750583555626</v>
      </c>
      <c r="J5508" s="455">
        <f t="array" ref="J5508">IFERROR(INDEX('Retirement Calculator'!K:K,MATCH('Lorri 401b'!N5508,'Retirement Calculator'!A:A,0),0),0)</f>
        <v>0</v>
      </c>
      <c r="K5508" s="455">
        <f t="shared" ca="1" si="188"/>
        <v>-15278127431481.775</v>
      </c>
      <c r="L5508" s="455">
        <f t="shared" ca="1" si="189"/>
        <v>-3682028710987108</v>
      </c>
      <c r="M5508" s="471">
        <f t="shared" si="191"/>
        <v>0.05</v>
      </c>
      <c r="N5508" s="475">
        <f t="shared" si="192"/>
        <v>218691</v>
      </c>
    </row>
    <row r="5509" spans="7:14" ht="11.25" customHeight="1" x14ac:dyDescent="0.3">
      <c r="G5509" s="470"/>
      <c r="H5509" s="470">
        <v>5502</v>
      </c>
      <c r="I5509" s="455">
        <f t="shared" ca="1" si="190"/>
        <v>-3682028710987108</v>
      </c>
      <c r="J5509" s="455">
        <f t="array" ref="J5509">IFERROR(INDEX('Retirement Calculator'!K:K,MATCH('Lorri 401b'!N5509,'Retirement Calculator'!A:A,0),0),0)</f>
        <v>0</v>
      </c>
      <c r="K5509" s="455">
        <f t="shared" ca="1" si="188"/>
        <v>-15341786295779.617</v>
      </c>
      <c r="L5509" s="455">
        <f t="shared" ca="1" si="189"/>
        <v>-3697370497282887.5</v>
      </c>
      <c r="M5509" s="471">
        <f t="shared" si="191"/>
        <v>0.05</v>
      </c>
      <c r="N5509" s="475">
        <f t="shared" si="192"/>
        <v>218722</v>
      </c>
    </row>
    <row r="5510" spans="7:14" ht="11.25" customHeight="1" x14ac:dyDescent="0.3">
      <c r="G5510" s="470"/>
      <c r="H5510" s="470">
        <v>5503</v>
      </c>
      <c r="I5510" s="455">
        <f t="shared" ca="1" si="190"/>
        <v>-3697370497282887.5</v>
      </c>
      <c r="J5510" s="455">
        <f t="array" ref="J5510">IFERROR(INDEX('Retirement Calculator'!K:K,MATCH('Lorri 401b'!N5510,'Retirement Calculator'!A:A,0),0),0)</f>
        <v>0</v>
      </c>
      <c r="K5510" s="455">
        <f t="shared" ca="1" si="188"/>
        <v>-15405710405345.365</v>
      </c>
      <c r="L5510" s="455">
        <f t="shared" ca="1" si="189"/>
        <v>-3712776207688233</v>
      </c>
      <c r="M5510" s="471">
        <f t="shared" si="191"/>
        <v>0.05</v>
      </c>
      <c r="N5510" s="475">
        <f t="shared" si="192"/>
        <v>218752</v>
      </c>
    </row>
    <row r="5511" spans="7:14" ht="11.25" customHeight="1" x14ac:dyDescent="0.3">
      <c r="G5511" s="470"/>
      <c r="H5511" s="470">
        <v>5504</v>
      </c>
      <c r="I5511" s="455">
        <f t="shared" ca="1" si="190"/>
        <v>-3712776207688233</v>
      </c>
      <c r="J5511" s="455">
        <f t="array" ref="J5511">IFERROR(INDEX('Retirement Calculator'!K:K,MATCH('Lorri 401b'!N5511,'Retirement Calculator'!A:A,0),0),0)</f>
        <v>0</v>
      </c>
      <c r="K5511" s="455">
        <f t="shared" ca="1" si="188"/>
        <v>-15469900865367.637</v>
      </c>
      <c r="L5511" s="455">
        <f t="shared" ca="1" si="189"/>
        <v>-3728246108553600.5</v>
      </c>
      <c r="M5511" s="471">
        <f t="shared" si="191"/>
        <v>0.05</v>
      </c>
      <c r="N5511" s="475">
        <f t="shared" si="192"/>
        <v>218783</v>
      </c>
    </row>
    <row r="5512" spans="7:14" ht="11.25" customHeight="1" x14ac:dyDescent="0.3">
      <c r="G5512" s="470"/>
      <c r="H5512" s="470">
        <v>5505</v>
      </c>
      <c r="I5512" s="455">
        <f t="shared" ca="1" si="190"/>
        <v>-3728246108553600.5</v>
      </c>
      <c r="J5512" s="455">
        <f t="array" ref="J5512">IFERROR(INDEX('Retirement Calculator'!K:K,MATCH('Lorri 401b'!N5512,'Retirement Calculator'!A:A,0),0),0)</f>
        <v>0</v>
      </c>
      <c r="K5512" s="455">
        <f t="shared" ca="1" si="188"/>
        <v>-15534358785640.002</v>
      </c>
      <c r="L5512" s="455">
        <f t="shared" ca="1" si="189"/>
        <v>-3743780467339240.5</v>
      </c>
      <c r="M5512" s="471">
        <f t="shared" si="191"/>
        <v>0.05</v>
      </c>
      <c r="N5512" s="475">
        <f t="shared" si="192"/>
        <v>218814</v>
      </c>
    </row>
    <row r="5513" spans="7:14" ht="11.25" customHeight="1" x14ac:dyDescent="0.3">
      <c r="G5513" s="470"/>
      <c r="H5513" s="470">
        <v>5506</v>
      </c>
      <c r="I5513" s="455">
        <f t="shared" ca="1" si="190"/>
        <v>-3743780467339240.5</v>
      </c>
      <c r="J5513" s="455">
        <f t="array" ref="J5513">IFERROR(INDEX('Retirement Calculator'!K:K,MATCH('Lorri 401b'!N5513,'Retirement Calculator'!A:A,0),0),0)</f>
        <v>0</v>
      </c>
      <c r="K5513" s="455">
        <f t="shared" ca="1" si="188"/>
        <v>-15599085280580.168</v>
      </c>
      <c r="L5513" s="455">
        <f t="shared" ca="1" si="189"/>
        <v>-3759379552619820.5</v>
      </c>
      <c r="M5513" s="471">
        <f t="shared" si="191"/>
        <v>0.05</v>
      </c>
      <c r="N5513" s="475">
        <f t="shared" si="192"/>
        <v>218842</v>
      </c>
    </row>
    <row r="5514" spans="7:14" ht="11.25" customHeight="1" x14ac:dyDescent="0.3">
      <c r="G5514" s="470"/>
      <c r="H5514" s="470">
        <v>5507</v>
      </c>
      <c r="I5514" s="455">
        <f t="shared" ca="1" si="190"/>
        <v>-3759379552619820.5</v>
      </c>
      <c r="J5514" s="455">
        <f t="array" ref="J5514">IFERROR(INDEX('Retirement Calculator'!K:K,MATCH('Lorri 401b'!N5514,'Retirement Calculator'!A:A,0),0),0)</f>
        <v>0</v>
      </c>
      <c r="K5514" s="455">
        <f t="shared" ca="1" si="188"/>
        <v>-15664081469249.252</v>
      </c>
      <c r="L5514" s="455">
        <f t="shared" ca="1" si="189"/>
        <v>-3775043634089070</v>
      </c>
      <c r="M5514" s="471">
        <f t="shared" si="191"/>
        <v>0.05</v>
      </c>
      <c r="N5514" s="475">
        <f t="shared" si="192"/>
        <v>218873</v>
      </c>
    </row>
    <row r="5515" spans="7:14" ht="11.25" customHeight="1" x14ac:dyDescent="0.3">
      <c r="G5515" s="470"/>
      <c r="H5515" s="470">
        <v>5508</v>
      </c>
      <c r="I5515" s="455">
        <f t="shared" ca="1" si="190"/>
        <v>-3775043634089070</v>
      </c>
      <c r="J5515" s="455">
        <f t="array" ref="J5515">IFERROR(INDEX('Retirement Calculator'!K:K,MATCH('Lorri 401b'!N5515,'Retirement Calculator'!A:A,0),0),0)</f>
        <v>0</v>
      </c>
      <c r="K5515" s="455">
        <f t="shared" ca="1" si="188"/>
        <v>-15729348475371.123</v>
      </c>
      <c r="L5515" s="455">
        <f t="shared" ca="1" si="189"/>
        <v>-3790772982564441</v>
      </c>
      <c r="M5515" s="471">
        <f t="shared" si="191"/>
        <v>0.05</v>
      </c>
      <c r="N5515" s="475">
        <f t="shared" si="192"/>
        <v>218903</v>
      </c>
    </row>
    <row r="5516" spans="7:14" ht="11.25" customHeight="1" x14ac:dyDescent="0.3">
      <c r="G5516" s="470"/>
      <c r="H5516" s="470">
        <v>5509</v>
      </c>
      <c r="I5516" s="455">
        <f t="shared" ca="1" si="190"/>
        <v>-3790772982564441</v>
      </c>
      <c r="J5516" s="455">
        <f t="array" ref="J5516">IFERROR(INDEX('Retirement Calculator'!K:K,MATCH('Lorri 401b'!N5516,'Retirement Calculator'!A:A,0),0),0)</f>
        <v>0</v>
      </c>
      <c r="K5516" s="455">
        <f t="shared" ca="1" si="188"/>
        <v>-15794887427351.838</v>
      </c>
      <c r="L5516" s="455">
        <f t="shared" ca="1" si="189"/>
        <v>-3806567869991793</v>
      </c>
      <c r="M5516" s="471">
        <f t="shared" si="191"/>
        <v>0.05</v>
      </c>
      <c r="N5516" s="475">
        <f t="shared" si="192"/>
        <v>218934</v>
      </c>
    </row>
    <row r="5517" spans="7:14" ht="11.25" customHeight="1" x14ac:dyDescent="0.3">
      <c r="G5517" s="470"/>
      <c r="H5517" s="470">
        <v>5510</v>
      </c>
      <c r="I5517" s="455">
        <f t="shared" ca="1" si="190"/>
        <v>-3806567869991793</v>
      </c>
      <c r="J5517" s="455">
        <f t="array" ref="J5517">IFERROR(INDEX('Retirement Calculator'!K:K,MATCH('Lorri 401b'!N5517,'Retirement Calculator'!A:A,0),0),0)</f>
        <v>0</v>
      </c>
      <c r="K5517" s="455">
        <f t="shared" ca="1" si="188"/>
        <v>-15860699458299.137</v>
      </c>
      <c r="L5517" s="455">
        <f t="shared" ca="1" si="189"/>
        <v>-3822428569450092</v>
      </c>
      <c r="M5517" s="471">
        <f t="shared" si="191"/>
        <v>0.05</v>
      </c>
      <c r="N5517" s="475">
        <f t="shared" si="192"/>
        <v>218964</v>
      </c>
    </row>
    <row r="5518" spans="7:14" ht="11.25" customHeight="1" x14ac:dyDescent="0.3">
      <c r="G5518" s="470"/>
      <c r="H5518" s="470">
        <v>5511</v>
      </c>
      <c r="I5518" s="455">
        <f t="shared" ca="1" si="190"/>
        <v>-3822428569450092</v>
      </c>
      <c r="J5518" s="455">
        <f t="array" ref="J5518">IFERROR(INDEX('Retirement Calculator'!K:K,MATCH('Lorri 401b'!N5518,'Retirement Calculator'!A:A,0),0),0)</f>
        <v>0</v>
      </c>
      <c r="K5518" s="455">
        <f t="shared" ca="1" si="188"/>
        <v>-15926785706042.049</v>
      </c>
      <c r="L5518" s="455">
        <f t="shared" ca="1" si="189"/>
        <v>-3838355355156134</v>
      </c>
      <c r="M5518" s="471">
        <f t="shared" si="191"/>
        <v>0.05</v>
      </c>
      <c r="N5518" s="475">
        <f t="shared" si="192"/>
        <v>218995</v>
      </c>
    </row>
    <row r="5519" spans="7:14" ht="11.25" customHeight="1" x14ac:dyDescent="0.3">
      <c r="G5519" s="470"/>
      <c r="H5519" s="470">
        <v>5512</v>
      </c>
      <c r="I5519" s="455">
        <f t="shared" ca="1" si="190"/>
        <v>-3838355355156134</v>
      </c>
      <c r="J5519" s="455">
        <f t="array" ref="J5519">IFERROR(INDEX('Retirement Calculator'!K:K,MATCH('Lorri 401b'!N5519,'Retirement Calculator'!A:A,0),0),0)</f>
        <v>0</v>
      </c>
      <c r="K5519" s="455">
        <f t="shared" ca="1" si="188"/>
        <v>-15993147313150.557</v>
      </c>
      <c r="L5519" s="455">
        <f t="shared" ca="1" si="189"/>
        <v>-3854348502469284.5</v>
      </c>
      <c r="M5519" s="471">
        <f t="shared" si="191"/>
        <v>0.05</v>
      </c>
      <c r="N5519" s="475">
        <f t="shared" si="192"/>
        <v>219026</v>
      </c>
    </row>
    <row r="5520" spans="7:14" ht="11.25" customHeight="1" x14ac:dyDescent="0.3">
      <c r="G5520" s="470"/>
      <c r="H5520" s="470">
        <v>5513</v>
      </c>
      <c r="I5520" s="455">
        <f t="shared" ca="1" si="190"/>
        <v>-3854348502469284.5</v>
      </c>
      <c r="J5520" s="455">
        <f t="array" ref="J5520">IFERROR(INDEX('Retirement Calculator'!K:K,MATCH('Lorri 401b'!N5520,'Retirement Calculator'!A:A,0),0),0)</f>
        <v>0</v>
      </c>
      <c r="K5520" s="455">
        <f t="shared" ca="1" si="188"/>
        <v>-16059785426955.35</v>
      </c>
      <c r="L5520" s="455">
        <f t="shared" ca="1" si="189"/>
        <v>-3870408287896240</v>
      </c>
      <c r="M5520" s="471">
        <f t="shared" si="191"/>
        <v>0.05</v>
      </c>
      <c r="N5520" s="475">
        <f t="shared" si="192"/>
        <v>219056</v>
      </c>
    </row>
    <row r="5521" spans="7:14" ht="11.25" customHeight="1" x14ac:dyDescent="0.3">
      <c r="G5521" s="470"/>
      <c r="H5521" s="470">
        <v>5514</v>
      </c>
      <c r="I5521" s="455">
        <f t="shared" ca="1" si="190"/>
        <v>-3870408287896240</v>
      </c>
      <c r="J5521" s="455">
        <f t="array" ref="J5521">IFERROR(INDEX('Retirement Calculator'!K:K,MATCH('Lorri 401b'!N5521,'Retirement Calculator'!A:A,0),0),0)</f>
        <v>0</v>
      </c>
      <c r="K5521" s="455">
        <f t="shared" ca="1" si="188"/>
        <v>-16126701199567.666</v>
      </c>
      <c r="L5521" s="455">
        <f t="shared" ca="1" si="189"/>
        <v>-3886534989095807.5</v>
      </c>
      <c r="M5521" s="471">
        <f t="shared" si="191"/>
        <v>0.05</v>
      </c>
      <c r="N5521" s="475">
        <f t="shared" si="192"/>
        <v>219087</v>
      </c>
    </row>
    <row r="5522" spans="7:14" ht="11.25" customHeight="1" x14ac:dyDescent="0.3">
      <c r="G5522" s="470"/>
      <c r="H5522" s="470">
        <v>5515</v>
      </c>
      <c r="I5522" s="455">
        <f t="shared" ca="1" si="190"/>
        <v>-3886534989095807.5</v>
      </c>
      <c r="J5522" s="455">
        <f t="array" ref="J5522">IFERROR(INDEX('Retirement Calculator'!K:K,MATCH('Lorri 401b'!N5522,'Retirement Calculator'!A:A,0),0),0)</f>
        <v>0</v>
      </c>
      <c r="K5522" s="455">
        <f t="shared" ca="1" si="188"/>
        <v>-16193895787899.199</v>
      </c>
      <c r="L5522" s="455">
        <f t="shared" ca="1" si="189"/>
        <v>-3902728884883706.5</v>
      </c>
      <c r="M5522" s="471">
        <f t="shared" si="191"/>
        <v>0.05</v>
      </c>
      <c r="N5522" s="475">
        <f t="shared" si="192"/>
        <v>219117</v>
      </c>
    </row>
    <row r="5523" spans="7:14" ht="11.25" customHeight="1" x14ac:dyDescent="0.3">
      <c r="G5523" s="470"/>
      <c r="H5523" s="470">
        <v>5516</v>
      </c>
      <c r="I5523" s="455">
        <f t="shared" ca="1" si="190"/>
        <v>-3902728884883706.5</v>
      </c>
      <c r="J5523" s="455">
        <f t="array" ref="J5523">IFERROR(INDEX('Retirement Calculator'!K:K,MATCH('Lorri 401b'!N5523,'Retirement Calculator'!A:A,0),0),0)</f>
        <v>0</v>
      </c>
      <c r="K5523" s="455">
        <f t="shared" ca="1" si="188"/>
        <v>-16261370353682.109</v>
      </c>
      <c r="L5523" s="455">
        <f t="shared" ca="1" si="189"/>
        <v>-3918990255237388.5</v>
      </c>
      <c r="M5523" s="471">
        <f t="shared" si="191"/>
        <v>0.05</v>
      </c>
      <c r="N5523" s="475">
        <f t="shared" si="192"/>
        <v>219148</v>
      </c>
    </row>
    <row r="5524" spans="7:14" ht="11.25" customHeight="1" x14ac:dyDescent="0.3">
      <c r="G5524" s="470"/>
      <c r="H5524" s="470">
        <v>5517</v>
      </c>
      <c r="I5524" s="455">
        <f t="shared" ca="1" si="190"/>
        <v>-3918990255237388.5</v>
      </c>
      <c r="J5524" s="455">
        <f t="array" ref="J5524">IFERROR(INDEX('Retirement Calculator'!K:K,MATCH('Lorri 401b'!N5524,'Retirement Calculator'!A:A,0),0),0)</f>
        <v>0</v>
      </c>
      <c r="K5524" s="455">
        <f t="shared" ca="1" si="188"/>
        <v>-16329126063489.119</v>
      </c>
      <c r="L5524" s="455">
        <f t="shared" ca="1" si="189"/>
        <v>-3935319381300877.5</v>
      </c>
      <c r="M5524" s="471">
        <f t="shared" si="191"/>
        <v>0.05</v>
      </c>
      <c r="N5524" s="475">
        <f t="shared" si="192"/>
        <v>219179</v>
      </c>
    </row>
    <row r="5525" spans="7:14" ht="11.25" customHeight="1" x14ac:dyDescent="0.3">
      <c r="G5525" s="470"/>
      <c r="H5525" s="470">
        <v>5518</v>
      </c>
      <c r="I5525" s="455">
        <f t="shared" ca="1" si="190"/>
        <v>-3935319381300877.5</v>
      </c>
      <c r="J5525" s="455">
        <f t="array" ref="J5525">IFERROR(INDEX('Retirement Calculator'!K:K,MATCH('Lorri 401b'!N5525,'Retirement Calculator'!A:A,0),0),0)</f>
        <v>0</v>
      </c>
      <c r="K5525" s="455">
        <f t="shared" ca="1" si="188"/>
        <v>-16397164088753.656</v>
      </c>
      <c r="L5525" s="455">
        <f t="shared" ca="1" si="189"/>
        <v>-3951716545389631</v>
      </c>
      <c r="M5525" s="471">
        <f t="shared" si="191"/>
        <v>0.05</v>
      </c>
      <c r="N5525" s="475">
        <f t="shared" si="192"/>
        <v>219207</v>
      </c>
    </row>
    <row r="5526" spans="7:14" ht="11.25" customHeight="1" x14ac:dyDescent="0.3">
      <c r="G5526" s="470"/>
      <c r="H5526" s="470">
        <v>5519</v>
      </c>
      <c r="I5526" s="455">
        <f t="shared" ca="1" si="190"/>
        <v>-3951716545389631</v>
      </c>
      <c r="J5526" s="455">
        <f t="array" ref="J5526">IFERROR(INDEX('Retirement Calculator'!K:K,MATCH('Lorri 401b'!N5526,'Retirement Calculator'!A:A,0),0),0)</f>
        <v>0</v>
      </c>
      <c r="K5526" s="455">
        <f t="shared" ca="1" si="188"/>
        <v>-16465485605790.129</v>
      </c>
      <c r="L5526" s="455">
        <f t="shared" ca="1" si="189"/>
        <v>-3968182030995421</v>
      </c>
      <c r="M5526" s="471">
        <f t="shared" si="191"/>
        <v>0.05</v>
      </c>
      <c r="N5526" s="475">
        <f t="shared" si="192"/>
        <v>219238</v>
      </c>
    </row>
    <row r="5527" spans="7:14" ht="11.25" customHeight="1" x14ac:dyDescent="0.3">
      <c r="G5527" s="470"/>
      <c r="H5527" s="470">
        <v>5520</v>
      </c>
      <c r="I5527" s="455">
        <f t="shared" ca="1" si="190"/>
        <v>-3968182030995421</v>
      </c>
      <c r="J5527" s="455">
        <f t="array" ref="J5527">IFERROR(INDEX('Retirement Calculator'!K:K,MATCH('Lorri 401b'!N5527,'Retirement Calculator'!A:A,0),0),0)</f>
        <v>0</v>
      </c>
      <c r="K5527" s="455">
        <f t="shared" ca="1" si="188"/>
        <v>-16534091795814.254</v>
      </c>
      <c r="L5527" s="455">
        <f t="shared" ca="1" si="189"/>
        <v>-3984716122791235.5</v>
      </c>
      <c r="M5527" s="471">
        <f t="shared" si="191"/>
        <v>0.05</v>
      </c>
      <c r="N5527" s="475">
        <f t="shared" si="192"/>
        <v>219268</v>
      </c>
    </row>
    <row r="5528" spans="7:14" ht="11.25" customHeight="1" x14ac:dyDescent="0.3">
      <c r="G5528" s="470"/>
      <c r="H5528" s="470">
        <v>5521</v>
      </c>
      <c r="I5528" s="455">
        <f t="shared" ca="1" si="190"/>
        <v>-3984716122791235.5</v>
      </c>
      <c r="J5528" s="455">
        <f t="array" ref="J5528">IFERROR(INDEX('Retirement Calculator'!K:K,MATCH('Lorri 401b'!N5528,'Retirement Calculator'!A:A,0),0),0)</f>
        <v>0</v>
      </c>
      <c r="K5528" s="455">
        <f t="shared" ca="1" si="188"/>
        <v>-16602983844963.482</v>
      </c>
      <c r="L5528" s="455">
        <f t="shared" ca="1" si="189"/>
        <v>-4001319106636199</v>
      </c>
      <c r="M5528" s="471">
        <f t="shared" si="191"/>
        <v>0.05</v>
      </c>
      <c r="N5528" s="475">
        <f t="shared" si="192"/>
        <v>219299</v>
      </c>
    </row>
    <row r="5529" spans="7:14" ht="11.25" customHeight="1" x14ac:dyDescent="0.3">
      <c r="G5529" s="470"/>
      <c r="H5529" s="470">
        <v>5522</v>
      </c>
      <c r="I5529" s="455">
        <f t="shared" ca="1" si="190"/>
        <v>-4001319106636199</v>
      </c>
      <c r="J5529" s="455">
        <f t="array" ref="J5529">IFERROR(INDEX('Retirement Calculator'!K:K,MATCH('Lorri 401b'!N5529,'Retirement Calculator'!A:A,0),0),0)</f>
        <v>0</v>
      </c>
      <c r="K5529" s="455">
        <f t="shared" ca="1" si="188"/>
        <v>-16672162944317.498</v>
      </c>
      <c r="L5529" s="455">
        <f t="shared" ca="1" si="189"/>
        <v>-4017991269580516.5</v>
      </c>
      <c r="M5529" s="471">
        <f t="shared" si="191"/>
        <v>0.05</v>
      </c>
      <c r="N5529" s="475">
        <f t="shared" si="192"/>
        <v>219329</v>
      </c>
    </row>
    <row r="5530" spans="7:14" ht="11.25" customHeight="1" x14ac:dyDescent="0.3">
      <c r="G5530" s="470"/>
      <c r="H5530" s="470">
        <v>5523</v>
      </c>
      <c r="I5530" s="455">
        <f t="shared" ca="1" si="190"/>
        <v>-4017991269580516.5</v>
      </c>
      <c r="J5530" s="455">
        <f t="array" ref="J5530">IFERROR(INDEX('Retirement Calculator'!K:K,MATCH('Lorri 401b'!N5530,'Retirement Calculator'!A:A,0),0),0)</f>
        <v>0</v>
      </c>
      <c r="K5530" s="455">
        <f t="shared" ca="1" si="188"/>
        <v>-16741630289918.818</v>
      </c>
      <c r="L5530" s="455">
        <f t="shared" ca="1" si="189"/>
        <v>-4034732899870435.5</v>
      </c>
      <c r="M5530" s="471">
        <f t="shared" si="191"/>
        <v>0.05</v>
      </c>
      <c r="N5530" s="475">
        <f t="shared" si="192"/>
        <v>219360</v>
      </c>
    </row>
    <row r="5531" spans="7:14" ht="11.25" customHeight="1" x14ac:dyDescent="0.3">
      <c r="G5531" s="470"/>
      <c r="H5531" s="470">
        <v>5524</v>
      </c>
      <c r="I5531" s="455">
        <f t="shared" ca="1" si="190"/>
        <v>-4034732899870435.5</v>
      </c>
      <c r="J5531" s="455">
        <f t="array" ref="J5531">IFERROR(INDEX('Retirement Calculator'!K:K,MATCH('Lorri 401b'!N5531,'Retirement Calculator'!A:A,0),0),0)</f>
        <v>0</v>
      </c>
      <c r="K5531" s="455">
        <f t="shared" ca="1" si="188"/>
        <v>-16811387082793.48</v>
      </c>
      <c r="L5531" s="455">
        <f t="shared" ca="1" si="189"/>
        <v>-4051544286953229</v>
      </c>
      <c r="M5531" s="471">
        <f t="shared" si="191"/>
        <v>0.05</v>
      </c>
      <c r="N5531" s="475">
        <f t="shared" si="192"/>
        <v>219391</v>
      </c>
    </row>
    <row r="5532" spans="7:14" ht="11.25" customHeight="1" x14ac:dyDescent="0.3">
      <c r="G5532" s="470"/>
      <c r="H5532" s="470">
        <v>5525</v>
      </c>
      <c r="I5532" s="455">
        <f t="shared" ca="1" si="190"/>
        <v>-4051544286953229</v>
      </c>
      <c r="J5532" s="455">
        <f t="array" ref="J5532">IFERROR(INDEX('Retirement Calculator'!K:K,MATCH('Lorri 401b'!N5532,'Retirement Calculator'!A:A,0),0),0)</f>
        <v>0</v>
      </c>
      <c r="K5532" s="455">
        <f t="shared" ca="1" si="188"/>
        <v>-16881434528971.787</v>
      </c>
      <c r="L5532" s="455">
        <f t="shared" ca="1" si="189"/>
        <v>-4068425721482201</v>
      </c>
      <c r="M5532" s="471">
        <f t="shared" si="191"/>
        <v>0.05</v>
      </c>
      <c r="N5532" s="475">
        <f t="shared" si="192"/>
        <v>219421</v>
      </c>
    </row>
    <row r="5533" spans="7:14" ht="11.25" customHeight="1" x14ac:dyDescent="0.3">
      <c r="G5533" s="470"/>
      <c r="H5533" s="470">
        <v>5526</v>
      </c>
      <c r="I5533" s="455">
        <f t="shared" ca="1" si="190"/>
        <v>-4068425721482201</v>
      </c>
      <c r="J5533" s="455">
        <f t="array" ref="J5533">IFERROR(INDEX('Retirement Calculator'!K:K,MATCH('Lorri 401b'!N5533,'Retirement Calculator'!A:A,0),0),0)</f>
        <v>0</v>
      </c>
      <c r="K5533" s="455">
        <f t="shared" ca="1" si="188"/>
        <v>-16951773839509.168</v>
      </c>
      <c r="L5533" s="455">
        <f t="shared" ca="1" si="189"/>
        <v>-4085377495321710</v>
      </c>
      <c r="M5533" s="471">
        <f t="shared" si="191"/>
        <v>0.05</v>
      </c>
      <c r="N5533" s="475">
        <f t="shared" si="192"/>
        <v>219452</v>
      </c>
    </row>
    <row r="5534" spans="7:14" ht="11.25" customHeight="1" x14ac:dyDescent="0.3">
      <c r="G5534" s="470"/>
      <c r="H5534" s="470">
        <v>5527</v>
      </c>
      <c r="I5534" s="455">
        <f t="shared" ca="1" si="190"/>
        <v>-4085377495321710</v>
      </c>
      <c r="J5534" s="455">
        <f t="array" ref="J5534">IFERROR(INDEX('Retirement Calculator'!K:K,MATCH('Lorri 401b'!N5534,'Retirement Calculator'!A:A,0),0),0)</f>
        <v>0</v>
      </c>
      <c r="K5534" s="455">
        <f t="shared" ca="1" si="188"/>
        <v>-17022406230507.125</v>
      </c>
      <c r="L5534" s="455">
        <f t="shared" ca="1" si="189"/>
        <v>-4102399901552217</v>
      </c>
      <c r="M5534" s="471">
        <f t="shared" si="191"/>
        <v>0.05</v>
      </c>
      <c r="N5534" s="475">
        <f t="shared" si="192"/>
        <v>219482</v>
      </c>
    </row>
    <row r="5535" spans="7:14" ht="11.25" customHeight="1" x14ac:dyDescent="0.3">
      <c r="G5535" s="470"/>
      <c r="H5535" s="470">
        <v>5528</v>
      </c>
      <c r="I5535" s="455">
        <f t="shared" ca="1" si="190"/>
        <v>-4102399901552217</v>
      </c>
      <c r="J5535" s="455">
        <f t="array" ref="J5535">IFERROR(INDEX('Retirement Calculator'!K:K,MATCH('Lorri 401b'!N5535,'Retirement Calculator'!A:A,0),0),0)</f>
        <v>0</v>
      </c>
      <c r="K5535" s="455">
        <f t="shared" ca="1" si="188"/>
        <v>-17093332923134.234</v>
      </c>
      <c r="L5535" s="455">
        <f t="shared" ca="1" si="189"/>
        <v>-4119493234475351</v>
      </c>
      <c r="M5535" s="471">
        <f t="shared" si="191"/>
        <v>0.05</v>
      </c>
      <c r="N5535" s="475">
        <f t="shared" si="192"/>
        <v>219513</v>
      </c>
    </row>
    <row r="5536" spans="7:14" ht="11.25" customHeight="1" x14ac:dyDescent="0.3">
      <c r="G5536" s="470"/>
      <c r="H5536" s="470">
        <v>5529</v>
      </c>
      <c r="I5536" s="455">
        <f t="shared" ca="1" si="190"/>
        <v>-4119493234475351</v>
      </c>
      <c r="J5536" s="455">
        <f t="array" ref="J5536">IFERROR(INDEX('Retirement Calculator'!K:K,MATCH('Lorri 401b'!N5536,'Retirement Calculator'!A:A,0),0),0)</f>
        <v>0</v>
      </c>
      <c r="K5536" s="455">
        <f t="shared" ca="1" si="188"/>
        <v>-17164555143647.293</v>
      </c>
      <c r="L5536" s="455">
        <f t="shared" ca="1" si="189"/>
        <v>-4136657789618998.5</v>
      </c>
      <c r="M5536" s="471">
        <f t="shared" si="191"/>
        <v>0.05</v>
      </c>
      <c r="N5536" s="475">
        <f t="shared" si="192"/>
        <v>219544</v>
      </c>
    </row>
    <row r="5537" spans="7:14" ht="11.25" customHeight="1" x14ac:dyDescent="0.3">
      <c r="G5537" s="470"/>
      <c r="H5537" s="470">
        <v>5530</v>
      </c>
      <c r="I5537" s="455">
        <f t="shared" ca="1" si="190"/>
        <v>-4136657789618998.5</v>
      </c>
      <c r="J5537" s="455">
        <f t="array" ref="J5537">IFERROR(INDEX('Retirement Calculator'!K:K,MATCH('Lorri 401b'!N5537,'Retirement Calculator'!A:A,0),0),0)</f>
        <v>0</v>
      </c>
      <c r="K5537" s="455">
        <f t="shared" ca="1" si="188"/>
        <v>-17236074123412.496</v>
      </c>
      <c r="L5537" s="455">
        <f t="shared" ca="1" si="189"/>
        <v>-4153893863742411</v>
      </c>
      <c r="M5537" s="471">
        <f t="shared" si="191"/>
        <v>0.05</v>
      </c>
      <c r="N5537" s="475">
        <f t="shared" si="192"/>
        <v>219572</v>
      </c>
    </row>
    <row r="5538" spans="7:14" ht="11.25" customHeight="1" x14ac:dyDescent="0.3">
      <c r="G5538" s="470"/>
      <c r="H5538" s="470">
        <v>5531</v>
      </c>
      <c r="I5538" s="455">
        <f t="shared" ca="1" si="190"/>
        <v>-4153893863742411</v>
      </c>
      <c r="J5538" s="455">
        <f t="array" ref="J5538">IFERROR(INDEX('Retirement Calculator'!K:K,MATCH('Lorri 401b'!N5538,'Retirement Calculator'!A:A,0),0),0)</f>
        <v>0</v>
      </c>
      <c r="K5538" s="455">
        <f t="shared" ca="1" si="188"/>
        <v>-17307891098926.713</v>
      </c>
      <c r="L5538" s="455">
        <f t="shared" ca="1" si="189"/>
        <v>-4171201754841337.5</v>
      </c>
      <c r="M5538" s="471">
        <f t="shared" si="191"/>
        <v>0.05</v>
      </c>
      <c r="N5538" s="475">
        <f t="shared" si="192"/>
        <v>219603</v>
      </c>
    </row>
    <row r="5539" spans="7:14" ht="11.25" customHeight="1" x14ac:dyDescent="0.3">
      <c r="G5539" s="470"/>
      <c r="H5539" s="470">
        <v>5532</v>
      </c>
      <c r="I5539" s="455">
        <f t="shared" ca="1" si="190"/>
        <v>-4171201754841337.5</v>
      </c>
      <c r="J5539" s="455">
        <f t="array" ref="J5539">IFERROR(INDEX('Retirement Calculator'!K:K,MATCH('Lorri 401b'!N5539,'Retirement Calculator'!A:A,0),0),0)</f>
        <v>0</v>
      </c>
      <c r="K5539" s="455">
        <f t="shared" ca="1" si="188"/>
        <v>-17380007311838.906</v>
      </c>
      <c r="L5539" s="455">
        <f t="shared" ca="1" si="189"/>
        <v>-4188581762153176.5</v>
      </c>
      <c r="M5539" s="471">
        <f t="shared" si="191"/>
        <v>0.05</v>
      </c>
      <c r="N5539" s="475">
        <f t="shared" si="192"/>
        <v>219633</v>
      </c>
    </row>
    <row r="5540" spans="7:14" ht="11.25" customHeight="1" x14ac:dyDescent="0.3">
      <c r="G5540" s="470"/>
      <c r="H5540" s="470">
        <v>5533</v>
      </c>
      <c r="I5540" s="455">
        <f t="shared" ca="1" si="190"/>
        <v>-4188581762153176.5</v>
      </c>
      <c r="J5540" s="455">
        <f t="array" ref="J5540">IFERROR(INDEX('Retirement Calculator'!K:K,MATCH('Lorri 401b'!N5540,'Retirement Calculator'!A:A,0),0),0)</f>
        <v>0</v>
      </c>
      <c r="K5540" s="455">
        <f t="shared" ca="1" si="188"/>
        <v>-17452424008971.568</v>
      </c>
      <c r="L5540" s="455">
        <f t="shared" ca="1" si="189"/>
        <v>-4206034186162148</v>
      </c>
      <c r="M5540" s="471">
        <f t="shared" si="191"/>
        <v>0.05</v>
      </c>
      <c r="N5540" s="475">
        <f t="shared" si="192"/>
        <v>219664</v>
      </c>
    </row>
    <row r="5541" spans="7:14" ht="11.25" customHeight="1" x14ac:dyDescent="0.3">
      <c r="G5541" s="470"/>
      <c r="H5541" s="470">
        <v>5534</v>
      </c>
      <c r="I5541" s="455">
        <f t="shared" ca="1" si="190"/>
        <v>-4206034186162148</v>
      </c>
      <c r="J5541" s="455">
        <f t="array" ref="J5541">IFERROR(INDEX('Retirement Calculator'!K:K,MATCH('Lorri 401b'!N5541,'Retirement Calculator'!A:A,0),0),0)</f>
        <v>0</v>
      </c>
      <c r="K5541" s="455">
        <f t="shared" ca="1" si="188"/>
        <v>-17525142442342.283</v>
      </c>
      <c r="L5541" s="455">
        <f t="shared" ca="1" si="189"/>
        <v>-4223559328604490.5</v>
      </c>
      <c r="M5541" s="471">
        <f t="shared" si="191"/>
        <v>0.05</v>
      </c>
      <c r="N5541" s="475">
        <f t="shared" si="192"/>
        <v>219694</v>
      </c>
    </row>
    <row r="5542" spans="7:14" ht="11.25" customHeight="1" x14ac:dyDescent="0.3">
      <c r="G5542" s="470"/>
      <c r="H5542" s="470">
        <v>5535</v>
      </c>
      <c r="I5542" s="455">
        <f t="shared" ca="1" si="190"/>
        <v>-4223559328604490.5</v>
      </c>
      <c r="J5542" s="455">
        <f t="array" ref="J5542">IFERROR(INDEX('Retirement Calculator'!K:K,MATCH('Lorri 401b'!N5542,'Retirement Calculator'!A:A,0),0),0)</f>
        <v>0</v>
      </c>
      <c r="K5542" s="455">
        <f t="shared" ca="1" si="188"/>
        <v>-17598163869185.379</v>
      </c>
      <c r="L5542" s="455">
        <f t="shared" ca="1" si="189"/>
        <v>-4241157492473676</v>
      </c>
      <c r="M5542" s="471">
        <f t="shared" si="191"/>
        <v>0.05</v>
      </c>
      <c r="N5542" s="475">
        <f t="shared" si="192"/>
        <v>219725</v>
      </c>
    </row>
    <row r="5543" spans="7:14" ht="11.25" customHeight="1" x14ac:dyDescent="0.3">
      <c r="G5543" s="470"/>
      <c r="H5543" s="470">
        <v>5536</v>
      </c>
      <c r="I5543" s="455">
        <f t="shared" ca="1" si="190"/>
        <v>-4241157492473676</v>
      </c>
      <c r="J5543" s="455">
        <f t="array" ref="J5543">IFERROR(INDEX('Retirement Calculator'!K:K,MATCH('Lorri 401b'!N5543,'Retirement Calculator'!A:A,0),0),0)</f>
        <v>0</v>
      </c>
      <c r="K5543" s="455">
        <f t="shared" ca="1" si="188"/>
        <v>-17671489551973.648</v>
      </c>
      <c r="L5543" s="455">
        <f t="shared" ca="1" si="189"/>
        <v>-4258828982025649.5</v>
      </c>
      <c r="M5543" s="471">
        <f t="shared" si="191"/>
        <v>0.05</v>
      </c>
      <c r="N5543" s="475">
        <f t="shared" si="192"/>
        <v>219756</v>
      </c>
    </row>
    <row r="5544" spans="7:14" ht="11.25" customHeight="1" x14ac:dyDescent="0.3">
      <c r="G5544" s="470"/>
      <c r="H5544" s="470">
        <v>5537</v>
      </c>
      <c r="I5544" s="455">
        <f t="shared" ca="1" si="190"/>
        <v>-4258828982025649.5</v>
      </c>
      <c r="J5544" s="455">
        <f t="array" ref="J5544">IFERROR(INDEX('Retirement Calculator'!K:K,MATCH('Lorri 401b'!N5544,'Retirement Calculator'!A:A,0),0),0)</f>
        <v>0</v>
      </c>
      <c r="K5544" s="455">
        <f t="shared" ca="1" si="188"/>
        <v>-17745120758440.207</v>
      </c>
      <c r="L5544" s="455">
        <f t="shared" ca="1" si="189"/>
        <v>-4276574102784089.5</v>
      </c>
      <c r="M5544" s="471">
        <f t="shared" si="191"/>
        <v>0.05</v>
      </c>
      <c r="N5544" s="475">
        <f t="shared" si="192"/>
        <v>219786</v>
      </c>
    </row>
    <row r="5545" spans="7:14" ht="11.25" customHeight="1" x14ac:dyDescent="0.3">
      <c r="G5545" s="470"/>
      <c r="H5545" s="470">
        <v>5538</v>
      </c>
      <c r="I5545" s="455">
        <f t="shared" ca="1" si="190"/>
        <v>-4276574102784089.5</v>
      </c>
      <c r="J5545" s="455">
        <f t="array" ref="J5545">IFERROR(INDEX('Retirement Calculator'!K:K,MATCH('Lorri 401b'!N5545,'Retirement Calculator'!A:A,0),0),0)</f>
        <v>0</v>
      </c>
      <c r="K5545" s="455">
        <f t="shared" ca="1" si="188"/>
        <v>-17819058761600.371</v>
      </c>
      <c r="L5545" s="455">
        <f t="shared" ca="1" si="189"/>
        <v>-4294393161545690</v>
      </c>
      <c r="M5545" s="471">
        <f t="shared" si="191"/>
        <v>0.05</v>
      </c>
      <c r="N5545" s="475">
        <f t="shared" si="192"/>
        <v>219817</v>
      </c>
    </row>
    <row r="5546" spans="7:14" ht="11.25" customHeight="1" x14ac:dyDescent="0.3">
      <c r="G5546" s="470"/>
      <c r="H5546" s="470">
        <v>5539</v>
      </c>
      <c r="I5546" s="455">
        <f t="shared" ca="1" si="190"/>
        <v>-4294393161545690</v>
      </c>
      <c r="J5546" s="455">
        <f t="array" ref="J5546">IFERROR(INDEX('Retirement Calculator'!K:K,MATCH('Lorri 401b'!N5546,'Retirement Calculator'!A:A,0),0),0)</f>
        <v>0</v>
      </c>
      <c r="K5546" s="455">
        <f t="shared" ca="1" si="188"/>
        <v>-17893304839773.711</v>
      </c>
      <c r="L5546" s="455">
        <f t="shared" ca="1" si="189"/>
        <v>-4312286466385463.5</v>
      </c>
      <c r="M5546" s="471">
        <f t="shared" si="191"/>
        <v>0.05</v>
      </c>
      <c r="N5546" s="475">
        <f t="shared" si="192"/>
        <v>219847</v>
      </c>
    </row>
    <row r="5547" spans="7:14" ht="11.25" customHeight="1" x14ac:dyDescent="0.3">
      <c r="G5547" s="470"/>
      <c r="H5547" s="470">
        <v>5540</v>
      </c>
      <c r="I5547" s="455">
        <f t="shared" ca="1" si="190"/>
        <v>-4312286466385463.5</v>
      </c>
      <c r="J5547" s="455">
        <f t="array" ref="J5547">IFERROR(INDEX('Retirement Calculator'!K:K,MATCH('Lorri 401b'!N5547,'Retirement Calculator'!A:A,0),0),0)</f>
        <v>0</v>
      </c>
      <c r="K5547" s="455">
        <f t="shared" ca="1" si="188"/>
        <v>-17967860276606.102</v>
      </c>
      <c r="L5547" s="455">
        <f t="shared" ca="1" si="189"/>
        <v>-4330254326662069.5</v>
      </c>
      <c r="M5547" s="471">
        <f t="shared" si="191"/>
        <v>0.05</v>
      </c>
      <c r="N5547" s="475">
        <f t="shared" si="192"/>
        <v>219878</v>
      </c>
    </row>
    <row r="5548" spans="7:14" ht="11.25" customHeight="1" x14ac:dyDescent="0.3">
      <c r="G5548" s="470"/>
      <c r="H5548" s="470">
        <v>5541</v>
      </c>
      <c r="I5548" s="455">
        <f t="shared" ca="1" si="190"/>
        <v>-4330254326662069.5</v>
      </c>
      <c r="J5548" s="455">
        <f t="array" ref="J5548">IFERROR(INDEX('Retirement Calculator'!K:K,MATCH('Lorri 401b'!N5548,'Retirement Calculator'!A:A,0),0),0)</f>
        <v>0</v>
      </c>
      <c r="K5548" s="455">
        <f t="shared" ca="1" si="188"/>
        <v>-18042726361091.957</v>
      </c>
      <c r="L5548" s="455">
        <f t="shared" ca="1" si="189"/>
        <v>-4348297053023161.5</v>
      </c>
      <c r="M5548" s="471">
        <f t="shared" si="191"/>
        <v>0.05</v>
      </c>
      <c r="N5548" s="475">
        <f t="shared" si="192"/>
        <v>219909</v>
      </c>
    </row>
    <row r="5549" spans="7:14" ht="11.25" customHeight="1" x14ac:dyDescent="0.3">
      <c r="G5549" s="470"/>
      <c r="H5549" s="470">
        <v>5542</v>
      </c>
      <c r="I5549" s="455">
        <f t="shared" ca="1" si="190"/>
        <v>-4348297053023161.5</v>
      </c>
      <c r="J5549" s="455">
        <f t="array" ref="J5549">IFERROR(INDEX('Retirement Calculator'!K:K,MATCH('Lorri 401b'!N5549,'Retirement Calculator'!A:A,0),0),0)</f>
        <v>0</v>
      </c>
      <c r="K5549" s="455">
        <f t="shared" ca="1" si="188"/>
        <v>-18117904387596.508</v>
      </c>
      <c r="L5549" s="455">
        <f t="shared" ca="1" si="189"/>
        <v>-4366414957410758</v>
      </c>
      <c r="M5549" s="471">
        <f t="shared" si="191"/>
        <v>0.05</v>
      </c>
      <c r="N5549" s="475">
        <f t="shared" si="192"/>
        <v>219937</v>
      </c>
    </row>
    <row r="5550" spans="7:14" ht="11.25" customHeight="1" x14ac:dyDescent="0.3">
      <c r="G5550" s="470"/>
      <c r="H5550" s="470">
        <v>5543</v>
      </c>
      <c r="I5550" s="455">
        <f t="shared" ca="1" si="190"/>
        <v>-4366414957410758</v>
      </c>
      <c r="J5550" s="455">
        <f t="array" ref="J5550">IFERROR(INDEX('Retirement Calculator'!K:K,MATCH('Lorri 401b'!N5550,'Retirement Calculator'!A:A,0),0),0)</f>
        <v>0</v>
      </c>
      <c r="K5550" s="455">
        <f t="shared" ca="1" si="188"/>
        <v>-18193395655878.156</v>
      </c>
      <c r="L5550" s="455">
        <f t="shared" ca="1" si="189"/>
        <v>-4384608353066636</v>
      </c>
      <c r="M5550" s="471">
        <f t="shared" si="191"/>
        <v>0.05</v>
      </c>
      <c r="N5550" s="475">
        <f t="shared" si="192"/>
        <v>219968</v>
      </c>
    </row>
    <row r="5551" spans="7:14" ht="11.25" customHeight="1" x14ac:dyDescent="0.3">
      <c r="G5551" s="470"/>
      <c r="H5551" s="470">
        <v>5544</v>
      </c>
      <c r="I5551" s="455">
        <f t="shared" ca="1" si="190"/>
        <v>-4384608353066636</v>
      </c>
      <c r="J5551" s="455">
        <f t="array" ref="J5551">IFERROR(INDEX('Retirement Calculator'!K:K,MATCH('Lorri 401b'!N5551,'Retirement Calculator'!A:A,0),0),0)</f>
        <v>0</v>
      </c>
      <c r="K5551" s="455">
        <f t="shared" ca="1" si="188"/>
        <v>-18269201471110.98</v>
      </c>
      <c r="L5551" s="455">
        <f t="shared" ca="1" si="189"/>
        <v>-4402877554537747</v>
      </c>
      <c r="M5551" s="471">
        <f t="shared" si="191"/>
        <v>0.05</v>
      </c>
      <c r="N5551" s="475">
        <f t="shared" si="192"/>
        <v>219998</v>
      </c>
    </row>
    <row r="5552" spans="7:14" ht="11.25" customHeight="1" x14ac:dyDescent="0.3">
      <c r="G5552" s="470"/>
      <c r="H5552" s="470">
        <v>5545</v>
      </c>
      <c r="I5552" s="455">
        <f t="shared" ca="1" si="190"/>
        <v>-4402877554537747</v>
      </c>
      <c r="J5552" s="455">
        <f t="array" ref="J5552">IFERROR(INDEX('Retirement Calculator'!K:K,MATCH('Lorri 401b'!N5552,'Retirement Calculator'!A:A,0),0),0)</f>
        <v>0</v>
      </c>
      <c r="K5552" s="455">
        <f t="shared" ca="1" si="188"/>
        <v>-18345323143907.277</v>
      </c>
      <c r="L5552" s="455">
        <f t="shared" ca="1" si="189"/>
        <v>-4421222877681654.5</v>
      </c>
      <c r="M5552" s="471">
        <f t="shared" si="191"/>
        <v>0.05</v>
      </c>
      <c r="N5552" s="475">
        <f t="shared" si="192"/>
        <v>220029</v>
      </c>
    </row>
    <row r="5553" spans="7:14" ht="11.25" customHeight="1" x14ac:dyDescent="0.3">
      <c r="G5553" s="470"/>
      <c r="H5553" s="470">
        <v>5546</v>
      </c>
      <c r="I5553" s="455">
        <f t="shared" ca="1" si="190"/>
        <v>-4421222877681654.5</v>
      </c>
      <c r="J5553" s="455">
        <f t="array" ref="J5553">IFERROR(INDEX('Retirement Calculator'!K:K,MATCH('Lorri 401b'!N5553,'Retirement Calculator'!A:A,0),0),0)</f>
        <v>0</v>
      </c>
      <c r="K5553" s="455">
        <f t="shared" ca="1" si="188"/>
        <v>-18421761990340.227</v>
      </c>
      <c r="L5553" s="455">
        <f t="shared" ca="1" si="189"/>
        <v>-4439644639671994.5</v>
      </c>
      <c r="M5553" s="471">
        <f t="shared" si="191"/>
        <v>0.05</v>
      </c>
      <c r="N5553" s="475">
        <f t="shared" si="192"/>
        <v>220059</v>
      </c>
    </row>
    <row r="5554" spans="7:14" ht="11.25" customHeight="1" x14ac:dyDescent="0.3">
      <c r="G5554" s="470"/>
      <c r="H5554" s="470">
        <v>5547</v>
      </c>
      <c r="I5554" s="455">
        <f t="shared" ca="1" si="190"/>
        <v>-4439644639671994.5</v>
      </c>
      <c r="J5554" s="455">
        <f t="array" ref="J5554">IFERROR(INDEX('Retirement Calculator'!K:K,MATCH('Lorri 401b'!N5554,'Retirement Calculator'!A:A,0),0),0)</f>
        <v>0</v>
      </c>
      <c r="K5554" s="455">
        <f t="shared" ca="1" si="188"/>
        <v>-18498519331966.645</v>
      </c>
      <c r="L5554" s="455">
        <f t="shared" ca="1" si="189"/>
        <v>-4458143159003961</v>
      </c>
      <c r="M5554" s="471">
        <f t="shared" si="191"/>
        <v>0.05</v>
      </c>
      <c r="N5554" s="475">
        <f t="shared" si="192"/>
        <v>220090</v>
      </c>
    </row>
    <row r="5555" spans="7:14" ht="11.25" customHeight="1" x14ac:dyDescent="0.3">
      <c r="G5555" s="470"/>
      <c r="H5555" s="470">
        <v>5548</v>
      </c>
      <c r="I5555" s="455">
        <f t="shared" ca="1" si="190"/>
        <v>-4458143159003961</v>
      </c>
      <c r="J5555" s="455">
        <f t="array" ref="J5555">IFERROR(INDEX('Retirement Calculator'!K:K,MATCH('Lorri 401b'!N5555,'Retirement Calculator'!A:A,0),0),0)</f>
        <v>0</v>
      </c>
      <c r="K5555" s="455">
        <f t="shared" ca="1" si="188"/>
        <v>-18575596495849.84</v>
      </c>
      <c r="L5555" s="455">
        <f t="shared" ca="1" si="189"/>
        <v>-4476718755499811</v>
      </c>
      <c r="M5555" s="471">
        <f t="shared" si="191"/>
        <v>0.05</v>
      </c>
      <c r="N5555" s="475">
        <f t="shared" si="192"/>
        <v>220121</v>
      </c>
    </row>
    <row r="5556" spans="7:14" ht="11.25" customHeight="1" x14ac:dyDescent="0.3">
      <c r="G5556" s="470"/>
      <c r="H5556" s="470">
        <v>5549</v>
      </c>
      <c r="I5556" s="455">
        <f t="shared" ca="1" si="190"/>
        <v>-4476718755499811</v>
      </c>
      <c r="J5556" s="455">
        <f t="array" ref="J5556">IFERROR(INDEX('Retirement Calculator'!K:K,MATCH('Lorri 401b'!N5556,'Retirement Calculator'!A:A,0),0),0)</f>
        <v>0</v>
      </c>
      <c r="K5556" s="455">
        <f t="shared" ca="1" si="188"/>
        <v>-18652994814582.547</v>
      </c>
      <c r="L5556" s="455">
        <f t="shared" ca="1" si="189"/>
        <v>-4495371750314393.5</v>
      </c>
      <c r="M5556" s="471">
        <f t="shared" si="191"/>
        <v>0.05</v>
      </c>
      <c r="N5556" s="475">
        <f t="shared" si="192"/>
        <v>220151</v>
      </c>
    </row>
    <row r="5557" spans="7:14" ht="11.25" customHeight="1" x14ac:dyDescent="0.3">
      <c r="G5557" s="470"/>
      <c r="H5557" s="470">
        <v>5550</v>
      </c>
      <c r="I5557" s="455">
        <f t="shared" ca="1" si="190"/>
        <v>-4495371750314393.5</v>
      </c>
      <c r="J5557" s="455">
        <f t="array" ref="J5557">IFERROR(INDEX('Retirement Calculator'!K:K,MATCH('Lorri 401b'!N5557,'Retirement Calculator'!A:A,0),0),0)</f>
        <v>0</v>
      </c>
      <c r="K5557" s="455">
        <f t="shared" ca="1" si="188"/>
        <v>-18730715626309.977</v>
      </c>
      <c r="L5557" s="455">
        <f t="shared" ca="1" si="189"/>
        <v>-4514102465940703</v>
      </c>
      <c r="M5557" s="471">
        <f t="shared" si="191"/>
        <v>0.05</v>
      </c>
      <c r="N5557" s="475">
        <f t="shared" si="192"/>
        <v>220182</v>
      </c>
    </row>
    <row r="5558" spans="7:14" ht="11.25" customHeight="1" x14ac:dyDescent="0.3">
      <c r="G5558" s="470"/>
      <c r="H5558" s="470">
        <v>5551</v>
      </c>
      <c r="I5558" s="455">
        <f t="shared" ca="1" si="190"/>
        <v>-4514102465940703</v>
      </c>
      <c r="J5558" s="455">
        <f t="array" ref="J5558">IFERROR(INDEX('Retirement Calculator'!K:K,MATCH('Lorri 401b'!N5558,'Retirement Calculator'!A:A,0),0),0)</f>
        <v>0</v>
      </c>
      <c r="K5558" s="455">
        <f t="shared" ca="1" si="188"/>
        <v>-18808760274752.93</v>
      </c>
      <c r="L5558" s="455">
        <f t="shared" ca="1" si="189"/>
        <v>-4532911226215456</v>
      </c>
      <c r="M5558" s="471">
        <f t="shared" si="191"/>
        <v>0.05</v>
      </c>
      <c r="N5558" s="475">
        <f t="shared" si="192"/>
        <v>220212</v>
      </c>
    </row>
    <row r="5559" spans="7:14" ht="11.25" customHeight="1" x14ac:dyDescent="0.3">
      <c r="G5559" s="470"/>
      <c r="H5559" s="470">
        <v>5552</v>
      </c>
      <c r="I5559" s="455">
        <f t="shared" ca="1" si="190"/>
        <v>-4532911226215456</v>
      </c>
      <c r="J5559" s="455">
        <f t="array" ref="J5559">IFERROR(INDEX('Retirement Calculator'!K:K,MATCH('Lorri 401b'!N5559,'Retirement Calculator'!A:A,0),0),0)</f>
        <v>0</v>
      </c>
      <c r="K5559" s="455">
        <f t="shared" ca="1" si="188"/>
        <v>-18887130109231.066</v>
      </c>
      <c r="L5559" s="455">
        <f t="shared" ca="1" si="189"/>
        <v>-4551798356324687</v>
      </c>
      <c r="M5559" s="471">
        <f t="shared" si="191"/>
        <v>0.05</v>
      </c>
      <c r="N5559" s="475">
        <f t="shared" si="192"/>
        <v>220243</v>
      </c>
    </row>
    <row r="5560" spans="7:14" ht="11.25" customHeight="1" x14ac:dyDescent="0.3">
      <c r="G5560" s="470"/>
      <c r="H5560" s="470">
        <v>5553</v>
      </c>
      <c r="I5560" s="455">
        <f t="shared" ca="1" si="190"/>
        <v>-4551798356324687</v>
      </c>
      <c r="J5560" s="455">
        <f t="array" ref="J5560">IFERROR(INDEX('Retirement Calculator'!K:K,MATCH('Lorri 401b'!N5560,'Retirement Calculator'!A:A,0),0),0)</f>
        <v>0</v>
      </c>
      <c r="K5560" s="455">
        <f t="shared" ca="1" si="188"/>
        <v>-18965826484686.195</v>
      </c>
      <c r="L5560" s="455">
        <f t="shared" ca="1" si="189"/>
        <v>-4570764182809373</v>
      </c>
      <c r="M5560" s="471">
        <f t="shared" si="191"/>
        <v>0.05</v>
      </c>
      <c r="N5560" s="475">
        <f t="shared" si="192"/>
        <v>220274</v>
      </c>
    </row>
    <row r="5561" spans="7:14" ht="11.25" customHeight="1" x14ac:dyDescent="0.3">
      <c r="G5561" s="470"/>
      <c r="H5561" s="470">
        <v>5554</v>
      </c>
      <c r="I5561" s="455">
        <f t="shared" ca="1" si="190"/>
        <v>-4570764182809373</v>
      </c>
      <c r="J5561" s="455">
        <f t="array" ref="J5561">IFERROR(INDEX('Retirement Calculator'!K:K,MATCH('Lorri 401b'!N5561,'Retirement Calculator'!A:A,0),0),0)</f>
        <v>0</v>
      </c>
      <c r="K5561" s="455">
        <f t="shared" ca="1" si="188"/>
        <v>-19044850761705.719</v>
      </c>
      <c r="L5561" s="455">
        <f t="shared" ca="1" si="189"/>
        <v>-4589809033571079</v>
      </c>
      <c r="M5561" s="471">
        <f t="shared" si="191"/>
        <v>0.05</v>
      </c>
      <c r="N5561" s="475">
        <f t="shared" si="192"/>
        <v>220302</v>
      </c>
    </row>
    <row r="5562" spans="7:14" ht="11.25" customHeight="1" x14ac:dyDescent="0.3">
      <c r="G5562" s="470"/>
      <c r="H5562" s="470">
        <v>5555</v>
      </c>
      <c r="I5562" s="455">
        <f t="shared" ca="1" si="190"/>
        <v>-4589809033571079</v>
      </c>
      <c r="J5562" s="455">
        <f t="array" ref="J5562">IFERROR(INDEX('Retirement Calculator'!K:K,MATCH('Lorri 401b'!N5562,'Retirement Calculator'!A:A,0),0),0)</f>
        <v>0</v>
      </c>
      <c r="K5562" s="455">
        <f t="shared" ca="1" si="188"/>
        <v>-19124204306546.164</v>
      </c>
      <c r="L5562" s="455">
        <f t="shared" ca="1" si="189"/>
        <v>-4608933237877625</v>
      </c>
      <c r="M5562" s="471">
        <f t="shared" si="191"/>
        <v>0.05</v>
      </c>
      <c r="N5562" s="475">
        <f t="shared" si="192"/>
        <v>220333</v>
      </c>
    </row>
    <row r="5563" spans="7:14" ht="11.25" customHeight="1" x14ac:dyDescent="0.3">
      <c r="G5563" s="470"/>
      <c r="H5563" s="470">
        <v>5556</v>
      </c>
      <c r="I5563" s="455">
        <f t="shared" ca="1" si="190"/>
        <v>-4608933237877625</v>
      </c>
      <c r="J5563" s="455">
        <f t="array" ref="J5563">IFERROR(INDEX('Retirement Calculator'!K:K,MATCH('Lorri 401b'!N5563,'Retirement Calculator'!A:A,0),0),0)</f>
        <v>0</v>
      </c>
      <c r="K5563" s="455">
        <f t="shared" ca="1" si="188"/>
        <v>-19203888491156.77</v>
      </c>
      <c r="L5563" s="455">
        <f t="shared" ca="1" si="189"/>
        <v>-4628137126368782</v>
      </c>
      <c r="M5563" s="471">
        <f t="shared" si="191"/>
        <v>0.05</v>
      </c>
      <c r="N5563" s="475">
        <f t="shared" si="192"/>
        <v>220363</v>
      </c>
    </row>
    <row r="5564" spans="7:14" ht="11.25" customHeight="1" x14ac:dyDescent="0.3">
      <c r="G5564" s="470"/>
      <c r="H5564" s="470">
        <v>5557</v>
      </c>
      <c r="I5564" s="455">
        <f t="shared" ca="1" si="190"/>
        <v>-4628137126368782</v>
      </c>
      <c r="J5564" s="455">
        <f t="array" ref="J5564">IFERROR(INDEX('Retirement Calculator'!K:K,MATCH('Lorri 401b'!N5564,'Retirement Calculator'!A:A,0),0),0)</f>
        <v>0</v>
      </c>
      <c r="K5564" s="455">
        <f t="shared" ca="1" si="188"/>
        <v>-19283904693203.258</v>
      </c>
      <c r="L5564" s="455">
        <f t="shared" ca="1" si="189"/>
        <v>-4647421031061985</v>
      </c>
      <c r="M5564" s="471">
        <f t="shared" si="191"/>
        <v>0.05</v>
      </c>
      <c r="N5564" s="475">
        <f t="shared" si="192"/>
        <v>220394</v>
      </c>
    </row>
    <row r="5565" spans="7:14" ht="11.25" customHeight="1" x14ac:dyDescent="0.3">
      <c r="G5565" s="470"/>
      <c r="H5565" s="470">
        <v>5558</v>
      </c>
      <c r="I5565" s="455">
        <f t="shared" ca="1" si="190"/>
        <v>-4647421031061985</v>
      </c>
      <c r="J5565" s="455">
        <f t="array" ref="J5565">IFERROR(INDEX('Retirement Calculator'!K:K,MATCH('Lorri 401b'!N5565,'Retirement Calculator'!A:A,0),0),0)</f>
        <v>0</v>
      </c>
      <c r="K5565" s="455">
        <f t="shared" ca="1" si="188"/>
        <v>-19364254296091.605</v>
      </c>
      <c r="L5565" s="455">
        <f t="shared" ca="1" si="189"/>
        <v>-4666785285358077</v>
      </c>
      <c r="M5565" s="471">
        <f t="shared" si="191"/>
        <v>0.05</v>
      </c>
      <c r="N5565" s="475">
        <f t="shared" si="192"/>
        <v>220424</v>
      </c>
    </row>
    <row r="5566" spans="7:14" ht="11.25" customHeight="1" x14ac:dyDescent="0.3">
      <c r="G5566" s="470"/>
      <c r="H5566" s="470">
        <v>5559</v>
      </c>
      <c r="I5566" s="455">
        <f t="shared" ca="1" si="190"/>
        <v>-4666785285358077</v>
      </c>
      <c r="J5566" s="455">
        <f t="array" ref="J5566">IFERROR(INDEX('Retirement Calculator'!K:K,MATCH('Lorri 401b'!N5566,'Retirement Calculator'!A:A,0),0),0)</f>
        <v>0</v>
      </c>
      <c r="K5566" s="455">
        <f t="shared" ca="1" si="188"/>
        <v>-19444938688991.988</v>
      </c>
      <c r="L5566" s="455">
        <f t="shared" ca="1" si="189"/>
        <v>-4686230224047069</v>
      </c>
      <c r="M5566" s="471">
        <f t="shared" si="191"/>
        <v>0.05</v>
      </c>
      <c r="N5566" s="475">
        <f t="shared" si="192"/>
        <v>220455</v>
      </c>
    </row>
    <row r="5567" spans="7:14" ht="11.25" customHeight="1" x14ac:dyDescent="0.3">
      <c r="G5567" s="470"/>
      <c r="H5567" s="470">
        <v>5560</v>
      </c>
      <c r="I5567" s="455">
        <f t="shared" ca="1" si="190"/>
        <v>-4686230224047069</v>
      </c>
      <c r="J5567" s="455">
        <f t="array" ref="J5567">IFERROR(INDEX('Retirement Calculator'!K:K,MATCH('Lorri 401b'!N5567,'Retirement Calculator'!A:A,0),0),0)</f>
        <v>0</v>
      </c>
      <c r="K5567" s="455">
        <f t="shared" ca="1" si="188"/>
        <v>-19525959266862.789</v>
      </c>
      <c r="L5567" s="455">
        <f t="shared" ca="1" si="189"/>
        <v>-4705756183313932</v>
      </c>
      <c r="M5567" s="471">
        <f t="shared" si="191"/>
        <v>0.05</v>
      </c>
      <c r="N5567" s="475">
        <f t="shared" si="192"/>
        <v>220486</v>
      </c>
    </row>
    <row r="5568" spans="7:14" ht="11.25" customHeight="1" x14ac:dyDescent="0.3">
      <c r="G5568" s="470"/>
      <c r="H5568" s="470">
        <v>5561</v>
      </c>
      <c r="I5568" s="455">
        <f t="shared" ca="1" si="190"/>
        <v>-4705756183313932</v>
      </c>
      <c r="J5568" s="455">
        <f t="array" ref="J5568">IFERROR(INDEX('Retirement Calculator'!K:K,MATCH('Lorri 401b'!N5568,'Retirement Calculator'!A:A,0),0),0)</f>
        <v>0</v>
      </c>
      <c r="K5568" s="455">
        <f t="shared" ca="1" si="188"/>
        <v>-19607317430474.715</v>
      </c>
      <c r="L5568" s="455">
        <f t="shared" ca="1" si="189"/>
        <v>-4725363500744407</v>
      </c>
      <c r="M5568" s="471">
        <f t="shared" si="191"/>
        <v>0.05</v>
      </c>
      <c r="N5568" s="475">
        <f t="shared" si="192"/>
        <v>220516</v>
      </c>
    </row>
    <row r="5569" spans="7:14" ht="11.25" customHeight="1" x14ac:dyDescent="0.3">
      <c r="G5569" s="470"/>
      <c r="H5569" s="470">
        <v>5562</v>
      </c>
      <c r="I5569" s="455">
        <f t="shared" ca="1" si="190"/>
        <v>-4725363500744407</v>
      </c>
      <c r="J5569" s="455">
        <f t="array" ref="J5569">IFERROR(INDEX('Retirement Calculator'!K:K,MATCH('Lorri 401b'!N5569,'Retirement Calculator'!A:A,0),0),0)</f>
        <v>0</v>
      </c>
      <c r="K5569" s="455">
        <f t="shared" ca="1" si="188"/>
        <v>-19689014586435.027</v>
      </c>
      <c r="L5569" s="455">
        <f t="shared" ca="1" si="189"/>
        <v>-4745052515330842</v>
      </c>
      <c r="M5569" s="471">
        <f t="shared" si="191"/>
        <v>0.05</v>
      </c>
      <c r="N5569" s="475">
        <f t="shared" si="192"/>
        <v>220547</v>
      </c>
    </row>
    <row r="5570" spans="7:14" ht="11.25" customHeight="1" x14ac:dyDescent="0.3">
      <c r="G5570" s="470"/>
      <c r="H5570" s="470">
        <v>5563</v>
      </c>
      <c r="I5570" s="455">
        <f t="shared" ca="1" si="190"/>
        <v>-4745052515330842</v>
      </c>
      <c r="J5570" s="455">
        <f t="array" ref="J5570">IFERROR(INDEX('Retirement Calculator'!K:K,MATCH('Lorri 401b'!N5570,'Retirement Calculator'!A:A,0),0),0)</f>
        <v>0</v>
      </c>
      <c r="K5570" s="455">
        <f t="shared" ca="1" si="188"/>
        <v>-19771052147211.84</v>
      </c>
      <c r="L5570" s="455">
        <f t="shared" ca="1" si="189"/>
        <v>-4764823567478054</v>
      </c>
      <c r="M5570" s="471">
        <f t="shared" si="191"/>
        <v>0.05</v>
      </c>
      <c r="N5570" s="475">
        <f t="shared" si="192"/>
        <v>220577</v>
      </c>
    </row>
    <row r="5571" spans="7:14" ht="11.25" customHeight="1" x14ac:dyDescent="0.3">
      <c r="G5571" s="470"/>
      <c r="H5571" s="470">
        <v>5564</v>
      </c>
      <c r="I5571" s="455">
        <f t="shared" ca="1" si="190"/>
        <v>-4764823567478054</v>
      </c>
      <c r="J5571" s="455">
        <f t="array" ref="J5571">IFERROR(INDEX('Retirement Calculator'!K:K,MATCH('Lorri 401b'!N5571,'Retirement Calculator'!A:A,0),0),0)</f>
        <v>0</v>
      </c>
      <c r="K5571" s="455">
        <f t="shared" ca="1" si="188"/>
        <v>-19853431531158.559</v>
      </c>
      <c r="L5571" s="455">
        <f t="shared" ca="1" si="189"/>
        <v>-4784676999009213</v>
      </c>
      <c r="M5571" s="471">
        <f t="shared" si="191"/>
        <v>0.05</v>
      </c>
      <c r="N5571" s="475">
        <f t="shared" si="192"/>
        <v>220608</v>
      </c>
    </row>
    <row r="5572" spans="7:14" ht="11.25" customHeight="1" x14ac:dyDescent="0.3">
      <c r="G5572" s="470"/>
      <c r="H5572" s="470">
        <v>5565</v>
      </c>
      <c r="I5572" s="455">
        <f t="shared" ca="1" si="190"/>
        <v>-4784676999009213</v>
      </c>
      <c r="J5572" s="455">
        <f t="array" ref="J5572">IFERROR(INDEX('Retirement Calculator'!K:K,MATCH('Lorri 401b'!N5572,'Retirement Calculator'!A:A,0),0),0)</f>
        <v>0</v>
      </c>
      <c r="K5572" s="455">
        <f t="shared" ca="1" si="188"/>
        <v>-19936154162538.387</v>
      </c>
      <c r="L5572" s="455">
        <f t="shared" ca="1" si="189"/>
        <v>-4804613153171751</v>
      </c>
      <c r="M5572" s="471">
        <f t="shared" si="191"/>
        <v>0.05</v>
      </c>
      <c r="N5572" s="475">
        <f t="shared" si="192"/>
        <v>220639</v>
      </c>
    </row>
    <row r="5573" spans="7:14" ht="11.25" customHeight="1" x14ac:dyDescent="0.3">
      <c r="G5573" s="470"/>
      <c r="H5573" s="470">
        <v>5566</v>
      </c>
      <c r="I5573" s="455">
        <f t="shared" ca="1" si="190"/>
        <v>-4804613153171751</v>
      </c>
      <c r="J5573" s="455">
        <f t="array" ref="J5573">IFERROR(INDEX('Retirement Calculator'!K:K,MATCH('Lorri 401b'!N5573,'Retirement Calculator'!A:A,0),0),0)</f>
        <v>0</v>
      </c>
      <c r="K5573" s="455">
        <f t="shared" ca="1" si="188"/>
        <v>-20019221471548.961</v>
      </c>
      <c r="L5573" s="455">
        <f t="shared" ca="1" si="189"/>
        <v>-4824632374643300</v>
      </c>
      <c r="M5573" s="471">
        <f t="shared" si="191"/>
        <v>0.05</v>
      </c>
      <c r="N5573" s="475">
        <f t="shared" si="192"/>
        <v>220668</v>
      </c>
    </row>
    <row r="5574" spans="7:14" ht="11.25" customHeight="1" x14ac:dyDescent="0.3">
      <c r="G5574" s="470"/>
      <c r="H5574" s="470">
        <v>5567</v>
      </c>
      <c r="I5574" s="455">
        <f t="shared" ca="1" si="190"/>
        <v>-4824632374643300</v>
      </c>
      <c r="J5574" s="455">
        <f t="array" ref="J5574">IFERROR(INDEX('Retirement Calculator'!K:K,MATCH('Lorri 401b'!N5574,'Retirement Calculator'!A:A,0),0),0)</f>
        <v>0</v>
      </c>
      <c r="K5574" s="455">
        <f t="shared" ca="1" si="188"/>
        <v>-20102634894347.082</v>
      </c>
      <c r="L5574" s="455">
        <f t="shared" ca="1" si="189"/>
        <v>-4844735009537647</v>
      </c>
      <c r="M5574" s="471">
        <f t="shared" si="191"/>
        <v>0.05</v>
      </c>
      <c r="N5574" s="475">
        <f t="shared" si="192"/>
        <v>220699</v>
      </c>
    </row>
    <row r="5575" spans="7:14" ht="11.25" customHeight="1" x14ac:dyDescent="0.3">
      <c r="G5575" s="470"/>
      <c r="H5575" s="470">
        <v>5568</v>
      </c>
      <c r="I5575" s="455">
        <f t="shared" ca="1" si="190"/>
        <v>-4844735009537647</v>
      </c>
      <c r="J5575" s="455">
        <f t="array" ref="J5575">IFERROR(INDEX('Retirement Calculator'!K:K,MATCH('Lorri 401b'!N5575,'Retirement Calculator'!A:A,0),0),0)</f>
        <v>0</v>
      </c>
      <c r="K5575" s="455">
        <f t="shared" ca="1" si="188"/>
        <v>-20186395873073.527</v>
      </c>
      <c r="L5575" s="455">
        <f t="shared" ca="1" si="189"/>
        <v>-4864921405410721</v>
      </c>
      <c r="M5575" s="471">
        <f t="shared" si="191"/>
        <v>0.05</v>
      </c>
      <c r="N5575" s="475">
        <f t="shared" si="192"/>
        <v>220729</v>
      </c>
    </row>
    <row r="5576" spans="7:14" ht="11.25" customHeight="1" x14ac:dyDescent="0.3">
      <c r="G5576" s="470"/>
      <c r="H5576" s="470">
        <v>5569</v>
      </c>
      <c r="I5576" s="455">
        <f t="shared" ca="1" si="190"/>
        <v>-4864921405410721</v>
      </c>
      <c r="J5576" s="455">
        <f t="array" ref="J5576">IFERROR(INDEX('Retirement Calculator'!K:K,MATCH('Lorri 401b'!N5576,'Retirement Calculator'!A:A,0),0),0)</f>
        <v>0</v>
      </c>
      <c r="K5576" s="455">
        <f t="shared" ca="1" si="188"/>
        <v>-20270505855878.004</v>
      </c>
      <c r="L5576" s="455">
        <f t="shared" ca="1" si="189"/>
        <v>-4885191911266599</v>
      </c>
      <c r="M5576" s="471">
        <f t="shared" si="191"/>
        <v>0.05</v>
      </c>
      <c r="N5576" s="475">
        <f t="shared" si="192"/>
        <v>220760</v>
      </c>
    </row>
    <row r="5577" spans="7:14" ht="11.25" customHeight="1" x14ac:dyDescent="0.3">
      <c r="G5577" s="470"/>
      <c r="H5577" s="470">
        <v>5570</v>
      </c>
      <c r="I5577" s="455">
        <f t="shared" ca="1" si="190"/>
        <v>-4885191911266599</v>
      </c>
      <c r="J5577" s="455">
        <f t="array" ref="J5577">IFERROR(INDEX('Retirement Calculator'!K:K,MATCH('Lorri 401b'!N5577,'Retirement Calculator'!A:A,0),0),0)</f>
        <v>0</v>
      </c>
      <c r="K5577" s="455">
        <f t="shared" ca="1" si="188"/>
        <v>-20354966296944.164</v>
      </c>
      <c r="L5577" s="455">
        <f t="shared" ca="1" si="189"/>
        <v>-4905546877563543</v>
      </c>
      <c r="M5577" s="471">
        <f t="shared" si="191"/>
        <v>0.05</v>
      </c>
      <c r="N5577" s="475">
        <f t="shared" si="192"/>
        <v>220790</v>
      </c>
    </row>
    <row r="5578" spans="7:14" ht="11.25" customHeight="1" x14ac:dyDescent="0.3">
      <c r="G5578" s="470"/>
      <c r="H5578" s="470">
        <v>5571</v>
      </c>
      <c r="I5578" s="455">
        <f t="shared" ca="1" si="190"/>
        <v>-4905546877563543</v>
      </c>
      <c r="J5578" s="455">
        <f t="array" ref="J5578">IFERROR(INDEX('Retirement Calculator'!K:K,MATCH('Lorri 401b'!N5578,'Retirement Calculator'!A:A,0),0),0)</f>
        <v>0</v>
      </c>
      <c r="K5578" s="455">
        <f t="shared" ca="1" si="188"/>
        <v>-20439778656514.762</v>
      </c>
      <c r="L5578" s="455">
        <f t="shared" ca="1" si="189"/>
        <v>-4925986656220058</v>
      </c>
      <c r="M5578" s="471">
        <f t="shared" si="191"/>
        <v>0.05</v>
      </c>
      <c r="N5578" s="475">
        <f t="shared" si="192"/>
        <v>220821</v>
      </c>
    </row>
    <row r="5579" spans="7:14" ht="11.25" customHeight="1" x14ac:dyDescent="0.3">
      <c r="G5579" s="470"/>
      <c r="H5579" s="470">
        <v>5572</v>
      </c>
      <c r="I5579" s="455">
        <f t="shared" ca="1" si="190"/>
        <v>-4925986656220058</v>
      </c>
      <c r="J5579" s="455">
        <f t="array" ref="J5579">IFERROR(INDEX('Retirement Calculator'!K:K,MATCH('Lorri 401b'!N5579,'Retirement Calculator'!A:A,0),0),0)</f>
        <v>0</v>
      </c>
      <c r="K5579" s="455">
        <f t="shared" ca="1" si="188"/>
        <v>-20524944400916.906</v>
      </c>
      <c r="L5579" s="455">
        <f t="shared" ca="1" si="189"/>
        <v>-4946511600620975</v>
      </c>
      <c r="M5579" s="471">
        <f t="shared" si="191"/>
        <v>0.05</v>
      </c>
      <c r="N5579" s="475">
        <f t="shared" si="192"/>
        <v>220852</v>
      </c>
    </row>
    <row r="5580" spans="7:14" ht="11.25" customHeight="1" x14ac:dyDescent="0.3">
      <c r="G5580" s="470"/>
      <c r="H5580" s="470">
        <v>5573</v>
      </c>
      <c r="I5580" s="455">
        <f t="shared" ca="1" si="190"/>
        <v>-4946511600620975</v>
      </c>
      <c r="J5580" s="455">
        <f t="array" ref="J5580">IFERROR(INDEX('Retirement Calculator'!K:K,MATCH('Lorri 401b'!N5580,'Retirement Calculator'!A:A,0),0),0)</f>
        <v>0</v>
      </c>
      <c r="K5580" s="455">
        <f t="shared" ca="1" si="188"/>
        <v>-20610465002587.395</v>
      </c>
      <c r="L5580" s="455">
        <f t="shared" ca="1" si="189"/>
        <v>-4967122065623562</v>
      </c>
      <c r="M5580" s="471">
        <f t="shared" si="191"/>
        <v>0.05</v>
      </c>
      <c r="N5580" s="475">
        <f t="shared" si="192"/>
        <v>220882</v>
      </c>
    </row>
    <row r="5581" spans="7:14" ht="11.25" customHeight="1" x14ac:dyDescent="0.3">
      <c r="G5581" s="470"/>
      <c r="H5581" s="470">
        <v>5574</v>
      </c>
      <c r="I5581" s="455">
        <f t="shared" ca="1" si="190"/>
        <v>-4967122065623562</v>
      </c>
      <c r="J5581" s="455">
        <f t="array" ref="J5581">IFERROR(INDEX('Retirement Calculator'!K:K,MATCH('Lorri 401b'!N5581,'Retirement Calculator'!A:A,0),0),0)</f>
        <v>0</v>
      </c>
      <c r="K5581" s="455">
        <f t="shared" ca="1" si="188"/>
        <v>-20696341940098.176</v>
      </c>
      <c r="L5581" s="455">
        <f t="shared" ca="1" si="189"/>
        <v>-4987818407563660</v>
      </c>
      <c r="M5581" s="471">
        <f t="shared" si="191"/>
        <v>0.05</v>
      </c>
      <c r="N5581" s="475">
        <f t="shared" si="192"/>
        <v>220913</v>
      </c>
    </row>
    <row r="5582" spans="7:14" ht="11.25" customHeight="1" x14ac:dyDescent="0.3">
      <c r="G5582" s="470"/>
      <c r="H5582" s="470">
        <v>5575</v>
      </c>
      <c r="I5582" s="455">
        <f t="shared" ca="1" si="190"/>
        <v>-4987818407563660</v>
      </c>
      <c r="J5582" s="455">
        <f t="array" ref="J5582">IFERROR(INDEX('Retirement Calculator'!K:K,MATCH('Lorri 401b'!N5582,'Retirement Calculator'!A:A,0),0),0)</f>
        <v>0</v>
      </c>
      <c r="K5582" s="455">
        <f t="shared" ca="1" si="188"/>
        <v>-20782576698181.918</v>
      </c>
      <c r="L5582" s="455">
        <f t="shared" ca="1" si="189"/>
        <v>-5008600984261842</v>
      </c>
      <c r="M5582" s="471">
        <f t="shared" si="191"/>
        <v>0.05</v>
      </c>
      <c r="N5582" s="475">
        <f t="shared" si="192"/>
        <v>220943</v>
      </c>
    </row>
    <row r="5583" spans="7:14" ht="11.25" customHeight="1" x14ac:dyDescent="0.3">
      <c r="G5583" s="470"/>
      <c r="H5583" s="470">
        <v>5576</v>
      </c>
      <c r="I5583" s="455">
        <f t="shared" ca="1" si="190"/>
        <v>-5008600984261842</v>
      </c>
      <c r="J5583" s="455">
        <f t="array" ref="J5583">IFERROR(INDEX('Retirement Calculator'!K:K,MATCH('Lorri 401b'!N5583,'Retirement Calculator'!A:A,0),0),0)</f>
        <v>0</v>
      </c>
      <c r="K5583" s="455">
        <f t="shared" ca="1" si="188"/>
        <v>-20869170767757.676</v>
      </c>
      <c r="L5583" s="455">
        <f t="shared" ca="1" si="189"/>
        <v>-5029470155029600</v>
      </c>
      <c r="M5583" s="471">
        <f t="shared" si="191"/>
        <v>0.05</v>
      </c>
      <c r="N5583" s="475">
        <f t="shared" si="192"/>
        <v>220974</v>
      </c>
    </row>
    <row r="5584" spans="7:14" ht="11.25" customHeight="1" x14ac:dyDescent="0.3">
      <c r="G5584" s="470"/>
      <c r="H5584" s="470">
        <v>5577</v>
      </c>
      <c r="I5584" s="455">
        <f t="shared" ca="1" si="190"/>
        <v>-5029470155029600</v>
      </c>
      <c r="J5584" s="455">
        <f t="array" ref="J5584">IFERROR(INDEX('Retirement Calculator'!K:K,MATCH('Lorri 401b'!N5584,'Retirement Calculator'!A:A,0),0),0)</f>
        <v>0</v>
      </c>
      <c r="K5584" s="455">
        <f t="shared" ca="1" si="188"/>
        <v>-20956125645956.668</v>
      </c>
      <c r="L5584" s="455">
        <f t="shared" ca="1" si="189"/>
        <v>-5050426280675557</v>
      </c>
      <c r="M5584" s="471">
        <f t="shared" si="191"/>
        <v>0.05</v>
      </c>
      <c r="N5584" s="475">
        <f t="shared" si="192"/>
        <v>221005</v>
      </c>
    </row>
    <row r="5585" spans="7:14" ht="11.25" customHeight="1" x14ac:dyDescent="0.3">
      <c r="G5585" s="470"/>
      <c r="H5585" s="470">
        <v>5578</v>
      </c>
      <c r="I5585" s="455">
        <f t="shared" ca="1" si="190"/>
        <v>-5050426280675557</v>
      </c>
      <c r="J5585" s="455">
        <f t="array" ref="J5585">IFERROR(INDEX('Retirement Calculator'!K:K,MATCH('Lorri 401b'!N5585,'Retirement Calculator'!A:A,0),0),0)</f>
        <v>0</v>
      </c>
      <c r="K5585" s="455">
        <f t="shared" ca="1" si="188"/>
        <v>-21043442836148.152</v>
      </c>
      <c r="L5585" s="455">
        <f t="shared" ca="1" si="189"/>
        <v>-5071469723511705</v>
      </c>
      <c r="M5585" s="471">
        <f t="shared" si="191"/>
        <v>0.05</v>
      </c>
      <c r="N5585" s="475">
        <f t="shared" si="192"/>
        <v>221033</v>
      </c>
    </row>
    <row r="5586" spans="7:14" ht="11.25" customHeight="1" x14ac:dyDescent="0.3">
      <c r="G5586" s="470"/>
      <c r="H5586" s="470">
        <v>5579</v>
      </c>
      <c r="I5586" s="455">
        <f t="shared" ca="1" si="190"/>
        <v>-5071469723511705</v>
      </c>
      <c r="J5586" s="455">
        <f t="array" ref="J5586">IFERROR(INDEX('Retirement Calculator'!K:K,MATCH('Lorri 401b'!N5586,'Retirement Calculator'!A:A,0),0),0)</f>
        <v>0</v>
      </c>
      <c r="K5586" s="455">
        <f t="shared" ca="1" si="188"/>
        <v>-21131123847965.438</v>
      </c>
      <c r="L5586" s="455">
        <f t="shared" ca="1" si="189"/>
        <v>-5092600847359670</v>
      </c>
      <c r="M5586" s="471">
        <f t="shared" si="191"/>
        <v>0.05</v>
      </c>
      <c r="N5586" s="475">
        <f t="shared" si="192"/>
        <v>221064</v>
      </c>
    </row>
    <row r="5587" spans="7:14" ht="11.25" customHeight="1" x14ac:dyDescent="0.3">
      <c r="G5587" s="470"/>
      <c r="H5587" s="470">
        <v>5580</v>
      </c>
      <c r="I5587" s="455">
        <f t="shared" ca="1" si="190"/>
        <v>-5092600847359670</v>
      </c>
      <c r="J5587" s="455">
        <f t="array" ref="J5587">IFERROR(INDEX('Retirement Calculator'!K:K,MATCH('Lorri 401b'!N5587,'Retirement Calculator'!A:A,0),0),0)</f>
        <v>0</v>
      </c>
      <c r="K5587" s="455">
        <f t="shared" ca="1" si="188"/>
        <v>-21219170197331.957</v>
      </c>
      <c r="L5587" s="455">
        <f t="shared" ca="1" si="189"/>
        <v>-5113820017557002</v>
      </c>
      <c r="M5587" s="471">
        <f t="shared" si="191"/>
        <v>0.05</v>
      </c>
      <c r="N5587" s="475">
        <f t="shared" si="192"/>
        <v>221094</v>
      </c>
    </row>
    <row r="5588" spans="7:14" ht="11.25" customHeight="1" x14ac:dyDescent="0.3">
      <c r="G5588" s="470"/>
      <c r="H5588" s="470">
        <v>5581</v>
      </c>
      <c r="I5588" s="455">
        <f t="shared" ca="1" si="190"/>
        <v>-5113820017557002</v>
      </c>
      <c r="J5588" s="455">
        <f t="array" ref="J5588">IFERROR(INDEX('Retirement Calculator'!K:K,MATCH('Lorri 401b'!N5588,'Retirement Calculator'!A:A,0),0),0)</f>
        <v>0</v>
      </c>
      <c r="K5588" s="455">
        <f t="shared" ca="1" si="188"/>
        <v>-21307583406487.508</v>
      </c>
      <c r="L5588" s="455">
        <f t="shared" ca="1" si="189"/>
        <v>-5135127600963490</v>
      </c>
      <c r="M5588" s="471">
        <f t="shared" si="191"/>
        <v>0.05</v>
      </c>
      <c r="N5588" s="475">
        <f t="shared" si="192"/>
        <v>221125</v>
      </c>
    </row>
    <row r="5589" spans="7:14" ht="11.25" customHeight="1" x14ac:dyDescent="0.3">
      <c r="G5589" s="470"/>
      <c r="H5589" s="470">
        <v>5582</v>
      </c>
      <c r="I5589" s="455">
        <f t="shared" ca="1" si="190"/>
        <v>-5135127600963490</v>
      </c>
      <c r="J5589" s="455">
        <f t="array" ref="J5589">IFERROR(INDEX('Retirement Calculator'!K:K,MATCH('Lorri 401b'!N5589,'Retirement Calculator'!A:A,0),0),0)</f>
        <v>0</v>
      </c>
      <c r="K5589" s="455">
        <f t="shared" ca="1" si="188"/>
        <v>-21396365004014.543</v>
      </c>
      <c r="L5589" s="455">
        <f t="shared" ca="1" si="189"/>
        <v>-5156523965967505</v>
      </c>
      <c r="M5589" s="471">
        <f t="shared" si="191"/>
        <v>0.05</v>
      </c>
      <c r="N5589" s="475">
        <f t="shared" si="192"/>
        <v>221155</v>
      </c>
    </row>
    <row r="5590" spans="7:14" ht="11.25" customHeight="1" x14ac:dyDescent="0.3">
      <c r="G5590" s="470"/>
      <c r="H5590" s="470">
        <v>5583</v>
      </c>
      <c r="I5590" s="455">
        <f t="shared" ca="1" si="190"/>
        <v>-5156523965967505</v>
      </c>
      <c r="J5590" s="455">
        <f t="array" ref="J5590">IFERROR(INDEX('Retirement Calculator'!K:K,MATCH('Lorri 401b'!N5590,'Retirement Calculator'!A:A,0),0),0)</f>
        <v>0</v>
      </c>
      <c r="K5590" s="455">
        <f t="shared" ca="1" si="188"/>
        <v>-21485516524864.605</v>
      </c>
      <c r="L5590" s="455">
        <f t="shared" ca="1" si="189"/>
        <v>-5178009482492370</v>
      </c>
      <c r="M5590" s="471">
        <f t="shared" si="191"/>
        <v>0.05</v>
      </c>
      <c r="N5590" s="475">
        <f t="shared" si="192"/>
        <v>221186</v>
      </c>
    </row>
    <row r="5591" spans="7:14" ht="11.25" customHeight="1" x14ac:dyDescent="0.3">
      <c r="G5591" s="470"/>
      <c r="H5591" s="470">
        <v>5584</v>
      </c>
      <c r="I5591" s="455">
        <f t="shared" ca="1" si="190"/>
        <v>-5178009482492370</v>
      </c>
      <c r="J5591" s="455">
        <f t="array" ref="J5591">IFERROR(INDEX('Retirement Calculator'!K:K,MATCH('Lorri 401b'!N5591,'Retirement Calculator'!A:A,0),0),0)</f>
        <v>0</v>
      </c>
      <c r="K5591" s="455">
        <f t="shared" ca="1" si="188"/>
        <v>-21575039510384.875</v>
      </c>
      <c r="L5591" s="455">
        <f t="shared" ca="1" si="189"/>
        <v>-5199584522002755</v>
      </c>
      <c r="M5591" s="471">
        <f t="shared" si="191"/>
        <v>0.05</v>
      </c>
      <c r="N5591" s="475">
        <f t="shared" si="192"/>
        <v>221217</v>
      </c>
    </row>
    <row r="5592" spans="7:14" ht="11.25" customHeight="1" x14ac:dyDescent="0.3">
      <c r="G5592" s="470"/>
      <c r="H5592" s="470">
        <v>5585</v>
      </c>
      <c r="I5592" s="455">
        <f t="shared" ca="1" si="190"/>
        <v>-5199584522002755</v>
      </c>
      <c r="J5592" s="455">
        <f t="array" ref="J5592">IFERROR(INDEX('Retirement Calculator'!K:K,MATCH('Lorri 401b'!N5592,'Retirement Calculator'!A:A,0),0),0)</f>
        <v>0</v>
      </c>
      <c r="K5592" s="455">
        <f t="shared" ca="1" si="188"/>
        <v>-21664935508344.813</v>
      </c>
      <c r="L5592" s="455">
        <f t="shared" ca="1" si="189"/>
        <v>-5221249457511100</v>
      </c>
      <c r="M5592" s="471">
        <f t="shared" si="191"/>
        <v>0.05</v>
      </c>
      <c r="N5592" s="475">
        <f t="shared" si="192"/>
        <v>221247</v>
      </c>
    </row>
    <row r="5593" spans="7:14" ht="11.25" customHeight="1" x14ac:dyDescent="0.3">
      <c r="G5593" s="470"/>
      <c r="H5593" s="470">
        <v>5586</v>
      </c>
      <c r="I5593" s="455">
        <f t="shared" ca="1" si="190"/>
        <v>-5221249457511100</v>
      </c>
      <c r="J5593" s="455">
        <f t="array" ref="J5593">IFERROR(INDEX('Retirement Calculator'!K:K,MATCH('Lorri 401b'!N5593,'Retirement Calculator'!A:A,0),0),0)</f>
        <v>0</v>
      </c>
      <c r="K5593" s="455">
        <f t="shared" ca="1" si="188"/>
        <v>-21755206072962.918</v>
      </c>
      <c r="L5593" s="455">
        <f t="shared" ca="1" si="189"/>
        <v>-5243004663584063</v>
      </c>
      <c r="M5593" s="471">
        <f t="shared" si="191"/>
        <v>0.05</v>
      </c>
      <c r="N5593" s="475">
        <f t="shared" si="192"/>
        <v>221278</v>
      </c>
    </row>
    <row r="5594" spans="7:14" ht="11.25" customHeight="1" x14ac:dyDescent="0.3">
      <c r="G5594" s="470"/>
      <c r="H5594" s="470">
        <v>5587</v>
      </c>
      <c r="I5594" s="455">
        <f t="shared" ca="1" si="190"/>
        <v>-5243004663584063</v>
      </c>
      <c r="J5594" s="455">
        <f t="array" ref="J5594">IFERROR(INDEX('Retirement Calculator'!K:K,MATCH('Lorri 401b'!N5594,'Retirement Calculator'!A:A,0),0),0)</f>
        <v>0</v>
      </c>
      <c r="K5594" s="455">
        <f t="shared" ca="1" si="188"/>
        <v>-21845852764933.594</v>
      </c>
      <c r="L5594" s="455">
        <f t="shared" ca="1" si="189"/>
        <v>-5264850516348997</v>
      </c>
      <c r="M5594" s="471">
        <f t="shared" si="191"/>
        <v>0.05</v>
      </c>
      <c r="N5594" s="475">
        <f t="shared" si="192"/>
        <v>221308</v>
      </c>
    </row>
    <row r="5595" spans="7:14" ht="11.25" customHeight="1" x14ac:dyDescent="0.3">
      <c r="G5595" s="470"/>
      <c r="H5595" s="470">
        <v>5588</v>
      </c>
      <c r="I5595" s="455">
        <f t="shared" ca="1" si="190"/>
        <v>-5264850516348997</v>
      </c>
      <c r="J5595" s="455">
        <f t="array" ref="J5595">IFERROR(INDEX('Retirement Calculator'!K:K,MATCH('Lorri 401b'!N5595,'Retirement Calculator'!A:A,0),0),0)</f>
        <v>0</v>
      </c>
      <c r="K5595" s="455">
        <f t="shared" ca="1" si="188"/>
        <v>-21936877151454.152</v>
      </c>
      <c r="L5595" s="455">
        <f t="shared" ca="1" si="189"/>
        <v>-5286787393500451</v>
      </c>
      <c r="M5595" s="471">
        <f t="shared" si="191"/>
        <v>0.05</v>
      </c>
      <c r="N5595" s="475">
        <f t="shared" si="192"/>
        <v>221339</v>
      </c>
    </row>
    <row r="5596" spans="7:14" ht="11.25" customHeight="1" x14ac:dyDescent="0.3">
      <c r="G5596" s="470"/>
      <c r="H5596" s="470">
        <v>5589</v>
      </c>
      <c r="I5596" s="455">
        <f t="shared" ca="1" si="190"/>
        <v>-5286787393500451</v>
      </c>
      <c r="J5596" s="455">
        <f t="array" ref="J5596">IFERROR(INDEX('Retirement Calculator'!K:K,MATCH('Lorri 401b'!N5596,'Retirement Calculator'!A:A,0),0),0)</f>
        <v>0</v>
      </c>
      <c r="K5596" s="455">
        <f t="shared" ca="1" si="188"/>
        <v>-22028280806251.879</v>
      </c>
      <c r="L5596" s="455">
        <f t="shared" ca="1" si="189"/>
        <v>-5308815674306703</v>
      </c>
      <c r="M5596" s="471">
        <f t="shared" si="191"/>
        <v>0.05</v>
      </c>
      <c r="N5596" s="475">
        <f t="shared" si="192"/>
        <v>221370</v>
      </c>
    </row>
    <row r="5597" spans="7:14" ht="11.25" customHeight="1" x14ac:dyDescent="0.3">
      <c r="G5597" s="470"/>
      <c r="H5597" s="470">
        <v>5590</v>
      </c>
      <c r="I5597" s="455">
        <f t="shared" ca="1" si="190"/>
        <v>-5308815674306703</v>
      </c>
      <c r="J5597" s="455">
        <f t="array" ref="J5597">IFERROR(INDEX('Retirement Calculator'!K:K,MATCH('Lorri 401b'!N5597,'Retirement Calculator'!A:A,0),0),0)</f>
        <v>0</v>
      </c>
      <c r="K5597" s="455">
        <f t="shared" ca="1" si="188"/>
        <v>-22120065309611.262</v>
      </c>
      <c r="L5597" s="455">
        <f t="shared" ca="1" si="189"/>
        <v>-5330935739616314</v>
      </c>
      <c r="M5597" s="471">
        <f t="shared" si="191"/>
        <v>0.05</v>
      </c>
      <c r="N5597" s="475">
        <f t="shared" si="192"/>
        <v>221398</v>
      </c>
    </row>
    <row r="5598" spans="7:14" ht="11.25" customHeight="1" x14ac:dyDescent="0.3">
      <c r="G5598" s="470"/>
      <c r="H5598" s="470">
        <v>5591</v>
      </c>
      <c r="I5598" s="455">
        <f t="shared" ca="1" si="190"/>
        <v>-5330935739616314</v>
      </c>
      <c r="J5598" s="455">
        <f t="array" ref="J5598">IFERROR(INDEX('Retirement Calculator'!K:K,MATCH('Lorri 401b'!N5598,'Retirement Calculator'!A:A,0),0),0)</f>
        <v>0</v>
      </c>
      <c r="K5598" s="455">
        <f t="shared" ca="1" si="188"/>
        <v>-22212232248401.309</v>
      </c>
      <c r="L5598" s="455">
        <f t="shared" ca="1" si="189"/>
        <v>-5353147971864715</v>
      </c>
      <c r="M5598" s="471">
        <f t="shared" si="191"/>
        <v>0.05</v>
      </c>
      <c r="N5598" s="475">
        <f t="shared" si="192"/>
        <v>221429</v>
      </c>
    </row>
    <row r="5599" spans="7:14" ht="11.25" customHeight="1" x14ac:dyDescent="0.3">
      <c r="G5599" s="470"/>
      <c r="H5599" s="470">
        <v>5592</v>
      </c>
      <c r="I5599" s="455">
        <f t="shared" ca="1" si="190"/>
        <v>-5353147971864715</v>
      </c>
      <c r="J5599" s="455">
        <f t="array" ref="J5599">IFERROR(INDEX('Retirement Calculator'!K:K,MATCH('Lorri 401b'!N5599,'Retirement Calculator'!A:A,0),0),0)</f>
        <v>0</v>
      </c>
      <c r="K5599" s="455">
        <f t="shared" ca="1" si="188"/>
        <v>-22304783216102.98</v>
      </c>
      <c r="L5599" s="455">
        <f t="shared" ca="1" si="189"/>
        <v>-5375452755080818</v>
      </c>
      <c r="M5599" s="471">
        <f t="shared" si="191"/>
        <v>0.05</v>
      </c>
      <c r="N5599" s="475">
        <f t="shared" si="192"/>
        <v>221459</v>
      </c>
    </row>
    <row r="5600" spans="7:14" ht="11.25" customHeight="1" x14ac:dyDescent="0.3">
      <c r="G5600" s="470"/>
      <c r="H5600" s="470">
        <v>5593</v>
      </c>
      <c r="I5600" s="455">
        <f t="shared" ca="1" si="190"/>
        <v>-5375452755080818</v>
      </c>
      <c r="J5600" s="455">
        <f t="array" ref="J5600">IFERROR(INDEX('Retirement Calculator'!K:K,MATCH('Lorri 401b'!N5600,'Retirement Calculator'!A:A,0),0),0)</f>
        <v>0</v>
      </c>
      <c r="K5600" s="455">
        <f t="shared" ca="1" si="188"/>
        <v>-22397719812836.742</v>
      </c>
      <c r="L5600" s="455">
        <f t="shared" ca="1" si="189"/>
        <v>-5397850474893655</v>
      </c>
      <c r="M5600" s="471">
        <f t="shared" si="191"/>
        <v>0.05</v>
      </c>
      <c r="N5600" s="475">
        <f t="shared" si="192"/>
        <v>221490</v>
      </c>
    </row>
    <row r="5601" spans="7:14" ht="11.25" customHeight="1" x14ac:dyDescent="0.3">
      <c r="G5601" s="470"/>
      <c r="H5601" s="470">
        <v>5594</v>
      </c>
      <c r="I5601" s="455">
        <f t="shared" ca="1" si="190"/>
        <v>-5397850474893655</v>
      </c>
      <c r="J5601" s="455">
        <f t="array" ref="J5601">IFERROR(INDEX('Retirement Calculator'!K:K,MATCH('Lorri 401b'!N5601,'Retirement Calculator'!A:A,0),0),0)</f>
        <v>0</v>
      </c>
      <c r="K5601" s="455">
        <f t="shared" ca="1" si="188"/>
        <v>-22491043645390.23</v>
      </c>
      <c r="L5601" s="455">
        <f t="shared" ca="1" si="189"/>
        <v>-5420341518539045</v>
      </c>
      <c r="M5601" s="471">
        <f t="shared" si="191"/>
        <v>0.05</v>
      </c>
      <c r="N5601" s="475">
        <f t="shared" si="192"/>
        <v>221520</v>
      </c>
    </row>
    <row r="5602" spans="7:14" ht="11.25" customHeight="1" x14ac:dyDescent="0.3">
      <c r="G5602" s="470"/>
      <c r="H5602" s="470">
        <v>5595</v>
      </c>
      <c r="I5602" s="455">
        <f t="shared" ca="1" si="190"/>
        <v>-5420341518539045</v>
      </c>
      <c r="J5602" s="455">
        <f t="array" ref="J5602">IFERROR(INDEX('Retirement Calculator'!K:K,MATCH('Lorri 401b'!N5602,'Retirement Calculator'!A:A,0),0),0)</f>
        <v>0</v>
      </c>
      <c r="K5602" s="455">
        <f t="shared" ca="1" si="188"/>
        <v>-22584756327246.02</v>
      </c>
      <c r="L5602" s="455">
        <f t="shared" ca="1" si="189"/>
        <v>-5442926274866291</v>
      </c>
      <c r="M5602" s="471">
        <f t="shared" si="191"/>
        <v>0.05</v>
      </c>
      <c r="N5602" s="475">
        <f t="shared" si="192"/>
        <v>221551</v>
      </c>
    </row>
    <row r="5603" spans="7:14" ht="11.25" customHeight="1" x14ac:dyDescent="0.3">
      <c r="G5603" s="470"/>
      <c r="H5603" s="470">
        <v>5596</v>
      </c>
      <c r="I5603" s="455">
        <f t="shared" ca="1" si="190"/>
        <v>-5442926274866291</v>
      </c>
      <c r="J5603" s="455">
        <f t="array" ref="J5603">IFERROR(INDEX('Retirement Calculator'!K:K,MATCH('Lorri 401b'!N5603,'Retirement Calculator'!A:A,0),0),0)</f>
        <v>0</v>
      </c>
      <c r="K5603" s="455">
        <f t="shared" ca="1" si="188"/>
        <v>-22678859478609.547</v>
      </c>
      <c r="L5603" s="455">
        <f t="shared" ca="1" si="189"/>
        <v>-5465605134344901</v>
      </c>
      <c r="M5603" s="471">
        <f t="shared" si="191"/>
        <v>0.05</v>
      </c>
      <c r="N5603" s="475">
        <f t="shared" si="192"/>
        <v>221582</v>
      </c>
    </row>
    <row r="5604" spans="7:14" ht="11.25" customHeight="1" x14ac:dyDescent="0.3">
      <c r="G5604" s="470"/>
      <c r="H5604" s="470">
        <v>5597</v>
      </c>
      <c r="I5604" s="455">
        <f t="shared" ca="1" si="190"/>
        <v>-5465605134344901</v>
      </c>
      <c r="J5604" s="455">
        <f t="array" ref="J5604">IFERROR(INDEX('Retirement Calculator'!K:K,MATCH('Lorri 401b'!N5604,'Retirement Calculator'!A:A,0),0),0)</f>
        <v>0</v>
      </c>
      <c r="K5604" s="455">
        <f t="shared" ca="1" si="188"/>
        <v>-22773354726437.086</v>
      </c>
      <c r="L5604" s="455">
        <f t="shared" ca="1" si="189"/>
        <v>-5488378489071338</v>
      </c>
      <c r="M5604" s="471">
        <f t="shared" si="191"/>
        <v>0.05</v>
      </c>
      <c r="N5604" s="475">
        <f t="shared" si="192"/>
        <v>221612</v>
      </c>
    </row>
    <row r="5605" spans="7:14" ht="11.25" customHeight="1" x14ac:dyDescent="0.3">
      <c r="G5605" s="470"/>
      <c r="H5605" s="470">
        <v>5598</v>
      </c>
      <c r="I5605" s="455">
        <f t="shared" ca="1" si="190"/>
        <v>-5488378489071338</v>
      </c>
      <c r="J5605" s="455">
        <f t="array" ref="J5605">IFERROR(INDEX('Retirement Calculator'!K:K,MATCH('Lorri 401b'!N5605,'Retirement Calculator'!A:A,0),0),0)</f>
        <v>0</v>
      </c>
      <c r="K5605" s="455">
        <f t="shared" ca="1" si="188"/>
        <v>-22868243704463.906</v>
      </c>
      <c r="L5605" s="455">
        <f t="shared" ca="1" si="189"/>
        <v>-5511246732775802</v>
      </c>
      <c r="M5605" s="471">
        <f t="shared" si="191"/>
        <v>0.05</v>
      </c>
      <c r="N5605" s="475">
        <f t="shared" si="192"/>
        <v>221643</v>
      </c>
    </row>
    <row r="5606" spans="7:14" ht="11.25" customHeight="1" x14ac:dyDescent="0.3">
      <c r="G5606" s="470"/>
      <c r="H5606" s="470">
        <v>5599</v>
      </c>
      <c r="I5606" s="455">
        <f t="shared" ca="1" si="190"/>
        <v>-5511246732775802</v>
      </c>
      <c r="J5606" s="455">
        <f t="array" ref="J5606">IFERROR(INDEX('Retirement Calculator'!K:K,MATCH('Lorri 401b'!N5606,'Retirement Calculator'!A:A,0),0),0)</f>
        <v>0</v>
      </c>
      <c r="K5606" s="455">
        <f t="shared" ca="1" si="188"/>
        <v>-22963528053232.508</v>
      </c>
      <c r="L5606" s="455">
        <f t="shared" ca="1" si="189"/>
        <v>-5534210260829035</v>
      </c>
      <c r="M5606" s="471">
        <f t="shared" si="191"/>
        <v>0.05</v>
      </c>
      <c r="N5606" s="475">
        <f t="shared" si="192"/>
        <v>221673</v>
      </c>
    </row>
    <row r="5607" spans="7:14" ht="11.25" customHeight="1" x14ac:dyDescent="0.3">
      <c r="G5607" s="470"/>
      <c r="H5607" s="470">
        <v>5600</v>
      </c>
      <c r="I5607" s="455">
        <f t="shared" ca="1" si="190"/>
        <v>-5534210260829035</v>
      </c>
      <c r="J5607" s="455">
        <f t="array" ref="J5607">IFERROR(INDEX('Retirement Calculator'!K:K,MATCH('Lorri 401b'!N5607,'Retirement Calculator'!A:A,0),0),0)</f>
        <v>0</v>
      </c>
      <c r="K5607" s="455">
        <f t="shared" ca="1" si="188"/>
        <v>-23059209420120.98</v>
      </c>
      <c r="L5607" s="455">
        <f t="shared" ca="1" si="189"/>
        <v>-5557269470249156</v>
      </c>
      <c r="M5607" s="471">
        <f t="shared" si="191"/>
        <v>0.05</v>
      </c>
      <c r="N5607" s="475">
        <f t="shared" si="192"/>
        <v>221704</v>
      </c>
    </row>
    <row r="5608" spans="7:14" ht="11.25" customHeight="1" x14ac:dyDescent="0.3">
      <c r="G5608" s="470"/>
      <c r="H5608" s="470">
        <v>5601</v>
      </c>
      <c r="I5608" s="455">
        <f t="shared" ca="1" si="190"/>
        <v>-5557269470249156</v>
      </c>
      <c r="J5608" s="455">
        <f t="array" ref="J5608">IFERROR(INDEX('Retirement Calculator'!K:K,MATCH('Lorri 401b'!N5608,'Retirement Calculator'!A:A,0),0),0)</f>
        <v>0</v>
      </c>
      <c r="K5608" s="455">
        <f t="shared" ca="1" si="188"/>
        <v>-23155289459371.484</v>
      </c>
      <c r="L5608" s="455">
        <f t="shared" ca="1" si="189"/>
        <v>-5580424759708527</v>
      </c>
      <c r="M5608" s="471">
        <f t="shared" si="191"/>
        <v>0.05</v>
      </c>
      <c r="N5608" s="475">
        <f t="shared" si="192"/>
        <v>221735</v>
      </c>
    </row>
    <row r="5609" spans="7:14" ht="11.25" customHeight="1" x14ac:dyDescent="0.3">
      <c r="G5609" s="470"/>
      <c r="H5609" s="470">
        <v>5602</v>
      </c>
      <c r="I5609" s="455">
        <f t="shared" ca="1" si="190"/>
        <v>-5580424759708527</v>
      </c>
      <c r="J5609" s="455">
        <f t="array" ref="J5609">IFERROR(INDEX('Retirement Calculator'!K:K,MATCH('Lorri 401b'!N5609,'Retirement Calculator'!A:A,0),0),0)</f>
        <v>0</v>
      </c>
      <c r="K5609" s="455">
        <f t="shared" ca="1" si="188"/>
        <v>-23251769832118.863</v>
      </c>
      <c r="L5609" s="455">
        <f t="shared" ca="1" si="189"/>
        <v>-5603676529540646</v>
      </c>
      <c r="M5609" s="471">
        <f t="shared" si="191"/>
        <v>0.05</v>
      </c>
      <c r="N5609" s="475">
        <f t="shared" si="192"/>
        <v>221763</v>
      </c>
    </row>
    <row r="5610" spans="7:14" ht="11.25" customHeight="1" x14ac:dyDescent="0.3">
      <c r="G5610" s="470"/>
      <c r="H5610" s="470">
        <v>5603</v>
      </c>
      <c r="I5610" s="455">
        <f t="shared" ca="1" si="190"/>
        <v>-5603676529540646</v>
      </c>
      <c r="J5610" s="455">
        <f t="array" ref="J5610">IFERROR(INDEX('Retirement Calculator'!K:K,MATCH('Lorri 401b'!N5610,'Retirement Calculator'!A:A,0),0),0)</f>
        <v>0</v>
      </c>
      <c r="K5610" s="455">
        <f t="shared" ca="1" si="188"/>
        <v>-23348652206419.359</v>
      </c>
      <c r="L5610" s="455">
        <f t="shared" ca="1" si="189"/>
        <v>-5627025181747065</v>
      </c>
      <c r="M5610" s="471">
        <f t="shared" si="191"/>
        <v>0.05</v>
      </c>
      <c r="N5610" s="475">
        <f t="shared" si="192"/>
        <v>221794</v>
      </c>
    </row>
    <row r="5611" spans="7:14" ht="11.25" customHeight="1" x14ac:dyDescent="0.3">
      <c r="G5611" s="470"/>
      <c r="H5611" s="470">
        <v>5604</v>
      </c>
      <c r="I5611" s="455">
        <f t="shared" ca="1" si="190"/>
        <v>-5627025181747065</v>
      </c>
      <c r="J5611" s="455">
        <f t="array" ref="J5611">IFERROR(INDEX('Retirement Calculator'!K:K,MATCH('Lorri 401b'!N5611,'Retirement Calculator'!A:A,0),0),0)</f>
        <v>0</v>
      </c>
      <c r="K5611" s="455">
        <f t="shared" ca="1" si="188"/>
        <v>-23445938257279.438</v>
      </c>
      <c r="L5611" s="455">
        <f t="shared" ca="1" si="189"/>
        <v>-5650471120004344</v>
      </c>
      <c r="M5611" s="471">
        <f t="shared" si="191"/>
        <v>0.05</v>
      </c>
      <c r="N5611" s="475">
        <f t="shared" si="192"/>
        <v>221824</v>
      </c>
    </row>
    <row r="5612" spans="7:14" ht="11.25" customHeight="1" x14ac:dyDescent="0.3">
      <c r="G5612" s="470"/>
      <c r="H5612" s="470">
        <v>5605</v>
      </c>
      <c r="I5612" s="455">
        <f t="shared" ca="1" si="190"/>
        <v>-5650471120004344</v>
      </c>
      <c r="J5612" s="455">
        <f t="array" ref="J5612">IFERROR(INDEX('Retirement Calculator'!K:K,MATCH('Lorri 401b'!N5612,'Retirement Calculator'!A:A,0),0),0)</f>
        <v>0</v>
      </c>
      <c r="K5612" s="455">
        <f t="shared" ca="1" si="188"/>
        <v>-23543629666684.766</v>
      </c>
      <c r="L5612" s="455">
        <f t="shared" ca="1" si="189"/>
        <v>-5674014749671029</v>
      </c>
      <c r="M5612" s="471">
        <f t="shared" si="191"/>
        <v>0.05</v>
      </c>
      <c r="N5612" s="475">
        <f t="shared" si="192"/>
        <v>221855</v>
      </c>
    </row>
    <row r="5613" spans="7:14" ht="11.25" customHeight="1" x14ac:dyDescent="0.3">
      <c r="G5613" s="470"/>
      <c r="H5613" s="470">
        <v>5606</v>
      </c>
      <c r="I5613" s="455">
        <f t="shared" ca="1" si="190"/>
        <v>-5674014749671029</v>
      </c>
      <c r="J5613" s="455">
        <f t="array" ref="J5613">IFERROR(INDEX('Retirement Calculator'!K:K,MATCH('Lorri 401b'!N5613,'Retirement Calculator'!A:A,0),0),0)</f>
        <v>0</v>
      </c>
      <c r="K5613" s="455">
        <f t="shared" ca="1" si="188"/>
        <v>-23641728123629.289</v>
      </c>
      <c r="L5613" s="455">
        <f t="shared" ca="1" si="189"/>
        <v>-5697656477794658</v>
      </c>
      <c r="M5613" s="471">
        <f t="shared" si="191"/>
        <v>0.05</v>
      </c>
      <c r="N5613" s="475">
        <f t="shared" si="192"/>
        <v>221885</v>
      </c>
    </row>
    <row r="5614" spans="7:14" ht="11.25" customHeight="1" x14ac:dyDescent="0.3">
      <c r="G5614" s="470"/>
      <c r="H5614" s="470">
        <v>5607</v>
      </c>
      <c r="I5614" s="455">
        <f t="shared" ca="1" si="190"/>
        <v>-5697656477794658</v>
      </c>
      <c r="J5614" s="455">
        <f t="array" ref="J5614">IFERROR(INDEX('Retirement Calculator'!K:K,MATCH('Lorri 401b'!N5614,'Retirement Calculator'!A:A,0),0),0)</f>
        <v>0</v>
      </c>
      <c r="K5614" s="455">
        <f t="shared" ca="1" si="188"/>
        <v>-23740235324144.406</v>
      </c>
      <c r="L5614" s="455">
        <f t="shared" ca="1" si="189"/>
        <v>-5721396713118802</v>
      </c>
      <c r="M5614" s="471">
        <f t="shared" si="191"/>
        <v>0.05</v>
      </c>
      <c r="N5614" s="475">
        <f t="shared" si="192"/>
        <v>221916</v>
      </c>
    </row>
    <row r="5615" spans="7:14" ht="11.25" customHeight="1" x14ac:dyDescent="0.3">
      <c r="G5615" s="470"/>
      <c r="H5615" s="470">
        <v>5608</v>
      </c>
      <c r="I5615" s="455">
        <f t="shared" ca="1" si="190"/>
        <v>-5721396713118802</v>
      </c>
      <c r="J5615" s="455">
        <f t="array" ref="J5615">IFERROR(INDEX('Retirement Calculator'!K:K,MATCH('Lorri 401b'!N5615,'Retirement Calculator'!A:A,0),0),0)</f>
        <v>0</v>
      </c>
      <c r="K5615" s="455">
        <f t="shared" ca="1" si="188"/>
        <v>-23839152971328.34</v>
      </c>
      <c r="L5615" s="455">
        <f t="shared" ca="1" si="189"/>
        <v>-5745235866090130</v>
      </c>
      <c r="M5615" s="471">
        <f t="shared" si="191"/>
        <v>0.05</v>
      </c>
      <c r="N5615" s="475">
        <f t="shared" si="192"/>
        <v>221947</v>
      </c>
    </row>
    <row r="5616" spans="7:14" ht="11.25" customHeight="1" x14ac:dyDescent="0.3">
      <c r="G5616" s="470"/>
      <c r="H5616" s="470">
        <v>5609</v>
      </c>
      <c r="I5616" s="455">
        <f t="shared" ca="1" si="190"/>
        <v>-5745235866090130</v>
      </c>
      <c r="J5616" s="455">
        <f t="array" ref="J5616">IFERROR(INDEX('Retirement Calculator'!K:K,MATCH('Lorri 401b'!N5616,'Retirement Calculator'!A:A,0),0),0)</f>
        <v>0</v>
      </c>
      <c r="K5616" s="455">
        <f t="shared" ca="1" si="188"/>
        <v>-23938482775375.543</v>
      </c>
      <c r="L5616" s="455">
        <f t="shared" ca="1" si="189"/>
        <v>-5769174348865506</v>
      </c>
      <c r="M5616" s="471">
        <f t="shared" si="191"/>
        <v>0.05</v>
      </c>
      <c r="N5616" s="475">
        <f t="shared" si="192"/>
        <v>221977</v>
      </c>
    </row>
    <row r="5617" spans="7:14" ht="11.25" customHeight="1" x14ac:dyDescent="0.3">
      <c r="G5617" s="470"/>
      <c r="H5617" s="470">
        <v>5610</v>
      </c>
      <c r="I5617" s="455">
        <f t="shared" ca="1" si="190"/>
        <v>-5769174348865506</v>
      </c>
      <c r="J5617" s="455">
        <f t="array" ref="J5617">IFERROR(INDEX('Retirement Calculator'!K:K,MATCH('Lorri 401b'!N5617,'Retirement Calculator'!A:A,0),0),0)</f>
        <v>0</v>
      </c>
      <c r="K5617" s="455">
        <f t="shared" ca="1" si="188"/>
        <v>-24038226453606.273</v>
      </c>
      <c r="L5617" s="455">
        <f t="shared" ca="1" si="189"/>
        <v>-5793212575319112</v>
      </c>
      <c r="M5617" s="471">
        <f t="shared" si="191"/>
        <v>0.05</v>
      </c>
      <c r="N5617" s="475">
        <f t="shared" si="192"/>
        <v>222008</v>
      </c>
    </row>
    <row r="5618" spans="7:14" ht="11.25" customHeight="1" x14ac:dyDescent="0.3">
      <c r="G5618" s="470"/>
      <c r="H5618" s="470">
        <v>5611</v>
      </c>
      <c r="I5618" s="455">
        <f t="shared" ca="1" si="190"/>
        <v>-5793212575319112</v>
      </c>
      <c r="J5618" s="455">
        <f t="array" ref="J5618">IFERROR(INDEX('Retirement Calculator'!K:K,MATCH('Lorri 401b'!N5618,'Retirement Calculator'!A:A,0),0),0)</f>
        <v>0</v>
      </c>
      <c r="K5618" s="455">
        <f t="shared" ref="K5618:K5872" ca="1" si="193">IPMT(M5618/12,1,12,-I5618+J5618,,0)</f>
        <v>-24138385730496.301</v>
      </c>
      <c r="L5618" s="455">
        <f t="shared" ref="L5618:L5872" ca="1" si="194">I5618-J5618+K5618</f>
        <v>-5817350961049608</v>
      </c>
      <c r="M5618" s="471">
        <f t="shared" si="191"/>
        <v>0.05</v>
      </c>
      <c r="N5618" s="475">
        <f t="shared" si="192"/>
        <v>222038</v>
      </c>
    </row>
    <row r="5619" spans="7:14" ht="11.25" customHeight="1" x14ac:dyDescent="0.3">
      <c r="G5619" s="470"/>
      <c r="H5619" s="470">
        <v>5612</v>
      </c>
      <c r="I5619" s="455">
        <f t="shared" ref="I5619:I5873" ca="1" si="195">L5618</f>
        <v>-5817350961049608</v>
      </c>
      <c r="J5619" s="455">
        <f t="array" ref="J5619">IFERROR(INDEX('Retirement Calculator'!K:K,MATCH('Lorri 401b'!N5619,'Retirement Calculator'!A:A,0),0),0)</f>
        <v>0</v>
      </c>
      <c r="K5619" s="455">
        <f t="shared" ca="1" si="193"/>
        <v>-24238962337706.699</v>
      </c>
      <c r="L5619" s="455">
        <f t="shared" ca="1" si="194"/>
        <v>-5841589923387315</v>
      </c>
      <c r="M5619" s="471">
        <f t="shared" ref="M5619:M5873" si="196">M5618</f>
        <v>0.05</v>
      </c>
      <c r="N5619" s="475">
        <f t="shared" ref="N5619:N5873" si="197">EDATE(N5618,1)</f>
        <v>222069</v>
      </c>
    </row>
    <row r="5620" spans="7:14" ht="11.25" customHeight="1" x14ac:dyDescent="0.3">
      <c r="G5620" s="470"/>
      <c r="H5620" s="470">
        <v>5613</v>
      </c>
      <c r="I5620" s="455">
        <f t="shared" ca="1" si="195"/>
        <v>-5841589923387315</v>
      </c>
      <c r="J5620" s="455">
        <f t="array" ref="J5620">IFERROR(INDEX('Retirement Calculator'!K:K,MATCH('Lorri 401b'!N5620,'Retirement Calculator'!A:A,0),0),0)</f>
        <v>0</v>
      </c>
      <c r="K5620" s="455">
        <f t="shared" ca="1" si="193"/>
        <v>-24339958014113.813</v>
      </c>
      <c r="L5620" s="455">
        <f t="shared" ca="1" si="194"/>
        <v>-5865929881401429</v>
      </c>
      <c r="M5620" s="471">
        <f t="shared" si="196"/>
        <v>0.05</v>
      </c>
      <c r="N5620" s="475">
        <f t="shared" si="197"/>
        <v>222100</v>
      </c>
    </row>
    <row r="5621" spans="7:14" ht="11.25" customHeight="1" x14ac:dyDescent="0.3">
      <c r="G5621" s="470"/>
      <c r="H5621" s="470">
        <v>5614</v>
      </c>
      <c r="I5621" s="455">
        <f t="shared" ca="1" si="195"/>
        <v>-5865929881401429</v>
      </c>
      <c r="J5621" s="455">
        <f t="array" ref="J5621">IFERROR(INDEX('Retirement Calculator'!K:K,MATCH('Lorri 401b'!N5621,'Retirement Calculator'!A:A,0),0),0)</f>
        <v>0</v>
      </c>
      <c r="K5621" s="455">
        <f t="shared" ca="1" si="193"/>
        <v>-24441374505839.289</v>
      </c>
      <c r="L5621" s="455">
        <f t="shared" ca="1" si="194"/>
        <v>-5890371255907268</v>
      </c>
      <c r="M5621" s="471">
        <f t="shared" si="196"/>
        <v>0.05</v>
      </c>
      <c r="N5621" s="475">
        <f t="shared" si="197"/>
        <v>222129</v>
      </c>
    </row>
    <row r="5622" spans="7:14" ht="11.25" customHeight="1" x14ac:dyDescent="0.3">
      <c r="G5622" s="470"/>
      <c r="H5622" s="470">
        <v>5615</v>
      </c>
      <c r="I5622" s="455">
        <f t="shared" ca="1" si="195"/>
        <v>-5890371255907268</v>
      </c>
      <c r="J5622" s="455">
        <f t="array" ref="J5622">IFERROR(INDEX('Retirement Calculator'!K:K,MATCH('Lorri 401b'!N5622,'Retirement Calculator'!A:A,0),0),0)</f>
        <v>0</v>
      </c>
      <c r="K5622" s="455">
        <f t="shared" ca="1" si="193"/>
        <v>-24543213566280.281</v>
      </c>
      <c r="L5622" s="455">
        <f t="shared" ca="1" si="194"/>
        <v>-5914914469473548</v>
      </c>
      <c r="M5622" s="471">
        <f t="shared" si="196"/>
        <v>0.05</v>
      </c>
      <c r="N5622" s="475">
        <f t="shared" si="197"/>
        <v>222160</v>
      </c>
    </row>
    <row r="5623" spans="7:14" ht="11.25" customHeight="1" x14ac:dyDescent="0.3">
      <c r="G5623" s="470"/>
      <c r="H5623" s="470">
        <v>5616</v>
      </c>
      <c r="I5623" s="455">
        <f t="shared" ca="1" si="195"/>
        <v>-5914914469473548</v>
      </c>
      <c r="J5623" s="455">
        <f t="array" ref="J5623">IFERROR(INDEX('Retirement Calculator'!K:K,MATCH('Lorri 401b'!N5623,'Retirement Calculator'!A:A,0),0),0)</f>
        <v>0</v>
      </c>
      <c r="K5623" s="455">
        <f t="shared" ca="1" si="193"/>
        <v>-24645476956139.781</v>
      </c>
      <c r="L5623" s="455">
        <f t="shared" ca="1" si="194"/>
        <v>-5939559946429688</v>
      </c>
      <c r="M5623" s="471">
        <f t="shared" si="196"/>
        <v>0.05</v>
      </c>
      <c r="N5623" s="475">
        <f t="shared" si="197"/>
        <v>222190</v>
      </c>
    </row>
    <row r="5624" spans="7:14" ht="11.25" customHeight="1" x14ac:dyDescent="0.3">
      <c r="G5624" s="470"/>
      <c r="H5624" s="470">
        <v>5617</v>
      </c>
      <c r="I5624" s="455">
        <f t="shared" ca="1" si="195"/>
        <v>-5939559946429688</v>
      </c>
      <c r="J5624" s="455">
        <f t="array" ref="J5624">IFERROR(INDEX('Retirement Calculator'!K:K,MATCH('Lorri 401b'!N5624,'Retirement Calculator'!A:A,0),0),0)</f>
        <v>0</v>
      </c>
      <c r="K5624" s="455">
        <f t="shared" ca="1" si="193"/>
        <v>-24748166443457.031</v>
      </c>
      <c r="L5624" s="455">
        <f t="shared" ca="1" si="194"/>
        <v>-5964308112873145</v>
      </c>
      <c r="M5624" s="471">
        <f t="shared" si="196"/>
        <v>0.05</v>
      </c>
      <c r="N5624" s="475">
        <f t="shared" si="197"/>
        <v>222221</v>
      </c>
    </row>
    <row r="5625" spans="7:14" ht="11.25" customHeight="1" x14ac:dyDescent="0.3">
      <c r="G5625" s="470"/>
      <c r="H5625" s="470">
        <v>5618</v>
      </c>
      <c r="I5625" s="455">
        <f t="shared" ca="1" si="195"/>
        <v>-5964308112873145</v>
      </c>
      <c r="J5625" s="455">
        <f t="array" ref="J5625">IFERROR(INDEX('Retirement Calculator'!K:K,MATCH('Lorri 401b'!N5625,'Retirement Calculator'!A:A,0),0),0)</f>
        <v>0</v>
      </c>
      <c r="K5625" s="455">
        <f t="shared" ca="1" si="193"/>
        <v>-24851283803638.105</v>
      </c>
      <c r="L5625" s="455">
        <f t="shared" ca="1" si="194"/>
        <v>-5989159396676783</v>
      </c>
      <c r="M5625" s="471">
        <f t="shared" si="196"/>
        <v>0.05</v>
      </c>
      <c r="N5625" s="475">
        <f t="shared" si="197"/>
        <v>222251</v>
      </c>
    </row>
    <row r="5626" spans="7:14" ht="11.25" customHeight="1" x14ac:dyDescent="0.3">
      <c r="G5626" s="470"/>
      <c r="H5626" s="470">
        <v>5619</v>
      </c>
      <c r="I5626" s="455">
        <f t="shared" ca="1" si="195"/>
        <v>-5989159396676783</v>
      </c>
      <c r="J5626" s="455">
        <f t="array" ref="J5626">IFERROR(INDEX('Retirement Calculator'!K:K,MATCH('Lorri 401b'!N5626,'Retirement Calculator'!A:A,0),0),0)</f>
        <v>0</v>
      </c>
      <c r="K5626" s="455">
        <f t="shared" ca="1" si="193"/>
        <v>-24954830819486.594</v>
      </c>
      <c r="L5626" s="455">
        <f t="shared" ca="1" si="194"/>
        <v>-6014114227496270</v>
      </c>
      <c r="M5626" s="471">
        <f t="shared" si="196"/>
        <v>0.05</v>
      </c>
      <c r="N5626" s="475">
        <f t="shared" si="197"/>
        <v>222282</v>
      </c>
    </row>
    <row r="5627" spans="7:14" ht="11.25" customHeight="1" x14ac:dyDescent="0.3">
      <c r="G5627" s="470"/>
      <c r="H5627" s="470">
        <v>5620</v>
      </c>
      <c r="I5627" s="455">
        <f t="shared" ca="1" si="195"/>
        <v>-6014114227496270</v>
      </c>
      <c r="J5627" s="455">
        <f t="array" ref="J5627">IFERROR(INDEX('Retirement Calculator'!K:K,MATCH('Lorri 401b'!N5627,'Retirement Calculator'!A:A,0),0),0)</f>
        <v>0</v>
      </c>
      <c r="K5627" s="455">
        <f t="shared" ca="1" si="193"/>
        <v>-25058809281234.457</v>
      </c>
      <c r="L5627" s="455">
        <f t="shared" ca="1" si="194"/>
        <v>-6039173036777504</v>
      </c>
      <c r="M5627" s="471">
        <f t="shared" si="196"/>
        <v>0.05</v>
      </c>
      <c r="N5627" s="475">
        <f t="shared" si="197"/>
        <v>222313</v>
      </c>
    </row>
    <row r="5628" spans="7:14" ht="11.25" customHeight="1" x14ac:dyDescent="0.3">
      <c r="G5628" s="470"/>
      <c r="H5628" s="470">
        <v>5621</v>
      </c>
      <c r="I5628" s="455">
        <f t="shared" ca="1" si="195"/>
        <v>-6039173036777504</v>
      </c>
      <c r="J5628" s="455">
        <f t="array" ref="J5628">IFERROR(INDEX('Retirement Calculator'!K:K,MATCH('Lorri 401b'!N5628,'Retirement Calculator'!A:A,0),0),0)</f>
        <v>0</v>
      </c>
      <c r="K5628" s="455">
        <f t="shared" ca="1" si="193"/>
        <v>-25163220986572.934</v>
      </c>
      <c r="L5628" s="455">
        <f t="shared" ca="1" si="194"/>
        <v>-6064336257764077</v>
      </c>
      <c r="M5628" s="471">
        <f t="shared" si="196"/>
        <v>0.05</v>
      </c>
      <c r="N5628" s="475">
        <f t="shared" si="197"/>
        <v>222343</v>
      </c>
    </row>
    <row r="5629" spans="7:14" ht="11.25" customHeight="1" x14ac:dyDescent="0.3">
      <c r="G5629" s="470"/>
      <c r="H5629" s="470">
        <v>5622</v>
      </c>
      <c r="I5629" s="455">
        <f t="shared" ca="1" si="195"/>
        <v>-6064336257764077</v>
      </c>
      <c r="J5629" s="455">
        <f t="array" ref="J5629">IFERROR(INDEX('Retirement Calculator'!K:K,MATCH('Lorri 401b'!N5629,'Retirement Calculator'!A:A,0),0),0)</f>
        <v>0</v>
      </c>
      <c r="K5629" s="455">
        <f t="shared" ca="1" si="193"/>
        <v>-25268067740683.652</v>
      </c>
      <c r="L5629" s="455">
        <f t="shared" ca="1" si="194"/>
        <v>-6089604325504761</v>
      </c>
      <c r="M5629" s="471">
        <f t="shared" si="196"/>
        <v>0.05</v>
      </c>
      <c r="N5629" s="475">
        <f t="shared" si="197"/>
        <v>222374</v>
      </c>
    </row>
    <row r="5630" spans="7:14" ht="11.25" customHeight="1" x14ac:dyDescent="0.3">
      <c r="G5630" s="470"/>
      <c r="H5630" s="470">
        <v>5623</v>
      </c>
      <c r="I5630" s="455">
        <f t="shared" ca="1" si="195"/>
        <v>-6089604325504761</v>
      </c>
      <c r="J5630" s="455">
        <f t="array" ref="J5630">IFERROR(INDEX('Retirement Calculator'!K:K,MATCH('Lorri 401b'!N5630,'Retirement Calculator'!A:A,0),0),0)</f>
        <v>0</v>
      </c>
      <c r="K5630" s="455">
        <f t="shared" ca="1" si="193"/>
        <v>-25373351356269.836</v>
      </c>
      <c r="L5630" s="455">
        <f t="shared" ca="1" si="194"/>
        <v>-6114977676861031</v>
      </c>
      <c r="M5630" s="471">
        <f t="shared" si="196"/>
        <v>0.05</v>
      </c>
      <c r="N5630" s="475">
        <f t="shared" si="197"/>
        <v>222404</v>
      </c>
    </row>
    <row r="5631" spans="7:14" ht="11.25" customHeight="1" x14ac:dyDescent="0.3">
      <c r="G5631" s="470"/>
      <c r="H5631" s="470">
        <v>5624</v>
      </c>
      <c r="I5631" s="455">
        <f t="shared" ca="1" si="195"/>
        <v>-6114977676861031</v>
      </c>
      <c r="J5631" s="455">
        <f t="array" ref="J5631">IFERROR(INDEX('Retirement Calculator'!K:K,MATCH('Lorri 401b'!N5631,'Retirement Calculator'!A:A,0),0),0)</f>
        <v>0</v>
      </c>
      <c r="K5631" s="455">
        <f t="shared" ca="1" si="193"/>
        <v>-25479073653587.629</v>
      </c>
      <c r="L5631" s="455">
        <f t="shared" ca="1" si="194"/>
        <v>-6140456750514619</v>
      </c>
      <c r="M5631" s="471">
        <f t="shared" si="196"/>
        <v>0.05</v>
      </c>
      <c r="N5631" s="475">
        <f t="shared" si="197"/>
        <v>222435</v>
      </c>
    </row>
    <row r="5632" spans="7:14" ht="11.25" customHeight="1" x14ac:dyDescent="0.3">
      <c r="G5632" s="470"/>
      <c r="H5632" s="470">
        <v>5625</v>
      </c>
      <c r="I5632" s="455">
        <f t="shared" ca="1" si="195"/>
        <v>-6140456750514619</v>
      </c>
      <c r="J5632" s="455">
        <f t="array" ref="J5632">IFERROR(INDEX('Retirement Calculator'!K:K,MATCH('Lorri 401b'!N5632,'Retirement Calculator'!A:A,0),0),0)</f>
        <v>0</v>
      </c>
      <c r="K5632" s="455">
        <f t="shared" ca="1" si="193"/>
        <v>-25585236460477.578</v>
      </c>
      <c r="L5632" s="455">
        <f t="shared" ca="1" si="194"/>
        <v>-6166041986975097</v>
      </c>
      <c r="M5632" s="471">
        <f t="shared" si="196"/>
        <v>0.05</v>
      </c>
      <c r="N5632" s="475">
        <f t="shared" si="197"/>
        <v>222466</v>
      </c>
    </row>
    <row r="5633" spans="7:14" ht="11.25" customHeight="1" x14ac:dyDescent="0.3">
      <c r="G5633" s="470"/>
      <c r="H5633" s="470">
        <v>5626</v>
      </c>
      <c r="I5633" s="455">
        <f t="shared" ca="1" si="195"/>
        <v>-6166041986975097</v>
      </c>
      <c r="J5633" s="455">
        <f t="array" ref="J5633">IFERROR(INDEX('Retirement Calculator'!K:K,MATCH('Lorri 401b'!N5633,'Retirement Calculator'!A:A,0),0),0)</f>
        <v>0</v>
      </c>
      <c r="K5633" s="455">
        <f t="shared" ca="1" si="193"/>
        <v>-25691841612396.238</v>
      </c>
      <c r="L5633" s="455">
        <f t="shared" ca="1" si="194"/>
        <v>-6191733828587493</v>
      </c>
      <c r="M5633" s="471">
        <f t="shared" si="196"/>
        <v>0.05</v>
      </c>
      <c r="N5633" s="475">
        <f t="shared" si="197"/>
        <v>222494</v>
      </c>
    </row>
    <row r="5634" spans="7:14" ht="11.25" customHeight="1" x14ac:dyDescent="0.3">
      <c r="G5634" s="470"/>
      <c r="H5634" s="470">
        <v>5627</v>
      </c>
      <c r="I5634" s="455">
        <f t="shared" ca="1" si="195"/>
        <v>-6191733828587493</v>
      </c>
      <c r="J5634" s="455">
        <f t="array" ref="J5634">IFERROR(INDEX('Retirement Calculator'!K:K,MATCH('Lorri 401b'!N5634,'Retirement Calculator'!A:A,0),0),0)</f>
        <v>0</v>
      </c>
      <c r="K5634" s="455">
        <f t="shared" ca="1" si="193"/>
        <v>-25798890952447.887</v>
      </c>
      <c r="L5634" s="455">
        <f t="shared" ca="1" si="194"/>
        <v>-6217532719539941</v>
      </c>
      <c r="M5634" s="471">
        <f t="shared" si="196"/>
        <v>0.05</v>
      </c>
      <c r="N5634" s="475">
        <f t="shared" si="197"/>
        <v>222525</v>
      </c>
    </row>
    <row r="5635" spans="7:14" ht="11.25" customHeight="1" x14ac:dyDescent="0.3">
      <c r="G5635" s="470"/>
      <c r="H5635" s="470">
        <v>5628</v>
      </c>
      <c r="I5635" s="455">
        <f t="shared" ca="1" si="195"/>
        <v>-6217532719539941</v>
      </c>
      <c r="J5635" s="455">
        <f t="array" ref="J5635">IFERROR(INDEX('Retirement Calculator'!K:K,MATCH('Lorri 401b'!N5635,'Retirement Calculator'!A:A,0),0),0)</f>
        <v>0</v>
      </c>
      <c r="K5635" s="455">
        <f t="shared" ca="1" si="193"/>
        <v>-25906386331416.422</v>
      </c>
      <c r="L5635" s="455">
        <f t="shared" ca="1" si="194"/>
        <v>-6243439105871357</v>
      </c>
      <c r="M5635" s="471">
        <f t="shared" si="196"/>
        <v>0.05</v>
      </c>
      <c r="N5635" s="475">
        <f t="shared" si="197"/>
        <v>222555</v>
      </c>
    </row>
    <row r="5636" spans="7:14" ht="11.25" customHeight="1" x14ac:dyDescent="0.3">
      <c r="G5636" s="470"/>
      <c r="H5636" s="470">
        <v>5629</v>
      </c>
      <c r="I5636" s="455">
        <f t="shared" ca="1" si="195"/>
        <v>-6243439105871357</v>
      </c>
      <c r="J5636" s="455">
        <f t="array" ref="J5636">IFERROR(INDEX('Retirement Calculator'!K:K,MATCH('Lorri 401b'!N5636,'Retirement Calculator'!A:A,0),0),0)</f>
        <v>0</v>
      </c>
      <c r="K5636" s="455">
        <f t="shared" ca="1" si="193"/>
        <v>-26014329607797.32</v>
      </c>
      <c r="L5636" s="455">
        <f t="shared" ca="1" si="194"/>
        <v>-6269453435479154</v>
      </c>
      <c r="M5636" s="471">
        <f t="shared" si="196"/>
        <v>0.05</v>
      </c>
      <c r="N5636" s="475">
        <f t="shared" si="197"/>
        <v>222586</v>
      </c>
    </row>
    <row r="5637" spans="7:14" ht="11.25" customHeight="1" x14ac:dyDescent="0.3">
      <c r="G5637" s="470"/>
      <c r="H5637" s="470">
        <v>5630</v>
      </c>
      <c r="I5637" s="455">
        <f t="shared" ca="1" si="195"/>
        <v>-6269453435479154</v>
      </c>
      <c r="J5637" s="455">
        <f t="array" ref="J5637">IFERROR(INDEX('Retirement Calculator'!K:K,MATCH('Lorri 401b'!N5637,'Retirement Calculator'!A:A,0),0),0)</f>
        <v>0</v>
      </c>
      <c r="K5637" s="455">
        <f t="shared" ca="1" si="193"/>
        <v>-26122722647829.809</v>
      </c>
      <c r="L5637" s="455">
        <f t="shared" ca="1" si="194"/>
        <v>-6295576158126984</v>
      </c>
      <c r="M5637" s="471">
        <f t="shared" si="196"/>
        <v>0.05</v>
      </c>
      <c r="N5637" s="475">
        <f t="shared" si="197"/>
        <v>222616</v>
      </c>
    </row>
    <row r="5638" spans="7:14" ht="11.25" customHeight="1" x14ac:dyDescent="0.3">
      <c r="G5638" s="470"/>
      <c r="H5638" s="470">
        <v>5631</v>
      </c>
      <c r="I5638" s="455">
        <f t="shared" ca="1" si="195"/>
        <v>-6295576158126984</v>
      </c>
      <c r="J5638" s="455">
        <f t="array" ref="J5638">IFERROR(INDEX('Retirement Calculator'!K:K,MATCH('Lorri 401b'!N5638,'Retirement Calculator'!A:A,0),0),0)</f>
        <v>0</v>
      </c>
      <c r="K5638" s="455">
        <f t="shared" ca="1" si="193"/>
        <v>-26231567325529.102</v>
      </c>
      <c r="L5638" s="455">
        <f t="shared" ca="1" si="194"/>
        <v>-6321807725452513</v>
      </c>
      <c r="M5638" s="471">
        <f t="shared" si="196"/>
        <v>0.05</v>
      </c>
      <c r="N5638" s="475">
        <f t="shared" si="197"/>
        <v>222647</v>
      </c>
    </row>
    <row r="5639" spans="7:14" ht="11.25" customHeight="1" x14ac:dyDescent="0.3">
      <c r="G5639" s="470"/>
      <c r="H5639" s="470">
        <v>5632</v>
      </c>
      <c r="I5639" s="455">
        <f t="shared" ca="1" si="195"/>
        <v>-6321807725452513</v>
      </c>
      <c r="J5639" s="455">
        <f t="array" ref="J5639">IFERROR(INDEX('Retirement Calculator'!K:K,MATCH('Lorri 401b'!N5639,'Retirement Calculator'!A:A,0),0),0)</f>
        <v>0</v>
      </c>
      <c r="K5639" s="455">
        <f t="shared" ca="1" si="193"/>
        <v>-26340865522718.805</v>
      </c>
      <c r="L5639" s="455">
        <f t="shared" ca="1" si="194"/>
        <v>-6348148590975232</v>
      </c>
      <c r="M5639" s="471">
        <f t="shared" si="196"/>
        <v>0.05</v>
      </c>
      <c r="N5639" s="475">
        <f t="shared" si="197"/>
        <v>222678</v>
      </c>
    </row>
    <row r="5640" spans="7:14" ht="11.25" customHeight="1" x14ac:dyDescent="0.3">
      <c r="G5640" s="470"/>
      <c r="H5640" s="470">
        <v>5633</v>
      </c>
      <c r="I5640" s="455">
        <f t="shared" ca="1" si="195"/>
        <v>-6348148590975232</v>
      </c>
      <c r="J5640" s="455">
        <f t="array" ref="J5640">IFERROR(INDEX('Retirement Calculator'!K:K,MATCH('Lorri 401b'!N5640,'Retirement Calculator'!A:A,0),0),0)</f>
        <v>0</v>
      </c>
      <c r="K5640" s="455">
        <f t="shared" ca="1" si="193"/>
        <v>-26450619129063.465</v>
      </c>
      <c r="L5640" s="455">
        <f t="shared" ca="1" si="194"/>
        <v>-6374599210104295</v>
      </c>
      <c r="M5640" s="471">
        <f t="shared" si="196"/>
        <v>0.05</v>
      </c>
      <c r="N5640" s="475">
        <f t="shared" si="197"/>
        <v>222708</v>
      </c>
    </row>
    <row r="5641" spans="7:14" ht="11.25" customHeight="1" x14ac:dyDescent="0.3">
      <c r="G5641" s="470"/>
      <c r="H5641" s="470">
        <v>5634</v>
      </c>
      <c r="I5641" s="455">
        <f t="shared" ca="1" si="195"/>
        <v>-6374599210104295</v>
      </c>
      <c r="J5641" s="455">
        <f t="array" ref="J5641">IFERROR(INDEX('Retirement Calculator'!K:K,MATCH('Lorri 401b'!N5641,'Retirement Calculator'!A:A,0),0),0)</f>
        <v>0</v>
      </c>
      <c r="K5641" s="455">
        <f t="shared" ca="1" si="193"/>
        <v>-26560830042101.23</v>
      </c>
      <c r="L5641" s="455">
        <f t="shared" ca="1" si="194"/>
        <v>-6401160040146396</v>
      </c>
      <c r="M5641" s="471">
        <f t="shared" si="196"/>
        <v>0.05</v>
      </c>
      <c r="N5641" s="475">
        <f t="shared" si="197"/>
        <v>222739</v>
      </c>
    </row>
    <row r="5642" spans="7:14" ht="11.25" customHeight="1" x14ac:dyDescent="0.3">
      <c r="G5642" s="470"/>
      <c r="H5642" s="470">
        <v>5635</v>
      </c>
      <c r="I5642" s="455">
        <f t="shared" ca="1" si="195"/>
        <v>-6401160040146396</v>
      </c>
      <c r="J5642" s="455">
        <f t="array" ref="J5642">IFERROR(INDEX('Retirement Calculator'!K:K,MATCH('Lorri 401b'!N5642,'Retirement Calculator'!A:A,0),0),0)</f>
        <v>0</v>
      </c>
      <c r="K5642" s="455">
        <f t="shared" ca="1" si="193"/>
        <v>-26671500167276.648</v>
      </c>
      <c r="L5642" s="455">
        <f t="shared" ca="1" si="194"/>
        <v>-6427831540313673</v>
      </c>
      <c r="M5642" s="471">
        <f t="shared" si="196"/>
        <v>0.05</v>
      </c>
      <c r="N5642" s="475">
        <f t="shared" si="197"/>
        <v>222769</v>
      </c>
    </row>
    <row r="5643" spans="7:14" ht="11.25" customHeight="1" x14ac:dyDescent="0.3">
      <c r="G5643" s="470"/>
      <c r="H5643" s="470">
        <v>5636</v>
      </c>
      <c r="I5643" s="455">
        <f t="shared" ca="1" si="195"/>
        <v>-6427831540313673</v>
      </c>
      <c r="J5643" s="455">
        <f t="array" ref="J5643">IFERROR(INDEX('Retirement Calculator'!K:K,MATCH('Lorri 401b'!N5643,'Retirement Calculator'!A:A,0),0),0)</f>
        <v>0</v>
      </c>
      <c r="K5643" s="455">
        <f t="shared" ca="1" si="193"/>
        <v>-26782631417973.637</v>
      </c>
      <c r="L5643" s="455">
        <f t="shared" ca="1" si="194"/>
        <v>-6454614171731647</v>
      </c>
      <c r="M5643" s="471">
        <f t="shared" si="196"/>
        <v>0.05</v>
      </c>
      <c r="N5643" s="475">
        <f t="shared" si="197"/>
        <v>222800</v>
      </c>
    </row>
    <row r="5644" spans="7:14" ht="11.25" customHeight="1" x14ac:dyDescent="0.3">
      <c r="G5644" s="470"/>
      <c r="H5644" s="470">
        <v>5637</v>
      </c>
      <c r="I5644" s="455">
        <f t="shared" ca="1" si="195"/>
        <v>-6454614171731647</v>
      </c>
      <c r="J5644" s="455">
        <f t="array" ref="J5644">IFERROR(INDEX('Retirement Calculator'!K:K,MATCH('Lorri 401b'!N5644,'Retirement Calculator'!A:A,0),0),0)</f>
        <v>0</v>
      </c>
      <c r="K5644" s="455">
        <f t="shared" ca="1" si="193"/>
        <v>-26894225715548.527</v>
      </c>
      <c r="L5644" s="455">
        <f t="shared" ca="1" si="194"/>
        <v>-6481508397447196</v>
      </c>
      <c r="M5644" s="471">
        <f t="shared" si="196"/>
        <v>0.05</v>
      </c>
      <c r="N5644" s="475">
        <f t="shared" si="197"/>
        <v>222831</v>
      </c>
    </row>
    <row r="5645" spans="7:14" ht="11.25" customHeight="1" x14ac:dyDescent="0.3">
      <c r="G5645" s="470"/>
      <c r="H5645" s="470">
        <v>5638</v>
      </c>
      <c r="I5645" s="455">
        <f t="shared" ca="1" si="195"/>
        <v>-6481508397447196</v>
      </c>
      <c r="J5645" s="455">
        <f t="array" ref="J5645">IFERROR(INDEX('Retirement Calculator'!K:K,MATCH('Lorri 401b'!N5645,'Retirement Calculator'!A:A,0),0),0)</f>
        <v>0</v>
      </c>
      <c r="K5645" s="455">
        <f t="shared" ca="1" si="193"/>
        <v>-27006284989363.316</v>
      </c>
      <c r="L5645" s="455">
        <f t="shared" ca="1" si="194"/>
        <v>-6508514682436559</v>
      </c>
      <c r="M5645" s="471">
        <f t="shared" si="196"/>
        <v>0.05</v>
      </c>
      <c r="N5645" s="475">
        <f t="shared" si="197"/>
        <v>222859</v>
      </c>
    </row>
    <row r="5646" spans="7:14" ht="11.25" customHeight="1" x14ac:dyDescent="0.3">
      <c r="G5646" s="470"/>
      <c r="H5646" s="470">
        <v>5639</v>
      </c>
      <c r="I5646" s="455">
        <f t="shared" ca="1" si="195"/>
        <v>-6508514682436559</v>
      </c>
      <c r="J5646" s="455">
        <f t="array" ref="J5646">IFERROR(INDEX('Retirement Calculator'!K:K,MATCH('Lorri 401b'!N5646,'Retirement Calculator'!A:A,0),0),0)</f>
        <v>0</v>
      </c>
      <c r="K5646" s="455">
        <f t="shared" ca="1" si="193"/>
        <v>-27118811176818.996</v>
      </c>
      <c r="L5646" s="455">
        <f t="shared" ca="1" si="194"/>
        <v>-6535633493613378</v>
      </c>
      <c r="M5646" s="471">
        <f t="shared" si="196"/>
        <v>0.05</v>
      </c>
      <c r="N5646" s="475">
        <f t="shared" si="197"/>
        <v>222890</v>
      </c>
    </row>
    <row r="5647" spans="7:14" ht="11.25" customHeight="1" x14ac:dyDescent="0.3">
      <c r="G5647" s="470"/>
      <c r="H5647" s="470">
        <v>5640</v>
      </c>
      <c r="I5647" s="455">
        <f t="shared" ca="1" si="195"/>
        <v>-6535633493613378</v>
      </c>
      <c r="J5647" s="455">
        <f t="array" ref="J5647">IFERROR(INDEX('Retirement Calculator'!K:K,MATCH('Lorri 401b'!N5647,'Retirement Calculator'!A:A,0),0),0)</f>
        <v>0</v>
      </c>
      <c r="K5647" s="455">
        <f t="shared" ca="1" si="193"/>
        <v>-27231806223389.074</v>
      </c>
      <c r="L5647" s="455">
        <f t="shared" ca="1" si="194"/>
        <v>-6562865299836767</v>
      </c>
      <c r="M5647" s="471">
        <f t="shared" si="196"/>
        <v>0.05</v>
      </c>
      <c r="N5647" s="475">
        <f t="shared" si="197"/>
        <v>222920</v>
      </c>
    </row>
    <row r="5648" spans="7:14" ht="11.25" customHeight="1" x14ac:dyDescent="0.3">
      <c r="G5648" s="470"/>
      <c r="H5648" s="470">
        <v>5641</v>
      </c>
      <c r="I5648" s="455">
        <f t="shared" ca="1" si="195"/>
        <v>-6562865299836767</v>
      </c>
      <c r="J5648" s="455">
        <f t="array" ref="J5648">IFERROR(INDEX('Retirement Calculator'!K:K,MATCH('Lorri 401b'!N5648,'Retirement Calculator'!A:A,0),0),0)</f>
        <v>0</v>
      </c>
      <c r="K5648" s="455">
        <f t="shared" ca="1" si="193"/>
        <v>-27345272082653.195</v>
      </c>
      <c r="L5648" s="455">
        <f t="shared" ca="1" si="194"/>
        <v>-6590210571919420</v>
      </c>
      <c r="M5648" s="471">
        <f t="shared" si="196"/>
        <v>0.05</v>
      </c>
      <c r="N5648" s="475">
        <f t="shared" si="197"/>
        <v>222951</v>
      </c>
    </row>
    <row r="5649" spans="7:14" ht="11.25" customHeight="1" x14ac:dyDescent="0.3">
      <c r="G5649" s="470"/>
      <c r="H5649" s="470">
        <v>5642</v>
      </c>
      <c r="I5649" s="455">
        <f t="shared" ca="1" si="195"/>
        <v>-6590210571919420</v>
      </c>
      <c r="J5649" s="455">
        <f t="array" ref="J5649">IFERROR(INDEX('Retirement Calculator'!K:K,MATCH('Lorri 401b'!N5649,'Retirement Calculator'!A:A,0),0),0)</f>
        <v>0</v>
      </c>
      <c r="K5649" s="455">
        <f t="shared" ca="1" si="193"/>
        <v>-27459210716330.918</v>
      </c>
      <c r="L5649" s="455">
        <f t="shared" ca="1" si="194"/>
        <v>-6617669782635751</v>
      </c>
      <c r="M5649" s="471">
        <f t="shared" si="196"/>
        <v>0.05</v>
      </c>
      <c r="N5649" s="475">
        <f t="shared" si="197"/>
        <v>222981</v>
      </c>
    </row>
    <row r="5650" spans="7:14" ht="11.25" customHeight="1" x14ac:dyDescent="0.3">
      <c r="G5650" s="470"/>
      <c r="H5650" s="470">
        <v>5643</v>
      </c>
      <c r="I5650" s="455">
        <f t="shared" ca="1" si="195"/>
        <v>-6617669782635751</v>
      </c>
      <c r="J5650" s="455">
        <f t="array" ref="J5650">IFERROR(INDEX('Retirement Calculator'!K:K,MATCH('Lorri 401b'!N5650,'Retirement Calculator'!A:A,0),0),0)</f>
        <v>0</v>
      </c>
      <c r="K5650" s="455">
        <f t="shared" ca="1" si="193"/>
        <v>-27573624094315.629</v>
      </c>
      <c r="L5650" s="455">
        <f t="shared" ca="1" si="194"/>
        <v>-6645243406730067</v>
      </c>
      <c r="M5650" s="471">
        <f t="shared" si="196"/>
        <v>0.05</v>
      </c>
      <c r="N5650" s="475">
        <f t="shared" si="197"/>
        <v>223012</v>
      </c>
    </row>
    <row r="5651" spans="7:14" ht="11.25" customHeight="1" x14ac:dyDescent="0.3">
      <c r="G5651" s="470"/>
      <c r="H5651" s="470">
        <v>5644</v>
      </c>
      <c r="I5651" s="455">
        <f t="shared" ca="1" si="195"/>
        <v>-6645243406730067</v>
      </c>
      <c r="J5651" s="455">
        <f t="array" ref="J5651">IFERROR(INDEX('Retirement Calculator'!K:K,MATCH('Lorri 401b'!N5651,'Retirement Calculator'!A:A,0),0),0)</f>
        <v>0</v>
      </c>
      <c r="K5651" s="455">
        <f t="shared" ca="1" si="193"/>
        <v>-27688514194708.613</v>
      </c>
      <c r="L5651" s="455">
        <f t="shared" ca="1" si="194"/>
        <v>-6672931920924776</v>
      </c>
      <c r="M5651" s="471">
        <f t="shared" si="196"/>
        <v>0.05</v>
      </c>
      <c r="N5651" s="475">
        <f t="shared" si="197"/>
        <v>223043</v>
      </c>
    </row>
    <row r="5652" spans="7:14" ht="11.25" customHeight="1" x14ac:dyDescent="0.3">
      <c r="G5652" s="470"/>
      <c r="H5652" s="470">
        <v>5645</v>
      </c>
      <c r="I5652" s="455">
        <f t="shared" ca="1" si="195"/>
        <v>-6672931920924776</v>
      </c>
      <c r="J5652" s="455">
        <f t="array" ref="J5652">IFERROR(INDEX('Retirement Calculator'!K:K,MATCH('Lorri 401b'!N5652,'Retirement Calculator'!A:A,0),0),0)</f>
        <v>0</v>
      </c>
      <c r="K5652" s="455">
        <f t="shared" ca="1" si="193"/>
        <v>-27803883003853.234</v>
      </c>
      <c r="L5652" s="455">
        <f t="shared" ca="1" si="194"/>
        <v>-6700735803928629</v>
      </c>
      <c r="M5652" s="471">
        <f t="shared" si="196"/>
        <v>0.05</v>
      </c>
      <c r="N5652" s="475">
        <f t="shared" si="197"/>
        <v>223073</v>
      </c>
    </row>
    <row r="5653" spans="7:14" ht="11.25" customHeight="1" x14ac:dyDescent="0.3">
      <c r="G5653" s="470"/>
      <c r="H5653" s="470">
        <v>5646</v>
      </c>
      <c r="I5653" s="455">
        <f t="shared" ca="1" si="195"/>
        <v>-6700735803928629</v>
      </c>
      <c r="J5653" s="455">
        <f t="array" ref="J5653">IFERROR(INDEX('Retirement Calculator'!K:K,MATCH('Lorri 401b'!N5653,'Retirement Calculator'!A:A,0),0),0)</f>
        <v>0</v>
      </c>
      <c r="K5653" s="455">
        <f t="shared" ca="1" si="193"/>
        <v>-27919732516369.289</v>
      </c>
      <c r="L5653" s="455">
        <f t="shared" ca="1" si="194"/>
        <v>-6728655536444998</v>
      </c>
      <c r="M5653" s="471">
        <f t="shared" si="196"/>
        <v>0.05</v>
      </c>
      <c r="N5653" s="475">
        <f t="shared" si="197"/>
        <v>223104</v>
      </c>
    </row>
    <row r="5654" spans="7:14" ht="11.25" customHeight="1" x14ac:dyDescent="0.3">
      <c r="G5654" s="470"/>
      <c r="H5654" s="470">
        <v>5647</v>
      </c>
      <c r="I5654" s="455">
        <f t="shared" ca="1" si="195"/>
        <v>-6728655536444998</v>
      </c>
      <c r="J5654" s="455">
        <f t="array" ref="J5654">IFERROR(INDEX('Retirement Calculator'!K:K,MATCH('Lorri 401b'!N5654,'Retirement Calculator'!A:A,0),0),0)</f>
        <v>0</v>
      </c>
      <c r="K5654" s="455">
        <f t="shared" ca="1" si="193"/>
        <v>-28036064735187.492</v>
      </c>
      <c r="L5654" s="455">
        <f t="shared" ca="1" si="194"/>
        <v>-6756691601180185</v>
      </c>
      <c r="M5654" s="471">
        <f t="shared" si="196"/>
        <v>0.05</v>
      </c>
      <c r="N5654" s="475">
        <f t="shared" si="197"/>
        <v>223134</v>
      </c>
    </row>
    <row r="5655" spans="7:14" ht="11.25" customHeight="1" x14ac:dyDescent="0.3">
      <c r="G5655" s="470"/>
      <c r="H5655" s="470">
        <v>5648</v>
      </c>
      <c r="I5655" s="455">
        <f t="shared" ca="1" si="195"/>
        <v>-6756691601180185</v>
      </c>
      <c r="J5655" s="455">
        <f t="array" ref="J5655">IFERROR(INDEX('Retirement Calculator'!K:K,MATCH('Lorri 401b'!N5655,'Retirement Calculator'!A:A,0),0),0)</f>
        <v>0</v>
      </c>
      <c r="K5655" s="455">
        <f t="shared" ca="1" si="193"/>
        <v>-28152881671584.105</v>
      </c>
      <c r="L5655" s="455">
        <f t="shared" ca="1" si="194"/>
        <v>-6784844482851769</v>
      </c>
      <c r="M5655" s="471">
        <f t="shared" si="196"/>
        <v>0.05</v>
      </c>
      <c r="N5655" s="475">
        <f t="shared" si="197"/>
        <v>223165</v>
      </c>
    </row>
    <row r="5656" spans="7:14" ht="11.25" customHeight="1" x14ac:dyDescent="0.3">
      <c r="G5656" s="470"/>
      <c r="H5656" s="470">
        <v>5649</v>
      </c>
      <c r="I5656" s="455">
        <f t="shared" ca="1" si="195"/>
        <v>-6784844482851769</v>
      </c>
      <c r="J5656" s="455">
        <f t="array" ref="J5656">IFERROR(INDEX('Retirement Calculator'!K:K,MATCH('Lorri 401b'!N5656,'Retirement Calculator'!A:A,0),0),0)</f>
        <v>0</v>
      </c>
      <c r="K5656" s="455">
        <f t="shared" ca="1" si="193"/>
        <v>-28270185345215.703</v>
      </c>
      <c r="L5656" s="455">
        <f t="shared" ca="1" si="194"/>
        <v>-6813114668196985</v>
      </c>
      <c r="M5656" s="471">
        <f t="shared" si="196"/>
        <v>0.05</v>
      </c>
      <c r="N5656" s="475">
        <f t="shared" si="197"/>
        <v>223196</v>
      </c>
    </row>
    <row r="5657" spans="7:14" ht="11.25" customHeight="1" x14ac:dyDescent="0.3">
      <c r="G5657" s="470"/>
      <c r="H5657" s="470">
        <v>5650</v>
      </c>
      <c r="I5657" s="455">
        <f t="shared" ca="1" si="195"/>
        <v>-6813114668196985</v>
      </c>
      <c r="J5657" s="455">
        <f t="array" ref="J5657">IFERROR(INDEX('Retirement Calculator'!K:K,MATCH('Lorri 401b'!N5657,'Retirement Calculator'!A:A,0),0),0)</f>
        <v>0</v>
      </c>
      <c r="K5657" s="455">
        <f t="shared" ca="1" si="193"/>
        <v>-28387977784154.105</v>
      </c>
      <c r="L5657" s="455">
        <f t="shared" ca="1" si="194"/>
        <v>-6841502645981139</v>
      </c>
      <c r="M5657" s="471">
        <f t="shared" si="196"/>
        <v>0.05</v>
      </c>
      <c r="N5657" s="475">
        <f t="shared" si="197"/>
        <v>223224</v>
      </c>
    </row>
    <row r="5658" spans="7:14" ht="11.25" customHeight="1" x14ac:dyDescent="0.3">
      <c r="G5658" s="470"/>
      <c r="H5658" s="470">
        <v>5651</v>
      </c>
      <c r="I5658" s="455">
        <f t="shared" ca="1" si="195"/>
        <v>-6841502645981139</v>
      </c>
      <c r="J5658" s="455">
        <f t="array" ref="J5658">IFERROR(INDEX('Retirement Calculator'!K:K,MATCH('Lorri 401b'!N5658,'Retirement Calculator'!A:A,0),0),0)</f>
        <v>0</v>
      </c>
      <c r="K5658" s="455">
        <f t="shared" ca="1" si="193"/>
        <v>-28506261024921.41</v>
      </c>
      <c r="L5658" s="455">
        <f t="shared" ca="1" si="194"/>
        <v>-6870008907006060</v>
      </c>
      <c r="M5658" s="471">
        <f t="shared" si="196"/>
        <v>0.05</v>
      </c>
      <c r="N5658" s="475">
        <f t="shared" si="197"/>
        <v>223255</v>
      </c>
    </row>
    <row r="5659" spans="7:14" ht="11.25" customHeight="1" x14ac:dyDescent="0.3">
      <c r="G5659" s="470"/>
      <c r="H5659" s="470">
        <v>5652</v>
      </c>
      <c r="I5659" s="455">
        <f t="shared" ca="1" si="195"/>
        <v>-6870008907006060</v>
      </c>
      <c r="J5659" s="455">
        <f t="array" ref="J5659">IFERROR(INDEX('Retirement Calculator'!K:K,MATCH('Lorri 401b'!N5659,'Retirement Calculator'!A:A,0),0),0)</f>
        <v>0</v>
      </c>
      <c r="K5659" s="455">
        <f t="shared" ca="1" si="193"/>
        <v>-28625037112525.25</v>
      </c>
      <c r="L5659" s="455">
        <f t="shared" ca="1" si="194"/>
        <v>-6898633944118585</v>
      </c>
      <c r="M5659" s="471">
        <f t="shared" si="196"/>
        <v>0.05</v>
      </c>
      <c r="N5659" s="475">
        <f t="shared" si="197"/>
        <v>223285</v>
      </c>
    </row>
    <row r="5660" spans="7:14" ht="11.25" customHeight="1" x14ac:dyDescent="0.3">
      <c r="G5660" s="470"/>
      <c r="H5660" s="470">
        <v>5653</v>
      </c>
      <c r="I5660" s="455">
        <f t="shared" ca="1" si="195"/>
        <v>-6898633944118585</v>
      </c>
      <c r="J5660" s="455">
        <f t="array" ref="J5660">IFERROR(INDEX('Retirement Calculator'!K:K,MATCH('Lorri 401b'!N5660,'Retirement Calculator'!A:A,0),0),0)</f>
        <v>0</v>
      </c>
      <c r="K5660" s="455">
        <f t="shared" ca="1" si="193"/>
        <v>-28744308100494.105</v>
      </c>
      <c r="L5660" s="455">
        <f t="shared" ca="1" si="194"/>
        <v>-6927378252219079</v>
      </c>
      <c r="M5660" s="471">
        <f t="shared" si="196"/>
        <v>0.05</v>
      </c>
      <c r="N5660" s="475">
        <f t="shared" si="197"/>
        <v>223316</v>
      </c>
    </row>
    <row r="5661" spans="7:14" ht="11.25" customHeight="1" x14ac:dyDescent="0.3">
      <c r="G5661" s="470"/>
      <c r="H5661" s="470">
        <v>5654</v>
      </c>
      <c r="I5661" s="455">
        <f t="shared" ca="1" si="195"/>
        <v>-6927378252219079</v>
      </c>
      <c r="J5661" s="455">
        <f t="array" ref="J5661">IFERROR(INDEX('Retirement Calculator'!K:K,MATCH('Lorri 401b'!N5661,'Retirement Calculator'!A:A,0),0),0)</f>
        <v>0</v>
      </c>
      <c r="K5661" s="455">
        <f t="shared" ca="1" si="193"/>
        <v>-28864076050912.828</v>
      </c>
      <c r="L5661" s="455">
        <f t="shared" ca="1" si="194"/>
        <v>-6956242328269992</v>
      </c>
      <c r="M5661" s="471">
        <f t="shared" si="196"/>
        <v>0.05</v>
      </c>
      <c r="N5661" s="475">
        <f t="shared" si="197"/>
        <v>223346</v>
      </c>
    </row>
    <row r="5662" spans="7:14" ht="11.25" customHeight="1" x14ac:dyDescent="0.3">
      <c r="G5662" s="470"/>
      <c r="H5662" s="470">
        <v>5655</v>
      </c>
      <c r="I5662" s="455">
        <f t="shared" ca="1" si="195"/>
        <v>-6956242328269992</v>
      </c>
      <c r="J5662" s="455">
        <f t="array" ref="J5662">IFERROR(INDEX('Retirement Calculator'!K:K,MATCH('Lorri 401b'!N5662,'Retirement Calculator'!A:A,0),0),0)</f>
        <v>0</v>
      </c>
      <c r="K5662" s="455">
        <f t="shared" ca="1" si="193"/>
        <v>-28984343034458.301</v>
      </c>
      <c r="L5662" s="455">
        <f t="shared" ca="1" si="194"/>
        <v>-6985226671304450</v>
      </c>
      <c r="M5662" s="471">
        <f t="shared" si="196"/>
        <v>0.05</v>
      </c>
      <c r="N5662" s="475">
        <f t="shared" si="197"/>
        <v>223377</v>
      </c>
    </row>
    <row r="5663" spans="7:14" ht="11.25" customHeight="1" x14ac:dyDescent="0.3">
      <c r="G5663" s="470"/>
      <c r="H5663" s="470">
        <v>5656</v>
      </c>
      <c r="I5663" s="455">
        <f t="shared" ca="1" si="195"/>
        <v>-6985226671304450</v>
      </c>
      <c r="J5663" s="455">
        <f t="array" ref="J5663">IFERROR(INDEX('Retirement Calculator'!K:K,MATCH('Lorri 401b'!N5663,'Retirement Calculator'!A:A,0),0),0)</f>
        <v>0</v>
      </c>
      <c r="K5663" s="455">
        <f t="shared" ca="1" si="193"/>
        <v>-29105111130435.207</v>
      </c>
      <c r="L5663" s="455">
        <f t="shared" ca="1" si="194"/>
        <v>-7014331782434885</v>
      </c>
      <c r="M5663" s="471">
        <f t="shared" si="196"/>
        <v>0.05</v>
      </c>
      <c r="N5663" s="475">
        <f t="shared" si="197"/>
        <v>223408</v>
      </c>
    </row>
    <row r="5664" spans="7:14" ht="11.25" customHeight="1" x14ac:dyDescent="0.3">
      <c r="G5664" s="470"/>
      <c r="H5664" s="470">
        <v>5657</v>
      </c>
      <c r="I5664" s="455">
        <f t="shared" ca="1" si="195"/>
        <v>-7014331782434885</v>
      </c>
      <c r="J5664" s="455">
        <f t="array" ref="J5664">IFERROR(INDEX('Retirement Calculator'!K:K,MATCH('Lorri 401b'!N5664,'Retirement Calculator'!A:A,0),0),0)</f>
        <v>0</v>
      </c>
      <c r="K5664" s="455">
        <f t="shared" ca="1" si="193"/>
        <v>-29226382426812.02</v>
      </c>
      <c r="L5664" s="455">
        <f t="shared" ca="1" si="194"/>
        <v>-7043558164861697</v>
      </c>
      <c r="M5664" s="471">
        <f t="shared" si="196"/>
        <v>0.05</v>
      </c>
      <c r="N5664" s="475">
        <f t="shared" si="197"/>
        <v>223438</v>
      </c>
    </row>
    <row r="5665" spans="7:14" ht="11.25" customHeight="1" x14ac:dyDescent="0.3">
      <c r="G5665" s="470"/>
      <c r="H5665" s="470">
        <v>5658</v>
      </c>
      <c r="I5665" s="455">
        <f t="shared" ca="1" si="195"/>
        <v>-7043558164861697</v>
      </c>
      <c r="J5665" s="455">
        <f t="array" ref="J5665">IFERROR(INDEX('Retirement Calculator'!K:K,MATCH('Lorri 401b'!N5665,'Retirement Calculator'!A:A,0),0),0)</f>
        <v>0</v>
      </c>
      <c r="K5665" s="455">
        <f t="shared" ca="1" si="193"/>
        <v>-29348159020257.07</v>
      </c>
      <c r="L5665" s="455">
        <f t="shared" ca="1" si="194"/>
        <v>-7072906323881954</v>
      </c>
      <c r="M5665" s="471">
        <f t="shared" si="196"/>
        <v>0.05</v>
      </c>
      <c r="N5665" s="475">
        <f t="shared" si="197"/>
        <v>223469</v>
      </c>
    </row>
    <row r="5666" spans="7:14" ht="11.25" customHeight="1" x14ac:dyDescent="0.3">
      <c r="G5666" s="470"/>
      <c r="H5666" s="470">
        <v>5659</v>
      </c>
      <c r="I5666" s="455">
        <f t="shared" ca="1" si="195"/>
        <v>-7072906323881954</v>
      </c>
      <c r="J5666" s="455">
        <f t="array" ref="J5666">IFERROR(INDEX('Retirement Calculator'!K:K,MATCH('Lorri 401b'!N5666,'Retirement Calculator'!A:A,0),0),0)</f>
        <v>0</v>
      </c>
      <c r="K5666" s="455">
        <f t="shared" ca="1" si="193"/>
        <v>-29470443016174.809</v>
      </c>
      <c r="L5666" s="455">
        <f t="shared" ca="1" si="194"/>
        <v>-7102376766898129</v>
      </c>
      <c r="M5666" s="471">
        <f t="shared" si="196"/>
        <v>0.05</v>
      </c>
      <c r="N5666" s="475">
        <f t="shared" si="197"/>
        <v>223499</v>
      </c>
    </row>
    <row r="5667" spans="7:14" ht="11.25" customHeight="1" x14ac:dyDescent="0.3">
      <c r="G5667" s="470"/>
      <c r="H5667" s="470">
        <v>5660</v>
      </c>
      <c r="I5667" s="455">
        <f t="shared" ca="1" si="195"/>
        <v>-7102376766898129</v>
      </c>
      <c r="J5667" s="455">
        <f t="array" ref="J5667">IFERROR(INDEX('Retirement Calculator'!K:K,MATCH('Lorri 401b'!N5667,'Retirement Calculator'!A:A,0),0),0)</f>
        <v>0</v>
      </c>
      <c r="K5667" s="455">
        <f t="shared" ca="1" si="193"/>
        <v>-29593236528742.203</v>
      </c>
      <c r="L5667" s="455">
        <f t="shared" ca="1" si="194"/>
        <v>-7131970003426871</v>
      </c>
      <c r="M5667" s="471">
        <f t="shared" si="196"/>
        <v>0.05</v>
      </c>
      <c r="N5667" s="475">
        <f t="shared" si="197"/>
        <v>223530</v>
      </c>
    </row>
    <row r="5668" spans="7:14" ht="11.25" customHeight="1" x14ac:dyDescent="0.3">
      <c r="G5668" s="470"/>
      <c r="H5668" s="470">
        <v>5661</v>
      </c>
      <c r="I5668" s="455">
        <f t="shared" ca="1" si="195"/>
        <v>-7131970003426871</v>
      </c>
      <c r="J5668" s="455">
        <f t="array" ref="J5668">IFERROR(INDEX('Retirement Calculator'!K:K,MATCH('Lorri 401b'!N5668,'Retirement Calculator'!A:A,0),0),0)</f>
        <v>0</v>
      </c>
      <c r="K5668" s="455">
        <f t="shared" ca="1" si="193"/>
        <v>-29716541680945.297</v>
      </c>
      <c r="L5668" s="455">
        <f t="shared" ca="1" si="194"/>
        <v>-7161686545107816</v>
      </c>
      <c r="M5668" s="471">
        <f t="shared" si="196"/>
        <v>0.05</v>
      </c>
      <c r="N5668" s="475">
        <f t="shared" si="197"/>
        <v>223561</v>
      </c>
    </row>
    <row r="5669" spans="7:14" ht="11.25" customHeight="1" x14ac:dyDescent="0.3">
      <c r="G5669" s="470"/>
      <c r="H5669" s="470">
        <v>5662</v>
      </c>
      <c r="I5669" s="455">
        <f t="shared" ca="1" si="195"/>
        <v>-7161686545107816</v>
      </c>
      <c r="J5669" s="455">
        <f t="array" ref="J5669">IFERROR(INDEX('Retirement Calculator'!K:K,MATCH('Lorri 401b'!N5669,'Retirement Calculator'!A:A,0),0),0)</f>
        <v>0</v>
      </c>
      <c r="K5669" s="455">
        <f t="shared" ca="1" si="193"/>
        <v>-29840360604615.898</v>
      </c>
      <c r="L5669" s="455">
        <f t="shared" ca="1" si="194"/>
        <v>-7191526905712432</v>
      </c>
      <c r="M5669" s="471">
        <f t="shared" si="196"/>
        <v>0.05</v>
      </c>
      <c r="N5669" s="475">
        <f t="shared" si="197"/>
        <v>223590</v>
      </c>
    </row>
    <row r="5670" spans="7:14" ht="11.25" customHeight="1" x14ac:dyDescent="0.3">
      <c r="G5670" s="470"/>
      <c r="H5670" s="470">
        <v>5663</v>
      </c>
      <c r="I5670" s="455">
        <f t="shared" ca="1" si="195"/>
        <v>-7191526905712432</v>
      </c>
      <c r="J5670" s="455">
        <f t="array" ref="J5670">IFERROR(INDEX('Retirement Calculator'!K:K,MATCH('Lorri 401b'!N5670,'Retirement Calculator'!A:A,0),0),0)</f>
        <v>0</v>
      </c>
      <c r="K5670" s="455">
        <f t="shared" ca="1" si="193"/>
        <v>-29964695440468.465</v>
      </c>
      <c r="L5670" s="455">
        <f t="shared" ca="1" si="194"/>
        <v>-7221491601152900</v>
      </c>
      <c r="M5670" s="471">
        <f t="shared" si="196"/>
        <v>0.05</v>
      </c>
      <c r="N5670" s="475">
        <f t="shared" si="197"/>
        <v>223621</v>
      </c>
    </row>
    <row r="5671" spans="7:14" ht="11.25" customHeight="1" x14ac:dyDescent="0.3">
      <c r="G5671" s="470"/>
      <c r="H5671" s="470">
        <v>5664</v>
      </c>
      <c r="I5671" s="455">
        <f t="shared" ca="1" si="195"/>
        <v>-7221491601152900</v>
      </c>
      <c r="J5671" s="455">
        <f t="array" ref="J5671">IFERROR(INDEX('Retirement Calculator'!K:K,MATCH('Lorri 401b'!N5671,'Retirement Calculator'!A:A,0),0),0)</f>
        <v>0</v>
      </c>
      <c r="K5671" s="455">
        <f t="shared" ca="1" si="193"/>
        <v>-30089548338137.082</v>
      </c>
      <c r="L5671" s="455">
        <f t="shared" ca="1" si="194"/>
        <v>-7251581149491037</v>
      </c>
      <c r="M5671" s="471">
        <f t="shared" si="196"/>
        <v>0.05</v>
      </c>
      <c r="N5671" s="475">
        <f t="shared" si="197"/>
        <v>223651</v>
      </c>
    </row>
    <row r="5672" spans="7:14" ht="11.25" customHeight="1" x14ac:dyDescent="0.3">
      <c r="G5672" s="470"/>
      <c r="H5672" s="470">
        <v>5665</v>
      </c>
      <c r="I5672" s="455">
        <f t="shared" ca="1" si="195"/>
        <v>-7251581149491037</v>
      </c>
      <c r="J5672" s="455">
        <f t="array" ref="J5672">IFERROR(INDEX('Retirement Calculator'!K:K,MATCH('Lorri 401b'!N5672,'Retirement Calculator'!A:A,0),0),0)</f>
        <v>0</v>
      </c>
      <c r="K5672" s="455">
        <f t="shared" ca="1" si="193"/>
        <v>-30214921456212.652</v>
      </c>
      <c r="L5672" s="455">
        <f t="shared" ca="1" si="194"/>
        <v>-7281796070947250</v>
      </c>
      <c r="M5672" s="471">
        <f t="shared" si="196"/>
        <v>0.05</v>
      </c>
      <c r="N5672" s="475">
        <f t="shared" si="197"/>
        <v>223682</v>
      </c>
    </row>
    <row r="5673" spans="7:14" ht="11.25" customHeight="1" x14ac:dyDescent="0.3">
      <c r="G5673" s="470"/>
      <c r="H5673" s="470">
        <v>5666</v>
      </c>
      <c r="I5673" s="455">
        <f t="shared" ca="1" si="195"/>
        <v>-7281796070947250</v>
      </c>
      <c r="J5673" s="455">
        <f t="array" ref="J5673">IFERROR(INDEX('Retirement Calculator'!K:K,MATCH('Lorri 401b'!N5673,'Retirement Calculator'!A:A,0),0),0)</f>
        <v>0</v>
      </c>
      <c r="K5673" s="455">
        <f t="shared" ca="1" si="193"/>
        <v>-30340816962280.211</v>
      </c>
      <c r="L5673" s="455">
        <f t="shared" ca="1" si="194"/>
        <v>-7312136887909530</v>
      </c>
      <c r="M5673" s="471">
        <f t="shared" si="196"/>
        <v>0.05</v>
      </c>
      <c r="N5673" s="475">
        <f t="shared" si="197"/>
        <v>223712</v>
      </c>
    </row>
    <row r="5674" spans="7:14" ht="11.25" customHeight="1" x14ac:dyDescent="0.3">
      <c r="G5674" s="470"/>
      <c r="H5674" s="470">
        <v>5667</v>
      </c>
      <c r="I5674" s="455">
        <f t="shared" ca="1" si="195"/>
        <v>-7312136887909530</v>
      </c>
      <c r="J5674" s="455">
        <f t="array" ref="J5674">IFERROR(INDEX('Retirement Calculator'!K:K,MATCH('Lorri 401b'!N5674,'Retirement Calculator'!A:A,0),0),0)</f>
        <v>0</v>
      </c>
      <c r="K5674" s="455">
        <f t="shared" ca="1" si="193"/>
        <v>-30467237032956.379</v>
      </c>
      <c r="L5674" s="455">
        <f t="shared" ca="1" si="194"/>
        <v>-7342604124942486</v>
      </c>
      <c r="M5674" s="471">
        <f t="shared" si="196"/>
        <v>0.05</v>
      </c>
      <c r="N5674" s="475">
        <f t="shared" si="197"/>
        <v>223743</v>
      </c>
    </row>
    <row r="5675" spans="7:14" ht="11.25" customHeight="1" x14ac:dyDescent="0.3">
      <c r="G5675" s="470"/>
      <c r="H5675" s="470">
        <v>5668</v>
      </c>
      <c r="I5675" s="455">
        <f t="shared" ca="1" si="195"/>
        <v>-7342604124942486</v>
      </c>
      <c r="J5675" s="455">
        <f t="array" ref="J5675">IFERROR(INDEX('Retirement Calculator'!K:K,MATCH('Lorri 401b'!N5675,'Retirement Calculator'!A:A,0),0),0)</f>
        <v>0</v>
      </c>
      <c r="K5675" s="455">
        <f t="shared" ca="1" si="193"/>
        <v>-30594183853927.023</v>
      </c>
      <c r="L5675" s="455">
        <f t="shared" ca="1" si="194"/>
        <v>-7373198308796413</v>
      </c>
      <c r="M5675" s="471">
        <f t="shared" si="196"/>
        <v>0.05</v>
      </c>
      <c r="N5675" s="475">
        <f t="shared" si="197"/>
        <v>223774</v>
      </c>
    </row>
    <row r="5676" spans="7:14" ht="11.25" customHeight="1" x14ac:dyDescent="0.3">
      <c r="G5676" s="470"/>
      <c r="H5676" s="470">
        <v>5669</v>
      </c>
      <c r="I5676" s="455">
        <f t="shared" ca="1" si="195"/>
        <v>-7373198308796413</v>
      </c>
      <c r="J5676" s="455">
        <f t="array" ref="J5676">IFERROR(INDEX('Retirement Calculator'!K:K,MATCH('Lorri 401b'!N5676,'Retirement Calculator'!A:A,0),0),0)</f>
        <v>0</v>
      </c>
      <c r="K5676" s="455">
        <f t="shared" ca="1" si="193"/>
        <v>-30721659619985.055</v>
      </c>
      <c r="L5676" s="455">
        <f t="shared" ca="1" si="194"/>
        <v>-7403919968416398</v>
      </c>
      <c r="M5676" s="471">
        <f t="shared" si="196"/>
        <v>0.05</v>
      </c>
      <c r="N5676" s="475">
        <f t="shared" si="197"/>
        <v>223804</v>
      </c>
    </row>
    <row r="5677" spans="7:14" ht="11.25" customHeight="1" x14ac:dyDescent="0.3">
      <c r="G5677" s="470"/>
      <c r="H5677" s="470">
        <v>5670</v>
      </c>
      <c r="I5677" s="455">
        <f t="shared" ca="1" si="195"/>
        <v>-7403919968416398</v>
      </c>
      <c r="J5677" s="455">
        <f t="array" ref="J5677">IFERROR(INDEX('Retirement Calculator'!K:K,MATCH('Lorri 401b'!N5677,'Retirement Calculator'!A:A,0),0),0)</f>
        <v>0</v>
      </c>
      <c r="K5677" s="455">
        <f t="shared" ca="1" si="193"/>
        <v>-30849666535068.324</v>
      </c>
      <c r="L5677" s="455">
        <f t="shared" ca="1" si="194"/>
        <v>-7434769634951466</v>
      </c>
      <c r="M5677" s="471">
        <f t="shared" si="196"/>
        <v>0.05</v>
      </c>
      <c r="N5677" s="475">
        <f t="shared" si="197"/>
        <v>223835</v>
      </c>
    </row>
    <row r="5678" spans="7:14" ht="11.25" customHeight="1" x14ac:dyDescent="0.3">
      <c r="G5678" s="470"/>
      <c r="H5678" s="470">
        <v>5671</v>
      </c>
      <c r="I5678" s="455">
        <f t="shared" ca="1" si="195"/>
        <v>-7434769634951466</v>
      </c>
      <c r="J5678" s="455">
        <f t="array" ref="J5678">IFERROR(INDEX('Retirement Calculator'!K:K,MATCH('Lorri 401b'!N5678,'Retirement Calculator'!A:A,0),0),0)</f>
        <v>0</v>
      </c>
      <c r="K5678" s="455">
        <f t="shared" ca="1" si="193"/>
        <v>-30978206812297.773</v>
      </c>
      <c r="L5678" s="455">
        <f t="shared" ca="1" si="194"/>
        <v>-7465747841763764</v>
      </c>
      <c r="M5678" s="471">
        <f t="shared" si="196"/>
        <v>0.05</v>
      </c>
      <c r="N5678" s="475">
        <f t="shared" si="197"/>
        <v>223865</v>
      </c>
    </row>
    <row r="5679" spans="7:14" ht="11.25" customHeight="1" x14ac:dyDescent="0.3">
      <c r="G5679" s="470"/>
      <c r="H5679" s="470">
        <v>5672</v>
      </c>
      <c r="I5679" s="455">
        <f t="shared" ca="1" si="195"/>
        <v>-7465747841763764</v>
      </c>
      <c r="J5679" s="455">
        <f t="array" ref="J5679">IFERROR(INDEX('Retirement Calculator'!K:K,MATCH('Lorri 401b'!N5679,'Retirement Calculator'!A:A,0),0),0)</f>
        <v>0</v>
      </c>
      <c r="K5679" s="455">
        <f t="shared" ca="1" si="193"/>
        <v>-31107282674015.684</v>
      </c>
      <c r="L5679" s="455">
        <f t="shared" ca="1" si="194"/>
        <v>-7496855124437780</v>
      </c>
      <c r="M5679" s="471">
        <f t="shared" si="196"/>
        <v>0.05</v>
      </c>
      <c r="N5679" s="475">
        <f t="shared" si="197"/>
        <v>223896</v>
      </c>
    </row>
    <row r="5680" spans="7:14" ht="11.25" customHeight="1" x14ac:dyDescent="0.3">
      <c r="G5680" s="470"/>
      <c r="H5680" s="470">
        <v>5673</v>
      </c>
      <c r="I5680" s="455">
        <f t="shared" ca="1" si="195"/>
        <v>-7496855124437780</v>
      </c>
      <c r="J5680" s="455">
        <f t="array" ref="J5680">IFERROR(INDEX('Retirement Calculator'!K:K,MATCH('Lorri 401b'!N5680,'Retirement Calculator'!A:A,0),0),0)</f>
        <v>0</v>
      </c>
      <c r="K5680" s="455">
        <f t="shared" ca="1" si="193"/>
        <v>-31236896351824.082</v>
      </c>
      <c r="L5680" s="455">
        <f t="shared" ca="1" si="194"/>
        <v>-7528092020789604</v>
      </c>
      <c r="M5680" s="471">
        <f t="shared" si="196"/>
        <v>0.05</v>
      </c>
      <c r="N5680" s="475">
        <f t="shared" si="197"/>
        <v>223927</v>
      </c>
    </row>
    <row r="5681" spans="7:14" ht="11.25" customHeight="1" x14ac:dyDescent="0.3">
      <c r="G5681" s="470"/>
      <c r="H5681" s="470">
        <v>5674</v>
      </c>
      <c r="I5681" s="455">
        <f t="shared" ca="1" si="195"/>
        <v>-7528092020789604</v>
      </c>
      <c r="J5681" s="455">
        <f t="array" ref="J5681">IFERROR(INDEX('Retirement Calculator'!K:K,MATCH('Lorri 401b'!N5681,'Retirement Calculator'!A:A,0),0),0)</f>
        <v>0</v>
      </c>
      <c r="K5681" s="455">
        <f t="shared" ca="1" si="193"/>
        <v>-31367050086623.355</v>
      </c>
      <c r="L5681" s="455">
        <f t="shared" ca="1" si="194"/>
        <v>-7559459070876227</v>
      </c>
      <c r="M5681" s="471">
        <f t="shared" si="196"/>
        <v>0.05</v>
      </c>
      <c r="N5681" s="475">
        <f t="shared" si="197"/>
        <v>223955</v>
      </c>
    </row>
    <row r="5682" spans="7:14" ht="11.25" customHeight="1" x14ac:dyDescent="0.3">
      <c r="G5682" s="470"/>
      <c r="H5682" s="470">
        <v>5675</v>
      </c>
      <c r="I5682" s="455">
        <f t="shared" ca="1" si="195"/>
        <v>-7559459070876227</v>
      </c>
      <c r="J5682" s="455">
        <f t="array" ref="J5682">IFERROR(INDEX('Retirement Calculator'!K:K,MATCH('Lorri 401b'!N5682,'Retirement Calculator'!A:A,0),0),0)</f>
        <v>0</v>
      </c>
      <c r="K5682" s="455">
        <f t="shared" ca="1" si="193"/>
        <v>-31497746128650.941</v>
      </c>
      <c r="L5682" s="455">
        <f t="shared" ca="1" si="194"/>
        <v>-7590956817004878</v>
      </c>
      <c r="M5682" s="471">
        <f t="shared" si="196"/>
        <v>0.05</v>
      </c>
      <c r="N5682" s="475">
        <f t="shared" si="197"/>
        <v>223986</v>
      </c>
    </row>
    <row r="5683" spans="7:14" ht="11.25" customHeight="1" x14ac:dyDescent="0.3">
      <c r="G5683" s="470"/>
      <c r="H5683" s="470">
        <v>5676</v>
      </c>
      <c r="I5683" s="455">
        <f t="shared" ca="1" si="195"/>
        <v>-7590956817004878</v>
      </c>
      <c r="J5683" s="455">
        <f t="array" ref="J5683">IFERROR(INDEX('Retirement Calculator'!K:K,MATCH('Lorri 401b'!N5683,'Retirement Calculator'!A:A,0),0),0)</f>
        <v>0</v>
      </c>
      <c r="K5683" s="455">
        <f t="shared" ca="1" si="193"/>
        <v>-31628986737520.324</v>
      </c>
      <c r="L5683" s="455">
        <f t="shared" ca="1" si="194"/>
        <v>-7622585803742398</v>
      </c>
      <c r="M5683" s="471">
        <f t="shared" si="196"/>
        <v>0.05</v>
      </c>
      <c r="N5683" s="475">
        <f t="shared" si="197"/>
        <v>224016</v>
      </c>
    </row>
    <row r="5684" spans="7:14" ht="11.25" customHeight="1" x14ac:dyDescent="0.3">
      <c r="G5684" s="470"/>
      <c r="H5684" s="470">
        <v>5677</v>
      </c>
      <c r="I5684" s="455">
        <f t="shared" ca="1" si="195"/>
        <v>-7622585803742398</v>
      </c>
      <c r="J5684" s="455">
        <f t="array" ref="J5684">IFERROR(INDEX('Retirement Calculator'!K:K,MATCH('Lorri 401b'!N5684,'Retirement Calculator'!A:A,0),0),0)</f>
        <v>0</v>
      </c>
      <c r="K5684" s="455">
        <f t="shared" ca="1" si="193"/>
        <v>-31760774182259.996</v>
      </c>
      <c r="L5684" s="455">
        <f t="shared" ca="1" si="194"/>
        <v>-7654346577924658</v>
      </c>
      <c r="M5684" s="471">
        <f t="shared" si="196"/>
        <v>0.05</v>
      </c>
      <c r="N5684" s="475">
        <f t="shared" si="197"/>
        <v>224047</v>
      </c>
    </row>
    <row r="5685" spans="7:14" ht="11.25" customHeight="1" x14ac:dyDescent="0.3">
      <c r="G5685" s="470"/>
      <c r="H5685" s="470">
        <v>5678</v>
      </c>
      <c r="I5685" s="455">
        <f t="shared" ca="1" si="195"/>
        <v>-7654346577924658</v>
      </c>
      <c r="J5685" s="455">
        <f t="array" ref="J5685">IFERROR(INDEX('Retirement Calculator'!K:K,MATCH('Lorri 401b'!N5685,'Retirement Calculator'!A:A,0),0),0)</f>
        <v>0</v>
      </c>
      <c r="K5685" s="455">
        <f t="shared" ca="1" si="193"/>
        <v>-31893110741352.738</v>
      </c>
      <c r="L5685" s="455">
        <f t="shared" ca="1" si="194"/>
        <v>-7686239688666011</v>
      </c>
      <c r="M5685" s="471">
        <f t="shared" si="196"/>
        <v>0.05</v>
      </c>
      <c r="N5685" s="475">
        <f t="shared" si="197"/>
        <v>224077</v>
      </c>
    </row>
    <row r="5686" spans="7:14" ht="11.25" customHeight="1" x14ac:dyDescent="0.3">
      <c r="G5686" s="470"/>
      <c r="H5686" s="470">
        <v>5679</v>
      </c>
      <c r="I5686" s="455">
        <f t="shared" ca="1" si="195"/>
        <v>-7686239688666011</v>
      </c>
      <c r="J5686" s="455">
        <f t="array" ref="J5686">IFERROR(INDEX('Retirement Calculator'!K:K,MATCH('Lorri 401b'!N5686,'Retirement Calculator'!A:A,0),0),0)</f>
        <v>0</v>
      </c>
      <c r="K5686" s="455">
        <f t="shared" ca="1" si="193"/>
        <v>-32025998702775.047</v>
      </c>
      <c r="L5686" s="455">
        <f t="shared" ca="1" si="194"/>
        <v>-7718265687368786</v>
      </c>
      <c r="M5686" s="471">
        <f t="shared" si="196"/>
        <v>0.05</v>
      </c>
      <c r="N5686" s="475">
        <f t="shared" si="197"/>
        <v>224108</v>
      </c>
    </row>
    <row r="5687" spans="7:14" ht="11.25" customHeight="1" x14ac:dyDescent="0.3">
      <c r="G5687" s="470"/>
      <c r="H5687" s="470">
        <v>5680</v>
      </c>
      <c r="I5687" s="455">
        <f t="shared" ca="1" si="195"/>
        <v>-7718265687368786</v>
      </c>
      <c r="J5687" s="455">
        <f t="array" ref="J5687">IFERROR(INDEX('Retirement Calculator'!K:K,MATCH('Lorri 401b'!N5687,'Retirement Calculator'!A:A,0),0),0)</f>
        <v>0</v>
      </c>
      <c r="K5687" s="455">
        <f t="shared" ca="1" si="193"/>
        <v>-32159440364036.613</v>
      </c>
      <c r="L5687" s="455">
        <f t="shared" ca="1" si="194"/>
        <v>-7750425127732823</v>
      </c>
      <c r="M5687" s="471">
        <f t="shared" si="196"/>
        <v>0.05</v>
      </c>
      <c r="N5687" s="475">
        <f t="shared" si="197"/>
        <v>224139</v>
      </c>
    </row>
    <row r="5688" spans="7:14" ht="11.25" customHeight="1" x14ac:dyDescent="0.3">
      <c r="G5688" s="470"/>
      <c r="H5688" s="470">
        <v>5681</v>
      </c>
      <c r="I5688" s="455">
        <f t="shared" ca="1" si="195"/>
        <v>-7750425127732823</v>
      </c>
      <c r="J5688" s="455">
        <f t="array" ref="J5688">IFERROR(INDEX('Retirement Calculator'!K:K,MATCH('Lorri 401b'!N5688,'Retirement Calculator'!A:A,0),0),0)</f>
        <v>0</v>
      </c>
      <c r="K5688" s="455">
        <f t="shared" ca="1" si="193"/>
        <v>-32293438032220.098</v>
      </c>
      <c r="L5688" s="455">
        <f t="shared" ca="1" si="194"/>
        <v>-7782718565765043</v>
      </c>
      <c r="M5688" s="471">
        <f t="shared" si="196"/>
        <v>0.05</v>
      </c>
      <c r="N5688" s="475">
        <f t="shared" si="197"/>
        <v>224169</v>
      </c>
    </row>
    <row r="5689" spans="7:14" ht="11.25" customHeight="1" x14ac:dyDescent="0.3">
      <c r="G5689" s="470"/>
      <c r="H5689" s="470">
        <v>5682</v>
      </c>
      <c r="I5689" s="455">
        <f t="shared" ca="1" si="195"/>
        <v>-7782718565765043</v>
      </c>
      <c r="J5689" s="455">
        <f t="array" ref="J5689">IFERROR(INDEX('Retirement Calculator'!K:K,MATCH('Lorri 401b'!N5689,'Retirement Calculator'!A:A,0),0),0)</f>
        <v>0</v>
      </c>
      <c r="K5689" s="455">
        <f t="shared" ca="1" si="193"/>
        <v>-32427994024021.016</v>
      </c>
      <c r="L5689" s="455">
        <f t="shared" ca="1" si="194"/>
        <v>-7815146559789064</v>
      </c>
      <c r="M5689" s="471">
        <f t="shared" si="196"/>
        <v>0.05</v>
      </c>
      <c r="N5689" s="475">
        <f t="shared" si="197"/>
        <v>224200</v>
      </c>
    </row>
    <row r="5690" spans="7:14" ht="11.25" customHeight="1" x14ac:dyDescent="0.3">
      <c r="G5690" s="470"/>
      <c r="H5690" s="470">
        <v>5683</v>
      </c>
      <c r="I5690" s="455">
        <f t="shared" ca="1" si="195"/>
        <v>-7815146559789064</v>
      </c>
      <c r="J5690" s="455">
        <f t="array" ref="J5690">IFERROR(INDEX('Retirement Calculator'!K:K,MATCH('Lorri 401b'!N5690,'Retirement Calculator'!A:A,0),0),0)</f>
        <v>0</v>
      </c>
      <c r="K5690" s="455">
        <f t="shared" ca="1" si="193"/>
        <v>-32563110665787.766</v>
      </c>
      <c r="L5690" s="455">
        <f t="shared" ca="1" si="194"/>
        <v>-7847709670454852</v>
      </c>
      <c r="M5690" s="471">
        <f t="shared" si="196"/>
        <v>0.05</v>
      </c>
      <c r="N5690" s="475">
        <f t="shared" si="197"/>
        <v>224230</v>
      </c>
    </row>
    <row r="5691" spans="7:14" ht="11.25" customHeight="1" x14ac:dyDescent="0.3">
      <c r="G5691" s="470"/>
      <c r="H5691" s="470">
        <v>5684</v>
      </c>
      <c r="I5691" s="455">
        <f t="shared" ca="1" si="195"/>
        <v>-7847709670454852</v>
      </c>
      <c r="J5691" s="455">
        <f t="array" ref="J5691">IFERROR(INDEX('Retirement Calculator'!K:K,MATCH('Lorri 401b'!N5691,'Retirement Calculator'!A:A,0),0),0)</f>
        <v>0</v>
      </c>
      <c r="K5691" s="455">
        <f t="shared" ca="1" si="193"/>
        <v>-32698790293561.879</v>
      </c>
      <c r="L5691" s="455">
        <f t="shared" ca="1" si="194"/>
        <v>-7880408460748414</v>
      </c>
      <c r="M5691" s="471">
        <f t="shared" si="196"/>
        <v>0.05</v>
      </c>
      <c r="N5691" s="475">
        <f t="shared" si="197"/>
        <v>224261</v>
      </c>
    </row>
    <row r="5692" spans="7:14" ht="11.25" customHeight="1" x14ac:dyDescent="0.3">
      <c r="G5692" s="470"/>
      <c r="H5692" s="470">
        <v>5685</v>
      </c>
      <c r="I5692" s="455">
        <f t="shared" ca="1" si="195"/>
        <v>-7880408460748414</v>
      </c>
      <c r="J5692" s="455">
        <f t="array" ref="J5692">IFERROR(INDEX('Retirement Calculator'!K:K,MATCH('Lorri 401b'!N5692,'Retirement Calculator'!A:A,0),0),0)</f>
        <v>0</v>
      </c>
      <c r="K5692" s="455">
        <f t="shared" ca="1" si="193"/>
        <v>-32835035253118.391</v>
      </c>
      <c r="L5692" s="455">
        <f t="shared" ca="1" si="194"/>
        <v>-7913243496001532</v>
      </c>
      <c r="M5692" s="471">
        <f t="shared" si="196"/>
        <v>0.05</v>
      </c>
      <c r="N5692" s="475">
        <f t="shared" si="197"/>
        <v>224292</v>
      </c>
    </row>
    <row r="5693" spans="7:14" ht="11.25" customHeight="1" x14ac:dyDescent="0.3">
      <c r="G5693" s="470"/>
      <c r="H5693" s="470">
        <v>5686</v>
      </c>
      <c r="I5693" s="455">
        <f t="shared" ca="1" si="195"/>
        <v>-7913243496001532</v>
      </c>
      <c r="J5693" s="455">
        <f t="array" ref="J5693">IFERROR(INDEX('Retirement Calculator'!K:K,MATCH('Lorri 401b'!N5693,'Retirement Calculator'!A:A,0),0),0)</f>
        <v>0</v>
      </c>
      <c r="K5693" s="455">
        <f t="shared" ca="1" si="193"/>
        <v>-32971847900006.379</v>
      </c>
      <c r="L5693" s="455">
        <f t="shared" ca="1" si="194"/>
        <v>-7946215343901538</v>
      </c>
      <c r="M5693" s="471">
        <f t="shared" si="196"/>
        <v>0.05</v>
      </c>
      <c r="N5693" s="475">
        <f t="shared" si="197"/>
        <v>224320</v>
      </c>
    </row>
    <row r="5694" spans="7:14" ht="11.25" customHeight="1" x14ac:dyDescent="0.3">
      <c r="G5694" s="470"/>
      <c r="H5694" s="470">
        <v>5687</v>
      </c>
      <c r="I5694" s="455">
        <f t="shared" ca="1" si="195"/>
        <v>-7946215343901538</v>
      </c>
      <c r="J5694" s="455">
        <f t="array" ref="J5694">IFERROR(INDEX('Retirement Calculator'!K:K,MATCH('Lorri 401b'!N5694,'Retirement Calculator'!A:A,0),0),0)</f>
        <v>0</v>
      </c>
      <c r="K5694" s="455">
        <f t="shared" ca="1" si="193"/>
        <v>-33109230599589.738</v>
      </c>
      <c r="L5694" s="455">
        <f t="shared" ca="1" si="194"/>
        <v>-7979324574501128</v>
      </c>
      <c r="M5694" s="471">
        <f t="shared" si="196"/>
        <v>0.05</v>
      </c>
      <c r="N5694" s="475">
        <f t="shared" si="197"/>
        <v>224351</v>
      </c>
    </row>
    <row r="5695" spans="7:14" ht="11.25" customHeight="1" x14ac:dyDescent="0.3">
      <c r="G5695" s="470"/>
      <c r="H5695" s="470">
        <v>5688</v>
      </c>
      <c r="I5695" s="455">
        <f t="shared" ca="1" si="195"/>
        <v>-7979324574501128</v>
      </c>
      <c r="J5695" s="455">
        <f t="array" ref="J5695">IFERROR(INDEX('Retirement Calculator'!K:K,MATCH('Lorri 401b'!N5695,'Retirement Calculator'!A:A,0),0),0)</f>
        <v>0</v>
      </c>
      <c r="K5695" s="455">
        <f t="shared" ca="1" si="193"/>
        <v>-33247185727088.035</v>
      </c>
      <c r="L5695" s="455">
        <f t="shared" ca="1" si="194"/>
        <v>-8012571760228216</v>
      </c>
      <c r="M5695" s="471">
        <f t="shared" si="196"/>
        <v>0.05</v>
      </c>
      <c r="N5695" s="475">
        <f t="shared" si="197"/>
        <v>224381</v>
      </c>
    </row>
    <row r="5696" spans="7:14" ht="11.25" customHeight="1" x14ac:dyDescent="0.3">
      <c r="G5696" s="470"/>
      <c r="H5696" s="470">
        <v>5689</v>
      </c>
      <c r="I5696" s="455">
        <f t="shared" ca="1" si="195"/>
        <v>-8012571760228216</v>
      </c>
      <c r="J5696" s="455">
        <f t="array" ref="J5696">IFERROR(INDEX('Retirement Calculator'!K:K,MATCH('Lorri 401b'!N5696,'Retirement Calculator'!A:A,0),0),0)</f>
        <v>0</v>
      </c>
      <c r="K5696" s="455">
        <f t="shared" ca="1" si="193"/>
        <v>-33385715667617.57</v>
      </c>
      <c r="L5696" s="455">
        <f t="shared" ca="1" si="194"/>
        <v>-8045957475895834</v>
      </c>
      <c r="M5696" s="471">
        <f t="shared" si="196"/>
        <v>0.05</v>
      </c>
      <c r="N5696" s="475">
        <f t="shared" si="197"/>
        <v>224412</v>
      </c>
    </row>
    <row r="5697" spans="7:14" ht="11.25" customHeight="1" x14ac:dyDescent="0.3">
      <c r="G5697" s="470"/>
      <c r="H5697" s="470">
        <v>5690</v>
      </c>
      <c r="I5697" s="455">
        <f t="shared" ca="1" si="195"/>
        <v>-8045957475895834</v>
      </c>
      <c r="J5697" s="455">
        <f t="array" ref="J5697">IFERROR(INDEX('Retirement Calculator'!K:K,MATCH('Lorri 401b'!N5697,'Retirement Calculator'!A:A,0),0),0)</f>
        <v>0</v>
      </c>
      <c r="K5697" s="455">
        <f t="shared" ca="1" si="193"/>
        <v>-33524822816232.641</v>
      </c>
      <c r="L5697" s="455">
        <f t="shared" ca="1" si="194"/>
        <v>-8079482298712067</v>
      </c>
      <c r="M5697" s="471">
        <f t="shared" si="196"/>
        <v>0.05</v>
      </c>
      <c r="N5697" s="475">
        <f t="shared" si="197"/>
        <v>224442</v>
      </c>
    </row>
    <row r="5698" spans="7:14" ht="11.25" customHeight="1" x14ac:dyDescent="0.3">
      <c r="G5698" s="470"/>
      <c r="H5698" s="470">
        <v>5691</v>
      </c>
      <c r="I5698" s="455">
        <f t="shared" ca="1" si="195"/>
        <v>-8079482298712067</v>
      </c>
      <c r="J5698" s="455">
        <f t="array" ref="J5698">IFERROR(INDEX('Retirement Calculator'!K:K,MATCH('Lorri 401b'!N5698,'Retirement Calculator'!A:A,0),0),0)</f>
        <v>0</v>
      </c>
      <c r="K5698" s="455">
        <f t="shared" ca="1" si="193"/>
        <v>-33664509577966.949</v>
      </c>
      <c r="L5698" s="455">
        <f t="shared" ca="1" si="194"/>
        <v>-8113146808290034</v>
      </c>
      <c r="M5698" s="471">
        <f t="shared" si="196"/>
        <v>0.05</v>
      </c>
      <c r="N5698" s="475">
        <f t="shared" si="197"/>
        <v>224473</v>
      </c>
    </row>
    <row r="5699" spans="7:14" ht="11.25" customHeight="1" x14ac:dyDescent="0.3">
      <c r="G5699" s="470"/>
      <c r="H5699" s="470">
        <v>5692</v>
      </c>
      <c r="I5699" s="455">
        <f t="shared" ca="1" si="195"/>
        <v>-8113146808290034</v>
      </c>
      <c r="J5699" s="455">
        <f t="array" ref="J5699">IFERROR(INDEX('Retirement Calculator'!K:K,MATCH('Lorri 401b'!N5699,'Retirement Calculator'!A:A,0),0),0)</f>
        <v>0</v>
      </c>
      <c r="K5699" s="455">
        <f t="shared" ca="1" si="193"/>
        <v>-33804778367875.141</v>
      </c>
      <c r="L5699" s="455">
        <f t="shared" ca="1" si="194"/>
        <v>-8146951586657909</v>
      </c>
      <c r="M5699" s="471">
        <f t="shared" si="196"/>
        <v>0.05</v>
      </c>
      <c r="N5699" s="475">
        <f t="shared" si="197"/>
        <v>224504</v>
      </c>
    </row>
    <row r="5700" spans="7:14" ht="11.25" customHeight="1" x14ac:dyDescent="0.3">
      <c r="G5700" s="470"/>
      <c r="H5700" s="470">
        <v>5693</v>
      </c>
      <c r="I5700" s="455">
        <f t="shared" ca="1" si="195"/>
        <v>-8146951586657909</v>
      </c>
      <c r="J5700" s="455">
        <f t="array" ref="J5700">IFERROR(INDEX('Retirement Calculator'!K:K,MATCH('Lorri 401b'!N5700,'Retirement Calculator'!A:A,0),0),0)</f>
        <v>0</v>
      </c>
      <c r="K5700" s="455">
        <f t="shared" ca="1" si="193"/>
        <v>-33945631611074.617</v>
      </c>
      <c r="L5700" s="455">
        <f t="shared" ca="1" si="194"/>
        <v>-8180897218268984</v>
      </c>
      <c r="M5700" s="471">
        <f t="shared" si="196"/>
        <v>0.05</v>
      </c>
      <c r="N5700" s="475">
        <f t="shared" si="197"/>
        <v>224534</v>
      </c>
    </row>
    <row r="5701" spans="7:14" ht="11.25" customHeight="1" x14ac:dyDescent="0.3">
      <c r="G5701" s="470"/>
      <c r="H5701" s="470">
        <v>5694</v>
      </c>
      <c r="I5701" s="455">
        <f t="shared" ca="1" si="195"/>
        <v>-8180897218268984</v>
      </c>
      <c r="J5701" s="455">
        <f t="array" ref="J5701">IFERROR(INDEX('Retirement Calculator'!K:K,MATCH('Lorri 401b'!N5701,'Retirement Calculator'!A:A,0),0),0)</f>
        <v>0</v>
      </c>
      <c r="K5701" s="455">
        <f t="shared" ca="1" si="193"/>
        <v>-34087071742787.434</v>
      </c>
      <c r="L5701" s="455">
        <f t="shared" ca="1" si="194"/>
        <v>-8214984290011771</v>
      </c>
      <c r="M5701" s="471">
        <f t="shared" si="196"/>
        <v>0.05</v>
      </c>
      <c r="N5701" s="475">
        <f t="shared" si="197"/>
        <v>224565</v>
      </c>
    </row>
    <row r="5702" spans="7:14" ht="11.25" customHeight="1" x14ac:dyDescent="0.3">
      <c r="G5702" s="470"/>
      <c r="H5702" s="470">
        <v>5695</v>
      </c>
      <c r="I5702" s="455">
        <f t="shared" ca="1" si="195"/>
        <v>-8214984290011771</v>
      </c>
      <c r="J5702" s="455">
        <f t="array" ref="J5702">IFERROR(INDEX('Retirement Calculator'!K:K,MATCH('Lorri 401b'!N5702,'Retirement Calculator'!A:A,0),0),0)</f>
        <v>0</v>
      </c>
      <c r="K5702" s="455">
        <f t="shared" ca="1" si="193"/>
        <v>-34229101208382.379</v>
      </c>
      <c r="L5702" s="455">
        <f t="shared" ca="1" si="194"/>
        <v>-8249213391220153</v>
      </c>
      <c r="M5702" s="471">
        <f t="shared" si="196"/>
        <v>0.05</v>
      </c>
      <c r="N5702" s="475">
        <f t="shared" si="197"/>
        <v>224595</v>
      </c>
    </row>
    <row r="5703" spans="7:14" ht="11.25" customHeight="1" x14ac:dyDescent="0.3">
      <c r="G5703" s="470"/>
      <c r="H5703" s="470">
        <v>5696</v>
      </c>
      <c r="I5703" s="455">
        <f t="shared" ca="1" si="195"/>
        <v>-8249213391220153</v>
      </c>
      <c r="J5703" s="455">
        <f t="array" ref="J5703">IFERROR(INDEX('Retirement Calculator'!K:K,MATCH('Lorri 401b'!N5703,'Retirement Calculator'!A:A,0),0),0)</f>
        <v>0</v>
      </c>
      <c r="K5703" s="455">
        <f t="shared" ca="1" si="193"/>
        <v>-34371722463417.305</v>
      </c>
      <c r="L5703" s="455">
        <f t="shared" ca="1" si="194"/>
        <v>-8283585113683570</v>
      </c>
      <c r="M5703" s="471">
        <f t="shared" si="196"/>
        <v>0.05</v>
      </c>
      <c r="N5703" s="475">
        <f t="shared" si="197"/>
        <v>224626</v>
      </c>
    </row>
    <row r="5704" spans="7:14" ht="11.25" customHeight="1" x14ac:dyDescent="0.3">
      <c r="G5704" s="470"/>
      <c r="H5704" s="470">
        <v>5697</v>
      </c>
      <c r="I5704" s="455">
        <f t="shared" ca="1" si="195"/>
        <v>-8283585113683570</v>
      </c>
      <c r="J5704" s="455">
        <f t="array" ref="J5704">IFERROR(INDEX('Retirement Calculator'!K:K,MATCH('Lorri 401b'!N5704,'Retirement Calculator'!A:A,0),0),0)</f>
        <v>0</v>
      </c>
      <c r="K5704" s="455">
        <f t="shared" ca="1" si="193"/>
        <v>-34514937973681.543</v>
      </c>
      <c r="L5704" s="455">
        <f t="shared" ca="1" si="194"/>
        <v>-8318100051657252</v>
      </c>
      <c r="M5704" s="471">
        <f t="shared" si="196"/>
        <v>0.05</v>
      </c>
      <c r="N5704" s="475">
        <f t="shared" si="197"/>
        <v>224657</v>
      </c>
    </row>
    <row r="5705" spans="7:14" ht="11.25" customHeight="1" x14ac:dyDescent="0.3">
      <c r="G5705" s="470"/>
      <c r="H5705" s="470">
        <v>5698</v>
      </c>
      <c r="I5705" s="455">
        <f t="shared" ca="1" si="195"/>
        <v>-8318100051657252</v>
      </c>
      <c r="J5705" s="455">
        <f t="array" ref="J5705">IFERROR(INDEX('Retirement Calculator'!K:K,MATCH('Lorri 401b'!N5705,'Retirement Calculator'!A:A,0),0),0)</f>
        <v>0</v>
      </c>
      <c r="K5705" s="455">
        <f t="shared" ca="1" si="193"/>
        <v>-34658750215238.555</v>
      </c>
      <c r="L5705" s="455">
        <f t="shared" ca="1" si="194"/>
        <v>-8352758801872491</v>
      </c>
      <c r="M5705" s="471">
        <f t="shared" si="196"/>
        <v>0.05</v>
      </c>
      <c r="N5705" s="475">
        <f t="shared" si="197"/>
        <v>224685</v>
      </c>
    </row>
    <row r="5706" spans="7:14" ht="11.25" customHeight="1" x14ac:dyDescent="0.3">
      <c r="G5706" s="470"/>
      <c r="H5706" s="470">
        <v>5699</v>
      </c>
      <c r="I5706" s="455">
        <f t="shared" ca="1" si="195"/>
        <v>-8352758801872491</v>
      </c>
      <c r="J5706" s="455">
        <f t="array" ref="J5706">IFERROR(INDEX('Retirement Calculator'!K:K,MATCH('Lorri 401b'!N5706,'Retirement Calculator'!A:A,0),0),0)</f>
        <v>0</v>
      </c>
      <c r="K5706" s="455">
        <f t="shared" ca="1" si="193"/>
        <v>-34803161674468.707</v>
      </c>
      <c r="L5706" s="455">
        <f t="shared" ca="1" si="194"/>
        <v>-8387561963546960</v>
      </c>
      <c r="M5706" s="471">
        <f t="shared" si="196"/>
        <v>0.05</v>
      </c>
      <c r="N5706" s="475">
        <f t="shared" si="197"/>
        <v>224716</v>
      </c>
    </row>
    <row r="5707" spans="7:14" ht="11.25" customHeight="1" x14ac:dyDescent="0.3">
      <c r="G5707" s="470"/>
      <c r="H5707" s="470">
        <v>5700</v>
      </c>
      <c r="I5707" s="455">
        <f t="shared" ca="1" si="195"/>
        <v>-8387561963546960</v>
      </c>
      <c r="J5707" s="455">
        <f t="array" ref="J5707">IFERROR(INDEX('Retirement Calculator'!K:K,MATCH('Lorri 401b'!N5707,'Retirement Calculator'!A:A,0),0),0)</f>
        <v>0</v>
      </c>
      <c r="K5707" s="455">
        <f t="shared" ca="1" si="193"/>
        <v>-34948174848112.332</v>
      </c>
      <c r="L5707" s="455">
        <f t="shared" ca="1" si="194"/>
        <v>-8422510138395072</v>
      </c>
      <c r="M5707" s="471">
        <f t="shared" si="196"/>
        <v>0.05</v>
      </c>
      <c r="N5707" s="475">
        <f t="shared" si="197"/>
        <v>224746</v>
      </c>
    </row>
    <row r="5708" spans="7:14" ht="11.25" customHeight="1" x14ac:dyDescent="0.3">
      <c r="G5708" s="470"/>
      <c r="H5708" s="470">
        <v>5701</v>
      </c>
      <c r="I5708" s="455">
        <f t="shared" ca="1" si="195"/>
        <v>-8422510138395072</v>
      </c>
      <c r="J5708" s="455">
        <f t="array" ref="J5708">IFERROR(INDEX('Retirement Calculator'!K:K,MATCH('Lorri 401b'!N5708,'Retirement Calculator'!A:A,0),0),0)</f>
        <v>0</v>
      </c>
      <c r="K5708" s="455">
        <f t="shared" ca="1" si="193"/>
        <v>-35093792243312.801</v>
      </c>
      <c r="L5708" s="455">
        <f t="shared" ca="1" si="194"/>
        <v>-8457603930638385</v>
      </c>
      <c r="M5708" s="471">
        <f t="shared" si="196"/>
        <v>0.05</v>
      </c>
      <c r="N5708" s="475">
        <f t="shared" si="197"/>
        <v>224777</v>
      </c>
    </row>
    <row r="5709" spans="7:14" ht="11.25" customHeight="1" x14ac:dyDescent="0.3">
      <c r="G5709" s="470"/>
      <c r="H5709" s="470">
        <v>5702</v>
      </c>
      <c r="I5709" s="455">
        <f t="shared" ca="1" si="195"/>
        <v>-8457603930638385</v>
      </c>
      <c r="J5709" s="455">
        <f t="array" ref="J5709">IFERROR(INDEX('Retirement Calculator'!K:K,MATCH('Lorri 401b'!N5709,'Retirement Calculator'!A:A,0),0),0)</f>
        <v>0</v>
      </c>
      <c r="K5709" s="455">
        <f t="shared" ca="1" si="193"/>
        <v>-35240016377659.938</v>
      </c>
      <c r="L5709" s="455">
        <f t="shared" ca="1" si="194"/>
        <v>-8492843947016045</v>
      </c>
      <c r="M5709" s="471">
        <f t="shared" si="196"/>
        <v>0.05</v>
      </c>
      <c r="N5709" s="475">
        <f t="shared" si="197"/>
        <v>224807</v>
      </c>
    </row>
    <row r="5710" spans="7:14" ht="11.25" customHeight="1" x14ac:dyDescent="0.3">
      <c r="G5710" s="470"/>
      <c r="H5710" s="470">
        <v>5703</v>
      </c>
      <c r="I5710" s="455">
        <f t="shared" ca="1" si="195"/>
        <v>-8492843947016045</v>
      </c>
      <c r="J5710" s="455">
        <f t="array" ref="J5710">IFERROR(INDEX('Retirement Calculator'!K:K,MATCH('Lorri 401b'!N5710,'Retirement Calculator'!A:A,0),0),0)</f>
        <v>0</v>
      </c>
      <c r="K5710" s="455">
        <f t="shared" ca="1" si="193"/>
        <v>-35386849779233.523</v>
      </c>
      <c r="L5710" s="455">
        <f t="shared" ca="1" si="194"/>
        <v>-8528230796795279</v>
      </c>
      <c r="M5710" s="471">
        <f t="shared" si="196"/>
        <v>0.05</v>
      </c>
      <c r="N5710" s="475">
        <f t="shared" si="197"/>
        <v>224838</v>
      </c>
    </row>
    <row r="5711" spans="7:14" ht="11.25" customHeight="1" x14ac:dyDescent="0.3">
      <c r="G5711" s="470"/>
      <c r="H5711" s="470">
        <v>5704</v>
      </c>
      <c r="I5711" s="455">
        <f t="shared" ca="1" si="195"/>
        <v>-8528230796795279</v>
      </c>
      <c r="J5711" s="455">
        <f t="array" ref="J5711">IFERROR(INDEX('Retirement Calculator'!K:K,MATCH('Lorri 401b'!N5711,'Retirement Calculator'!A:A,0),0),0)</f>
        <v>0</v>
      </c>
      <c r="K5711" s="455">
        <f t="shared" ca="1" si="193"/>
        <v>-35534294986646.992</v>
      </c>
      <c r="L5711" s="455">
        <f t="shared" ca="1" si="194"/>
        <v>-8563765091781926</v>
      </c>
      <c r="M5711" s="471">
        <f t="shared" si="196"/>
        <v>0.05</v>
      </c>
      <c r="N5711" s="475">
        <f t="shared" si="197"/>
        <v>224869</v>
      </c>
    </row>
    <row r="5712" spans="7:14" ht="11.25" customHeight="1" x14ac:dyDescent="0.3">
      <c r="G5712" s="470"/>
      <c r="H5712" s="470">
        <v>5705</v>
      </c>
      <c r="I5712" s="455">
        <f t="shared" ca="1" si="195"/>
        <v>-8563765091781926</v>
      </c>
      <c r="J5712" s="455">
        <f t="array" ref="J5712">IFERROR(INDEX('Retirement Calculator'!K:K,MATCH('Lorri 401b'!N5712,'Retirement Calculator'!A:A,0),0),0)</f>
        <v>0</v>
      </c>
      <c r="K5712" s="455">
        <f t="shared" ca="1" si="193"/>
        <v>-35682354549091.359</v>
      </c>
      <c r="L5712" s="455">
        <f t="shared" ca="1" si="194"/>
        <v>-8599447446331017</v>
      </c>
      <c r="M5712" s="471">
        <f t="shared" si="196"/>
        <v>0.05</v>
      </c>
      <c r="N5712" s="475">
        <f t="shared" si="197"/>
        <v>224899</v>
      </c>
    </row>
    <row r="5713" spans="7:14" ht="11.25" customHeight="1" x14ac:dyDescent="0.3">
      <c r="G5713" s="470"/>
      <c r="H5713" s="470">
        <v>5706</v>
      </c>
      <c r="I5713" s="455">
        <f t="shared" ca="1" si="195"/>
        <v>-8599447446331017</v>
      </c>
      <c r="J5713" s="455">
        <f t="array" ref="J5713">IFERROR(INDEX('Retirement Calculator'!K:K,MATCH('Lorri 401b'!N5713,'Retirement Calculator'!A:A,0),0),0)</f>
        <v>0</v>
      </c>
      <c r="K5713" s="455">
        <f t="shared" ca="1" si="193"/>
        <v>-35831031026379.234</v>
      </c>
      <c r="L5713" s="455">
        <f t="shared" ca="1" si="194"/>
        <v>-8635278477357396</v>
      </c>
      <c r="M5713" s="471">
        <f t="shared" si="196"/>
        <v>0.05</v>
      </c>
      <c r="N5713" s="475">
        <f t="shared" si="197"/>
        <v>224930</v>
      </c>
    </row>
    <row r="5714" spans="7:14" ht="11.25" customHeight="1" x14ac:dyDescent="0.3">
      <c r="G5714" s="470"/>
      <c r="H5714" s="470">
        <v>5707</v>
      </c>
      <c r="I5714" s="455">
        <f t="shared" ca="1" si="195"/>
        <v>-8635278477357396</v>
      </c>
      <c r="J5714" s="455">
        <f t="array" ref="J5714">IFERROR(INDEX('Retirement Calculator'!K:K,MATCH('Lorri 401b'!N5714,'Retirement Calculator'!A:A,0),0),0)</f>
        <v>0</v>
      </c>
      <c r="K5714" s="455">
        <f t="shared" ca="1" si="193"/>
        <v>-35980326988989.148</v>
      </c>
      <c r="L5714" s="455">
        <f t="shared" ca="1" si="194"/>
        <v>-8671258804346385</v>
      </c>
      <c r="M5714" s="471">
        <f t="shared" si="196"/>
        <v>0.05</v>
      </c>
      <c r="N5714" s="475">
        <f t="shared" si="197"/>
        <v>224960</v>
      </c>
    </row>
    <row r="5715" spans="7:14" ht="11.25" customHeight="1" x14ac:dyDescent="0.3">
      <c r="G5715" s="470"/>
      <c r="H5715" s="470">
        <v>5708</v>
      </c>
      <c r="I5715" s="455">
        <f t="shared" ca="1" si="195"/>
        <v>-8671258804346385</v>
      </c>
      <c r="J5715" s="455">
        <f t="array" ref="J5715">IFERROR(INDEX('Retirement Calculator'!K:K,MATCH('Lorri 401b'!N5715,'Retirement Calculator'!A:A,0),0),0)</f>
        <v>0</v>
      </c>
      <c r="K5715" s="455">
        <f t="shared" ca="1" si="193"/>
        <v>-36130245018109.938</v>
      </c>
      <c r="L5715" s="455">
        <f t="shared" ca="1" si="194"/>
        <v>-8707389049364495</v>
      </c>
      <c r="M5715" s="471">
        <f t="shared" si="196"/>
        <v>0.05</v>
      </c>
      <c r="N5715" s="475">
        <f t="shared" si="197"/>
        <v>224991</v>
      </c>
    </row>
    <row r="5716" spans="7:14" ht="11.25" customHeight="1" x14ac:dyDescent="0.3">
      <c r="G5716" s="470"/>
      <c r="H5716" s="470">
        <v>5709</v>
      </c>
      <c r="I5716" s="455">
        <f t="shared" ca="1" si="195"/>
        <v>-8707389049364495</v>
      </c>
      <c r="J5716" s="455">
        <f t="array" ref="J5716">IFERROR(INDEX('Retirement Calculator'!K:K,MATCH('Lorri 401b'!N5716,'Retirement Calculator'!A:A,0),0),0)</f>
        <v>0</v>
      </c>
      <c r="K5716" s="455">
        <f t="shared" ca="1" si="193"/>
        <v>-36280787705685.391</v>
      </c>
      <c r="L5716" s="455">
        <f t="shared" ca="1" si="194"/>
        <v>-8743669837070180</v>
      </c>
      <c r="M5716" s="471">
        <f t="shared" si="196"/>
        <v>0.05</v>
      </c>
      <c r="N5716" s="475">
        <f t="shared" si="197"/>
        <v>225022</v>
      </c>
    </row>
    <row r="5717" spans="7:14" ht="11.25" customHeight="1" x14ac:dyDescent="0.3">
      <c r="G5717" s="470"/>
      <c r="H5717" s="470">
        <v>5710</v>
      </c>
      <c r="I5717" s="455">
        <f t="shared" ca="1" si="195"/>
        <v>-8743669837070180</v>
      </c>
      <c r="J5717" s="455">
        <f t="array" ref="J5717">IFERROR(INDEX('Retirement Calculator'!K:K,MATCH('Lorri 401b'!N5717,'Retirement Calculator'!A:A,0),0),0)</f>
        <v>0</v>
      </c>
      <c r="K5717" s="455">
        <f t="shared" ca="1" si="193"/>
        <v>-36431957654459.086</v>
      </c>
      <c r="L5717" s="455">
        <f t="shared" ca="1" si="194"/>
        <v>-8780101794724639</v>
      </c>
      <c r="M5717" s="471">
        <f t="shared" si="196"/>
        <v>0.05</v>
      </c>
      <c r="N5717" s="475">
        <f t="shared" si="197"/>
        <v>225051</v>
      </c>
    </row>
    <row r="5718" spans="7:14" ht="11.25" customHeight="1" x14ac:dyDescent="0.3">
      <c r="G5718" s="470"/>
      <c r="H5718" s="470">
        <v>5711</v>
      </c>
      <c r="I5718" s="455">
        <f t="shared" ca="1" si="195"/>
        <v>-8780101794724639</v>
      </c>
      <c r="J5718" s="455">
        <f t="array" ref="J5718">IFERROR(INDEX('Retirement Calculator'!K:K,MATCH('Lorri 401b'!N5718,'Retirement Calculator'!A:A,0),0),0)</f>
        <v>0</v>
      </c>
      <c r="K5718" s="455">
        <f t="shared" ca="1" si="193"/>
        <v>-36583757478019.328</v>
      </c>
      <c r="L5718" s="455">
        <f t="shared" ca="1" si="194"/>
        <v>-8816685552202658</v>
      </c>
      <c r="M5718" s="471">
        <f t="shared" si="196"/>
        <v>0.05</v>
      </c>
      <c r="N5718" s="475">
        <f t="shared" si="197"/>
        <v>225082</v>
      </c>
    </row>
    <row r="5719" spans="7:14" ht="11.25" customHeight="1" x14ac:dyDescent="0.3">
      <c r="G5719" s="470"/>
      <c r="H5719" s="470">
        <v>5712</v>
      </c>
      <c r="I5719" s="455">
        <f t="shared" ca="1" si="195"/>
        <v>-8816685552202658</v>
      </c>
      <c r="J5719" s="455">
        <f t="array" ref="J5719">IFERROR(INDEX('Retirement Calculator'!K:K,MATCH('Lorri 401b'!N5719,'Retirement Calculator'!A:A,0),0),0)</f>
        <v>0</v>
      </c>
      <c r="K5719" s="455">
        <f t="shared" ca="1" si="193"/>
        <v>-36736189800844.406</v>
      </c>
      <c r="L5719" s="455">
        <f t="shared" ca="1" si="194"/>
        <v>-8853421742003502</v>
      </c>
      <c r="M5719" s="471">
        <f t="shared" si="196"/>
        <v>0.05</v>
      </c>
      <c r="N5719" s="475">
        <f t="shared" si="197"/>
        <v>225112</v>
      </c>
    </row>
    <row r="5720" spans="7:14" ht="11.25" customHeight="1" x14ac:dyDescent="0.3">
      <c r="G5720" s="470"/>
      <c r="H5720" s="470">
        <v>5713</v>
      </c>
      <c r="I5720" s="455">
        <f t="shared" ca="1" si="195"/>
        <v>-8853421742003502</v>
      </c>
      <c r="J5720" s="455">
        <f t="array" ref="J5720">IFERROR(INDEX('Retirement Calculator'!K:K,MATCH('Lorri 401b'!N5720,'Retirement Calculator'!A:A,0),0),0)</f>
        <v>0</v>
      </c>
      <c r="K5720" s="455">
        <f t="shared" ca="1" si="193"/>
        <v>-36889257258347.922</v>
      </c>
      <c r="L5720" s="455">
        <f t="shared" ca="1" si="194"/>
        <v>-8890310999261850</v>
      </c>
      <c r="M5720" s="471">
        <f t="shared" si="196"/>
        <v>0.05</v>
      </c>
      <c r="N5720" s="475">
        <f t="shared" si="197"/>
        <v>225143</v>
      </c>
    </row>
    <row r="5721" spans="7:14" ht="11.25" customHeight="1" x14ac:dyDescent="0.3">
      <c r="G5721" s="470"/>
      <c r="H5721" s="470">
        <v>5714</v>
      </c>
      <c r="I5721" s="455">
        <f t="shared" ca="1" si="195"/>
        <v>-8890310999261850</v>
      </c>
      <c r="J5721" s="455">
        <f t="array" ref="J5721">IFERROR(INDEX('Retirement Calculator'!K:K,MATCH('Lorri 401b'!N5721,'Retirement Calculator'!A:A,0),0),0)</f>
        <v>0</v>
      </c>
      <c r="K5721" s="455">
        <f t="shared" ca="1" si="193"/>
        <v>-37042962496924.375</v>
      </c>
      <c r="L5721" s="455">
        <f t="shared" ca="1" si="194"/>
        <v>-8927353961758774</v>
      </c>
      <c r="M5721" s="471">
        <f t="shared" si="196"/>
        <v>0.05</v>
      </c>
      <c r="N5721" s="475">
        <f t="shared" si="197"/>
        <v>225173</v>
      </c>
    </row>
    <row r="5722" spans="7:14" ht="11.25" customHeight="1" x14ac:dyDescent="0.3">
      <c r="G5722" s="470"/>
      <c r="H5722" s="470">
        <v>5715</v>
      </c>
      <c r="I5722" s="455">
        <f t="shared" ca="1" si="195"/>
        <v>-8927353961758774</v>
      </c>
      <c r="J5722" s="455">
        <f t="array" ref="J5722">IFERROR(INDEX('Retirement Calculator'!K:K,MATCH('Lorri 401b'!N5722,'Retirement Calculator'!A:A,0),0),0)</f>
        <v>0</v>
      </c>
      <c r="K5722" s="455">
        <f t="shared" ca="1" si="193"/>
        <v>-37197308173994.891</v>
      </c>
      <c r="L5722" s="455">
        <f t="shared" ca="1" si="194"/>
        <v>-8964551269932769</v>
      </c>
      <c r="M5722" s="471">
        <f t="shared" si="196"/>
        <v>0.05</v>
      </c>
      <c r="N5722" s="475">
        <f t="shared" si="197"/>
        <v>225204</v>
      </c>
    </row>
    <row r="5723" spans="7:14" ht="11.25" customHeight="1" x14ac:dyDescent="0.3">
      <c r="G5723" s="470"/>
      <c r="H5723" s="470">
        <v>5716</v>
      </c>
      <c r="I5723" s="455">
        <f t="shared" ca="1" si="195"/>
        <v>-8964551269932769</v>
      </c>
      <c r="J5723" s="455">
        <f t="array" ref="J5723">IFERROR(INDEX('Retirement Calculator'!K:K,MATCH('Lorri 401b'!N5723,'Retirement Calculator'!A:A,0),0),0)</f>
        <v>0</v>
      </c>
      <c r="K5723" s="455">
        <f t="shared" ca="1" si="193"/>
        <v>-37352296958053.203</v>
      </c>
      <c r="L5723" s="455">
        <f t="shared" ca="1" si="194"/>
        <v>-9001903566890822</v>
      </c>
      <c r="M5723" s="471">
        <f t="shared" si="196"/>
        <v>0.05</v>
      </c>
      <c r="N5723" s="475">
        <f t="shared" si="197"/>
        <v>225235</v>
      </c>
    </row>
    <row r="5724" spans="7:14" ht="11.25" customHeight="1" x14ac:dyDescent="0.3">
      <c r="G5724" s="470"/>
      <c r="H5724" s="470">
        <v>5717</v>
      </c>
      <c r="I5724" s="455">
        <f t="shared" ca="1" si="195"/>
        <v>-9001903566890822</v>
      </c>
      <c r="J5724" s="455">
        <f t="array" ref="J5724">IFERROR(INDEX('Retirement Calculator'!K:K,MATCH('Lorri 401b'!N5724,'Retirement Calculator'!A:A,0),0),0)</f>
        <v>0</v>
      </c>
      <c r="K5724" s="455">
        <f t="shared" ca="1" si="193"/>
        <v>-37507931528711.758</v>
      </c>
      <c r="L5724" s="455">
        <f t="shared" ca="1" si="194"/>
        <v>-9039411498419534</v>
      </c>
      <c r="M5724" s="471">
        <f t="shared" si="196"/>
        <v>0.05</v>
      </c>
      <c r="N5724" s="475">
        <f t="shared" si="197"/>
        <v>225265</v>
      </c>
    </row>
    <row r="5725" spans="7:14" ht="11.25" customHeight="1" x14ac:dyDescent="0.3">
      <c r="G5725" s="470"/>
      <c r="H5725" s="470">
        <v>5718</v>
      </c>
      <c r="I5725" s="455">
        <f t="shared" ca="1" si="195"/>
        <v>-9039411498419534</v>
      </c>
      <c r="J5725" s="455">
        <f t="array" ref="J5725">IFERROR(INDEX('Retirement Calculator'!K:K,MATCH('Lorri 401b'!N5725,'Retirement Calculator'!A:A,0),0),0)</f>
        <v>0</v>
      </c>
      <c r="K5725" s="455">
        <f t="shared" ca="1" si="193"/>
        <v>-37664214576748.055</v>
      </c>
      <c r="L5725" s="455">
        <f t="shared" ca="1" si="194"/>
        <v>-9077075712996282</v>
      </c>
      <c r="M5725" s="471">
        <f t="shared" si="196"/>
        <v>0.05</v>
      </c>
      <c r="N5725" s="475">
        <f t="shared" si="197"/>
        <v>225296</v>
      </c>
    </row>
    <row r="5726" spans="7:14" ht="11.25" customHeight="1" x14ac:dyDescent="0.3">
      <c r="G5726" s="470"/>
      <c r="H5726" s="470">
        <v>5719</v>
      </c>
      <c r="I5726" s="455">
        <f t="shared" ca="1" si="195"/>
        <v>-9077075712996282</v>
      </c>
      <c r="J5726" s="455">
        <f t="array" ref="J5726">IFERROR(INDEX('Retirement Calculator'!K:K,MATCH('Lorri 401b'!N5726,'Retirement Calculator'!A:A,0),0),0)</f>
        <v>0</v>
      </c>
      <c r="K5726" s="455">
        <f t="shared" ca="1" si="193"/>
        <v>-37821148804151.172</v>
      </c>
      <c r="L5726" s="455">
        <f t="shared" ca="1" si="194"/>
        <v>-9114896861800434</v>
      </c>
      <c r="M5726" s="471">
        <f t="shared" si="196"/>
        <v>0.05</v>
      </c>
      <c r="N5726" s="475">
        <f t="shared" si="197"/>
        <v>225326</v>
      </c>
    </row>
    <row r="5727" spans="7:14" ht="11.25" customHeight="1" x14ac:dyDescent="0.3">
      <c r="G5727" s="470"/>
      <c r="H5727" s="470">
        <v>5720</v>
      </c>
      <c r="I5727" s="455">
        <f t="shared" ca="1" si="195"/>
        <v>-9114896861800434</v>
      </c>
      <c r="J5727" s="455">
        <f t="array" ref="J5727">IFERROR(INDEX('Retirement Calculator'!K:K,MATCH('Lorri 401b'!N5727,'Retirement Calculator'!A:A,0),0),0)</f>
        <v>0</v>
      </c>
      <c r="K5727" s="455">
        <f t="shared" ca="1" si="193"/>
        <v>-37978736924168.477</v>
      </c>
      <c r="L5727" s="455">
        <f t="shared" ca="1" si="194"/>
        <v>-9152875598724602</v>
      </c>
      <c r="M5727" s="471">
        <f t="shared" si="196"/>
        <v>0.05</v>
      </c>
      <c r="N5727" s="475">
        <f t="shared" si="197"/>
        <v>225357</v>
      </c>
    </row>
    <row r="5728" spans="7:14" ht="11.25" customHeight="1" x14ac:dyDescent="0.3">
      <c r="G5728" s="470"/>
      <c r="H5728" s="470">
        <v>5721</v>
      </c>
      <c r="I5728" s="455">
        <f t="shared" ca="1" si="195"/>
        <v>-9152875598724602</v>
      </c>
      <c r="J5728" s="455">
        <f t="array" ref="J5728">IFERROR(INDEX('Retirement Calculator'!K:K,MATCH('Lorri 401b'!N5728,'Retirement Calculator'!A:A,0),0),0)</f>
        <v>0</v>
      </c>
      <c r="K5728" s="455">
        <f t="shared" ca="1" si="193"/>
        <v>-38136981661352.508</v>
      </c>
      <c r="L5728" s="455">
        <f t="shared" ca="1" si="194"/>
        <v>-9191012580385954</v>
      </c>
      <c r="M5728" s="471">
        <f t="shared" si="196"/>
        <v>0.05</v>
      </c>
      <c r="N5728" s="475">
        <f t="shared" si="197"/>
        <v>225388</v>
      </c>
    </row>
    <row r="5729" spans="7:14" ht="11.25" customHeight="1" x14ac:dyDescent="0.3">
      <c r="G5729" s="470"/>
      <c r="H5729" s="470">
        <v>5722</v>
      </c>
      <c r="I5729" s="455">
        <f t="shared" ca="1" si="195"/>
        <v>-9191012580385954</v>
      </c>
      <c r="J5729" s="455">
        <f t="array" ref="J5729">IFERROR(INDEX('Retirement Calculator'!K:K,MATCH('Lorri 401b'!N5729,'Retirement Calculator'!A:A,0),0),0)</f>
        <v>0</v>
      </c>
      <c r="K5729" s="455">
        <f t="shared" ca="1" si="193"/>
        <v>-38295885751608.141</v>
      </c>
      <c r="L5729" s="455">
        <f t="shared" ca="1" si="194"/>
        <v>-9229308466137562</v>
      </c>
      <c r="M5729" s="471">
        <f t="shared" si="196"/>
        <v>0.05</v>
      </c>
      <c r="N5729" s="475">
        <f t="shared" si="197"/>
        <v>225416</v>
      </c>
    </row>
    <row r="5730" spans="7:14" ht="11.25" customHeight="1" x14ac:dyDescent="0.3">
      <c r="G5730" s="470"/>
      <c r="H5730" s="470">
        <v>5723</v>
      </c>
      <c r="I5730" s="455">
        <f t="shared" ca="1" si="195"/>
        <v>-9229308466137562</v>
      </c>
      <c r="J5730" s="455">
        <f t="array" ref="J5730">IFERROR(INDEX('Retirement Calculator'!K:K,MATCH('Lorri 401b'!N5730,'Retirement Calculator'!A:A,0),0),0)</f>
        <v>0</v>
      </c>
      <c r="K5730" s="455">
        <f t="shared" ca="1" si="193"/>
        <v>-38455451942239.844</v>
      </c>
      <c r="L5730" s="455">
        <f t="shared" ca="1" si="194"/>
        <v>-9267763918079802</v>
      </c>
      <c r="M5730" s="471">
        <f t="shared" si="196"/>
        <v>0.05</v>
      </c>
      <c r="N5730" s="475">
        <f t="shared" si="197"/>
        <v>225447</v>
      </c>
    </row>
    <row r="5731" spans="7:14" ht="11.25" customHeight="1" x14ac:dyDescent="0.3">
      <c r="G5731" s="470"/>
      <c r="H5731" s="470">
        <v>5724</v>
      </c>
      <c r="I5731" s="455">
        <f t="shared" ca="1" si="195"/>
        <v>-9267763918079802</v>
      </c>
      <c r="J5731" s="455">
        <f t="array" ref="J5731">IFERROR(INDEX('Retirement Calculator'!K:K,MATCH('Lorri 401b'!N5731,'Retirement Calculator'!A:A,0),0),0)</f>
        <v>0</v>
      </c>
      <c r="K5731" s="455">
        <f t="shared" ca="1" si="193"/>
        <v>-38615682991999.172</v>
      </c>
      <c r="L5731" s="455">
        <f t="shared" ca="1" si="194"/>
        <v>-9306379601071802</v>
      </c>
      <c r="M5731" s="471">
        <f t="shared" si="196"/>
        <v>0.05</v>
      </c>
      <c r="N5731" s="475">
        <f t="shared" si="197"/>
        <v>225477</v>
      </c>
    </row>
    <row r="5732" spans="7:14" ht="11.25" customHeight="1" x14ac:dyDescent="0.3">
      <c r="G5732" s="470"/>
      <c r="H5732" s="470">
        <v>5725</v>
      </c>
      <c r="I5732" s="455">
        <f t="shared" ca="1" si="195"/>
        <v>-9306379601071802</v>
      </c>
      <c r="J5732" s="455">
        <f t="array" ref="J5732">IFERROR(INDEX('Retirement Calculator'!K:K,MATCH('Lorri 401b'!N5732,'Retirement Calculator'!A:A,0),0),0)</f>
        <v>0</v>
      </c>
      <c r="K5732" s="455">
        <f t="shared" ca="1" si="193"/>
        <v>-38776581671132.508</v>
      </c>
      <c r="L5732" s="455">
        <f t="shared" ca="1" si="194"/>
        <v>-9345156182742934</v>
      </c>
      <c r="M5732" s="471">
        <f t="shared" si="196"/>
        <v>0.05</v>
      </c>
      <c r="N5732" s="475">
        <f t="shared" si="197"/>
        <v>225508</v>
      </c>
    </row>
    <row r="5733" spans="7:14" ht="11.25" customHeight="1" x14ac:dyDescent="0.3">
      <c r="G5733" s="470"/>
      <c r="H5733" s="470">
        <v>5726</v>
      </c>
      <c r="I5733" s="455">
        <f t="shared" ca="1" si="195"/>
        <v>-9345156182742934</v>
      </c>
      <c r="J5733" s="455">
        <f t="array" ref="J5733">IFERROR(INDEX('Retirement Calculator'!K:K,MATCH('Lorri 401b'!N5733,'Retirement Calculator'!A:A,0),0),0)</f>
        <v>0</v>
      </c>
      <c r="K5733" s="455">
        <f t="shared" ca="1" si="193"/>
        <v>-38938150761428.891</v>
      </c>
      <c r="L5733" s="455">
        <f t="shared" ca="1" si="194"/>
        <v>-9384094333504362</v>
      </c>
      <c r="M5733" s="471">
        <f t="shared" si="196"/>
        <v>0.05</v>
      </c>
      <c r="N5733" s="475">
        <f t="shared" si="197"/>
        <v>225538</v>
      </c>
    </row>
    <row r="5734" spans="7:14" ht="11.25" customHeight="1" x14ac:dyDescent="0.3">
      <c r="G5734" s="470"/>
      <c r="H5734" s="470">
        <v>5727</v>
      </c>
      <c r="I5734" s="455">
        <f t="shared" ca="1" si="195"/>
        <v>-9384094333504362</v>
      </c>
      <c r="J5734" s="455">
        <f t="array" ref="J5734">IFERROR(INDEX('Retirement Calculator'!K:K,MATCH('Lorri 401b'!N5734,'Retirement Calculator'!A:A,0),0),0)</f>
        <v>0</v>
      </c>
      <c r="K5734" s="455">
        <f t="shared" ca="1" si="193"/>
        <v>-39100393056268.172</v>
      </c>
      <c r="L5734" s="455">
        <f t="shared" ca="1" si="194"/>
        <v>-9423194726560630</v>
      </c>
      <c r="M5734" s="471">
        <f t="shared" si="196"/>
        <v>0.05</v>
      </c>
      <c r="N5734" s="475">
        <f t="shared" si="197"/>
        <v>225569</v>
      </c>
    </row>
    <row r="5735" spans="7:14" ht="11.25" customHeight="1" x14ac:dyDescent="0.3">
      <c r="G5735" s="470"/>
      <c r="H5735" s="470">
        <v>5728</v>
      </c>
      <c r="I5735" s="455">
        <f t="shared" ca="1" si="195"/>
        <v>-9423194726560630</v>
      </c>
      <c r="J5735" s="455">
        <f t="array" ref="J5735">IFERROR(INDEX('Retirement Calculator'!K:K,MATCH('Lorri 401b'!N5735,'Retirement Calculator'!A:A,0),0),0)</f>
        <v>0</v>
      </c>
      <c r="K5735" s="455">
        <f t="shared" ca="1" si="193"/>
        <v>-39263311360669.289</v>
      </c>
      <c r="L5735" s="455">
        <f t="shared" ca="1" si="194"/>
        <v>-9462458037921300</v>
      </c>
      <c r="M5735" s="471">
        <f t="shared" si="196"/>
        <v>0.05</v>
      </c>
      <c r="N5735" s="475">
        <f t="shared" si="197"/>
        <v>225600</v>
      </c>
    </row>
    <row r="5736" spans="7:14" ht="11.25" customHeight="1" x14ac:dyDescent="0.3">
      <c r="G5736" s="470"/>
      <c r="H5736" s="470">
        <v>5729</v>
      </c>
      <c r="I5736" s="455">
        <f t="shared" ca="1" si="195"/>
        <v>-9462458037921300</v>
      </c>
      <c r="J5736" s="455">
        <f t="array" ref="J5736">IFERROR(INDEX('Retirement Calculator'!K:K,MATCH('Lorri 401b'!N5736,'Retirement Calculator'!A:A,0),0),0)</f>
        <v>0</v>
      </c>
      <c r="K5736" s="455">
        <f t="shared" ca="1" si="193"/>
        <v>-39426908491338.75</v>
      </c>
      <c r="L5736" s="455">
        <f t="shared" ca="1" si="194"/>
        <v>-9501884946412638</v>
      </c>
      <c r="M5736" s="471">
        <f t="shared" si="196"/>
        <v>0.05</v>
      </c>
      <c r="N5736" s="475">
        <f t="shared" si="197"/>
        <v>225630</v>
      </c>
    </row>
    <row r="5737" spans="7:14" ht="11.25" customHeight="1" x14ac:dyDescent="0.3">
      <c r="G5737" s="470"/>
      <c r="H5737" s="470">
        <v>5730</v>
      </c>
      <c r="I5737" s="455">
        <f t="shared" ca="1" si="195"/>
        <v>-9501884946412638</v>
      </c>
      <c r="J5737" s="455">
        <f t="array" ref="J5737">IFERROR(INDEX('Retirement Calculator'!K:K,MATCH('Lorri 401b'!N5737,'Retirement Calculator'!A:A,0),0),0)</f>
        <v>0</v>
      </c>
      <c r="K5737" s="455">
        <f t="shared" ca="1" si="193"/>
        <v>-39591187276719.328</v>
      </c>
      <c r="L5737" s="455">
        <f t="shared" ca="1" si="194"/>
        <v>-9541476133689358</v>
      </c>
      <c r="M5737" s="471">
        <f t="shared" si="196"/>
        <v>0.05</v>
      </c>
      <c r="N5737" s="475">
        <f t="shared" si="197"/>
        <v>225661</v>
      </c>
    </row>
    <row r="5738" spans="7:14" ht="11.25" customHeight="1" x14ac:dyDescent="0.3">
      <c r="G5738" s="470"/>
      <c r="H5738" s="470">
        <v>5731</v>
      </c>
      <c r="I5738" s="455">
        <f t="shared" ca="1" si="195"/>
        <v>-9541476133689358</v>
      </c>
      <c r="J5738" s="455">
        <f t="array" ref="J5738">IFERROR(INDEX('Retirement Calculator'!K:K,MATCH('Lorri 401b'!N5738,'Retirement Calculator'!A:A,0),0),0)</f>
        <v>0</v>
      </c>
      <c r="K5738" s="455">
        <f t="shared" ca="1" si="193"/>
        <v>-39756150557038.992</v>
      </c>
      <c r="L5738" s="455">
        <f t="shared" ca="1" si="194"/>
        <v>-9581232284246396</v>
      </c>
      <c r="M5738" s="471">
        <f t="shared" si="196"/>
        <v>0.05</v>
      </c>
      <c r="N5738" s="475">
        <f t="shared" si="197"/>
        <v>225691</v>
      </c>
    </row>
    <row r="5739" spans="7:14" ht="11.25" customHeight="1" x14ac:dyDescent="0.3">
      <c r="G5739" s="470"/>
      <c r="H5739" s="470">
        <v>5732</v>
      </c>
      <c r="I5739" s="455">
        <f t="shared" ca="1" si="195"/>
        <v>-9581232284246396</v>
      </c>
      <c r="J5739" s="455">
        <f t="array" ref="J5739">IFERROR(INDEX('Retirement Calculator'!K:K,MATCH('Lorri 401b'!N5739,'Retirement Calculator'!A:A,0),0),0)</f>
        <v>0</v>
      </c>
      <c r="K5739" s="455">
        <f t="shared" ca="1" si="193"/>
        <v>-39921801184359.984</v>
      </c>
      <c r="L5739" s="455">
        <f t="shared" ca="1" si="194"/>
        <v>-9621154085430756</v>
      </c>
      <c r="M5739" s="471">
        <f t="shared" si="196"/>
        <v>0.05</v>
      </c>
      <c r="N5739" s="475">
        <f t="shared" si="197"/>
        <v>225722</v>
      </c>
    </row>
    <row r="5740" spans="7:14" ht="11.25" customHeight="1" x14ac:dyDescent="0.3">
      <c r="G5740" s="470"/>
      <c r="H5740" s="470">
        <v>5733</v>
      </c>
      <c r="I5740" s="455">
        <f t="shared" ca="1" si="195"/>
        <v>-9621154085430756</v>
      </c>
      <c r="J5740" s="455">
        <f t="array" ref="J5740">IFERROR(INDEX('Retirement Calculator'!K:K,MATCH('Lorri 401b'!N5740,'Retirement Calculator'!A:A,0),0),0)</f>
        <v>0</v>
      </c>
      <c r="K5740" s="455">
        <f t="shared" ca="1" si="193"/>
        <v>-40088142022628.148</v>
      </c>
      <c r="L5740" s="455">
        <f t="shared" ca="1" si="194"/>
        <v>-9661242227453384</v>
      </c>
      <c r="M5740" s="471">
        <f t="shared" si="196"/>
        <v>0.05</v>
      </c>
      <c r="N5740" s="475">
        <f t="shared" si="197"/>
        <v>225753</v>
      </c>
    </row>
    <row r="5741" spans="7:14" ht="11.25" customHeight="1" x14ac:dyDescent="0.3">
      <c r="G5741" s="470"/>
      <c r="H5741" s="470">
        <v>5734</v>
      </c>
      <c r="I5741" s="455">
        <f t="shared" ca="1" si="195"/>
        <v>-9661242227453384</v>
      </c>
      <c r="J5741" s="455">
        <f t="array" ref="J5741">IFERROR(INDEX('Retirement Calculator'!K:K,MATCH('Lorri 401b'!N5741,'Retirement Calculator'!A:A,0),0),0)</f>
        <v>0</v>
      </c>
      <c r="K5741" s="455">
        <f t="shared" ca="1" si="193"/>
        <v>-40255175947722.43</v>
      </c>
      <c r="L5741" s="455">
        <f t="shared" ca="1" si="194"/>
        <v>-9701497403401106</v>
      </c>
      <c r="M5741" s="471">
        <f t="shared" si="196"/>
        <v>0.05</v>
      </c>
      <c r="N5741" s="475">
        <f t="shared" si="197"/>
        <v>225781</v>
      </c>
    </row>
    <row r="5742" spans="7:14" ht="11.25" customHeight="1" x14ac:dyDescent="0.3">
      <c r="G5742" s="470"/>
      <c r="H5742" s="470">
        <v>5735</v>
      </c>
      <c r="I5742" s="455">
        <f t="shared" ca="1" si="195"/>
        <v>-9701497403401106</v>
      </c>
      <c r="J5742" s="455">
        <f t="array" ref="J5742">IFERROR(INDEX('Retirement Calculator'!K:K,MATCH('Lorri 401b'!N5742,'Retirement Calculator'!A:A,0),0),0)</f>
        <v>0</v>
      </c>
      <c r="K5742" s="455">
        <f t="shared" ca="1" si="193"/>
        <v>-40422905847504.609</v>
      </c>
      <c r="L5742" s="455">
        <f t="shared" ca="1" si="194"/>
        <v>-9741920309248610</v>
      </c>
      <c r="M5742" s="471">
        <f t="shared" si="196"/>
        <v>0.05</v>
      </c>
      <c r="N5742" s="475">
        <f t="shared" si="197"/>
        <v>225812</v>
      </c>
    </row>
    <row r="5743" spans="7:14" ht="11.25" customHeight="1" x14ac:dyDescent="0.3">
      <c r="G5743" s="470"/>
      <c r="H5743" s="470">
        <v>5736</v>
      </c>
      <c r="I5743" s="455">
        <f t="shared" ca="1" si="195"/>
        <v>-9741920309248610</v>
      </c>
      <c r="J5743" s="455">
        <f t="array" ref="J5743">IFERROR(INDEX('Retirement Calculator'!K:K,MATCH('Lorri 401b'!N5743,'Retirement Calculator'!A:A,0),0),0)</f>
        <v>0</v>
      </c>
      <c r="K5743" s="455">
        <f t="shared" ca="1" si="193"/>
        <v>-40591334621869.211</v>
      </c>
      <c r="L5743" s="455">
        <f t="shared" ca="1" si="194"/>
        <v>-9782511643870480</v>
      </c>
      <c r="M5743" s="471">
        <f t="shared" si="196"/>
        <v>0.05</v>
      </c>
      <c r="N5743" s="475">
        <f t="shared" si="197"/>
        <v>225842</v>
      </c>
    </row>
    <row r="5744" spans="7:14" ht="11.25" customHeight="1" x14ac:dyDescent="0.3">
      <c r="G5744" s="470"/>
      <c r="H5744" s="470">
        <v>5737</v>
      </c>
      <c r="I5744" s="455">
        <f t="shared" ca="1" si="195"/>
        <v>-9782511643870480</v>
      </c>
      <c r="J5744" s="455">
        <f t="array" ref="J5744">IFERROR(INDEX('Retirement Calculator'!K:K,MATCH('Lorri 401b'!N5744,'Retirement Calculator'!A:A,0),0),0)</f>
        <v>0</v>
      </c>
      <c r="K5744" s="455">
        <f t="shared" ca="1" si="193"/>
        <v>-40760465182793.664</v>
      </c>
      <c r="L5744" s="455">
        <f t="shared" ca="1" si="194"/>
        <v>-9823272109053274</v>
      </c>
      <c r="M5744" s="471">
        <f t="shared" si="196"/>
        <v>0.05</v>
      </c>
      <c r="N5744" s="475">
        <f t="shared" si="197"/>
        <v>225873</v>
      </c>
    </row>
    <row r="5745" spans="7:14" ht="11.25" customHeight="1" x14ac:dyDescent="0.3">
      <c r="G5745" s="470"/>
      <c r="H5745" s="470">
        <v>5738</v>
      </c>
      <c r="I5745" s="455">
        <f t="shared" ca="1" si="195"/>
        <v>-9823272109053274</v>
      </c>
      <c r="J5745" s="455">
        <f t="array" ref="J5745">IFERROR(INDEX('Retirement Calculator'!K:K,MATCH('Lorri 401b'!N5745,'Retirement Calculator'!A:A,0),0),0)</f>
        <v>0</v>
      </c>
      <c r="K5745" s="455">
        <f t="shared" ca="1" si="193"/>
        <v>-40930300454388.641</v>
      </c>
      <c r="L5745" s="455">
        <f t="shared" ca="1" si="194"/>
        <v>-9864202409507662</v>
      </c>
      <c r="M5745" s="471">
        <f t="shared" si="196"/>
        <v>0.05</v>
      </c>
      <c r="N5745" s="475">
        <f t="shared" si="197"/>
        <v>225903</v>
      </c>
    </row>
    <row r="5746" spans="7:14" ht="11.25" customHeight="1" x14ac:dyDescent="0.3">
      <c r="G5746" s="470"/>
      <c r="H5746" s="470">
        <v>5739</v>
      </c>
      <c r="I5746" s="455">
        <f t="shared" ca="1" si="195"/>
        <v>-9864202409507662</v>
      </c>
      <c r="J5746" s="455">
        <f t="array" ref="J5746">IFERROR(INDEX('Retirement Calculator'!K:K,MATCH('Lorri 401b'!N5746,'Retirement Calculator'!A:A,0),0),0)</f>
        <v>0</v>
      </c>
      <c r="K5746" s="455">
        <f t="shared" ca="1" si="193"/>
        <v>-41100843372948.594</v>
      </c>
      <c r="L5746" s="455">
        <f t="shared" ca="1" si="194"/>
        <v>-9905303252880610</v>
      </c>
      <c r="M5746" s="471">
        <f t="shared" si="196"/>
        <v>0.05</v>
      </c>
      <c r="N5746" s="475">
        <f t="shared" si="197"/>
        <v>225934</v>
      </c>
    </row>
    <row r="5747" spans="7:14" ht="11.25" customHeight="1" x14ac:dyDescent="0.3">
      <c r="G5747" s="470"/>
      <c r="H5747" s="470">
        <v>5740</v>
      </c>
      <c r="I5747" s="455">
        <f t="shared" ca="1" si="195"/>
        <v>-9905303252880610</v>
      </c>
      <c r="J5747" s="455">
        <f t="array" ref="J5747">IFERROR(INDEX('Retirement Calculator'!K:K,MATCH('Lorri 401b'!N5747,'Retirement Calculator'!A:A,0),0),0)</f>
        <v>0</v>
      </c>
      <c r="K5747" s="455">
        <f t="shared" ca="1" si="193"/>
        <v>-41272096887002.539</v>
      </c>
      <c r="L5747" s="455">
        <f t="shared" ca="1" si="194"/>
        <v>-9946575349767612</v>
      </c>
      <c r="M5747" s="471">
        <f t="shared" si="196"/>
        <v>0.05</v>
      </c>
      <c r="N5747" s="475">
        <f t="shared" si="197"/>
        <v>225965</v>
      </c>
    </row>
    <row r="5748" spans="7:14" ht="11.25" customHeight="1" x14ac:dyDescent="0.3">
      <c r="G5748" s="470"/>
      <c r="H5748" s="470">
        <v>5741</v>
      </c>
      <c r="I5748" s="455">
        <f t="shared" ca="1" si="195"/>
        <v>-9946575349767612</v>
      </c>
      <c r="J5748" s="455">
        <f t="array" ref="J5748">IFERROR(INDEX('Retirement Calculator'!K:K,MATCH('Lorri 401b'!N5748,'Retirement Calculator'!A:A,0),0),0)</f>
        <v>0</v>
      </c>
      <c r="K5748" s="455">
        <f t="shared" ca="1" si="193"/>
        <v>-41444063957365.047</v>
      </c>
      <c r="L5748" s="455">
        <f t="shared" ca="1" si="194"/>
        <v>-9988019413724978</v>
      </c>
      <c r="M5748" s="471">
        <f t="shared" si="196"/>
        <v>0.05</v>
      </c>
      <c r="N5748" s="475">
        <f t="shared" si="197"/>
        <v>225995</v>
      </c>
    </row>
    <row r="5749" spans="7:14" ht="11.25" customHeight="1" x14ac:dyDescent="0.3">
      <c r="G5749" s="470"/>
      <c r="H5749" s="470">
        <v>5742</v>
      </c>
      <c r="I5749" s="455">
        <f t="shared" ca="1" si="195"/>
        <v>-9988019413724978</v>
      </c>
      <c r="J5749" s="455">
        <f t="array" ref="J5749">IFERROR(INDEX('Retirement Calculator'!K:K,MATCH('Lorri 401b'!N5749,'Retirement Calculator'!A:A,0),0),0)</f>
        <v>0</v>
      </c>
      <c r="K5749" s="455">
        <f t="shared" ca="1" si="193"/>
        <v>-41616747557187.406</v>
      </c>
      <c r="L5749" s="455">
        <f t="shared" ca="1" si="194"/>
        <v>-1.0029636161282166E+16</v>
      </c>
      <c r="M5749" s="471">
        <f t="shared" si="196"/>
        <v>0.05</v>
      </c>
      <c r="N5749" s="475">
        <f t="shared" si="197"/>
        <v>226026</v>
      </c>
    </row>
    <row r="5750" spans="7:14" ht="11.25" customHeight="1" x14ac:dyDescent="0.3">
      <c r="G5750" s="470"/>
      <c r="H5750" s="470">
        <v>5743</v>
      </c>
      <c r="I5750" s="455">
        <f t="shared" ca="1" si="195"/>
        <v>-1.0029636161282166E+16</v>
      </c>
      <c r="J5750" s="455">
        <f t="array" ref="J5750">IFERROR(INDEX('Retirement Calculator'!K:K,MATCH('Lorri 401b'!N5750,'Retirement Calculator'!A:A,0),0),0)</f>
        <v>0</v>
      </c>
      <c r="K5750" s="455">
        <f t="shared" ca="1" si="193"/>
        <v>-41790150672009.023</v>
      </c>
      <c r="L5750" s="455">
        <f t="shared" ca="1" si="194"/>
        <v>-1.0071426311954176E+16</v>
      </c>
      <c r="M5750" s="471">
        <f t="shared" si="196"/>
        <v>0.05</v>
      </c>
      <c r="N5750" s="475">
        <f t="shared" si="197"/>
        <v>226056</v>
      </c>
    </row>
    <row r="5751" spans="7:14" ht="11.25" customHeight="1" x14ac:dyDescent="0.3">
      <c r="G5751" s="470"/>
      <c r="H5751" s="470">
        <v>5744</v>
      </c>
      <c r="I5751" s="455">
        <f t="shared" ca="1" si="195"/>
        <v>-1.0071426311954176E+16</v>
      </c>
      <c r="J5751" s="455">
        <f t="array" ref="J5751">IFERROR(INDEX('Retirement Calculator'!K:K,MATCH('Lorri 401b'!N5751,'Retirement Calculator'!A:A,0),0),0)</f>
        <v>0</v>
      </c>
      <c r="K5751" s="455">
        <f t="shared" ca="1" si="193"/>
        <v>-41964276299809.063</v>
      </c>
      <c r="L5751" s="455">
        <f t="shared" ca="1" si="194"/>
        <v>-1.0113390588253986E+16</v>
      </c>
      <c r="M5751" s="471">
        <f t="shared" si="196"/>
        <v>0.05</v>
      </c>
      <c r="N5751" s="475">
        <f t="shared" si="197"/>
        <v>226087</v>
      </c>
    </row>
    <row r="5752" spans="7:14" ht="11.25" customHeight="1" x14ac:dyDescent="0.3">
      <c r="G5752" s="470"/>
      <c r="H5752" s="470">
        <v>5745</v>
      </c>
      <c r="I5752" s="455">
        <f t="shared" ca="1" si="195"/>
        <v>-1.0113390588253986E+16</v>
      </c>
      <c r="J5752" s="455">
        <f t="array" ref="J5752">IFERROR(INDEX('Retirement Calculator'!K:K,MATCH('Lorri 401b'!N5752,'Retirement Calculator'!A:A,0),0),0)</f>
        <v>0</v>
      </c>
      <c r="K5752" s="455">
        <f t="shared" ca="1" si="193"/>
        <v>-42139127451058.273</v>
      </c>
      <c r="L5752" s="455">
        <f t="shared" ca="1" si="194"/>
        <v>-1.0155529715705044E+16</v>
      </c>
      <c r="M5752" s="471">
        <f t="shared" si="196"/>
        <v>0.05</v>
      </c>
      <c r="N5752" s="475">
        <f t="shared" si="197"/>
        <v>226118</v>
      </c>
    </row>
    <row r="5753" spans="7:14" ht="11.25" customHeight="1" x14ac:dyDescent="0.3">
      <c r="G5753" s="470"/>
      <c r="H5753" s="470">
        <v>5746</v>
      </c>
      <c r="I5753" s="455">
        <f t="shared" ca="1" si="195"/>
        <v>-1.0155529715705044E+16</v>
      </c>
      <c r="J5753" s="455">
        <f t="array" ref="J5753">IFERROR(INDEX('Retirement Calculator'!K:K,MATCH('Lorri 401b'!N5753,'Retirement Calculator'!A:A,0),0),0)</f>
        <v>0</v>
      </c>
      <c r="K5753" s="455">
        <f t="shared" ca="1" si="193"/>
        <v>-42314707148771.016</v>
      </c>
      <c r="L5753" s="455">
        <f t="shared" ca="1" si="194"/>
        <v>-1.0197844422853816E+16</v>
      </c>
      <c r="M5753" s="471">
        <f t="shared" si="196"/>
        <v>0.05</v>
      </c>
      <c r="N5753" s="475">
        <f t="shared" si="197"/>
        <v>226146</v>
      </c>
    </row>
    <row r="5754" spans="7:14" ht="11.25" customHeight="1" x14ac:dyDescent="0.3">
      <c r="G5754" s="470"/>
      <c r="H5754" s="470">
        <v>5747</v>
      </c>
      <c r="I5754" s="455">
        <f t="shared" ca="1" si="195"/>
        <v>-1.0197844422853816E+16</v>
      </c>
      <c r="J5754" s="455">
        <f t="array" ref="J5754">IFERROR(INDEX('Retirement Calculator'!K:K,MATCH('Lorri 401b'!N5754,'Retirement Calculator'!A:A,0),0),0)</f>
        <v>0</v>
      </c>
      <c r="K5754" s="455">
        <f t="shared" ca="1" si="193"/>
        <v>-42491018428557.563</v>
      </c>
      <c r="L5754" s="455">
        <f t="shared" ca="1" si="194"/>
        <v>-1.0240335441282374E+16</v>
      </c>
      <c r="M5754" s="471">
        <f t="shared" si="196"/>
        <v>0.05</v>
      </c>
      <c r="N5754" s="475">
        <f t="shared" si="197"/>
        <v>226177</v>
      </c>
    </row>
    <row r="5755" spans="7:14" ht="11.25" customHeight="1" x14ac:dyDescent="0.3">
      <c r="G5755" s="470"/>
      <c r="H5755" s="470">
        <v>5748</v>
      </c>
      <c r="I5755" s="455">
        <f t="shared" ca="1" si="195"/>
        <v>-1.0240335441282374E+16</v>
      </c>
      <c r="J5755" s="455">
        <f t="array" ref="J5755">IFERROR(INDEX('Retirement Calculator'!K:K,MATCH('Lorri 401b'!N5755,'Retirement Calculator'!A:A,0),0),0)</f>
        <v>0</v>
      </c>
      <c r="K5755" s="455">
        <f t="shared" ca="1" si="193"/>
        <v>-42668064338676.555</v>
      </c>
      <c r="L5755" s="455">
        <f t="shared" ca="1" si="194"/>
        <v>-1.028300350562105E+16</v>
      </c>
      <c r="M5755" s="471">
        <f t="shared" si="196"/>
        <v>0.05</v>
      </c>
      <c r="N5755" s="475">
        <f t="shared" si="197"/>
        <v>226207</v>
      </c>
    </row>
    <row r="5756" spans="7:14" ht="11.25" customHeight="1" x14ac:dyDescent="0.3">
      <c r="G5756" s="470"/>
      <c r="H5756" s="470">
        <v>5749</v>
      </c>
      <c r="I5756" s="455">
        <f t="shared" ca="1" si="195"/>
        <v>-1.028300350562105E+16</v>
      </c>
      <c r="J5756" s="455">
        <f t="array" ref="J5756">IFERROR(INDEX('Retirement Calculator'!K:K,MATCH('Lorri 401b'!N5756,'Retirement Calculator'!A:A,0),0),0)</f>
        <v>0</v>
      </c>
      <c r="K5756" s="455">
        <f t="shared" ca="1" si="193"/>
        <v>-42845847940087.711</v>
      </c>
      <c r="L5756" s="455">
        <f t="shared" ca="1" si="194"/>
        <v>-1.0325849353561138E+16</v>
      </c>
      <c r="M5756" s="471">
        <f t="shared" si="196"/>
        <v>0.05</v>
      </c>
      <c r="N5756" s="475">
        <f t="shared" si="197"/>
        <v>226238</v>
      </c>
    </row>
    <row r="5757" spans="7:14" ht="11.25" customHeight="1" x14ac:dyDescent="0.3">
      <c r="G5757" s="470"/>
      <c r="H5757" s="470">
        <v>5750</v>
      </c>
      <c r="I5757" s="455">
        <f t="shared" ca="1" si="195"/>
        <v>-1.0325849353561138E+16</v>
      </c>
      <c r="J5757" s="455">
        <f t="array" ref="J5757">IFERROR(INDEX('Retirement Calculator'!K:K,MATCH('Lorri 401b'!N5757,'Retirement Calculator'!A:A,0),0),0)</f>
        <v>0</v>
      </c>
      <c r="K5757" s="455">
        <f t="shared" ca="1" si="193"/>
        <v>-43024372306504.742</v>
      </c>
      <c r="L5757" s="455">
        <f t="shared" ca="1" si="194"/>
        <v>-1.0368873725867642E+16</v>
      </c>
      <c r="M5757" s="471">
        <f t="shared" si="196"/>
        <v>0.05</v>
      </c>
      <c r="N5757" s="475">
        <f t="shared" si="197"/>
        <v>226268</v>
      </c>
    </row>
    <row r="5758" spans="7:14" ht="11.25" customHeight="1" x14ac:dyDescent="0.3">
      <c r="G5758" s="470"/>
      <c r="H5758" s="470">
        <v>5751</v>
      </c>
      <c r="I5758" s="455">
        <f t="shared" ca="1" si="195"/>
        <v>-1.0368873725867642E+16</v>
      </c>
      <c r="J5758" s="455">
        <f t="array" ref="J5758">IFERROR(INDEX('Retirement Calculator'!K:K,MATCH('Lorri 401b'!N5758,'Retirement Calculator'!A:A,0),0),0)</f>
        <v>0</v>
      </c>
      <c r="K5758" s="455">
        <f t="shared" ca="1" si="193"/>
        <v>-43203640524448.508</v>
      </c>
      <c r="L5758" s="455">
        <f t="shared" ca="1" si="194"/>
        <v>-1.041207736639209E+16</v>
      </c>
      <c r="M5758" s="471">
        <f t="shared" si="196"/>
        <v>0.05</v>
      </c>
      <c r="N5758" s="475">
        <f t="shared" si="197"/>
        <v>226299</v>
      </c>
    </row>
    <row r="5759" spans="7:14" ht="11.25" customHeight="1" x14ac:dyDescent="0.3">
      <c r="G5759" s="470"/>
      <c r="H5759" s="470">
        <v>5752</v>
      </c>
      <c r="I5759" s="455">
        <f t="shared" ca="1" si="195"/>
        <v>-1.041207736639209E+16</v>
      </c>
      <c r="J5759" s="455">
        <f t="array" ref="J5759">IFERROR(INDEX('Retirement Calculator'!K:K,MATCH('Lorri 401b'!N5759,'Retirement Calculator'!A:A,0),0),0)</f>
        <v>0</v>
      </c>
      <c r="K5759" s="455">
        <f t="shared" ca="1" si="193"/>
        <v>-43383655693300.375</v>
      </c>
      <c r="L5759" s="455">
        <f t="shared" ca="1" si="194"/>
        <v>-1.045546102208539E+16</v>
      </c>
      <c r="M5759" s="471">
        <f t="shared" si="196"/>
        <v>0.05</v>
      </c>
      <c r="N5759" s="475">
        <f t="shared" si="197"/>
        <v>226330</v>
      </c>
    </row>
    <row r="5760" spans="7:14" ht="11.25" customHeight="1" x14ac:dyDescent="0.3">
      <c r="G5760" s="470"/>
      <c r="H5760" s="470">
        <v>5753</v>
      </c>
      <c r="I5760" s="455">
        <f t="shared" ca="1" si="195"/>
        <v>-1.045546102208539E+16</v>
      </c>
      <c r="J5760" s="455">
        <f t="array" ref="J5760">IFERROR(INDEX('Retirement Calculator'!K:K,MATCH('Lorri 401b'!N5760,'Retirement Calculator'!A:A,0),0),0)</f>
        <v>0</v>
      </c>
      <c r="K5760" s="455">
        <f t="shared" ca="1" si="193"/>
        <v>-43564420925355.789</v>
      </c>
      <c r="L5760" s="455">
        <f t="shared" ca="1" si="194"/>
        <v>-1.0499025443010746E+16</v>
      </c>
      <c r="M5760" s="471">
        <f t="shared" si="196"/>
        <v>0.05</v>
      </c>
      <c r="N5760" s="475">
        <f t="shared" si="197"/>
        <v>226360</v>
      </c>
    </row>
    <row r="5761" spans="7:14" ht="11.25" customHeight="1" x14ac:dyDescent="0.3">
      <c r="G5761" s="470"/>
      <c r="H5761" s="470">
        <v>5754</v>
      </c>
      <c r="I5761" s="455">
        <f t="shared" ca="1" si="195"/>
        <v>-1.0499025443010746E+16</v>
      </c>
      <c r="J5761" s="455">
        <f t="array" ref="J5761">IFERROR(INDEX('Retirement Calculator'!K:K,MATCH('Lorri 401b'!N5761,'Retirement Calculator'!A:A,0),0),0)</f>
        <v>0</v>
      </c>
      <c r="K5761" s="455">
        <f t="shared" ca="1" si="193"/>
        <v>-43745939345878.109</v>
      </c>
      <c r="L5761" s="455">
        <f t="shared" ca="1" si="194"/>
        <v>-1.0542771382356624E+16</v>
      </c>
      <c r="M5761" s="471">
        <f t="shared" si="196"/>
        <v>0.05</v>
      </c>
      <c r="N5761" s="475">
        <f t="shared" si="197"/>
        <v>226391</v>
      </c>
    </row>
    <row r="5762" spans="7:14" ht="11.25" customHeight="1" x14ac:dyDescent="0.3">
      <c r="G5762" s="470"/>
      <c r="H5762" s="470">
        <v>5755</v>
      </c>
      <c r="I5762" s="455">
        <f t="shared" ca="1" si="195"/>
        <v>-1.0542771382356624E+16</v>
      </c>
      <c r="J5762" s="455">
        <f t="array" ref="J5762">IFERROR(INDEX('Retirement Calculator'!K:K,MATCH('Lorri 401b'!N5762,'Retirement Calculator'!A:A,0),0),0)</f>
        <v>0</v>
      </c>
      <c r="K5762" s="455">
        <f t="shared" ca="1" si="193"/>
        <v>-43928214093152.602</v>
      </c>
      <c r="L5762" s="455">
        <f t="shared" ca="1" si="194"/>
        <v>-1.0586699596449776E+16</v>
      </c>
      <c r="M5762" s="471">
        <f t="shared" si="196"/>
        <v>0.05</v>
      </c>
      <c r="N5762" s="475">
        <f t="shared" si="197"/>
        <v>226421</v>
      </c>
    </row>
    <row r="5763" spans="7:14" ht="11.25" customHeight="1" x14ac:dyDescent="0.3">
      <c r="G5763" s="470"/>
      <c r="H5763" s="470">
        <v>5756</v>
      </c>
      <c r="I5763" s="455">
        <f t="shared" ca="1" si="195"/>
        <v>-1.0586699596449776E+16</v>
      </c>
      <c r="J5763" s="455">
        <f t="array" ref="J5763">IFERROR(INDEX('Retirement Calculator'!K:K,MATCH('Lorri 401b'!N5763,'Retirement Calculator'!A:A,0),0),0)</f>
        <v>0</v>
      </c>
      <c r="K5763" s="455">
        <f t="shared" ca="1" si="193"/>
        <v>-44111248318540.734</v>
      </c>
      <c r="L5763" s="455">
        <f t="shared" ca="1" si="194"/>
        <v>-1.0630810844768316E+16</v>
      </c>
      <c r="M5763" s="471">
        <f t="shared" si="196"/>
        <v>0.05</v>
      </c>
      <c r="N5763" s="475">
        <f t="shared" si="197"/>
        <v>226452</v>
      </c>
    </row>
    <row r="5764" spans="7:14" ht="11.25" customHeight="1" x14ac:dyDescent="0.3">
      <c r="G5764" s="470"/>
      <c r="H5764" s="470">
        <v>5757</v>
      </c>
      <c r="I5764" s="455">
        <f t="shared" ca="1" si="195"/>
        <v>-1.0630810844768316E+16</v>
      </c>
      <c r="J5764" s="455">
        <f t="array" ref="J5764">IFERROR(INDEX('Retirement Calculator'!K:K,MATCH('Lorri 401b'!N5764,'Retirement Calculator'!A:A,0),0),0)</f>
        <v>0</v>
      </c>
      <c r="K5764" s="455">
        <f t="shared" ca="1" si="193"/>
        <v>-44295045186534.648</v>
      </c>
      <c r="L5764" s="455">
        <f t="shared" ca="1" si="194"/>
        <v>-1.067510588995485E+16</v>
      </c>
      <c r="M5764" s="471">
        <f t="shared" si="196"/>
        <v>0.05</v>
      </c>
      <c r="N5764" s="475">
        <f t="shared" si="197"/>
        <v>226483</v>
      </c>
    </row>
    <row r="5765" spans="7:14" ht="11.25" customHeight="1" x14ac:dyDescent="0.3">
      <c r="G5765" s="470"/>
      <c r="H5765" s="470">
        <v>5758</v>
      </c>
      <c r="I5765" s="455">
        <f t="shared" ca="1" si="195"/>
        <v>-1.067510588995485E+16</v>
      </c>
      <c r="J5765" s="455">
        <f t="array" ref="J5765">IFERROR(INDEX('Retirement Calculator'!K:K,MATCH('Lorri 401b'!N5765,'Retirement Calculator'!A:A,0),0),0)</f>
        <v>0</v>
      </c>
      <c r="K5765" s="455">
        <f t="shared" ca="1" si="193"/>
        <v>-44479607874811.875</v>
      </c>
      <c r="L5765" s="455">
        <f t="shared" ca="1" si="194"/>
        <v>-1.0719585497829662E+16</v>
      </c>
      <c r="M5765" s="471">
        <f t="shared" si="196"/>
        <v>0.05</v>
      </c>
      <c r="N5765" s="475">
        <f t="shared" si="197"/>
        <v>226512</v>
      </c>
    </row>
    <row r="5766" spans="7:14" ht="11.25" customHeight="1" x14ac:dyDescent="0.3">
      <c r="G5766" s="470"/>
      <c r="H5766" s="470">
        <v>5759</v>
      </c>
      <c r="I5766" s="455">
        <f t="shared" ca="1" si="195"/>
        <v>-1.0719585497829662E+16</v>
      </c>
      <c r="J5766" s="455">
        <f t="array" ref="J5766">IFERROR(INDEX('Retirement Calculator'!K:K,MATCH('Lorri 401b'!N5766,'Retirement Calculator'!A:A,0),0),0)</f>
        <v>0</v>
      </c>
      <c r="K5766" s="455">
        <f t="shared" ca="1" si="193"/>
        <v>-44664939574290.258</v>
      </c>
      <c r="L5766" s="455">
        <f t="shared" ca="1" si="194"/>
        <v>-1.0764250437403952E+16</v>
      </c>
      <c r="M5766" s="471">
        <f t="shared" si="196"/>
        <v>0.05</v>
      </c>
      <c r="N5766" s="475">
        <f t="shared" si="197"/>
        <v>226543</v>
      </c>
    </row>
    <row r="5767" spans="7:14" ht="11.25" customHeight="1" x14ac:dyDescent="0.3">
      <c r="G5767" s="470"/>
      <c r="H5767" s="470">
        <v>5760</v>
      </c>
      <c r="I5767" s="455">
        <f t="shared" ca="1" si="195"/>
        <v>-1.0764250437403952E+16</v>
      </c>
      <c r="J5767" s="455">
        <f t="array" ref="J5767">IFERROR(INDEX('Retirement Calculator'!K:K,MATCH('Lorri 401b'!N5767,'Retirement Calculator'!A:A,0),0),0)</f>
        <v>0</v>
      </c>
      <c r="K5767" s="455">
        <f t="shared" ca="1" si="193"/>
        <v>-44851043489183.133</v>
      </c>
      <c r="L5767" s="455">
        <f t="shared" ca="1" si="194"/>
        <v>-1.0809101480893136E+16</v>
      </c>
      <c r="M5767" s="471">
        <f t="shared" si="196"/>
        <v>0.05</v>
      </c>
      <c r="N5767" s="475">
        <f t="shared" si="197"/>
        <v>226573</v>
      </c>
    </row>
    <row r="5768" spans="7:14" ht="11.25" customHeight="1" x14ac:dyDescent="0.3">
      <c r="G5768" s="470"/>
      <c r="H5768" s="470">
        <v>5761</v>
      </c>
      <c r="I5768" s="455">
        <f t="shared" ca="1" si="195"/>
        <v>-1.0809101480893136E+16</v>
      </c>
      <c r="J5768" s="455">
        <f t="array" ref="J5768">IFERROR(INDEX('Retirement Calculator'!K:K,MATCH('Lorri 401b'!N5768,'Retirement Calculator'!A:A,0),0),0)</f>
        <v>0</v>
      </c>
      <c r="K5768" s="455">
        <f t="shared" ca="1" si="193"/>
        <v>-45037922837054.734</v>
      </c>
      <c r="L5768" s="455">
        <f t="shared" ca="1" si="194"/>
        <v>-1.085413940373019E+16</v>
      </c>
      <c r="M5768" s="471">
        <f t="shared" si="196"/>
        <v>0.05</v>
      </c>
      <c r="N5768" s="475">
        <f t="shared" si="197"/>
        <v>226604</v>
      </c>
    </row>
    <row r="5769" spans="7:14" ht="11.25" customHeight="1" x14ac:dyDescent="0.3">
      <c r="G5769" s="470"/>
      <c r="H5769" s="470">
        <v>5762</v>
      </c>
      <c r="I5769" s="455">
        <f t="shared" ca="1" si="195"/>
        <v>-1.085413940373019E+16</v>
      </c>
      <c r="J5769" s="455">
        <f t="array" ref="J5769">IFERROR(INDEX('Retirement Calculator'!K:K,MATCH('Lorri 401b'!N5769,'Retirement Calculator'!A:A,0),0),0)</f>
        <v>0</v>
      </c>
      <c r="K5769" s="455">
        <f t="shared" ca="1" si="193"/>
        <v>-45225580848875.789</v>
      </c>
      <c r="L5769" s="455">
        <f t="shared" ca="1" si="194"/>
        <v>-1.0899364984579066E+16</v>
      </c>
      <c r="M5769" s="471">
        <f t="shared" si="196"/>
        <v>0.05</v>
      </c>
      <c r="N5769" s="475">
        <f t="shared" si="197"/>
        <v>226634</v>
      </c>
    </row>
    <row r="5770" spans="7:14" ht="11.25" customHeight="1" x14ac:dyDescent="0.3">
      <c r="G5770" s="470"/>
      <c r="H5770" s="470">
        <v>5763</v>
      </c>
      <c r="I5770" s="455">
        <f t="shared" ca="1" si="195"/>
        <v>-1.0899364984579066E+16</v>
      </c>
      <c r="J5770" s="455">
        <f t="array" ref="J5770">IFERROR(INDEX('Retirement Calculator'!K:K,MATCH('Lorri 401b'!N5770,'Retirement Calculator'!A:A,0),0),0)</f>
        <v>0</v>
      </c>
      <c r="K5770" s="455">
        <f t="shared" ca="1" si="193"/>
        <v>-45414020769079.438</v>
      </c>
      <c r="L5770" s="455">
        <f t="shared" ca="1" si="194"/>
        <v>-1.0944779005348146E+16</v>
      </c>
      <c r="M5770" s="471">
        <f t="shared" si="196"/>
        <v>0.05</v>
      </c>
      <c r="N5770" s="475">
        <f t="shared" si="197"/>
        <v>226665</v>
      </c>
    </row>
    <row r="5771" spans="7:14" ht="11.25" customHeight="1" x14ac:dyDescent="0.3">
      <c r="G5771" s="470"/>
      <c r="H5771" s="470">
        <v>5764</v>
      </c>
      <c r="I5771" s="455">
        <f t="shared" ca="1" si="195"/>
        <v>-1.0944779005348146E+16</v>
      </c>
      <c r="J5771" s="455">
        <f t="array" ref="J5771">IFERROR(INDEX('Retirement Calculator'!K:K,MATCH('Lorri 401b'!N5771,'Retirement Calculator'!A:A,0),0),0)</f>
        <v>0</v>
      </c>
      <c r="K5771" s="455">
        <f t="shared" ca="1" si="193"/>
        <v>-45603245855617.273</v>
      </c>
      <c r="L5771" s="455">
        <f t="shared" ca="1" si="194"/>
        <v>-1.0990382251203764E+16</v>
      </c>
      <c r="M5771" s="471">
        <f t="shared" si="196"/>
        <v>0.05</v>
      </c>
      <c r="N5771" s="475">
        <f t="shared" si="197"/>
        <v>226696</v>
      </c>
    </row>
    <row r="5772" spans="7:14" ht="11.25" customHeight="1" x14ac:dyDescent="0.3">
      <c r="G5772" s="470"/>
      <c r="H5772" s="470">
        <v>5765</v>
      </c>
      <c r="I5772" s="455">
        <f t="shared" ca="1" si="195"/>
        <v>-1.0990382251203764E+16</v>
      </c>
      <c r="J5772" s="455">
        <f t="array" ref="J5772">IFERROR(INDEX('Retirement Calculator'!K:K,MATCH('Lorri 401b'!N5772,'Retirement Calculator'!A:A,0),0),0)</f>
        <v>0</v>
      </c>
      <c r="K5772" s="455">
        <f t="shared" ca="1" si="193"/>
        <v>-45793259380015.68</v>
      </c>
      <c r="L5772" s="455">
        <f t="shared" ca="1" si="194"/>
        <v>-1.103617551058378E+16</v>
      </c>
      <c r="M5772" s="471">
        <f t="shared" si="196"/>
        <v>0.05</v>
      </c>
      <c r="N5772" s="475">
        <f t="shared" si="197"/>
        <v>226726</v>
      </c>
    </row>
    <row r="5773" spans="7:14" ht="11.25" customHeight="1" x14ac:dyDescent="0.3">
      <c r="G5773" s="470"/>
      <c r="H5773" s="470">
        <v>5766</v>
      </c>
      <c r="I5773" s="455">
        <f t="shared" ca="1" si="195"/>
        <v>-1.103617551058378E+16</v>
      </c>
      <c r="J5773" s="455">
        <f t="array" ref="J5773">IFERROR(INDEX('Retirement Calculator'!K:K,MATCH('Lorri 401b'!N5773,'Retirement Calculator'!A:A,0),0),0)</f>
        <v>0</v>
      </c>
      <c r="K5773" s="455">
        <f t="shared" ca="1" si="193"/>
        <v>-45984064627432.414</v>
      </c>
      <c r="L5773" s="455">
        <f t="shared" ca="1" si="194"/>
        <v>-1.1082159575211212E+16</v>
      </c>
      <c r="M5773" s="471">
        <f t="shared" si="196"/>
        <v>0.05</v>
      </c>
      <c r="N5773" s="475">
        <f t="shared" si="197"/>
        <v>226757</v>
      </c>
    </row>
    <row r="5774" spans="7:14" ht="11.25" customHeight="1" x14ac:dyDescent="0.3">
      <c r="G5774" s="470"/>
      <c r="H5774" s="470">
        <v>5767</v>
      </c>
      <c r="I5774" s="455">
        <f t="shared" ca="1" si="195"/>
        <v>-1.1082159575211212E+16</v>
      </c>
      <c r="J5774" s="455">
        <f t="array" ref="J5774">IFERROR(INDEX('Retirement Calculator'!K:K,MATCH('Lorri 401b'!N5774,'Retirement Calculator'!A:A,0),0),0)</f>
        <v>0</v>
      </c>
      <c r="K5774" s="455">
        <f t="shared" ca="1" si="193"/>
        <v>-46175664896713.383</v>
      </c>
      <c r="L5774" s="455">
        <f t="shared" ca="1" si="194"/>
        <v>-1.1128335240107926E+16</v>
      </c>
      <c r="M5774" s="471">
        <f t="shared" si="196"/>
        <v>0.05</v>
      </c>
      <c r="N5774" s="475">
        <f t="shared" si="197"/>
        <v>226787</v>
      </c>
    </row>
    <row r="5775" spans="7:14" ht="11.25" customHeight="1" x14ac:dyDescent="0.3">
      <c r="G5775" s="470"/>
      <c r="H5775" s="470">
        <v>5768</v>
      </c>
      <c r="I5775" s="455">
        <f t="shared" ca="1" si="195"/>
        <v>-1.1128335240107926E+16</v>
      </c>
      <c r="J5775" s="455">
        <f t="array" ref="J5775">IFERROR(INDEX('Retirement Calculator'!K:K,MATCH('Lorri 401b'!N5775,'Retirement Calculator'!A:A,0),0),0)</f>
        <v>0</v>
      </c>
      <c r="K5775" s="455">
        <f t="shared" ca="1" si="193"/>
        <v>-46368063500449.688</v>
      </c>
      <c r="L5775" s="455">
        <f t="shared" ca="1" si="194"/>
        <v>-1.1174703303608376E+16</v>
      </c>
      <c r="M5775" s="471">
        <f t="shared" si="196"/>
        <v>0.05</v>
      </c>
      <c r="N5775" s="475">
        <f t="shared" si="197"/>
        <v>226818</v>
      </c>
    </row>
    <row r="5776" spans="7:14" ht="11.25" customHeight="1" x14ac:dyDescent="0.3">
      <c r="G5776" s="470"/>
      <c r="H5776" s="470">
        <v>5769</v>
      </c>
      <c r="I5776" s="455">
        <f t="shared" ca="1" si="195"/>
        <v>-1.1174703303608376E+16</v>
      </c>
      <c r="J5776" s="455">
        <f t="array" ref="J5776">IFERROR(INDEX('Retirement Calculator'!K:K,MATCH('Lorri 401b'!N5776,'Retirement Calculator'!A:A,0),0),0)</f>
        <v>0</v>
      </c>
      <c r="K5776" s="455">
        <f t="shared" ca="1" si="193"/>
        <v>-46561263765034.898</v>
      </c>
      <c r="L5776" s="455">
        <f t="shared" ca="1" si="194"/>
        <v>-1.122126456737341E+16</v>
      </c>
      <c r="M5776" s="471">
        <f t="shared" si="196"/>
        <v>0.05</v>
      </c>
      <c r="N5776" s="475">
        <f t="shared" si="197"/>
        <v>226849</v>
      </c>
    </row>
    <row r="5777" spans="7:14" ht="11.25" customHeight="1" x14ac:dyDescent="0.3">
      <c r="G5777" s="470"/>
      <c r="H5777" s="470">
        <v>5770</v>
      </c>
      <c r="I5777" s="455">
        <f t="shared" ca="1" si="195"/>
        <v>-1.122126456737341E+16</v>
      </c>
      <c r="J5777" s="455">
        <f t="array" ref="J5777">IFERROR(INDEX('Retirement Calculator'!K:K,MATCH('Lorri 401b'!N5777,'Retirement Calculator'!A:A,0),0),0)</f>
        <v>0</v>
      </c>
      <c r="K5777" s="455">
        <f t="shared" ca="1" si="193"/>
        <v>-46755269030722.539</v>
      </c>
      <c r="L5777" s="455">
        <f t="shared" ca="1" si="194"/>
        <v>-1.1268019836404132E+16</v>
      </c>
      <c r="M5777" s="471">
        <f t="shared" si="196"/>
        <v>0.05</v>
      </c>
      <c r="N5777" s="475">
        <f t="shared" si="197"/>
        <v>226877</v>
      </c>
    </row>
    <row r="5778" spans="7:14" ht="11.25" customHeight="1" x14ac:dyDescent="0.3">
      <c r="G5778" s="470"/>
      <c r="H5778" s="470">
        <v>5771</v>
      </c>
      <c r="I5778" s="455">
        <f t="shared" ca="1" si="195"/>
        <v>-1.1268019836404132E+16</v>
      </c>
      <c r="J5778" s="455">
        <f t="array" ref="J5778">IFERROR(INDEX('Retirement Calculator'!K:K,MATCH('Lorri 401b'!N5778,'Retirement Calculator'!A:A,0),0),0)</f>
        <v>0</v>
      </c>
      <c r="K5778" s="455">
        <f t="shared" ca="1" si="193"/>
        <v>-46950082651683.883</v>
      </c>
      <c r="L5778" s="455">
        <f t="shared" ca="1" si="194"/>
        <v>-1.1314969919055816E+16</v>
      </c>
      <c r="M5778" s="471">
        <f t="shared" si="196"/>
        <v>0.05</v>
      </c>
      <c r="N5778" s="475">
        <f t="shared" si="197"/>
        <v>226908</v>
      </c>
    </row>
    <row r="5779" spans="7:14" ht="11.25" customHeight="1" x14ac:dyDescent="0.3">
      <c r="G5779" s="470"/>
      <c r="H5779" s="470">
        <v>5772</v>
      </c>
      <c r="I5779" s="455">
        <f t="shared" ca="1" si="195"/>
        <v>-1.1314969919055816E+16</v>
      </c>
      <c r="J5779" s="455">
        <f t="array" ref="J5779">IFERROR(INDEX('Retirement Calculator'!K:K,MATCH('Lorri 401b'!N5779,'Retirement Calculator'!A:A,0),0),0)</f>
        <v>0</v>
      </c>
      <c r="K5779" s="455">
        <f t="shared" ca="1" si="193"/>
        <v>-47145707996065.898</v>
      </c>
      <c r="L5779" s="455">
        <f t="shared" ca="1" si="194"/>
        <v>-1.1362115627051882E+16</v>
      </c>
      <c r="M5779" s="471">
        <f t="shared" si="196"/>
        <v>0.05</v>
      </c>
      <c r="N5779" s="475">
        <f t="shared" si="197"/>
        <v>226938</v>
      </c>
    </row>
    <row r="5780" spans="7:14" ht="11.25" customHeight="1" x14ac:dyDescent="0.3">
      <c r="G5780" s="470"/>
      <c r="H5780" s="470">
        <v>5773</v>
      </c>
      <c r="I5780" s="455">
        <f t="shared" ca="1" si="195"/>
        <v>-1.1362115627051882E+16</v>
      </c>
      <c r="J5780" s="455">
        <f t="array" ref="J5780">IFERROR(INDEX('Retirement Calculator'!K:K,MATCH('Lorri 401b'!N5780,'Retirement Calculator'!A:A,0),0),0)</f>
        <v>0</v>
      </c>
      <c r="K5780" s="455">
        <f t="shared" ca="1" si="193"/>
        <v>-47342148446049.508</v>
      </c>
      <c r="L5780" s="455">
        <f t="shared" ca="1" si="194"/>
        <v>-1.1409457775497932E+16</v>
      </c>
      <c r="M5780" s="471">
        <f t="shared" si="196"/>
        <v>0.05</v>
      </c>
      <c r="N5780" s="475">
        <f t="shared" si="197"/>
        <v>226969</v>
      </c>
    </row>
    <row r="5781" spans="7:14" ht="11.25" customHeight="1" x14ac:dyDescent="0.3">
      <c r="G5781" s="470"/>
      <c r="H5781" s="470">
        <v>5774</v>
      </c>
      <c r="I5781" s="455">
        <f t="shared" ca="1" si="195"/>
        <v>-1.1409457775497932E+16</v>
      </c>
      <c r="J5781" s="455">
        <f t="array" ref="J5781">IFERROR(INDEX('Retirement Calculator'!K:K,MATCH('Lorri 401b'!N5781,'Retirement Calculator'!A:A,0),0),0)</f>
        <v>0</v>
      </c>
      <c r="K5781" s="455">
        <f t="shared" ca="1" si="193"/>
        <v>-47539407397908.047</v>
      </c>
      <c r="L5781" s="455">
        <f t="shared" ca="1" si="194"/>
        <v>-1.145699718289584E+16</v>
      </c>
      <c r="M5781" s="471">
        <f t="shared" si="196"/>
        <v>0.05</v>
      </c>
      <c r="N5781" s="475">
        <f t="shared" si="197"/>
        <v>226999</v>
      </c>
    </row>
    <row r="5782" spans="7:14" ht="11.25" customHeight="1" x14ac:dyDescent="0.3">
      <c r="G5782" s="470"/>
      <c r="H5782" s="470">
        <v>5775</v>
      </c>
      <c r="I5782" s="455">
        <f t="shared" ca="1" si="195"/>
        <v>-1.145699718289584E+16</v>
      </c>
      <c r="J5782" s="455">
        <f t="array" ref="J5782">IFERROR(INDEX('Retirement Calculator'!K:K,MATCH('Lorri 401b'!N5782,'Retirement Calculator'!A:A,0),0),0)</f>
        <v>0</v>
      </c>
      <c r="K5782" s="455">
        <f t="shared" ca="1" si="193"/>
        <v>-47737488262066</v>
      </c>
      <c r="L5782" s="455">
        <f t="shared" ca="1" si="194"/>
        <v>-1.1504734671157906E+16</v>
      </c>
      <c r="M5782" s="471">
        <f t="shared" si="196"/>
        <v>0.05</v>
      </c>
      <c r="N5782" s="475">
        <f t="shared" si="197"/>
        <v>227030</v>
      </c>
    </row>
    <row r="5783" spans="7:14" ht="11.25" customHeight="1" x14ac:dyDescent="0.3">
      <c r="G5783" s="470"/>
      <c r="H5783" s="470">
        <v>5776</v>
      </c>
      <c r="I5783" s="455">
        <f t="shared" ca="1" si="195"/>
        <v>-1.1504734671157906E+16</v>
      </c>
      <c r="J5783" s="455">
        <f t="array" ref="J5783">IFERROR(INDEX('Retirement Calculator'!K:K,MATCH('Lorri 401b'!N5783,'Retirement Calculator'!A:A,0),0),0)</f>
        <v>0</v>
      </c>
      <c r="K5783" s="455">
        <f t="shared" ca="1" si="193"/>
        <v>-47936394463157.938</v>
      </c>
      <c r="L5783" s="455">
        <f t="shared" ca="1" si="194"/>
        <v>-1.1552671065621064E+16</v>
      </c>
      <c r="M5783" s="471">
        <f t="shared" si="196"/>
        <v>0.05</v>
      </c>
      <c r="N5783" s="475">
        <f t="shared" si="197"/>
        <v>227061</v>
      </c>
    </row>
    <row r="5784" spans="7:14" ht="11.25" customHeight="1" x14ac:dyDescent="0.3">
      <c r="G5784" s="470"/>
      <c r="H5784" s="470">
        <v>5777</v>
      </c>
      <c r="I5784" s="455">
        <f t="shared" ca="1" si="195"/>
        <v>-1.1552671065621064E+16</v>
      </c>
      <c r="J5784" s="455">
        <f t="array" ref="J5784">IFERROR(INDEX('Retirement Calculator'!K:K,MATCH('Lorri 401b'!N5784,'Retirement Calculator'!A:A,0),0),0)</f>
        <v>0</v>
      </c>
      <c r="K5784" s="455">
        <f t="shared" ca="1" si="193"/>
        <v>-48136129440087.766</v>
      </c>
      <c r="L5784" s="455">
        <f t="shared" ca="1" si="194"/>
        <v>-1.1600807195061152E+16</v>
      </c>
      <c r="M5784" s="471">
        <f t="shared" si="196"/>
        <v>0.05</v>
      </c>
      <c r="N5784" s="475">
        <f t="shared" si="197"/>
        <v>227091</v>
      </c>
    </row>
    <row r="5785" spans="7:14" ht="11.25" customHeight="1" x14ac:dyDescent="0.3">
      <c r="G5785" s="470"/>
      <c r="H5785" s="470">
        <v>5778</v>
      </c>
      <c r="I5785" s="455">
        <f t="shared" ca="1" si="195"/>
        <v>-1.1600807195061152E+16</v>
      </c>
      <c r="J5785" s="455">
        <f t="array" ref="J5785">IFERROR(INDEX('Retirement Calculator'!K:K,MATCH('Lorri 401b'!N5785,'Retirement Calculator'!A:A,0),0),0)</f>
        <v>0</v>
      </c>
      <c r="K5785" s="455">
        <f t="shared" ca="1" si="193"/>
        <v>-48336696646088.133</v>
      </c>
      <c r="L5785" s="455">
        <f t="shared" ca="1" si="194"/>
        <v>-1.164914389170724E+16</v>
      </c>
      <c r="M5785" s="471">
        <f t="shared" si="196"/>
        <v>0.05</v>
      </c>
      <c r="N5785" s="475">
        <f t="shared" si="197"/>
        <v>227122</v>
      </c>
    </row>
    <row r="5786" spans="7:14" ht="11.25" customHeight="1" x14ac:dyDescent="0.3">
      <c r="G5786" s="470"/>
      <c r="H5786" s="470">
        <v>5779</v>
      </c>
      <c r="I5786" s="455">
        <f t="shared" ca="1" si="195"/>
        <v>-1.164914389170724E+16</v>
      </c>
      <c r="J5786" s="455">
        <f t="array" ref="J5786">IFERROR(INDEX('Retirement Calculator'!K:K,MATCH('Lorri 401b'!N5786,'Retirement Calculator'!A:A,0),0),0)</f>
        <v>0</v>
      </c>
      <c r="K5786" s="455">
        <f t="shared" ca="1" si="193"/>
        <v>-48538099548780.164</v>
      </c>
      <c r="L5786" s="455">
        <f t="shared" ca="1" si="194"/>
        <v>-1.169768199125602E+16</v>
      </c>
      <c r="M5786" s="471">
        <f t="shared" si="196"/>
        <v>0.05</v>
      </c>
      <c r="N5786" s="475">
        <f t="shared" si="197"/>
        <v>227152</v>
      </c>
    </row>
    <row r="5787" spans="7:14" ht="11.25" customHeight="1" x14ac:dyDescent="0.3">
      <c r="G5787" s="470"/>
      <c r="H5787" s="470">
        <v>5780</v>
      </c>
      <c r="I5787" s="455">
        <f t="shared" ca="1" si="195"/>
        <v>-1.169768199125602E+16</v>
      </c>
      <c r="J5787" s="455">
        <f t="array" ref="J5787">IFERROR(INDEX('Retirement Calculator'!K:K,MATCH('Lorri 401b'!N5787,'Retirement Calculator'!A:A,0),0),0)</f>
        <v>0</v>
      </c>
      <c r="K5787" s="455">
        <f t="shared" ca="1" si="193"/>
        <v>-48740341630233.414</v>
      </c>
      <c r="L5787" s="455">
        <f t="shared" ca="1" si="194"/>
        <v>-1.1746422332886254E+16</v>
      </c>
      <c r="M5787" s="471">
        <f t="shared" si="196"/>
        <v>0.05</v>
      </c>
      <c r="N5787" s="475">
        <f t="shared" si="197"/>
        <v>227183</v>
      </c>
    </row>
    <row r="5788" spans="7:14" ht="11.25" customHeight="1" x14ac:dyDescent="0.3">
      <c r="G5788" s="470"/>
      <c r="H5788" s="470">
        <v>5781</v>
      </c>
      <c r="I5788" s="455">
        <f t="shared" ca="1" si="195"/>
        <v>-1.1746422332886254E+16</v>
      </c>
      <c r="J5788" s="455">
        <f t="array" ref="J5788">IFERROR(INDEX('Retirement Calculator'!K:K,MATCH('Lorri 401b'!N5788,'Retirement Calculator'!A:A,0),0),0)</f>
        <v>0</v>
      </c>
      <c r="K5788" s="455">
        <f t="shared" ca="1" si="193"/>
        <v>-48943426387026.055</v>
      </c>
      <c r="L5788" s="455">
        <f t="shared" ca="1" si="194"/>
        <v>-1.179536575927328E+16</v>
      </c>
      <c r="M5788" s="471">
        <f t="shared" si="196"/>
        <v>0.05</v>
      </c>
      <c r="N5788" s="475">
        <f t="shared" si="197"/>
        <v>227214</v>
      </c>
    </row>
    <row r="5789" spans="7:14" ht="11.25" customHeight="1" x14ac:dyDescent="0.3">
      <c r="G5789" s="470"/>
      <c r="H5789" s="470">
        <v>5782</v>
      </c>
      <c r="I5789" s="455">
        <f t="shared" ca="1" si="195"/>
        <v>-1.179536575927328E+16</v>
      </c>
      <c r="J5789" s="455">
        <f t="array" ref="J5789">IFERROR(INDEX('Retirement Calculator'!K:K,MATCH('Lorri 401b'!N5789,'Retirement Calculator'!A:A,0),0),0)</f>
        <v>0</v>
      </c>
      <c r="K5789" s="455">
        <f t="shared" ca="1" si="193"/>
        <v>-49147357330305.336</v>
      </c>
      <c r="L5789" s="455">
        <f t="shared" ca="1" si="194"/>
        <v>-1.1844513116603586E+16</v>
      </c>
      <c r="M5789" s="471">
        <f t="shared" si="196"/>
        <v>0.05</v>
      </c>
      <c r="N5789" s="475">
        <f t="shared" si="197"/>
        <v>227242</v>
      </c>
    </row>
    <row r="5790" spans="7:14" ht="11.25" customHeight="1" x14ac:dyDescent="0.3">
      <c r="G5790" s="470"/>
      <c r="H5790" s="470">
        <v>5783</v>
      </c>
      <c r="I5790" s="455">
        <f t="shared" ca="1" si="195"/>
        <v>-1.1844513116603586E+16</v>
      </c>
      <c r="J5790" s="455">
        <f t="array" ref="J5790">IFERROR(INDEX('Retirement Calculator'!K:K,MATCH('Lorri 401b'!N5790,'Retirement Calculator'!A:A,0),0),0)</f>
        <v>0</v>
      </c>
      <c r="K5790" s="455">
        <f t="shared" ca="1" si="193"/>
        <v>-49352137985848.273</v>
      </c>
      <c r="L5790" s="455">
        <f t="shared" ca="1" si="194"/>
        <v>-1.1893865254589434E+16</v>
      </c>
      <c r="M5790" s="471">
        <f t="shared" si="196"/>
        <v>0.05</v>
      </c>
      <c r="N5790" s="475">
        <f t="shared" si="197"/>
        <v>227273</v>
      </c>
    </row>
    <row r="5791" spans="7:14" ht="11.25" customHeight="1" x14ac:dyDescent="0.3">
      <c r="G5791" s="470"/>
      <c r="H5791" s="470">
        <v>5784</v>
      </c>
      <c r="I5791" s="455">
        <f t="shared" ca="1" si="195"/>
        <v>-1.1893865254589434E+16</v>
      </c>
      <c r="J5791" s="455">
        <f t="array" ref="J5791">IFERROR(INDEX('Retirement Calculator'!K:K,MATCH('Lorri 401b'!N5791,'Retirement Calculator'!A:A,0),0),0)</f>
        <v>0</v>
      </c>
      <c r="K5791" s="455">
        <f t="shared" ca="1" si="193"/>
        <v>-49557771894122.641</v>
      </c>
      <c r="L5791" s="455">
        <f t="shared" ca="1" si="194"/>
        <v>-1.1943423026483556E+16</v>
      </c>
      <c r="M5791" s="471">
        <f t="shared" si="196"/>
        <v>0.05</v>
      </c>
      <c r="N5791" s="475">
        <f t="shared" si="197"/>
        <v>227303</v>
      </c>
    </row>
    <row r="5792" spans="7:14" ht="11.25" customHeight="1" x14ac:dyDescent="0.3">
      <c r="G5792" s="470"/>
      <c r="H5792" s="470">
        <v>5785</v>
      </c>
      <c r="I5792" s="455">
        <f t="shared" ca="1" si="195"/>
        <v>-1.1943423026483556E+16</v>
      </c>
      <c r="J5792" s="455">
        <f t="array" ref="J5792">IFERROR(INDEX('Retirement Calculator'!K:K,MATCH('Lorri 401b'!N5792,'Retirement Calculator'!A:A,0),0),0)</f>
        <v>0</v>
      </c>
      <c r="K5792" s="455">
        <f t="shared" ca="1" si="193"/>
        <v>-49764262610348.148</v>
      </c>
      <c r="L5792" s="455">
        <f t="shared" ca="1" si="194"/>
        <v>-1.1993187289093904E+16</v>
      </c>
      <c r="M5792" s="471">
        <f t="shared" si="196"/>
        <v>0.05</v>
      </c>
      <c r="N5792" s="475">
        <f t="shared" si="197"/>
        <v>227334</v>
      </c>
    </row>
    <row r="5793" spans="7:14" ht="11.25" customHeight="1" x14ac:dyDescent="0.3">
      <c r="G5793" s="470"/>
      <c r="H5793" s="470">
        <v>5786</v>
      </c>
      <c r="I5793" s="455">
        <f t="shared" ca="1" si="195"/>
        <v>-1.1993187289093904E+16</v>
      </c>
      <c r="J5793" s="455">
        <f t="array" ref="J5793">IFERROR(INDEX('Retirement Calculator'!K:K,MATCH('Lorri 401b'!N5793,'Retirement Calculator'!A:A,0),0),0)</f>
        <v>0</v>
      </c>
      <c r="K5793" s="455">
        <f t="shared" ca="1" si="193"/>
        <v>-49971613704557.93</v>
      </c>
      <c r="L5793" s="455">
        <f t="shared" ca="1" si="194"/>
        <v>-1.2043158902798462E+16</v>
      </c>
      <c r="M5793" s="471">
        <f t="shared" si="196"/>
        <v>0.05</v>
      </c>
      <c r="N5793" s="475">
        <f t="shared" si="197"/>
        <v>227364</v>
      </c>
    </row>
    <row r="5794" spans="7:14" ht="11.25" customHeight="1" x14ac:dyDescent="0.3">
      <c r="G5794" s="470"/>
      <c r="H5794" s="470">
        <v>5787</v>
      </c>
      <c r="I5794" s="455">
        <f t="shared" ca="1" si="195"/>
        <v>-1.2043158902798462E+16</v>
      </c>
      <c r="J5794" s="455">
        <f t="array" ref="J5794">IFERROR(INDEX('Retirement Calculator'!K:K,MATCH('Lorri 401b'!N5794,'Retirement Calculator'!A:A,0),0),0)</f>
        <v>0</v>
      </c>
      <c r="K5794" s="455">
        <f t="shared" ca="1" si="193"/>
        <v>-50179828761660.258</v>
      </c>
      <c r="L5794" s="455">
        <f t="shared" ca="1" si="194"/>
        <v>-1.2093338731560122E+16</v>
      </c>
      <c r="M5794" s="471">
        <f t="shared" si="196"/>
        <v>0.05</v>
      </c>
      <c r="N5794" s="475">
        <f t="shared" si="197"/>
        <v>227395</v>
      </c>
    </row>
    <row r="5795" spans="7:14" ht="11.25" customHeight="1" x14ac:dyDescent="0.3">
      <c r="G5795" s="470"/>
      <c r="H5795" s="470">
        <v>5788</v>
      </c>
      <c r="I5795" s="455">
        <f t="shared" ca="1" si="195"/>
        <v>-1.2093338731560122E+16</v>
      </c>
      <c r="J5795" s="455">
        <f t="array" ref="J5795">IFERROR(INDEX('Retirement Calculator'!K:K,MATCH('Lorri 401b'!N5795,'Retirement Calculator'!A:A,0),0),0)</f>
        <v>0</v>
      </c>
      <c r="K5795" s="455">
        <f t="shared" ca="1" si="193"/>
        <v>-50388911381500.508</v>
      </c>
      <c r="L5795" s="455">
        <f t="shared" ca="1" si="194"/>
        <v>-1.2143727642941622E+16</v>
      </c>
      <c r="M5795" s="471">
        <f t="shared" si="196"/>
        <v>0.05</v>
      </c>
      <c r="N5795" s="475">
        <f t="shared" si="197"/>
        <v>227426</v>
      </c>
    </row>
    <row r="5796" spans="7:14" ht="11.25" customHeight="1" x14ac:dyDescent="0.3">
      <c r="G5796" s="470"/>
      <c r="H5796" s="470">
        <v>5789</v>
      </c>
      <c r="I5796" s="455">
        <f t="shared" ca="1" si="195"/>
        <v>-1.2143727642941622E+16</v>
      </c>
      <c r="J5796" s="455">
        <f t="array" ref="J5796">IFERROR(INDEX('Retirement Calculator'!K:K,MATCH('Lorri 401b'!N5796,'Retirement Calculator'!A:A,0),0),0)</f>
        <v>0</v>
      </c>
      <c r="K5796" s="455">
        <f t="shared" ca="1" si="193"/>
        <v>-50598865178923.422</v>
      </c>
      <c r="L5796" s="455">
        <f t="shared" ca="1" si="194"/>
        <v>-1.2194326508120546E+16</v>
      </c>
      <c r="M5796" s="471">
        <f t="shared" si="196"/>
        <v>0.05</v>
      </c>
      <c r="N5796" s="475">
        <f t="shared" si="197"/>
        <v>227456</v>
      </c>
    </row>
    <row r="5797" spans="7:14" ht="11.25" customHeight="1" x14ac:dyDescent="0.3">
      <c r="G5797" s="470"/>
      <c r="H5797" s="470">
        <v>5790</v>
      </c>
      <c r="I5797" s="455">
        <f t="shared" ca="1" si="195"/>
        <v>-1.2194326508120546E+16</v>
      </c>
      <c r="J5797" s="455">
        <f t="array" ref="J5797">IFERROR(INDEX('Retirement Calculator'!K:K,MATCH('Lorri 401b'!N5797,'Retirement Calculator'!A:A,0),0),0)</f>
        <v>0</v>
      </c>
      <c r="K5797" s="455">
        <f t="shared" ca="1" si="193"/>
        <v>-50809693783835.609</v>
      </c>
      <c r="L5797" s="455">
        <f t="shared" ca="1" si="194"/>
        <v>-1.2245136201904382E+16</v>
      </c>
      <c r="M5797" s="471">
        <f t="shared" si="196"/>
        <v>0.05</v>
      </c>
      <c r="N5797" s="475">
        <f t="shared" si="197"/>
        <v>227487</v>
      </c>
    </row>
    <row r="5798" spans="7:14" ht="11.25" customHeight="1" x14ac:dyDescent="0.3">
      <c r="G5798" s="470"/>
      <c r="H5798" s="470">
        <v>5791</v>
      </c>
      <c r="I5798" s="455">
        <f t="shared" ca="1" si="195"/>
        <v>-1.2245136201904382E+16</v>
      </c>
      <c r="J5798" s="455">
        <f t="array" ref="J5798">IFERROR(INDEX('Retirement Calculator'!K:K,MATCH('Lorri 401b'!N5798,'Retirement Calculator'!A:A,0),0),0)</f>
        <v>0</v>
      </c>
      <c r="K5798" s="455">
        <f t="shared" ca="1" si="193"/>
        <v>-51021400841268.258</v>
      </c>
      <c r="L5798" s="455">
        <f t="shared" ca="1" si="194"/>
        <v>-1.229615760274565E+16</v>
      </c>
      <c r="M5798" s="471">
        <f t="shared" si="196"/>
        <v>0.05</v>
      </c>
      <c r="N5798" s="475">
        <f t="shared" si="197"/>
        <v>227517</v>
      </c>
    </row>
    <row r="5799" spans="7:14" ht="11.25" customHeight="1" x14ac:dyDescent="0.3">
      <c r="G5799" s="470"/>
      <c r="H5799" s="470">
        <v>5792</v>
      </c>
      <c r="I5799" s="455">
        <f t="shared" ca="1" si="195"/>
        <v>-1.229615760274565E+16</v>
      </c>
      <c r="J5799" s="455">
        <f t="array" ref="J5799">IFERROR(INDEX('Retirement Calculator'!K:K,MATCH('Lorri 401b'!N5799,'Retirement Calculator'!A:A,0),0),0)</f>
        <v>0</v>
      </c>
      <c r="K5799" s="455">
        <f t="shared" ca="1" si="193"/>
        <v>-51233990011440.211</v>
      </c>
      <c r="L5799" s="455">
        <f t="shared" ca="1" si="194"/>
        <v>-1.234739159275709E+16</v>
      </c>
      <c r="M5799" s="471">
        <f t="shared" si="196"/>
        <v>0.05</v>
      </c>
      <c r="N5799" s="475">
        <f t="shared" si="197"/>
        <v>227548</v>
      </c>
    </row>
    <row r="5800" spans="7:14" ht="11.25" customHeight="1" x14ac:dyDescent="0.3">
      <c r="G5800" s="470"/>
      <c r="H5800" s="470">
        <v>5793</v>
      </c>
      <c r="I5800" s="455">
        <f t="shared" ca="1" si="195"/>
        <v>-1.234739159275709E+16</v>
      </c>
      <c r="J5800" s="455">
        <f t="array" ref="J5800">IFERROR(INDEX('Retirement Calculator'!K:K,MATCH('Lorri 401b'!N5800,'Retirement Calculator'!A:A,0),0),0)</f>
        <v>0</v>
      </c>
      <c r="K5800" s="455">
        <f t="shared" ca="1" si="193"/>
        <v>-51447464969821.211</v>
      </c>
      <c r="L5800" s="455">
        <f t="shared" ca="1" si="194"/>
        <v>-1.2398839057726912E+16</v>
      </c>
      <c r="M5800" s="471">
        <f t="shared" si="196"/>
        <v>0.05</v>
      </c>
      <c r="N5800" s="475">
        <f t="shared" si="197"/>
        <v>227579</v>
      </c>
    </row>
    <row r="5801" spans="7:14" ht="11.25" customHeight="1" x14ac:dyDescent="0.3">
      <c r="G5801" s="470"/>
      <c r="H5801" s="470">
        <v>5794</v>
      </c>
      <c r="I5801" s="455">
        <f t="shared" ca="1" si="195"/>
        <v>-1.2398839057726912E+16</v>
      </c>
      <c r="J5801" s="455">
        <f t="array" ref="J5801">IFERROR(INDEX('Retirement Calculator'!K:K,MATCH('Lorri 401b'!N5801,'Retirement Calculator'!A:A,0),0),0)</f>
        <v>0</v>
      </c>
      <c r="K5801" s="455">
        <f t="shared" ca="1" si="193"/>
        <v>-51661829407195.469</v>
      </c>
      <c r="L5801" s="455">
        <f t="shared" ca="1" si="194"/>
        <v>-1.2450500887134108E+16</v>
      </c>
      <c r="M5801" s="471">
        <f t="shared" si="196"/>
        <v>0.05</v>
      </c>
      <c r="N5801" s="475">
        <f t="shared" si="197"/>
        <v>227607</v>
      </c>
    </row>
    <row r="5802" spans="7:14" ht="11.25" customHeight="1" x14ac:dyDescent="0.3">
      <c r="G5802" s="470"/>
      <c r="H5802" s="470">
        <v>5795</v>
      </c>
      <c r="I5802" s="455">
        <f t="shared" ca="1" si="195"/>
        <v>-1.2450500887134108E+16</v>
      </c>
      <c r="J5802" s="455">
        <f t="array" ref="J5802">IFERROR(INDEX('Retirement Calculator'!K:K,MATCH('Lorri 401b'!N5802,'Retirement Calculator'!A:A,0),0),0)</f>
        <v>0</v>
      </c>
      <c r="K5802" s="455">
        <f t="shared" ca="1" si="193"/>
        <v>-51877087029725.453</v>
      </c>
      <c r="L5802" s="455">
        <f t="shared" ca="1" si="194"/>
        <v>-1.2502377974163834E+16</v>
      </c>
      <c r="M5802" s="471">
        <f t="shared" si="196"/>
        <v>0.05</v>
      </c>
      <c r="N5802" s="475">
        <f t="shared" si="197"/>
        <v>227638</v>
      </c>
    </row>
    <row r="5803" spans="7:14" ht="11.25" customHeight="1" x14ac:dyDescent="0.3">
      <c r="G5803" s="470"/>
      <c r="H5803" s="470">
        <v>5796</v>
      </c>
      <c r="I5803" s="455">
        <f t="shared" ca="1" si="195"/>
        <v>-1.2502377974163834E+16</v>
      </c>
      <c r="J5803" s="455">
        <f t="array" ref="J5803">IFERROR(INDEX('Retirement Calculator'!K:K,MATCH('Lorri 401b'!N5803,'Retirement Calculator'!A:A,0),0),0)</f>
        <v>0</v>
      </c>
      <c r="K5803" s="455">
        <f t="shared" ca="1" si="193"/>
        <v>-52093241559015.977</v>
      </c>
      <c r="L5803" s="455">
        <f t="shared" ca="1" si="194"/>
        <v>-1.255447121572285E+16</v>
      </c>
      <c r="M5803" s="471">
        <f t="shared" si="196"/>
        <v>0.05</v>
      </c>
      <c r="N5803" s="475">
        <f t="shared" si="197"/>
        <v>227668</v>
      </c>
    </row>
    <row r="5804" spans="7:14" ht="11.25" customHeight="1" x14ac:dyDescent="0.3">
      <c r="G5804" s="470"/>
      <c r="H5804" s="470">
        <v>5797</v>
      </c>
      <c r="I5804" s="455">
        <f t="shared" ca="1" si="195"/>
        <v>-1.255447121572285E+16</v>
      </c>
      <c r="J5804" s="455">
        <f t="array" ref="J5804">IFERROR(INDEX('Retirement Calculator'!K:K,MATCH('Lorri 401b'!N5804,'Retirement Calculator'!A:A,0),0),0)</f>
        <v>0</v>
      </c>
      <c r="K5804" s="455">
        <f t="shared" ca="1" si="193"/>
        <v>-52310296732178.539</v>
      </c>
      <c r="L5804" s="455">
        <f t="shared" ca="1" si="194"/>
        <v>-1.2606781512455028E+16</v>
      </c>
      <c r="M5804" s="471">
        <f t="shared" si="196"/>
        <v>0.05</v>
      </c>
      <c r="N5804" s="475">
        <f t="shared" si="197"/>
        <v>227699</v>
      </c>
    </row>
    <row r="5805" spans="7:14" ht="11.25" customHeight="1" x14ac:dyDescent="0.3">
      <c r="G5805" s="470"/>
      <c r="H5805" s="470">
        <v>5798</v>
      </c>
      <c r="I5805" s="455">
        <f t="shared" ca="1" si="195"/>
        <v>-1.2606781512455028E+16</v>
      </c>
      <c r="J5805" s="455">
        <f t="array" ref="J5805">IFERROR(INDEX('Retirement Calculator'!K:K,MATCH('Lorri 401b'!N5805,'Retirement Calculator'!A:A,0),0),0)</f>
        <v>0</v>
      </c>
      <c r="K5805" s="455">
        <f t="shared" ca="1" si="193"/>
        <v>-52528256301895.953</v>
      </c>
      <c r="L5805" s="455">
        <f t="shared" ca="1" si="194"/>
        <v>-1.2659309768756924E+16</v>
      </c>
      <c r="M5805" s="471">
        <f t="shared" si="196"/>
        <v>0.05</v>
      </c>
      <c r="N5805" s="475">
        <f t="shared" si="197"/>
        <v>227729</v>
      </c>
    </row>
    <row r="5806" spans="7:14" ht="11.25" customHeight="1" x14ac:dyDescent="0.3">
      <c r="G5806" s="470"/>
      <c r="H5806" s="470">
        <v>5799</v>
      </c>
      <c r="I5806" s="455">
        <f t="shared" ca="1" si="195"/>
        <v>-1.2659309768756924E+16</v>
      </c>
      <c r="J5806" s="455">
        <f t="array" ref="J5806">IFERROR(INDEX('Retirement Calculator'!K:K,MATCH('Lorri 401b'!N5806,'Retirement Calculator'!A:A,0),0),0)</f>
        <v>0</v>
      </c>
      <c r="K5806" s="455">
        <f t="shared" ca="1" si="193"/>
        <v>-52747124036487.18</v>
      </c>
      <c r="L5806" s="455">
        <f t="shared" ca="1" si="194"/>
        <v>-1.2712056892793412E+16</v>
      </c>
      <c r="M5806" s="471">
        <f t="shared" si="196"/>
        <v>0.05</v>
      </c>
      <c r="N5806" s="475">
        <f t="shared" si="197"/>
        <v>227760</v>
      </c>
    </row>
    <row r="5807" spans="7:14" ht="11.25" customHeight="1" x14ac:dyDescent="0.3">
      <c r="G5807" s="470"/>
      <c r="H5807" s="470">
        <v>5800</v>
      </c>
      <c r="I5807" s="455">
        <f t="shared" ca="1" si="195"/>
        <v>-1.2712056892793412E+16</v>
      </c>
      <c r="J5807" s="455">
        <f t="array" ref="J5807">IFERROR(INDEX('Retirement Calculator'!K:K,MATCH('Lorri 401b'!N5807,'Retirement Calculator'!A:A,0),0),0)</f>
        <v>0</v>
      </c>
      <c r="K5807" s="455">
        <f t="shared" ca="1" si="193"/>
        <v>-52966903719972.547</v>
      </c>
      <c r="L5807" s="455">
        <f t="shared" ca="1" si="194"/>
        <v>-1.2765023796513384E+16</v>
      </c>
      <c r="M5807" s="471">
        <f t="shared" si="196"/>
        <v>0.05</v>
      </c>
      <c r="N5807" s="475">
        <f t="shared" si="197"/>
        <v>227791</v>
      </c>
    </row>
    <row r="5808" spans="7:14" ht="11.25" customHeight="1" x14ac:dyDescent="0.3">
      <c r="G5808" s="470"/>
      <c r="H5808" s="470">
        <v>5801</v>
      </c>
      <c r="I5808" s="455">
        <f t="shared" ca="1" si="195"/>
        <v>-1.2765023796513384E+16</v>
      </c>
      <c r="J5808" s="455">
        <f t="array" ref="J5808">IFERROR(INDEX('Retirement Calculator'!K:K,MATCH('Lorri 401b'!N5808,'Retirement Calculator'!A:A,0),0),0)</f>
        <v>0</v>
      </c>
      <c r="K5808" s="455">
        <f t="shared" ca="1" si="193"/>
        <v>-53187599152139.102</v>
      </c>
      <c r="L5808" s="455">
        <f t="shared" ca="1" si="194"/>
        <v>-1.2818211395665524E+16</v>
      </c>
      <c r="M5808" s="471">
        <f t="shared" si="196"/>
        <v>0.05</v>
      </c>
      <c r="N5808" s="475">
        <f t="shared" si="197"/>
        <v>227821</v>
      </c>
    </row>
    <row r="5809" spans="7:14" ht="11.25" customHeight="1" x14ac:dyDescent="0.3">
      <c r="G5809" s="470"/>
      <c r="H5809" s="470">
        <v>5802</v>
      </c>
      <c r="I5809" s="455">
        <f t="shared" ca="1" si="195"/>
        <v>-1.2818211395665524E+16</v>
      </c>
      <c r="J5809" s="455">
        <f t="array" ref="J5809">IFERROR(INDEX('Retirement Calculator'!K:K,MATCH('Lorri 401b'!N5809,'Retirement Calculator'!A:A,0),0),0)</f>
        <v>0</v>
      </c>
      <c r="K5809" s="455">
        <f t="shared" ca="1" si="193"/>
        <v>-53409214148606.352</v>
      </c>
      <c r="L5809" s="455">
        <f t="shared" ca="1" si="194"/>
        <v>-1.287162060981413E+16</v>
      </c>
      <c r="M5809" s="471">
        <f t="shared" si="196"/>
        <v>0.05</v>
      </c>
      <c r="N5809" s="475">
        <f t="shared" si="197"/>
        <v>227852</v>
      </c>
    </row>
    <row r="5810" spans="7:14" ht="11.25" customHeight="1" x14ac:dyDescent="0.3">
      <c r="G5810" s="470"/>
      <c r="H5810" s="470">
        <v>5803</v>
      </c>
      <c r="I5810" s="455">
        <f t="shared" ca="1" si="195"/>
        <v>-1.287162060981413E+16</v>
      </c>
      <c r="J5810" s="455">
        <f t="array" ref="J5810">IFERROR(INDEX('Retirement Calculator'!K:K,MATCH('Lorri 401b'!N5810,'Retirement Calculator'!A:A,0),0),0)</f>
        <v>0</v>
      </c>
      <c r="K5810" s="455">
        <f t="shared" ca="1" si="193"/>
        <v>-53631752540892.211</v>
      </c>
      <c r="L5810" s="455">
        <f t="shared" ca="1" si="194"/>
        <v>-1.2925252362355022E+16</v>
      </c>
      <c r="M5810" s="471">
        <f t="shared" si="196"/>
        <v>0.05</v>
      </c>
      <c r="N5810" s="475">
        <f t="shared" si="197"/>
        <v>227882</v>
      </c>
    </row>
    <row r="5811" spans="7:14" ht="11.25" customHeight="1" x14ac:dyDescent="0.3">
      <c r="G5811" s="470"/>
      <c r="H5811" s="470">
        <v>5804</v>
      </c>
      <c r="I5811" s="455">
        <f t="shared" ca="1" si="195"/>
        <v>-1.2925252362355022E+16</v>
      </c>
      <c r="J5811" s="455">
        <f t="array" ref="J5811">IFERROR(INDEX('Retirement Calculator'!K:K,MATCH('Lorri 401b'!N5811,'Retirement Calculator'!A:A,0),0),0)</f>
        <v>0</v>
      </c>
      <c r="K5811" s="455">
        <f t="shared" ca="1" si="193"/>
        <v>-53855218176479.258</v>
      </c>
      <c r="L5811" s="455">
        <f t="shared" ca="1" si="194"/>
        <v>-1.2979107580531502E+16</v>
      </c>
      <c r="M5811" s="471">
        <f t="shared" si="196"/>
        <v>0.05</v>
      </c>
      <c r="N5811" s="475">
        <f t="shared" si="197"/>
        <v>227913</v>
      </c>
    </row>
    <row r="5812" spans="7:14" ht="11.25" customHeight="1" x14ac:dyDescent="0.3">
      <c r="G5812" s="470"/>
      <c r="H5812" s="470">
        <v>5805</v>
      </c>
      <c r="I5812" s="455">
        <f t="shared" ca="1" si="195"/>
        <v>-1.2979107580531502E+16</v>
      </c>
      <c r="J5812" s="455">
        <f t="array" ref="J5812">IFERROR(INDEX('Retirement Calculator'!K:K,MATCH('Lorri 401b'!N5812,'Retirement Calculator'!A:A,0),0),0)</f>
        <v>0</v>
      </c>
      <c r="K5812" s="455">
        <f t="shared" ca="1" si="193"/>
        <v>-54079614918881.258</v>
      </c>
      <c r="L5812" s="455">
        <f t="shared" ca="1" si="194"/>
        <v>-1.3033187195450384E+16</v>
      </c>
      <c r="M5812" s="471">
        <f t="shared" si="196"/>
        <v>0.05</v>
      </c>
      <c r="N5812" s="475">
        <f t="shared" si="197"/>
        <v>227944</v>
      </c>
    </row>
    <row r="5813" spans="7:14" ht="11.25" customHeight="1" x14ac:dyDescent="0.3">
      <c r="G5813" s="470"/>
      <c r="H5813" s="470">
        <v>5806</v>
      </c>
      <c r="I5813" s="455">
        <f t="shared" ca="1" si="195"/>
        <v>-1.3033187195450384E+16</v>
      </c>
      <c r="J5813" s="455">
        <f t="array" ref="J5813">IFERROR(INDEX('Retirement Calculator'!K:K,MATCH('Lorri 401b'!N5813,'Retirement Calculator'!A:A,0),0),0)</f>
        <v>0</v>
      </c>
      <c r="K5813" s="455">
        <f t="shared" ca="1" si="193"/>
        <v>-54304946647709.93</v>
      </c>
      <c r="L5813" s="455">
        <f t="shared" ca="1" si="194"/>
        <v>-1.3087492142098094E+16</v>
      </c>
      <c r="M5813" s="471">
        <f t="shared" si="196"/>
        <v>0.05</v>
      </c>
      <c r="N5813" s="475">
        <f t="shared" si="197"/>
        <v>227973</v>
      </c>
    </row>
    <row r="5814" spans="7:14" ht="11.25" customHeight="1" x14ac:dyDescent="0.3">
      <c r="G5814" s="470"/>
      <c r="H5814" s="470">
        <v>5807</v>
      </c>
      <c r="I5814" s="455">
        <f t="shared" ca="1" si="195"/>
        <v>-1.3087492142098094E+16</v>
      </c>
      <c r="J5814" s="455">
        <f t="array" ref="J5814">IFERROR(INDEX('Retirement Calculator'!K:K,MATCH('Lorri 401b'!N5814,'Retirement Calculator'!A:A,0),0),0)</f>
        <v>0</v>
      </c>
      <c r="K5814" s="455">
        <f t="shared" ca="1" si="193"/>
        <v>-54531217258742.055</v>
      </c>
      <c r="L5814" s="455">
        <f t="shared" ca="1" si="194"/>
        <v>-1.3142023359356836E+16</v>
      </c>
      <c r="M5814" s="471">
        <f t="shared" si="196"/>
        <v>0.05</v>
      </c>
      <c r="N5814" s="475">
        <f t="shared" si="197"/>
        <v>228004</v>
      </c>
    </row>
    <row r="5815" spans="7:14" ht="11.25" customHeight="1" x14ac:dyDescent="0.3">
      <c r="G5815" s="470"/>
      <c r="H5815" s="470">
        <v>5808</v>
      </c>
      <c r="I5815" s="455">
        <f t="shared" ca="1" si="195"/>
        <v>-1.3142023359356836E+16</v>
      </c>
      <c r="J5815" s="455">
        <f t="array" ref="J5815">IFERROR(INDEX('Retirement Calculator'!K:K,MATCH('Lorri 401b'!N5815,'Retirement Calculator'!A:A,0),0),0)</f>
        <v>0</v>
      </c>
      <c r="K5815" s="455">
        <f t="shared" ca="1" si="193"/>
        <v>-54758430663986.813</v>
      </c>
      <c r="L5815" s="455">
        <f t="shared" ca="1" si="194"/>
        <v>-1.3196781790020822E+16</v>
      </c>
      <c r="M5815" s="471">
        <f t="shared" si="196"/>
        <v>0.05</v>
      </c>
      <c r="N5815" s="475">
        <f t="shared" si="197"/>
        <v>228034</v>
      </c>
    </row>
    <row r="5816" spans="7:14" ht="11.25" customHeight="1" x14ac:dyDescent="0.3">
      <c r="G5816" s="470"/>
      <c r="H5816" s="470">
        <v>5809</v>
      </c>
      <c r="I5816" s="455">
        <f t="shared" ca="1" si="195"/>
        <v>-1.3196781790020822E+16</v>
      </c>
      <c r="J5816" s="455">
        <f t="array" ref="J5816">IFERROR(INDEX('Retirement Calculator'!K:K,MATCH('Lorri 401b'!N5816,'Retirement Calculator'!A:A,0),0),0)</f>
        <v>0</v>
      </c>
      <c r="K5816" s="455">
        <f t="shared" ca="1" si="193"/>
        <v>-54986590791753.422</v>
      </c>
      <c r="L5816" s="455">
        <f t="shared" ca="1" si="194"/>
        <v>-1.3251768380812576E+16</v>
      </c>
      <c r="M5816" s="471">
        <f t="shared" si="196"/>
        <v>0.05</v>
      </c>
      <c r="N5816" s="475">
        <f t="shared" si="197"/>
        <v>228065</v>
      </c>
    </row>
    <row r="5817" spans="7:14" ht="11.25" customHeight="1" x14ac:dyDescent="0.3">
      <c r="G5817" s="470"/>
      <c r="H5817" s="470">
        <v>5810</v>
      </c>
      <c r="I5817" s="455">
        <f t="shared" ca="1" si="195"/>
        <v>-1.3251768380812576E+16</v>
      </c>
      <c r="J5817" s="455">
        <f t="array" ref="J5817">IFERROR(INDEX('Retirement Calculator'!K:K,MATCH('Lorri 401b'!N5817,'Retirement Calculator'!A:A,0),0),0)</f>
        <v>0</v>
      </c>
      <c r="K5817" s="455">
        <f t="shared" ca="1" si="193"/>
        <v>-55215701586719.063</v>
      </c>
      <c r="L5817" s="455">
        <f t="shared" ca="1" si="194"/>
        <v>-1.3306984082399296E+16</v>
      </c>
      <c r="M5817" s="471">
        <f t="shared" si="196"/>
        <v>0.05</v>
      </c>
      <c r="N5817" s="475">
        <f t="shared" si="197"/>
        <v>228095</v>
      </c>
    </row>
    <row r="5818" spans="7:14" ht="11.25" customHeight="1" x14ac:dyDescent="0.3">
      <c r="G5818" s="470"/>
      <c r="H5818" s="470">
        <v>5811</v>
      </c>
      <c r="I5818" s="455">
        <f t="shared" ca="1" si="195"/>
        <v>-1.3306984082399296E+16</v>
      </c>
      <c r="J5818" s="455">
        <f t="array" ref="J5818">IFERROR(INDEX('Retirement Calculator'!K:K,MATCH('Lorri 401b'!N5818,'Retirement Calculator'!A:A,0),0),0)</f>
        <v>0</v>
      </c>
      <c r="K5818" s="455">
        <f t="shared" ca="1" si="193"/>
        <v>-55445767009997.063</v>
      </c>
      <c r="L5818" s="455">
        <f t="shared" ca="1" si="194"/>
        <v>-1.3362429849409294E+16</v>
      </c>
      <c r="M5818" s="471">
        <f t="shared" si="196"/>
        <v>0.05</v>
      </c>
      <c r="N5818" s="475">
        <f t="shared" si="197"/>
        <v>228126</v>
      </c>
    </row>
    <row r="5819" spans="7:14" ht="11.25" customHeight="1" x14ac:dyDescent="0.3">
      <c r="G5819" s="470"/>
      <c r="H5819" s="470">
        <v>5812</v>
      </c>
      <c r="I5819" s="455">
        <f t="shared" ca="1" si="195"/>
        <v>-1.3362429849409294E+16</v>
      </c>
      <c r="J5819" s="455">
        <f t="array" ref="J5819">IFERROR(INDEX('Retirement Calculator'!K:K,MATCH('Lorri 401b'!N5819,'Retirement Calculator'!A:A,0),0),0)</f>
        <v>0</v>
      </c>
      <c r="K5819" s="455">
        <f t="shared" ca="1" si="193"/>
        <v>-55676791039205.391</v>
      </c>
      <c r="L5819" s="455">
        <f t="shared" ca="1" si="194"/>
        <v>-1.34181066404485E+16</v>
      </c>
      <c r="M5819" s="471">
        <f t="shared" si="196"/>
        <v>0.05</v>
      </c>
      <c r="N5819" s="475">
        <f t="shared" si="197"/>
        <v>228157</v>
      </c>
    </row>
    <row r="5820" spans="7:14" ht="11.25" customHeight="1" x14ac:dyDescent="0.3">
      <c r="G5820" s="470"/>
      <c r="H5820" s="470">
        <v>5813</v>
      </c>
      <c r="I5820" s="455">
        <f t="shared" ca="1" si="195"/>
        <v>-1.34181066404485E+16</v>
      </c>
      <c r="J5820" s="455">
        <f t="array" ref="J5820">IFERROR(INDEX('Retirement Calculator'!K:K,MATCH('Lorri 401b'!N5820,'Retirement Calculator'!A:A,0),0),0)</f>
        <v>0</v>
      </c>
      <c r="K5820" s="455">
        <f t="shared" ca="1" si="193"/>
        <v>-55908777668535.414</v>
      </c>
      <c r="L5820" s="455">
        <f t="shared" ca="1" si="194"/>
        <v>-1.3474015418117036E+16</v>
      </c>
      <c r="M5820" s="471">
        <f t="shared" si="196"/>
        <v>0.05</v>
      </c>
      <c r="N5820" s="475">
        <f t="shared" si="197"/>
        <v>228187</v>
      </c>
    </row>
    <row r="5821" spans="7:14" ht="11.25" customHeight="1" x14ac:dyDescent="0.3">
      <c r="G5821" s="470"/>
      <c r="H5821" s="470">
        <v>5814</v>
      </c>
      <c r="I5821" s="455">
        <f t="shared" ca="1" si="195"/>
        <v>-1.3474015418117036E+16</v>
      </c>
      <c r="J5821" s="455">
        <f t="array" ref="J5821">IFERROR(INDEX('Retirement Calculator'!K:K,MATCH('Lorri 401b'!N5821,'Retirement Calculator'!A:A,0),0),0)</f>
        <v>0</v>
      </c>
      <c r="K5821" s="455">
        <f t="shared" ca="1" si="193"/>
        <v>-56141730908820.984</v>
      </c>
      <c r="L5821" s="455">
        <f t="shared" ca="1" si="194"/>
        <v>-1.3530157149025856E+16</v>
      </c>
      <c r="M5821" s="471">
        <f t="shared" si="196"/>
        <v>0.05</v>
      </c>
      <c r="N5821" s="475">
        <f t="shared" si="197"/>
        <v>228218</v>
      </c>
    </row>
    <row r="5822" spans="7:14" ht="11.25" customHeight="1" x14ac:dyDescent="0.3">
      <c r="G5822" s="470"/>
      <c r="H5822" s="470">
        <v>5815</v>
      </c>
      <c r="I5822" s="455">
        <f t="shared" ca="1" si="195"/>
        <v>-1.3530157149025856E+16</v>
      </c>
      <c r="J5822" s="455">
        <f t="array" ref="J5822">IFERROR(INDEX('Retirement Calculator'!K:K,MATCH('Lorri 401b'!N5822,'Retirement Calculator'!A:A,0),0),0)</f>
        <v>0</v>
      </c>
      <c r="K5822" s="455">
        <f t="shared" ca="1" si="193"/>
        <v>-56375654787607.734</v>
      </c>
      <c r="L5822" s="455">
        <f t="shared" ca="1" si="194"/>
        <v>-1.3586532803813464E+16</v>
      </c>
      <c r="M5822" s="471">
        <f t="shared" si="196"/>
        <v>0.05</v>
      </c>
      <c r="N5822" s="475">
        <f t="shared" si="197"/>
        <v>228248</v>
      </c>
    </row>
    <row r="5823" spans="7:14" ht="11.25" customHeight="1" x14ac:dyDescent="0.3">
      <c r="G5823" s="470"/>
      <c r="H5823" s="470">
        <v>5816</v>
      </c>
      <c r="I5823" s="455">
        <f t="shared" ca="1" si="195"/>
        <v>-1.3586532803813464E+16</v>
      </c>
      <c r="J5823" s="455">
        <f t="array" ref="J5823">IFERROR(INDEX('Retirement Calculator'!K:K,MATCH('Lorri 401b'!N5823,'Retirement Calculator'!A:A,0),0),0)</f>
        <v>0</v>
      </c>
      <c r="K5823" s="455">
        <f t="shared" ca="1" si="193"/>
        <v>-56610553349222.766</v>
      </c>
      <c r="L5823" s="455">
        <f t="shared" ca="1" si="194"/>
        <v>-1.3643143357162686E+16</v>
      </c>
      <c r="M5823" s="471">
        <f t="shared" si="196"/>
        <v>0.05</v>
      </c>
      <c r="N5823" s="475">
        <f t="shared" si="197"/>
        <v>228279</v>
      </c>
    </row>
    <row r="5824" spans="7:14" ht="11.25" customHeight="1" x14ac:dyDescent="0.3">
      <c r="G5824" s="470"/>
      <c r="H5824" s="470">
        <v>5817</v>
      </c>
      <c r="I5824" s="455">
        <f t="shared" ca="1" si="195"/>
        <v>-1.3643143357162686E+16</v>
      </c>
      <c r="J5824" s="455">
        <f t="array" ref="J5824">IFERROR(INDEX('Retirement Calculator'!K:K,MATCH('Lorri 401b'!N5824,'Retirement Calculator'!A:A,0),0),0)</f>
        <v>0</v>
      </c>
      <c r="K5824" s="455">
        <f t="shared" ca="1" si="193"/>
        <v>-56846430654844.523</v>
      </c>
      <c r="L5824" s="455">
        <f t="shared" ca="1" si="194"/>
        <v>-1.369998978781753E+16</v>
      </c>
      <c r="M5824" s="471">
        <f t="shared" si="196"/>
        <v>0.05</v>
      </c>
      <c r="N5824" s="475">
        <f t="shared" si="197"/>
        <v>228310</v>
      </c>
    </row>
    <row r="5825" spans="7:14" ht="11.25" customHeight="1" x14ac:dyDescent="0.3">
      <c r="G5825" s="470"/>
      <c r="H5825" s="470">
        <v>5818</v>
      </c>
      <c r="I5825" s="455">
        <f t="shared" ca="1" si="195"/>
        <v>-1.369998978781753E+16</v>
      </c>
      <c r="J5825" s="455">
        <f t="array" ref="J5825">IFERROR(INDEX('Retirement Calculator'!K:K,MATCH('Lorri 401b'!N5825,'Retirement Calculator'!A:A,0),0),0)</f>
        <v>0</v>
      </c>
      <c r="K5825" s="455">
        <f t="shared" ca="1" si="193"/>
        <v>-57083290782573.039</v>
      </c>
      <c r="L5825" s="455">
        <f t="shared" ca="1" si="194"/>
        <v>-1.3757073078600104E+16</v>
      </c>
      <c r="M5825" s="471">
        <f t="shared" si="196"/>
        <v>0.05</v>
      </c>
      <c r="N5825" s="475">
        <f t="shared" si="197"/>
        <v>228338</v>
      </c>
    </row>
    <row r="5826" spans="7:14" ht="11.25" customHeight="1" x14ac:dyDescent="0.3">
      <c r="G5826" s="470"/>
      <c r="H5826" s="470">
        <v>5819</v>
      </c>
      <c r="I5826" s="455">
        <f t="shared" ca="1" si="195"/>
        <v>-1.3757073078600104E+16</v>
      </c>
      <c r="J5826" s="455">
        <f t="array" ref="J5826">IFERROR(INDEX('Retirement Calculator'!K:K,MATCH('Lorri 401b'!N5826,'Retirement Calculator'!A:A,0),0),0)</f>
        <v>0</v>
      </c>
      <c r="K5826" s="455">
        <f t="shared" ca="1" si="193"/>
        <v>-57321137827500.43</v>
      </c>
      <c r="L5826" s="455">
        <f t="shared" ca="1" si="194"/>
        <v>-1.3814394216427604E+16</v>
      </c>
      <c r="M5826" s="471">
        <f t="shared" si="196"/>
        <v>0.05</v>
      </c>
      <c r="N5826" s="475">
        <f t="shared" si="197"/>
        <v>228369</v>
      </c>
    </row>
    <row r="5827" spans="7:14" ht="11.25" customHeight="1" x14ac:dyDescent="0.3">
      <c r="G5827" s="470"/>
      <c r="H5827" s="470">
        <v>5820</v>
      </c>
      <c r="I5827" s="455">
        <f t="shared" ca="1" si="195"/>
        <v>-1.3814394216427604E+16</v>
      </c>
      <c r="J5827" s="455">
        <f t="array" ref="J5827">IFERROR(INDEX('Retirement Calculator'!K:K,MATCH('Lorri 401b'!N5827,'Retirement Calculator'!A:A,0),0),0)</f>
        <v>0</v>
      </c>
      <c r="K5827" s="455">
        <f t="shared" ca="1" si="193"/>
        <v>-57559975901781.68</v>
      </c>
      <c r="L5827" s="455">
        <f t="shared" ca="1" si="194"/>
        <v>-1.3871954192329386E+16</v>
      </c>
      <c r="M5827" s="471">
        <f t="shared" si="196"/>
        <v>0.05</v>
      </c>
      <c r="N5827" s="475">
        <f t="shared" si="197"/>
        <v>228399</v>
      </c>
    </row>
    <row r="5828" spans="7:14" ht="11.25" customHeight="1" x14ac:dyDescent="0.3">
      <c r="G5828" s="470"/>
      <c r="H5828" s="470">
        <v>5821</v>
      </c>
      <c r="I5828" s="455">
        <f t="shared" ca="1" si="195"/>
        <v>-1.3871954192329386E+16</v>
      </c>
      <c r="J5828" s="455">
        <f t="array" ref="J5828">IFERROR(INDEX('Retirement Calculator'!K:K,MATCH('Lorri 401b'!N5828,'Retirement Calculator'!A:A,0),0),0)</f>
        <v>0</v>
      </c>
      <c r="K5828" s="455">
        <f t="shared" ca="1" si="193"/>
        <v>-57799809134705.773</v>
      </c>
      <c r="L5828" s="455">
        <f t="shared" ca="1" si="194"/>
        <v>-1.3929754001464092E+16</v>
      </c>
      <c r="M5828" s="471">
        <f t="shared" si="196"/>
        <v>0.05</v>
      </c>
      <c r="N5828" s="475">
        <f t="shared" si="197"/>
        <v>228430</v>
      </c>
    </row>
    <row r="5829" spans="7:14" ht="11.25" customHeight="1" x14ac:dyDescent="0.3">
      <c r="G5829" s="470"/>
      <c r="H5829" s="470">
        <v>5822</v>
      </c>
      <c r="I5829" s="455">
        <f t="shared" ca="1" si="195"/>
        <v>-1.3929754001464092E+16</v>
      </c>
      <c r="J5829" s="455">
        <f t="array" ref="J5829">IFERROR(INDEX('Retirement Calculator'!K:K,MATCH('Lorri 401b'!N5829,'Retirement Calculator'!A:A,0),0),0)</f>
        <v>0</v>
      </c>
      <c r="K5829" s="455">
        <f t="shared" ca="1" si="193"/>
        <v>-58040641672767.047</v>
      </c>
      <c r="L5829" s="455">
        <f t="shared" ca="1" si="194"/>
        <v>-1.398779464313686E+16</v>
      </c>
      <c r="M5829" s="471">
        <f t="shared" si="196"/>
        <v>0.05</v>
      </c>
      <c r="N5829" s="475">
        <f t="shared" si="197"/>
        <v>228460</v>
      </c>
    </row>
    <row r="5830" spans="7:14" ht="11.25" customHeight="1" x14ac:dyDescent="0.3">
      <c r="G5830" s="470"/>
      <c r="H5830" s="470">
        <v>5823</v>
      </c>
      <c r="I5830" s="455">
        <f t="shared" ca="1" si="195"/>
        <v>-1.398779464313686E+16</v>
      </c>
      <c r="J5830" s="455">
        <f t="array" ref="J5830">IFERROR(INDEX('Retirement Calculator'!K:K,MATCH('Lorri 401b'!N5830,'Retirement Calculator'!A:A,0),0),0)</f>
        <v>0</v>
      </c>
      <c r="K5830" s="455">
        <f t="shared" ca="1" si="193"/>
        <v>-58282477679736.914</v>
      </c>
      <c r="L5830" s="455">
        <f t="shared" ca="1" si="194"/>
        <v>-1.4046077120816596E+16</v>
      </c>
      <c r="M5830" s="471">
        <f t="shared" si="196"/>
        <v>0.05</v>
      </c>
      <c r="N5830" s="475">
        <f t="shared" si="197"/>
        <v>228491</v>
      </c>
    </row>
    <row r="5831" spans="7:14" ht="11.25" customHeight="1" x14ac:dyDescent="0.3">
      <c r="G5831" s="470"/>
      <c r="H5831" s="470">
        <v>5824</v>
      </c>
      <c r="I5831" s="455">
        <f t="shared" ca="1" si="195"/>
        <v>-1.4046077120816596E+16</v>
      </c>
      <c r="J5831" s="455">
        <f t="array" ref="J5831">IFERROR(INDEX('Retirement Calculator'!K:K,MATCH('Lorri 401b'!N5831,'Retirement Calculator'!A:A,0),0),0)</f>
        <v>0</v>
      </c>
      <c r="K5831" s="455">
        <f t="shared" ca="1" si="193"/>
        <v>-58525321336735.805</v>
      </c>
      <c r="L5831" s="455">
        <f t="shared" ca="1" si="194"/>
        <v>-1.4104602442153332E+16</v>
      </c>
      <c r="M5831" s="471">
        <f t="shared" si="196"/>
        <v>0.05</v>
      </c>
      <c r="N5831" s="475">
        <f t="shared" si="197"/>
        <v>228522</v>
      </c>
    </row>
    <row r="5832" spans="7:14" ht="11.25" customHeight="1" x14ac:dyDescent="0.3">
      <c r="G5832" s="470"/>
      <c r="H5832" s="470">
        <v>5825</v>
      </c>
      <c r="I5832" s="455">
        <f t="shared" ca="1" si="195"/>
        <v>-1.4104602442153332E+16</v>
      </c>
      <c r="J5832" s="455">
        <f t="array" ref="J5832">IFERROR(INDEX('Retirement Calculator'!K:K,MATCH('Lorri 401b'!N5832,'Retirement Calculator'!A:A,0),0),0)</f>
        <v>0</v>
      </c>
      <c r="K5832" s="455">
        <f t="shared" ca="1" si="193"/>
        <v>-58769176842305.547</v>
      </c>
      <c r="L5832" s="455">
        <f t="shared" ca="1" si="194"/>
        <v>-1.4163371618995638E+16</v>
      </c>
      <c r="M5832" s="471">
        <f t="shared" si="196"/>
        <v>0.05</v>
      </c>
      <c r="N5832" s="475">
        <f t="shared" si="197"/>
        <v>228552</v>
      </c>
    </row>
    <row r="5833" spans="7:14" ht="11.25" customHeight="1" x14ac:dyDescent="0.3">
      <c r="G5833" s="470"/>
      <c r="H5833" s="470">
        <v>5826</v>
      </c>
      <c r="I5833" s="455">
        <f t="shared" ca="1" si="195"/>
        <v>-1.4163371618995638E+16</v>
      </c>
      <c r="J5833" s="455">
        <f t="array" ref="J5833">IFERROR(INDEX('Retirement Calculator'!K:K,MATCH('Lorri 401b'!N5833,'Retirement Calculator'!A:A,0),0),0)</f>
        <v>0</v>
      </c>
      <c r="K5833" s="455">
        <f t="shared" ca="1" si="193"/>
        <v>-59014048412481.82</v>
      </c>
      <c r="L5833" s="455">
        <f t="shared" ca="1" si="194"/>
        <v>-1.422238566740812E+16</v>
      </c>
      <c r="M5833" s="471">
        <f t="shared" si="196"/>
        <v>0.05</v>
      </c>
      <c r="N5833" s="475">
        <f t="shared" si="197"/>
        <v>228583</v>
      </c>
    </row>
    <row r="5834" spans="7:14" ht="11.25" customHeight="1" x14ac:dyDescent="0.3">
      <c r="G5834" s="470"/>
      <c r="H5834" s="470">
        <v>5827</v>
      </c>
      <c r="I5834" s="455">
        <f t="shared" ca="1" si="195"/>
        <v>-1.422238566740812E+16</v>
      </c>
      <c r="J5834" s="455">
        <f t="array" ref="J5834">IFERROR(INDEX('Retirement Calculator'!K:K,MATCH('Lorri 401b'!N5834,'Retirement Calculator'!A:A,0),0),0)</f>
        <v>0</v>
      </c>
      <c r="K5834" s="455">
        <f t="shared" ca="1" si="193"/>
        <v>-59259940280867.164</v>
      </c>
      <c r="L5834" s="455">
        <f t="shared" ca="1" si="194"/>
        <v>-1.4281645607688988E+16</v>
      </c>
      <c r="M5834" s="471">
        <f t="shared" si="196"/>
        <v>0.05</v>
      </c>
      <c r="N5834" s="475">
        <f t="shared" si="197"/>
        <v>228613</v>
      </c>
    </row>
    <row r="5835" spans="7:14" ht="11.25" customHeight="1" x14ac:dyDescent="0.3">
      <c r="G5835" s="470"/>
      <c r="H5835" s="470">
        <v>5828</v>
      </c>
      <c r="I5835" s="455">
        <f t="shared" ca="1" si="195"/>
        <v>-1.4281645607688988E+16</v>
      </c>
      <c r="J5835" s="455">
        <f t="array" ref="J5835">IFERROR(INDEX('Retirement Calculator'!K:K,MATCH('Lorri 401b'!N5835,'Retirement Calculator'!A:A,0),0),0)</f>
        <v>0</v>
      </c>
      <c r="K5835" s="455">
        <f t="shared" ca="1" si="193"/>
        <v>-59506856698704.117</v>
      </c>
      <c r="L5835" s="455">
        <f t="shared" ca="1" si="194"/>
        <v>-1.4341152464387692E+16</v>
      </c>
      <c r="M5835" s="471">
        <f t="shared" si="196"/>
        <v>0.05</v>
      </c>
      <c r="N5835" s="475">
        <f t="shared" si="197"/>
        <v>228644</v>
      </c>
    </row>
    <row r="5836" spans="7:14" ht="11.25" customHeight="1" x14ac:dyDescent="0.3">
      <c r="G5836" s="470"/>
      <c r="H5836" s="470">
        <v>5829</v>
      </c>
      <c r="I5836" s="455">
        <f t="shared" ca="1" si="195"/>
        <v>-1.4341152464387692E+16</v>
      </c>
      <c r="J5836" s="455">
        <f t="array" ref="J5836">IFERROR(INDEX('Retirement Calculator'!K:K,MATCH('Lorri 401b'!N5836,'Retirement Calculator'!A:A,0),0),0)</f>
        <v>0</v>
      </c>
      <c r="K5836" s="455">
        <f t="shared" ca="1" si="193"/>
        <v>-59754801934948.711</v>
      </c>
      <c r="L5836" s="455">
        <f t="shared" ca="1" si="194"/>
        <v>-1.440090726632264E+16</v>
      </c>
      <c r="M5836" s="471">
        <f t="shared" si="196"/>
        <v>0.05</v>
      </c>
      <c r="N5836" s="475">
        <f t="shared" si="197"/>
        <v>228675</v>
      </c>
    </row>
    <row r="5837" spans="7:14" ht="11.25" customHeight="1" x14ac:dyDescent="0.3">
      <c r="G5837" s="470"/>
      <c r="H5837" s="470">
        <v>5830</v>
      </c>
      <c r="I5837" s="455">
        <f t="shared" ca="1" si="195"/>
        <v>-1.440090726632264E+16</v>
      </c>
      <c r="J5837" s="455">
        <f t="array" ref="J5837">IFERROR(INDEX('Retirement Calculator'!K:K,MATCH('Lorri 401b'!N5837,'Retirement Calculator'!A:A,0),0),0)</f>
        <v>0</v>
      </c>
      <c r="K5837" s="455">
        <f t="shared" ca="1" si="193"/>
        <v>-60003780276344.344</v>
      </c>
      <c r="L5837" s="455">
        <f t="shared" ca="1" si="194"/>
        <v>-1.4460911046598984E+16</v>
      </c>
      <c r="M5837" s="471">
        <f t="shared" si="196"/>
        <v>0.05</v>
      </c>
      <c r="N5837" s="475">
        <f t="shared" si="197"/>
        <v>228703</v>
      </c>
    </row>
    <row r="5838" spans="7:14" ht="11.25" customHeight="1" x14ac:dyDescent="0.3">
      <c r="G5838" s="470"/>
      <c r="H5838" s="470">
        <v>5831</v>
      </c>
      <c r="I5838" s="455">
        <f t="shared" ca="1" si="195"/>
        <v>-1.4460911046598984E+16</v>
      </c>
      <c r="J5838" s="455">
        <f t="array" ref="J5838">IFERROR(INDEX('Retirement Calculator'!K:K,MATCH('Lorri 401b'!N5838,'Retirement Calculator'!A:A,0),0),0)</f>
        <v>0</v>
      </c>
      <c r="K5838" s="455">
        <f t="shared" ca="1" si="193"/>
        <v>-60253796027495.766</v>
      </c>
      <c r="L5838" s="455">
        <f t="shared" ca="1" si="194"/>
        <v>-1.452116484262648E+16</v>
      </c>
      <c r="M5838" s="471">
        <f t="shared" si="196"/>
        <v>0.05</v>
      </c>
      <c r="N5838" s="475">
        <f t="shared" si="197"/>
        <v>228734</v>
      </c>
    </row>
    <row r="5839" spans="7:14" ht="11.25" customHeight="1" x14ac:dyDescent="0.3">
      <c r="G5839" s="470"/>
      <c r="H5839" s="470">
        <v>5832</v>
      </c>
      <c r="I5839" s="455">
        <f t="shared" ca="1" si="195"/>
        <v>-1.452116484262648E+16</v>
      </c>
      <c r="J5839" s="455">
        <f t="array" ref="J5839">IFERROR(INDEX('Retirement Calculator'!K:K,MATCH('Lorri 401b'!N5839,'Retirement Calculator'!A:A,0),0),0)</f>
        <v>0</v>
      </c>
      <c r="K5839" s="455">
        <f t="shared" ca="1" si="193"/>
        <v>-60504853510943.664</v>
      </c>
      <c r="L5839" s="455">
        <f t="shared" ca="1" si="194"/>
        <v>-1.4581669696137424E+16</v>
      </c>
      <c r="M5839" s="471">
        <f t="shared" si="196"/>
        <v>0.05</v>
      </c>
      <c r="N5839" s="475">
        <f t="shared" si="197"/>
        <v>228764</v>
      </c>
    </row>
    <row r="5840" spans="7:14" ht="11.25" customHeight="1" x14ac:dyDescent="0.3">
      <c r="G5840" s="470"/>
      <c r="H5840" s="470">
        <v>5833</v>
      </c>
      <c r="I5840" s="455">
        <f t="shared" ca="1" si="195"/>
        <v>-1.4581669696137424E+16</v>
      </c>
      <c r="J5840" s="455">
        <f t="array" ref="J5840">IFERROR(INDEX('Retirement Calculator'!K:K,MATCH('Lorri 401b'!N5840,'Retirement Calculator'!A:A,0),0),0)</f>
        <v>0</v>
      </c>
      <c r="K5840" s="455">
        <f t="shared" ca="1" si="193"/>
        <v>-60756957067239.266</v>
      </c>
      <c r="L5840" s="455">
        <f t="shared" ca="1" si="194"/>
        <v>-1.4642426653204664E+16</v>
      </c>
      <c r="M5840" s="471">
        <f t="shared" si="196"/>
        <v>0.05</v>
      </c>
      <c r="N5840" s="475">
        <f t="shared" si="197"/>
        <v>228795</v>
      </c>
    </row>
    <row r="5841" spans="7:14" ht="11.25" customHeight="1" x14ac:dyDescent="0.3">
      <c r="G5841" s="470"/>
      <c r="H5841" s="470">
        <v>5834</v>
      </c>
      <c r="I5841" s="455">
        <f t="shared" ca="1" si="195"/>
        <v>-1.4642426653204664E+16</v>
      </c>
      <c r="J5841" s="455">
        <f t="array" ref="J5841">IFERROR(INDEX('Retirement Calculator'!K:K,MATCH('Lorri 401b'!N5841,'Retirement Calculator'!A:A,0),0),0)</f>
        <v>0</v>
      </c>
      <c r="K5841" s="455">
        <f t="shared" ca="1" si="193"/>
        <v>-61010111055019.43</v>
      </c>
      <c r="L5841" s="455">
        <f t="shared" ca="1" si="194"/>
        <v>-1.4703436764259684E+16</v>
      </c>
      <c r="M5841" s="471">
        <f t="shared" si="196"/>
        <v>0.05</v>
      </c>
      <c r="N5841" s="475">
        <f t="shared" si="197"/>
        <v>228825</v>
      </c>
    </row>
    <row r="5842" spans="7:14" ht="11.25" customHeight="1" x14ac:dyDescent="0.3">
      <c r="G5842" s="470"/>
      <c r="H5842" s="470">
        <v>5835</v>
      </c>
      <c r="I5842" s="455">
        <f t="shared" ca="1" si="195"/>
        <v>-1.4703436764259684E+16</v>
      </c>
      <c r="J5842" s="455">
        <f t="array" ref="J5842">IFERROR(INDEX('Retirement Calculator'!K:K,MATCH('Lorri 401b'!N5842,'Retirement Calculator'!A:A,0),0),0)</f>
        <v>0</v>
      </c>
      <c r="K5842" s="455">
        <f t="shared" ca="1" si="193"/>
        <v>-61264319851082.016</v>
      </c>
      <c r="L5842" s="455">
        <f t="shared" ca="1" si="194"/>
        <v>-1.4764701084110766E+16</v>
      </c>
      <c r="M5842" s="471">
        <f t="shared" si="196"/>
        <v>0.05</v>
      </c>
      <c r="N5842" s="475">
        <f t="shared" si="197"/>
        <v>228856</v>
      </c>
    </row>
    <row r="5843" spans="7:14" ht="11.25" customHeight="1" x14ac:dyDescent="0.3">
      <c r="G5843" s="470"/>
      <c r="H5843" s="470">
        <v>5836</v>
      </c>
      <c r="I5843" s="455">
        <f t="shared" ca="1" si="195"/>
        <v>-1.4764701084110766E+16</v>
      </c>
      <c r="J5843" s="455">
        <f t="array" ref="J5843">IFERROR(INDEX('Retirement Calculator'!K:K,MATCH('Lorri 401b'!N5843,'Retirement Calculator'!A:A,0),0),0)</f>
        <v>0</v>
      </c>
      <c r="K5843" s="455">
        <f t="shared" ca="1" si="193"/>
        <v>-61519587850461.523</v>
      </c>
      <c r="L5843" s="455">
        <f t="shared" ca="1" si="194"/>
        <v>-1.4826220671961228E+16</v>
      </c>
      <c r="M5843" s="471">
        <f t="shared" si="196"/>
        <v>0.05</v>
      </c>
      <c r="N5843" s="475">
        <f t="shared" si="197"/>
        <v>228887</v>
      </c>
    </row>
    <row r="5844" spans="7:14" ht="11.25" customHeight="1" x14ac:dyDescent="0.3">
      <c r="G5844" s="470"/>
      <c r="H5844" s="470">
        <v>5837</v>
      </c>
      <c r="I5844" s="455">
        <f t="shared" ca="1" si="195"/>
        <v>-1.4826220671961228E+16</v>
      </c>
      <c r="J5844" s="455">
        <f t="array" ref="J5844">IFERROR(INDEX('Retirement Calculator'!K:K,MATCH('Lorri 401b'!N5844,'Retirement Calculator'!A:A,0),0),0)</f>
        <v>0</v>
      </c>
      <c r="K5844" s="455">
        <f t="shared" ca="1" si="193"/>
        <v>-61775919466505.117</v>
      </c>
      <c r="L5844" s="455">
        <f t="shared" ca="1" si="194"/>
        <v>-1.4887996591427734E+16</v>
      </c>
      <c r="M5844" s="471">
        <f t="shared" si="196"/>
        <v>0.05</v>
      </c>
      <c r="N5844" s="475">
        <f t="shared" si="197"/>
        <v>228917</v>
      </c>
    </row>
    <row r="5845" spans="7:14" ht="11.25" customHeight="1" x14ac:dyDescent="0.3">
      <c r="G5845" s="470"/>
      <c r="H5845" s="470">
        <v>5838</v>
      </c>
      <c r="I5845" s="455">
        <f t="shared" ca="1" si="195"/>
        <v>-1.4887996591427734E+16</v>
      </c>
      <c r="J5845" s="455">
        <f t="array" ref="J5845">IFERROR(INDEX('Retirement Calculator'!K:K,MATCH('Lorri 401b'!N5845,'Retirement Calculator'!A:A,0),0),0)</f>
        <v>0</v>
      </c>
      <c r="K5845" s="455">
        <f t="shared" ca="1" si="193"/>
        <v>-62033319130948.891</v>
      </c>
      <c r="L5845" s="455">
        <f t="shared" ca="1" si="194"/>
        <v>-1.4950029910558682E+16</v>
      </c>
      <c r="M5845" s="471">
        <f t="shared" si="196"/>
        <v>0.05</v>
      </c>
      <c r="N5845" s="475">
        <f t="shared" si="197"/>
        <v>228948</v>
      </c>
    </row>
    <row r="5846" spans="7:14" ht="11.25" customHeight="1" x14ac:dyDescent="0.3">
      <c r="G5846" s="470"/>
      <c r="H5846" s="470">
        <v>5839</v>
      </c>
      <c r="I5846" s="455">
        <f t="shared" ca="1" si="195"/>
        <v>-1.4950029910558682E+16</v>
      </c>
      <c r="J5846" s="455">
        <f t="array" ref="J5846">IFERROR(INDEX('Retirement Calculator'!K:K,MATCH('Lorri 401b'!N5846,'Retirement Calculator'!A:A,0),0),0)</f>
        <v>0</v>
      </c>
      <c r="K5846" s="455">
        <f t="shared" ca="1" si="193"/>
        <v>-62291791293994.508</v>
      </c>
      <c r="L5846" s="455">
        <f t="shared" ca="1" si="194"/>
        <v>-1.5012321701852676E+16</v>
      </c>
      <c r="M5846" s="471">
        <f t="shared" si="196"/>
        <v>0.05</v>
      </c>
      <c r="N5846" s="475">
        <f t="shared" si="197"/>
        <v>228978</v>
      </c>
    </row>
    <row r="5847" spans="7:14" ht="11.25" customHeight="1" x14ac:dyDescent="0.3">
      <c r="G5847" s="470"/>
      <c r="H5847" s="470">
        <v>5840</v>
      </c>
      <c r="I5847" s="455">
        <f t="shared" ca="1" si="195"/>
        <v>-1.5012321701852676E+16</v>
      </c>
      <c r="J5847" s="455">
        <f t="array" ref="J5847">IFERROR(INDEX('Retirement Calculator'!K:K,MATCH('Lorri 401b'!N5847,'Retirement Calculator'!A:A,0),0),0)</f>
        <v>0</v>
      </c>
      <c r="K5847" s="455">
        <f t="shared" ca="1" si="193"/>
        <v>-62551340424386.156</v>
      </c>
      <c r="L5847" s="455">
        <f t="shared" ca="1" si="194"/>
        <v>-1.5074873042277062E+16</v>
      </c>
      <c r="M5847" s="471">
        <f t="shared" si="196"/>
        <v>0.05</v>
      </c>
      <c r="N5847" s="475">
        <f t="shared" si="197"/>
        <v>229009</v>
      </c>
    </row>
    <row r="5848" spans="7:14" ht="11.25" customHeight="1" x14ac:dyDescent="0.3">
      <c r="G5848" s="470"/>
      <c r="H5848" s="470">
        <v>5841</v>
      </c>
      <c r="I5848" s="455">
        <f t="shared" ca="1" si="195"/>
        <v>-1.5074873042277062E+16</v>
      </c>
      <c r="J5848" s="455">
        <f t="array" ref="J5848">IFERROR(INDEX('Retirement Calculator'!K:K,MATCH('Lorri 401b'!N5848,'Retirement Calculator'!A:A,0),0),0)</f>
        <v>0</v>
      </c>
      <c r="K5848" s="455">
        <f t="shared" ca="1" si="193"/>
        <v>-62811971009487.758</v>
      </c>
      <c r="L5848" s="455">
        <f t="shared" ca="1" si="194"/>
        <v>-1.513768501328655E+16</v>
      </c>
      <c r="M5848" s="471">
        <f t="shared" si="196"/>
        <v>0.05</v>
      </c>
      <c r="N5848" s="475">
        <f t="shared" si="197"/>
        <v>229040</v>
      </c>
    </row>
    <row r="5849" spans="7:14" ht="11.25" customHeight="1" x14ac:dyDescent="0.3">
      <c r="G5849" s="470"/>
      <c r="H5849" s="470">
        <v>5842</v>
      </c>
      <c r="I5849" s="455">
        <f t="shared" ca="1" si="195"/>
        <v>-1.513768501328655E+16</v>
      </c>
      <c r="J5849" s="455">
        <f t="array" ref="J5849">IFERROR(INDEX('Retirement Calculator'!K:K,MATCH('Lorri 401b'!N5849,'Retirement Calculator'!A:A,0),0),0)</f>
        <v>0</v>
      </c>
      <c r="K5849" s="455">
        <f t="shared" ca="1" si="193"/>
        <v>-63073687555360.617</v>
      </c>
      <c r="L5849" s="455">
        <f t="shared" ca="1" si="194"/>
        <v>-1.520075870084191E+16</v>
      </c>
      <c r="M5849" s="471">
        <f t="shared" si="196"/>
        <v>0.05</v>
      </c>
      <c r="N5849" s="475">
        <f t="shared" si="197"/>
        <v>229068</v>
      </c>
    </row>
    <row r="5850" spans="7:14" ht="11.25" customHeight="1" x14ac:dyDescent="0.3">
      <c r="G5850" s="470"/>
      <c r="H5850" s="470">
        <v>5843</v>
      </c>
      <c r="I5850" s="455">
        <f t="shared" ca="1" si="195"/>
        <v>-1.520075870084191E+16</v>
      </c>
      <c r="J5850" s="455">
        <f t="array" ref="J5850">IFERROR(INDEX('Retirement Calculator'!K:K,MATCH('Lorri 401b'!N5850,'Retirement Calculator'!A:A,0),0),0)</f>
        <v>0</v>
      </c>
      <c r="K5850" s="455">
        <f t="shared" ca="1" si="193"/>
        <v>-63336494586841.297</v>
      </c>
      <c r="L5850" s="455">
        <f t="shared" ca="1" si="194"/>
        <v>-1.5264095195428752E+16</v>
      </c>
      <c r="M5850" s="471">
        <f t="shared" si="196"/>
        <v>0.05</v>
      </c>
      <c r="N5850" s="475">
        <f t="shared" si="197"/>
        <v>229099</v>
      </c>
    </row>
    <row r="5851" spans="7:14" ht="11.25" customHeight="1" x14ac:dyDescent="0.3">
      <c r="G5851" s="470"/>
      <c r="H5851" s="470">
        <v>5844</v>
      </c>
      <c r="I5851" s="455">
        <f t="shared" ca="1" si="195"/>
        <v>-1.5264095195428752E+16</v>
      </c>
      <c r="J5851" s="455">
        <f t="array" ref="J5851">IFERROR(INDEX('Retirement Calculator'!K:K,MATCH('Lorri 401b'!N5851,'Retirement Calculator'!A:A,0),0),0)</f>
        <v>0</v>
      </c>
      <c r="K5851" s="455">
        <f t="shared" ca="1" si="193"/>
        <v>-63600396647619.797</v>
      </c>
      <c r="L5851" s="455">
        <f t="shared" ca="1" si="194"/>
        <v>-1.5327695592076372E+16</v>
      </c>
      <c r="M5851" s="471">
        <f t="shared" si="196"/>
        <v>0.05</v>
      </c>
      <c r="N5851" s="475">
        <f t="shared" si="197"/>
        <v>229129</v>
      </c>
    </row>
    <row r="5852" spans="7:14" ht="11.25" customHeight="1" x14ac:dyDescent="0.3">
      <c r="G5852" s="470"/>
      <c r="H5852" s="470">
        <v>5845</v>
      </c>
      <c r="I5852" s="455">
        <f t="shared" ca="1" si="195"/>
        <v>-1.5327695592076372E+16</v>
      </c>
      <c r="J5852" s="455">
        <f t="array" ref="J5852">IFERROR(INDEX('Retirement Calculator'!K:K,MATCH('Lorri 401b'!N5852,'Retirement Calculator'!A:A,0),0),0)</f>
        <v>0</v>
      </c>
      <c r="K5852" s="455">
        <f t="shared" ca="1" si="193"/>
        <v>-63865398300318.219</v>
      </c>
      <c r="L5852" s="455">
        <f t="shared" ca="1" si="194"/>
        <v>-1.539156099037669E+16</v>
      </c>
      <c r="M5852" s="471">
        <f t="shared" si="196"/>
        <v>0.05</v>
      </c>
      <c r="N5852" s="475">
        <f t="shared" si="197"/>
        <v>229160</v>
      </c>
    </row>
    <row r="5853" spans="7:14" ht="11.25" customHeight="1" x14ac:dyDescent="0.3">
      <c r="G5853" s="470"/>
      <c r="H5853" s="470">
        <v>5846</v>
      </c>
      <c r="I5853" s="455">
        <f t="shared" ca="1" si="195"/>
        <v>-1.539156099037669E+16</v>
      </c>
      <c r="J5853" s="455">
        <f t="array" ref="J5853">IFERROR(INDEX('Retirement Calculator'!K:K,MATCH('Lorri 401b'!N5853,'Retirement Calculator'!A:A,0),0),0)</f>
        <v>0</v>
      </c>
      <c r="K5853" s="455">
        <f t="shared" ca="1" si="193"/>
        <v>-64131504126569.539</v>
      </c>
      <c r="L5853" s="455">
        <f t="shared" ca="1" si="194"/>
        <v>-1.545569249450326E+16</v>
      </c>
      <c r="M5853" s="471">
        <f t="shared" si="196"/>
        <v>0.05</v>
      </c>
      <c r="N5853" s="475">
        <f t="shared" si="197"/>
        <v>229190</v>
      </c>
    </row>
    <row r="5854" spans="7:14" ht="11.25" customHeight="1" x14ac:dyDescent="0.3">
      <c r="G5854" s="470"/>
      <c r="H5854" s="470">
        <v>5847</v>
      </c>
      <c r="I5854" s="455">
        <f t="shared" ca="1" si="195"/>
        <v>-1.545569249450326E+16</v>
      </c>
      <c r="J5854" s="455">
        <f t="array" ref="J5854">IFERROR(INDEX('Retirement Calculator'!K:K,MATCH('Lorri 401b'!N5854,'Retirement Calculator'!A:A,0),0),0)</f>
        <v>0</v>
      </c>
      <c r="K5854" s="455">
        <f t="shared" ca="1" si="193"/>
        <v>-64398718727096.914</v>
      </c>
      <c r="L5854" s="455">
        <f t="shared" ca="1" si="194"/>
        <v>-1.5520091213230356E+16</v>
      </c>
      <c r="M5854" s="471">
        <f t="shared" si="196"/>
        <v>0.05</v>
      </c>
      <c r="N5854" s="475">
        <f t="shared" si="197"/>
        <v>229221</v>
      </c>
    </row>
    <row r="5855" spans="7:14" ht="11.25" customHeight="1" x14ac:dyDescent="0.3">
      <c r="G5855" s="470"/>
      <c r="H5855" s="470">
        <v>5848</v>
      </c>
      <c r="I5855" s="455">
        <f t="shared" ca="1" si="195"/>
        <v>-1.5520091213230356E+16</v>
      </c>
      <c r="J5855" s="455">
        <f t="array" ref="J5855">IFERROR(INDEX('Retirement Calculator'!K:K,MATCH('Lorri 401b'!N5855,'Retirement Calculator'!A:A,0),0),0)</f>
        <v>0</v>
      </c>
      <c r="K5855" s="455">
        <f t="shared" ca="1" si="193"/>
        <v>-64667046721793.148</v>
      </c>
      <c r="L5855" s="455">
        <f t="shared" ca="1" si="194"/>
        <v>-1.558475825995215E+16</v>
      </c>
      <c r="M5855" s="471">
        <f t="shared" si="196"/>
        <v>0.05</v>
      </c>
      <c r="N5855" s="475">
        <f t="shared" si="197"/>
        <v>229252</v>
      </c>
    </row>
    <row r="5856" spans="7:14" ht="11.25" customHeight="1" x14ac:dyDescent="0.3">
      <c r="G5856" s="470"/>
      <c r="H5856" s="470">
        <v>5849</v>
      </c>
      <c r="I5856" s="455">
        <f t="shared" ca="1" si="195"/>
        <v>-1.558475825995215E+16</v>
      </c>
      <c r="J5856" s="455">
        <f t="array" ref="J5856">IFERROR(INDEX('Retirement Calculator'!K:K,MATCH('Lorri 401b'!N5856,'Retirement Calculator'!A:A,0),0),0)</f>
        <v>0</v>
      </c>
      <c r="K5856" s="455">
        <f t="shared" ca="1" si="193"/>
        <v>-64936492749800.625</v>
      </c>
      <c r="L5856" s="455">
        <f t="shared" ca="1" si="194"/>
        <v>-1.564969475270195E+16</v>
      </c>
      <c r="M5856" s="471">
        <f t="shared" si="196"/>
        <v>0.05</v>
      </c>
      <c r="N5856" s="475">
        <f t="shared" si="197"/>
        <v>229282</v>
      </c>
    </row>
    <row r="5857" spans="7:14" ht="11.25" customHeight="1" x14ac:dyDescent="0.3">
      <c r="G5857" s="470"/>
      <c r="H5857" s="470">
        <v>5850</v>
      </c>
      <c r="I5857" s="455">
        <f t="shared" ca="1" si="195"/>
        <v>-1.564969475270195E+16</v>
      </c>
      <c r="J5857" s="455">
        <f t="array" ref="J5857">IFERROR(INDEX('Retirement Calculator'!K:K,MATCH('Lorri 401b'!N5857,'Retirement Calculator'!A:A,0),0),0)</f>
        <v>0</v>
      </c>
      <c r="K5857" s="455">
        <f t="shared" ca="1" si="193"/>
        <v>-65207061469591.461</v>
      </c>
      <c r="L5857" s="455">
        <f t="shared" ca="1" si="194"/>
        <v>-1.5714901814171542E+16</v>
      </c>
      <c r="M5857" s="471">
        <f t="shared" si="196"/>
        <v>0.05</v>
      </c>
      <c r="N5857" s="475">
        <f t="shared" si="197"/>
        <v>229313</v>
      </c>
    </row>
    <row r="5858" spans="7:14" ht="11.25" customHeight="1" x14ac:dyDescent="0.3">
      <c r="G5858" s="470"/>
      <c r="H5858" s="470">
        <v>5851</v>
      </c>
      <c r="I5858" s="455">
        <f t="shared" ca="1" si="195"/>
        <v>-1.5714901814171542E+16</v>
      </c>
      <c r="J5858" s="455">
        <f t="array" ref="J5858">IFERROR(INDEX('Retirement Calculator'!K:K,MATCH('Lorri 401b'!N5858,'Retirement Calculator'!A:A,0),0),0)</f>
        <v>0</v>
      </c>
      <c r="K5858" s="455">
        <f t="shared" ca="1" si="193"/>
        <v>-65478757559048.102</v>
      </c>
      <c r="L5858" s="455">
        <f t="shared" ca="1" si="194"/>
        <v>-1.578038057173059E+16</v>
      </c>
      <c r="M5858" s="471">
        <f t="shared" si="196"/>
        <v>0.05</v>
      </c>
      <c r="N5858" s="475">
        <f t="shared" si="197"/>
        <v>229343</v>
      </c>
    </row>
    <row r="5859" spans="7:14" ht="11.25" customHeight="1" x14ac:dyDescent="0.3">
      <c r="G5859" s="470"/>
      <c r="H5859" s="470">
        <v>5852</v>
      </c>
      <c r="I5859" s="455">
        <f t="shared" ca="1" si="195"/>
        <v>-1.578038057173059E+16</v>
      </c>
      <c r="J5859" s="455">
        <f t="array" ref="J5859">IFERROR(INDEX('Retirement Calculator'!K:K,MATCH('Lorri 401b'!N5859,'Retirement Calculator'!A:A,0),0),0)</f>
        <v>0</v>
      </c>
      <c r="K5859" s="455">
        <f t="shared" ca="1" si="193"/>
        <v>-65751585715544.125</v>
      </c>
      <c r="L5859" s="455">
        <f t="shared" ca="1" si="194"/>
        <v>-1.5846132157446134E+16</v>
      </c>
      <c r="M5859" s="471">
        <f t="shared" si="196"/>
        <v>0.05</v>
      </c>
      <c r="N5859" s="475">
        <f t="shared" si="197"/>
        <v>229374</v>
      </c>
    </row>
    <row r="5860" spans="7:14" ht="11.25" customHeight="1" x14ac:dyDescent="0.3">
      <c r="G5860" s="470"/>
      <c r="H5860" s="470">
        <v>5853</v>
      </c>
      <c r="I5860" s="455">
        <f t="shared" ca="1" si="195"/>
        <v>-1.5846132157446134E+16</v>
      </c>
      <c r="J5860" s="455">
        <f t="array" ref="J5860">IFERROR(INDEX('Retirement Calculator'!K:K,MATCH('Lorri 401b'!N5860,'Retirement Calculator'!A:A,0),0),0)</f>
        <v>0</v>
      </c>
      <c r="K5860" s="455">
        <f t="shared" ca="1" si="193"/>
        <v>-66025550656025.555</v>
      </c>
      <c r="L5860" s="455">
        <f t="shared" ca="1" si="194"/>
        <v>-1.591215770810216E+16</v>
      </c>
      <c r="M5860" s="471">
        <f t="shared" si="196"/>
        <v>0.05</v>
      </c>
      <c r="N5860" s="475">
        <f t="shared" si="197"/>
        <v>229405</v>
      </c>
    </row>
    <row r="5861" spans="7:14" ht="11.25" customHeight="1" x14ac:dyDescent="0.3">
      <c r="G5861" s="470"/>
      <c r="H5861" s="470">
        <v>5854</v>
      </c>
      <c r="I5861" s="455">
        <f t="shared" ca="1" si="195"/>
        <v>-1.591215770810216E+16</v>
      </c>
      <c r="J5861" s="455">
        <f t="array" ref="J5861">IFERROR(INDEX('Retirement Calculator'!K:K,MATCH('Lorri 401b'!N5861,'Retirement Calculator'!A:A,0),0),0)</f>
        <v>0</v>
      </c>
      <c r="K5861" s="455">
        <f t="shared" ca="1" si="193"/>
        <v>-66300657117092.336</v>
      </c>
      <c r="L5861" s="455">
        <f t="shared" ca="1" si="194"/>
        <v>-1.5978458365219252E+16</v>
      </c>
      <c r="M5861" s="471">
        <f t="shared" si="196"/>
        <v>0.05</v>
      </c>
      <c r="N5861" s="475">
        <f t="shared" si="197"/>
        <v>229434</v>
      </c>
    </row>
    <row r="5862" spans="7:14" ht="11.25" customHeight="1" x14ac:dyDescent="0.3">
      <c r="G5862" s="470"/>
      <c r="H5862" s="470">
        <v>5855</v>
      </c>
      <c r="I5862" s="455">
        <f t="shared" ca="1" si="195"/>
        <v>-1.5978458365219252E+16</v>
      </c>
      <c r="J5862" s="455">
        <f t="array" ref="J5862">IFERROR(INDEX('Retirement Calculator'!K:K,MATCH('Lorri 401b'!N5862,'Retirement Calculator'!A:A,0),0),0)</f>
        <v>0</v>
      </c>
      <c r="K5862" s="455">
        <f t="shared" ca="1" si="193"/>
        <v>-66576909855080.227</v>
      </c>
      <c r="L5862" s="455">
        <f t="shared" ca="1" si="194"/>
        <v>-1.6045035275074332E+16</v>
      </c>
      <c r="M5862" s="471">
        <f t="shared" si="196"/>
        <v>0.05</v>
      </c>
      <c r="N5862" s="475">
        <f t="shared" si="197"/>
        <v>229465</v>
      </c>
    </row>
    <row r="5863" spans="7:14" ht="11.25" customHeight="1" x14ac:dyDescent="0.3">
      <c r="G5863" s="470"/>
      <c r="H5863" s="470">
        <v>5856</v>
      </c>
      <c r="I5863" s="455">
        <f t="shared" ca="1" si="195"/>
        <v>-1.6045035275074332E+16</v>
      </c>
      <c r="J5863" s="455">
        <f t="array" ref="J5863">IFERROR(INDEX('Retirement Calculator'!K:K,MATCH('Lorri 401b'!N5863,'Retirement Calculator'!A:A,0),0),0)</f>
        <v>0</v>
      </c>
      <c r="K5863" s="455">
        <f t="shared" ca="1" si="193"/>
        <v>-66854313646143.055</v>
      </c>
      <c r="L5863" s="455">
        <f t="shared" ca="1" si="194"/>
        <v>-1.6111889588720476E+16</v>
      </c>
      <c r="M5863" s="471">
        <f t="shared" si="196"/>
        <v>0.05</v>
      </c>
      <c r="N5863" s="475">
        <f t="shared" si="197"/>
        <v>229495</v>
      </c>
    </row>
    <row r="5864" spans="7:14" ht="11.25" customHeight="1" x14ac:dyDescent="0.3">
      <c r="G5864" s="470"/>
      <c r="H5864" s="470">
        <v>5857</v>
      </c>
      <c r="I5864" s="455">
        <f t="shared" ca="1" si="195"/>
        <v>-1.6111889588720476E+16</v>
      </c>
      <c r="J5864" s="455">
        <f t="array" ref="J5864">IFERROR(INDEX('Retirement Calculator'!K:K,MATCH('Lorri 401b'!N5864,'Retirement Calculator'!A:A,0),0),0)</f>
        <v>0</v>
      </c>
      <c r="K5864" s="455">
        <f t="shared" ca="1" si="193"/>
        <v>-67132873286335.313</v>
      </c>
      <c r="L5864" s="455">
        <f t="shared" ca="1" si="194"/>
        <v>-1.6179022462006812E+16</v>
      </c>
      <c r="M5864" s="471">
        <f t="shared" si="196"/>
        <v>0.05</v>
      </c>
      <c r="N5864" s="475">
        <f t="shared" si="197"/>
        <v>229526</v>
      </c>
    </row>
    <row r="5865" spans="7:14" ht="11.25" customHeight="1" x14ac:dyDescent="0.3">
      <c r="G5865" s="470"/>
      <c r="H5865" s="470">
        <v>5858</v>
      </c>
      <c r="I5865" s="455">
        <f t="shared" ca="1" si="195"/>
        <v>-1.6179022462006812E+16</v>
      </c>
      <c r="J5865" s="455">
        <f t="array" ref="J5865">IFERROR(INDEX('Retirement Calculator'!K:K,MATCH('Lorri 401b'!N5865,'Retirement Calculator'!A:A,0),0),0)</f>
        <v>0</v>
      </c>
      <c r="K5865" s="455">
        <f t="shared" ca="1" si="193"/>
        <v>-67412593591695.047</v>
      </c>
      <c r="L5865" s="455">
        <f t="shared" ca="1" si="194"/>
        <v>-1.6246435055598508E+16</v>
      </c>
      <c r="M5865" s="471">
        <f t="shared" si="196"/>
        <v>0.05</v>
      </c>
      <c r="N5865" s="475">
        <f t="shared" si="197"/>
        <v>229556</v>
      </c>
    </row>
    <row r="5866" spans="7:14" ht="11.25" customHeight="1" x14ac:dyDescent="0.3">
      <c r="G5866" s="470"/>
      <c r="H5866" s="470">
        <v>5859</v>
      </c>
      <c r="I5866" s="455">
        <f t="shared" ca="1" si="195"/>
        <v>-1.6246435055598508E+16</v>
      </c>
      <c r="J5866" s="455">
        <f t="array" ref="J5866">IFERROR(INDEX('Retirement Calculator'!K:K,MATCH('Lorri 401b'!N5866,'Retirement Calculator'!A:A,0),0),0)</f>
        <v>0</v>
      </c>
      <c r="K5866" s="455">
        <f t="shared" ca="1" si="193"/>
        <v>-67693479398327.117</v>
      </c>
      <c r="L5866" s="455">
        <f t="shared" ca="1" si="194"/>
        <v>-1.6314128534996836E+16</v>
      </c>
      <c r="M5866" s="471">
        <f t="shared" si="196"/>
        <v>0.05</v>
      </c>
      <c r="N5866" s="475">
        <f t="shared" si="197"/>
        <v>229587</v>
      </c>
    </row>
    <row r="5867" spans="7:14" ht="11.25" customHeight="1" x14ac:dyDescent="0.3">
      <c r="G5867" s="470"/>
      <c r="H5867" s="470">
        <v>5860</v>
      </c>
      <c r="I5867" s="455">
        <f t="shared" ca="1" si="195"/>
        <v>-1.6314128534996836E+16</v>
      </c>
      <c r="J5867" s="455">
        <f t="array" ref="J5867">IFERROR(INDEX('Retirement Calculator'!K:K,MATCH('Lorri 401b'!N5867,'Retirement Calculator'!A:A,0),0),0)</f>
        <v>0</v>
      </c>
      <c r="K5867" s="455">
        <f t="shared" ca="1" si="193"/>
        <v>-67975535562486.813</v>
      </c>
      <c r="L5867" s="455">
        <f t="shared" ca="1" si="194"/>
        <v>-1.6382104070559322E+16</v>
      </c>
      <c r="M5867" s="471">
        <f t="shared" si="196"/>
        <v>0.05</v>
      </c>
      <c r="N5867" s="475">
        <f t="shared" si="197"/>
        <v>229618</v>
      </c>
    </row>
    <row r="5868" spans="7:14" ht="11.25" customHeight="1" x14ac:dyDescent="0.3">
      <c r="G5868" s="470"/>
      <c r="H5868" s="470">
        <v>5861</v>
      </c>
      <c r="I5868" s="455">
        <f t="shared" ca="1" si="195"/>
        <v>-1.6382104070559322E+16</v>
      </c>
      <c r="J5868" s="455">
        <f t="array" ref="J5868">IFERROR(INDEX('Retirement Calculator'!K:K,MATCH('Lorri 401b'!N5868,'Retirement Calculator'!A:A,0),0),0)</f>
        <v>0</v>
      </c>
      <c r="K5868" s="455">
        <f t="shared" ca="1" si="193"/>
        <v>-68258766960663.836</v>
      </c>
      <c r="L5868" s="455">
        <f t="shared" ca="1" si="194"/>
        <v>-1.6450362837519986E+16</v>
      </c>
      <c r="M5868" s="471">
        <f t="shared" si="196"/>
        <v>0.05</v>
      </c>
      <c r="N5868" s="475">
        <f t="shared" si="197"/>
        <v>229648</v>
      </c>
    </row>
    <row r="5869" spans="7:14" ht="11.25" customHeight="1" x14ac:dyDescent="0.3">
      <c r="G5869" s="470"/>
      <c r="H5869" s="470">
        <v>5862</v>
      </c>
      <c r="I5869" s="455">
        <f t="shared" ca="1" si="195"/>
        <v>-1.6450362837519986E+16</v>
      </c>
      <c r="J5869" s="455">
        <f t="array" ref="J5869">IFERROR(INDEX('Retirement Calculator'!K:K,MATCH('Lorri 401b'!N5869,'Retirement Calculator'!A:A,0),0),0)</f>
        <v>0</v>
      </c>
      <c r="K5869" s="455">
        <f t="shared" ca="1" si="193"/>
        <v>-68543178489666.602</v>
      </c>
      <c r="L5869" s="455">
        <f t="shared" ca="1" si="194"/>
        <v>-1.6518906016009652E+16</v>
      </c>
      <c r="M5869" s="471">
        <f t="shared" si="196"/>
        <v>0.05</v>
      </c>
      <c r="N5869" s="475">
        <f t="shared" si="197"/>
        <v>229679</v>
      </c>
    </row>
    <row r="5870" spans="7:14" ht="11.25" customHeight="1" x14ac:dyDescent="0.3">
      <c r="G5870" s="470"/>
      <c r="H5870" s="470">
        <v>5863</v>
      </c>
      <c r="I5870" s="455">
        <f t="shared" ca="1" si="195"/>
        <v>-1.6518906016009652E+16</v>
      </c>
      <c r="J5870" s="455">
        <f t="array" ref="J5870">IFERROR(INDEX('Retirement Calculator'!K:K,MATCH('Lorri 401b'!N5870,'Retirement Calculator'!A:A,0),0),0)</f>
        <v>0</v>
      </c>
      <c r="K5870" s="455">
        <f t="shared" ca="1" si="193"/>
        <v>-68828775066706.883</v>
      </c>
      <c r="L5870" s="455">
        <f t="shared" ca="1" si="194"/>
        <v>-1.6587734791076358E+16</v>
      </c>
      <c r="M5870" s="471">
        <f t="shared" si="196"/>
        <v>0.05</v>
      </c>
      <c r="N5870" s="475">
        <f t="shared" si="197"/>
        <v>229709</v>
      </c>
    </row>
    <row r="5871" spans="7:14" ht="11.25" customHeight="1" x14ac:dyDescent="0.3">
      <c r="G5871" s="470"/>
      <c r="H5871" s="470">
        <v>5864</v>
      </c>
      <c r="I5871" s="455">
        <f t="shared" ca="1" si="195"/>
        <v>-1.6587734791076358E+16</v>
      </c>
      <c r="J5871" s="455">
        <f t="array" ref="J5871">IFERROR(INDEX('Retirement Calculator'!K:K,MATCH('Lorri 401b'!N5871,'Retirement Calculator'!A:A,0),0),0)</f>
        <v>0</v>
      </c>
      <c r="K5871" s="455">
        <f t="shared" ca="1" si="193"/>
        <v>-69115561629484.82</v>
      </c>
      <c r="L5871" s="455">
        <f t="shared" ca="1" si="194"/>
        <v>-1.6656850352705842E+16</v>
      </c>
      <c r="M5871" s="471">
        <f t="shared" si="196"/>
        <v>0.05</v>
      </c>
      <c r="N5871" s="475">
        <f t="shared" si="197"/>
        <v>229740</v>
      </c>
    </row>
    <row r="5872" spans="7:14" ht="11.25" customHeight="1" x14ac:dyDescent="0.3">
      <c r="G5872" s="470"/>
      <c r="H5872" s="470">
        <v>5865</v>
      </c>
      <c r="I5872" s="455">
        <f t="shared" ca="1" si="195"/>
        <v>-1.6656850352705842E+16</v>
      </c>
      <c r="J5872" s="455">
        <f t="array" ref="J5872">IFERROR(INDEX('Retirement Calculator'!K:K,MATCH('Lorri 401b'!N5872,'Retirement Calculator'!A:A,0),0),0)</f>
        <v>0</v>
      </c>
      <c r="K5872" s="455">
        <f t="shared" ca="1" si="193"/>
        <v>-69403543136274.344</v>
      </c>
      <c r="L5872" s="455">
        <f t="shared" ca="1" si="194"/>
        <v>-1.6726253895842116E+16</v>
      </c>
      <c r="M5872" s="471">
        <f t="shared" si="196"/>
        <v>0.05</v>
      </c>
      <c r="N5872" s="475">
        <f t="shared" si="197"/>
        <v>229771</v>
      </c>
    </row>
    <row r="5873" spans="7:14" ht="11.25" customHeight="1" x14ac:dyDescent="0.3">
      <c r="G5873" s="470"/>
      <c r="H5873" s="470">
        <v>5866</v>
      </c>
      <c r="I5873" s="455">
        <f t="shared" ca="1" si="195"/>
        <v>-1.6726253895842116E+16</v>
      </c>
      <c r="J5873" s="455">
        <f t="array" ref="J5873">IFERROR(INDEX('Retirement Calculator'!K:K,MATCH('Lorri 401b'!N5873,'Retirement Calculator'!A:A,0),0),0)</f>
        <v>0</v>
      </c>
      <c r="K5873" s="455">
        <f t="shared" ref="K5873:K6127" ca="1" si="198">IPMT(M5873/12,1,12,-I5873+J5873,,0)</f>
        <v>-69692724566008.813</v>
      </c>
      <c r="L5873" s="455">
        <f t="shared" ref="L5873:L6127" ca="1" si="199">I5873-J5873+K5873</f>
        <v>-1.6795946620408124E+16</v>
      </c>
      <c r="M5873" s="471">
        <f t="shared" si="196"/>
        <v>0.05</v>
      </c>
      <c r="N5873" s="475">
        <f t="shared" si="197"/>
        <v>229799</v>
      </c>
    </row>
    <row r="5874" spans="7:14" ht="11.25" customHeight="1" x14ac:dyDescent="0.3">
      <c r="G5874" s="470"/>
      <c r="H5874" s="470">
        <v>5867</v>
      </c>
      <c r="I5874" s="455">
        <f t="shared" ref="I5874:I6128" ca="1" si="200">L5873</f>
        <v>-1.6795946620408124E+16</v>
      </c>
      <c r="J5874" s="455">
        <f t="array" ref="J5874">IFERROR(INDEX('Retirement Calculator'!K:K,MATCH('Lorri 401b'!N5874,'Retirement Calculator'!A:A,0),0),0)</f>
        <v>0</v>
      </c>
      <c r="K5874" s="455">
        <f t="shared" ca="1" si="198"/>
        <v>-69983110918367.172</v>
      </c>
      <c r="L5874" s="455">
        <f t="shared" ca="1" si="199"/>
        <v>-1.6865929731326492E+16</v>
      </c>
      <c r="M5874" s="471">
        <f t="shared" ref="M5874:M6128" si="201">M5873</f>
        <v>0.05</v>
      </c>
      <c r="N5874" s="475">
        <f t="shared" ref="N5874:N6128" si="202">EDATE(N5873,1)</f>
        <v>229830</v>
      </c>
    </row>
    <row r="5875" spans="7:14" ht="11.25" customHeight="1" x14ac:dyDescent="0.3">
      <c r="G5875" s="470"/>
      <c r="H5875" s="470">
        <v>5868</v>
      </c>
      <c r="I5875" s="455">
        <f t="shared" ca="1" si="200"/>
        <v>-1.6865929731326492E+16</v>
      </c>
      <c r="J5875" s="455">
        <f t="array" ref="J5875">IFERROR(INDEX('Retirement Calculator'!K:K,MATCH('Lorri 401b'!N5875,'Retirement Calculator'!A:A,0),0),0)</f>
        <v>0</v>
      </c>
      <c r="K5875" s="455">
        <f t="shared" ca="1" si="198"/>
        <v>-70274707213860.383</v>
      </c>
      <c r="L5875" s="455">
        <f t="shared" ca="1" si="199"/>
        <v>-1.6936204438540352E+16</v>
      </c>
      <c r="M5875" s="471">
        <f t="shared" si="201"/>
        <v>0.05</v>
      </c>
      <c r="N5875" s="475">
        <f t="shared" si="202"/>
        <v>229860</v>
      </c>
    </row>
    <row r="5876" spans="7:14" ht="11.25" customHeight="1" x14ac:dyDescent="0.3">
      <c r="G5876" s="470"/>
      <c r="H5876" s="470">
        <v>5869</v>
      </c>
      <c r="I5876" s="455">
        <f t="shared" ca="1" si="200"/>
        <v>-1.6936204438540352E+16</v>
      </c>
      <c r="J5876" s="455">
        <f t="array" ref="J5876">IFERROR(INDEX('Retirement Calculator'!K:K,MATCH('Lorri 401b'!N5876,'Retirement Calculator'!A:A,0),0),0)</f>
        <v>0</v>
      </c>
      <c r="K5876" s="455">
        <f t="shared" ca="1" si="198"/>
        <v>-70567518493918.141</v>
      </c>
      <c r="L5876" s="455">
        <f t="shared" ca="1" si="199"/>
        <v>-1.700677195703427E+16</v>
      </c>
      <c r="M5876" s="471">
        <f t="shared" si="201"/>
        <v>0.05</v>
      </c>
      <c r="N5876" s="475">
        <f t="shared" si="202"/>
        <v>229891</v>
      </c>
    </row>
    <row r="5877" spans="7:14" ht="11.25" customHeight="1" x14ac:dyDescent="0.3">
      <c r="G5877" s="470"/>
      <c r="H5877" s="470">
        <v>5870</v>
      </c>
      <c r="I5877" s="455">
        <f t="shared" ca="1" si="200"/>
        <v>-1.700677195703427E+16</v>
      </c>
      <c r="J5877" s="455">
        <f t="array" ref="J5877">IFERROR(INDEX('Retirement Calculator'!K:K,MATCH('Lorri 401b'!N5877,'Retirement Calculator'!A:A,0),0),0)</f>
        <v>0</v>
      </c>
      <c r="K5877" s="455">
        <f t="shared" ca="1" si="198"/>
        <v>-70861549820976.125</v>
      </c>
      <c r="L5877" s="455">
        <f t="shared" ca="1" si="199"/>
        <v>-1.7077633506855246E+16</v>
      </c>
      <c r="M5877" s="471">
        <f t="shared" si="201"/>
        <v>0.05</v>
      </c>
      <c r="N5877" s="475">
        <f t="shared" si="202"/>
        <v>229921</v>
      </c>
    </row>
    <row r="5878" spans="7:14" ht="11.25" customHeight="1" x14ac:dyDescent="0.3">
      <c r="G5878" s="470"/>
      <c r="H5878" s="470">
        <v>5871</v>
      </c>
      <c r="I5878" s="455">
        <f t="shared" ca="1" si="200"/>
        <v>-1.7077633506855246E+16</v>
      </c>
      <c r="J5878" s="455">
        <f t="array" ref="J5878">IFERROR(INDEX('Retirement Calculator'!K:K,MATCH('Lorri 401b'!N5878,'Retirement Calculator'!A:A,0),0),0)</f>
        <v>0</v>
      </c>
      <c r="K5878" s="455">
        <f t="shared" ca="1" si="198"/>
        <v>-71156806278563.516</v>
      </c>
      <c r="L5878" s="455">
        <f t="shared" ca="1" si="199"/>
        <v>-1.714879031313381E+16</v>
      </c>
      <c r="M5878" s="471">
        <f t="shared" si="201"/>
        <v>0.05</v>
      </c>
      <c r="N5878" s="475">
        <f t="shared" si="202"/>
        <v>229952</v>
      </c>
    </row>
    <row r="5879" spans="7:14" ht="11.25" customHeight="1" x14ac:dyDescent="0.3">
      <c r="G5879" s="470"/>
      <c r="H5879" s="470">
        <v>5872</v>
      </c>
      <c r="I5879" s="455">
        <f t="shared" ca="1" si="200"/>
        <v>-1.714879031313381E+16</v>
      </c>
      <c r="J5879" s="455">
        <f t="array" ref="J5879">IFERROR(INDEX('Retirement Calculator'!K:K,MATCH('Lorri 401b'!N5879,'Retirement Calculator'!A:A,0),0),0)</f>
        <v>0</v>
      </c>
      <c r="K5879" s="455">
        <f t="shared" ca="1" si="198"/>
        <v>-71453292971390.875</v>
      </c>
      <c r="L5879" s="455">
        <f t="shared" ca="1" si="199"/>
        <v>-1.72202436061052E+16</v>
      </c>
      <c r="M5879" s="471">
        <f t="shared" si="201"/>
        <v>0.05</v>
      </c>
      <c r="N5879" s="475">
        <f t="shared" si="202"/>
        <v>229983</v>
      </c>
    </row>
    <row r="5880" spans="7:14" ht="11.25" customHeight="1" x14ac:dyDescent="0.3">
      <c r="G5880" s="470"/>
      <c r="H5880" s="470">
        <v>5873</v>
      </c>
      <c r="I5880" s="455">
        <f t="shared" ca="1" si="200"/>
        <v>-1.72202436061052E+16</v>
      </c>
      <c r="J5880" s="455">
        <f t="array" ref="J5880">IFERROR(INDEX('Retirement Calculator'!K:K,MATCH('Lorri 401b'!N5880,'Retirement Calculator'!A:A,0),0),0)</f>
        <v>0</v>
      </c>
      <c r="K5880" s="455">
        <f t="shared" ca="1" si="198"/>
        <v>-71751015025438.328</v>
      </c>
      <c r="L5880" s="455">
        <f t="shared" ca="1" si="199"/>
        <v>-1.7291994621130638E+16</v>
      </c>
      <c r="M5880" s="471">
        <f t="shared" si="201"/>
        <v>0.05</v>
      </c>
      <c r="N5880" s="475">
        <f t="shared" si="202"/>
        <v>230013</v>
      </c>
    </row>
    <row r="5881" spans="7:14" ht="11.25" customHeight="1" x14ac:dyDescent="0.3">
      <c r="G5881" s="470"/>
      <c r="H5881" s="470">
        <v>5874</v>
      </c>
      <c r="I5881" s="455">
        <f t="shared" ca="1" si="200"/>
        <v>-1.7291994621130638E+16</v>
      </c>
      <c r="J5881" s="455">
        <f t="array" ref="J5881">IFERROR(INDEX('Retirement Calculator'!K:K,MATCH('Lorri 401b'!N5881,'Retirement Calculator'!A:A,0),0),0)</f>
        <v>0</v>
      </c>
      <c r="K5881" s="455">
        <f t="shared" ca="1" si="198"/>
        <v>-72049977588044.313</v>
      </c>
      <c r="L5881" s="455">
        <f t="shared" ca="1" si="199"/>
        <v>-1.7364044598718682E+16</v>
      </c>
      <c r="M5881" s="471">
        <f t="shared" si="201"/>
        <v>0.05</v>
      </c>
      <c r="N5881" s="475">
        <f t="shared" si="202"/>
        <v>230044</v>
      </c>
    </row>
    <row r="5882" spans="7:14" ht="11.25" customHeight="1" x14ac:dyDescent="0.3">
      <c r="G5882" s="470"/>
      <c r="H5882" s="470">
        <v>5875</v>
      </c>
      <c r="I5882" s="455">
        <f t="shared" ca="1" si="200"/>
        <v>-1.7364044598718682E+16</v>
      </c>
      <c r="J5882" s="455">
        <f t="array" ref="J5882">IFERROR(INDEX('Retirement Calculator'!K:K,MATCH('Lorri 401b'!N5882,'Retirement Calculator'!A:A,0),0),0)</f>
        <v>0</v>
      </c>
      <c r="K5882" s="455">
        <f t="shared" ca="1" si="198"/>
        <v>-72350185827994.5</v>
      </c>
      <c r="L5882" s="455">
        <f t="shared" ca="1" si="199"/>
        <v>-1.7436394784546676E+16</v>
      </c>
      <c r="M5882" s="471">
        <f t="shared" si="201"/>
        <v>0.05</v>
      </c>
      <c r="N5882" s="475">
        <f t="shared" si="202"/>
        <v>230074</v>
      </c>
    </row>
    <row r="5883" spans="7:14" ht="11.25" customHeight="1" x14ac:dyDescent="0.3">
      <c r="G5883" s="470"/>
      <c r="H5883" s="470">
        <v>5876</v>
      </c>
      <c r="I5883" s="455">
        <f t="shared" ca="1" si="200"/>
        <v>-1.7436394784546676E+16</v>
      </c>
      <c r="J5883" s="455">
        <f t="array" ref="J5883">IFERROR(INDEX('Retirement Calculator'!K:K,MATCH('Lorri 401b'!N5883,'Retirement Calculator'!A:A,0),0),0)</f>
        <v>0</v>
      </c>
      <c r="K5883" s="455">
        <f t="shared" ca="1" si="198"/>
        <v>-72651644935611.156</v>
      </c>
      <c r="L5883" s="455">
        <f t="shared" ca="1" si="199"/>
        <v>-1.7509046429482288E+16</v>
      </c>
      <c r="M5883" s="471">
        <f t="shared" si="201"/>
        <v>0.05</v>
      </c>
      <c r="N5883" s="475">
        <f t="shared" si="202"/>
        <v>230105</v>
      </c>
    </row>
    <row r="5884" spans="7:14" ht="11.25" customHeight="1" x14ac:dyDescent="0.3">
      <c r="G5884" s="470"/>
      <c r="H5884" s="470">
        <v>5877</v>
      </c>
      <c r="I5884" s="455">
        <f t="shared" ca="1" si="200"/>
        <v>-1.7509046429482288E+16</v>
      </c>
      <c r="J5884" s="455">
        <f t="array" ref="J5884">IFERROR(INDEX('Retirement Calculator'!K:K,MATCH('Lorri 401b'!N5884,'Retirement Calculator'!A:A,0),0),0)</f>
        <v>0</v>
      </c>
      <c r="K5884" s="455">
        <f t="shared" ca="1" si="198"/>
        <v>-72954360122842.859</v>
      </c>
      <c r="L5884" s="455">
        <f t="shared" ca="1" si="199"/>
        <v>-1.758200078960513E+16</v>
      </c>
      <c r="M5884" s="471">
        <f t="shared" si="201"/>
        <v>0.05</v>
      </c>
      <c r="N5884" s="475">
        <f t="shared" si="202"/>
        <v>230136</v>
      </c>
    </row>
    <row r="5885" spans="7:14" ht="11.25" customHeight="1" x14ac:dyDescent="0.3">
      <c r="G5885" s="470"/>
      <c r="H5885" s="470">
        <v>5878</v>
      </c>
      <c r="I5885" s="455">
        <f t="shared" ca="1" si="200"/>
        <v>-1.758200078960513E+16</v>
      </c>
      <c r="J5885" s="455">
        <f t="array" ref="J5885">IFERROR(INDEX('Retirement Calculator'!K:K,MATCH('Lorri 401b'!N5885,'Retirement Calculator'!A:A,0),0),0)</f>
        <v>0</v>
      </c>
      <c r="K5885" s="455">
        <f t="shared" ca="1" si="198"/>
        <v>-73258336623354.703</v>
      </c>
      <c r="L5885" s="455">
        <f t="shared" ca="1" si="199"/>
        <v>-1.7655259126228484E+16</v>
      </c>
      <c r="M5885" s="471">
        <f t="shared" si="201"/>
        <v>0.05</v>
      </c>
      <c r="N5885" s="475">
        <f t="shared" si="202"/>
        <v>230164</v>
      </c>
    </row>
    <row r="5886" spans="7:14" ht="11.25" customHeight="1" x14ac:dyDescent="0.3">
      <c r="G5886" s="470"/>
      <c r="H5886" s="470">
        <v>5879</v>
      </c>
      <c r="I5886" s="455">
        <f t="shared" ca="1" si="200"/>
        <v>-1.7655259126228484E+16</v>
      </c>
      <c r="J5886" s="455">
        <f t="array" ref="J5886">IFERROR(INDEX('Retirement Calculator'!K:K,MATCH('Lorri 401b'!N5886,'Retirement Calculator'!A:A,0),0),0)</f>
        <v>0</v>
      </c>
      <c r="K5886" s="455">
        <f t="shared" ca="1" si="198"/>
        <v>-73563579692618.688</v>
      </c>
      <c r="L5886" s="455">
        <f t="shared" ca="1" si="199"/>
        <v>-1.7728822705921102E+16</v>
      </c>
      <c r="M5886" s="471">
        <f t="shared" si="201"/>
        <v>0.05</v>
      </c>
      <c r="N5886" s="475">
        <f t="shared" si="202"/>
        <v>230195</v>
      </c>
    </row>
    <row r="5887" spans="7:14" ht="11.25" customHeight="1" x14ac:dyDescent="0.3">
      <c r="G5887" s="470"/>
      <c r="H5887" s="470">
        <v>5880</v>
      </c>
      <c r="I5887" s="455">
        <f t="shared" ca="1" si="200"/>
        <v>-1.7728822705921102E+16</v>
      </c>
      <c r="J5887" s="455">
        <f t="array" ref="J5887">IFERROR(INDEX('Retirement Calculator'!K:K,MATCH('Lorri 401b'!N5887,'Retirement Calculator'!A:A,0),0),0)</f>
        <v>0</v>
      </c>
      <c r="K5887" s="455">
        <f t="shared" ca="1" si="198"/>
        <v>-73870094608004.594</v>
      </c>
      <c r="L5887" s="455">
        <f t="shared" ca="1" si="199"/>
        <v>-1.7802692800529106E+16</v>
      </c>
      <c r="M5887" s="471">
        <f t="shared" si="201"/>
        <v>0.05</v>
      </c>
      <c r="N5887" s="475">
        <f t="shared" si="202"/>
        <v>230225</v>
      </c>
    </row>
    <row r="5888" spans="7:14" ht="11.25" customHeight="1" x14ac:dyDescent="0.3">
      <c r="G5888" s="470"/>
      <c r="H5888" s="470">
        <v>5881</v>
      </c>
      <c r="I5888" s="455">
        <f t="shared" ca="1" si="200"/>
        <v>-1.7802692800529106E+16</v>
      </c>
      <c r="J5888" s="455">
        <f t="array" ref="J5888">IFERROR(INDEX('Retirement Calculator'!K:K,MATCH('Lorri 401b'!N5888,'Retirement Calculator'!A:A,0),0),0)</f>
        <v>0</v>
      </c>
      <c r="K5888" s="455">
        <f t="shared" ca="1" si="198"/>
        <v>-74177886668871.281</v>
      </c>
      <c r="L5888" s="455">
        <f t="shared" ca="1" si="199"/>
        <v>-1.7876870687197978E+16</v>
      </c>
      <c r="M5888" s="471">
        <f t="shared" si="201"/>
        <v>0.05</v>
      </c>
      <c r="N5888" s="475">
        <f t="shared" si="202"/>
        <v>230256</v>
      </c>
    </row>
    <row r="5889" spans="7:14" ht="11.25" customHeight="1" x14ac:dyDescent="0.3">
      <c r="G5889" s="470"/>
      <c r="H5889" s="470">
        <v>5882</v>
      </c>
      <c r="I5889" s="455">
        <f t="shared" ca="1" si="200"/>
        <v>-1.7876870687197978E+16</v>
      </c>
      <c r="J5889" s="455">
        <f t="array" ref="J5889">IFERROR(INDEX('Retirement Calculator'!K:K,MATCH('Lorri 401b'!N5889,'Retirement Calculator'!A:A,0),0),0)</f>
        <v>0</v>
      </c>
      <c r="K5889" s="455">
        <f t="shared" ca="1" si="198"/>
        <v>-74486961196658.234</v>
      </c>
      <c r="L5889" s="455">
        <f t="shared" ca="1" si="199"/>
        <v>-1.7951357648394636E+16</v>
      </c>
      <c r="M5889" s="471">
        <f t="shared" si="201"/>
        <v>0.05</v>
      </c>
      <c r="N5889" s="475">
        <f t="shared" si="202"/>
        <v>230286</v>
      </c>
    </row>
    <row r="5890" spans="7:14" ht="11.25" customHeight="1" x14ac:dyDescent="0.3">
      <c r="G5890" s="470"/>
      <c r="H5890" s="470">
        <v>5883</v>
      </c>
      <c r="I5890" s="455">
        <f t="shared" ca="1" si="200"/>
        <v>-1.7951357648394636E+16</v>
      </c>
      <c r="J5890" s="455">
        <f t="array" ref="J5890">IFERROR(INDEX('Retirement Calculator'!K:K,MATCH('Lorri 401b'!N5890,'Retirement Calculator'!A:A,0),0),0)</f>
        <v>0</v>
      </c>
      <c r="K5890" s="455">
        <f t="shared" ca="1" si="198"/>
        <v>-74797323534977.656</v>
      </c>
      <c r="L5890" s="455">
        <f t="shared" ca="1" si="199"/>
        <v>-1.8026154971929612E+16</v>
      </c>
      <c r="M5890" s="471">
        <f t="shared" si="201"/>
        <v>0.05</v>
      </c>
      <c r="N5890" s="475">
        <f t="shared" si="202"/>
        <v>230317</v>
      </c>
    </row>
    <row r="5891" spans="7:14" ht="11.25" customHeight="1" x14ac:dyDescent="0.3">
      <c r="G5891" s="470"/>
      <c r="H5891" s="470">
        <v>5884</v>
      </c>
      <c r="I5891" s="455">
        <f t="shared" ca="1" si="200"/>
        <v>-1.8026154971929612E+16</v>
      </c>
      <c r="J5891" s="455">
        <f t="array" ref="J5891">IFERROR(INDEX('Retirement Calculator'!K:K,MATCH('Lorri 401b'!N5891,'Retirement Calculator'!A:A,0),0),0)</f>
        <v>0</v>
      </c>
      <c r="K5891" s="455">
        <f t="shared" ca="1" si="198"/>
        <v>-75108979049706.719</v>
      </c>
      <c r="L5891" s="455">
        <f t="shared" ca="1" si="199"/>
        <v>-1.810126395097932E+16</v>
      </c>
      <c r="M5891" s="471">
        <f t="shared" si="201"/>
        <v>0.05</v>
      </c>
      <c r="N5891" s="475">
        <f t="shared" si="202"/>
        <v>230348</v>
      </c>
    </row>
    <row r="5892" spans="7:14" ht="11.25" customHeight="1" x14ac:dyDescent="0.3">
      <c r="G5892" s="470"/>
      <c r="H5892" s="470">
        <v>5885</v>
      </c>
      <c r="I5892" s="455">
        <f t="shared" ca="1" si="200"/>
        <v>-1.810126395097932E+16</v>
      </c>
      <c r="J5892" s="455">
        <f t="array" ref="J5892">IFERROR(INDEX('Retirement Calculator'!K:K,MATCH('Lorri 401b'!N5892,'Retirement Calculator'!A:A,0),0),0)</f>
        <v>0</v>
      </c>
      <c r="K5892" s="455">
        <f t="shared" ca="1" si="198"/>
        <v>-75421933129080.5</v>
      </c>
      <c r="L5892" s="455">
        <f t="shared" ca="1" si="199"/>
        <v>-1.81766858841084E+16</v>
      </c>
      <c r="M5892" s="471">
        <f t="shared" si="201"/>
        <v>0.05</v>
      </c>
      <c r="N5892" s="475">
        <f t="shared" si="202"/>
        <v>230378</v>
      </c>
    </row>
    <row r="5893" spans="7:14" ht="11.25" customHeight="1" x14ac:dyDescent="0.3">
      <c r="G5893" s="470"/>
      <c r="H5893" s="470">
        <v>5886</v>
      </c>
      <c r="I5893" s="455">
        <f t="shared" ca="1" si="200"/>
        <v>-1.81766858841084E+16</v>
      </c>
      <c r="J5893" s="455">
        <f t="array" ref="J5893">IFERROR(INDEX('Retirement Calculator'!K:K,MATCH('Lorri 401b'!N5893,'Retirement Calculator'!A:A,0),0),0)</f>
        <v>0</v>
      </c>
      <c r="K5893" s="455">
        <f t="shared" ca="1" si="198"/>
        <v>-75736191183785</v>
      </c>
      <c r="L5893" s="455">
        <f t="shared" ca="1" si="199"/>
        <v>-1.8252422075292184E+16</v>
      </c>
      <c r="M5893" s="471">
        <f t="shared" si="201"/>
        <v>0.05</v>
      </c>
      <c r="N5893" s="475">
        <f t="shared" si="202"/>
        <v>230409</v>
      </c>
    </row>
    <row r="5894" spans="7:14" ht="11.25" customHeight="1" x14ac:dyDescent="0.3">
      <c r="G5894" s="470"/>
      <c r="H5894" s="470">
        <v>5887</v>
      </c>
      <c r="I5894" s="455">
        <f t="shared" ca="1" si="200"/>
        <v>-1.8252422075292184E+16</v>
      </c>
      <c r="J5894" s="455">
        <f t="array" ref="J5894">IFERROR(INDEX('Retirement Calculator'!K:K,MATCH('Lorri 401b'!N5894,'Retirement Calculator'!A:A,0),0),0)</f>
        <v>0</v>
      </c>
      <c r="K5894" s="455">
        <f t="shared" ca="1" si="198"/>
        <v>-76051758647050.766</v>
      </c>
      <c r="L5894" s="455">
        <f t="shared" ca="1" si="199"/>
        <v>-1.8328473833939236E+16</v>
      </c>
      <c r="M5894" s="471">
        <f t="shared" si="201"/>
        <v>0.05</v>
      </c>
      <c r="N5894" s="475">
        <f t="shared" si="202"/>
        <v>230439</v>
      </c>
    </row>
    <row r="5895" spans="7:14" ht="11.25" customHeight="1" x14ac:dyDescent="0.3">
      <c r="G5895" s="470"/>
      <c r="H5895" s="470">
        <v>5888</v>
      </c>
      <c r="I5895" s="455">
        <f t="shared" ca="1" si="200"/>
        <v>-1.8328473833939236E+16</v>
      </c>
      <c r="J5895" s="455">
        <f t="array" ref="J5895">IFERROR(INDEX('Retirement Calculator'!K:K,MATCH('Lorri 401b'!N5895,'Retirement Calculator'!A:A,0),0),0)</f>
        <v>0</v>
      </c>
      <c r="K5895" s="455">
        <f t="shared" ca="1" si="198"/>
        <v>-76368640974746.813</v>
      </c>
      <c r="L5895" s="455">
        <f t="shared" ca="1" si="199"/>
        <v>-1.8404842474913984E+16</v>
      </c>
      <c r="M5895" s="471">
        <f t="shared" si="201"/>
        <v>0.05</v>
      </c>
      <c r="N5895" s="475">
        <f t="shared" si="202"/>
        <v>230470</v>
      </c>
    </row>
    <row r="5896" spans="7:14" ht="11.25" customHeight="1" x14ac:dyDescent="0.3">
      <c r="G5896" s="470"/>
      <c r="H5896" s="470">
        <v>5889</v>
      </c>
      <c r="I5896" s="455">
        <f t="shared" ca="1" si="200"/>
        <v>-1.8404842474913984E+16</v>
      </c>
      <c r="J5896" s="455">
        <f t="array" ref="J5896">IFERROR(INDEX('Retirement Calculator'!K:K,MATCH('Lorri 401b'!N5896,'Retirement Calculator'!A:A,0),0),0)</f>
        <v>0</v>
      </c>
      <c r="K5896" s="455">
        <f t="shared" ca="1" si="198"/>
        <v>-76686843645474.938</v>
      </c>
      <c r="L5896" s="455">
        <f t="shared" ca="1" si="199"/>
        <v>-1.848152931855946E+16</v>
      </c>
      <c r="M5896" s="471">
        <f t="shared" si="201"/>
        <v>0.05</v>
      </c>
      <c r="N5896" s="475">
        <f t="shared" si="202"/>
        <v>230501</v>
      </c>
    </row>
    <row r="5897" spans="7:14" ht="11.25" customHeight="1" x14ac:dyDescent="0.3">
      <c r="G5897" s="470"/>
      <c r="H5897" s="470">
        <v>5890</v>
      </c>
      <c r="I5897" s="455">
        <f t="shared" ca="1" si="200"/>
        <v>-1.848152931855946E+16</v>
      </c>
      <c r="J5897" s="455">
        <f t="array" ref="J5897">IFERROR(INDEX('Retirement Calculator'!K:K,MATCH('Lorri 401b'!N5897,'Retirement Calculator'!A:A,0),0),0)</f>
        <v>0</v>
      </c>
      <c r="K5897" s="455">
        <f t="shared" ca="1" si="198"/>
        <v>-77006372160664.422</v>
      </c>
      <c r="L5897" s="455">
        <f t="shared" ca="1" si="199"/>
        <v>-1.8558535690720124E+16</v>
      </c>
      <c r="M5897" s="471">
        <f t="shared" si="201"/>
        <v>0.05</v>
      </c>
      <c r="N5897" s="475">
        <f t="shared" si="202"/>
        <v>230529</v>
      </c>
    </row>
    <row r="5898" spans="7:14" ht="11.25" customHeight="1" x14ac:dyDescent="0.3">
      <c r="G5898" s="470"/>
      <c r="H5898" s="470">
        <v>5891</v>
      </c>
      <c r="I5898" s="455">
        <f t="shared" ca="1" si="200"/>
        <v>-1.8558535690720124E+16</v>
      </c>
      <c r="J5898" s="455">
        <f t="array" ref="J5898">IFERROR(INDEX('Retirement Calculator'!K:K,MATCH('Lorri 401b'!N5898,'Retirement Calculator'!A:A,0),0),0)</f>
        <v>0</v>
      </c>
      <c r="K5898" s="455">
        <f t="shared" ca="1" si="198"/>
        <v>-77327232044667.188</v>
      </c>
      <c r="L5898" s="455">
        <f t="shared" ca="1" si="199"/>
        <v>-1.8635862922764792E+16</v>
      </c>
      <c r="M5898" s="471">
        <f t="shared" si="201"/>
        <v>0.05</v>
      </c>
      <c r="N5898" s="475">
        <f t="shared" si="202"/>
        <v>230560</v>
      </c>
    </row>
    <row r="5899" spans="7:14" ht="11.25" customHeight="1" x14ac:dyDescent="0.3">
      <c r="G5899" s="470"/>
      <c r="H5899" s="470">
        <v>5892</v>
      </c>
      <c r="I5899" s="455">
        <f t="shared" ca="1" si="200"/>
        <v>-1.8635862922764792E+16</v>
      </c>
      <c r="J5899" s="455">
        <f t="array" ref="J5899">IFERROR(INDEX('Retirement Calculator'!K:K,MATCH('Lorri 401b'!N5899,'Retirement Calculator'!A:A,0),0),0)</f>
        <v>0</v>
      </c>
      <c r="K5899" s="455">
        <f t="shared" ca="1" si="198"/>
        <v>-77649428844853.297</v>
      </c>
      <c r="L5899" s="455">
        <f t="shared" ca="1" si="199"/>
        <v>-1.8713512351609644E+16</v>
      </c>
      <c r="M5899" s="471">
        <f t="shared" si="201"/>
        <v>0.05</v>
      </c>
      <c r="N5899" s="475">
        <f t="shared" si="202"/>
        <v>230590</v>
      </c>
    </row>
    <row r="5900" spans="7:14" ht="11.25" customHeight="1" x14ac:dyDescent="0.3">
      <c r="G5900" s="470"/>
      <c r="H5900" s="470">
        <v>5893</v>
      </c>
      <c r="I5900" s="455">
        <f t="shared" ca="1" si="200"/>
        <v>-1.8713512351609644E+16</v>
      </c>
      <c r="J5900" s="455">
        <f t="array" ref="J5900">IFERROR(INDEX('Retirement Calculator'!K:K,MATCH('Lorri 401b'!N5900,'Retirement Calculator'!A:A,0),0),0)</f>
        <v>0</v>
      </c>
      <c r="K5900" s="455">
        <f t="shared" ca="1" si="198"/>
        <v>-77972968131706.844</v>
      </c>
      <c r="L5900" s="455">
        <f t="shared" ca="1" si="199"/>
        <v>-1.8791485319741352E+16</v>
      </c>
      <c r="M5900" s="471">
        <f t="shared" si="201"/>
        <v>0.05</v>
      </c>
      <c r="N5900" s="475">
        <f t="shared" si="202"/>
        <v>230621</v>
      </c>
    </row>
    <row r="5901" spans="7:14" ht="11.25" customHeight="1" x14ac:dyDescent="0.3">
      <c r="G5901" s="470"/>
      <c r="H5901" s="470">
        <v>5894</v>
      </c>
      <c r="I5901" s="455">
        <f t="shared" ca="1" si="200"/>
        <v>-1.8791485319741352E+16</v>
      </c>
      <c r="J5901" s="455">
        <f t="array" ref="J5901">IFERROR(INDEX('Retirement Calculator'!K:K,MATCH('Lorri 401b'!N5901,'Retirement Calculator'!A:A,0),0),0)</f>
        <v>0</v>
      </c>
      <c r="K5901" s="455">
        <f t="shared" ca="1" si="198"/>
        <v>-78297855498922.297</v>
      </c>
      <c r="L5901" s="455">
        <f t="shared" ca="1" si="199"/>
        <v>-1.8869783175240276E+16</v>
      </c>
      <c r="M5901" s="471">
        <f t="shared" si="201"/>
        <v>0.05</v>
      </c>
      <c r="N5901" s="475">
        <f t="shared" si="202"/>
        <v>230651</v>
      </c>
    </row>
    <row r="5902" spans="7:14" ht="11.25" customHeight="1" x14ac:dyDescent="0.3">
      <c r="G5902" s="470"/>
      <c r="H5902" s="470">
        <v>5895</v>
      </c>
      <c r="I5902" s="455">
        <f t="shared" ca="1" si="200"/>
        <v>-1.8869783175240276E+16</v>
      </c>
      <c r="J5902" s="455">
        <f t="array" ref="J5902">IFERROR(INDEX('Retirement Calculator'!K:K,MATCH('Lorri 401b'!N5902,'Retirement Calculator'!A:A,0),0),0)</f>
        <v>0</v>
      </c>
      <c r="K5902" s="455">
        <f t="shared" ca="1" si="198"/>
        <v>-78624096563501.156</v>
      </c>
      <c r="L5902" s="455">
        <f t="shared" ca="1" si="199"/>
        <v>-1.8948407271803776E+16</v>
      </c>
      <c r="M5902" s="471">
        <f t="shared" si="201"/>
        <v>0.05</v>
      </c>
      <c r="N5902" s="475">
        <f t="shared" si="202"/>
        <v>230682</v>
      </c>
    </row>
    <row r="5903" spans="7:14" ht="11.25" customHeight="1" x14ac:dyDescent="0.3">
      <c r="G5903" s="470"/>
      <c r="H5903" s="470">
        <v>5896</v>
      </c>
      <c r="I5903" s="455">
        <f t="shared" ca="1" si="200"/>
        <v>-1.8948407271803776E+16</v>
      </c>
      <c r="J5903" s="455">
        <f t="array" ref="J5903">IFERROR(INDEX('Retirement Calculator'!K:K,MATCH('Lorri 401b'!N5903,'Retirement Calculator'!A:A,0),0),0)</f>
        <v>0</v>
      </c>
      <c r="K5903" s="455">
        <f t="shared" ca="1" si="198"/>
        <v>-78951696965849.063</v>
      </c>
      <c r="L5903" s="455">
        <f t="shared" ca="1" si="199"/>
        <v>-1.9027358968769624E+16</v>
      </c>
      <c r="M5903" s="471">
        <f t="shared" si="201"/>
        <v>0.05</v>
      </c>
      <c r="N5903" s="475">
        <f t="shared" si="202"/>
        <v>230713</v>
      </c>
    </row>
    <row r="5904" spans="7:14" ht="11.25" customHeight="1" x14ac:dyDescent="0.3">
      <c r="G5904" s="470"/>
      <c r="H5904" s="470">
        <v>5897</v>
      </c>
      <c r="I5904" s="455">
        <f t="shared" ca="1" si="200"/>
        <v>-1.9027358968769624E+16</v>
      </c>
      <c r="J5904" s="455">
        <f t="array" ref="J5904">IFERROR(INDEX('Retirement Calculator'!K:K,MATCH('Lorri 401b'!N5904,'Retirement Calculator'!A:A,0),0),0)</f>
        <v>0</v>
      </c>
      <c r="K5904" s="455">
        <f t="shared" ca="1" si="198"/>
        <v>-79280662369873.438</v>
      </c>
      <c r="L5904" s="455">
        <f t="shared" ca="1" si="199"/>
        <v>-1.9106639631139496E+16</v>
      </c>
      <c r="M5904" s="471">
        <f t="shared" si="201"/>
        <v>0.05</v>
      </c>
      <c r="N5904" s="475">
        <f t="shared" si="202"/>
        <v>230743</v>
      </c>
    </row>
    <row r="5905" spans="7:14" ht="11.25" customHeight="1" x14ac:dyDescent="0.3">
      <c r="G5905" s="470"/>
      <c r="H5905" s="470">
        <v>5898</v>
      </c>
      <c r="I5905" s="455">
        <f t="shared" ca="1" si="200"/>
        <v>-1.9106639631139496E+16</v>
      </c>
      <c r="J5905" s="455">
        <f t="array" ref="J5905">IFERROR(INDEX('Retirement Calculator'!K:K,MATCH('Lorri 401b'!N5905,'Retirement Calculator'!A:A,0),0),0)</f>
        <v>0</v>
      </c>
      <c r="K5905" s="455">
        <f t="shared" ca="1" si="198"/>
        <v>-79610998463081.234</v>
      </c>
      <c r="L5905" s="455">
        <f t="shared" ca="1" si="199"/>
        <v>-1.9186250629602576E+16</v>
      </c>
      <c r="M5905" s="471">
        <f t="shared" si="201"/>
        <v>0.05</v>
      </c>
      <c r="N5905" s="475">
        <f t="shared" si="202"/>
        <v>230774</v>
      </c>
    </row>
    <row r="5906" spans="7:14" ht="11.25" customHeight="1" x14ac:dyDescent="0.3">
      <c r="G5906" s="470"/>
      <c r="H5906" s="470">
        <v>5899</v>
      </c>
      <c r="I5906" s="455">
        <f t="shared" ca="1" si="200"/>
        <v>-1.9186250629602576E+16</v>
      </c>
      <c r="J5906" s="455">
        <f t="array" ref="J5906">IFERROR(INDEX('Retirement Calculator'!K:K,MATCH('Lorri 401b'!N5906,'Retirement Calculator'!A:A,0),0),0)</f>
        <v>0</v>
      </c>
      <c r="K5906" s="455">
        <f t="shared" ca="1" si="198"/>
        <v>-79942710956677.406</v>
      </c>
      <c r="L5906" s="455">
        <f t="shared" ca="1" si="199"/>
        <v>-1.9266193340559252E+16</v>
      </c>
      <c r="M5906" s="471">
        <f t="shared" si="201"/>
        <v>0.05</v>
      </c>
      <c r="N5906" s="475">
        <f t="shared" si="202"/>
        <v>230804</v>
      </c>
    </row>
    <row r="5907" spans="7:14" ht="11.25" customHeight="1" x14ac:dyDescent="0.3">
      <c r="G5907" s="470"/>
      <c r="H5907" s="470">
        <v>5900</v>
      </c>
      <c r="I5907" s="455">
        <f t="shared" ca="1" si="200"/>
        <v>-1.9266193340559252E+16</v>
      </c>
      <c r="J5907" s="455">
        <f t="array" ref="J5907">IFERROR(INDEX('Retirement Calculator'!K:K,MATCH('Lorri 401b'!N5907,'Retirement Calculator'!A:A,0),0),0)</f>
        <v>0</v>
      </c>
      <c r="K5907" s="455">
        <f t="shared" ca="1" si="198"/>
        <v>-80275805585663.547</v>
      </c>
      <c r="L5907" s="455">
        <f t="shared" ca="1" si="199"/>
        <v>-1.9346469146144916E+16</v>
      </c>
      <c r="M5907" s="471">
        <f t="shared" si="201"/>
        <v>0.05</v>
      </c>
      <c r="N5907" s="475">
        <f t="shared" si="202"/>
        <v>230835</v>
      </c>
    </row>
    <row r="5908" spans="7:14" ht="11.25" customHeight="1" x14ac:dyDescent="0.3">
      <c r="G5908" s="470"/>
      <c r="H5908" s="470">
        <v>5901</v>
      </c>
      <c r="I5908" s="455">
        <f t="shared" ca="1" si="200"/>
        <v>-1.9346469146144916E+16</v>
      </c>
      <c r="J5908" s="455">
        <f t="array" ref="J5908">IFERROR(INDEX('Retirement Calculator'!K:K,MATCH('Lorri 401b'!N5908,'Retirement Calculator'!A:A,0),0),0)</f>
        <v>0</v>
      </c>
      <c r="K5908" s="455">
        <f t="shared" ca="1" si="198"/>
        <v>-80610288108937.156</v>
      </c>
      <c r="L5908" s="455">
        <f t="shared" ca="1" si="199"/>
        <v>-1.9427079434253852E+16</v>
      </c>
      <c r="M5908" s="471">
        <f t="shared" si="201"/>
        <v>0.05</v>
      </c>
      <c r="N5908" s="475">
        <f t="shared" si="202"/>
        <v>230866</v>
      </c>
    </row>
    <row r="5909" spans="7:14" ht="11.25" customHeight="1" x14ac:dyDescent="0.3">
      <c r="G5909" s="470"/>
      <c r="H5909" s="470">
        <v>5902</v>
      </c>
      <c r="I5909" s="455">
        <f t="shared" ca="1" si="200"/>
        <v>-1.9427079434253852E+16</v>
      </c>
      <c r="J5909" s="455">
        <f t="array" ref="J5909">IFERROR(INDEX('Retirement Calculator'!K:K,MATCH('Lorri 401b'!N5909,'Retirement Calculator'!A:A,0),0),0)</f>
        <v>0</v>
      </c>
      <c r="K5909" s="455">
        <f t="shared" ca="1" si="198"/>
        <v>-80946164309391.047</v>
      </c>
      <c r="L5909" s="455">
        <f t="shared" ca="1" si="199"/>
        <v>-1.9508025598563244E+16</v>
      </c>
      <c r="M5909" s="471">
        <f t="shared" si="201"/>
        <v>0.05</v>
      </c>
      <c r="N5909" s="475">
        <f t="shared" si="202"/>
        <v>230895</v>
      </c>
    </row>
    <row r="5910" spans="7:14" ht="11.25" customHeight="1" x14ac:dyDescent="0.3">
      <c r="G5910" s="470"/>
      <c r="H5910" s="470">
        <v>5903</v>
      </c>
      <c r="I5910" s="455">
        <f t="shared" ca="1" si="200"/>
        <v>-1.9508025598563244E+16</v>
      </c>
      <c r="J5910" s="455">
        <f t="array" ref="J5910">IFERROR(INDEX('Retirement Calculator'!K:K,MATCH('Lorri 401b'!N5910,'Retirement Calculator'!A:A,0),0),0)</f>
        <v>0</v>
      </c>
      <c r="K5910" s="455">
        <f t="shared" ca="1" si="198"/>
        <v>-81283439994013.516</v>
      </c>
      <c r="L5910" s="455">
        <f t="shared" ca="1" si="199"/>
        <v>-1.9589309038557256E+16</v>
      </c>
      <c r="M5910" s="471">
        <f t="shared" si="201"/>
        <v>0.05</v>
      </c>
      <c r="N5910" s="475">
        <f t="shared" si="202"/>
        <v>230926</v>
      </c>
    </row>
    <row r="5911" spans="7:14" ht="11.25" customHeight="1" x14ac:dyDescent="0.3">
      <c r="G5911" s="470"/>
      <c r="H5911" s="470">
        <v>5904</v>
      </c>
      <c r="I5911" s="455">
        <f t="shared" ca="1" si="200"/>
        <v>-1.9589309038557256E+16</v>
      </c>
      <c r="J5911" s="455">
        <f t="array" ref="J5911">IFERROR(INDEX('Retirement Calculator'!K:K,MATCH('Lorri 401b'!N5911,'Retirement Calculator'!A:A,0),0),0)</f>
        <v>0</v>
      </c>
      <c r="K5911" s="455">
        <f t="shared" ca="1" si="198"/>
        <v>-81622120993988.563</v>
      </c>
      <c r="L5911" s="455">
        <f t="shared" ca="1" si="199"/>
        <v>-1.9670931159551244E+16</v>
      </c>
      <c r="M5911" s="471">
        <f t="shared" si="201"/>
        <v>0.05</v>
      </c>
      <c r="N5911" s="475">
        <f t="shared" si="202"/>
        <v>230956</v>
      </c>
    </row>
    <row r="5912" spans="7:14" ht="11.25" customHeight="1" x14ac:dyDescent="0.3">
      <c r="G5912" s="470"/>
      <c r="H5912" s="470">
        <v>5905</v>
      </c>
      <c r="I5912" s="455">
        <f t="shared" ca="1" si="200"/>
        <v>-1.9670931159551244E+16</v>
      </c>
      <c r="J5912" s="455">
        <f t="array" ref="J5912">IFERROR(INDEX('Retirement Calculator'!K:K,MATCH('Lorri 401b'!N5912,'Retirement Calculator'!A:A,0),0),0)</f>
        <v>0</v>
      </c>
      <c r="K5912" s="455">
        <f t="shared" ca="1" si="198"/>
        <v>-81962213164796.844</v>
      </c>
      <c r="L5912" s="455">
        <f t="shared" ca="1" si="199"/>
        <v>-1.975289337271604E+16</v>
      </c>
      <c r="M5912" s="471">
        <f t="shared" si="201"/>
        <v>0.05</v>
      </c>
      <c r="N5912" s="475">
        <f t="shared" si="202"/>
        <v>230987</v>
      </c>
    </row>
    <row r="5913" spans="7:14" ht="11.25" customHeight="1" x14ac:dyDescent="0.3">
      <c r="G5913" s="470"/>
      <c r="H5913" s="470">
        <v>5906</v>
      </c>
      <c r="I5913" s="455">
        <f t="shared" ca="1" si="200"/>
        <v>-1.975289337271604E+16</v>
      </c>
      <c r="J5913" s="455">
        <f t="array" ref="J5913">IFERROR(INDEX('Retirement Calculator'!K:K,MATCH('Lorri 401b'!N5913,'Retirement Calculator'!A:A,0),0),0)</f>
        <v>0</v>
      </c>
      <c r="K5913" s="455">
        <f t="shared" ca="1" si="198"/>
        <v>-82303722386316.828</v>
      </c>
      <c r="L5913" s="455">
        <f t="shared" ca="1" si="199"/>
        <v>-1.9835197095102356E+16</v>
      </c>
      <c r="M5913" s="471">
        <f t="shared" si="201"/>
        <v>0.05</v>
      </c>
      <c r="N5913" s="475">
        <f t="shared" si="202"/>
        <v>231017</v>
      </c>
    </row>
    <row r="5914" spans="7:14" ht="11.25" customHeight="1" x14ac:dyDescent="0.3">
      <c r="G5914" s="470"/>
      <c r="H5914" s="470">
        <v>5907</v>
      </c>
      <c r="I5914" s="455">
        <f t="shared" ca="1" si="200"/>
        <v>-1.9835197095102356E+16</v>
      </c>
      <c r="J5914" s="455">
        <f t="array" ref="J5914">IFERROR(INDEX('Retirement Calculator'!K:K,MATCH('Lorri 401b'!N5914,'Retirement Calculator'!A:A,0),0),0)</f>
        <v>0</v>
      </c>
      <c r="K5914" s="455">
        <f t="shared" ca="1" si="198"/>
        <v>-82646654562926.484</v>
      </c>
      <c r="L5914" s="455">
        <f t="shared" ca="1" si="199"/>
        <v>-1.9917843749665284E+16</v>
      </c>
      <c r="M5914" s="471">
        <f t="shared" si="201"/>
        <v>0.05</v>
      </c>
      <c r="N5914" s="475">
        <f t="shared" si="202"/>
        <v>231048</v>
      </c>
    </row>
    <row r="5915" spans="7:14" ht="11.25" customHeight="1" x14ac:dyDescent="0.3">
      <c r="G5915" s="470"/>
      <c r="H5915" s="470">
        <v>5908</v>
      </c>
      <c r="I5915" s="455">
        <f t="shared" ca="1" si="200"/>
        <v>-1.9917843749665284E+16</v>
      </c>
      <c r="J5915" s="455">
        <f t="array" ref="J5915">IFERROR(INDEX('Retirement Calculator'!K:K,MATCH('Lorri 401b'!N5915,'Retirement Calculator'!A:A,0),0),0)</f>
        <v>0</v>
      </c>
      <c r="K5915" s="455">
        <f t="shared" ca="1" si="198"/>
        <v>-82991015623605.344</v>
      </c>
      <c r="L5915" s="455">
        <f t="shared" ca="1" si="199"/>
        <v>-2.0000834765288888E+16</v>
      </c>
      <c r="M5915" s="471">
        <f t="shared" si="201"/>
        <v>0.05</v>
      </c>
      <c r="N5915" s="475">
        <f t="shared" si="202"/>
        <v>231079</v>
      </c>
    </row>
    <row r="5916" spans="7:14" ht="11.25" customHeight="1" x14ac:dyDescent="0.3">
      <c r="G5916" s="470"/>
      <c r="H5916" s="470">
        <v>5909</v>
      </c>
      <c r="I5916" s="455">
        <f t="shared" ca="1" si="200"/>
        <v>-2.0000834765288888E+16</v>
      </c>
      <c r="J5916" s="455">
        <f t="array" ref="J5916">IFERROR(INDEX('Retirement Calculator'!K:K,MATCH('Lorri 401b'!N5916,'Retirement Calculator'!A:A,0),0),0)</f>
        <v>0</v>
      </c>
      <c r="K5916" s="455">
        <f t="shared" ca="1" si="198"/>
        <v>-83336811522037.031</v>
      </c>
      <c r="L5916" s="455">
        <f t="shared" ca="1" si="199"/>
        <v>-2.0084171576810924E+16</v>
      </c>
      <c r="M5916" s="471">
        <f t="shared" si="201"/>
        <v>0.05</v>
      </c>
      <c r="N5916" s="475">
        <f t="shared" si="202"/>
        <v>231109</v>
      </c>
    </row>
    <row r="5917" spans="7:14" ht="11.25" customHeight="1" x14ac:dyDescent="0.3">
      <c r="G5917" s="470"/>
      <c r="H5917" s="470">
        <v>5910</v>
      </c>
      <c r="I5917" s="455">
        <f t="shared" ca="1" si="200"/>
        <v>-2.0084171576810924E+16</v>
      </c>
      <c r="J5917" s="455">
        <f t="array" ref="J5917">IFERROR(INDEX('Retirement Calculator'!K:K,MATCH('Lorri 401b'!N5917,'Retirement Calculator'!A:A,0),0),0)</f>
        <v>0</v>
      </c>
      <c r="K5917" s="455">
        <f t="shared" ca="1" si="198"/>
        <v>-83684048236712.188</v>
      </c>
      <c r="L5917" s="455">
        <f t="shared" ca="1" si="199"/>
        <v>-2.0167855625047636E+16</v>
      </c>
      <c r="M5917" s="471">
        <f t="shared" si="201"/>
        <v>0.05</v>
      </c>
      <c r="N5917" s="475">
        <f t="shared" si="202"/>
        <v>231140</v>
      </c>
    </row>
    <row r="5918" spans="7:14" ht="11.25" customHeight="1" x14ac:dyDescent="0.3">
      <c r="G5918" s="470"/>
      <c r="H5918" s="470">
        <v>5911</v>
      </c>
      <c r="I5918" s="455">
        <f t="shared" ca="1" si="200"/>
        <v>-2.0167855625047636E+16</v>
      </c>
      <c r="J5918" s="455">
        <f t="array" ref="J5918">IFERROR(INDEX('Retirement Calculator'!K:K,MATCH('Lorri 401b'!N5918,'Retirement Calculator'!A:A,0),0),0)</f>
        <v>0</v>
      </c>
      <c r="K5918" s="455">
        <f t="shared" ca="1" si="198"/>
        <v>-84032731771031.813</v>
      </c>
      <c r="L5918" s="455">
        <f t="shared" ca="1" si="199"/>
        <v>-2.0251888356818668E+16</v>
      </c>
      <c r="M5918" s="471">
        <f t="shared" si="201"/>
        <v>0.05</v>
      </c>
      <c r="N5918" s="475">
        <f t="shared" si="202"/>
        <v>231170</v>
      </c>
    </row>
    <row r="5919" spans="7:14" ht="11.25" customHeight="1" x14ac:dyDescent="0.3">
      <c r="G5919" s="470"/>
      <c r="H5919" s="470">
        <v>5912</v>
      </c>
      <c r="I5919" s="455">
        <f t="shared" ca="1" si="200"/>
        <v>-2.0251888356818668E+16</v>
      </c>
      <c r="J5919" s="455">
        <f t="array" ref="J5919">IFERROR(INDEX('Retirement Calculator'!K:K,MATCH('Lorri 401b'!N5919,'Retirement Calculator'!A:A,0),0),0)</f>
        <v>0</v>
      </c>
      <c r="K5919" s="455">
        <f t="shared" ca="1" si="198"/>
        <v>-84382868153411.109</v>
      </c>
      <c r="L5919" s="455">
        <f t="shared" ca="1" si="199"/>
        <v>-2.033627122497208E+16</v>
      </c>
      <c r="M5919" s="471">
        <f t="shared" si="201"/>
        <v>0.05</v>
      </c>
      <c r="N5919" s="475">
        <f t="shared" si="202"/>
        <v>231201</v>
      </c>
    </row>
    <row r="5920" spans="7:14" ht="11.25" customHeight="1" x14ac:dyDescent="0.3">
      <c r="G5920" s="470"/>
      <c r="H5920" s="470">
        <v>5913</v>
      </c>
      <c r="I5920" s="455">
        <f t="shared" ca="1" si="200"/>
        <v>-2.033627122497208E+16</v>
      </c>
      <c r="J5920" s="455">
        <f t="array" ref="J5920">IFERROR(INDEX('Retirement Calculator'!K:K,MATCH('Lorri 401b'!N5920,'Retirement Calculator'!A:A,0),0),0)</f>
        <v>0</v>
      </c>
      <c r="K5920" s="455">
        <f t="shared" ca="1" si="198"/>
        <v>-84734463437383.672</v>
      </c>
      <c r="L5920" s="455">
        <f t="shared" ca="1" si="199"/>
        <v>-2.0421005688409464E+16</v>
      </c>
      <c r="M5920" s="471">
        <f t="shared" si="201"/>
        <v>0.05</v>
      </c>
      <c r="N5920" s="475">
        <f t="shared" si="202"/>
        <v>231232</v>
      </c>
    </row>
    <row r="5921" spans="7:14" ht="11.25" customHeight="1" x14ac:dyDescent="0.3">
      <c r="G5921" s="470"/>
      <c r="H5921" s="470">
        <v>5914</v>
      </c>
      <c r="I5921" s="455">
        <f t="shared" ca="1" si="200"/>
        <v>-2.0421005688409464E+16</v>
      </c>
      <c r="J5921" s="455">
        <f t="array" ref="J5921">IFERROR(INDEX('Retirement Calculator'!K:K,MATCH('Lorri 401b'!N5921,'Retirement Calculator'!A:A,0),0),0)</f>
        <v>0</v>
      </c>
      <c r="K5921" s="455">
        <f t="shared" ca="1" si="198"/>
        <v>-85087523701706.094</v>
      </c>
      <c r="L5921" s="455">
        <f t="shared" ca="1" si="199"/>
        <v>-2.0506093212111172E+16</v>
      </c>
      <c r="M5921" s="471">
        <f t="shared" si="201"/>
        <v>0.05</v>
      </c>
      <c r="N5921" s="475">
        <f t="shared" si="202"/>
        <v>231260</v>
      </c>
    </row>
    <row r="5922" spans="7:14" ht="11.25" customHeight="1" x14ac:dyDescent="0.3">
      <c r="G5922" s="470"/>
      <c r="H5922" s="470">
        <v>5915</v>
      </c>
      <c r="I5922" s="455">
        <f t="shared" ca="1" si="200"/>
        <v>-2.0506093212111172E+16</v>
      </c>
      <c r="J5922" s="455">
        <f t="array" ref="J5922">IFERROR(INDEX('Retirement Calculator'!K:K,MATCH('Lorri 401b'!N5922,'Retirement Calculator'!A:A,0),0),0)</f>
        <v>0</v>
      </c>
      <c r="K5922" s="455">
        <f t="shared" ca="1" si="198"/>
        <v>-85442055050463.219</v>
      </c>
      <c r="L5922" s="455">
        <f t="shared" ca="1" si="199"/>
        <v>-2.0591535267161636E+16</v>
      </c>
      <c r="M5922" s="471">
        <f t="shared" si="201"/>
        <v>0.05</v>
      </c>
      <c r="N5922" s="475">
        <f t="shared" si="202"/>
        <v>231291</v>
      </c>
    </row>
    <row r="5923" spans="7:14" ht="11.25" customHeight="1" x14ac:dyDescent="0.3">
      <c r="G5923" s="470"/>
      <c r="H5923" s="470">
        <v>5916</v>
      </c>
      <c r="I5923" s="455">
        <f t="shared" ca="1" si="200"/>
        <v>-2.0591535267161636E+16</v>
      </c>
      <c r="J5923" s="455">
        <f t="array" ref="J5923">IFERROR(INDEX('Retirement Calculator'!K:K,MATCH('Lorri 401b'!N5923,'Retirement Calculator'!A:A,0),0),0)</f>
        <v>0</v>
      </c>
      <c r="K5923" s="455">
        <f t="shared" ca="1" si="198"/>
        <v>-85798063613173.484</v>
      </c>
      <c r="L5923" s="455">
        <f t="shared" ca="1" si="199"/>
        <v>-2.0677333330774808E+16</v>
      </c>
      <c r="M5923" s="471">
        <f t="shared" si="201"/>
        <v>0.05</v>
      </c>
      <c r="N5923" s="475">
        <f t="shared" si="202"/>
        <v>231321</v>
      </c>
    </row>
    <row r="5924" spans="7:14" ht="11.25" customHeight="1" x14ac:dyDescent="0.3">
      <c r="G5924" s="470"/>
      <c r="H5924" s="470">
        <v>5917</v>
      </c>
      <c r="I5924" s="455">
        <f t="shared" ca="1" si="200"/>
        <v>-2.0677333330774808E+16</v>
      </c>
      <c r="J5924" s="455">
        <f t="array" ref="J5924">IFERROR(INDEX('Retirement Calculator'!K:K,MATCH('Lorri 401b'!N5924,'Retirement Calculator'!A:A,0),0),0)</f>
        <v>0</v>
      </c>
      <c r="K5924" s="455">
        <f t="shared" ca="1" si="198"/>
        <v>-86155555544895.031</v>
      </c>
      <c r="L5924" s="455">
        <f t="shared" ca="1" si="199"/>
        <v>-2.0763488886319704E+16</v>
      </c>
      <c r="M5924" s="471">
        <f t="shared" si="201"/>
        <v>0.05</v>
      </c>
      <c r="N5924" s="475">
        <f t="shared" si="202"/>
        <v>231352</v>
      </c>
    </row>
    <row r="5925" spans="7:14" ht="11.25" customHeight="1" x14ac:dyDescent="0.3">
      <c r="G5925" s="470"/>
      <c r="H5925" s="470">
        <v>5918</v>
      </c>
      <c r="I5925" s="455">
        <f t="shared" ca="1" si="200"/>
        <v>-2.0763488886319704E+16</v>
      </c>
      <c r="J5925" s="455">
        <f t="array" ref="J5925">IFERROR(INDEX('Retirement Calculator'!K:K,MATCH('Lorri 401b'!N5925,'Retirement Calculator'!A:A,0),0),0)</f>
        <v>0</v>
      </c>
      <c r="K5925" s="455">
        <f t="shared" ca="1" si="198"/>
        <v>-86514537026332.094</v>
      </c>
      <c r="L5925" s="455">
        <f t="shared" ca="1" si="199"/>
        <v>-2.0850003423346036E+16</v>
      </c>
      <c r="M5925" s="471">
        <f t="shared" si="201"/>
        <v>0.05</v>
      </c>
      <c r="N5925" s="475">
        <f t="shared" si="202"/>
        <v>231382</v>
      </c>
    </row>
    <row r="5926" spans="7:14" ht="11.25" customHeight="1" x14ac:dyDescent="0.3">
      <c r="G5926" s="470"/>
      <c r="H5926" s="470">
        <v>5919</v>
      </c>
      <c r="I5926" s="455">
        <f t="shared" ca="1" si="200"/>
        <v>-2.0850003423346036E+16</v>
      </c>
      <c r="J5926" s="455">
        <f t="array" ref="J5926">IFERROR(INDEX('Retirement Calculator'!K:K,MATCH('Lorri 401b'!N5926,'Retirement Calculator'!A:A,0),0),0)</f>
        <v>0</v>
      </c>
      <c r="K5926" s="455">
        <f t="shared" ca="1" si="198"/>
        <v>-86875014263941.813</v>
      </c>
      <c r="L5926" s="455">
        <f t="shared" ca="1" si="199"/>
        <v>-2.0936878437609976E+16</v>
      </c>
      <c r="M5926" s="471">
        <f t="shared" si="201"/>
        <v>0.05</v>
      </c>
      <c r="N5926" s="475">
        <f t="shared" si="202"/>
        <v>231413</v>
      </c>
    </row>
    <row r="5927" spans="7:14" ht="11.25" customHeight="1" x14ac:dyDescent="0.3">
      <c r="G5927" s="470"/>
      <c r="H5927" s="470">
        <v>5920</v>
      </c>
      <c r="I5927" s="455">
        <f t="shared" ca="1" si="200"/>
        <v>-2.0936878437609976E+16</v>
      </c>
      <c r="J5927" s="455">
        <f t="array" ref="J5927">IFERROR(INDEX('Retirement Calculator'!K:K,MATCH('Lorri 401b'!N5927,'Retirement Calculator'!A:A,0),0),0)</f>
        <v>0</v>
      </c>
      <c r="K5927" s="455">
        <f t="shared" ca="1" si="198"/>
        <v>-87236993490041.563</v>
      </c>
      <c r="L5927" s="455">
        <f t="shared" ca="1" si="199"/>
        <v>-2.1024115431100016E+16</v>
      </c>
      <c r="M5927" s="471">
        <f t="shared" si="201"/>
        <v>0.05</v>
      </c>
      <c r="N5927" s="475">
        <f t="shared" si="202"/>
        <v>231444</v>
      </c>
    </row>
    <row r="5928" spans="7:14" ht="11.25" customHeight="1" x14ac:dyDescent="0.3">
      <c r="G5928" s="470"/>
      <c r="H5928" s="470">
        <v>5921</v>
      </c>
      <c r="I5928" s="455">
        <f t="shared" ca="1" si="200"/>
        <v>-2.1024115431100016E+16</v>
      </c>
      <c r="J5928" s="455">
        <f t="array" ref="J5928">IFERROR(INDEX('Retirement Calculator'!K:K,MATCH('Lorri 401b'!N5928,'Retirement Calculator'!A:A,0),0),0)</f>
        <v>0</v>
      </c>
      <c r="K5928" s="455">
        <f t="shared" ca="1" si="198"/>
        <v>-87600480962916.734</v>
      </c>
      <c r="L5928" s="455">
        <f t="shared" ca="1" si="199"/>
        <v>-2.1111715912062932E+16</v>
      </c>
      <c r="M5928" s="471">
        <f t="shared" si="201"/>
        <v>0.05</v>
      </c>
      <c r="N5928" s="475">
        <f t="shared" si="202"/>
        <v>231474</v>
      </c>
    </row>
    <row r="5929" spans="7:14" ht="11.25" customHeight="1" x14ac:dyDescent="0.3">
      <c r="G5929" s="470"/>
      <c r="H5929" s="470">
        <v>5922</v>
      </c>
      <c r="I5929" s="455">
        <f t="shared" ca="1" si="200"/>
        <v>-2.1111715912062932E+16</v>
      </c>
      <c r="J5929" s="455">
        <f t="array" ref="J5929">IFERROR(INDEX('Retirement Calculator'!K:K,MATCH('Lorri 401b'!N5929,'Retirement Calculator'!A:A,0),0),0)</f>
        <v>0</v>
      </c>
      <c r="K5929" s="455">
        <f t="shared" ca="1" si="198"/>
        <v>-87965482966928.875</v>
      </c>
      <c r="L5929" s="455">
        <f t="shared" ca="1" si="199"/>
        <v>-2.119968139502986E+16</v>
      </c>
      <c r="M5929" s="471">
        <f t="shared" si="201"/>
        <v>0.05</v>
      </c>
      <c r="N5929" s="475">
        <f t="shared" si="202"/>
        <v>231505</v>
      </c>
    </row>
    <row r="5930" spans="7:14" ht="11.25" customHeight="1" x14ac:dyDescent="0.3">
      <c r="G5930" s="470"/>
      <c r="H5930" s="470">
        <v>5923</v>
      </c>
      <c r="I5930" s="455">
        <f t="shared" ca="1" si="200"/>
        <v>-2.119968139502986E+16</v>
      </c>
      <c r="J5930" s="455">
        <f t="array" ref="J5930">IFERROR(INDEX('Retirement Calculator'!K:K,MATCH('Lorri 401b'!N5930,'Retirement Calculator'!A:A,0),0),0)</f>
        <v>0</v>
      </c>
      <c r="K5930" s="455">
        <f t="shared" ca="1" si="198"/>
        <v>-88332005812624.422</v>
      </c>
      <c r="L5930" s="455">
        <f t="shared" ca="1" si="199"/>
        <v>-2.1288013400842484E+16</v>
      </c>
      <c r="M5930" s="471">
        <f t="shared" si="201"/>
        <v>0.05</v>
      </c>
      <c r="N5930" s="475">
        <f t="shared" si="202"/>
        <v>231535</v>
      </c>
    </row>
    <row r="5931" spans="7:14" ht="11.25" customHeight="1" x14ac:dyDescent="0.3">
      <c r="G5931" s="470"/>
      <c r="H5931" s="470">
        <v>5924</v>
      </c>
      <c r="I5931" s="455">
        <f t="shared" ca="1" si="200"/>
        <v>-2.1288013400842484E+16</v>
      </c>
      <c r="J5931" s="455">
        <f t="array" ref="J5931">IFERROR(INDEX('Retirement Calculator'!K:K,MATCH('Lorri 401b'!N5931,'Retirement Calculator'!A:A,0),0),0)</f>
        <v>0</v>
      </c>
      <c r="K5931" s="455">
        <f t="shared" ca="1" si="198"/>
        <v>-88700055836843.688</v>
      </c>
      <c r="L5931" s="455">
        <f t="shared" ca="1" si="199"/>
        <v>-2.1376713456679328E+16</v>
      </c>
      <c r="M5931" s="471">
        <f t="shared" si="201"/>
        <v>0.05</v>
      </c>
      <c r="N5931" s="475">
        <f t="shared" si="202"/>
        <v>231566</v>
      </c>
    </row>
    <row r="5932" spans="7:14" ht="11.25" customHeight="1" x14ac:dyDescent="0.3">
      <c r="G5932" s="470"/>
      <c r="H5932" s="470">
        <v>5925</v>
      </c>
      <c r="I5932" s="455">
        <f t="shared" ca="1" si="200"/>
        <v>-2.1376713456679328E+16</v>
      </c>
      <c r="J5932" s="455">
        <f t="array" ref="J5932">IFERROR(INDEX('Retirement Calculator'!K:K,MATCH('Lorri 401b'!N5932,'Retirement Calculator'!A:A,0),0),0)</f>
        <v>0</v>
      </c>
      <c r="K5932" s="455">
        <f t="shared" ca="1" si="198"/>
        <v>-89069639402830.531</v>
      </c>
      <c r="L5932" s="455">
        <f t="shared" ca="1" si="199"/>
        <v>-2.146578309608216E+16</v>
      </c>
      <c r="M5932" s="471">
        <f t="shared" si="201"/>
        <v>0.05</v>
      </c>
      <c r="N5932" s="475">
        <f t="shared" si="202"/>
        <v>231597</v>
      </c>
    </row>
    <row r="5933" spans="7:14" ht="11.25" customHeight="1" x14ac:dyDescent="0.3">
      <c r="G5933" s="470"/>
      <c r="H5933" s="470">
        <v>5926</v>
      </c>
      <c r="I5933" s="455">
        <f t="shared" ca="1" si="200"/>
        <v>-2.146578309608216E+16</v>
      </c>
      <c r="J5933" s="455">
        <f t="array" ref="J5933">IFERROR(INDEX('Retirement Calculator'!K:K,MATCH('Lorri 401b'!N5933,'Retirement Calculator'!A:A,0),0),0)</f>
        <v>0</v>
      </c>
      <c r="K5933" s="455">
        <f t="shared" ca="1" si="198"/>
        <v>-89440762900342.328</v>
      </c>
      <c r="L5933" s="455">
        <f t="shared" ca="1" si="199"/>
        <v>-2.1555223858982504E+16</v>
      </c>
      <c r="M5933" s="471">
        <f t="shared" si="201"/>
        <v>0.05</v>
      </c>
      <c r="N5933" s="475">
        <f t="shared" si="202"/>
        <v>231625</v>
      </c>
    </row>
    <row r="5934" spans="7:14" ht="11.25" customHeight="1" x14ac:dyDescent="0.3">
      <c r="G5934" s="470"/>
      <c r="H5934" s="470">
        <v>5927</v>
      </c>
      <c r="I5934" s="455">
        <f t="shared" ca="1" si="200"/>
        <v>-2.1555223858982504E+16</v>
      </c>
      <c r="J5934" s="455">
        <f t="array" ref="J5934">IFERROR(INDEX('Retirement Calculator'!K:K,MATCH('Lorri 401b'!N5934,'Retirement Calculator'!A:A,0),0),0)</f>
        <v>0</v>
      </c>
      <c r="K5934" s="455">
        <f t="shared" ca="1" si="198"/>
        <v>-89813432745760.438</v>
      </c>
      <c r="L5934" s="455">
        <f t="shared" ca="1" si="199"/>
        <v>-2.1645037291728264E+16</v>
      </c>
      <c r="M5934" s="471">
        <f t="shared" si="201"/>
        <v>0.05</v>
      </c>
      <c r="N5934" s="475">
        <f t="shared" si="202"/>
        <v>231656</v>
      </c>
    </row>
    <row r="5935" spans="7:14" ht="11.25" customHeight="1" x14ac:dyDescent="0.3">
      <c r="G5935" s="470"/>
      <c r="H5935" s="470">
        <v>5928</v>
      </c>
      <c r="I5935" s="455">
        <f t="shared" ca="1" si="200"/>
        <v>-2.1645037291728264E+16</v>
      </c>
      <c r="J5935" s="455">
        <f t="array" ref="J5935">IFERROR(INDEX('Retirement Calculator'!K:K,MATCH('Lorri 401b'!N5935,'Retirement Calculator'!A:A,0),0),0)</f>
        <v>0</v>
      </c>
      <c r="K5935" s="455">
        <f t="shared" ca="1" si="198"/>
        <v>-90187655382201.094</v>
      </c>
      <c r="L5935" s="455">
        <f t="shared" ca="1" si="199"/>
        <v>-2.1735224947110464E+16</v>
      </c>
      <c r="M5935" s="471">
        <f t="shared" si="201"/>
        <v>0.05</v>
      </c>
      <c r="N5935" s="475">
        <f t="shared" si="202"/>
        <v>231686</v>
      </c>
    </row>
    <row r="5936" spans="7:14" ht="11.25" customHeight="1" x14ac:dyDescent="0.3">
      <c r="G5936" s="470"/>
      <c r="H5936" s="470">
        <v>5929</v>
      </c>
      <c r="I5936" s="455">
        <f t="shared" ca="1" si="200"/>
        <v>-2.1735224947110464E+16</v>
      </c>
      <c r="J5936" s="455">
        <f t="array" ref="J5936">IFERROR(INDEX('Retirement Calculator'!K:K,MATCH('Lorri 401b'!N5936,'Retirement Calculator'!A:A,0),0),0)</f>
        <v>0</v>
      </c>
      <c r="K5936" s="455">
        <f t="shared" ca="1" si="198"/>
        <v>-90563437279626.938</v>
      </c>
      <c r="L5936" s="455">
        <f t="shared" ca="1" si="199"/>
        <v>-2.1825788384390092E+16</v>
      </c>
      <c r="M5936" s="471">
        <f t="shared" si="201"/>
        <v>0.05</v>
      </c>
      <c r="N5936" s="475">
        <f t="shared" si="202"/>
        <v>231717</v>
      </c>
    </row>
    <row r="5937" spans="7:14" ht="11.25" customHeight="1" x14ac:dyDescent="0.3">
      <c r="G5937" s="470"/>
      <c r="H5937" s="470">
        <v>5930</v>
      </c>
      <c r="I5937" s="455">
        <f t="shared" ca="1" si="200"/>
        <v>-2.1825788384390092E+16</v>
      </c>
      <c r="J5937" s="455">
        <f t="array" ref="J5937">IFERROR(INDEX('Retirement Calculator'!K:K,MATCH('Lorri 401b'!N5937,'Retirement Calculator'!A:A,0),0),0)</f>
        <v>0</v>
      </c>
      <c r="K5937" s="455">
        <f t="shared" ca="1" si="198"/>
        <v>-90940784934958.719</v>
      </c>
      <c r="L5937" s="455">
        <f t="shared" ca="1" si="199"/>
        <v>-2.1916729169325052E+16</v>
      </c>
      <c r="M5937" s="471">
        <f t="shared" si="201"/>
        <v>0.05</v>
      </c>
      <c r="N5937" s="475">
        <f t="shared" si="202"/>
        <v>231747</v>
      </c>
    </row>
    <row r="5938" spans="7:14" ht="11.25" customHeight="1" x14ac:dyDescent="0.3">
      <c r="G5938" s="470"/>
      <c r="H5938" s="470">
        <v>5931</v>
      </c>
      <c r="I5938" s="455">
        <f t="shared" ca="1" si="200"/>
        <v>-2.1916729169325052E+16</v>
      </c>
      <c r="J5938" s="455">
        <f t="array" ref="J5938">IFERROR(INDEX('Retirement Calculator'!K:K,MATCH('Lorri 401b'!N5938,'Retirement Calculator'!A:A,0),0),0)</f>
        <v>0</v>
      </c>
      <c r="K5938" s="455">
        <f t="shared" ca="1" si="198"/>
        <v>-91319704872187.719</v>
      </c>
      <c r="L5938" s="455">
        <f t="shared" ca="1" si="199"/>
        <v>-2.200804887419724E+16</v>
      </c>
      <c r="M5938" s="471">
        <f t="shared" si="201"/>
        <v>0.05</v>
      </c>
      <c r="N5938" s="475">
        <f t="shared" si="202"/>
        <v>231778</v>
      </c>
    </row>
    <row r="5939" spans="7:14" ht="11.25" customHeight="1" x14ac:dyDescent="0.3">
      <c r="G5939" s="470"/>
      <c r="H5939" s="470">
        <v>5932</v>
      </c>
      <c r="I5939" s="455">
        <f t="shared" ca="1" si="200"/>
        <v>-2.200804887419724E+16</v>
      </c>
      <c r="J5939" s="455">
        <f t="array" ref="J5939">IFERROR(INDEX('Retirement Calculator'!K:K,MATCH('Lorri 401b'!N5939,'Retirement Calculator'!A:A,0),0),0)</f>
        <v>0</v>
      </c>
      <c r="K5939" s="455">
        <f t="shared" ca="1" si="198"/>
        <v>-91700203642488.5</v>
      </c>
      <c r="L5939" s="455">
        <f t="shared" ca="1" si="199"/>
        <v>-2.2099749077839728E+16</v>
      </c>
      <c r="M5939" s="471">
        <f t="shared" si="201"/>
        <v>0.05</v>
      </c>
      <c r="N5939" s="475">
        <f t="shared" si="202"/>
        <v>231809</v>
      </c>
    </row>
    <row r="5940" spans="7:14" ht="11.25" customHeight="1" x14ac:dyDescent="0.3">
      <c r="G5940" s="470"/>
      <c r="H5940" s="470">
        <v>5933</v>
      </c>
      <c r="I5940" s="455">
        <f t="shared" ca="1" si="200"/>
        <v>-2.2099749077839728E+16</v>
      </c>
      <c r="J5940" s="455">
        <f t="array" ref="J5940">IFERROR(INDEX('Retirement Calculator'!K:K,MATCH('Lorri 401b'!N5940,'Retirement Calculator'!A:A,0),0),0)</f>
        <v>0</v>
      </c>
      <c r="K5940" s="455">
        <f t="shared" ca="1" si="198"/>
        <v>-92082287824332.203</v>
      </c>
      <c r="L5940" s="455">
        <f t="shared" ca="1" si="199"/>
        <v>-2.219183136566406E+16</v>
      </c>
      <c r="M5940" s="471">
        <f t="shared" si="201"/>
        <v>0.05</v>
      </c>
      <c r="N5940" s="475">
        <f t="shared" si="202"/>
        <v>231839</v>
      </c>
    </row>
    <row r="5941" spans="7:14" ht="11.25" customHeight="1" x14ac:dyDescent="0.3">
      <c r="G5941" s="470"/>
      <c r="H5941" s="470">
        <v>5934</v>
      </c>
      <c r="I5941" s="455">
        <f t="shared" ca="1" si="200"/>
        <v>-2.219183136566406E+16</v>
      </c>
      <c r="J5941" s="455">
        <f t="array" ref="J5941">IFERROR(INDEX('Retirement Calculator'!K:K,MATCH('Lorri 401b'!N5941,'Retirement Calculator'!A:A,0),0),0)</f>
        <v>0</v>
      </c>
      <c r="K5941" s="455">
        <f t="shared" ca="1" si="198"/>
        <v>-92465964023600.25</v>
      </c>
      <c r="L5941" s="455">
        <f t="shared" ca="1" si="199"/>
        <v>-2.228429732968766E+16</v>
      </c>
      <c r="M5941" s="471">
        <f t="shared" si="201"/>
        <v>0.05</v>
      </c>
      <c r="N5941" s="475">
        <f t="shared" si="202"/>
        <v>231870</v>
      </c>
    </row>
    <row r="5942" spans="7:14" ht="11.25" customHeight="1" x14ac:dyDescent="0.3">
      <c r="G5942" s="470"/>
      <c r="H5942" s="470">
        <v>5935</v>
      </c>
      <c r="I5942" s="455">
        <f t="shared" ca="1" si="200"/>
        <v>-2.228429732968766E+16</v>
      </c>
      <c r="J5942" s="455">
        <f t="array" ref="J5942">IFERROR(INDEX('Retirement Calculator'!K:K,MATCH('Lorri 401b'!N5942,'Retirement Calculator'!A:A,0),0),0)</f>
        <v>0</v>
      </c>
      <c r="K5942" s="455">
        <f t="shared" ca="1" si="198"/>
        <v>-92851238873698.578</v>
      </c>
      <c r="L5942" s="455">
        <f t="shared" ca="1" si="199"/>
        <v>-2.237714856856136E+16</v>
      </c>
      <c r="M5942" s="471">
        <f t="shared" si="201"/>
        <v>0.05</v>
      </c>
      <c r="N5942" s="475">
        <f t="shared" si="202"/>
        <v>231900</v>
      </c>
    </row>
    <row r="5943" spans="7:14" ht="11.25" customHeight="1" x14ac:dyDescent="0.3">
      <c r="G5943" s="470"/>
      <c r="H5943" s="470">
        <v>5936</v>
      </c>
      <c r="I5943" s="455">
        <f t="shared" ca="1" si="200"/>
        <v>-2.237714856856136E+16</v>
      </c>
      <c r="J5943" s="455">
        <f t="array" ref="J5943">IFERROR(INDEX('Retirement Calculator'!K:K,MATCH('Lorri 401b'!N5943,'Retirement Calculator'!A:A,0),0),0)</f>
        <v>0</v>
      </c>
      <c r="K5943" s="455">
        <f t="shared" ca="1" si="198"/>
        <v>-93238119035672.328</v>
      </c>
      <c r="L5943" s="455">
        <f t="shared" ca="1" si="199"/>
        <v>-2.2470386687597032E+16</v>
      </c>
      <c r="M5943" s="471">
        <f t="shared" si="201"/>
        <v>0.05</v>
      </c>
      <c r="N5943" s="475">
        <f t="shared" si="202"/>
        <v>231931</v>
      </c>
    </row>
    <row r="5944" spans="7:14" ht="11.25" customHeight="1" x14ac:dyDescent="0.3">
      <c r="G5944" s="470"/>
      <c r="H5944" s="470">
        <v>5937</v>
      </c>
      <c r="I5944" s="455">
        <f t="shared" ca="1" si="200"/>
        <v>-2.2470386687597032E+16</v>
      </c>
      <c r="J5944" s="455">
        <f t="array" ref="J5944">IFERROR(INDEX('Retirement Calculator'!K:K,MATCH('Lorri 401b'!N5944,'Retirement Calculator'!A:A,0),0),0)</f>
        <v>0</v>
      </c>
      <c r="K5944" s="455">
        <f t="shared" ca="1" si="198"/>
        <v>-93626611198320.969</v>
      </c>
      <c r="L5944" s="455">
        <f t="shared" ca="1" si="199"/>
        <v>-2.2564013298795352E+16</v>
      </c>
      <c r="M5944" s="471">
        <f t="shared" si="201"/>
        <v>0.05</v>
      </c>
      <c r="N5944" s="475">
        <f t="shared" si="202"/>
        <v>231962</v>
      </c>
    </row>
    <row r="5945" spans="7:14" ht="11.25" customHeight="1" x14ac:dyDescent="0.3">
      <c r="G5945" s="470"/>
      <c r="H5945" s="470">
        <v>5938</v>
      </c>
      <c r="I5945" s="455">
        <f t="shared" ca="1" si="200"/>
        <v>-2.2564013298795352E+16</v>
      </c>
      <c r="J5945" s="455">
        <f t="array" ref="J5945">IFERROR(INDEX('Retirement Calculator'!K:K,MATCH('Lorri 401b'!N5945,'Retirement Calculator'!A:A,0),0),0)</f>
        <v>0</v>
      </c>
      <c r="K5945" s="455">
        <f t="shared" ca="1" si="198"/>
        <v>-94016722078313.969</v>
      </c>
      <c r="L5945" s="455">
        <f t="shared" ca="1" si="199"/>
        <v>-2.2658030020873664E+16</v>
      </c>
      <c r="M5945" s="471">
        <f t="shared" si="201"/>
        <v>0.05</v>
      </c>
      <c r="N5945" s="475">
        <f t="shared" si="202"/>
        <v>231990</v>
      </c>
    </row>
    <row r="5946" spans="7:14" ht="11.25" customHeight="1" x14ac:dyDescent="0.3">
      <c r="G5946" s="470"/>
      <c r="H5946" s="470">
        <v>5939</v>
      </c>
      <c r="I5946" s="455">
        <f t="shared" ca="1" si="200"/>
        <v>-2.2658030020873664E+16</v>
      </c>
      <c r="J5946" s="455">
        <f t="array" ref="J5946">IFERROR(INDEX('Retirement Calculator'!K:K,MATCH('Lorri 401b'!N5946,'Retirement Calculator'!A:A,0),0),0)</f>
        <v>0</v>
      </c>
      <c r="K5946" s="455">
        <f t="shared" ca="1" si="198"/>
        <v>-94408458420306.938</v>
      </c>
      <c r="L5946" s="455">
        <f t="shared" ca="1" si="199"/>
        <v>-2.2752438479293972E+16</v>
      </c>
      <c r="M5946" s="471">
        <f t="shared" si="201"/>
        <v>0.05</v>
      </c>
      <c r="N5946" s="475">
        <f t="shared" si="202"/>
        <v>232021</v>
      </c>
    </row>
    <row r="5947" spans="7:14" ht="11.25" customHeight="1" x14ac:dyDescent="0.3">
      <c r="G5947" s="470"/>
      <c r="H5947" s="470">
        <v>5940</v>
      </c>
      <c r="I5947" s="455">
        <f t="shared" ca="1" si="200"/>
        <v>-2.2752438479293972E+16</v>
      </c>
      <c r="J5947" s="455">
        <f t="array" ref="J5947">IFERROR(INDEX('Retirement Calculator'!K:K,MATCH('Lorri 401b'!N5947,'Retirement Calculator'!A:A,0),0),0)</f>
        <v>0</v>
      </c>
      <c r="K5947" s="455">
        <f t="shared" ca="1" si="198"/>
        <v>-94801826997058.219</v>
      </c>
      <c r="L5947" s="455">
        <f t="shared" ca="1" si="199"/>
        <v>-2.2847240306291032E+16</v>
      </c>
      <c r="M5947" s="471">
        <f t="shared" si="201"/>
        <v>0.05</v>
      </c>
      <c r="N5947" s="475">
        <f t="shared" si="202"/>
        <v>232051</v>
      </c>
    </row>
    <row r="5948" spans="7:14" ht="11.25" customHeight="1" x14ac:dyDescent="0.3">
      <c r="G5948" s="470"/>
      <c r="H5948" s="470">
        <v>5941</v>
      </c>
      <c r="I5948" s="455">
        <f t="shared" ca="1" si="200"/>
        <v>-2.2847240306291032E+16</v>
      </c>
      <c r="J5948" s="455">
        <f t="array" ref="J5948">IFERROR(INDEX('Retirement Calculator'!K:K,MATCH('Lorri 401b'!N5948,'Retirement Calculator'!A:A,0),0),0)</f>
        <v>0</v>
      </c>
      <c r="K5948" s="455">
        <f t="shared" ca="1" si="198"/>
        <v>-95196834609545.969</v>
      </c>
      <c r="L5948" s="455">
        <f t="shared" ca="1" si="199"/>
        <v>-2.2942437140900576E+16</v>
      </c>
      <c r="M5948" s="471">
        <f t="shared" si="201"/>
        <v>0.05</v>
      </c>
      <c r="N5948" s="475">
        <f t="shared" si="202"/>
        <v>232082</v>
      </c>
    </row>
    <row r="5949" spans="7:14" ht="11.25" customHeight="1" x14ac:dyDescent="0.3">
      <c r="G5949" s="470"/>
      <c r="H5949" s="470">
        <v>5942</v>
      </c>
      <c r="I5949" s="455">
        <f t="shared" ca="1" si="200"/>
        <v>-2.2942437140900576E+16</v>
      </c>
      <c r="J5949" s="455">
        <f t="array" ref="J5949">IFERROR(INDEX('Retirement Calculator'!K:K,MATCH('Lorri 401b'!N5949,'Retirement Calculator'!A:A,0),0),0)</f>
        <v>0</v>
      </c>
      <c r="K5949" s="455">
        <f t="shared" ca="1" si="198"/>
        <v>-95593488087085.734</v>
      </c>
      <c r="L5949" s="455">
        <f t="shared" ca="1" si="199"/>
        <v>-2.303803062898766E+16</v>
      </c>
      <c r="M5949" s="471">
        <f t="shared" si="201"/>
        <v>0.05</v>
      </c>
      <c r="N5949" s="475">
        <f t="shared" si="202"/>
        <v>232112</v>
      </c>
    </row>
    <row r="5950" spans="7:14" ht="11.25" customHeight="1" x14ac:dyDescent="0.3">
      <c r="G5950" s="470"/>
      <c r="H5950" s="470">
        <v>5943</v>
      </c>
      <c r="I5950" s="455">
        <f t="shared" ca="1" si="200"/>
        <v>-2.303803062898766E+16</v>
      </c>
      <c r="J5950" s="455">
        <f t="array" ref="J5950">IFERROR(INDEX('Retirement Calculator'!K:K,MATCH('Lorri 401b'!N5950,'Retirement Calculator'!A:A,0),0),0)</f>
        <v>0</v>
      </c>
      <c r="K5950" s="455">
        <f t="shared" ca="1" si="198"/>
        <v>-95991794287448.578</v>
      </c>
      <c r="L5950" s="455">
        <f t="shared" ca="1" si="199"/>
        <v>-2.3134022423275108E+16</v>
      </c>
      <c r="M5950" s="471">
        <f t="shared" si="201"/>
        <v>0.05</v>
      </c>
      <c r="N5950" s="475">
        <f t="shared" si="202"/>
        <v>232143</v>
      </c>
    </row>
    <row r="5951" spans="7:14" ht="11.25" customHeight="1" x14ac:dyDescent="0.3">
      <c r="G5951" s="470"/>
      <c r="H5951" s="470">
        <v>5944</v>
      </c>
      <c r="I5951" s="455">
        <f t="shared" ca="1" si="200"/>
        <v>-2.3134022423275108E+16</v>
      </c>
      <c r="J5951" s="455">
        <f t="array" ref="J5951">IFERROR(INDEX('Retirement Calculator'!K:K,MATCH('Lorri 401b'!N5951,'Retirement Calculator'!A:A,0),0),0)</f>
        <v>0</v>
      </c>
      <c r="K5951" s="455">
        <f t="shared" ca="1" si="198"/>
        <v>-96391760096979.609</v>
      </c>
      <c r="L5951" s="455">
        <f t="shared" ca="1" si="199"/>
        <v>-2.3230414183372088E+16</v>
      </c>
      <c r="M5951" s="471">
        <f t="shared" si="201"/>
        <v>0.05</v>
      </c>
      <c r="N5951" s="475">
        <f t="shared" si="202"/>
        <v>232174</v>
      </c>
    </row>
    <row r="5952" spans="7:14" ht="11.25" customHeight="1" x14ac:dyDescent="0.3">
      <c r="G5952" s="470"/>
      <c r="H5952" s="470">
        <v>5945</v>
      </c>
      <c r="I5952" s="455">
        <f t="shared" ca="1" si="200"/>
        <v>-2.3230414183372088E+16</v>
      </c>
      <c r="J5952" s="455">
        <f t="array" ref="J5952">IFERROR(INDEX('Retirement Calculator'!K:K,MATCH('Lorri 401b'!N5952,'Retirement Calculator'!A:A,0),0),0)</f>
        <v>0</v>
      </c>
      <c r="K5952" s="455">
        <f t="shared" ca="1" si="198"/>
        <v>-96793392430717.031</v>
      </c>
      <c r="L5952" s="455">
        <f t="shared" ca="1" si="199"/>
        <v>-2.3327207575802804E+16</v>
      </c>
      <c r="M5952" s="471">
        <f t="shared" si="201"/>
        <v>0.05</v>
      </c>
      <c r="N5952" s="475">
        <f t="shared" si="202"/>
        <v>232204</v>
      </c>
    </row>
    <row r="5953" spans="7:14" ht="11.25" customHeight="1" x14ac:dyDescent="0.3">
      <c r="G5953" s="470"/>
      <c r="H5953" s="470">
        <v>5946</v>
      </c>
      <c r="I5953" s="455">
        <f t="shared" ca="1" si="200"/>
        <v>-2.3327207575802804E+16</v>
      </c>
      <c r="J5953" s="455">
        <f t="array" ref="J5953">IFERROR(INDEX('Retirement Calculator'!K:K,MATCH('Lorri 401b'!N5953,'Retirement Calculator'!A:A,0),0),0)</f>
        <v>0</v>
      </c>
      <c r="K5953" s="455">
        <f t="shared" ca="1" si="198"/>
        <v>-97196698232511.688</v>
      </c>
      <c r="L5953" s="455">
        <f t="shared" ca="1" si="199"/>
        <v>-2.3424404274035316E+16</v>
      </c>
      <c r="M5953" s="471">
        <f t="shared" si="201"/>
        <v>0.05</v>
      </c>
      <c r="N5953" s="475">
        <f t="shared" si="202"/>
        <v>232235</v>
      </c>
    </row>
    <row r="5954" spans="7:14" ht="11.25" customHeight="1" x14ac:dyDescent="0.3">
      <c r="G5954" s="470"/>
      <c r="H5954" s="470">
        <v>5947</v>
      </c>
      <c r="I5954" s="455">
        <f t="shared" ca="1" si="200"/>
        <v>-2.3424404274035316E+16</v>
      </c>
      <c r="J5954" s="455">
        <f t="array" ref="J5954">IFERROR(INDEX('Retirement Calculator'!K:K,MATCH('Lorri 401b'!N5954,'Retirement Calculator'!A:A,0),0),0)</f>
        <v>0</v>
      </c>
      <c r="K5954" s="455">
        <f t="shared" ca="1" si="198"/>
        <v>-97601684475147.156</v>
      </c>
      <c r="L5954" s="455">
        <f t="shared" ca="1" si="199"/>
        <v>-2.3522005958510464E+16</v>
      </c>
      <c r="M5954" s="471">
        <f t="shared" si="201"/>
        <v>0.05</v>
      </c>
      <c r="N5954" s="475">
        <f t="shared" si="202"/>
        <v>232265</v>
      </c>
    </row>
    <row r="5955" spans="7:14" ht="11.25" customHeight="1" x14ac:dyDescent="0.3">
      <c r="G5955" s="470"/>
      <c r="H5955" s="470">
        <v>5948</v>
      </c>
      <c r="I5955" s="455">
        <f t="shared" ca="1" si="200"/>
        <v>-2.3522005958510464E+16</v>
      </c>
      <c r="J5955" s="455">
        <f t="array" ref="J5955">IFERROR(INDEX('Retirement Calculator'!K:K,MATCH('Lorri 401b'!N5955,'Retirement Calculator'!A:A,0),0),0)</f>
        <v>0</v>
      </c>
      <c r="K5955" s="455">
        <f t="shared" ca="1" si="198"/>
        <v>-98008358160460.266</v>
      </c>
      <c r="L5955" s="455">
        <f t="shared" ca="1" si="199"/>
        <v>-2.3620014316670924E+16</v>
      </c>
      <c r="M5955" s="471">
        <f t="shared" si="201"/>
        <v>0.05</v>
      </c>
      <c r="N5955" s="475">
        <f t="shared" si="202"/>
        <v>232296</v>
      </c>
    </row>
    <row r="5956" spans="7:14" ht="11.25" customHeight="1" x14ac:dyDescent="0.3">
      <c r="G5956" s="470"/>
      <c r="H5956" s="470">
        <v>5949</v>
      </c>
      <c r="I5956" s="455">
        <f t="shared" ca="1" si="200"/>
        <v>-2.3620014316670924E+16</v>
      </c>
      <c r="J5956" s="455">
        <f t="array" ref="J5956">IFERROR(INDEX('Retirement Calculator'!K:K,MATCH('Lorri 401b'!N5956,'Retirement Calculator'!A:A,0),0),0)</f>
        <v>0</v>
      </c>
      <c r="K5956" s="455">
        <f t="shared" ca="1" si="198"/>
        <v>-98416726319462.188</v>
      </c>
      <c r="L5956" s="455">
        <f t="shared" ca="1" si="199"/>
        <v>-2.3718431042990388E+16</v>
      </c>
      <c r="M5956" s="471">
        <f t="shared" si="201"/>
        <v>0.05</v>
      </c>
      <c r="N5956" s="475">
        <f t="shared" si="202"/>
        <v>232327</v>
      </c>
    </row>
    <row r="5957" spans="7:14" ht="11.25" customHeight="1" x14ac:dyDescent="0.3">
      <c r="G5957" s="470"/>
      <c r="H5957" s="470">
        <v>5950</v>
      </c>
      <c r="I5957" s="455">
        <f t="shared" ca="1" si="200"/>
        <v>-2.3718431042990388E+16</v>
      </c>
      <c r="J5957" s="455">
        <f t="array" ref="J5957">IFERROR(INDEX('Retirement Calculator'!K:K,MATCH('Lorri 401b'!N5957,'Retirement Calculator'!A:A,0),0),0)</f>
        <v>0</v>
      </c>
      <c r="K5957" s="455">
        <f t="shared" ca="1" si="198"/>
        <v>-98826796012459.953</v>
      </c>
      <c r="L5957" s="455">
        <f t="shared" ca="1" si="199"/>
        <v>-2.3817257839002848E+16</v>
      </c>
      <c r="M5957" s="471">
        <f t="shared" si="201"/>
        <v>0.05</v>
      </c>
      <c r="N5957" s="475">
        <f t="shared" si="202"/>
        <v>232356</v>
      </c>
    </row>
    <row r="5958" spans="7:14" ht="11.25" customHeight="1" x14ac:dyDescent="0.3">
      <c r="G5958" s="470"/>
      <c r="H5958" s="470">
        <v>5951</v>
      </c>
      <c r="I5958" s="455">
        <f t="shared" ca="1" si="200"/>
        <v>-2.3817257839002848E+16</v>
      </c>
      <c r="J5958" s="455">
        <f t="array" ref="J5958">IFERROR(INDEX('Retirement Calculator'!K:K,MATCH('Lorri 401b'!N5958,'Retirement Calculator'!A:A,0),0),0)</f>
        <v>0</v>
      </c>
      <c r="K5958" s="455">
        <f t="shared" ca="1" si="198"/>
        <v>-99238574329178.531</v>
      </c>
      <c r="L5958" s="455">
        <f t="shared" ca="1" si="199"/>
        <v>-2.3916496413332028E+16</v>
      </c>
      <c r="M5958" s="471">
        <f t="shared" si="201"/>
        <v>0.05</v>
      </c>
      <c r="N5958" s="475">
        <f t="shared" si="202"/>
        <v>232387</v>
      </c>
    </row>
    <row r="5959" spans="7:14" ht="11.25" customHeight="1" x14ac:dyDescent="0.3">
      <c r="G5959" s="470"/>
      <c r="H5959" s="470">
        <v>5952</v>
      </c>
      <c r="I5959" s="455">
        <f t="shared" ca="1" si="200"/>
        <v>-2.3916496413332028E+16</v>
      </c>
      <c r="J5959" s="455">
        <f t="array" ref="J5959">IFERROR(INDEX('Retirement Calculator'!K:K,MATCH('Lorri 401b'!N5959,'Retirement Calculator'!A:A,0),0),0)</f>
        <v>0</v>
      </c>
      <c r="K5959" s="455">
        <f t="shared" ca="1" si="198"/>
        <v>-99652068388883.453</v>
      </c>
      <c r="L5959" s="455">
        <f t="shared" ca="1" si="199"/>
        <v>-2.4016148481720912E+16</v>
      </c>
      <c r="M5959" s="471">
        <f t="shared" si="201"/>
        <v>0.05</v>
      </c>
      <c r="N5959" s="475">
        <f t="shared" si="202"/>
        <v>232417</v>
      </c>
    </row>
    <row r="5960" spans="7:14" ht="11.25" customHeight="1" x14ac:dyDescent="0.3">
      <c r="G5960" s="470"/>
      <c r="H5960" s="470">
        <v>5953</v>
      </c>
      <c r="I5960" s="455">
        <f t="shared" ca="1" si="200"/>
        <v>-2.4016148481720912E+16</v>
      </c>
      <c r="J5960" s="455">
        <f t="array" ref="J5960">IFERROR(INDEX('Retirement Calculator'!K:K,MATCH('Lorri 401b'!N5960,'Retirement Calculator'!A:A,0),0),0)</f>
        <v>0</v>
      </c>
      <c r="K5960" s="455">
        <f t="shared" ca="1" si="198"/>
        <v>-100067285340503.8</v>
      </c>
      <c r="L5960" s="455">
        <f t="shared" ca="1" si="199"/>
        <v>-2.4116215767061416E+16</v>
      </c>
      <c r="M5960" s="471">
        <f t="shared" si="201"/>
        <v>0.05</v>
      </c>
      <c r="N5960" s="475">
        <f t="shared" si="202"/>
        <v>232448</v>
      </c>
    </row>
    <row r="5961" spans="7:14" ht="11.25" customHeight="1" x14ac:dyDescent="0.3">
      <c r="G5961" s="470"/>
      <c r="H5961" s="470">
        <v>5954</v>
      </c>
      <c r="I5961" s="455">
        <f t="shared" ca="1" si="200"/>
        <v>-2.4116215767061416E+16</v>
      </c>
      <c r="J5961" s="455">
        <f t="array" ref="J5961">IFERROR(INDEX('Retirement Calculator'!K:K,MATCH('Lorri 401b'!N5961,'Retirement Calculator'!A:A,0),0),0)</f>
        <v>0</v>
      </c>
      <c r="K5961" s="455">
        <f t="shared" ca="1" si="198"/>
        <v>-100484232362755.91</v>
      </c>
      <c r="L5961" s="455">
        <f t="shared" ca="1" si="199"/>
        <v>-2.4216699999424172E+16</v>
      </c>
      <c r="M5961" s="471">
        <f t="shared" si="201"/>
        <v>0.05</v>
      </c>
      <c r="N5961" s="475">
        <f t="shared" si="202"/>
        <v>232478</v>
      </c>
    </row>
    <row r="5962" spans="7:14" ht="11.25" customHeight="1" x14ac:dyDescent="0.3">
      <c r="G5962" s="470"/>
      <c r="H5962" s="470">
        <v>5955</v>
      </c>
      <c r="I5962" s="455">
        <f t="shared" ca="1" si="200"/>
        <v>-2.4216699999424172E+16</v>
      </c>
      <c r="J5962" s="455">
        <f t="array" ref="J5962">IFERROR(INDEX('Retirement Calculator'!K:K,MATCH('Lorri 401b'!N5962,'Retirement Calculator'!A:A,0),0),0)</f>
        <v>0</v>
      </c>
      <c r="K5962" s="455">
        <f t="shared" ca="1" si="198"/>
        <v>-100902916664267.38</v>
      </c>
      <c r="L5962" s="455">
        <f t="shared" ca="1" si="199"/>
        <v>-2.431760291608844E+16</v>
      </c>
      <c r="M5962" s="471">
        <f t="shared" si="201"/>
        <v>0.05</v>
      </c>
      <c r="N5962" s="475">
        <f t="shared" si="202"/>
        <v>232509</v>
      </c>
    </row>
    <row r="5963" spans="7:14" ht="11.25" customHeight="1" x14ac:dyDescent="0.3">
      <c r="G5963" s="470"/>
      <c r="H5963" s="470">
        <v>5956</v>
      </c>
      <c r="I5963" s="455">
        <f t="shared" ca="1" si="200"/>
        <v>-2.431760291608844E+16</v>
      </c>
      <c r="J5963" s="455">
        <f t="array" ref="J5963">IFERROR(INDEX('Retirement Calculator'!K:K,MATCH('Lorri 401b'!N5963,'Retirement Calculator'!A:A,0),0),0)</f>
        <v>0</v>
      </c>
      <c r="K5963" s="455">
        <f t="shared" ca="1" si="198"/>
        <v>-101323345483701.83</v>
      </c>
      <c r="L5963" s="455">
        <f t="shared" ca="1" si="199"/>
        <v>-2.441892626157214E+16</v>
      </c>
      <c r="M5963" s="471">
        <f t="shared" si="201"/>
        <v>0.05</v>
      </c>
      <c r="N5963" s="475">
        <f t="shared" si="202"/>
        <v>232540</v>
      </c>
    </row>
    <row r="5964" spans="7:14" ht="11.25" customHeight="1" x14ac:dyDescent="0.3">
      <c r="G5964" s="470"/>
      <c r="H5964" s="470">
        <v>5957</v>
      </c>
      <c r="I5964" s="455">
        <f t="shared" ca="1" si="200"/>
        <v>-2.441892626157214E+16</v>
      </c>
      <c r="J5964" s="455">
        <f t="array" ref="J5964">IFERROR(INDEX('Retirement Calculator'!K:K,MATCH('Lorri 401b'!N5964,'Retirement Calculator'!A:A,0),0),0)</f>
        <v>0</v>
      </c>
      <c r="K5964" s="455">
        <f t="shared" ca="1" si="198"/>
        <v>-101745526089883.92</v>
      </c>
      <c r="L5964" s="455">
        <f t="shared" ca="1" si="199"/>
        <v>-2.4520671787662024E+16</v>
      </c>
      <c r="M5964" s="471">
        <f t="shared" si="201"/>
        <v>0.05</v>
      </c>
      <c r="N5964" s="475">
        <f t="shared" si="202"/>
        <v>232570</v>
      </c>
    </row>
    <row r="5965" spans="7:14" ht="11.25" customHeight="1" x14ac:dyDescent="0.3">
      <c r="G5965" s="470"/>
      <c r="H5965" s="470">
        <v>5958</v>
      </c>
      <c r="I5965" s="455">
        <f t="shared" ca="1" si="200"/>
        <v>-2.4520671787662024E+16</v>
      </c>
      <c r="J5965" s="455">
        <f t="array" ref="J5965">IFERROR(INDEX('Retirement Calculator'!K:K,MATCH('Lorri 401b'!N5965,'Retirement Calculator'!A:A,0),0),0)</f>
        <v>0</v>
      </c>
      <c r="K5965" s="455">
        <f t="shared" ca="1" si="198"/>
        <v>-102169465781925.09</v>
      </c>
      <c r="L5965" s="455">
        <f t="shared" ca="1" si="199"/>
        <v>-2.4622841253443948E+16</v>
      </c>
      <c r="M5965" s="471">
        <f t="shared" si="201"/>
        <v>0.05</v>
      </c>
      <c r="N5965" s="475">
        <f t="shared" si="202"/>
        <v>232601</v>
      </c>
    </row>
    <row r="5966" spans="7:14" ht="11.25" customHeight="1" x14ac:dyDescent="0.3">
      <c r="G5966" s="470"/>
      <c r="H5966" s="470">
        <v>5959</v>
      </c>
      <c r="I5966" s="455">
        <f t="shared" ca="1" si="200"/>
        <v>-2.4622841253443948E+16</v>
      </c>
      <c r="J5966" s="455">
        <f t="array" ref="J5966">IFERROR(INDEX('Retirement Calculator'!K:K,MATCH('Lorri 401b'!N5966,'Retirement Calculator'!A:A,0),0),0)</f>
        <v>0</v>
      </c>
      <c r="K5966" s="455">
        <f t="shared" ca="1" si="198"/>
        <v>-102595171889349.78</v>
      </c>
      <c r="L5966" s="455">
        <f t="shared" ca="1" si="199"/>
        <v>-2.4725436425333296E+16</v>
      </c>
      <c r="M5966" s="471">
        <f t="shared" si="201"/>
        <v>0.05</v>
      </c>
      <c r="N5966" s="475">
        <f t="shared" si="202"/>
        <v>232631</v>
      </c>
    </row>
    <row r="5967" spans="7:14" ht="11.25" customHeight="1" x14ac:dyDescent="0.3">
      <c r="G5967" s="470"/>
      <c r="H5967" s="470">
        <v>5960</v>
      </c>
      <c r="I5967" s="455">
        <f t="shared" ca="1" si="200"/>
        <v>-2.4725436425333296E+16</v>
      </c>
      <c r="J5967" s="455">
        <f t="array" ref="J5967">IFERROR(INDEX('Retirement Calculator'!K:K,MATCH('Lorri 401b'!N5967,'Retirement Calculator'!A:A,0),0),0)</f>
        <v>0</v>
      </c>
      <c r="K5967" s="455">
        <f t="shared" ca="1" si="198"/>
        <v>-103022651772222.06</v>
      </c>
      <c r="L5967" s="455">
        <f t="shared" ca="1" si="199"/>
        <v>-2.482845907710552E+16</v>
      </c>
      <c r="M5967" s="471">
        <f t="shared" si="201"/>
        <v>0.05</v>
      </c>
      <c r="N5967" s="475">
        <f t="shared" si="202"/>
        <v>232662</v>
      </c>
    </row>
    <row r="5968" spans="7:14" ht="11.25" customHeight="1" x14ac:dyDescent="0.3">
      <c r="G5968" s="470"/>
      <c r="H5968" s="470">
        <v>5961</v>
      </c>
      <c r="I5968" s="455">
        <f t="shared" ca="1" si="200"/>
        <v>-2.482845907710552E+16</v>
      </c>
      <c r="J5968" s="455">
        <f t="array" ref="J5968">IFERROR(INDEX('Retirement Calculator'!K:K,MATCH('Lorri 401b'!N5968,'Retirement Calculator'!A:A,0),0),0)</f>
        <v>0</v>
      </c>
      <c r="K5968" s="455">
        <f t="shared" ca="1" si="198"/>
        <v>-103451912821273</v>
      </c>
      <c r="L5968" s="455">
        <f t="shared" ca="1" si="199"/>
        <v>-2.4931910989926792E+16</v>
      </c>
      <c r="M5968" s="471">
        <f t="shared" si="201"/>
        <v>0.05</v>
      </c>
      <c r="N5968" s="475">
        <f t="shared" si="202"/>
        <v>232693</v>
      </c>
    </row>
    <row r="5969" spans="7:14" ht="11.25" customHeight="1" x14ac:dyDescent="0.3">
      <c r="G5969" s="470"/>
      <c r="H5969" s="470">
        <v>5962</v>
      </c>
      <c r="I5969" s="455">
        <f t="shared" ca="1" si="200"/>
        <v>-2.4931910989926792E+16</v>
      </c>
      <c r="J5969" s="455">
        <f t="array" ref="J5969">IFERROR(INDEX('Retirement Calculator'!K:K,MATCH('Lorri 401b'!N5969,'Retirement Calculator'!A:A,0),0),0)</f>
        <v>0</v>
      </c>
      <c r="K5969" s="455">
        <f t="shared" ca="1" si="198"/>
        <v>-103882962458028.3</v>
      </c>
      <c r="L5969" s="455">
        <f t="shared" ca="1" si="199"/>
        <v>-2.503579395238482E+16</v>
      </c>
      <c r="M5969" s="471">
        <f t="shared" si="201"/>
        <v>0.05</v>
      </c>
      <c r="N5969" s="475">
        <f t="shared" si="202"/>
        <v>232721</v>
      </c>
    </row>
    <row r="5970" spans="7:14" ht="11.25" customHeight="1" x14ac:dyDescent="0.3">
      <c r="G5970" s="470"/>
      <c r="H5970" s="470">
        <v>5963</v>
      </c>
      <c r="I5970" s="455">
        <f t="shared" ca="1" si="200"/>
        <v>-2.503579395238482E+16</v>
      </c>
      <c r="J5970" s="455">
        <f t="array" ref="J5970">IFERROR(INDEX('Retirement Calculator'!K:K,MATCH('Lorri 401b'!N5970,'Retirement Calculator'!A:A,0),0),0)</f>
        <v>0</v>
      </c>
      <c r="K5970" s="455">
        <f t="shared" ca="1" si="198"/>
        <v>-104315808134936.75</v>
      </c>
      <c r="L5970" s="455">
        <f t="shared" ca="1" si="199"/>
        <v>-2.5140109760519756E+16</v>
      </c>
      <c r="M5970" s="471">
        <f t="shared" si="201"/>
        <v>0.05</v>
      </c>
      <c r="N5970" s="475">
        <f t="shared" si="202"/>
        <v>232752</v>
      </c>
    </row>
    <row r="5971" spans="7:14" ht="11.25" customHeight="1" x14ac:dyDescent="0.3">
      <c r="G5971" s="470"/>
      <c r="H5971" s="470">
        <v>5964</v>
      </c>
      <c r="I5971" s="455">
        <f t="shared" ca="1" si="200"/>
        <v>-2.5140109760519756E+16</v>
      </c>
      <c r="J5971" s="455">
        <f t="array" ref="J5971">IFERROR(INDEX('Retirement Calculator'!K:K,MATCH('Lorri 401b'!N5971,'Retirement Calculator'!A:A,0),0),0)</f>
        <v>0</v>
      </c>
      <c r="K5971" s="455">
        <f t="shared" ca="1" si="198"/>
        <v>-104750457335498.98</v>
      </c>
      <c r="L5971" s="455">
        <f t="shared" ca="1" si="199"/>
        <v>-2.5244860217855256E+16</v>
      </c>
      <c r="M5971" s="471">
        <f t="shared" si="201"/>
        <v>0.05</v>
      </c>
      <c r="N5971" s="475">
        <f t="shared" si="202"/>
        <v>232782</v>
      </c>
    </row>
    <row r="5972" spans="7:14" ht="11.25" customHeight="1" x14ac:dyDescent="0.3">
      <c r="G5972" s="470"/>
      <c r="H5972" s="470">
        <v>5965</v>
      </c>
      <c r="I5972" s="455">
        <f t="shared" ca="1" si="200"/>
        <v>-2.5244860217855256E+16</v>
      </c>
      <c r="J5972" s="455">
        <f t="array" ref="J5972">IFERROR(INDEX('Retirement Calculator'!K:K,MATCH('Lorri 401b'!N5972,'Retirement Calculator'!A:A,0),0),0)</f>
        <v>0</v>
      </c>
      <c r="K5972" s="455">
        <f t="shared" ca="1" si="198"/>
        <v>-105186917574396.91</v>
      </c>
      <c r="L5972" s="455">
        <f t="shared" ca="1" si="199"/>
        <v>-2.5350047135429652E+16</v>
      </c>
      <c r="M5972" s="471">
        <f t="shared" si="201"/>
        <v>0.05</v>
      </c>
      <c r="N5972" s="475">
        <f t="shared" si="202"/>
        <v>232813</v>
      </c>
    </row>
    <row r="5973" spans="7:14" ht="11.25" customHeight="1" x14ac:dyDescent="0.3">
      <c r="G5973" s="470"/>
      <c r="H5973" s="470">
        <v>5966</v>
      </c>
      <c r="I5973" s="455">
        <f t="shared" ca="1" si="200"/>
        <v>-2.5350047135429652E+16</v>
      </c>
      <c r="J5973" s="455">
        <f t="array" ref="J5973">IFERROR(INDEX('Retirement Calculator'!K:K,MATCH('Lorri 401b'!N5973,'Retirement Calculator'!A:A,0),0),0)</f>
        <v>0</v>
      </c>
      <c r="K5973" s="455">
        <f t="shared" ca="1" si="198"/>
        <v>-105625196397623.55</v>
      </c>
      <c r="L5973" s="455">
        <f t="shared" ca="1" si="199"/>
        <v>-2.5455672331827276E+16</v>
      </c>
      <c r="M5973" s="471">
        <f t="shared" si="201"/>
        <v>0.05</v>
      </c>
      <c r="N5973" s="475">
        <f t="shared" si="202"/>
        <v>232843</v>
      </c>
    </row>
    <row r="5974" spans="7:14" ht="11.25" customHeight="1" x14ac:dyDescent="0.3">
      <c r="G5974" s="470"/>
      <c r="H5974" s="470">
        <v>5967</v>
      </c>
      <c r="I5974" s="455">
        <f t="shared" ca="1" si="200"/>
        <v>-2.5455672331827276E+16</v>
      </c>
      <c r="J5974" s="455">
        <f t="array" ref="J5974">IFERROR(INDEX('Retirement Calculator'!K:K,MATCH('Lorri 401b'!N5974,'Retirement Calculator'!A:A,0),0),0)</f>
        <v>0</v>
      </c>
      <c r="K5974" s="455">
        <f t="shared" ca="1" si="198"/>
        <v>-106065301382613.66</v>
      </c>
      <c r="L5974" s="455">
        <f t="shared" ca="1" si="199"/>
        <v>-2.5561737633209888E+16</v>
      </c>
      <c r="M5974" s="471">
        <f t="shared" si="201"/>
        <v>0.05</v>
      </c>
      <c r="N5974" s="475">
        <f t="shared" si="202"/>
        <v>232874</v>
      </c>
    </row>
    <row r="5975" spans="7:14" ht="11.25" customHeight="1" x14ac:dyDescent="0.3">
      <c r="G5975" s="470"/>
      <c r="H5975" s="470">
        <v>5968</v>
      </c>
      <c r="I5975" s="455">
        <f t="shared" ca="1" si="200"/>
        <v>-2.5561737633209888E+16</v>
      </c>
      <c r="J5975" s="455">
        <f t="array" ref="J5975">IFERROR(INDEX('Retirement Calculator'!K:K,MATCH('Lorri 401b'!N5975,'Retirement Calculator'!A:A,0),0),0)</f>
        <v>0</v>
      </c>
      <c r="K5975" s="455">
        <f t="shared" ca="1" si="198"/>
        <v>-106507240138374.53</v>
      </c>
      <c r="L5975" s="455">
        <f t="shared" ca="1" si="199"/>
        <v>-2.5668244873348264E+16</v>
      </c>
      <c r="M5975" s="471">
        <f t="shared" si="201"/>
        <v>0.05</v>
      </c>
      <c r="N5975" s="475">
        <f t="shared" si="202"/>
        <v>232905</v>
      </c>
    </row>
    <row r="5976" spans="7:14" ht="11.25" customHeight="1" x14ac:dyDescent="0.3">
      <c r="G5976" s="470"/>
      <c r="H5976" s="470">
        <v>5969</v>
      </c>
      <c r="I5976" s="455">
        <f t="shared" ca="1" si="200"/>
        <v>-2.5668244873348264E+16</v>
      </c>
      <c r="J5976" s="455">
        <f t="array" ref="J5976">IFERROR(INDEX('Retirement Calculator'!K:K,MATCH('Lorri 401b'!N5976,'Retirement Calculator'!A:A,0),0),0)</f>
        <v>0</v>
      </c>
      <c r="K5976" s="455">
        <f t="shared" ca="1" si="198"/>
        <v>-106951020305617.77</v>
      </c>
      <c r="L5976" s="455">
        <f t="shared" ca="1" si="199"/>
        <v>-2.577519589365388E+16</v>
      </c>
      <c r="M5976" s="471">
        <f t="shared" si="201"/>
        <v>0.05</v>
      </c>
      <c r="N5976" s="475">
        <f t="shared" si="202"/>
        <v>232935</v>
      </c>
    </row>
    <row r="5977" spans="7:14" ht="11.25" customHeight="1" x14ac:dyDescent="0.3">
      <c r="G5977" s="470"/>
      <c r="H5977" s="470">
        <v>5970</v>
      </c>
      <c r="I5977" s="455">
        <f t="shared" ca="1" si="200"/>
        <v>-2.577519589365388E+16</v>
      </c>
      <c r="J5977" s="455">
        <f t="array" ref="J5977">IFERROR(INDEX('Retirement Calculator'!K:K,MATCH('Lorri 401b'!N5977,'Retirement Calculator'!A:A,0),0),0)</f>
        <v>0</v>
      </c>
      <c r="K5977" s="455">
        <f t="shared" ca="1" si="198"/>
        <v>-107396649556891.17</v>
      </c>
      <c r="L5977" s="455">
        <f t="shared" ca="1" si="199"/>
        <v>-2.5882592543210772E+16</v>
      </c>
      <c r="M5977" s="471">
        <f t="shared" si="201"/>
        <v>0.05</v>
      </c>
      <c r="N5977" s="475">
        <f t="shared" si="202"/>
        <v>232966</v>
      </c>
    </row>
    <row r="5978" spans="7:14" ht="11.25" customHeight="1" x14ac:dyDescent="0.3">
      <c r="G5978" s="470"/>
      <c r="H5978" s="470">
        <v>5971</v>
      </c>
      <c r="I5978" s="455">
        <f t="shared" ca="1" si="200"/>
        <v>-2.5882592543210772E+16</v>
      </c>
      <c r="J5978" s="455">
        <f t="array" ref="J5978">IFERROR(INDEX('Retirement Calculator'!K:K,MATCH('Lorri 401b'!N5978,'Retirement Calculator'!A:A,0),0),0)</f>
        <v>0</v>
      </c>
      <c r="K5978" s="455">
        <f t="shared" ca="1" si="198"/>
        <v>-107844135596711.55</v>
      </c>
      <c r="L5978" s="455">
        <f t="shared" ca="1" si="199"/>
        <v>-2.5990436678807484E+16</v>
      </c>
      <c r="M5978" s="471">
        <f t="shared" si="201"/>
        <v>0.05</v>
      </c>
      <c r="N5978" s="475">
        <f t="shared" si="202"/>
        <v>232996</v>
      </c>
    </row>
    <row r="5979" spans="7:14" ht="11.25" customHeight="1" x14ac:dyDescent="0.3">
      <c r="G5979" s="470"/>
      <c r="H5979" s="470">
        <v>5972</v>
      </c>
      <c r="I5979" s="455">
        <f t="shared" ca="1" si="200"/>
        <v>-2.5990436678807484E+16</v>
      </c>
      <c r="J5979" s="455">
        <f t="array" ref="J5979">IFERROR(INDEX('Retirement Calculator'!K:K,MATCH('Lorri 401b'!N5979,'Retirement Calculator'!A:A,0),0),0)</f>
        <v>0</v>
      </c>
      <c r="K5979" s="455">
        <f t="shared" ca="1" si="198"/>
        <v>-108293486161697.84</v>
      </c>
      <c r="L5979" s="455">
        <f t="shared" ca="1" si="199"/>
        <v>-2.609873016496918E+16</v>
      </c>
      <c r="M5979" s="471">
        <f t="shared" si="201"/>
        <v>0.05</v>
      </c>
      <c r="N5979" s="475">
        <f t="shared" si="202"/>
        <v>233027</v>
      </c>
    </row>
    <row r="5980" spans="7:14" ht="11.25" customHeight="1" x14ac:dyDescent="0.3">
      <c r="G5980" s="470"/>
      <c r="H5980" s="470">
        <v>5973</v>
      </c>
      <c r="I5980" s="455">
        <f t="shared" ca="1" si="200"/>
        <v>-2.609873016496918E+16</v>
      </c>
      <c r="J5980" s="455">
        <f t="array" ref="J5980">IFERROR(INDEX('Retirement Calculator'!K:K,MATCH('Lorri 401b'!N5980,'Retirement Calculator'!A:A,0),0),0)</f>
        <v>0</v>
      </c>
      <c r="K5980" s="455">
        <f t="shared" ca="1" si="198"/>
        <v>-108744709020704.92</v>
      </c>
      <c r="L5980" s="455">
        <f t="shared" ca="1" si="199"/>
        <v>-2.6207474873989884E+16</v>
      </c>
      <c r="M5980" s="471">
        <f t="shared" si="201"/>
        <v>0.05</v>
      </c>
      <c r="N5980" s="475">
        <f t="shared" si="202"/>
        <v>233058</v>
      </c>
    </row>
    <row r="5981" spans="7:14" ht="11.25" customHeight="1" x14ac:dyDescent="0.3">
      <c r="G5981" s="470"/>
      <c r="H5981" s="470">
        <v>5974</v>
      </c>
      <c r="I5981" s="455">
        <f t="shared" ca="1" si="200"/>
        <v>-2.6207474873989884E+16</v>
      </c>
      <c r="J5981" s="455">
        <f t="array" ref="J5981">IFERROR(INDEX('Retirement Calculator'!K:K,MATCH('Lorri 401b'!N5981,'Retirement Calculator'!A:A,0),0),0)</f>
        <v>0</v>
      </c>
      <c r="K5981" s="455">
        <f t="shared" ca="1" si="198"/>
        <v>-109197811974957.84</v>
      </c>
      <c r="L5981" s="455">
        <f t="shared" ca="1" si="199"/>
        <v>-2.631667268596484E+16</v>
      </c>
      <c r="M5981" s="471">
        <f t="shared" si="201"/>
        <v>0.05</v>
      </c>
      <c r="N5981" s="475">
        <f t="shared" si="202"/>
        <v>233086</v>
      </c>
    </row>
    <row r="5982" spans="7:14" ht="11.25" customHeight="1" x14ac:dyDescent="0.3">
      <c r="G5982" s="470"/>
      <c r="H5982" s="470">
        <v>5975</v>
      </c>
      <c r="I5982" s="455">
        <f t="shared" ca="1" si="200"/>
        <v>-2.631667268596484E+16</v>
      </c>
      <c r="J5982" s="455">
        <f t="array" ref="J5982">IFERROR(INDEX('Retirement Calculator'!K:K,MATCH('Lorri 401b'!N5982,'Retirement Calculator'!A:A,0),0),0)</f>
        <v>0</v>
      </c>
      <c r="K5982" s="455">
        <f t="shared" ca="1" si="198"/>
        <v>-109652802858186.83</v>
      </c>
      <c r="L5982" s="455">
        <f t="shared" ca="1" si="199"/>
        <v>-2.6426325488823028E+16</v>
      </c>
      <c r="M5982" s="471">
        <f t="shared" si="201"/>
        <v>0.05</v>
      </c>
      <c r="N5982" s="475">
        <f t="shared" si="202"/>
        <v>233117</v>
      </c>
    </row>
    <row r="5983" spans="7:14" ht="11.25" customHeight="1" x14ac:dyDescent="0.3">
      <c r="G5983" s="470"/>
      <c r="H5983" s="470">
        <v>5976</v>
      </c>
      <c r="I5983" s="455">
        <f t="shared" ca="1" si="200"/>
        <v>-2.6426325488823028E+16</v>
      </c>
      <c r="J5983" s="455">
        <f t="array" ref="J5983">IFERROR(INDEX('Retirement Calculator'!K:K,MATCH('Lorri 401b'!N5983,'Retirement Calculator'!A:A,0),0),0)</f>
        <v>0</v>
      </c>
      <c r="K5983" s="455">
        <f t="shared" ca="1" si="198"/>
        <v>-110109689536762.61</v>
      </c>
      <c r="L5983" s="455">
        <f t="shared" ca="1" si="199"/>
        <v>-2.6536435178359792E+16</v>
      </c>
      <c r="M5983" s="471">
        <f t="shared" si="201"/>
        <v>0.05</v>
      </c>
      <c r="N5983" s="475">
        <f t="shared" si="202"/>
        <v>233147</v>
      </c>
    </row>
    <row r="5984" spans="7:14" ht="11.25" customHeight="1" x14ac:dyDescent="0.3">
      <c r="G5984" s="470"/>
      <c r="H5984" s="470">
        <v>5977</v>
      </c>
      <c r="I5984" s="455">
        <f t="shared" ca="1" si="200"/>
        <v>-2.6536435178359792E+16</v>
      </c>
      <c r="J5984" s="455">
        <f t="array" ref="J5984">IFERROR(INDEX('Retirement Calculator'!K:K,MATCH('Lorri 401b'!N5984,'Retirement Calculator'!A:A,0),0),0)</f>
        <v>0</v>
      </c>
      <c r="K5984" s="455">
        <f t="shared" ca="1" si="198"/>
        <v>-110568479909832.47</v>
      </c>
      <c r="L5984" s="455">
        <f t="shared" ca="1" si="199"/>
        <v>-2.6647003658269624E+16</v>
      </c>
      <c r="M5984" s="471">
        <f t="shared" si="201"/>
        <v>0.05</v>
      </c>
      <c r="N5984" s="475">
        <f t="shared" si="202"/>
        <v>233178</v>
      </c>
    </row>
    <row r="5985" spans="7:14" ht="11.25" customHeight="1" x14ac:dyDescent="0.3">
      <c r="G5985" s="470"/>
      <c r="H5985" s="470">
        <v>5978</v>
      </c>
      <c r="I5985" s="455">
        <f t="shared" ca="1" si="200"/>
        <v>-2.6647003658269624E+16</v>
      </c>
      <c r="J5985" s="455">
        <f t="array" ref="J5985">IFERROR(INDEX('Retirement Calculator'!K:K,MATCH('Lorri 401b'!N5985,'Retirement Calculator'!A:A,0),0),0)</f>
        <v>0</v>
      </c>
      <c r="K5985" s="455">
        <f t="shared" ca="1" si="198"/>
        <v>-111029181909456.77</v>
      </c>
      <c r="L5985" s="455">
        <f t="shared" ca="1" si="199"/>
        <v>-2.675803284017908E+16</v>
      </c>
      <c r="M5985" s="471">
        <f t="shared" si="201"/>
        <v>0.05</v>
      </c>
      <c r="N5985" s="475">
        <f t="shared" si="202"/>
        <v>233208</v>
      </c>
    </row>
    <row r="5986" spans="7:14" ht="11.25" customHeight="1" x14ac:dyDescent="0.3">
      <c r="G5986" s="470"/>
      <c r="H5986" s="470">
        <v>5979</v>
      </c>
      <c r="I5986" s="455">
        <f t="shared" ca="1" si="200"/>
        <v>-2.675803284017908E+16</v>
      </c>
      <c r="J5986" s="455">
        <f t="array" ref="J5986">IFERROR(INDEX('Retirement Calculator'!K:K,MATCH('Lorri 401b'!N5986,'Retirement Calculator'!A:A,0),0),0)</f>
        <v>0</v>
      </c>
      <c r="K5986" s="455">
        <f t="shared" ca="1" si="198"/>
        <v>-111491803500746.17</v>
      </c>
      <c r="L5986" s="455">
        <f t="shared" ca="1" si="199"/>
        <v>-2.6869524643679828E+16</v>
      </c>
      <c r="M5986" s="471">
        <f t="shared" si="201"/>
        <v>0.05</v>
      </c>
      <c r="N5986" s="475">
        <f t="shared" si="202"/>
        <v>233239</v>
      </c>
    </row>
    <row r="5987" spans="7:14" ht="11.25" customHeight="1" x14ac:dyDescent="0.3">
      <c r="G5987" s="470"/>
      <c r="H5987" s="470">
        <v>5980</v>
      </c>
      <c r="I5987" s="455">
        <f t="shared" ca="1" si="200"/>
        <v>-2.6869524643679828E+16</v>
      </c>
      <c r="J5987" s="455">
        <f t="array" ref="J5987">IFERROR(INDEX('Retirement Calculator'!K:K,MATCH('Lorri 401b'!N5987,'Retirement Calculator'!A:A,0),0),0)</f>
        <v>0</v>
      </c>
      <c r="K5987" s="455">
        <f t="shared" ca="1" si="198"/>
        <v>-111956352681999.28</v>
      </c>
      <c r="L5987" s="455">
        <f t="shared" ca="1" si="199"/>
        <v>-2.6981480996361828E+16</v>
      </c>
      <c r="M5987" s="471">
        <f t="shared" si="201"/>
        <v>0.05</v>
      </c>
      <c r="N5987" s="475">
        <f t="shared" si="202"/>
        <v>233270</v>
      </c>
    </row>
    <row r="5988" spans="7:14" ht="11.25" customHeight="1" x14ac:dyDescent="0.3">
      <c r="G5988" s="470"/>
      <c r="H5988" s="470">
        <v>5981</v>
      </c>
      <c r="I5988" s="455">
        <f t="shared" ca="1" si="200"/>
        <v>-2.6981480996361828E+16</v>
      </c>
      <c r="J5988" s="455">
        <f t="array" ref="J5988">IFERROR(INDEX('Retirement Calculator'!K:K,MATCH('Lorri 401b'!N5988,'Retirement Calculator'!A:A,0),0),0)</f>
        <v>0</v>
      </c>
      <c r="K5988" s="455">
        <f t="shared" ca="1" si="198"/>
        <v>-112422837484840.95</v>
      </c>
      <c r="L5988" s="455">
        <f t="shared" ca="1" si="199"/>
        <v>-2.7093903833846668E+16</v>
      </c>
      <c r="M5988" s="471">
        <f t="shared" si="201"/>
        <v>0.05</v>
      </c>
      <c r="N5988" s="475">
        <f t="shared" si="202"/>
        <v>233300</v>
      </c>
    </row>
    <row r="5989" spans="7:14" ht="11.25" customHeight="1" x14ac:dyDescent="0.3">
      <c r="G5989" s="470"/>
      <c r="H5989" s="470">
        <v>5982</v>
      </c>
      <c r="I5989" s="455">
        <f t="shared" ca="1" si="200"/>
        <v>-2.7093903833846668E+16</v>
      </c>
      <c r="J5989" s="455">
        <f t="array" ref="J5989">IFERROR(INDEX('Retirement Calculator'!K:K,MATCH('Lorri 401b'!N5989,'Retirement Calculator'!A:A,0),0),0)</f>
        <v>0</v>
      </c>
      <c r="K5989" s="455">
        <f t="shared" ca="1" si="198"/>
        <v>-112891265974361.11</v>
      </c>
      <c r="L5989" s="455">
        <f t="shared" ca="1" si="199"/>
        <v>-2.7206795099821028E+16</v>
      </c>
      <c r="M5989" s="471">
        <f t="shared" si="201"/>
        <v>0.05</v>
      </c>
      <c r="N5989" s="475">
        <f t="shared" si="202"/>
        <v>233331</v>
      </c>
    </row>
    <row r="5990" spans="7:14" ht="11.25" customHeight="1" x14ac:dyDescent="0.3">
      <c r="G5990" s="470"/>
      <c r="H5990" s="470">
        <v>5983</v>
      </c>
      <c r="I5990" s="455">
        <f t="shared" ca="1" si="200"/>
        <v>-2.7206795099821028E+16</v>
      </c>
      <c r="J5990" s="455">
        <f t="array" ref="J5990">IFERROR(INDEX('Retirement Calculator'!K:K,MATCH('Lorri 401b'!N5990,'Retirement Calculator'!A:A,0),0),0)</f>
        <v>0</v>
      </c>
      <c r="K5990" s="455">
        <f t="shared" ca="1" si="198"/>
        <v>-113361646249254.28</v>
      </c>
      <c r="L5990" s="455">
        <f t="shared" ca="1" si="199"/>
        <v>-2.7320156746070284E+16</v>
      </c>
      <c r="M5990" s="471">
        <f t="shared" si="201"/>
        <v>0.05</v>
      </c>
      <c r="N5990" s="475">
        <f t="shared" si="202"/>
        <v>233361</v>
      </c>
    </row>
    <row r="5991" spans="7:14" ht="11.25" customHeight="1" x14ac:dyDescent="0.3">
      <c r="G5991" s="470"/>
      <c r="H5991" s="470">
        <v>5984</v>
      </c>
      <c r="I5991" s="455">
        <f t="shared" ca="1" si="200"/>
        <v>-2.7320156746070284E+16</v>
      </c>
      <c r="J5991" s="455">
        <f t="array" ref="J5991">IFERROR(INDEX('Retirement Calculator'!K:K,MATCH('Lorri 401b'!N5991,'Retirement Calculator'!A:A,0),0),0)</f>
        <v>0</v>
      </c>
      <c r="K5991" s="455">
        <f t="shared" ca="1" si="198"/>
        <v>-113833986441959.52</v>
      </c>
      <c r="L5991" s="455">
        <f t="shared" ca="1" si="199"/>
        <v>-2.7433990732512244E+16</v>
      </c>
      <c r="M5991" s="471">
        <f t="shared" si="201"/>
        <v>0.05</v>
      </c>
      <c r="N5991" s="475">
        <f t="shared" si="202"/>
        <v>233392</v>
      </c>
    </row>
    <row r="5992" spans="7:14" ht="11.25" customHeight="1" x14ac:dyDescent="0.3">
      <c r="G5992" s="470"/>
      <c r="H5992" s="470">
        <v>5985</v>
      </c>
      <c r="I5992" s="455">
        <f t="shared" ca="1" si="200"/>
        <v>-2.7433990732512244E+16</v>
      </c>
      <c r="J5992" s="455">
        <f t="array" ref="J5992">IFERROR(INDEX('Retirement Calculator'!K:K,MATCH('Lorri 401b'!N5992,'Retirement Calculator'!A:A,0),0),0)</f>
        <v>0</v>
      </c>
      <c r="K5992" s="455">
        <f t="shared" ca="1" si="198"/>
        <v>-114308294718801.02</v>
      </c>
      <c r="L5992" s="455">
        <f t="shared" ca="1" si="199"/>
        <v>-2.7548299027231044E+16</v>
      </c>
      <c r="M5992" s="471">
        <f t="shared" si="201"/>
        <v>0.05</v>
      </c>
      <c r="N5992" s="475">
        <f t="shared" si="202"/>
        <v>233423</v>
      </c>
    </row>
    <row r="5993" spans="7:14" ht="11.25" customHeight="1" x14ac:dyDescent="0.3">
      <c r="G5993" s="470"/>
      <c r="H5993" s="470">
        <v>5986</v>
      </c>
      <c r="I5993" s="455">
        <f t="shared" ca="1" si="200"/>
        <v>-2.7548299027231044E+16</v>
      </c>
      <c r="J5993" s="455">
        <f t="array" ref="J5993">IFERROR(INDEX('Retirement Calculator'!K:K,MATCH('Lorri 401b'!N5993,'Retirement Calculator'!A:A,0),0),0)</f>
        <v>0</v>
      </c>
      <c r="K5993" s="455">
        <f t="shared" ca="1" si="198"/>
        <v>-114784579280129.34</v>
      </c>
      <c r="L5993" s="455">
        <f t="shared" ca="1" si="199"/>
        <v>-2.7663083606511172E+16</v>
      </c>
      <c r="M5993" s="471">
        <f t="shared" si="201"/>
        <v>0.05</v>
      </c>
      <c r="N5993" s="475">
        <f t="shared" si="202"/>
        <v>233451</v>
      </c>
    </row>
    <row r="5994" spans="7:14" ht="11.25" customHeight="1" x14ac:dyDescent="0.3">
      <c r="G5994" s="470"/>
      <c r="H5994" s="470">
        <v>5987</v>
      </c>
      <c r="I5994" s="455">
        <f t="shared" ca="1" si="200"/>
        <v>-2.7663083606511172E+16</v>
      </c>
      <c r="J5994" s="455">
        <f t="array" ref="J5994">IFERROR(INDEX('Retirement Calculator'!K:K,MATCH('Lorri 401b'!N5994,'Retirement Calculator'!A:A,0),0),0)</f>
        <v>0</v>
      </c>
      <c r="K5994" s="455">
        <f t="shared" ca="1" si="198"/>
        <v>-115262848360463.22</v>
      </c>
      <c r="L5994" s="455">
        <f t="shared" ca="1" si="199"/>
        <v>-2.7778346454871636E+16</v>
      </c>
      <c r="M5994" s="471">
        <f t="shared" si="201"/>
        <v>0.05</v>
      </c>
      <c r="N5994" s="475">
        <f t="shared" si="202"/>
        <v>233482</v>
      </c>
    </row>
    <row r="5995" spans="7:14" ht="11.25" customHeight="1" x14ac:dyDescent="0.3">
      <c r="G5995" s="470"/>
      <c r="H5995" s="470">
        <v>5988</v>
      </c>
      <c r="I5995" s="455">
        <f t="shared" ca="1" si="200"/>
        <v>-2.7778346454871636E+16</v>
      </c>
      <c r="J5995" s="455">
        <f t="array" ref="J5995">IFERROR(INDEX('Retirement Calculator'!K:K,MATCH('Lorri 401b'!N5995,'Retirement Calculator'!A:A,0),0),0)</f>
        <v>0</v>
      </c>
      <c r="K5995" s="455">
        <f t="shared" ca="1" si="198"/>
        <v>-115743110228631.81</v>
      </c>
      <c r="L5995" s="455">
        <f t="shared" ca="1" si="199"/>
        <v>-2.7894089565100268E+16</v>
      </c>
      <c r="M5995" s="471">
        <f t="shared" si="201"/>
        <v>0.05</v>
      </c>
      <c r="N5995" s="475">
        <f t="shared" si="202"/>
        <v>233512</v>
      </c>
    </row>
    <row r="5996" spans="7:14" ht="11.25" customHeight="1" x14ac:dyDescent="0.3">
      <c r="G5996" s="470"/>
      <c r="H5996" s="470">
        <v>5989</v>
      </c>
      <c r="I5996" s="455">
        <f t="shared" ca="1" si="200"/>
        <v>-2.7894089565100268E+16</v>
      </c>
      <c r="J5996" s="455">
        <f t="array" ref="J5996">IFERROR(INDEX('Retirement Calculator'!K:K,MATCH('Lorri 401b'!N5996,'Retirement Calculator'!A:A,0),0),0)</f>
        <v>0</v>
      </c>
      <c r="K5996" s="455">
        <f t="shared" ca="1" si="198"/>
        <v>-116225373187917.78</v>
      </c>
      <c r="L5996" s="455">
        <f t="shared" ca="1" si="199"/>
        <v>-2.8010314938288184E+16</v>
      </c>
      <c r="M5996" s="471">
        <f t="shared" si="201"/>
        <v>0.05</v>
      </c>
      <c r="N5996" s="475">
        <f t="shared" si="202"/>
        <v>233543</v>
      </c>
    </row>
    <row r="5997" spans="7:14" ht="11.25" customHeight="1" x14ac:dyDescent="0.3">
      <c r="G5997" s="470"/>
      <c r="H5997" s="470">
        <v>5990</v>
      </c>
      <c r="I5997" s="455">
        <f t="shared" ca="1" si="200"/>
        <v>-2.8010314938288184E+16</v>
      </c>
      <c r="J5997" s="455">
        <f t="array" ref="J5997">IFERROR(INDEX('Retirement Calculator'!K:K,MATCH('Lorri 401b'!N5997,'Retirement Calculator'!A:A,0),0),0)</f>
        <v>0</v>
      </c>
      <c r="K5997" s="455">
        <f t="shared" ca="1" si="198"/>
        <v>-116709645576200.77</v>
      </c>
      <c r="L5997" s="455">
        <f t="shared" ca="1" si="199"/>
        <v>-2.8127024583864384E+16</v>
      </c>
      <c r="M5997" s="471">
        <f t="shared" si="201"/>
        <v>0.05</v>
      </c>
      <c r="N5997" s="475">
        <f t="shared" si="202"/>
        <v>233573</v>
      </c>
    </row>
    <row r="5998" spans="7:14" ht="11.25" customHeight="1" x14ac:dyDescent="0.3">
      <c r="G5998" s="470"/>
      <c r="H5998" s="470">
        <v>5991</v>
      </c>
      <c r="I5998" s="455">
        <f t="shared" ca="1" si="200"/>
        <v>-2.8127024583864384E+16</v>
      </c>
      <c r="J5998" s="455">
        <f t="array" ref="J5998">IFERROR(INDEX('Retirement Calculator'!K:K,MATCH('Lorri 401b'!N5998,'Retirement Calculator'!A:A,0),0),0)</f>
        <v>0</v>
      </c>
      <c r="K5998" s="455">
        <f t="shared" ca="1" si="198"/>
        <v>-117195935766101.59</v>
      </c>
      <c r="L5998" s="455">
        <f t="shared" ca="1" si="199"/>
        <v>-2.8244220519630484E+16</v>
      </c>
      <c r="M5998" s="471">
        <f t="shared" si="201"/>
        <v>0.05</v>
      </c>
      <c r="N5998" s="475">
        <f t="shared" si="202"/>
        <v>233604</v>
      </c>
    </row>
    <row r="5999" spans="7:14" ht="11.25" customHeight="1" x14ac:dyDescent="0.3">
      <c r="G5999" s="470"/>
      <c r="H5999" s="470">
        <v>5992</v>
      </c>
      <c r="I5999" s="455">
        <f t="shared" ca="1" si="200"/>
        <v>-2.8244220519630484E+16</v>
      </c>
      <c r="J5999" s="455">
        <f t="array" ref="J5999">IFERROR(INDEX('Retirement Calculator'!K:K,MATCH('Lorri 401b'!N5999,'Retirement Calculator'!A:A,0),0),0)</f>
        <v>0</v>
      </c>
      <c r="K5999" s="455">
        <f t="shared" ca="1" si="198"/>
        <v>-117684252165127.02</v>
      </c>
      <c r="L5999" s="455">
        <f t="shared" ca="1" si="199"/>
        <v>-2.8361904771795612E+16</v>
      </c>
      <c r="M5999" s="471">
        <f t="shared" si="201"/>
        <v>0.05</v>
      </c>
      <c r="N5999" s="475">
        <f t="shared" si="202"/>
        <v>233635</v>
      </c>
    </row>
    <row r="6000" spans="7:14" ht="11.25" customHeight="1" x14ac:dyDescent="0.3">
      <c r="G6000" s="470"/>
      <c r="H6000" s="470">
        <v>5993</v>
      </c>
      <c r="I6000" s="455">
        <f t="shared" ca="1" si="200"/>
        <v>-2.8361904771795612E+16</v>
      </c>
      <c r="J6000" s="455">
        <f t="array" ref="J6000">IFERROR(INDEX('Retirement Calculator'!K:K,MATCH('Lorri 401b'!N6000,'Retirement Calculator'!A:A,0),0),0)</f>
        <v>0</v>
      </c>
      <c r="K6000" s="455">
        <f t="shared" ca="1" si="198"/>
        <v>-118174603215815.05</v>
      </c>
      <c r="L6000" s="455">
        <f t="shared" ca="1" si="199"/>
        <v>-2.8480079375011428E+16</v>
      </c>
      <c r="M6000" s="471">
        <f t="shared" si="201"/>
        <v>0.05</v>
      </c>
      <c r="N6000" s="475">
        <f t="shared" si="202"/>
        <v>233665</v>
      </c>
    </row>
    <row r="6001" spans="7:14" ht="11.25" customHeight="1" x14ac:dyDescent="0.3">
      <c r="G6001" s="470"/>
      <c r="H6001" s="470">
        <v>5994</v>
      </c>
      <c r="I6001" s="455">
        <f t="shared" ca="1" si="200"/>
        <v>-2.8480079375011428E+16</v>
      </c>
      <c r="J6001" s="455">
        <f t="array" ref="J6001">IFERROR(INDEX('Retirement Calculator'!K:K,MATCH('Lorri 401b'!N6001,'Retirement Calculator'!A:A,0),0),0)</f>
        <v>0</v>
      </c>
      <c r="K6001" s="455">
        <f t="shared" ca="1" si="198"/>
        <v>-118666997395880.97</v>
      </c>
      <c r="L6001" s="455">
        <f t="shared" ca="1" si="199"/>
        <v>-2.8598746372407308E+16</v>
      </c>
      <c r="M6001" s="471">
        <f t="shared" si="201"/>
        <v>0.05</v>
      </c>
      <c r="N6001" s="475">
        <f t="shared" si="202"/>
        <v>233696</v>
      </c>
    </row>
    <row r="6002" spans="7:14" ht="11.25" customHeight="1" x14ac:dyDescent="0.3">
      <c r="G6002" s="470"/>
      <c r="H6002" s="470">
        <v>5995</v>
      </c>
      <c r="I6002" s="455">
        <f t="shared" ca="1" si="200"/>
        <v>-2.8598746372407308E+16</v>
      </c>
      <c r="J6002" s="455">
        <f t="array" ref="J6002">IFERROR(INDEX('Retirement Calculator'!K:K,MATCH('Lorri 401b'!N6002,'Retirement Calculator'!A:A,0),0),0)</f>
        <v>0</v>
      </c>
      <c r="K6002" s="455">
        <f t="shared" ca="1" si="198"/>
        <v>-119161443218363.78</v>
      </c>
      <c r="L6002" s="455">
        <f t="shared" ca="1" si="199"/>
        <v>-2.8717907815625672E+16</v>
      </c>
      <c r="M6002" s="471">
        <f t="shared" si="201"/>
        <v>0.05</v>
      </c>
      <c r="N6002" s="475">
        <f t="shared" si="202"/>
        <v>233726</v>
      </c>
    </row>
    <row r="6003" spans="7:14" ht="11.25" customHeight="1" x14ac:dyDescent="0.3">
      <c r="G6003" s="470"/>
      <c r="H6003" s="470">
        <v>5996</v>
      </c>
      <c r="I6003" s="455">
        <f t="shared" ca="1" si="200"/>
        <v>-2.8717907815625672E+16</v>
      </c>
      <c r="J6003" s="455">
        <f t="array" ref="J6003">IFERROR(INDEX('Retirement Calculator'!K:K,MATCH('Lorri 401b'!N6003,'Retirement Calculator'!A:A,0),0),0)</f>
        <v>0</v>
      </c>
      <c r="K6003" s="455">
        <f t="shared" ca="1" si="198"/>
        <v>-119657949231773.64</v>
      </c>
      <c r="L6003" s="455">
        <f t="shared" ca="1" si="199"/>
        <v>-2.8837565764857444E+16</v>
      </c>
      <c r="M6003" s="471">
        <f t="shared" si="201"/>
        <v>0.05</v>
      </c>
      <c r="N6003" s="475">
        <f t="shared" si="202"/>
        <v>233757</v>
      </c>
    </row>
    <row r="6004" spans="7:14" ht="11.25" customHeight="1" x14ac:dyDescent="0.3">
      <c r="G6004" s="470"/>
      <c r="H6004" s="470">
        <v>5997</v>
      </c>
      <c r="I6004" s="455">
        <f t="shared" ca="1" si="200"/>
        <v>-2.8837565764857444E+16</v>
      </c>
      <c r="J6004" s="455">
        <f t="array" ref="J6004">IFERROR(INDEX('Retirement Calculator'!K:K,MATCH('Lorri 401b'!N6004,'Retirement Calculator'!A:A,0),0),0)</f>
        <v>0</v>
      </c>
      <c r="K6004" s="455">
        <f t="shared" ca="1" si="198"/>
        <v>-120156524020239.34</v>
      </c>
      <c r="L6004" s="455">
        <f t="shared" ca="1" si="199"/>
        <v>-2.8957722288877684E+16</v>
      </c>
      <c r="M6004" s="471">
        <f t="shared" si="201"/>
        <v>0.05</v>
      </c>
      <c r="N6004" s="475">
        <f t="shared" si="202"/>
        <v>233788</v>
      </c>
    </row>
    <row r="6005" spans="7:14" ht="11.25" customHeight="1" x14ac:dyDescent="0.3">
      <c r="G6005" s="470"/>
      <c r="H6005" s="470">
        <v>5998</v>
      </c>
      <c r="I6005" s="455">
        <f t="shared" ca="1" si="200"/>
        <v>-2.8957722288877684E+16</v>
      </c>
      <c r="J6005" s="455">
        <f t="array" ref="J6005">IFERROR(INDEX('Retirement Calculator'!K:K,MATCH('Lorri 401b'!N6005,'Retirement Calculator'!A:A,0),0),0)</f>
        <v>0</v>
      </c>
      <c r="K6005" s="455">
        <f t="shared" ca="1" si="198"/>
        <v>-120657176203657.02</v>
      </c>
      <c r="L6005" s="455">
        <f t="shared" ca="1" si="199"/>
        <v>-2.907837946508134E+16</v>
      </c>
      <c r="M6005" s="471">
        <f t="shared" si="201"/>
        <v>0.05</v>
      </c>
      <c r="N6005" s="475">
        <f t="shared" si="202"/>
        <v>233817</v>
      </c>
    </row>
    <row r="6006" spans="7:14" ht="11.25" customHeight="1" x14ac:dyDescent="0.3">
      <c r="G6006" s="470"/>
      <c r="H6006" s="470">
        <v>5999</v>
      </c>
      <c r="I6006" s="455">
        <f t="shared" ca="1" si="200"/>
        <v>-2.907837946508134E+16</v>
      </c>
      <c r="J6006" s="455">
        <f t="array" ref="J6006">IFERROR(INDEX('Retirement Calculator'!K:K,MATCH('Lorri 401b'!N6006,'Retirement Calculator'!A:A,0),0),0)</f>
        <v>0</v>
      </c>
      <c r="K6006" s="455">
        <f t="shared" ca="1" si="198"/>
        <v>-121159914437838.92</v>
      </c>
      <c r="L6006" s="455">
        <f t="shared" ca="1" si="199"/>
        <v>-2.919953937951918E+16</v>
      </c>
      <c r="M6006" s="471">
        <f t="shared" si="201"/>
        <v>0.05</v>
      </c>
      <c r="N6006" s="475">
        <f t="shared" si="202"/>
        <v>233848</v>
      </c>
    </row>
    <row r="6007" spans="7:14" ht="11.25" customHeight="1" x14ac:dyDescent="0.3">
      <c r="G6007" s="470"/>
      <c r="H6007" s="470">
        <v>6000</v>
      </c>
      <c r="I6007" s="455">
        <f t="shared" ca="1" si="200"/>
        <v>-2.919953937951918E+16</v>
      </c>
      <c r="J6007" s="455">
        <f t="array" ref="J6007">IFERROR(INDEX('Retirement Calculator'!K:K,MATCH('Lorri 401b'!N6007,'Retirement Calculator'!A:A,0),0),0)</f>
        <v>0</v>
      </c>
      <c r="K6007" s="455">
        <f t="shared" ca="1" si="198"/>
        <v>-121664747414663.25</v>
      </c>
      <c r="L6007" s="455">
        <f t="shared" ca="1" si="199"/>
        <v>-2.9321204126933844E+16</v>
      </c>
      <c r="M6007" s="471">
        <f t="shared" si="201"/>
        <v>0.05</v>
      </c>
      <c r="N6007" s="475">
        <f t="shared" si="202"/>
        <v>233878</v>
      </c>
    </row>
    <row r="6008" spans="7:14" ht="11.25" customHeight="1" x14ac:dyDescent="0.3">
      <c r="G6008" s="470"/>
      <c r="H6008" s="470">
        <v>6001</v>
      </c>
      <c r="I6008" s="455">
        <f t="shared" ca="1" si="200"/>
        <v>-2.9321204126933844E+16</v>
      </c>
      <c r="J6008" s="455">
        <f t="array" ref="J6008">IFERROR(INDEX('Retirement Calculator'!K:K,MATCH('Lorri 401b'!N6008,'Retirement Calculator'!A:A,0),0),0)</f>
        <v>0</v>
      </c>
      <c r="K6008" s="455">
        <f t="shared" ca="1" si="198"/>
        <v>-122171683862224.36</v>
      </c>
      <c r="L6008" s="455">
        <f t="shared" ca="1" si="199"/>
        <v>-2.9443375810796068E+16</v>
      </c>
      <c r="M6008" s="471">
        <f t="shared" si="201"/>
        <v>0.05</v>
      </c>
      <c r="N6008" s="475">
        <f t="shared" si="202"/>
        <v>233909</v>
      </c>
    </row>
    <row r="6009" spans="7:14" ht="11.25" customHeight="1" x14ac:dyDescent="0.3">
      <c r="G6009" s="470"/>
      <c r="H6009" s="470">
        <v>6002</v>
      </c>
      <c r="I6009" s="455">
        <f t="shared" ca="1" si="200"/>
        <v>-2.9443375810796068E+16</v>
      </c>
      <c r="J6009" s="455">
        <f t="array" ref="J6009">IFERROR(INDEX('Retirement Calculator'!K:K,MATCH('Lorri 401b'!N6009,'Retirement Calculator'!A:A,0),0),0)</f>
        <v>0</v>
      </c>
      <c r="K6009" s="455">
        <f t="shared" ca="1" si="198"/>
        <v>-122680732544983.61</v>
      </c>
      <c r="L6009" s="455">
        <f t="shared" ca="1" si="199"/>
        <v>-2.9566056543341052E+16</v>
      </c>
      <c r="M6009" s="471">
        <f t="shared" si="201"/>
        <v>0.05</v>
      </c>
      <c r="N6009" s="475">
        <f t="shared" si="202"/>
        <v>233939</v>
      </c>
    </row>
    <row r="6010" spans="7:14" ht="11.25" customHeight="1" x14ac:dyDescent="0.3">
      <c r="G6010" s="470"/>
      <c r="H6010" s="470">
        <v>6003</v>
      </c>
      <c r="I6010" s="455">
        <f t="shared" ca="1" si="200"/>
        <v>-2.9566056543341052E+16</v>
      </c>
      <c r="J6010" s="455">
        <f t="array" ref="J6010">IFERROR(INDEX('Retirement Calculator'!K:K,MATCH('Lorri 401b'!N6010,'Retirement Calculator'!A:A,0),0),0)</f>
        <v>0</v>
      </c>
      <c r="K6010" s="455">
        <f t="shared" ca="1" si="198"/>
        <v>-123191902263921.05</v>
      </c>
      <c r="L6010" s="455">
        <f t="shared" ca="1" si="199"/>
        <v>-2.9689248445604972E+16</v>
      </c>
      <c r="M6010" s="471">
        <f t="shared" si="201"/>
        <v>0.05</v>
      </c>
      <c r="N6010" s="475">
        <f t="shared" si="202"/>
        <v>233970</v>
      </c>
    </row>
    <row r="6011" spans="7:14" ht="11.25" customHeight="1" x14ac:dyDescent="0.3">
      <c r="G6011" s="470"/>
      <c r="H6011" s="470">
        <v>6004</v>
      </c>
      <c r="I6011" s="455">
        <f t="shared" ca="1" si="200"/>
        <v>-2.9689248445604972E+16</v>
      </c>
      <c r="J6011" s="455">
        <f t="array" ref="J6011">IFERROR(INDEX('Retirement Calculator'!K:K,MATCH('Lorri 401b'!N6011,'Retirement Calculator'!A:A,0),0),0)</f>
        <v>0</v>
      </c>
      <c r="K6011" s="455">
        <f t="shared" ca="1" si="198"/>
        <v>-123705201856687.38</v>
      </c>
      <c r="L6011" s="455">
        <f t="shared" ca="1" si="199"/>
        <v>-2.981295364746166E+16</v>
      </c>
      <c r="M6011" s="471">
        <f t="shared" si="201"/>
        <v>0.05</v>
      </c>
      <c r="N6011" s="475">
        <f t="shared" si="202"/>
        <v>234001</v>
      </c>
    </row>
    <row r="6012" spans="7:14" ht="11.25" customHeight="1" x14ac:dyDescent="0.3">
      <c r="G6012" s="470"/>
      <c r="H6012" s="470">
        <v>6005</v>
      </c>
      <c r="I6012" s="455">
        <f t="shared" ca="1" si="200"/>
        <v>-2.981295364746166E+16</v>
      </c>
      <c r="J6012" s="455">
        <f t="array" ref="J6012">IFERROR(INDEX('Retirement Calculator'!K:K,MATCH('Lorri 401b'!N6012,'Retirement Calculator'!A:A,0),0),0)</f>
        <v>0</v>
      </c>
      <c r="K6012" s="455">
        <f t="shared" ca="1" si="198"/>
        <v>-124220640197756.89</v>
      </c>
      <c r="L6012" s="455">
        <f t="shared" ca="1" si="199"/>
        <v>-2.9937174287659416E+16</v>
      </c>
      <c r="M6012" s="471">
        <f t="shared" si="201"/>
        <v>0.05</v>
      </c>
      <c r="N6012" s="475">
        <f t="shared" si="202"/>
        <v>234031</v>
      </c>
    </row>
    <row r="6013" spans="7:14" ht="11.25" customHeight="1" x14ac:dyDescent="0.3">
      <c r="G6013" s="470"/>
      <c r="H6013" s="470">
        <v>6006</v>
      </c>
      <c r="I6013" s="455">
        <f t="shared" ca="1" si="200"/>
        <v>-2.9937174287659416E+16</v>
      </c>
      <c r="J6013" s="455">
        <f t="array" ref="J6013">IFERROR(INDEX('Retirement Calculator'!K:K,MATCH('Lorri 401b'!N6013,'Retirement Calculator'!A:A,0),0),0)</f>
        <v>0</v>
      </c>
      <c r="K6013" s="455">
        <f t="shared" ca="1" si="198"/>
        <v>-124738226198580.88</v>
      </c>
      <c r="L6013" s="455">
        <f t="shared" ca="1" si="199"/>
        <v>-3.0061912513857996E+16</v>
      </c>
      <c r="M6013" s="471">
        <f t="shared" si="201"/>
        <v>0.05</v>
      </c>
      <c r="N6013" s="475">
        <f t="shared" si="202"/>
        <v>234062</v>
      </c>
    </row>
    <row r="6014" spans="7:14" ht="11.25" customHeight="1" x14ac:dyDescent="0.3">
      <c r="G6014" s="470"/>
      <c r="H6014" s="470">
        <v>6007</v>
      </c>
      <c r="I6014" s="455">
        <f t="shared" ca="1" si="200"/>
        <v>-3.0061912513857996E+16</v>
      </c>
      <c r="J6014" s="455">
        <f t="array" ref="J6014">IFERROR(INDEX('Retirement Calculator'!K:K,MATCH('Lorri 401b'!N6014,'Retirement Calculator'!A:A,0),0),0)</f>
        <v>0</v>
      </c>
      <c r="K6014" s="455">
        <f t="shared" ca="1" si="198"/>
        <v>-125257968807741.64</v>
      </c>
      <c r="L6014" s="455">
        <f t="shared" ca="1" si="199"/>
        <v>-3.0187170482665736E+16</v>
      </c>
      <c r="M6014" s="471">
        <f t="shared" si="201"/>
        <v>0.05</v>
      </c>
      <c r="N6014" s="475">
        <f t="shared" si="202"/>
        <v>234092</v>
      </c>
    </row>
    <row r="6015" spans="7:14" ht="11.25" customHeight="1" x14ac:dyDescent="0.3">
      <c r="G6015" s="470"/>
      <c r="H6015" s="470">
        <v>6008</v>
      </c>
      <c r="I6015" s="455">
        <f t="shared" ca="1" si="200"/>
        <v>-3.0187170482665736E+16</v>
      </c>
      <c r="J6015" s="455">
        <f t="array" ref="J6015">IFERROR(INDEX('Retirement Calculator'!K:K,MATCH('Lorri 401b'!N6015,'Retirement Calculator'!A:A,0),0),0)</f>
        <v>0</v>
      </c>
      <c r="K6015" s="455">
        <f t="shared" ca="1" si="198"/>
        <v>-125779877011107.23</v>
      </c>
      <c r="L6015" s="455">
        <f t="shared" ca="1" si="199"/>
        <v>-3.0312950359676844E+16</v>
      </c>
      <c r="M6015" s="471">
        <f t="shared" si="201"/>
        <v>0.05</v>
      </c>
      <c r="N6015" s="475">
        <f t="shared" si="202"/>
        <v>234123</v>
      </c>
    </row>
    <row r="6016" spans="7:14" ht="11.25" customHeight="1" x14ac:dyDescent="0.3">
      <c r="G6016" s="470"/>
      <c r="H6016" s="470">
        <v>6009</v>
      </c>
      <c r="I6016" s="455">
        <f t="shared" ca="1" si="200"/>
        <v>-3.0312950359676844E+16</v>
      </c>
      <c r="J6016" s="455">
        <f t="array" ref="J6016">IFERROR(INDEX('Retirement Calculator'!K:K,MATCH('Lorri 401b'!N6016,'Retirement Calculator'!A:A,0),0),0)</f>
        <v>0</v>
      </c>
      <c r="K6016" s="455">
        <f t="shared" ca="1" si="198"/>
        <v>-126303959831986.84</v>
      </c>
      <c r="L6016" s="455">
        <f t="shared" ca="1" si="199"/>
        <v>-3.0439254319508832E+16</v>
      </c>
      <c r="M6016" s="471">
        <f t="shared" si="201"/>
        <v>0.05</v>
      </c>
      <c r="N6016" s="475">
        <f t="shared" si="202"/>
        <v>234154</v>
      </c>
    </row>
    <row r="6017" spans="7:14" ht="11.25" customHeight="1" x14ac:dyDescent="0.3">
      <c r="G6017" s="470"/>
      <c r="H6017" s="470">
        <v>6010</v>
      </c>
      <c r="I6017" s="455">
        <f t="shared" ca="1" si="200"/>
        <v>-3.0439254319508832E+16</v>
      </c>
      <c r="J6017" s="455">
        <f t="array" ref="J6017">IFERROR(INDEX('Retirement Calculator'!K:K,MATCH('Lorri 401b'!N6017,'Retirement Calculator'!A:A,0),0),0)</f>
        <v>0</v>
      </c>
      <c r="K6017" s="455">
        <f t="shared" ca="1" si="198"/>
        <v>-126830226331286.81</v>
      </c>
      <c r="L6017" s="455">
        <f t="shared" ca="1" si="199"/>
        <v>-3.056608454584012E+16</v>
      </c>
      <c r="M6017" s="471">
        <f t="shared" si="201"/>
        <v>0.05</v>
      </c>
      <c r="N6017" s="475">
        <f t="shared" si="202"/>
        <v>234182</v>
      </c>
    </row>
    <row r="6018" spans="7:14" ht="11.25" customHeight="1" x14ac:dyDescent="0.3">
      <c r="G6018" s="470"/>
      <c r="H6018" s="470">
        <v>6011</v>
      </c>
      <c r="I6018" s="455">
        <f t="shared" ca="1" si="200"/>
        <v>-3.056608454584012E+16</v>
      </c>
      <c r="J6018" s="455">
        <f t="array" ref="J6018">IFERROR(INDEX('Retirement Calculator'!K:K,MATCH('Lorri 401b'!N6018,'Retirement Calculator'!A:A,0),0),0)</f>
        <v>0</v>
      </c>
      <c r="K6018" s="455">
        <f t="shared" ca="1" si="198"/>
        <v>-127358685607667.17</v>
      </c>
      <c r="L6018" s="455">
        <f t="shared" ca="1" si="199"/>
        <v>-3.0693443231447788E+16</v>
      </c>
      <c r="M6018" s="471">
        <f t="shared" si="201"/>
        <v>0.05</v>
      </c>
      <c r="N6018" s="475">
        <f t="shared" si="202"/>
        <v>234213</v>
      </c>
    </row>
    <row r="6019" spans="7:14" ht="11.25" customHeight="1" x14ac:dyDescent="0.3">
      <c r="G6019" s="470"/>
      <c r="H6019" s="470">
        <v>6012</v>
      </c>
      <c r="I6019" s="455">
        <f t="shared" ca="1" si="200"/>
        <v>-3.0693443231447788E+16</v>
      </c>
      <c r="J6019" s="455">
        <f t="array" ref="J6019">IFERROR(INDEX('Retirement Calculator'!K:K,MATCH('Lorri 401b'!N6019,'Retirement Calculator'!A:A,0),0),0)</f>
        <v>0</v>
      </c>
      <c r="K6019" s="455">
        <f t="shared" ca="1" si="198"/>
        <v>-127889346797699.11</v>
      </c>
      <c r="L6019" s="455">
        <f t="shared" ca="1" si="199"/>
        <v>-3.0821332578245488E+16</v>
      </c>
      <c r="M6019" s="471">
        <f t="shared" si="201"/>
        <v>0.05</v>
      </c>
      <c r="N6019" s="475">
        <f t="shared" si="202"/>
        <v>234243</v>
      </c>
    </row>
    <row r="6020" spans="7:14" ht="11.25" customHeight="1" x14ac:dyDescent="0.3">
      <c r="G6020" s="470"/>
      <c r="H6020" s="470">
        <v>6013</v>
      </c>
      <c r="I6020" s="455">
        <f t="shared" ca="1" si="200"/>
        <v>-3.0821332578245488E+16</v>
      </c>
      <c r="J6020" s="455">
        <f t="array" ref="J6020">IFERROR(INDEX('Retirement Calculator'!K:K,MATCH('Lorri 401b'!N6020,'Retirement Calculator'!A:A,0),0),0)</f>
        <v>0</v>
      </c>
      <c r="K6020" s="455">
        <f t="shared" ca="1" si="198"/>
        <v>-128422219076022.88</v>
      </c>
      <c r="L6020" s="455">
        <f t="shared" ca="1" si="199"/>
        <v>-3.0949754797321512E+16</v>
      </c>
      <c r="M6020" s="471">
        <f t="shared" si="201"/>
        <v>0.05</v>
      </c>
      <c r="N6020" s="475">
        <f t="shared" si="202"/>
        <v>234274</v>
      </c>
    </row>
    <row r="6021" spans="7:14" ht="11.25" customHeight="1" x14ac:dyDescent="0.3">
      <c r="G6021" s="470"/>
      <c r="H6021" s="470">
        <v>6014</v>
      </c>
      <c r="I6021" s="455">
        <f t="shared" ca="1" si="200"/>
        <v>-3.0949754797321512E+16</v>
      </c>
      <c r="J6021" s="455">
        <f t="array" ref="J6021">IFERROR(INDEX('Retirement Calculator'!K:K,MATCH('Lorri 401b'!N6021,'Retirement Calculator'!A:A,0),0),0)</f>
        <v>0</v>
      </c>
      <c r="K6021" s="455">
        <f t="shared" ca="1" si="198"/>
        <v>-128957311655506.3</v>
      </c>
      <c r="L6021" s="455">
        <f t="shared" ca="1" si="199"/>
        <v>-3.107871210897702E+16</v>
      </c>
      <c r="M6021" s="471">
        <f t="shared" si="201"/>
        <v>0.05</v>
      </c>
      <c r="N6021" s="475">
        <f t="shared" si="202"/>
        <v>234304</v>
      </c>
    </row>
    <row r="6022" spans="7:14" ht="11.25" customHeight="1" x14ac:dyDescent="0.3">
      <c r="G6022" s="470"/>
      <c r="H6022" s="470">
        <v>6015</v>
      </c>
      <c r="I6022" s="455">
        <f t="shared" ca="1" si="200"/>
        <v>-3.107871210897702E+16</v>
      </c>
      <c r="J6022" s="455">
        <f t="array" ref="J6022">IFERROR(INDEX('Retirement Calculator'!K:K,MATCH('Lorri 401b'!N6022,'Retirement Calculator'!A:A,0),0),0)</f>
        <v>0</v>
      </c>
      <c r="K6022" s="455">
        <f t="shared" ca="1" si="198"/>
        <v>-129494633787404.25</v>
      </c>
      <c r="L6022" s="455">
        <f t="shared" ca="1" si="199"/>
        <v>-3.1208206742764424E+16</v>
      </c>
      <c r="M6022" s="471">
        <f t="shared" si="201"/>
        <v>0.05</v>
      </c>
      <c r="N6022" s="475">
        <f t="shared" si="202"/>
        <v>234335</v>
      </c>
    </row>
    <row r="6023" spans="7:14" ht="11.25" customHeight="1" x14ac:dyDescent="0.3">
      <c r="G6023" s="470"/>
      <c r="H6023" s="470">
        <v>6016</v>
      </c>
      <c r="I6023" s="455">
        <f t="shared" ca="1" si="200"/>
        <v>-3.1208206742764424E+16</v>
      </c>
      <c r="J6023" s="455">
        <f t="array" ref="J6023">IFERROR(INDEX('Retirement Calculator'!K:K,MATCH('Lorri 401b'!N6023,'Retirement Calculator'!A:A,0),0),0)</f>
        <v>0</v>
      </c>
      <c r="K6023" s="455">
        <f t="shared" ca="1" si="198"/>
        <v>-130034194761518.44</v>
      </c>
      <c r="L6023" s="455">
        <f t="shared" ca="1" si="199"/>
        <v>-3.1338240937525944E+16</v>
      </c>
      <c r="M6023" s="471">
        <f t="shared" si="201"/>
        <v>0.05</v>
      </c>
      <c r="N6023" s="475">
        <f t="shared" si="202"/>
        <v>234366</v>
      </c>
    </row>
    <row r="6024" spans="7:14" ht="11.25" customHeight="1" x14ac:dyDescent="0.3">
      <c r="G6024" s="470"/>
      <c r="H6024" s="470">
        <v>6017</v>
      </c>
      <c r="I6024" s="455">
        <f t="shared" ca="1" si="200"/>
        <v>-3.1338240937525944E+16</v>
      </c>
      <c r="J6024" s="455">
        <f t="array" ref="J6024">IFERROR(INDEX('Retirement Calculator'!K:K,MATCH('Lorri 401b'!N6024,'Retirement Calculator'!A:A,0),0),0)</f>
        <v>0</v>
      </c>
      <c r="K6024" s="455">
        <f t="shared" ca="1" si="198"/>
        <v>-130576003906358.09</v>
      </c>
      <c r="L6024" s="455">
        <f t="shared" ca="1" si="199"/>
        <v>-3.1468816941432304E+16</v>
      </c>
      <c r="M6024" s="471">
        <f t="shared" si="201"/>
        <v>0.05</v>
      </c>
      <c r="N6024" s="475">
        <f t="shared" si="202"/>
        <v>234396</v>
      </c>
    </row>
    <row r="6025" spans="7:14" ht="11.25" customHeight="1" x14ac:dyDescent="0.3">
      <c r="G6025" s="470"/>
      <c r="H6025" s="470">
        <v>6018</v>
      </c>
      <c r="I6025" s="455">
        <f t="shared" ca="1" si="200"/>
        <v>-3.1468816941432304E+16</v>
      </c>
      <c r="J6025" s="455">
        <f t="array" ref="J6025">IFERROR(INDEX('Retirement Calculator'!K:K,MATCH('Lorri 401b'!N6025,'Retirement Calculator'!A:A,0),0),0)</f>
        <v>0</v>
      </c>
      <c r="K6025" s="455">
        <f t="shared" ca="1" si="198"/>
        <v>-131120070589301.27</v>
      </c>
      <c r="L6025" s="455">
        <f t="shared" ca="1" si="199"/>
        <v>-3.1599937012021604E+16</v>
      </c>
      <c r="M6025" s="471">
        <f t="shared" si="201"/>
        <v>0.05</v>
      </c>
      <c r="N6025" s="475">
        <f t="shared" si="202"/>
        <v>234427</v>
      </c>
    </row>
    <row r="6026" spans="7:14" ht="11.25" customHeight="1" x14ac:dyDescent="0.3">
      <c r="G6026" s="470"/>
      <c r="H6026" s="470">
        <v>6019</v>
      </c>
      <c r="I6026" s="455">
        <f t="shared" ca="1" si="200"/>
        <v>-3.1599937012021604E+16</v>
      </c>
      <c r="J6026" s="455">
        <f t="array" ref="J6026">IFERROR(INDEX('Retirement Calculator'!K:K,MATCH('Lorri 401b'!N6026,'Retirement Calculator'!A:A,0),0),0)</f>
        <v>0</v>
      </c>
      <c r="K6026" s="455">
        <f t="shared" ca="1" si="198"/>
        <v>-131666404216756.69</v>
      </c>
      <c r="L6026" s="455">
        <f t="shared" ca="1" si="199"/>
        <v>-3.173160341623836E+16</v>
      </c>
      <c r="M6026" s="471">
        <f t="shared" si="201"/>
        <v>0.05</v>
      </c>
      <c r="N6026" s="475">
        <f t="shared" si="202"/>
        <v>234457</v>
      </c>
    </row>
    <row r="6027" spans="7:14" ht="11.25" customHeight="1" x14ac:dyDescent="0.3">
      <c r="G6027" s="470"/>
      <c r="H6027" s="470">
        <v>6020</v>
      </c>
      <c r="I6027" s="455">
        <f t="shared" ca="1" si="200"/>
        <v>-3.173160341623836E+16</v>
      </c>
      <c r="J6027" s="455">
        <f t="array" ref="J6027">IFERROR(INDEX('Retirement Calculator'!K:K,MATCH('Lorri 401b'!N6027,'Retirement Calculator'!A:A,0),0),0)</f>
        <v>0</v>
      </c>
      <c r="K6027" s="455">
        <f t="shared" ca="1" si="198"/>
        <v>-132215014234326.52</v>
      </c>
      <c r="L6027" s="455">
        <f t="shared" ca="1" si="199"/>
        <v>-3.1863818430472688E+16</v>
      </c>
      <c r="M6027" s="471">
        <f t="shared" si="201"/>
        <v>0.05</v>
      </c>
      <c r="N6027" s="475">
        <f t="shared" si="202"/>
        <v>234488</v>
      </c>
    </row>
    <row r="6028" spans="7:14" ht="11.25" customHeight="1" x14ac:dyDescent="0.3">
      <c r="G6028" s="470"/>
      <c r="H6028" s="470">
        <v>6021</v>
      </c>
      <c r="I6028" s="455">
        <f t="shared" ca="1" si="200"/>
        <v>-3.1863818430472688E+16</v>
      </c>
      <c r="J6028" s="455">
        <f t="array" ref="J6028">IFERROR(INDEX('Retirement Calculator'!K:K,MATCH('Lorri 401b'!N6028,'Retirement Calculator'!A:A,0),0),0)</f>
        <v>0</v>
      </c>
      <c r="K6028" s="455">
        <f t="shared" ca="1" si="198"/>
        <v>-132765910126969.55</v>
      </c>
      <c r="L6028" s="455">
        <f t="shared" ca="1" si="199"/>
        <v>-3.1996584340599656E+16</v>
      </c>
      <c r="M6028" s="471">
        <f t="shared" si="201"/>
        <v>0.05</v>
      </c>
      <c r="N6028" s="475">
        <f t="shared" si="202"/>
        <v>234519</v>
      </c>
    </row>
    <row r="6029" spans="7:14" ht="11.25" customHeight="1" x14ac:dyDescent="0.3">
      <c r="G6029" s="470"/>
      <c r="H6029" s="470">
        <v>6022</v>
      </c>
      <c r="I6029" s="455">
        <f t="shared" ca="1" si="200"/>
        <v>-3.1996584340599656E+16</v>
      </c>
      <c r="J6029" s="455">
        <f t="array" ref="J6029">IFERROR(INDEX('Retirement Calculator'!K:K,MATCH('Lorri 401b'!N6029,'Retirement Calculator'!A:A,0),0),0)</f>
        <v>0</v>
      </c>
      <c r="K6029" s="455">
        <f t="shared" ca="1" si="198"/>
        <v>-133319101419165.22</v>
      </c>
      <c r="L6029" s="455">
        <f t="shared" ca="1" si="199"/>
        <v>-3.212990344201882E+16</v>
      </c>
      <c r="M6029" s="471">
        <f t="shared" si="201"/>
        <v>0.05</v>
      </c>
      <c r="N6029" s="475">
        <f t="shared" si="202"/>
        <v>234547</v>
      </c>
    </row>
    <row r="6030" spans="7:14" ht="11.25" customHeight="1" x14ac:dyDescent="0.3">
      <c r="G6030" s="470"/>
      <c r="H6030" s="470">
        <v>6023</v>
      </c>
      <c r="I6030" s="455">
        <f t="shared" ca="1" si="200"/>
        <v>-3.212990344201882E+16</v>
      </c>
      <c r="J6030" s="455">
        <f t="array" ref="J6030">IFERROR(INDEX('Retirement Calculator'!K:K,MATCH('Lorri 401b'!N6030,'Retirement Calculator'!A:A,0),0),0)</f>
        <v>0</v>
      </c>
      <c r="K6030" s="455">
        <f t="shared" ca="1" si="198"/>
        <v>-133874597675078.42</v>
      </c>
      <c r="L6030" s="455">
        <f t="shared" ca="1" si="199"/>
        <v>-3.22637780396939E+16</v>
      </c>
      <c r="M6030" s="471">
        <f t="shared" si="201"/>
        <v>0.05</v>
      </c>
      <c r="N6030" s="475">
        <f t="shared" si="202"/>
        <v>234578</v>
      </c>
    </row>
    <row r="6031" spans="7:14" ht="11.25" customHeight="1" x14ac:dyDescent="0.3">
      <c r="G6031" s="470"/>
      <c r="H6031" s="470">
        <v>6024</v>
      </c>
      <c r="I6031" s="455">
        <f t="shared" ca="1" si="200"/>
        <v>-3.22637780396939E+16</v>
      </c>
      <c r="J6031" s="455">
        <f t="array" ref="J6031">IFERROR(INDEX('Retirement Calculator'!K:K,MATCH('Lorri 401b'!N6031,'Retirement Calculator'!A:A,0),0),0)</f>
        <v>0</v>
      </c>
      <c r="K6031" s="455">
        <f t="shared" ca="1" si="198"/>
        <v>-134432408498724.56</v>
      </c>
      <c r="L6031" s="455">
        <f t="shared" ca="1" si="199"/>
        <v>-3.2398210448192624E+16</v>
      </c>
      <c r="M6031" s="471">
        <f t="shared" si="201"/>
        <v>0.05</v>
      </c>
      <c r="N6031" s="475">
        <f t="shared" si="202"/>
        <v>234608</v>
      </c>
    </row>
    <row r="6032" spans="7:14" ht="11.25" customHeight="1" x14ac:dyDescent="0.3">
      <c r="G6032" s="470"/>
      <c r="H6032" s="470">
        <v>6025</v>
      </c>
      <c r="I6032" s="455">
        <f t="shared" ca="1" si="200"/>
        <v>-3.2398210448192624E+16</v>
      </c>
      <c r="J6032" s="455">
        <f t="array" ref="J6032">IFERROR(INDEX('Retirement Calculator'!K:K,MATCH('Lorri 401b'!N6032,'Retirement Calculator'!A:A,0),0),0)</f>
        <v>0</v>
      </c>
      <c r="K6032" s="455">
        <f t="shared" ca="1" si="198"/>
        <v>-134992543534135.94</v>
      </c>
      <c r="L6032" s="455">
        <f t="shared" ca="1" si="199"/>
        <v>-3.253320299172676E+16</v>
      </c>
      <c r="M6032" s="471">
        <f t="shared" si="201"/>
        <v>0.05</v>
      </c>
      <c r="N6032" s="475">
        <f t="shared" si="202"/>
        <v>234639</v>
      </c>
    </row>
    <row r="6033" spans="7:14" ht="11.25" customHeight="1" x14ac:dyDescent="0.3">
      <c r="G6033" s="470"/>
      <c r="H6033" s="470">
        <v>6026</v>
      </c>
      <c r="I6033" s="455">
        <f t="shared" ca="1" si="200"/>
        <v>-3.253320299172676E+16</v>
      </c>
      <c r="J6033" s="455">
        <f t="array" ref="J6033">IFERROR(INDEX('Retirement Calculator'!K:K,MATCH('Lorri 401b'!N6033,'Retirement Calculator'!A:A,0),0),0)</f>
        <v>0</v>
      </c>
      <c r="K6033" s="455">
        <f t="shared" ca="1" si="198"/>
        <v>-135555012465528.17</v>
      </c>
      <c r="L6033" s="455">
        <f t="shared" ca="1" si="199"/>
        <v>-3.2668758004192288E+16</v>
      </c>
      <c r="M6033" s="471">
        <f t="shared" si="201"/>
        <v>0.05</v>
      </c>
      <c r="N6033" s="475">
        <f t="shared" si="202"/>
        <v>234669</v>
      </c>
    </row>
    <row r="6034" spans="7:14" ht="11.25" customHeight="1" x14ac:dyDescent="0.3">
      <c r="G6034" s="470"/>
      <c r="H6034" s="470">
        <v>6027</v>
      </c>
      <c r="I6034" s="455">
        <f t="shared" ca="1" si="200"/>
        <v>-3.2668758004192288E+16</v>
      </c>
      <c r="J6034" s="455">
        <f t="array" ref="J6034">IFERROR(INDEX('Retirement Calculator'!K:K,MATCH('Lorri 401b'!N6034,'Retirement Calculator'!A:A,0),0),0)</f>
        <v>0</v>
      </c>
      <c r="K6034" s="455">
        <f t="shared" ca="1" si="198"/>
        <v>-136119825017467.86</v>
      </c>
      <c r="L6034" s="455">
        <f t="shared" ca="1" si="199"/>
        <v>-3.2804877829209756E+16</v>
      </c>
      <c r="M6034" s="471">
        <f t="shared" si="201"/>
        <v>0.05</v>
      </c>
      <c r="N6034" s="475">
        <f t="shared" si="202"/>
        <v>234700</v>
      </c>
    </row>
    <row r="6035" spans="7:14" ht="11.25" customHeight="1" x14ac:dyDescent="0.3">
      <c r="G6035" s="470"/>
      <c r="H6035" s="470">
        <v>6028</v>
      </c>
      <c r="I6035" s="455">
        <f t="shared" ca="1" si="200"/>
        <v>-3.2804877829209756E+16</v>
      </c>
      <c r="J6035" s="455">
        <f t="array" ref="J6035">IFERROR(INDEX('Retirement Calculator'!K:K,MATCH('Lorri 401b'!N6035,'Retirement Calculator'!A:A,0),0),0)</f>
        <v>0</v>
      </c>
      <c r="K6035" s="455">
        <f t="shared" ca="1" si="198"/>
        <v>-136686990955040.64</v>
      </c>
      <c r="L6035" s="455">
        <f t="shared" ca="1" si="199"/>
        <v>-3.2941564820164796E+16</v>
      </c>
      <c r="M6035" s="471">
        <f t="shared" si="201"/>
        <v>0.05</v>
      </c>
      <c r="N6035" s="475">
        <f t="shared" si="202"/>
        <v>234731</v>
      </c>
    </row>
    <row r="6036" spans="7:14" ht="11.25" customHeight="1" x14ac:dyDescent="0.3">
      <c r="G6036" s="470"/>
      <c r="H6036" s="470">
        <v>6029</v>
      </c>
      <c r="I6036" s="455">
        <f t="shared" ca="1" si="200"/>
        <v>-3.2941564820164796E+16</v>
      </c>
      <c r="J6036" s="455">
        <f t="array" ref="J6036">IFERROR(INDEX('Retirement Calculator'!K:K,MATCH('Lorri 401b'!N6036,'Retirement Calculator'!A:A,0),0),0)</f>
        <v>0</v>
      </c>
      <c r="K6036" s="455">
        <f t="shared" ca="1" si="198"/>
        <v>-137256520084019.98</v>
      </c>
      <c r="L6036" s="455">
        <f t="shared" ca="1" si="199"/>
        <v>-3.3078821340248816E+16</v>
      </c>
      <c r="M6036" s="471">
        <f t="shared" si="201"/>
        <v>0.05</v>
      </c>
      <c r="N6036" s="475">
        <f t="shared" si="202"/>
        <v>234761</v>
      </c>
    </row>
    <row r="6037" spans="7:14" ht="11.25" customHeight="1" x14ac:dyDescent="0.3">
      <c r="G6037" s="470"/>
      <c r="H6037" s="470">
        <v>6030</v>
      </c>
      <c r="I6037" s="455">
        <f t="shared" ca="1" si="200"/>
        <v>-3.3078821340248816E+16</v>
      </c>
      <c r="J6037" s="455">
        <f t="array" ref="J6037">IFERROR(INDEX('Retirement Calculator'!K:K,MATCH('Lorri 401b'!N6037,'Retirement Calculator'!A:A,0),0),0)</f>
        <v>0</v>
      </c>
      <c r="K6037" s="455">
        <f t="shared" ca="1" si="198"/>
        <v>-137828422251036.73</v>
      </c>
      <c r="L6037" s="455">
        <f t="shared" ca="1" si="199"/>
        <v>-3.3216649762499852E+16</v>
      </c>
      <c r="M6037" s="471">
        <f t="shared" si="201"/>
        <v>0.05</v>
      </c>
      <c r="N6037" s="475">
        <f t="shared" si="202"/>
        <v>234792</v>
      </c>
    </row>
    <row r="6038" spans="7:14" ht="11.25" customHeight="1" x14ac:dyDescent="0.3">
      <c r="G6038" s="470"/>
      <c r="H6038" s="470">
        <v>6031</v>
      </c>
      <c r="I6038" s="455">
        <f t="shared" ca="1" si="200"/>
        <v>-3.3216649762499852E+16</v>
      </c>
      <c r="J6038" s="455">
        <f t="array" ref="J6038">IFERROR(INDEX('Retirement Calculator'!K:K,MATCH('Lorri 401b'!N6038,'Retirement Calculator'!A:A,0),0),0)</f>
        <v>0</v>
      </c>
      <c r="K6038" s="455">
        <f t="shared" ca="1" si="198"/>
        <v>-138402707343749.38</v>
      </c>
      <c r="L6038" s="455">
        <f t="shared" ca="1" si="199"/>
        <v>-3.33550524698436E+16</v>
      </c>
      <c r="M6038" s="471">
        <f t="shared" si="201"/>
        <v>0.05</v>
      </c>
      <c r="N6038" s="475">
        <f t="shared" si="202"/>
        <v>234822</v>
      </c>
    </row>
    <row r="6039" spans="7:14" ht="11.25" customHeight="1" x14ac:dyDescent="0.3">
      <c r="G6039" s="470"/>
      <c r="H6039" s="470">
        <v>6032</v>
      </c>
      <c r="I6039" s="455">
        <f t="shared" ca="1" si="200"/>
        <v>-3.33550524698436E+16</v>
      </c>
      <c r="J6039" s="455">
        <f t="array" ref="J6039">IFERROR(INDEX('Retirement Calculator'!K:K,MATCH('Lorri 401b'!N6039,'Retirement Calculator'!A:A,0),0),0)</f>
        <v>0</v>
      </c>
      <c r="K6039" s="455">
        <f t="shared" ca="1" si="198"/>
        <v>-138979385291014.98</v>
      </c>
      <c r="L6039" s="455">
        <f t="shared" ca="1" si="199"/>
        <v>-3.3494031855134616E+16</v>
      </c>
      <c r="M6039" s="471">
        <f t="shared" si="201"/>
        <v>0.05</v>
      </c>
      <c r="N6039" s="475">
        <f t="shared" si="202"/>
        <v>234853</v>
      </c>
    </row>
    <row r="6040" spans="7:14" ht="11.25" customHeight="1" x14ac:dyDescent="0.3">
      <c r="G6040" s="470"/>
      <c r="H6040" s="470">
        <v>6033</v>
      </c>
      <c r="I6040" s="455">
        <f t="shared" ca="1" si="200"/>
        <v>-3.3494031855134616E+16</v>
      </c>
      <c r="J6040" s="455">
        <f t="array" ref="J6040">IFERROR(INDEX('Retirement Calculator'!K:K,MATCH('Lorri 401b'!N6040,'Retirement Calculator'!A:A,0),0),0)</f>
        <v>0</v>
      </c>
      <c r="K6040" s="455">
        <f t="shared" ca="1" si="198"/>
        <v>-139558466063060.89</v>
      </c>
      <c r="L6040" s="455">
        <f t="shared" ca="1" si="199"/>
        <v>-3.3633590321197676E+16</v>
      </c>
      <c r="M6040" s="471">
        <f t="shared" si="201"/>
        <v>0.05</v>
      </c>
      <c r="N6040" s="475">
        <f t="shared" si="202"/>
        <v>234884</v>
      </c>
    </row>
    <row r="6041" spans="7:14" ht="11.25" customHeight="1" x14ac:dyDescent="0.3">
      <c r="G6041" s="470"/>
      <c r="H6041" s="470">
        <v>6034</v>
      </c>
      <c r="I6041" s="455">
        <f t="shared" ca="1" si="200"/>
        <v>-3.3633590321197676E+16</v>
      </c>
      <c r="J6041" s="455">
        <f t="array" ref="J6041">IFERROR(INDEX('Retirement Calculator'!K:K,MATCH('Lorri 401b'!N6041,'Retirement Calculator'!A:A,0),0),0)</f>
        <v>0</v>
      </c>
      <c r="K6041" s="455">
        <f t="shared" ca="1" si="198"/>
        <v>-140139959671656.98</v>
      </c>
      <c r="L6041" s="455">
        <f t="shared" ca="1" si="199"/>
        <v>-3.3773730280869332E+16</v>
      </c>
      <c r="M6041" s="471">
        <f t="shared" si="201"/>
        <v>0.05</v>
      </c>
      <c r="N6041" s="475">
        <f t="shared" si="202"/>
        <v>234912</v>
      </c>
    </row>
    <row r="6042" spans="7:14" ht="11.25" customHeight="1" x14ac:dyDescent="0.3">
      <c r="G6042" s="470"/>
      <c r="H6042" s="470">
        <v>6035</v>
      </c>
      <c r="I6042" s="455">
        <f t="shared" ca="1" si="200"/>
        <v>-3.3773730280869332E+16</v>
      </c>
      <c r="J6042" s="455">
        <f t="array" ref="J6042">IFERROR(INDEX('Retirement Calculator'!K:K,MATCH('Lorri 401b'!N6042,'Retirement Calculator'!A:A,0),0),0)</f>
        <v>0</v>
      </c>
      <c r="K6042" s="455">
        <f t="shared" ca="1" si="198"/>
        <v>-140723876170288.88</v>
      </c>
      <c r="L6042" s="455">
        <f t="shared" ca="1" si="199"/>
        <v>-3.391445415703962E+16</v>
      </c>
      <c r="M6042" s="471">
        <f t="shared" si="201"/>
        <v>0.05</v>
      </c>
      <c r="N6042" s="475">
        <f t="shared" si="202"/>
        <v>234943</v>
      </c>
    </row>
    <row r="6043" spans="7:14" ht="11.25" customHeight="1" x14ac:dyDescent="0.3">
      <c r="G6043" s="470"/>
      <c r="H6043" s="470">
        <v>6036</v>
      </c>
      <c r="I6043" s="455">
        <f t="shared" ca="1" si="200"/>
        <v>-3.391445415703962E+16</v>
      </c>
      <c r="J6043" s="455">
        <f t="array" ref="J6043">IFERROR(INDEX('Retirement Calculator'!K:K,MATCH('Lorri 401b'!N6043,'Retirement Calculator'!A:A,0),0),0)</f>
        <v>0</v>
      </c>
      <c r="K6043" s="455">
        <f t="shared" ca="1" si="198"/>
        <v>-141310225654331.75</v>
      </c>
      <c r="L6043" s="455">
        <f t="shared" ca="1" si="199"/>
        <v>-3.4055764382693952E+16</v>
      </c>
      <c r="M6043" s="471">
        <f t="shared" si="201"/>
        <v>0.05</v>
      </c>
      <c r="N6043" s="475">
        <f t="shared" si="202"/>
        <v>234973</v>
      </c>
    </row>
    <row r="6044" spans="7:14" ht="11.25" customHeight="1" x14ac:dyDescent="0.3">
      <c r="G6044" s="470"/>
      <c r="H6044" s="470">
        <v>6037</v>
      </c>
      <c r="I6044" s="455">
        <f t="shared" ca="1" si="200"/>
        <v>-3.4055764382693952E+16</v>
      </c>
      <c r="J6044" s="455">
        <f t="array" ref="J6044">IFERROR(INDEX('Retirement Calculator'!K:K,MATCH('Lorri 401b'!N6044,'Retirement Calculator'!A:A,0),0),0)</f>
        <v>0</v>
      </c>
      <c r="K6044" s="455">
        <f t="shared" ca="1" si="198"/>
        <v>-141899018261224.81</v>
      </c>
      <c r="L6044" s="455">
        <f t="shared" ca="1" si="199"/>
        <v>-3.4197663400955176E+16</v>
      </c>
      <c r="M6044" s="471">
        <f t="shared" si="201"/>
        <v>0.05</v>
      </c>
      <c r="N6044" s="475">
        <f t="shared" si="202"/>
        <v>235004</v>
      </c>
    </row>
    <row r="6045" spans="7:14" ht="11.25" customHeight="1" x14ac:dyDescent="0.3">
      <c r="G6045" s="470"/>
      <c r="H6045" s="470">
        <v>6038</v>
      </c>
      <c r="I6045" s="455">
        <f t="shared" ca="1" si="200"/>
        <v>-3.4197663400955176E+16</v>
      </c>
      <c r="J6045" s="455">
        <f t="array" ref="J6045">IFERROR(INDEX('Retirement Calculator'!K:K,MATCH('Lorri 401b'!N6045,'Retirement Calculator'!A:A,0),0),0)</f>
        <v>0</v>
      </c>
      <c r="K6045" s="455">
        <f t="shared" ca="1" si="198"/>
        <v>-142490264170646.56</v>
      </c>
      <c r="L6045" s="455">
        <f t="shared" ca="1" si="199"/>
        <v>-3.4340153665125824E+16</v>
      </c>
      <c r="M6045" s="471">
        <f t="shared" si="201"/>
        <v>0.05</v>
      </c>
      <c r="N6045" s="475">
        <f t="shared" si="202"/>
        <v>235034</v>
      </c>
    </row>
    <row r="6046" spans="7:14" ht="11.25" customHeight="1" x14ac:dyDescent="0.3">
      <c r="G6046" s="470"/>
      <c r="H6046" s="470">
        <v>6039</v>
      </c>
      <c r="I6046" s="455">
        <f t="shared" ca="1" si="200"/>
        <v>-3.4340153665125824E+16</v>
      </c>
      <c r="J6046" s="455">
        <f t="array" ref="J6046">IFERROR(INDEX('Retirement Calculator'!K:K,MATCH('Lorri 401b'!N6046,'Retirement Calculator'!A:A,0),0),0)</f>
        <v>0</v>
      </c>
      <c r="K6046" s="455">
        <f t="shared" ca="1" si="198"/>
        <v>-143083973604690.94</v>
      </c>
      <c r="L6046" s="455">
        <f t="shared" ca="1" si="199"/>
        <v>-3.4483237638730516E+16</v>
      </c>
      <c r="M6046" s="471">
        <f t="shared" si="201"/>
        <v>0.05</v>
      </c>
      <c r="N6046" s="475">
        <f t="shared" si="202"/>
        <v>235065</v>
      </c>
    </row>
    <row r="6047" spans="7:14" ht="11.25" customHeight="1" x14ac:dyDescent="0.3">
      <c r="G6047" s="470"/>
      <c r="H6047" s="470">
        <v>6040</v>
      </c>
      <c r="I6047" s="455">
        <f t="shared" ca="1" si="200"/>
        <v>-3.4483237638730516E+16</v>
      </c>
      <c r="J6047" s="455">
        <f t="array" ref="J6047">IFERROR(INDEX('Retirement Calculator'!K:K,MATCH('Lorri 401b'!N6047,'Retirement Calculator'!A:A,0),0),0)</f>
        <v>0</v>
      </c>
      <c r="K6047" s="455">
        <f t="shared" ca="1" si="198"/>
        <v>-143680156828043.81</v>
      </c>
      <c r="L6047" s="455">
        <f t="shared" ca="1" si="199"/>
        <v>-3.462691779555856E+16</v>
      </c>
      <c r="M6047" s="471">
        <f t="shared" si="201"/>
        <v>0.05</v>
      </c>
      <c r="N6047" s="475">
        <f t="shared" si="202"/>
        <v>235096</v>
      </c>
    </row>
    <row r="6048" spans="7:14" ht="11.25" customHeight="1" x14ac:dyDescent="0.3">
      <c r="G6048" s="470"/>
      <c r="H6048" s="470">
        <v>6041</v>
      </c>
      <c r="I6048" s="455">
        <f t="shared" ca="1" si="200"/>
        <v>-3.462691779555856E+16</v>
      </c>
      <c r="J6048" s="455">
        <f t="array" ref="J6048">IFERROR(INDEX('Retirement Calculator'!K:K,MATCH('Lorri 401b'!N6048,'Retirement Calculator'!A:A,0),0),0)</f>
        <v>0</v>
      </c>
      <c r="K6048" s="455">
        <f t="shared" ca="1" si="198"/>
        <v>-144278824148160.66</v>
      </c>
      <c r="L6048" s="455">
        <f t="shared" ca="1" si="199"/>
        <v>-3.477119661970672E+16</v>
      </c>
      <c r="M6048" s="471">
        <f t="shared" si="201"/>
        <v>0.05</v>
      </c>
      <c r="N6048" s="475">
        <f t="shared" si="202"/>
        <v>235126</v>
      </c>
    </row>
    <row r="6049" spans="7:14" ht="11.25" customHeight="1" x14ac:dyDescent="0.3">
      <c r="G6049" s="470"/>
      <c r="H6049" s="470">
        <v>6042</v>
      </c>
      <c r="I6049" s="455">
        <f t="shared" ca="1" si="200"/>
        <v>-3.477119661970672E+16</v>
      </c>
      <c r="J6049" s="455">
        <f t="array" ref="J6049">IFERROR(INDEX('Retirement Calculator'!K:K,MATCH('Lorri 401b'!N6049,'Retirement Calculator'!A:A,0),0),0)</f>
        <v>0</v>
      </c>
      <c r="K6049" s="455">
        <f t="shared" ca="1" si="198"/>
        <v>-144879985915444.69</v>
      </c>
      <c r="L6049" s="455">
        <f t="shared" ca="1" si="199"/>
        <v>-3.4916076605622164E+16</v>
      </c>
      <c r="M6049" s="471">
        <f t="shared" si="201"/>
        <v>0.05</v>
      </c>
      <c r="N6049" s="475">
        <f t="shared" si="202"/>
        <v>235157</v>
      </c>
    </row>
    <row r="6050" spans="7:14" ht="11.25" customHeight="1" x14ac:dyDescent="0.3">
      <c r="G6050" s="470"/>
      <c r="H6050" s="470">
        <v>6043</v>
      </c>
      <c r="I6050" s="455">
        <f t="shared" ca="1" si="200"/>
        <v>-3.4916076605622164E+16</v>
      </c>
      <c r="J6050" s="455">
        <f t="array" ref="J6050">IFERROR(INDEX('Retirement Calculator'!K:K,MATCH('Lorri 401b'!N6050,'Retirement Calculator'!A:A,0),0),0)</f>
        <v>0</v>
      </c>
      <c r="K6050" s="455">
        <f t="shared" ca="1" si="198"/>
        <v>-145483652523425.69</v>
      </c>
      <c r="L6050" s="455">
        <f t="shared" ca="1" si="199"/>
        <v>-3.5061560258145588E+16</v>
      </c>
      <c r="M6050" s="471">
        <f t="shared" si="201"/>
        <v>0.05</v>
      </c>
      <c r="N6050" s="475">
        <f t="shared" si="202"/>
        <v>235187</v>
      </c>
    </row>
    <row r="6051" spans="7:14" ht="11.25" customHeight="1" x14ac:dyDescent="0.3">
      <c r="G6051" s="470"/>
      <c r="H6051" s="470">
        <v>6044</v>
      </c>
      <c r="I6051" s="455">
        <f t="shared" ca="1" si="200"/>
        <v>-3.5061560258145588E+16</v>
      </c>
      <c r="J6051" s="455">
        <f t="array" ref="J6051">IFERROR(INDEX('Retirement Calculator'!K:K,MATCH('Lorri 401b'!N6051,'Retirement Calculator'!A:A,0),0),0)</f>
        <v>0</v>
      </c>
      <c r="K6051" s="455">
        <f t="shared" ca="1" si="198"/>
        <v>-146089834408939.94</v>
      </c>
      <c r="L6051" s="455">
        <f t="shared" ca="1" si="199"/>
        <v>-3.5207650092554528E+16</v>
      </c>
      <c r="M6051" s="471">
        <f t="shared" si="201"/>
        <v>0.05</v>
      </c>
      <c r="N6051" s="475">
        <f t="shared" si="202"/>
        <v>235218</v>
      </c>
    </row>
    <row r="6052" spans="7:14" ht="11.25" customHeight="1" x14ac:dyDescent="0.3">
      <c r="G6052" s="470"/>
      <c r="H6052" s="470">
        <v>6045</v>
      </c>
      <c r="I6052" s="455">
        <f t="shared" ca="1" si="200"/>
        <v>-3.5207650092554528E+16</v>
      </c>
      <c r="J6052" s="455">
        <f t="array" ref="J6052">IFERROR(INDEX('Retirement Calculator'!K:K,MATCH('Lorri 401b'!N6052,'Retirement Calculator'!A:A,0),0),0)</f>
        <v>0</v>
      </c>
      <c r="K6052" s="455">
        <f t="shared" ca="1" si="198"/>
        <v>-146698542052310.53</v>
      </c>
      <c r="L6052" s="455">
        <f t="shared" ca="1" si="199"/>
        <v>-3.535434863460684E+16</v>
      </c>
      <c r="M6052" s="471">
        <f t="shared" si="201"/>
        <v>0.05</v>
      </c>
      <c r="N6052" s="475">
        <f t="shared" si="202"/>
        <v>235249</v>
      </c>
    </row>
    <row r="6053" spans="7:14" ht="11.25" customHeight="1" x14ac:dyDescent="0.3">
      <c r="G6053" s="470"/>
      <c r="H6053" s="470">
        <v>6046</v>
      </c>
      <c r="I6053" s="455">
        <f t="shared" ca="1" si="200"/>
        <v>-3.535434863460684E+16</v>
      </c>
      <c r="J6053" s="455">
        <f t="array" ref="J6053">IFERROR(INDEX('Retirement Calculator'!K:K,MATCH('Lorri 401b'!N6053,'Retirement Calculator'!A:A,0),0),0)</f>
        <v>0</v>
      </c>
      <c r="K6053" s="455">
        <f t="shared" ca="1" si="198"/>
        <v>-147309785977528.5</v>
      </c>
      <c r="L6053" s="455">
        <f t="shared" ca="1" si="199"/>
        <v>-3.5501658420584368E+16</v>
      </c>
      <c r="M6053" s="471">
        <f t="shared" si="201"/>
        <v>0.05</v>
      </c>
      <c r="N6053" s="475">
        <f t="shared" si="202"/>
        <v>235278</v>
      </c>
    </row>
    <row r="6054" spans="7:14" ht="11.25" customHeight="1" x14ac:dyDescent="0.3">
      <c r="G6054" s="470"/>
      <c r="H6054" s="470">
        <v>6047</v>
      </c>
      <c r="I6054" s="455">
        <f t="shared" ca="1" si="200"/>
        <v>-3.5501658420584368E+16</v>
      </c>
      <c r="J6054" s="455">
        <f t="array" ref="J6054">IFERROR(INDEX('Retirement Calculator'!K:K,MATCH('Lorri 401b'!N6054,'Retirement Calculator'!A:A,0),0),0)</f>
        <v>0</v>
      </c>
      <c r="K6054" s="455">
        <f t="shared" ca="1" si="198"/>
        <v>-147923576752434.84</v>
      </c>
      <c r="L6054" s="455">
        <f t="shared" ca="1" si="199"/>
        <v>-3.5649581997336804E+16</v>
      </c>
      <c r="M6054" s="471">
        <f t="shared" si="201"/>
        <v>0.05</v>
      </c>
      <c r="N6054" s="475">
        <f t="shared" si="202"/>
        <v>235309</v>
      </c>
    </row>
    <row r="6055" spans="7:14" ht="11.25" customHeight="1" x14ac:dyDescent="0.3">
      <c r="G6055" s="470"/>
      <c r="H6055" s="470">
        <v>6048</v>
      </c>
      <c r="I6055" s="455">
        <f t="shared" ca="1" si="200"/>
        <v>-3.5649581997336804E+16</v>
      </c>
      <c r="J6055" s="455">
        <f t="array" ref="J6055">IFERROR(INDEX('Retirement Calculator'!K:K,MATCH('Lorri 401b'!N6055,'Retirement Calculator'!A:A,0),0),0)</f>
        <v>0</v>
      </c>
      <c r="K6055" s="455">
        <f t="shared" ca="1" si="198"/>
        <v>-148539924988903.38</v>
      </c>
      <c r="L6055" s="455">
        <f t="shared" ca="1" si="199"/>
        <v>-3.5798121922325708E+16</v>
      </c>
      <c r="M6055" s="471">
        <f t="shared" si="201"/>
        <v>0.05</v>
      </c>
      <c r="N6055" s="475">
        <f t="shared" si="202"/>
        <v>235339</v>
      </c>
    </row>
    <row r="6056" spans="7:14" ht="11.25" customHeight="1" x14ac:dyDescent="0.3">
      <c r="G6056" s="470"/>
      <c r="H6056" s="470">
        <v>6049</v>
      </c>
      <c r="I6056" s="455">
        <f t="shared" ca="1" si="200"/>
        <v>-3.5798121922325708E+16</v>
      </c>
      <c r="J6056" s="455">
        <f t="array" ref="J6056">IFERROR(INDEX('Retirement Calculator'!K:K,MATCH('Lorri 401b'!N6056,'Retirement Calculator'!A:A,0),0),0)</f>
        <v>0</v>
      </c>
      <c r="K6056" s="455">
        <f t="shared" ca="1" si="198"/>
        <v>-149158841343023.78</v>
      </c>
      <c r="L6056" s="455">
        <f t="shared" ca="1" si="199"/>
        <v>-3.5947280763668732E+16</v>
      </c>
      <c r="M6056" s="471">
        <f t="shared" si="201"/>
        <v>0.05</v>
      </c>
      <c r="N6056" s="475">
        <f t="shared" si="202"/>
        <v>235370</v>
      </c>
    </row>
    <row r="6057" spans="7:14" ht="11.25" customHeight="1" x14ac:dyDescent="0.3">
      <c r="G6057" s="470"/>
      <c r="H6057" s="470">
        <v>6050</v>
      </c>
      <c r="I6057" s="455">
        <f t="shared" ca="1" si="200"/>
        <v>-3.5947280763668732E+16</v>
      </c>
      <c r="J6057" s="455">
        <f t="array" ref="J6057">IFERROR(INDEX('Retirement Calculator'!K:K,MATCH('Lorri 401b'!N6057,'Retirement Calculator'!A:A,0),0),0)</f>
        <v>0</v>
      </c>
      <c r="K6057" s="455">
        <f t="shared" ca="1" si="198"/>
        <v>-149780336515286.38</v>
      </c>
      <c r="L6057" s="455">
        <f t="shared" ca="1" si="199"/>
        <v>-3.6097061100184016E+16</v>
      </c>
      <c r="M6057" s="471">
        <f t="shared" si="201"/>
        <v>0.05</v>
      </c>
      <c r="N6057" s="475">
        <f t="shared" si="202"/>
        <v>235400</v>
      </c>
    </row>
    <row r="6058" spans="7:14" ht="11.25" customHeight="1" x14ac:dyDescent="0.3">
      <c r="G6058" s="470"/>
      <c r="H6058" s="470">
        <v>6051</v>
      </c>
      <c r="I6058" s="455">
        <f t="shared" ca="1" si="200"/>
        <v>-3.6097061100184016E+16</v>
      </c>
      <c r="J6058" s="455">
        <f t="array" ref="J6058">IFERROR(INDEX('Retirement Calculator'!K:K,MATCH('Lorri 401b'!N6058,'Retirement Calculator'!A:A,0),0),0)</f>
        <v>0</v>
      </c>
      <c r="K6058" s="455">
        <f t="shared" ca="1" si="198"/>
        <v>-150404421250766.72</v>
      </c>
      <c r="L6058" s="455">
        <f t="shared" ca="1" si="199"/>
        <v>-3.6247465521434784E+16</v>
      </c>
      <c r="M6058" s="471">
        <f t="shared" si="201"/>
        <v>0.05</v>
      </c>
      <c r="N6058" s="475">
        <f t="shared" si="202"/>
        <v>235431</v>
      </c>
    </row>
    <row r="6059" spans="7:14" ht="11.25" customHeight="1" x14ac:dyDescent="0.3">
      <c r="G6059" s="470"/>
      <c r="H6059" s="470">
        <v>6052</v>
      </c>
      <c r="I6059" s="455">
        <f t="shared" ca="1" si="200"/>
        <v>-3.6247465521434784E+16</v>
      </c>
      <c r="J6059" s="455">
        <f t="array" ref="J6059">IFERROR(INDEX('Retirement Calculator'!K:K,MATCH('Lorri 401b'!N6059,'Retirement Calculator'!A:A,0),0),0)</f>
        <v>0</v>
      </c>
      <c r="K6059" s="455">
        <f t="shared" ca="1" si="198"/>
        <v>-151031106339311.59</v>
      </c>
      <c r="L6059" s="455">
        <f t="shared" ca="1" si="199"/>
        <v>-3.6398496627774096E+16</v>
      </c>
      <c r="M6059" s="471">
        <f t="shared" si="201"/>
        <v>0.05</v>
      </c>
      <c r="N6059" s="475">
        <f t="shared" si="202"/>
        <v>235462</v>
      </c>
    </row>
    <row r="6060" spans="7:14" ht="11.25" customHeight="1" x14ac:dyDescent="0.3">
      <c r="G6060" s="470"/>
      <c r="H6060" s="470">
        <v>6053</v>
      </c>
      <c r="I6060" s="455">
        <f t="shared" ca="1" si="200"/>
        <v>-3.6398496627774096E+16</v>
      </c>
      <c r="J6060" s="455">
        <f t="array" ref="J6060">IFERROR(INDEX('Retirement Calculator'!K:K,MATCH('Lorri 401b'!N6060,'Retirement Calculator'!A:A,0),0),0)</f>
        <v>0</v>
      </c>
      <c r="K6060" s="455">
        <f t="shared" ca="1" si="198"/>
        <v>-151660402615725.41</v>
      </c>
      <c r="L6060" s="455">
        <f t="shared" ca="1" si="199"/>
        <v>-3.6550157030389824E+16</v>
      </c>
      <c r="M6060" s="471">
        <f t="shared" si="201"/>
        <v>0.05</v>
      </c>
      <c r="N6060" s="475">
        <f t="shared" si="202"/>
        <v>235492</v>
      </c>
    </row>
    <row r="6061" spans="7:14" ht="11.25" customHeight="1" x14ac:dyDescent="0.3">
      <c r="G6061" s="470"/>
      <c r="H6061" s="470">
        <v>6054</v>
      </c>
      <c r="I6061" s="455">
        <f t="shared" ca="1" si="200"/>
        <v>-3.6550157030389824E+16</v>
      </c>
      <c r="J6061" s="455">
        <f t="array" ref="J6061">IFERROR(INDEX('Retirement Calculator'!K:K,MATCH('Lorri 401b'!N6061,'Retirement Calculator'!A:A,0),0),0)</f>
        <v>0</v>
      </c>
      <c r="K6061" s="455">
        <f t="shared" ca="1" si="198"/>
        <v>-152292320959957.59</v>
      </c>
      <c r="L6061" s="455">
        <f t="shared" ca="1" si="199"/>
        <v>-3.6702449351349784E+16</v>
      </c>
      <c r="M6061" s="471">
        <f t="shared" si="201"/>
        <v>0.05</v>
      </c>
      <c r="N6061" s="475">
        <f t="shared" si="202"/>
        <v>235523</v>
      </c>
    </row>
    <row r="6062" spans="7:14" ht="11.25" customHeight="1" x14ac:dyDescent="0.3">
      <c r="G6062" s="470"/>
      <c r="H6062" s="470">
        <v>6055</v>
      </c>
      <c r="I6062" s="455">
        <f t="shared" ca="1" si="200"/>
        <v>-3.6702449351349784E+16</v>
      </c>
      <c r="J6062" s="455">
        <f t="array" ref="J6062">IFERROR(INDEX('Retirement Calculator'!K:K,MATCH('Lorri 401b'!N6062,'Retirement Calculator'!A:A,0),0),0)</f>
        <v>0</v>
      </c>
      <c r="K6062" s="455">
        <f t="shared" ca="1" si="198"/>
        <v>-152926872297290.75</v>
      </c>
      <c r="L6062" s="455">
        <f t="shared" ca="1" si="199"/>
        <v>-3.6855376223647072E+16</v>
      </c>
      <c r="M6062" s="471">
        <f t="shared" si="201"/>
        <v>0.05</v>
      </c>
      <c r="N6062" s="475">
        <f t="shared" si="202"/>
        <v>235553</v>
      </c>
    </row>
    <row r="6063" spans="7:14" ht="11.25" customHeight="1" x14ac:dyDescent="0.3">
      <c r="G6063" s="470"/>
      <c r="H6063" s="470">
        <v>6056</v>
      </c>
      <c r="I6063" s="455">
        <f t="shared" ca="1" si="200"/>
        <v>-3.6855376223647072E+16</v>
      </c>
      <c r="J6063" s="455">
        <f t="array" ref="J6063">IFERROR(INDEX('Retirement Calculator'!K:K,MATCH('Lorri 401b'!N6063,'Retirement Calculator'!A:A,0),0),0)</f>
        <v>0</v>
      </c>
      <c r="K6063" s="455">
        <f t="shared" ca="1" si="198"/>
        <v>-153564067598529.47</v>
      </c>
      <c r="L6063" s="455">
        <f t="shared" ca="1" si="199"/>
        <v>-3.70089402912456E+16</v>
      </c>
      <c r="M6063" s="471">
        <f t="shared" si="201"/>
        <v>0.05</v>
      </c>
      <c r="N6063" s="475">
        <f t="shared" si="202"/>
        <v>235584</v>
      </c>
    </row>
    <row r="6064" spans="7:14" ht="11.25" customHeight="1" x14ac:dyDescent="0.3">
      <c r="G6064" s="470"/>
      <c r="H6064" s="470">
        <v>6057</v>
      </c>
      <c r="I6064" s="455">
        <f t="shared" ca="1" si="200"/>
        <v>-3.70089402912456E+16</v>
      </c>
      <c r="J6064" s="455">
        <f t="array" ref="J6064">IFERROR(INDEX('Retirement Calculator'!K:K,MATCH('Lorri 401b'!N6064,'Retirement Calculator'!A:A,0),0),0)</f>
        <v>0</v>
      </c>
      <c r="K6064" s="455">
        <f t="shared" ca="1" si="198"/>
        <v>-154203917880190</v>
      </c>
      <c r="L6064" s="455">
        <f t="shared" ca="1" si="199"/>
        <v>-3.7163144209125792E+16</v>
      </c>
      <c r="M6064" s="471">
        <f t="shared" si="201"/>
        <v>0.05</v>
      </c>
      <c r="N6064" s="475">
        <f t="shared" si="202"/>
        <v>235615</v>
      </c>
    </row>
    <row r="6065" spans="7:14" ht="11.25" customHeight="1" x14ac:dyDescent="0.3">
      <c r="G6065" s="470"/>
      <c r="H6065" s="470">
        <v>6058</v>
      </c>
      <c r="I6065" s="455">
        <f t="shared" ca="1" si="200"/>
        <v>-3.7163144209125792E+16</v>
      </c>
      <c r="J6065" s="455">
        <f t="array" ref="J6065">IFERROR(INDEX('Retirement Calculator'!K:K,MATCH('Lorri 401b'!N6065,'Retirement Calculator'!A:A,0),0),0)</f>
        <v>0</v>
      </c>
      <c r="K6065" s="455">
        <f t="shared" ca="1" si="198"/>
        <v>-154846434204690.81</v>
      </c>
      <c r="L6065" s="455">
        <f t="shared" ca="1" si="199"/>
        <v>-3.731799064333048E+16</v>
      </c>
      <c r="M6065" s="471">
        <f t="shared" si="201"/>
        <v>0.05</v>
      </c>
      <c r="N6065" s="475">
        <f t="shared" si="202"/>
        <v>235643</v>
      </c>
    </row>
    <row r="6066" spans="7:14" ht="11.25" customHeight="1" x14ac:dyDescent="0.3">
      <c r="G6066" s="470"/>
      <c r="H6066" s="470">
        <v>6059</v>
      </c>
      <c r="I6066" s="455">
        <f t="shared" ca="1" si="200"/>
        <v>-3.731799064333048E+16</v>
      </c>
      <c r="J6066" s="455">
        <f t="array" ref="J6066">IFERROR(INDEX('Retirement Calculator'!K:K,MATCH('Lorri 401b'!N6066,'Retirement Calculator'!A:A,0),0),0)</f>
        <v>0</v>
      </c>
      <c r="K6066" s="455">
        <f t="shared" ca="1" si="198"/>
        <v>-155491627680543.66</v>
      </c>
      <c r="L6066" s="455">
        <f t="shared" ca="1" si="199"/>
        <v>-3.7473482271011024E+16</v>
      </c>
      <c r="M6066" s="471">
        <f t="shared" si="201"/>
        <v>0.05</v>
      </c>
      <c r="N6066" s="475">
        <f t="shared" si="202"/>
        <v>235674</v>
      </c>
    </row>
    <row r="6067" spans="7:14" ht="11.25" customHeight="1" x14ac:dyDescent="0.3">
      <c r="G6067" s="470"/>
      <c r="H6067" s="470">
        <v>6060</v>
      </c>
      <c r="I6067" s="455">
        <f t="shared" ca="1" si="200"/>
        <v>-3.7473482271011024E+16</v>
      </c>
      <c r="J6067" s="455">
        <f t="array" ref="J6067">IFERROR(INDEX('Retirement Calculator'!K:K,MATCH('Lorri 401b'!N6067,'Retirement Calculator'!A:A,0),0),0)</f>
        <v>0</v>
      </c>
      <c r="K6067" s="455">
        <f t="shared" ca="1" si="198"/>
        <v>-156139509462545.94</v>
      </c>
      <c r="L6067" s="455">
        <f t="shared" ca="1" si="199"/>
        <v>-3.7629621780473568E+16</v>
      </c>
      <c r="M6067" s="471">
        <f t="shared" si="201"/>
        <v>0.05</v>
      </c>
      <c r="N6067" s="475">
        <f t="shared" si="202"/>
        <v>235704</v>
      </c>
    </row>
    <row r="6068" spans="7:14" ht="11.25" customHeight="1" x14ac:dyDescent="0.3">
      <c r="G6068" s="470"/>
      <c r="H6068" s="470">
        <v>6061</v>
      </c>
      <c r="I6068" s="455">
        <f t="shared" ca="1" si="200"/>
        <v>-3.7629621780473568E+16</v>
      </c>
      <c r="J6068" s="455">
        <f t="array" ref="J6068">IFERROR(INDEX('Retirement Calculator'!K:K,MATCH('Lorri 401b'!N6068,'Retirement Calculator'!A:A,0),0),0)</f>
        <v>0</v>
      </c>
      <c r="K6068" s="455">
        <f t="shared" ca="1" si="198"/>
        <v>-156790090751973.19</v>
      </c>
      <c r="L6068" s="455">
        <f t="shared" ca="1" si="199"/>
        <v>-3.7786411871225544E+16</v>
      </c>
      <c r="M6068" s="471">
        <f t="shared" si="201"/>
        <v>0.05</v>
      </c>
      <c r="N6068" s="475">
        <f t="shared" si="202"/>
        <v>235735</v>
      </c>
    </row>
    <row r="6069" spans="7:14" ht="11.25" customHeight="1" x14ac:dyDescent="0.3">
      <c r="G6069" s="470"/>
      <c r="H6069" s="470">
        <v>6062</v>
      </c>
      <c r="I6069" s="455">
        <f t="shared" ca="1" si="200"/>
        <v>-3.7786411871225544E+16</v>
      </c>
      <c r="J6069" s="455">
        <f t="array" ref="J6069">IFERROR(INDEX('Retirement Calculator'!K:K,MATCH('Lorri 401b'!N6069,'Retirement Calculator'!A:A,0),0),0)</f>
        <v>0</v>
      </c>
      <c r="K6069" s="455">
        <f t="shared" ca="1" si="198"/>
        <v>-157443382796773.09</v>
      </c>
      <c r="L6069" s="455">
        <f t="shared" ca="1" si="199"/>
        <v>-3.794385525402232E+16</v>
      </c>
      <c r="M6069" s="471">
        <f t="shared" si="201"/>
        <v>0.05</v>
      </c>
      <c r="N6069" s="475">
        <f t="shared" si="202"/>
        <v>235765</v>
      </c>
    </row>
    <row r="6070" spans="7:14" ht="11.25" customHeight="1" x14ac:dyDescent="0.3">
      <c r="G6070" s="470"/>
      <c r="H6070" s="470">
        <v>6063</v>
      </c>
      <c r="I6070" s="455">
        <f t="shared" ca="1" si="200"/>
        <v>-3.794385525402232E+16</v>
      </c>
      <c r="J6070" s="455">
        <f t="array" ref="J6070">IFERROR(INDEX('Retirement Calculator'!K:K,MATCH('Lorri 401b'!N6070,'Retirement Calculator'!A:A,0),0),0)</f>
        <v>0</v>
      </c>
      <c r="K6070" s="455">
        <f t="shared" ca="1" si="198"/>
        <v>-158099396891759.66</v>
      </c>
      <c r="L6070" s="455">
        <f t="shared" ca="1" si="199"/>
        <v>-3.810195465091408E+16</v>
      </c>
      <c r="M6070" s="471">
        <f t="shared" si="201"/>
        <v>0.05</v>
      </c>
      <c r="N6070" s="475">
        <f t="shared" si="202"/>
        <v>235796</v>
      </c>
    </row>
    <row r="6071" spans="7:14" ht="11.25" customHeight="1" x14ac:dyDescent="0.3">
      <c r="G6071" s="470"/>
      <c r="H6071" s="470">
        <v>6064</v>
      </c>
      <c r="I6071" s="455">
        <f t="shared" ca="1" si="200"/>
        <v>-3.810195465091408E+16</v>
      </c>
      <c r="J6071" s="455">
        <f t="array" ref="J6071">IFERROR(INDEX('Retirement Calculator'!K:K,MATCH('Lorri 401b'!N6071,'Retirement Calculator'!A:A,0),0),0)</f>
        <v>0</v>
      </c>
      <c r="K6071" s="455">
        <f t="shared" ca="1" si="198"/>
        <v>-158758144378808.66</v>
      </c>
      <c r="L6071" s="455">
        <f t="shared" ca="1" si="199"/>
        <v>-3.8260712795292888E+16</v>
      </c>
      <c r="M6071" s="471">
        <f t="shared" si="201"/>
        <v>0.05</v>
      </c>
      <c r="N6071" s="475">
        <f t="shared" si="202"/>
        <v>235827</v>
      </c>
    </row>
    <row r="6072" spans="7:14" ht="11.25" customHeight="1" x14ac:dyDescent="0.3">
      <c r="G6072" s="470"/>
      <c r="H6072" s="470">
        <v>6065</v>
      </c>
      <c r="I6072" s="455">
        <f t="shared" ca="1" si="200"/>
        <v>-3.8260712795292888E+16</v>
      </c>
      <c r="J6072" s="455">
        <f t="array" ref="J6072">IFERROR(INDEX('Retirement Calculator'!K:K,MATCH('Lorri 401b'!N6072,'Retirement Calculator'!A:A,0),0),0)</f>
        <v>0</v>
      </c>
      <c r="K6072" s="455">
        <f t="shared" ca="1" si="198"/>
        <v>-159419636647053.69</v>
      </c>
      <c r="L6072" s="455">
        <f t="shared" ca="1" si="199"/>
        <v>-3.8420132431939944E+16</v>
      </c>
      <c r="M6072" s="471">
        <f t="shared" si="201"/>
        <v>0.05</v>
      </c>
      <c r="N6072" s="475">
        <f t="shared" si="202"/>
        <v>235857</v>
      </c>
    </row>
    <row r="6073" spans="7:14" ht="11.25" customHeight="1" x14ac:dyDescent="0.3">
      <c r="G6073" s="470"/>
      <c r="H6073" s="470">
        <v>6066</v>
      </c>
      <c r="I6073" s="455">
        <f t="shared" ca="1" si="200"/>
        <v>-3.8420132431939944E+16</v>
      </c>
      <c r="J6073" s="455">
        <f t="array" ref="J6073">IFERROR(INDEX('Retirement Calculator'!K:K,MATCH('Lorri 401b'!N6073,'Retirement Calculator'!A:A,0),0),0)</f>
        <v>0</v>
      </c>
      <c r="K6073" s="455">
        <f t="shared" ca="1" si="198"/>
        <v>-160083885133083.09</v>
      </c>
      <c r="L6073" s="455">
        <f t="shared" ca="1" si="199"/>
        <v>-3.8580216317073024E+16</v>
      </c>
      <c r="M6073" s="471">
        <f t="shared" si="201"/>
        <v>0.05</v>
      </c>
      <c r="N6073" s="475">
        <f t="shared" si="202"/>
        <v>235888</v>
      </c>
    </row>
    <row r="6074" spans="7:14" ht="11.25" customHeight="1" x14ac:dyDescent="0.3">
      <c r="G6074" s="470"/>
      <c r="H6074" s="470">
        <v>6067</v>
      </c>
      <c r="I6074" s="455">
        <f t="shared" ca="1" si="200"/>
        <v>-3.8580216317073024E+16</v>
      </c>
      <c r="J6074" s="455">
        <f t="array" ref="J6074">IFERROR(INDEX('Retirement Calculator'!K:K,MATCH('Lorri 401b'!N6074,'Retirement Calculator'!A:A,0),0),0)</f>
        <v>0</v>
      </c>
      <c r="K6074" s="455">
        <f t="shared" ca="1" si="198"/>
        <v>-160750901321137.59</v>
      </c>
      <c r="L6074" s="455">
        <f t="shared" ca="1" si="199"/>
        <v>-3.874096721839416E+16</v>
      </c>
      <c r="M6074" s="471">
        <f t="shared" si="201"/>
        <v>0.05</v>
      </c>
      <c r="N6074" s="475">
        <f t="shared" si="202"/>
        <v>235918</v>
      </c>
    </row>
    <row r="6075" spans="7:14" ht="11.25" customHeight="1" x14ac:dyDescent="0.3">
      <c r="G6075" s="470"/>
      <c r="H6075" s="470">
        <v>6068</v>
      </c>
      <c r="I6075" s="455">
        <f t="shared" ca="1" si="200"/>
        <v>-3.874096721839416E+16</v>
      </c>
      <c r="J6075" s="455">
        <f t="array" ref="J6075">IFERROR(INDEX('Retirement Calculator'!K:K,MATCH('Lorri 401b'!N6075,'Retirement Calculator'!A:A,0),0),0)</f>
        <v>0</v>
      </c>
      <c r="K6075" s="455">
        <f t="shared" ca="1" si="198"/>
        <v>-161420696743309</v>
      </c>
      <c r="L6075" s="455">
        <f t="shared" ca="1" si="199"/>
        <v>-3.8902387915137472E+16</v>
      </c>
      <c r="M6075" s="471">
        <f t="shared" si="201"/>
        <v>0.05</v>
      </c>
      <c r="N6075" s="475">
        <f t="shared" si="202"/>
        <v>235949</v>
      </c>
    </row>
    <row r="6076" spans="7:14" ht="11.25" customHeight="1" x14ac:dyDescent="0.3">
      <c r="G6076" s="470"/>
      <c r="H6076" s="470">
        <v>6069</v>
      </c>
      <c r="I6076" s="455">
        <f t="shared" ca="1" si="200"/>
        <v>-3.8902387915137472E+16</v>
      </c>
      <c r="J6076" s="455">
        <f t="array" ref="J6076">IFERROR(INDEX('Retirement Calculator'!K:K,MATCH('Lorri 401b'!N6076,'Retirement Calculator'!A:A,0),0),0)</f>
        <v>0</v>
      </c>
      <c r="K6076" s="455">
        <f t="shared" ca="1" si="198"/>
        <v>-162093282979739.47</v>
      </c>
      <c r="L6076" s="455">
        <f t="shared" ca="1" si="199"/>
        <v>-3.9064481198117208E+16</v>
      </c>
      <c r="M6076" s="471">
        <f t="shared" si="201"/>
        <v>0.05</v>
      </c>
      <c r="N6076" s="475">
        <f t="shared" si="202"/>
        <v>235980</v>
      </c>
    </row>
    <row r="6077" spans="7:14" ht="11.25" customHeight="1" x14ac:dyDescent="0.3">
      <c r="G6077" s="470"/>
      <c r="H6077" s="470">
        <v>6070</v>
      </c>
      <c r="I6077" s="455">
        <f t="shared" ca="1" si="200"/>
        <v>-3.9064481198117208E+16</v>
      </c>
      <c r="J6077" s="455">
        <f t="array" ref="J6077">IFERROR(INDEX('Retirement Calculator'!K:K,MATCH('Lorri 401b'!N6077,'Retirement Calculator'!A:A,0),0),0)</f>
        <v>0</v>
      </c>
      <c r="K6077" s="455">
        <f t="shared" ca="1" si="198"/>
        <v>-162768671658821.69</v>
      </c>
      <c r="L6077" s="455">
        <f t="shared" ca="1" si="199"/>
        <v>-3.9227249869776032E+16</v>
      </c>
      <c r="M6077" s="471">
        <f t="shared" si="201"/>
        <v>0.05</v>
      </c>
      <c r="N6077" s="475">
        <f t="shared" si="202"/>
        <v>236008</v>
      </c>
    </row>
    <row r="6078" spans="7:14" ht="11.25" customHeight="1" x14ac:dyDescent="0.3">
      <c r="G6078" s="470"/>
      <c r="H6078" s="470">
        <v>6071</v>
      </c>
      <c r="I6078" s="455">
        <f t="shared" ca="1" si="200"/>
        <v>-3.9227249869776032E+16</v>
      </c>
      <c r="J6078" s="455">
        <f t="array" ref="J6078">IFERROR(INDEX('Retirement Calculator'!K:K,MATCH('Lorri 401b'!N6078,'Retirement Calculator'!A:A,0),0),0)</f>
        <v>0</v>
      </c>
      <c r="K6078" s="455">
        <f t="shared" ca="1" si="198"/>
        <v>-163446874457400.13</v>
      </c>
      <c r="L6078" s="455">
        <f t="shared" ca="1" si="199"/>
        <v>-3.9390696744233432E+16</v>
      </c>
      <c r="M6078" s="471">
        <f t="shared" si="201"/>
        <v>0.05</v>
      </c>
      <c r="N6078" s="475">
        <f t="shared" si="202"/>
        <v>236039</v>
      </c>
    </row>
    <row r="6079" spans="7:14" ht="11.25" customHeight="1" x14ac:dyDescent="0.3">
      <c r="G6079" s="470"/>
      <c r="H6079" s="470">
        <v>6072</v>
      </c>
      <c r="I6079" s="455">
        <f t="shared" ca="1" si="200"/>
        <v>-3.9390696744233432E+16</v>
      </c>
      <c r="J6079" s="455">
        <f t="array" ref="J6079">IFERROR(INDEX('Retirement Calculator'!K:K,MATCH('Lorri 401b'!N6079,'Retirement Calculator'!A:A,0),0),0)</f>
        <v>0</v>
      </c>
      <c r="K6079" s="455">
        <f t="shared" ca="1" si="198"/>
        <v>-164127903100972.63</v>
      </c>
      <c r="L6079" s="455">
        <f t="shared" ca="1" si="199"/>
        <v>-3.9554824647334408E+16</v>
      </c>
      <c r="M6079" s="471">
        <f t="shared" si="201"/>
        <v>0.05</v>
      </c>
      <c r="N6079" s="475">
        <f t="shared" si="202"/>
        <v>236069</v>
      </c>
    </row>
    <row r="6080" spans="7:14" ht="11.25" customHeight="1" x14ac:dyDescent="0.3">
      <c r="G6080" s="470"/>
      <c r="H6080" s="470">
        <v>6073</v>
      </c>
      <c r="I6080" s="455">
        <f t="shared" ca="1" si="200"/>
        <v>-3.9554824647334408E+16</v>
      </c>
      <c r="J6080" s="455">
        <f t="array" ref="J6080">IFERROR(INDEX('Retirement Calculator'!K:K,MATCH('Lorri 401b'!N6080,'Retirement Calculator'!A:A,0),0),0)</f>
        <v>0</v>
      </c>
      <c r="K6080" s="455">
        <f t="shared" ca="1" si="198"/>
        <v>-164811769363893.38</v>
      </c>
      <c r="L6080" s="455">
        <f t="shared" ca="1" si="199"/>
        <v>-3.9719636416698304E+16</v>
      </c>
      <c r="M6080" s="471">
        <f t="shared" si="201"/>
        <v>0.05</v>
      </c>
      <c r="N6080" s="475">
        <f t="shared" si="202"/>
        <v>236100</v>
      </c>
    </row>
    <row r="6081" spans="7:14" ht="11.25" customHeight="1" x14ac:dyDescent="0.3">
      <c r="G6081" s="470"/>
      <c r="H6081" s="470">
        <v>6074</v>
      </c>
      <c r="I6081" s="455">
        <f t="shared" ca="1" si="200"/>
        <v>-3.9719636416698304E+16</v>
      </c>
      <c r="J6081" s="455">
        <f t="array" ref="J6081">IFERROR(INDEX('Retirement Calculator'!K:K,MATCH('Lorri 401b'!N6081,'Retirement Calculator'!A:A,0),0),0)</f>
        <v>0</v>
      </c>
      <c r="K6081" s="455">
        <f t="shared" ca="1" si="198"/>
        <v>-165498485069576.25</v>
      </c>
      <c r="L6081" s="455">
        <f t="shared" ca="1" si="199"/>
        <v>-3.988513490176788E+16</v>
      </c>
      <c r="M6081" s="471">
        <f t="shared" si="201"/>
        <v>0.05</v>
      </c>
      <c r="N6081" s="475">
        <f t="shared" si="202"/>
        <v>236130</v>
      </c>
    </row>
    <row r="6082" spans="7:14" ht="11.25" customHeight="1" x14ac:dyDescent="0.3">
      <c r="G6082" s="470"/>
      <c r="H6082" s="470">
        <v>6075</v>
      </c>
      <c r="I6082" s="455">
        <f t="shared" ca="1" si="200"/>
        <v>-3.988513490176788E+16</v>
      </c>
      <c r="J6082" s="455">
        <f t="array" ref="J6082">IFERROR(INDEX('Retirement Calculator'!K:K,MATCH('Lorri 401b'!N6082,'Retirement Calculator'!A:A,0),0),0)</f>
        <v>0</v>
      </c>
      <c r="K6082" s="455">
        <f t="shared" ca="1" si="198"/>
        <v>-166188062090699.5</v>
      </c>
      <c r="L6082" s="455">
        <f t="shared" ca="1" si="199"/>
        <v>-4.0051322963858576E+16</v>
      </c>
      <c r="M6082" s="471">
        <f t="shared" si="201"/>
        <v>0.05</v>
      </c>
      <c r="N6082" s="475">
        <f t="shared" si="202"/>
        <v>236161</v>
      </c>
    </row>
    <row r="6083" spans="7:14" ht="11.25" customHeight="1" x14ac:dyDescent="0.3">
      <c r="G6083" s="470"/>
      <c r="H6083" s="470">
        <v>6076</v>
      </c>
      <c r="I6083" s="455">
        <f t="shared" ca="1" si="200"/>
        <v>-4.0051322963858576E+16</v>
      </c>
      <c r="J6083" s="455">
        <f t="array" ref="J6083">IFERROR(INDEX('Retirement Calculator'!K:K,MATCH('Lorri 401b'!N6083,'Retirement Calculator'!A:A,0),0),0)</f>
        <v>0</v>
      </c>
      <c r="K6083" s="455">
        <f t="shared" ca="1" si="198"/>
        <v>-166880512349410.72</v>
      </c>
      <c r="L6083" s="455">
        <f t="shared" ca="1" si="199"/>
        <v>-4.0218203476207984E+16</v>
      </c>
      <c r="M6083" s="471">
        <f t="shared" si="201"/>
        <v>0.05</v>
      </c>
      <c r="N6083" s="475">
        <f t="shared" si="202"/>
        <v>236192</v>
      </c>
    </row>
    <row r="6084" spans="7:14" ht="11.25" customHeight="1" x14ac:dyDescent="0.3">
      <c r="G6084" s="470"/>
      <c r="H6084" s="470">
        <v>6077</v>
      </c>
      <c r="I6084" s="455">
        <f t="shared" ca="1" si="200"/>
        <v>-4.0218203476207984E+16</v>
      </c>
      <c r="J6084" s="455">
        <f t="array" ref="J6084">IFERROR(INDEX('Retirement Calculator'!K:K,MATCH('Lorri 401b'!N6084,'Retirement Calculator'!A:A,0),0),0)</f>
        <v>0</v>
      </c>
      <c r="K6084" s="455">
        <f t="shared" ca="1" si="198"/>
        <v>-167575847817533.25</v>
      </c>
      <c r="L6084" s="455">
        <f t="shared" ca="1" si="199"/>
        <v>-4.038577932402552E+16</v>
      </c>
      <c r="M6084" s="471">
        <f t="shared" si="201"/>
        <v>0.05</v>
      </c>
      <c r="N6084" s="475">
        <f t="shared" si="202"/>
        <v>236222</v>
      </c>
    </row>
    <row r="6085" spans="7:14" ht="11.25" customHeight="1" x14ac:dyDescent="0.3">
      <c r="G6085" s="470"/>
      <c r="H6085" s="470">
        <v>6078</v>
      </c>
      <c r="I6085" s="455">
        <f t="shared" ca="1" si="200"/>
        <v>-4.038577932402552E+16</v>
      </c>
      <c r="J6085" s="455">
        <f t="array" ref="J6085">IFERROR(INDEX('Retirement Calculator'!K:K,MATCH('Lorri 401b'!N6085,'Retirement Calculator'!A:A,0),0),0)</f>
        <v>0</v>
      </c>
      <c r="K6085" s="455">
        <f t="shared" ca="1" si="198"/>
        <v>-168274080516773</v>
      </c>
      <c r="L6085" s="455">
        <f t="shared" ca="1" si="199"/>
        <v>-4.0554053404542296E+16</v>
      </c>
      <c r="M6085" s="471">
        <f t="shared" si="201"/>
        <v>0.05</v>
      </c>
      <c r="N6085" s="475">
        <f t="shared" si="202"/>
        <v>236253</v>
      </c>
    </row>
    <row r="6086" spans="7:14" ht="11.25" customHeight="1" x14ac:dyDescent="0.3">
      <c r="G6086" s="470"/>
      <c r="H6086" s="470">
        <v>6079</v>
      </c>
      <c r="I6086" s="455">
        <f t="shared" ca="1" si="200"/>
        <v>-4.0554053404542296E+16</v>
      </c>
      <c r="J6086" s="455">
        <f t="array" ref="J6086">IFERROR(INDEX('Retirement Calculator'!K:K,MATCH('Lorri 401b'!N6086,'Retirement Calculator'!A:A,0),0),0)</f>
        <v>0</v>
      </c>
      <c r="K6086" s="455">
        <f t="shared" ca="1" si="198"/>
        <v>-168975222518926.22</v>
      </c>
      <c r="L6086" s="455">
        <f t="shared" ca="1" si="199"/>
        <v>-4.0723028627061224E+16</v>
      </c>
      <c r="M6086" s="471">
        <f t="shared" si="201"/>
        <v>0.05</v>
      </c>
      <c r="N6086" s="475">
        <f t="shared" si="202"/>
        <v>236283</v>
      </c>
    </row>
    <row r="6087" spans="7:14" ht="11.25" customHeight="1" x14ac:dyDescent="0.3">
      <c r="G6087" s="470"/>
      <c r="H6087" s="470">
        <v>6080</v>
      </c>
      <c r="I6087" s="455">
        <f t="shared" ca="1" si="200"/>
        <v>-4.0723028627061224E+16</v>
      </c>
      <c r="J6087" s="455">
        <f t="array" ref="J6087">IFERROR(INDEX('Retirement Calculator'!K:K,MATCH('Lorri 401b'!N6087,'Retirement Calculator'!A:A,0),0),0)</f>
        <v>0</v>
      </c>
      <c r="K6087" s="455">
        <f t="shared" ca="1" si="198"/>
        <v>-169679285946088.44</v>
      </c>
      <c r="L6087" s="455">
        <f t="shared" ca="1" si="199"/>
        <v>-4.0892707913007312E+16</v>
      </c>
      <c r="M6087" s="471">
        <f t="shared" si="201"/>
        <v>0.05</v>
      </c>
      <c r="N6087" s="475">
        <f t="shared" si="202"/>
        <v>236314</v>
      </c>
    </row>
    <row r="6088" spans="7:14" ht="11.25" customHeight="1" x14ac:dyDescent="0.3">
      <c r="G6088" s="470"/>
      <c r="H6088" s="470">
        <v>6081</v>
      </c>
      <c r="I6088" s="455">
        <f t="shared" ca="1" si="200"/>
        <v>-4.0892707913007312E+16</v>
      </c>
      <c r="J6088" s="455">
        <f t="array" ref="J6088">IFERROR(INDEX('Retirement Calculator'!K:K,MATCH('Lorri 401b'!N6088,'Retirement Calculator'!A:A,0),0),0)</f>
        <v>0</v>
      </c>
      <c r="K6088" s="455">
        <f t="shared" ca="1" si="198"/>
        <v>-170386282970863.81</v>
      </c>
      <c r="L6088" s="455">
        <f t="shared" ca="1" si="199"/>
        <v>-4.1063094195978176E+16</v>
      </c>
      <c r="M6088" s="471">
        <f t="shared" si="201"/>
        <v>0.05</v>
      </c>
      <c r="N6088" s="475">
        <f t="shared" si="202"/>
        <v>236345</v>
      </c>
    </row>
    <row r="6089" spans="7:14" ht="11.25" customHeight="1" x14ac:dyDescent="0.3">
      <c r="G6089" s="470"/>
      <c r="H6089" s="470">
        <v>6082</v>
      </c>
      <c r="I6089" s="455">
        <f t="shared" ca="1" si="200"/>
        <v>-4.1063094195978176E+16</v>
      </c>
      <c r="J6089" s="455">
        <f t="array" ref="J6089">IFERROR(INDEX('Retirement Calculator'!K:K,MATCH('Lorri 401b'!N6089,'Retirement Calculator'!A:A,0),0),0)</f>
        <v>0</v>
      </c>
      <c r="K6089" s="455">
        <f t="shared" ca="1" si="198"/>
        <v>-171096225816575.72</v>
      </c>
      <c r="L6089" s="455">
        <f t="shared" ca="1" si="199"/>
        <v>-4.1234190421794752E+16</v>
      </c>
      <c r="M6089" s="471">
        <f t="shared" si="201"/>
        <v>0.05</v>
      </c>
      <c r="N6089" s="475">
        <f t="shared" si="202"/>
        <v>236373</v>
      </c>
    </row>
    <row r="6090" spans="7:14" ht="11.25" customHeight="1" x14ac:dyDescent="0.3">
      <c r="G6090" s="470"/>
      <c r="H6090" s="470">
        <v>6083</v>
      </c>
      <c r="I6090" s="455">
        <f t="shared" ca="1" si="200"/>
        <v>-4.1234190421794752E+16</v>
      </c>
      <c r="J6090" s="455">
        <f t="array" ref="J6090">IFERROR(INDEX('Retirement Calculator'!K:K,MATCH('Lorri 401b'!N6090,'Retirement Calculator'!A:A,0),0),0)</f>
        <v>0</v>
      </c>
      <c r="K6090" s="455">
        <f t="shared" ca="1" si="198"/>
        <v>-171809126757478.13</v>
      </c>
      <c r="L6090" s="455">
        <f t="shared" ca="1" si="199"/>
        <v>-4.1405999548552232E+16</v>
      </c>
      <c r="M6090" s="471">
        <f t="shared" si="201"/>
        <v>0.05</v>
      </c>
      <c r="N6090" s="475">
        <f t="shared" si="202"/>
        <v>236404</v>
      </c>
    </row>
    <row r="6091" spans="7:14" ht="11.25" customHeight="1" x14ac:dyDescent="0.3">
      <c r="G6091" s="470"/>
      <c r="H6091" s="470">
        <v>6084</v>
      </c>
      <c r="I6091" s="455">
        <f t="shared" ca="1" si="200"/>
        <v>-4.1405999548552232E+16</v>
      </c>
      <c r="J6091" s="455">
        <f t="array" ref="J6091">IFERROR(INDEX('Retirement Calculator'!K:K,MATCH('Lorri 401b'!N6091,'Retirement Calculator'!A:A,0),0),0)</f>
        <v>0</v>
      </c>
      <c r="K6091" s="455">
        <f t="shared" ca="1" si="198"/>
        <v>-172524998118967.63</v>
      </c>
      <c r="L6091" s="455">
        <f t="shared" ca="1" si="199"/>
        <v>-4.15785245466712E+16</v>
      </c>
      <c r="M6091" s="471">
        <f t="shared" si="201"/>
        <v>0.05</v>
      </c>
      <c r="N6091" s="475">
        <f t="shared" si="202"/>
        <v>236434</v>
      </c>
    </row>
    <row r="6092" spans="7:14" ht="11.25" customHeight="1" x14ac:dyDescent="0.3">
      <c r="G6092" s="470"/>
      <c r="H6092" s="470">
        <v>6085</v>
      </c>
      <c r="I6092" s="455">
        <f t="shared" ca="1" si="200"/>
        <v>-4.15785245466712E+16</v>
      </c>
      <c r="J6092" s="455">
        <f t="array" ref="J6092">IFERROR(INDEX('Retirement Calculator'!K:K,MATCH('Lorri 401b'!N6092,'Retirement Calculator'!A:A,0),0),0)</f>
        <v>0</v>
      </c>
      <c r="K6092" s="455">
        <f t="shared" ca="1" si="198"/>
        <v>-173243852277796.66</v>
      </c>
      <c r="L6092" s="455">
        <f t="shared" ca="1" si="199"/>
        <v>-4.1751768398949E+16</v>
      </c>
      <c r="M6092" s="471">
        <f t="shared" si="201"/>
        <v>0.05</v>
      </c>
      <c r="N6092" s="475">
        <f t="shared" si="202"/>
        <v>236465</v>
      </c>
    </row>
    <row r="6093" spans="7:14" ht="11.25" customHeight="1" x14ac:dyDescent="0.3">
      <c r="G6093" s="470"/>
      <c r="H6093" s="470">
        <v>6086</v>
      </c>
      <c r="I6093" s="455">
        <f t="shared" ca="1" si="200"/>
        <v>-4.1751768398949E+16</v>
      </c>
      <c r="J6093" s="455">
        <f t="array" ref="J6093">IFERROR(INDEX('Retirement Calculator'!K:K,MATCH('Lorri 401b'!N6093,'Retirement Calculator'!A:A,0),0),0)</f>
        <v>0</v>
      </c>
      <c r="K6093" s="455">
        <f t="shared" ca="1" si="198"/>
        <v>-173965701662287.5</v>
      </c>
      <c r="L6093" s="455">
        <f t="shared" ca="1" si="199"/>
        <v>-4.1925734100611288E+16</v>
      </c>
      <c r="M6093" s="471">
        <f t="shared" si="201"/>
        <v>0.05</v>
      </c>
      <c r="N6093" s="475">
        <f t="shared" si="202"/>
        <v>236495</v>
      </c>
    </row>
    <row r="6094" spans="7:14" ht="11.25" customHeight="1" x14ac:dyDescent="0.3">
      <c r="G6094" s="470"/>
      <c r="H6094" s="470">
        <v>6087</v>
      </c>
      <c r="I6094" s="455">
        <f t="shared" ca="1" si="200"/>
        <v>-4.1925734100611288E+16</v>
      </c>
      <c r="J6094" s="455">
        <f t="array" ref="J6094">IFERROR(INDEX('Retirement Calculator'!K:K,MATCH('Lorri 401b'!N6094,'Retirement Calculator'!A:A,0),0),0)</f>
        <v>0</v>
      </c>
      <c r="K6094" s="455">
        <f t="shared" ca="1" si="198"/>
        <v>-174690558752547.03</v>
      </c>
      <c r="L6094" s="455">
        <f t="shared" ca="1" si="199"/>
        <v>-4.2100424659363832E+16</v>
      </c>
      <c r="M6094" s="471">
        <f t="shared" si="201"/>
        <v>0.05</v>
      </c>
      <c r="N6094" s="475">
        <f t="shared" si="202"/>
        <v>236526</v>
      </c>
    </row>
    <row r="6095" spans="7:14" ht="11.25" customHeight="1" x14ac:dyDescent="0.3">
      <c r="G6095" s="470"/>
      <c r="H6095" s="470">
        <v>6088</v>
      </c>
      <c r="I6095" s="455">
        <f t="shared" ca="1" si="200"/>
        <v>-4.2100424659363832E+16</v>
      </c>
      <c r="J6095" s="455">
        <f t="array" ref="J6095">IFERROR(INDEX('Retirement Calculator'!K:K,MATCH('Lorri 401b'!N6095,'Retirement Calculator'!A:A,0),0),0)</f>
        <v>0</v>
      </c>
      <c r="K6095" s="455">
        <f t="shared" ca="1" si="198"/>
        <v>-175418436080682.63</v>
      </c>
      <c r="L6095" s="455">
        <f t="shared" ca="1" si="199"/>
        <v>-4.2275843095444512E+16</v>
      </c>
      <c r="M6095" s="471">
        <f t="shared" si="201"/>
        <v>0.05</v>
      </c>
      <c r="N6095" s="475">
        <f t="shared" si="202"/>
        <v>236557</v>
      </c>
    </row>
    <row r="6096" spans="7:14" ht="11.25" customHeight="1" x14ac:dyDescent="0.3">
      <c r="G6096" s="470"/>
      <c r="H6096" s="470">
        <v>6089</v>
      </c>
      <c r="I6096" s="455">
        <f t="shared" ca="1" si="200"/>
        <v>-4.2275843095444512E+16</v>
      </c>
      <c r="J6096" s="455">
        <f t="array" ref="J6096">IFERROR(INDEX('Retirement Calculator'!K:K,MATCH('Lorri 401b'!N6096,'Retirement Calculator'!A:A,0),0),0)</f>
        <v>0</v>
      </c>
      <c r="K6096" s="455">
        <f t="shared" ca="1" si="198"/>
        <v>-176149346231018.81</v>
      </c>
      <c r="L6096" s="455">
        <f t="shared" ca="1" si="199"/>
        <v>-4.2451992441675528E+16</v>
      </c>
      <c r="M6096" s="471">
        <f t="shared" si="201"/>
        <v>0.05</v>
      </c>
      <c r="N6096" s="475">
        <f t="shared" si="202"/>
        <v>236587</v>
      </c>
    </row>
    <row r="6097" spans="7:14" ht="11.25" customHeight="1" x14ac:dyDescent="0.3">
      <c r="G6097" s="470"/>
      <c r="H6097" s="470">
        <v>6090</v>
      </c>
      <c r="I6097" s="455">
        <f t="shared" ca="1" si="200"/>
        <v>-4.2451992441675528E+16</v>
      </c>
      <c r="J6097" s="455">
        <f t="array" ref="J6097">IFERROR(INDEX('Retirement Calculator'!K:K,MATCH('Lorri 401b'!N6097,'Retirement Calculator'!A:A,0),0),0)</f>
        <v>0</v>
      </c>
      <c r="K6097" s="455">
        <f t="shared" ca="1" si="198"/>
        <v>-176883301840314.69</v>
      </c>
      <c r="L6097" s="455">
        <f t="shared" ca="1" si="199"/>
        <v>-4.262887574351584E+16</v>
      </c>
      <c r="M6097" s="471">
        <f t="shared" si="201"/>
        <v>0.05</v>
      </c>
      <c r="N6097" s="475">
        <f t="shared" si="202"/>
        <v>236618</v>
      </c>
    </row>
    <row r="6098" spans="7:14" ht="11.25" customHeight="1" x14ac:dyDescent="0.3">
      <c r="G6098" s="470"/>
      <c r="H6098" s="470">
        <v>6091</v>
      </c>
      <c r="I6098" s="455">
        <f t="shared" ca="1" si="200"/>
        <v>-4.262887574351584E+16</v>
      </c>
      <c r="J6098" s="455">
        <f t="array" ref="J6098">IFERROR(INDEX('Retirement Calculator'!K:K,MATCH('Lorri 401b'!N6098,'Retirement Calculator'!A:A,0),0),0)</f>
        <v>0</v>
      </c>
      <c r="K6098" s="455">
        <f t="shared" ca="1" si="198"/>
        <v>-177620315597982.66</v>
      </c>
      <c r="L6098" s="455">
        <f t="shared" ca="1" si="199"/>
        <v>-4.2806496059113824E+16</v>
      </c>
      <c r="M6098" s="471">
        <f t="shared" si="201"/>
        <v>0.05</v>
      </c>
      <c r="N6098" s="475">
        <f t="shared" si="202"/>
        <v>236648</v>
      </c>
    </row>
    <row r="6099" spans="7:14" ht="11.25" customHeight="1" x14ac:dyDescent="0.3">
      <c r="G6099" s="470"/>
      <c r="H6099" s="470">
        <v>6092</v>
      </c>
      <c r="I6099" s="455">
        <f t="shared" ca="1" si="200"/>
        <v>-4.2806496059113824E+16</v>
      </c>
      <c r="J6099" s="455">
        <f t="array" ref="J6099">IFERROR(INDEX('Retirement Calculator'!K:K,MATCH('Lorri 401b'!N6099,'Retirement Calculator'!A:A,0),0),0)</f>
        <v>0</v>
      </c>
      <c r="K6099" s="455">
        <f t="shared" ca="1" si="198"/>
        <v>-178360400246307.59</v>
      </c>
      <c r="L6099" s="455">
        <f t="shared" ca="1" si="199"/>
        <v>-4.2984856459360128E+16</v>
      </c>
      <c r="M6099" s="471">
        <f t="shared" si="201"/>
        <v>0.05</v>
      </c>
      <c r="N6099" s="475">
        <f t="shared" si="202"/>
        <v>236679</v>
      </c>
    </row>
    <row r="6100" spans="7:14" ht="11.25" customHeight="1" x14ac:dyDescent="0.3">
      <c r="G6100" s="470"/>
      <c r="H6100" s="470">
        <v>6093</v>
      </c>
      <c r="I6100" s="455">
        <f t="shared" ca="1" si="200"/>
        <v>-4.2984856459360128E+16</v>
      </c>
      <c r="J6100" s="455">
        <f t="array" ref="J6100">IFERROR(INDEX('Retirement Calculator'!K:K,MATCH('Lorri 401b'!N6100,'Retirement Calculator'!A:A,0),0),0)</f>
        <v>0</v>
      </c>
      <c r="K6100" s="455">
        <f t="shared" ca="1" si="198"/>
        <v>-179103568580667.19</v>
      </c>
      <c r="L6100" s="455">
        <f t="shared" ca="1" si="199"/>
        <v>-4.3163960027940792E+16</v>
      </c>
      <c r="M6100" s="471">
        <f t="shared" si="201"/>
        <v>0.05</v>
      </c>
      <c r="N6100" s="475">
        <f t="shared" si="202"/>
        <v>236710</v>
      </c>
    </row>
    <row r="6101" spans="7:14" ht="11.25" customHeight="1" x14ac:dyDescent="0.3">
      <c r="G6101" s="470"/>
      <c r="H6101" s="470">
        <v>6094</v>
      </c>
      <c r="I6101" s="455">
        <f t="shared" ca="1" si="200"/>
        <v>-4.3163960027940792E+16</v>
      </c>
      <c r="J6101" s="455">
        <f t="array" ref="J6101">IFERROR(INDEX('Retirement Calculator'!K:K,MATCH('Lorri 401b'!N6101,'Retirement Calculator'!A:A,0),0),0)</f>
        <v>0</v>
      </c>
      <c r="K6101" s="455">
        <f t="shared" ca="1" si="198"/>
        <v>-179849833449753.31</v>
      </c>
      <c r="L6101" s="455">
        <f t="shared" ca="1" si="199"/>
        <v>-4.3343809861390544E+16</v>
      </c>
      <c r="M6101" s="471">
        <f t="shared" si="201"/>
        <v>0.05</v>
      </c>
      <c r="N6101" s="475">
        <f t="shared" si="202"/>
        <v>236739</v>
      </c>
    </row>
    <row r="6102" spans="7:14" ht="11.25" customHeight="1" x14ac:dyDescent="0.3">
      <c r="G6102" s="470"/>
      <c r="H6102" s="470">
        <v>6095</v>
      </c>
      <c r="I6102" s="455">
        <f t="shared" ca="1" si="200"/>
        <v>-4.3343809861390544E+16</v>
      </c>
      <c r="J6102" s="455">
        <f t="array" ref="J6102">IFERROR(INDEX('Retirement Calculator'!K:K,MATCH('Lorri 401b'!N6102,'Retirement Calculator'!A:A,0),0),0)</f>
        <v>0</v>
      </c>
      <c r="K6102" s="455">
        <f t="shared" ca="1" si="198"/>
        <v>-180599207755793.94</v>
      </c>
      <c r="L6102" s="455">
        <f t="shared" ca="1" si="199"/>
        <v>-4.3524409069146336E+16</v>
      </c>
      <c r="M6102" s="471">
        <f t="shared" si="201"/>
        <v>0.05</v>
      </c>
      <c r="N6102" s="475">
        <f t="shared" si="202"/>
        <v>236770</v>
      </c>
    </row>
    <row r="6103" spans="7:14" ht="11.25" customHeight="1" x14ac:dyDescent="0.3">
      <c r="G6103" s="470"/>
      <c r="H6103" s="470">
        <v>6096</v>
      </c>
      <c r="I6103" s="455">
        <f t="shared" ca="1" si="200"/>
        <v>-4.3524409069146336E+16</v>
      </c>
      <c r="J6103" s="455">
        <f t="array" ref="J6103">IFERROR(INDEX('Retirement Calculator'!K:K,MATCH('Lorri 401b'!N6103,'Retirement Calculator'!A:A,0),0),0)</f>
        <v>0</v>
      </c>
      <c r="K6103" s="455">
        <f t="shared" ca="1" si="198"/>
        <v>-181351704454776.41</v>
      </c>
      <c r="L6103" s="455">
        <f t="shared" ca="1" si="199"/>
        <v>-4.3705760773601112E+16</v>
      </c>
      <c r="M6103" s="471">
        <f t="shared" si="201"/>
        <v>0.05</v>
      </c>
      <c r="N6103" s="475">
        <f t="shared" si="202"/>
        <v>236800</v>
      </c>
    </row>
    <row r="6104" spans="7:14" ht="11.25" customHeight="1" x14ac:dyDescent="0.3">
      <c r="G6104" s="470"/>
      <c r="H6104" s="470">
        <v>6097</v>
      </c>
      <c r="I6104" s="455">
        <f t="shared" ca="1" si="200"/>
        <v>-4.3705760773601112E+16</v>
      </c>
      <c r="J6104" s="455">
        <f t="array" ref="J6104">IFERROR(INDEX('Retirement Calculator'!K:K,MATCH('Lorri 401b'!N6104,'Retirement Calculator'!A:A,0),0),0)</f>
        <v>0</v>
      </c>
      <c r="K6104" s="455">
        <f t="shared" ca="1" si="198"/>
        <v>-182107336556671.31</v>
      </c>
      <c r="L6104" s="455">
        <f t="shared" ca="1" si="199"/>
        <v>-4.3887868110157784E+16</v>
      </c>
      <c r="M6104" s="471">
        <f t="shared" si="201"/>
        <v>0.05</v>
      </c>
      <c r="N6104" s="475">
        <f t="shared" si="202"/>
        <v>236831</v>
      </c>
    </row>
    <row r="6105" spans="7:14" ht="11.25" customHeight="1" x14ac:dyDescent="0.3">
      <c r="G6105" s="470"/>
      <c r="H6105" s="470">
        <v>6098</v>
      </c>
      <c r="I6105" s="455">
        <f t="shared" ca="1" si="200"/>
        <v>-4.3887868110157784E+16</v>
      </c>
      <c r="J6105" s="455">
        <f t="array" ref="J6105">IFERROR(INDEX('Retirement Calculator'!K:K,MATCH('Lorri 401b'!N6105,'Retirement Calculator'!A:A,0),0),0)</f>
        <v>0</v>
      </c>
      <c r="K6105" s="455">
        <f t="shared" ca="1" si="198"/>
        <v>-182866117125657.44</v>
      </c>
      <c r="L6105" s="455">
        <f t="shared" ca="1" si="199"/>
        <v>-4.407073422728344E+16</v>
      </c>
      <c r="M6105" s="471">
        <f t="shared" si="201"/>
        <v>0.05</v>
      </c>
      <c r="N6105" s="475">
        <f t="shared" si="202"/>
        <v>236861</v>
      </c>
    </row>
    <row r="6106" spans="7:14" ht="11.25" customHeight="1" x14ac:dyDescent="0.3">
      <c r="G6106" s="470"/>
      <c r="H6106" s="470">
        <v>6099</v>
      </c>
      <c r="I6106" s="455">
        <f t="shared" ca="1" si="200"/>
        <v>-4.407073422728344E+16</v>
      </c>
      <c r="J6106" s="455">
        <f t="array" ref="J6106">IFERROR(INDEX('Retirement Calculator'!K:K,MATCH('Lorri 401b'!N6106,'Retirement Calculator'!A:A,0),0),0)</f>
        <v>0</v>
      </c>
      <c r="K6106" s="455">
        <f t="shared" ca="1" si="198"/>
        <v>-183628059280347.66</v>
      </c>
      <c r="L6106" s="455">
        <f t="shared" ca="1" si="199"/>
        <v>-4.4254362286563784E+16</v>
      </c>
      <c r="M6106" s="471">
        <f t="shared" si="201"/>
        <v>0.05</v>
      </c>
      <c r="N6106" s="475">
        <f t="shared" si="202"/>
        <v>236892</v>
      </c>
    </row>
    <row r="6107" spans="7:14" ht="11.25" customHeight="1" x14ac:dyDescent="0.3">
      <c r="G6107" s="470"/>
      <c r="H6107" s="470">
        <v>6100</v>
      </c>
      <c r="I6107" s="455">
        <f t="shared" ca="1" si="200"/>
        <v>-4.4254362286563784E+16</v>
      </c>
      <c r="J6107" s="455">
        <f t="array" ref="J6107">IFERROR(INDEX('Retirement Calculator'!K:K,MATCH('Lorri 401b'!N6107,'Retirement Calculator'!A:A,0),0),0)</f>
        <v>0</v>
      </c>
      <c r="K6107" s="455">
        <f t="shared" ca="1" si="198"/>
        <v>-184393176194015.75</v>
      </c>
      <c r="L6107" s="455">
        <f t="shared" ca="1" si="199"/>
        <v>-4.44387554627578E+16</v>
      </c>
      <c r="M6107" s="471">
        <f t="shared" si="201"/>
        <v>0.05</v>
      </c>
      <c r="N6107" s="475">
        <f t="shared" si="202"/>
        <v>236923</v>
      </c>
    </row>
    <row r="6108" spans="7:14" ht="11.25" customHeight="1" x14ac:dyDescent="0.3">
      <c r="G6108" s="470"/>
      <c r="H6108" s="470">
        <v>6101</v>
      </c>
      <c r="I6108" s="455">
        <f t="shared" ca="1" si="200"/>
        <v>-4.44387554627578E+16</v>
      </c>
      <c r="J6108" s="455">
        <f t="array" ref="J6108">IFERROR(INDEX('Retirement Calculator'!K:K,MATCH('Lorri 401b'!N6108,'Retirement Calculator'!A:A,0),0),0)</f>
        <v>0</v>
      </c>
      <c r="K6108" s="455">
        <f t="shared" ca="1" si="198"/>
        <v>-185161481094824.16</v>
      </c>
      <c r="L6108" s="455">
        <f t="shared" ca="1" si="199"/>
        <v>-4.4623916943852624E+16</v>
      </c>
      <c r="M6108" s="471">
        <f t="shared" si="201"/>
        <v>0.05</v>
      </c>
      <c r="N6108" s="475">
        <f t="shared" si="202"/>
        <v>236953</v>
      </c>
    </row>
    <row r="6109" spans="7:14" ht="11.25" customHeight="1" x14ac:dyDescent="0.3">
      <c r="G6109" s="470"/>
      <c r="H6109" s="470">
        <v>6102</v>
      </c>
      <c r="I6109" s="455">
        <f t="shared" ca="1" si="200"/>
        <v>-4.4623916943852624E+16</v>
      </c>
      <c r="J6109" s="455">
        <f t="array" ref="J6109">IFERROR(INDEX('Retirement Calculator'!K:K,MATCH('Lorri 401b'!N6109,'Retirement Calculator'!A:A,0),0),0)</f>
        <v>0</v>
      </c>
      <c r="K6109" s="455">
        <f t="shared" ca="1" si="198"/>
        <v>-185932987266052.59</v>
      </c>
      <c r="L6109" s="455">
        <f t="shared" ca="1" si="199"/>
        <v>-4.480984993111868E+16</v>
      </c>
      <c r="M6109" s="471">
        <f t="shared" si="201"/>
        <v>0.05</v>
      </c>
      <c r="N6109" s="475">
        <f t="shared" si="202"/>
        <v>236984</v>
      </c>
    </row>
    <row r="6110" spans="7:14" ht="11.25" customHeight="1" x14ac:dyDescent="0.3">
      <c r="G6110" s="470"/>
      <c r="H6110" s="470">
        <v>6103</v>
      </c>
      <c r="I6110" s="455">
        <f t="shared" ca="1" si="200"/>
        <v>-4.480984993111868E+16</v>
      </c>
      <c r="J6110" s="455">
        <f t="array" ref="J6110">IFERROR(INDEX('Retirement Calculator'!K:K,MATCH('Lorri 401b'!N6110,'Retirement Calculator'!A:A,0),0),0)</f>
        <v>0</v>
      </c>
      <c r="K6110" s="455">
        <f t="shared" ca="1" si="198"/>
        <v>-186707708046327.84</v>
      </c>
      <c r="L6110" s="455">
        <f t="shared" ca="1" si="199"/>
        <v>-4.4996557639165008E+16</v>
      </c>
      <c r="M6110" s="471">
        <f t="shared" si="201"/>
        <v>0.05</v>
      </c>
      <c r="N6110" s="475">
        <f t="shared" si="202"/>
        <v>237014</v>
      </c>
    </row>
    <row r="6111" spans="7:14" ht="11.25" customHeight="1" x14ac:dyDescent="0.3">
      <c r="G6111" s="470"/>
      <c r="H6111" s="470">
        <v>6104</v>
      </c>
      <c r="I6111" s="455">
        <f t="shared" ca="1" si="200"/>
        <v>-4.4996557639165008E+16</v>
      </c>
      <c r="J6111" s="455">
        <f t="array" ref="J6111">IFERROR(INDEX('Retirement Calculator'!K:K,MATCH('Lorri 401b'!N6111,'Retirement Calculator'!A:A,0),0),0)</f>
        <v>0</v>
      </c>
      <c r="K6111" s="455">
        <f t="shared" ca="1" si="198"/>
        <v>-187485656829854.19</v>
      </c>
      <c r="L6111" s="455">
        <f t="shared" ca="1" si="199"/>
        <v>-4.5184043295994864E+16</v>
      </c>
      <c r="M6111" s="471">
        <f t="shared" si="201"/>
        <v>0.05</v>
      </c>
      <c r="N6111" s="475">
        <f t="shared" si="202"/>
        <v>237045</v>
      </c>
    </row>
    <row r="6112" spans="7:14" ht="11.25" customHeight="1" x14ac:dyDescent="0.3">
      <c r="G6112" s="470"/>
      <c r="H6112" s="470">
        <v>6105</v>
      </c>
      <c r="I6112" s="455">
        <f t="shared" ca="1" si="200"/>
        <v>-4.5184043295994864E+16</v>
      </c>
      <c r="J6112" s="455">
        <f t="array" ref="J6112">IFERROR(INDEX('Retirement Calculator'!K:K,MATCH('Lorri 401b'!N6112,'Retirement Calculator'!A:A,0),0),0)</f>
        <v>0</v>
      </c>
      <c r="K6112" s="455">
        <f t="shared" ca="1" si="198"/>
        <v>-188266847066645.25</v>
      </c>
      <c r="L6112" s="455">
        <f t="shared" ca="1" si="199"/>
        <v>-4.5372310143061512E+16</v>
      </c>
      <c r="M6112" s="471">
        <f t="shared" si="201"/>
        <v>0.05</v>
      </c>
      <c r="N6112" s="475">
        <f t="shared" si="202"/>
        <v>237076</v>
      </c>
    </row>
    <row r="6113" spans="7:14" ht="11.25" customHeight="1" x14ac:dyDescent="0.3">
      <c r="G6113" s="470"/>
      <c r="H6113" s="470">
        <v>6106</v>
      </c>
      <c r="I6113" s="455">
        <f t="shared" ca="1" si="200"/>
        <v>-4.5372310143061512E+16</v>
      </c>
      <c r="J6113" s="455">
        <f t="array" ref="J6113">IFERROR(INDEX('Retirement Calculator'!K:K,MATCH('Lorri 401b'!N6113,'Retirement Calculator'!A:A,0),0),0)</f>
        <v>0</v>
      </c>
      <c r="K6113" s="455">
        <f t="shared" ca="1" si="198"/>
        <v>-189051292262756.31</v>
      </c>
      <c r="L6113" s="455">
        <f t="shared" ca="1" si="199"/>
        <v>-4.5561361435324272E+16</v>
      </c>
      <c r="M6113" s="471">
        <f t="shared" si="201"/>
        <v>0.05</v>
      </c>
      <c r="N6113" s="475">
        <f t="shared" si="202"/>
        <v>237104</v>
      </c>
    </row>
    <row r="6114" spans="7:14" ht="11.25" customHeight="1" x14ac:dyDescent="0.3">
      <c r="G6114" s="470"/>
      <c r="H6114" s="470">
        <v>6107</v>
      </c>
      <c r="I6114" s="455">
        <f t="shared" ca="1" si="200"/>
        <v>-4.5561361435324272E+16</v>
      </c>
      <c r="J6114" s="455">
        <f t="array" ref="J6114">IFERROR(INDEX('Retirement Calculator'!K:K,MATCH('Lorri 401b'!N6114,'Retirement Calculator'!A:A,0),0),0)</f>
        <v>0</v>
      </c>
      <c r="K6114" s="455">
        <f t="shared" ca="1" si="198"/>
        <v>-189839005980517.81</v>
      </c>
      <c r="L6114" s="455">
        <f t="shared" ca="1" si="199"/>
        <v>-4.5751200441304792E+16</v>
      </c>
      <c r="M6114" s="471">
        <f t="shared" si="201"/>
        <v>0.05</v>
      </c>
      <c r="N6114" s="475">
        <f t="shared" si="202"/>
        <v>237135</v>
      </c>
    </row>
    <row r="6115" spans="7:14" ht="11.25" customHeight="1" x14ac:dyDescent="0.3">
      <c r="G6115" s="470"/>
      <c r="H6115" s="470">
        <v>6108</v>
      </c>
      <c r="I6115" s="455">
        <f t="shared" ca="1" si="200"/>
        <v>-4.5751200441304792E+16</v>
      </c>
      <c r="J6115" s="455">
        <f t="array" ref="J6115">IFERROR(INDEX('Retirement Calculator'!K:K,MATCH('Lorri 401b'!N6115,'Retirement Calculator'!A:A,0),0),0)</f>
        <v>0</v>
      </c>
      <c r="K6115" s="455">
        <f t="shared" ca="1" si="198"/>
        <v>-190630001838769.97</v>
      </c>
      <c r="L6115" s="455">
        <f t="shared" ca="1" si="199"/>
        <v>-4.594183044314356E+16</v>
      </c>
      <c r="M6115" s="471">
        <f t="shared" si="201"/>
        <v>0.05</v>
      </c>
      <c r="N6115" s="475">
        <f t="shared" si="202"/>
        <v>237165</v>
      </c>
    </row>
    <row r="6116" spans="7:14" ht="11.25" customHeight="1" x14ac:dyDescent="0.3">
      <c r="G6116" s="470"/>
      <c r="H6116" s="470">
        <v>6109</v>
      </c>
      <c r="I6116" s="455">
        <f t="shared" ca="1" si="200"/>
        <v>-4.594183044314356E+16</v>
      </c>
      <c r="J6116" s="455">
        <f t="array" ref="J6116">IFERROR(INDEX('Retirement Calculator'!K:K,MATCH('Lorri 401b'!N6116,'Retirement Calculator'!A:A,0),0),0)</f>
        <v>0</v>
      </c>
      <c r="K6116" s="455">
        <f t="shared" ca="1" si="198"/>
        <v>-191424293513098.16</v>
      </c>
      <c r="L6116" s="455">
        <f t="shared" ca="1" si="199"/>
        <v>-4.6133254736656656E+16</v>
      </c>
      <c r="M6116" s="471">
        <f t="shared" si="201"/>
        <v>0.05</v>
      </c>
      <c r="N6116" s="475">
        <f t="shared" si="202"/>
        <v>237196</v>
      </c>
    </row>
    <row r="6117" spans="7:14" ht="11.25" customHeight="1" x14ac:dyDescent="0.3">
      <c r="G6117" s="470"/>
      <c r="H6117" s="470">
        <v>6110</v>
      </c>
      <c r="I6117" s="455">
        <f t="shared" ca="1" si="200"/>
        <v>-4.6133254736656656E+16</v>
      </c>
      <c r="J6117" s="455">
        <f t="array" ref="J6117">IFERROR(INDEX('Retirement Calculator'!K:K,MATCH('Lorri 401b'!N6117,'Retirement Calculator'!A:A,0),0),0)</f>
        <v>0</v>
      </c>
      <c r="K6117" s="455">
        <f t="shared" ca="1" si="198"/>
        <v>-192221894736069.41</v>
      </c>
      <c r="L6117" s="455">
        <f t="shared" ca="1" si="199"/>
        <v>-4.6325476631392728E+16</v>
      </c>
      <c r="M6117" s="471">
        <f t="shared" si="201"/>
        <v>0.05</v>
      </c>
      <c r="N6117" s="475">
        <f t="shared" si="202"/>
        <v>237226</v>
      </c>
    </row>
    <row r="6118" spans="7:14" ht="11.25" customHeight="1" x14ac:dyDescent="0.3">
      <c r="G6118" s="470"/>
      <c r="H6118" s="470">
        <v>6111</v>
      </c>
      <c r="I6118" s="455">
        <f t="shared" ca="1" si="200"/>
        <v>-4.6325476631392728E+16</v>
      </c>
      <c r="J6118" s="455">
        <f t="array" ref="J6118">IFERROR(INDEX('Retirement Calculator'!K:K,MATCH('Lorri 401b'!N6118,'Retirement Calculator'!A:A,0),0),0)</f>
        <v>0</v>
      </c>
      <c r="K6118" s="455">
        <f t="shared" ca="1" si="198"/>
        <v>-193022819297469.69</v>
      </c>
      <c r="L6118" s="455">
        <f t="shared" ca="1" si="199"/>
        <v>-4.65184994506902E+16</v>
      </c>
      <c r="M6118" s="471">
        <f t="shared" si="201"/>
        <v>0.05</v>
      </c>
      <c r="N6118" s="475">
        <f t="shared" si="202"/>
        <v>237257</v>
      </c>
    </row>
    <row r="6119" spans="7:14" ht="11.25" customHeight="1" x14ac:dyDescent="0.3">
      <c r="G6119" s="470"/>
      <c r="H6119" s="470">
        <v>6112</v>
      </c>
      <c r="I6119" s="455">
        <f t="shared" ca="1" si="200"/>
        <v>-4.65184994506902E+16</v>
      </c>
      <c r="J6119" s="455">
        <f t="array" ref="J6119">IFERROR(INDEX('Retirement Calculator'!K:K,MATCH('Lorri 401b'!N6119,'Retirement Calculator'!A:A,0),0),0)</f>
        <v>0</v>
      </c>
      <c r="K6119" s="455">
        <f t="shared" ca="1" si="198"/>
        <v>-193827081044542.5</v>
      </c>
      <c r="L6119" s="455">
        <f t="shared" ca="1" si="199"/>
        <v>-4.6712326531734744E+16</v>
      </c>
      <c r="M6119" s="471">
        <f t="shared" si="201"/>
        <v>0.05</v>
      </c>
      <c r="N6119" s="475">
        <f t="shared" si="202"/>
        <v>237288</v>
      </c>
    </row>
    <row r="6120" spans="7:14" ht="11.25" customHeight="1" x14ac:dyDescent="0.3">
      <c r="G6120" s="470"/>
      <c r="H6120" s="470">
        <v>6113</v>
      </c>
      <c r="I6120" s="455">
        <f t="shared" ca="1" si="200"/>
        <v>-4.6712326531734744E+16</v>
      </c>
      <c r="J6120" s="455">
        <f t="array" ref="J6120">IFERROR(INDEX('Retirement Calculator'!K:K,MATCH('Lorri 401b'!N6120,'Retirement Calculator'!A:A,0),0),0)</f>
        <v>0</v>
      </c>
      <c r="K6120" s="455">
        <f t="shared" ca="1" si="198"/>
        <v>-194634693882228.09</v>
      </c>
      <c r="L6120" s="455">
        <f t="shared" ca="1" si="199"/>
        <v>-4.6906961225616976E+16</v>
      </c>
      <c r="M6120" s="471">
        <f t="shared" si="201"/>
        <v>0.05</v>
      </c>
      <c r="N6120" s="475">
        <f t="shared" si="202"/>
        <v>237318</v>
      </c>
    </row>
    <row r="6121" spans="7:14" ht="11.25" customHeight="1" x14ac:dyDescent="0.3">
      <c r="G6121" s="470"/>
      <c r="H6121" s="470">
        <v>6114</v>
      </c>
      <c r="I6121" s="455">
        <f t="shared" ca="1" si="200"/>
        <v>-4.6906961225616976E+16</v>
      </c>
      <c r="J6121" s="455">
        <f t="array" ref="J6121">IFERROR(INDEX('Retirement Calculator'!K:K,MATCH('Lorri 401b'!N6121,'Retirement Calculator'!A:A,0),0),0)</f>
        <v>0</v>
      </c>
      <c r="K6121" s="455">
        <f t="shared" ca="1" si="198"/>
        <v>-195445671773404.06</v>
      </c>
      <c r="L6121" s="455">
        <f t="shared" ca="1" si="199"/>
        <v>-4.7102406897390384E+16</v>
      </c>
      <c r="M6121" s="471">
        <f t="shared" si="201"/>
        <v>0.05</v>
      </c>
      <c r="N6121" s="475">
        <f t="shared" si="202"/>
        <v>237349</v>
      </c>
    </row>
    <row r="6122" spans="7:14" ht="11.25" customHeight="1" x14ac:dyDescent="0.3">
      <c r="G6122" s="470"/>
      <c r="H6122" s="470">
        <v>6115</v>
      </c>
      <c r="I6122" s="455">
        <f t="shared" ca="1" si="200"/>
        <v>-4.7102406897390384E+16</v>
      </c>
      <c r="J6122" s="455">
        <f t="array" ref="J6122">IFERROR(INDEX('Retirement Calculator'!K:K,MATCH('Lorri 401b'!N6122,'Retirement Calculator'!A:A,0),0),0)</f>
        <v>0</v>
      </c>
      <c r="K6122" s="455">
        <f t="shared" ca="1" si="198"/>
        <v>-196260028739126.59</v>
      </c>
      <c r="L6122" s="455">
        <f t="shared" ca="1" si="199"/>
        <v>-4.7298666926129512E+16</v>
      </c>
      <c r="M6122" s="471">
        <f t="shared" si="201"/>
        <v>0.05</v>
      </c>
      <c r="N6122" s="475">
        <f t="shared" si="202"/>
        <v>237379</v>
      </c>
    </row>
    <row r="6123" spans="7:14" ht="11.25" customHeight="1" x14ac:dyDescent="0.3">
      <c r="G6123" s="470"/>
      <c r="H6123" s="470">
        <v>6116</v>
      </c>
      <c r="I6123" s="455">
        <f t="shared" ca="1" si="200"/>
        <v>-4.7298666926129512E+16</v>
      </c>
      <c r="J6123" s="455">
        <f t="array" ref="J6123">IFERROR(INDEX('Retirement Calculator'!K:K,MATCH('Lorri 401b'!N6123,'Retirement Calculator'!A:A,0),0),0)</f>
        <v>0</v>
      </c>
      <c r="K6123" s="455">
        <f t="shared" ca="1" si="198"/>
        <v>-197077778858872.97</v>
      </c>
      <c r="L6123" s="455">
        <f t="shared" ca="1" si="199"/>
        <v>-4.7495744704988384E+16</v>
      </c>
      <c r="M6123" s="471">
        <f t="shared" si="201"/>
        <v>0.05</v>
      </c>
      <c r="N6123" s="475">
        <f t="shared" si="202"/>
        <v>237410</v>
      </c>
    </row>
    <row r="6124" spans="7:14" ht="11.25" customHeight="1" x14ac:dyDescent="0.3">
      <c r="G6124" s="470"/>
      <c r="H6124" s="470">
        <v>6117</v>
      </c>
      <c r="I6124" s="455">
        <f t="shared" ca="1" si="200"/>
        <v>-4.7495744704988384E+16</v>
      </c>
      <c r="J6124" s="455">
        <f t="array" ref="J6124">IFERROR(INDEX('Retirement Calculator'!K:K,MATCH('Lorri 401b'!N6124,'Retirement Calculator'!A:A,0),0),0)</f>
        <v>0</v>
      </c>
      <c r="K6124" s="455">
        <f t="shared" ca="1" si="198"/>
        <v>-197898936270784.94</v>
      </c>
      <c r="L6124" s="455">
        <f t="shared" ca="1" si="199"/>
        <v>-4.7693643641259168E+16</v>
      </c>
      <c r="M6124" s="471">
        <f t="shared" si="201"/>
        <v>0.05</v>
      </c>
      <c r="N6124" s="475">
        <f t="shared" si="202"/>
        <v>237441</v>
      </c>
    </row>
    <row r="6125" spans="7:14" ht="11.25" customHeight="1" x14ac:dyDescent="0.3">
      <c r="G6125" s="470"/>
      <c r="H6125" s="470">
        <v>6118</v>
      </c>
      <c r="I6125" s="455">
        <f t="shared" ca="1" si="200"/>
        <v>-4.7693643641259168E+16</v>
      </c>
      <c r="J6125" s="455">
        <f t="array" ref="J6125">IFERROR(INDEX('Retirement Calculator'!K:K,MATCH('Lorri 401b'!N6125,'Retirement Calculator'!A:A,0),0),0)</f>
        <v>0</v>
      </c>
      <c r="K6125" s="455">
        <f t="shared" ca="1" si="198"/>
        <v>-198723515171913.19</v>
      </c>
      <c r="L6125" s="455">
        <f t="shared" ca="1" si="199"/>
        <v>-4.789236715643108E+16</v>
      </c>
      <c r="M6125" s="471">
        <f t="shared" si="201"/>
        <v>0.05</v>
      </c>
      <c r="N6125" s="475">
        <f t="shared" si="202"/>
        <v>237469</v>
      </c>
    </row>
    <row r="6126" spans="7:14" ht="11.25" customHeight="1" x14ac:dyDescent="0.3">
      <c r="G6126" s="470"/>
      <c r="H6126" s="470">
        <v>6119</v>
      </c>
      <c r="I6126" s="455">
        <f t="shared" ca="1" si="200"/>
        <v>-4.789236715643108E+16</v>
      </c>
      <c r="J6126" s="455">
        <f t="array" ref="J6126">IFERROR(INDEX('Retirement Calculator'!K:K,MATCH('Lorri 401b'!N6126,'Retirement Calculator'!A:A,0),0),0)</f>
        <v>0</v>
      </c>
      <c r="K6126" s="455">
        <f t="shared" ca="1" si="198"/>
        <v>-199551529818462.84</v>
      </c>
      <c r="L6126" s="455">
        <f t="shared" ca="1" si="199"/>
        <v>-4.8091918686249544E+16</v>
      </c>
      <c r="M6126" s="471">
        <f t="shared" si="201"/>
        <v>0.05</v>
      </c>
      <c r="N6126" s="475">
        <f t="shared" si="202"/>
        <v>237500</v>
      </c>
    </row>
    <row r="6127" spans="7:14" ht="11.25" customHeight="1" x14ac:dyDescent="0.3">
      <c r="G6127" s="470"/>
      <c r="H6127" s="470">
        <v>6120</v>
      </c>
      <c r="I6127" s="455">
        <f t="shared" ca="1" si="200"/>
        <v>-4.8091918686249544E+16</v>
      </c>
      <c r="J6127" s="455">
        <f t="array" ref="J6127">IFERROR(INDEX('Retirement Calculator'!K:K,MATCH('Lorri 401b'!N6127,'Retirement Calculator'!A:A,0),0),0)</f>
        <v>0</v>
      </c>
      <c r="K6127" s="455">
        <f t="shared" ca="1" si="198"/>
        <v>-200382994526039.75</v>
      </c>
      <c r="L6127" s="455">
        <f t="shared" ca="1" si="199"/>
        <v>-4.8292301680775584E+16</v>
      </c>
      <c r="M6127" s="471">
        <f t="shared" si="201"/>
        <v>0.05</v>
      </c>
      <c r="N6127" s="475">
        <f t="shared" si="202"/>
        <v>237530</v>
      </c>
    </row>
    <row r="6128" spans="7:14" ht="11.25" customHeight="1" x14ac:dyDescent="0.3">
      <c r="G6128" s="470"/>
      <c r="H6128" s="470">
        <v>6121</v>
      </c>
      <c r="I6128" s="455">
        <f t="shared" ca="1" si="200"/>
        <v>-4.8292301680775584E+16</v>
      </c>
      <c r="J6128" s="455">
        <f t="array" ref="J6128">IFERROR(INDEX('Retirement Calculator'!K:K,MATCH('Lorri 401b'!N6128,'Retirement Calculator'!A:A,0),0),0)</f>
        <v>0</v>
      </c>
      <c r="K6128" s="455">
        <f t="shared" ref="K6128:K6250" ca="1" si="203">IPMT(M6128/12,1,12,-I6128+J6128,,0)</f>
        <v>-201217923669898.25</v>
      </c>
      <c r="L6128" s="455">
        <f t="shared" ref="L6128:L6250" ca="1" si="204">I6128-J6128+K6128</f>
        <v>-4.849351960444548E+16</v>
      </c>
      <c r="M6128" s="471">
        <f t="shared" si="201"/>
        <v>0.05</v>
      </c>
      <c r="N6128" s="475">
        <f t="shared" si="202"/>
        <v>237561</v>
      </c>
    </row>
    <row r="6129" spans="7:14" ht="11.25" customHeight="1" x14ac:dyDescent="0.3">
      <c r="G6129" s="470"/>
      <c r="H6129" s="470">
        <v>6122</v>
      </c>
      <c r="I6129" s="455">
        <f t="shared" ref="I6129:I6250" ca="1" si="205">L6128</f>
        <v>-4.849351960444548E+16</v>
      </c>
      <c r="J6129" s="455">
        <f t="array" ref="J6129">IFERROR(INDEX('Retirement Calculator'!K:K,MATCH('Lorri 401b'!N6129,'Retirement Calculator'!A:A,0),0),0)</f>
        <v>0</v>
      </c>
      <c r="K6129" s="455">
        <f t="shared" ca="1" si="203"/>
        <v>-202056331685189.5</v>
      </c>
      <c r="L6129" s="455">
        <f t="shared" ca="1" si="204"/>
        <v>-4.8695575936130672E+16</v>
      </c>
      <c r="M6129" s="471">
        <f t="shared" ref="M6129:M6250" si="206">M6128</f>
        <v>0.05</v>
      </c>
      <c r="N6129" s="475">
        <f t="shared" ref="N6129:N6250" si="207">EDATE(N6128,1)</f>
        <v>237591</v>
      </c>
    </row>
    <row r="6130" spans="7:14" ht="11.25" customHeight="1" x14ac:dyDescent="0.3">
      <c r="G6130" s="470"/>
      <c r="H6130" s="470">
        <v>6123</v>
      </c>
      <c r="I6130" s="455">
        <f t="shared" ca="1" si="205"/>
        <v>-4.8695575936130672E+16</v>
      </c>
      <c r="J6130" s="455">
        <f t="array" ref="J6130">IFERROR(INDEX('Retirement Calculator'!K:K,MATCH('Lorri 401b'!N6130,'Retirement Calculator'!A:A,0),0),0)</f>
        <v>0</v>
      </c>
      <c r="K6130" s="455">
        <f t="shared" ca="1" si="203"/>
        <v>-202898233067211.13</v>
      </c>
      <c r="L6130" s="455">
        <f t="shared" ca="1" si="204"/>
        <v>-4.889847416919788E+16</v>
      </c>
      <c r="M6130" s="471">
        <f t="shared" si="206"/>
        <v>0.05</v>
      </c>
      <c r="N6130" s="475">
        <f t="shared" si="207"/>
        <v>237622</v>
      </c>
    </row>
    <row r="6131" spans="7:14" ht="11.25" customHeight="1" x14ac:dyDescent="0.3">
      <c r="G6131" s="470"/>
      <c r="H6131" s="470">
        <v>6124</v>
      </c>
      <c r="I6131" s="455">
        <f t="shared" ca="1" si="205"/>
        <v>-4.889847416919788E+16</v>
      </c>
      <c r="J6131" s="455">
        <f t="array" ref="J6131">IFERROR(INDEX('Retirement Calculator'!K:K,MATCH('Lorri 401b'!N6131,'Retirement Calculator'!A:A,0),0),0)</f>
        <v>0</v>
      </c>
      <c r="K6131" s="455">
        <f t="shared" ca="1" si="203"/>
        <v>-203743642371657.84</v>
      </c>
      <c r="L6131" s="455">
        <f t="shared" ca="1" si="204"/>
        <v>-4.9102217811569536E+16</v>
      </c>
      <c r="M6131" s="471">
        <f t="shared" si="206"/>
        <v>0.05</v>
      </c>
      <c r="N6131" s="475">
        <f t="shared" si="207"/>
        <v>237653</v>
      </c>
    </row>
    <row r="6132" spans="7:14" ht="11.25" customHeight="1" x14ac:dyDescent="0.3">
      <c r="G6132" s="470"/>
      <c r="H6132" s="470">
        <v>6125</v>
      </c>
      <c r="I6132" s="455">
        <f t="shared" ca="1" si="205"/>
        <v>-4.9102217811569536E+16</v>
      </c>
      <c r="J6132" s="455">
        <f t="array" ref="J6132">IFERROR(INDEX('Retirement Calculator'!K:K,MATCH('Lorri 401b'!N6132,'Retirement Calculator'!A:A,0),0),0)</f>
        <v>0</v>
      </c>
      <c r="K6132" s="455">
        <f t="shared" ca="1" si="203"/>
        <v>-204592574214873.06</v>
      </c>
      <c r="L6132" s="455">
        <f t="shared" ca="1" si="204"/>
        <v>-4.9306810385784408E+16</v>
      </c>
      <c r="M6132" s="471">
        <f t="shared" si="206"/>
        <v>0.05</v>
      </c>
      <c r="N6132" s="475">
        <f t="shared" si="207"/>
        <v>237683</v>
      </c>
    </row>
    <row r="6133" spans="7:14" ht="11.25" customHeight="1" x14ac:dyDescent="0.3">
      <c r="G6133" s="470"/>
      <c r="H6133" s="470">
        <v>6126</v>
      </c>
      <c r="I6133" s="455">
        <f t="shared" ca="1" si="205"/>
        <v>-4.9306810385784408E+16</v>
      </c>
      <c r="J6133" s="455">
        <f t="array" ref="J6133">IFERROR(INDEX('Retirement Calculator'!K:K,MATCH('Lorri 401b'!N6133,'Retirement Calculator'!A:A,0),0),0)</f>
        <v>0</v>
      </c>
      <c r="K6133" s="455">
        <f t="shared" ca="1" si="203"/>
        <v>-205445043274101.69</v>
      </c>
      <c r="L6133" s="455">
        <f t="shared" ca="1" si="204"/>
        <v>-4.9512255429058512E+16</v>
      </c>
      <c r="M6133" s="471">
        <f t="shared" si="206"/>
        <v>0.05</v>
      </c>
      <c r="N6133" s="475">
        <f t="shared" si="207"/>
        <v>237714</v>
      </c>
    </row>
    <row r="6134" spans="7:14" ht="11.25" customHeight="1" x14ac:dyDescent="0.3">
      <c r="G6134" s="470"/>
      <c r="H6134" s="470">
        <v>6127</v>
      </c>
      <c r="I6134" s="455">
        <f t="shared" ca="1" si="205"/>
        <v>-4.9512255429058512E+16</v>
      </c>
      <c r="J6134" s="455">
        <f t="array" ref="J6134">IFERROR(INDEX('Retirement Calculator'!K:K,MATCH('Lorri 401b'!N6134,'Retirement Calculator'!A:A,0),0),0)</f>
        <v>0</v>
      </c>
      <c r="K6134" s="455">
        <f t="shared" ca="1" si="203"/>
        <v>-206301064287743.81</v>
      </c>
      <c r="L6134" s="455">
        <f t="shared" ca="1" si="204"/>
        <v>-4.9718556493346256E+16</v>
      </c>
      <c r="M6134" s="471">
        <f t="shared" si="206"/>
        <v>0.05</v>
      </c>
      <c r="N6134" s="475">
        <f t="shared" si="207"/>
        <v>237744</v>
      </c>
    </row>
    <row r="6135" spans="7:14" ht="11.25" customHeight="1" x14ac:dyDescent="0.3">
      <c r="G6135" s="470"/>
      <c r="H6135" s="470">
        <v>6128</v>
      </c>
      <c r="I6135" s="455">
        <f t="shared" ca="1" si="205"/>
        <v>-4.9718556493346256E+16</v>
      </c>
      <c r="J6135" s="455">
        <f t="array" ref="J6135">IFERROR(INDEX('Retirement Calculator'!K:K,MATCH('Lorri 401b'!N6135,'Retirement Calculator'!A:A,0),0),0)</f>
        <v>0</v>
      </c>
      <c r="K6135" s="455">
        <f t="shared" ca="1" si="203"/>
        <v>-207160652055609.41</v>
      </c>
      <c r="L6135" s="455">
        <f t="shared" ca="1" si="204"/>
        <v>-4.9925717145401864E+16</v>
      </c>
      <c r="M6135" s="471">
        <f t="shared" si="206"/>
        <v>0.05</v>
      </c>
      <c r="N6135" s="475">
        <f t="shared" si="207"/>
        <v>237775</v>
      </c>
    </row>
    <row r="6136" spans="7:14" ht="11.25" customHeight="1" x14ac:dyDescent="0.3">
      <c r="G6136" s="470"/>
      <c r="H6136" s="470">
        <v>6129</v>
      </c>
      <c r="I6136" s="455">
        <f t="shared" ca="1" si="205"/>
        <v>-4.9925717145401864E+16</v>
      </c>
      <c r="J6136" s="455">
        <f t="array" ref="J6136">IFERROR(INDEX('Retirement Calculator'!K:K,MATCH('Lorri 401b'!N6136,'Retirement Calculator'!A:A,0),0),0)</f>
        <v>0</v>
      </c>
      <c r="K6136" s="455">
        <f t="shared" ca="1" si="203"/>
        <v>-208023821439174.44</v>
      </c>
      <c r="L6136" s="455">
        <f t="shared" ca="1" si="204"/>
        <v>-5.013374096684104E+16</v>
      </c>
      <c r="M6136" s="471">
        <f t="shared" si="206"/>
        <v>0.05</v>
      </c>
      <c r="N6136" s="475">
        <f t="shared" si="207"/>
        <v>237806</v>
      </c>
    </row>
    <row r="6137" spans="7:14" ht="11.25" customHeight="1" x14ac:dyDescent="0.3">
      <c r="G6137" s="470"/>
      <c r="H6137" s="470">
        <v>6130</v>
      </c>
      <c r="I6137" s="455">
        <f t="shared" ca="1" si="205"/>
        <v>-5.013374096684104E+16</v>
      </c>
      <c r="J6137" s="455">
        <f t="array" ref="J6137">IFERROR(INDEX('Retirement Calculator'!K:K,MATCH('Lorri 401b'!N6137,'Retirement Calculator'!A:A,0),0),0)</f>
        <v>0</v>
      </c>
      <c r="K6137" s="455">
        <f t="shared" ca="1" si="203"/>
        <v>-208890587361837.66</v>
      </c>
      <c r="L6137" s="455">
        <f t="shared" ca="1" si="204"/>
        <v>-5.034263155420288E+16</v>
      </c>
      <c r="M6137" s="471">
        <f t="shared" si="206"/>
        <v>0.05</v>
      </c>
      <c r="N6137" s="475">
        <f t="shared" si="207"/>
        <v>237834</v>
      </c>
    </row>
    <row r="6138" spans="7:14" ht="11.25" customHeight="1" x14ac:dyDescent="0.3">
      <c r="G6138" s="470"/>
      <c r="H6138" s="470">
        <v>6131</v>
      </c>
      <c r="I6138" s="455">
        <f t="shared" ca="1" si="205"/>
        <v>-5.034263155420288E+16</v>
      </c>
      <c r="J6138" s="455">
        <f t="array" ref="J6138">IFERROR(INDEX('Retirement Calculator'!K:K,MATCH('Lorri 401b'!N6138,'Retirement Calculator'!A:A,0),0),0)</f>
        <v>0</v>
      </c>
      <c r="K6138" s="455">
        <f t="shared" ca="1" si="203"/>
        <v>-209760964809178.66</v>
      </c>
      <c r="L6138" s="455">
        <f t="shared" ca="1" si="204"/>
        <v>-5.0552392519012056E+16</v>
      </c>
      <c r="M6138" s="471">
        <f t="shared" si="206"/>
        <v>0.05</v>
      </c>
      <c r="N6138" s="475">
        <f t="shared" si="207"/>
        <v>237865</v>
      </c>
    </row>
    <row r="6139" spans="7:14" ht="11.25" customHeight="1" x14ac:dyDescent="0.3">
      <c r="G6139" s="470"/>
      <c r="H6139" s="470">
        <v>6132</v>
      </c>
      <c r="I6139" s="455">
        <f t="shared" ca="1" si="205"/>
        <v>-5.0552392519012056E+16</v>
      </c>
      <c r="J6139" s="455">
        <f t="array" ref="J6139">IFERROR(INDEX('Retirement Calculator'!K:K,MATCH('Lorri 401b'!N6139,'Retirement Calculator'!A:A,0),0),0)</f>
        <v>0</v>
      </c>
      <c r="K6139" s="455">
        <f t="shared" ca="1" si="203"/>
        <v>-210634968829216.91</v>
      </c>
      <c r="L6139" s="455">
        <f t="shared" ca="1" si="204"/>
        <v>-5.0763027487841272E+16</v>
      </c>
      <c r="M6139" s="471">
        <f t="shared" si="206"/>
        <v>0.05</v>
      </c>
      <c r="N6139" s="475">
        <f t="shared" si="207"/>
        <v>237895</v>
      </c>
    </row>
    <row r="6140" spans="7:14" ht="11.25" customHeight="1" x14ac:dyDescent="0.3">
      <c r="G6140" s="470"/>
      <c r="H6140" s="470">
        <v>6133</v>
      </c>
      <c r="I6140" s="455">
        <f t="shared" ca="1" si="205"/>
        <v>-5.0763027487841272E+16</v>
      </c>
      <c r="J6140" s="455">
        <f t="array" ref="J6140">IFERROR(INDEX('Retirement Calculator'!K:K,MATCH('Lorri 401b'!N6140,'Retirement Calculator'!A:A,0),0),0)</f>
        <v>0</v>
      </c>
      <c r="K6140" s="455">
        <f t="shared" ca="1" si="203"/>
        <v>-211512614532671.97</v>
      </c>
      <c r="L6140" s="455">
        <f t="shared" ca="1" si="204"/>
        <v>-5.0974540102373944E+16</v>
      </c>
      <c r="M6140" s="471">
        <f t="shared" si="206"/>
        <v>0.05</v>
      </c>
      <c r="N6140" s="475">
        <f t="shared" si="207"/>
        <v>237926</v>
      </c>
    </row>
    <row r="6141" spans="7:14" ht="11.25" customHeight="1" x14ac:dyDescent="0.3">
      <c r="G6141" s="470"/>
      <c r="H6141" s="470">
        <v>6134</v>
      </c>
      <c r="I6141" s="455">
        <f t="shared" ca="1" si="205"/>
        <v>-5.0974540102373944E+16</v>
      </c>
      <c r="J6141" s="455">
        <f t="array" ref="J6141">IFERROR(INDEX('Retirement Calculator'!K:K,MATCH('Lorri 401b'!N6141,'Retirement Calculator'!A:A,0),0),0)</f>
        <v>0</v>
      </c>
      <c r="K6141" s="455">
        <f t="shared" ca="1" si="203"/>
        <v>-212393917093224.75</v>
      </c>
      <c r="L6141" s="455">
        <f t="shared" ca="1" si="204"/>
        <v>-5.1186934019467168E+16</v>
      </c>
      <c r="M6141" s="471">
        <f t="shared" si="206"/>
        <v>0.05</v>
      </c>
      <c r="N6141" s="475">
        <f t="shared" si="207"/>
        <v>237956</v>
      </c>
    </row>
    <row r="6142" spans="7:14" ht="11.25" customHeight="1" x14ac:dyDescent="0.3">
      <c r="G6142" s="470"/>
      <c r="H6142" s="470">
        <v>6135</v>
      </c>
      <c r="I6142" s="455">
        <f t="shared" ca="1" si="205"/>
        <v>-5.1186934019467168E+16</v>
      </c>
      <c r="J6142" s="455">
        <f t="array" ref="J6142">IFERROR(INDEX('Retirement Calculator'!K:K,MATCH('Lorri 401b'!N6142,'Retirement Calculator'!A:A,0),0),0)</f>
        <v>0</v>
      </c>
      <c r="K6142" s="455">
        <f t="shared" ca="1" si="203"/>
        <v>-213278891747779.88</v>
      </c>
      <c r="L6142" s="455">
        <f t="shared" ca="1" si="204"/>
        <v>-5.1400212911214944E+16</v>
      </c>
      <c r="M6142" s="471">
        <f t="shared" si="206"/>
        <v>0.05</v>
      </c>
      <c r="N6142" s="475">
        <f t="shared" si="207"/>
        <v>237987</v>
      </c>
    </row>
    <row r="6143" spans="7:14" ht="11.25" customHeight="1" x14ac:dyDescent="0.3">
      <c r="G6143" s="470"/>
      <c r="H6143" s="470">
        <v>6136</v>
      </c>
      <c r="I6143" s="455">
        <f t="shared" ca="1" si="205"/>
        <v>-5.1400212911214944E+16</v>
      </c>
      <c r="J6143" s="455">
        <f t="array" ref="J6143">IFERROR(INDEX('Retirement Calculator'!K:K,MATCH('Lorri 401b'!N6143,'Retirement Calculator'!A:A,0),0),0)</f>
        <v>0</v>
      </c>
      <c r="K6143" s="455">
        <f t="shared" ca="1" si="203"/>
        <v>-214167553796728.94</v>
      </c>
      <c r="L6143" s="455">
        <f t="shared" ca="1" si="204"/>
        <v>-5.1614380465011672E+16</v>
      </c>
      <c r="M6143" s="471">
        <f t="shared" si="206"/>
        <v>0.05</v>
      </c>
      <c r="N6143" s="475">
        <f t="shared" si="207"/>
        <v>238018</v>
      </c>
    </row>
    <row r="6144" spans="7:14" ht="11.25" customHeight="1" x14ac:dyDescent="0.3">
      <c r="G6144" s="470"/>
      <c r="H6144" s="470">
        <v>6137</v>
      </c>
      <c r="I6144" s="455">
        <f t="shared" ca="1" si="205"/>
        <v>-5.1614380465011672E+16</v>
      </c>
      <c r="J6144" s="455">
        <f t="array" ref="J6144">IFERROR(INDEX('Retirement Calculator'!K:K,MATCH('Lorri 401b'!N6144,'Retirement Calculator'!A:A,0),0),0)</f>
        <v>0</v>
      </c>
      <c r="K6144" s="455">
        <f t="shared" ca="1" si="203"/>
        <v>-215059918604215.31</v>
      </c>
      <c r="L6144" s="455">
        <f t="shared" ca="1" si="204"/>
        <v>-5.1829440383615888E+16</v>
      </c>
      <c r="M6144" s="471">
        <f t="shared" si="206"/>
        <v>0.05</v>
      </c>
      <c r="N6144" s="475">
        <f t="shared" si="207"/>
        <v>238048</v>
      </c>
    </row>
    <row r="6145" spans="7:14" ht="11.25" customHeight="1" x14ac:dyDescent="0.3">
      <c r="G6145" s="470"/>
      <c r="H6145" s="470">
        <v>6138</v>
      </c>
      <c r="I6145" s="455">
        <f t="shared" ca="1" si="205"/>
        <v>-5.1829440383615888E+16</v>
      </c>
      <c r="J6145" s="455">
        <f t="array" ref="J6145">IFERROR(INDEX('Retirement Calculator'!K:K,MATCH('Lorri 401b'!N6145,'Retirement Calculator'!A:A,0),0),0)</f>
        <v>0</v>
      </c>
      <c r="K6145" s="455">
        <f t="shared" ca="1" si="203"/>
        <v>-215956001598399.53</v>
      </c>
      <c r="L6145" s="455">
        <f t="shared" ca="1" si="204"/>
        <v>-5.2045396385214288E+16</v>
      </c>
      <c r="M6145" s="471">
        <f t="shared" si="206"/>
        <v>0.05</v>
      </c>
      <c r="N6145" s="475">
        <f t="shared" si="207"/>
        <v>238079</v>
      </c>
    </row>
    <row r="6146" spans="7:14" ht="11.25" customHeight="1" x14ac:dyDescent="0.3">
      <c r="G6146" s="470"/>
      <c r="H6146" s="470">
        <v>6139</v>
      </c>
      <c r="I6146" s="455">
        <f t="shared" ca="1" si="205"/>
        <v>-5.2045396385214288E+16</v>
      </c>
      <c r="J6146" s="455">
        <f t="array" ref="J6146">IFERROR(INDEX('Retirement Calculator'!K:K,MATCH('Lorri 401b'!N6146,'Retirement Calculator'!A:A,0),0),0)</f>
        <v>0</v>
      </c>
      <c r="K6146" s="455">
        <f t="shared" ca="1" si="203"/>
        <v>-216855818271726.19</v>
      </c>
      <c r="L6146" s="455">
        <f t="shared" ca="1" si="204"/>
        <v>-5.2262252203486016E+16</v>
      </c>
      <c r="M6146" s="471">
        <f t="shared" si="206"/>
        <v>0.05</v>
      </c>
      <c r="N6146" s="475">
        <f t="shared" si="207"/>
        <v>238109</v>
      </c>
    </row>
    <row r="6147" spans="7:14" ht="11.25" customHeight="1" x14ac:dyDescent="0.3">
      <c r="G6147" s="470"/>
      <c r="H6147" s="470">
        <v>6140</v>
      </c>
      <c r="I6147" s="455">
        <f t="shared" ca="1" si="205"/>
        <v>-5.2262252203486016E+16</v>
      </c>
      <c r="J6147" s="455">
        <f t="array" ref="J6147">IFERROR(INDEX('Retirement Calculator'!K:K,MATCH('Lorri 401b'!N6147,'Retirement Calculator'!A:A,0),0),0)</f>
        <v>0</v>
      </c>
      <c r="K6147" s="455">
        <f t="shared" ca="1" si="203"/>
        <v>-217759384181191.72</v>
      </c>
      <c r="L6147" s="455">
        <f t="shared" ca="1" si="204"/>
        <v>-5.2480011587667208E+16</v>
      </c>
      <c r="M6147" s="471">
        <f t="shared" si="206"/>
        <v>0.05</v>
      </c>
      <c r="N6147" s="475">
        <f t="shared" si="207"/>
        <v>238140</v>
      </c>
    </row>
    <row r="6148" spans="7:14" ht="11.25" customHeight="1" x14ac:dyDescent="0.3">
      <c r="G6148" s="470"/>
      <c r="H6148" s="470">
        <v>6141</v>
      </c>
      <c r="I6148" s="455">
        <f t="shared" ca="1" si="205"/>
        <v>-5.2480011587667208E+16</v>
      </c>
      <c r="J6148" s="455">
        <f t="array" ref="J6148">IFERROR(INDEX('Retirement Calculator'!K:K,MATCH('Lorri 401b'!N6148,'Retirement Calculator'!A:A,0),0),0)</f>
        <v>0</v>
      </c>
      <c r="K6148" s="455">
        <f t="shared" ca="1" si="203"/>
        <v>-218666714948613.38</v>
      </c>
      <c r="L6148" s="455">
        <f t="shared" ca="1" si="204"/>
        <v>-5.2698678302615824E+16</v>
      </c>
      <c r="M6148" s="471">
        <f t="shared" si="206"/>
        <v>0.05</v>
      </c>
      <c r="N6148" s="475">
        <f t="shared" si="207"/>
        <v>238171</v>
      </c>
    </row>
    <row r="6149" spans="7:14" ht="11.25" customHeight="1" x14ac:dyDescent="0.3">
      <c r="G6149" s="470"/>
      <c r="H6149" s="470">
        <v>6142</v>
      </c>
      <c r="I6149" s="455">
        <f t="shared" ca="1" si="205"/>
        <v>-5.2698678302615824E+16</v>
      </c>
      <c r="J6149" s="455">
        <f t="array" ref="J6149">IFERROR(INDEX('Retirement Calculator'!K:K,MATCH('Lorri 401b'!N6149,'Retirement Calculator'!A:A,0),0),0)</f>
        <v>0</v>
      </c>
      <c r="K6149" s="455">
        <f t="shared" ca="1" si="203"/>
        <v>-219577826260899.25</v>
      </c>
      <c r="L6149" s="455">
        <f t="shared" ca="1" si="204"/>
        <v>-5.291825612887672E+16</v>
      </c>
      <c r="M6149" s="471">
        <f t="shared" si="206"/>
        <v>0.05</v>
      </c>
      <c r="N6149" s="475">
        <f t="shared" si="207"/>
        <v>238200</v>
      </c>
    </row>
    <row r="6150" spans="7:14" ht="11.25" customHeight="1" x14ac:dyDescent="0.3">
      <c r="G6150" s="470"/>
      <c r="H6150" s="470">
        <v>6143</v>
      </c>
      <c r="I6150" s="455">
        <f t="shared" ca="1" si="205"/>
        <v>-5.291825612887672E+16</v>
      </c>
      <c r="J6150" s="455">
        <f t="array" ref="J6150">IFERROR(INDEX('Retirement Calculator'!K:K,MATCH('Lorri 401b'!N6150,'Retirement Calculator'!A:A,0),0),0)</f>
        <v>0</v>
      </c>
      <c r="K6150" s="455">
        <f t="shared" ca="1" si="203"/>
        <v>-220492733870319.66</v>
      </c>
      <c r="L6150" s="455">
        <f t="shared" ca="1" si="204"/>
        <v>-5.313874886274704E+16</v>
      </c>
      <c r="M6150" s="471">
        <f t="shared" si="206"/>
        <v>0.05</v>
      </c>
      <c r="N6150" s="475">
        <f t="shared" si="207"/>
        <v>238231</v>
      </c>
    </row>
    <row r="6151" spans="7:14" ht="11.25" customHeight="1" x14ac:dyDescent="0.3">
      <c r="G6151" s="470"/>
      <c r="H6151" s="470">
        <v>6144</v>
      </c>
      <c r="I6151" s="455">
        <f t="shared" ca="1" si="205"/>
        <v>-5.313874886274704E+16</v>
      </c>
      <c r="J6151" s="455">
        <f t="array" ref="J6151">IFERROR(INDEX('Retirement Calculator'!K:K,MATCH('Lorri 401b'!N6151,'Retirement Calculator'!A:A,0),0),0)</f>
        <v>0</v>
      </c>
      <c r="K6151" s="455">
        <f t="shared" ca="1" si="203"/>
        <v>-221411453594779.34</v>
      </c>
      <c r="L6151" s="455">
        <f t="shared" ca="1" si="204"/>
        <v>-5.3360160316341816E+16</v>
      </c>
      <c r="M6151" s="471">
        <f t="shared" si="206"/>
        <v>0.05</v>
      </c>
      <c r="N6151" s="475">
        <f t="shared" si="207"/>
        <v>238261</v>
      </c>
    </row>
    <row r="6152" spans="7:14" ht="11.25" customHeight="1" x14ac:dyDescent="0.3">
      <c r="G6152" s="470"/>
      <c r="H6152" s="470">
        <v>6145</v>
      </c>
      <c r="I6152" s="455">
        <f t="shared" ca="1" si="205"/>
        <v>-5.3360160316341816E+16</v>
      </c>
      <c r="J6152" s="455">
        <f t="array" ref="J6152">IFERROR(INDEX('Retirement Calculator'!K:K,MATCH('Lorri 401b'!N6152,'Retirement Calculator'!A:A,0),0),0)</f>
        <v>0</v>
      </c>
      <c r="K6152" s="455">
        <f t="shared" ca="1" si="203"/>
        <v>-222334001318090.91</v>
      </c>
      <c r="L6152" s="455">
        <f t="shared" ca="1" si="204"/>
        <v>-5.3582494317659904E+16</v>
      </c>
      <c r="M6152" s="471">
        <f t="shared" si="206"/>
        <v>0.05</v>
      </c>
      <c r="N6152" s="475">
        <f t="shared" si="207"/>
        <v>238292</v>
      </c>
    </row>
    <row r="6153" spans="7:14" ht="11.25" customHeight="1" x14ac:dyDescent="0.3">
      <c r="G6153" s="470"/>
      <c r="H6153" s="470">
        <v>6146</v>
      </c>
      <c r="I6153" s="455">
        <f t="shared" ca="1" si="205"/>
        <v>-5.3582494317659904E+16</v>
      </c>
      <c r="J6153" s="455">
        <f t="array" ref="J6153">IFERROR(INDEX('Retirement Calculator'!K:K,MATCH('Lorri 401b'!N6153,'Retirement Calculator'!A:A,0),0),0)</f>
        <v>0</v>
      </c>
      <c r="K6153" s="455">
        <f t="shared" ca="1" si="203"/>
        <v>-223260392990249.59</v>
      </c>
      <c r="L6153" s="455">
        <f t="shared" ca="1" si="204"/>
        <v>-5.3805754710650152E+16</v>
      </c>
      <c r="M6153" s="471">
        <f t="shared" si="206"/>
        <v>0.05</v>
      </c>
      <c r="N6153" s="475">
        <f t="shared" si="207"/>
        <v>238322</v>
      </c>
    </row>
    <row r="6154" spans="7:14" ht="11.25" customHeight="1" x14ac:dyDescent="0.3">
      <c r="G6154" s="470"/>
      <c r="H6154" s="470">
        <v>6147</v>
      </c>
      <c r="I6154" s="455">
        <f t="shared" ca="1" si="205"/>
        <v>-5.3805754710650152E+16</v>
      </c>
      <c r="J6154" s="455">
        <f t="array" ref="J6154">IFERROR(INDEX('Retirement Calculator'!K:K,MATCH('Lorri 401b'!N6154,'Retirement Calculator'!A:A,0),0),0)</f>
        <v>0</v>
      </c>
      <c r="K6154" s="455">
        <f t="shared" ca="1" si="203"/>
        <v>-224190644627708.97</v>
      </c>
      <c r="L6154" s="455">
        <f t="shared" ca="1" si="204"/>
        <v>-5.4029945355277864E+16</v>
      </c>
      <c r="M6154" s="471">
        <f t="shared" si="206"/>
        <v>0.05</v>
      </c>
      <c r="N6154" s="475">
        <f t="shared" si="207"/>
        <v>238353</v>
      </c>
    </row>
    <row r="6155" spans="7:14" ht="11.25" customHeight="1" x14ac:dyDescent="0.3">
      <c r="G6155" s="470"/>
      <c r="H6155" s="470">
        <v>6148</v>
      </c>
      <c r="I6155" s="455">
        <f t="shared" ca="1" si="205"/>
        <v>-5.4029945355277864E+16</v>
      </c>
      <c r="J6155" s="455">
        <f t="array" ref="J6155">IFERROR(INDEX('Retirement Calculator'!K:K,MATCH('Lorri 401b'!N6155,'Retirement Calculator'!A:A,0),0),0)</f>
        <v>0</v>
      </c>
      <c r="K6155" s="455">
        <f t="shared" ca="1" si="203"/>
        <v>-225124772313657.75</v>
      </c>
      <c r="L6155" s="455">
        <f t="shared" ca="1" si="204"/>
        <v>-5.425507012759152E+16</v>
      </c>
      <c r="M6155" s="471">
        <f t="shared" si="206"/>
        <v>0.05</v>
      </c>
      <c r="N6155" s="475">
        <f t="shared" si="207"/>
        <v>238384</v>
      </c>
    </row>
    <row r="6156" spans="7:14" ht="11.25" customHeight="1" x14ac:dyDescent="0.3">
      <c r="G6156" s="470"/>
      <c r="H6156" s="470">
        <v>6149</v>
      </c>
      <c r="I6156" s="455">
        <f t="shared" ca="1" si="205"/>
        <v>-5.425507012759152E+16</v>
      </c>
      <c r="J6156" s="455">
        <f t="array" ref="J6156">IFERROR(INDEX('Retirement Calculator'!K:K,MATCH('Lorri 401b'!N6156,'Retirement Calculator'!A:A,0),0),0)</f>
        <v>0</v>
      </c>
      <c r="K6156" s="455">
        <f t="shared" ca="1" si="203"/>
        <v>-226062792198298</v>
      </c>
      <c r="L6156" s="455">
        <f t="shared" ca="1" si="204"/>
        <v>-5.4481132919789816E+16</v>
      </c>
      <c r="M6156" s="471">
        <f t="shared" si="206"/>
        <v>0.05</v>
      </c>
      <c r="N6156" s="475">
        <f t="shared" si="207"/>
        <v>238414</v>
      </c>
    </row>
    <row r="6157" spans="7:14" ht="11.25" customHeight="1" x14ac:dyDescent="0.3">
      <c r="G6157" s="470"/>
      <c r="H6157" s="470">
        <v>6150</v>
      </c>
      <c r="I6157" s="455">
        <f t="shared" ca="1" si="205"/>
        <v>-5.4481132919789816E+16</v>
      </c>
      <c r="J6157" s="455">
        <f t="array" ref="J6157">IFERROR(INDEX('Retirement Calculator'!K:K,MATCH('Lorri 401b'!N6157,'Retirement Calculator'!A:A,0),0),0)</f>
        <v>0</v>
      </c>
      <c r="K6157" s="455">
        <f t="shared" ca="1" si="203"/>
        <v>-227004720499124.22</v>
      </c>
      <c r="L6157" s="455">
        <f t="shared" ca="1" si="204"/>
        <v>-5.4708137640288944E+16</v>
      </c>
      <c r="M6157" s="471">
        <f t="shared" si="206"/>
        <v>0.05</v>
      </c>
      <c r="N6157" s="475">
        <f t="shared" si="207"/>
        <v>238445</v>
      </c>
    </row>
    <row r="6158" spans="7:14" ht="11.25" customHeight="1" x14ac:dyDescent="0.3">
      <c r="G6158" s="470"/>
      <c r="H6158" s="470">
        <v>6151</v>
      </c>
      <c r="I6158" s="455">
        <f t="shared" ca="1" si="205"/>
        <v>-5.4708137640288944E+16</v>
      </c>
      <c r="J6158" s="455">
        <f t="array" ref="J6158">IFERROR(INDEX('Retirement Calculator'!K:K,MATCH('Lorri 401b'!N6158,'Retirement Calculator'!A:A,0),0),0)</f>
        <v>0</v>
      </c>
      <c r="K6158" s="455">
        <f t="shared" ca="1" si="203"/>
        <v>-227950573501203.94</v>
      </c>
      <c r="L6158" s="455">
        <f t="shared" ca="1" si="204"/>
        <v>-5.4936088213790144E+16</v>
      </c>
      <c r="M6158" s="471">
        <f t="shared" si="206"/>
        <v>0.05</v>
      </c>
      <c r="N6158" s="475">
        <f t="shared" si="207"/>
        <v>238475</v>
      </c>
    </row>
    <row r="6159" spans="7:14" ht="11.25" customHeight="1" x14ac:dyDescent="0.3">
      <c r="G6159" s="470"/>
      <c r="H6159" s="470">
        <v>6152</v>
      </c>
      <c r="I6159" s="455">
        <f t="shared" ca="1" si="205"/>
        <v>-5.4936088213790144E+16</v>
      </c>
      <c r="J6159" s="455">
        <f t="array" ref="J6159">IFERROR(INDEX('Retirement Calculator'!K:K,MATCH('Lorri 401b'!N6159,'Retirement Calculator'!A:A,0),0),0)</f>
        <v>0</v>
      </c>
      <c r="K6159" s="455">
        <f t="shared" ca="1" si="203"/>
        <v>-228900367557458.94</v>
      </c>
      <c r="L6159" s="455">
        <f t="shared" ca="1" si="204"/>
        <v>-5.51649885813476E+16</v>
      </c>
      <c r="M6159" s="471">
        <f t="shared" si="206"/>
        <v>0.05</v>
      </c>
      <c r="N6159" s="475">
        <f t="shared" si="207"/>
        <v>238506</v>
      </c>
    </row>
    <row r="6160" spans="7:14" ht="11.25" customHeight="1" x14ac:dyDescent="0.3">
      <c r="G6160" s="470"/>
      <c r="H6160" s="470">
        <v>6153</v>
      </c>
      <c r="I6160" s="455">
        <f t="shared" ca="1" si="205"/>
        <v>-5.51649885813476E+16</v>
      </c>
      <c r="J6160" s="455">
        <f t="array" ref="J6160">IFERROR(INDEX('Retirement Calculator'!K:K,MATCH('Lorri 401b'!N6160,'Retirement Calculator'!A:A,0),0),0)</f>
        <v>0</v>
      </c>
      <c r="K6160" s="455">
        <f t="shared" ca="1" si="203"/>
        <v>-229854119088948.34</v>
      </c>
      <c r="L6160" s="455">
        <f t="shared" ca="1" si="204"/>
        <v>-5.5394842700436552E+16</v>
      </c>
      <c r="M6160" s="471">
        <f t="shared" si="206"/>
        <v>0.05</v>
      </c>
      <c r="N6160" s="475">
        <f t="shared" si="207"/>
        <v>238537</v>
      </c>
    </row>
    <row r="6161" spans="7:14" ht="11.25" customHeight="1" x14ac:dyDescent="0.3">
      <c r="G6161" s="470"/>
      <c r="H6161" s="470">
        <v>6154</v>
      </c>
      <c r="I6161" s="455">
        <f t="shared" ca="1" si="205"/>
        <v>-5.5394842700436552E+16</v>
      </c>
      <c r="J6161" s="455">
        <f t="array" ref="J6161">IFERROR(INDEX('Retirement Calculator'!K:K,MATCH('Lorri 401b'!N6161,'Retirement Calculator'!A:A,0),0),0)</f>
        <v>0</v>
      </c>
      <c r="K6161" s="455">
        <f t="shared" ca="1" si="203"/>
        <v>-230811844585152.28</v>
      </c>
      <c r="L6161" s="455">
        <f t="shared" ca="1" si="204"/>
        <v>-5.5625654545021704E+16</v>
      </c>
      <c r="M6161" s="471">
        <f t="shared" si="206"/>
        <v>0.05</v>
      </c>
      <c r="N6161" s="475">
        <f t="shared" si="207"/>
        <v>238565</v>
      </c>
    </row>
    <row r="6162" spans="7:14" ht="11.25" customHeight="1" x14ac:dyDescent="0.3">
      <c r="G6162" s="470"/>
      <c r="H6162" s="470">
        <v>6155</v>
      </c>
      <c r="I6162" s="455">
        <f t="shared" ca="1" si="205"/>
        <v>-5.5625654545021704E+16</v>
      </c>
      <c r="J6162" s="455">
        <f t="array" ref="J6162">IFERROR(INDEX('Retirement Calculator'!K:K,MATCH('Lorri 401b'!N6162,'Retirement Calculator'!A:A,0),0),0)</f>
        <v>0</v>
      </c>
      <c r="K6162" s="455">
        <f t="shared" ca="1" si="203"/>
        <v>-231773560604257.09</v>
      </c>
      <c r="L6162" s="455">
        <f t="shared" ca="1" si="204"/>
        <v>-5.585742810562596E+16</v>
      </c>
      <c r="M6162" s="471">
        <f t="shared" si="206"/>
        <v>0.05</v>
      </c>
      <c r="N6162" s="475">
        <f t="shared" si="207"/>
        <v>238596</v>
      </c>
    </row>
    <row r="6163" spans="7:14" ht="11.25" customHeight="1" x14ac:dyDescent="0.3">
      <c r="G6163" s="470"/>
      <c r="H6163" s="470">
        <v>6156</v>
      </c>
      <c r="I6163" s="455">
        <f t="shared" ca="1" si="205"/>
        <v>-5.585742810562596E+16</v>
      </c>
      <c r="J6163" s="455">
        <f t="array" ref="J6163">IFERROR(INDEX('Retirement Calculator'!K:K,MATCH('Lorri 401b'!N6163,'Retirement Calculator'!A:A,0),0),0)</f>
        <v>0</v>
      </c>
      <c r="K6163" s="455">
        <f t="shared" ca="1" si="203"/>
        <v>-232739283773441.5</v>
      </c>
      <c r="L6163" s="455">
        <f t="shared" ca="1" si="204"/>
        <v>-5.60901673893994E+16</v>
      </c>
      <c r="M6163" s="471">
        <f t="shared" si="206"/>
        <v>0.05</v>
      </c>
      <c r="N6163" s="475">
        <f t="shared" si="207"/>
        <v>238626</v>
      </c>
    </row>
    <row r="6164" spans="7:14" ht="11.25" customHeight="1" x14ac:dyDescent="0.3">
      <c r="G6164" s="470"/>
      <c r="H6164" s="470">
        <v>6157</v>
      </c>
      <c r="I6164" s="455">
        <f t="shared" ca="1" si="205"/>
        <v>-5.60901673893994E+16</v>
      </c>
      <c r="J6164" s="455">
        <f t="array" ref="J6164">IFERROR(INDEX('Retirement Calculator'!K:K,MATCH('Lorri 401b'!N6164,'Retirement Calculator'!A:A,0),0),0)</f>
        <v>0</v>
      </c>
      <c r="K6164" s="455">
        <f t="shared" ca="1" si="203"/>
        <v>-233709030789164.16</v>
      </c>
      <c r="L6164" s="455">
        <f t="shared" ca="1" si="204"/>
        <v>-5.6323876420188568E+16</v>
      </c>
      <c r="M6164" s="471">
        <f t="shared" si="206"/>
        <v>0.05</v>
      </c>
      <c r="N6164" s="475">
        <f t="shared" si="207"/>
        <v>238657</v>
      </c>
    </row>
    <row r="6165" spans="7:14" ht="11.25" customHeight="1" x14ac:dyDescent="0.3">
      <c r="G6165" s="470"/>
      <c r="H6165" s="470">
        <v>6158</v>
      </c>
      <c r="I6165" s="455">
        <f t="shared" ca="1" si="205"/>
        <v>-5.6323876420188568E+16</v>
      </c>
      <c r="J6165" s="455">
        <f t="array" ref="J6165">IFERROR(INDEX('Retirement Calculator'!K:K,MATCH('Lorri 401b'!N6165,'Retirement Calculator'!A:A,0),0),0)</f>
        <v>0</v>
      </c>
      <c r="K6165" s="455">
        <f t="shared" ca="1" si="203"/>
        <v>-234682818417452.38</v>
      </c>
      <c r="L6165" s="455">
        <f t="shared" ca="1" si="204"/>
        <v>-5.6558559238606024E+16</v>
      </c>
      <c r="M6165" s="471">
        <f t="shared" si="206"/>
        <v>0.05</v>
      </c>
      <c r="N6165" s="475">
        <f t="shared" si="207"/>
        <v>238687</v>
      </c>
    </row>
    <row r="6166" spans="7:14" ht="11.25" customHeight="1" x14ac:dyDescent="0.3">
      <c r="G6166" s="470"/>
      <c r="H6166" s="470">
        <v>6159</v>
      </c>
      <c r="I6166" s="455">
        <f t="shared" ca="1" si="205"/>
        <v>-5.6558559238606024E+16</v>
      </c>
      <c r="J6166" s="455">
        <f t="array" ref="J6166">IFERROR(INDEX('Retirement Calculator'!K:K,MATCH('Lorri 401b'!N6166,'Retirement Calculator'!A:A,0),0),0)</f>
        <v>0</v>
      </c>
      <c r="K6166" s="455">
        <f t="shared" ca="1" si="203"/>
        <v>-235660663494191.75</v>
      </c>
      <c r="L6166" s="455">
        <f t="shared" ca="1" si="204"/>
        <v>-5.6794219902100216E+16</v>
      </c>
      <c r="M6166" s="471">
        <f t="shared" si="206"/>
        <v>0.05</v>
      </c>
      <c r="N6166" s="475">
        <f t="shared" si="207"/>
        <v>238718</v>
      </c>
    </row>
    <row r="6167" spans="7:14" ht="11.25" customHeight="1" x14ac:dyDescent="0.3">
      <c r="G6167" s="470"/>
      <c r="H6167" s="470">
        <v>6160</v>
      </c>
      <c r="I6167" s="455">
        <f t="shared" ca="1" si="205"/>
        <v>-5.6794219902100216E+16</v>
      </c>
      <c r="J6167" s="455">
        <f t="array" ref="J6167">IFERROR(INDEX('Retirement Calculator'!K:K,MATCH('Lorri 401b'!N6167,'Retirement Calculator'!A:A,0),0),0)</f>
        <v>0</v>
      </c>
      <c r="K6167" s="455">
        <f t="shared" ca="1" si="203"/>
        <v>-236642582925417.56</v>
      </c>
      <c r="L6167" s="455">
        <f t="shared" ca="1" si="204"/>
        <v>-5.7030862485025632E+16</v>
      </c>
      <c r="M6167" s="471">
        <f t="shared" si="206"/>
        <v>0.05</v>
      </c>
      <c r="N6167" s="475">
        <f t="shared" si="207"/>
        <v>238749</v>
      </c>
    </row>
    <row r="6168" spans="7:14" ht="11.25" customHeight="1" x14ac:dyDescent="0.3">
      <c r="G6168" s="470"/>
      <c r="H6168" s="470">
        <v>6161</v>
      </c>
      <c r="I6168" s="455">
        <f t="shared" ca="1" si="205"/>
        <v>-5.7030862485025632E+16</v>
      </c>
      <c r="J6168" s="455">
        <f t="array" ref="J6168">IFERROR(INDEX('Retirement Calculator'!K:K,MATCH('Lorri 401b'!N6168,'Retirement Calculator'!A:A,0),0),0)</f>
        <v>0</v>
      </c>
      <c r="K6168" s="455">
        <f t="shared" ca="1" si="203"/>
        <v>-237628593687606.78</v>
      </c>
      <c r="L6168" s="455">
        <f t="shared" ca="1" si="204"/>
        <v>-5.726849107871324E+16</v>
      </c>
      <c r="M6168" s="471">
        <f t="shared" si="206"/>
        <v>0.05</v>
      </c>
      <c r="N6168" s="475">
        <f t="shared" si="207"/>
        <v>238779</v>
      </c>
    </row>
    <row r="6169" spans="7:14" ht="11.25" customHeight="1" x14ac:dyDescent="0.3">
      <c r="G6169" s="470"/>
      <c r="H6169" s="470">
        <v>6162</v>
      </c>
      <c r="I6169" s="455">
        <f t="shared" ca="1" si="205"/>
        <v>-5.726849107871324E+16</v>
      </c>
      <c r="J6169" s="455">
        <f t="array" ref="J6169">IFERROR(INDEX('Retirement Calculator'!K:K,MATCH('Lorri 401b'!N6169,'Retirement Calculator'!A:A,0),0),0)</f>
        <v>0</v>
      </c>
      <c r="K6169" s="455">
        <f t="shared" ca="1" si="203"/>
        <v>-238618712827971.84</v>
      </c>
      <c r="L6169" s="455">
        <f t="shared" ca="1" si="204"/>
        <v>-5.7507109791541208E+16</v>
      </c>
      <c r="M6169" s="471">
        <f t="shared" si="206"/>
        <v>0.05</v>
      </c>
      <c r="N6169" s="475">
        <f t="shared" si="207"/>
        <v>238810</v>
      </c>
    </row>
    <row r="6170" spans="7:14" ht="11.25" customHeight="1" x14ac:dyDescent="0.3">
      <c r="G6170" s="470"/>
      <c r="H6170" s="470">
        <v>6163</v>
      </c>
      <c r="I6170" s="455">
        <f t="shared" ca="1" si="205"/>
        <v>-5.7507109791541208E+16</v>
      </c>
      <c r="J6170" s="455">
        <f t="array" ref="J6170">IFERROR(INDEX('Retirement Calculator'!K:K,MATCH('Lorri 401b'!N6170,'Retirement Calculator'!A:A,0),0),0)</f>
        <v>0</v>
      </c>
      <c r="K6170" s="455">
        <f t="shared" ca="1" si="203"/>
        <v>-239612957464755.03</v>
      </c>
      <c r="L6170" s="455">
        <f t="shared" ca="1" si="204"/>
        <v>-5.774672274900596E+16</v>
      </c>
      <c r="M6170" s="471">
        <f t="shared" si="206"/>
        <v>0.05</v>
      </c>
      <c r="N6170" s="475">
        <f t="shared" si="207"/>
        <v>238840</v>
      </c>
    </row>
    <row r="6171" spans="7:14" ht="11.25" customHeight="1" x14ac:dyDescent="0.3">
      <c r="G6171" s="470"/>
      <c r="H6171" s="470">
        <v>6164</v>
      </c>
      <c r="I6171" s="455">
        <f t="shared" ca="1" si="205"/>
        <v>-5.774672274900596E+16</v>
      </c>
      <c r="J6171" s="455">
        <f t="array" ref="J6171">IFERROR(INDEX('Retirement Calculator'!K:K,MATCH('Lorri 401b'!N6171,'Retirement Calculator'!A:A,0),0),0)</f>
        <v>0</v>
      </c>
      <c r="K6171" s="455">
        <f t="shared" ca="1" si="203"/>
        <v>-240611344787524.84</v>
      </c>
      <c r="L6171" s="455">
        <f t="shared" ca="1" si="204"/>
        <v>-5.7987334093793488E+16</v>
      </c>
      <c r="M6171" s="471">
        <f t="shared" si="206"/>
        <v>0.05</v>
      </c>
      <c r="N6171" s="475">
        <f t="shared" si="207"/>
        <v>238871</v>
      </c>
    </row>
    <row r="6172" spans="7:14" ht="11.25" customHeight="1" x14ac:dyDescent="0.3">
      <c r="G6172" s="470"/>
      <c r="H6172" s="470">
        <v>6165</v>
      </c>
      <c r="I6172" s="455">
        <f t="shared" ca="1" si="205"/>
        <v>-5.7987334093793488E+16</v>
      </c>
      <c r="J6172" s="455">
        <f t="array" ref="J6172">IFERROR(INDEX('Retirement Calculator'!K:K,MATCH('Lorri 401b'!N6172,'Retirement Calculator'!A:A,0),0),0)</f>
        <v>0</v>
      </c>
      <c r="K6172" s="455">
        <f t="shared" ca="1" si="203"/>
        <v>-241613892057472.91</v>
      </c>
      <c r="L6172" s="455">
        <f t="shared" ca="1" si="204"/>
        <v>-5.822894798585096E+16</v>
      </c>
      <c r="M6172" s="471">
        <f t="shared" si="206"/>
        <v>0.05</v>
      </c>
      <c r="N6172" s="475">
        <f t="shared" si="207"/>
        <v>238902</v>
      </c>
    </row>
    <row r="6173" spans="7:14" ht="11.25" customHeight="1" x14ac:dyDescent="0.3">
      <c r="G6173" s="470"/>
      <c r="H6173" s="470">
        <v>6166</v>
      </c>
      <c r="I6173" s="455">
        <f t="shared" ca="1" si="205"/>
        <v>-5.822894798585096E+16</v>
      </c>
      <c r="J6173" s="455">
        <f t="array" ref="J6173">IFERROR(INDEX('Retirement Calculator'!K:K,MATCH('Lorri 401b'!N6173,'Retirement Calculator'!A:A,0),0),0)</f>
        <v>0</v>
      </c>
      <c r="K6173" s="455">
        <f t="shared" ca="1" si="203"/>
        <v>-242620616607712.34</v>
      </c>
      <c r="L6173" s="455">
        <f t="shared" ca="1" si="204"/>
        <v>-5.8471568602458672E+16</v>
      </c>
      <c r="M6173" s="471">
        <f t="shared" si="206"/>
        <v>0.05</v>
      </c>
      <c r="N6173" s="475">
        <f t="shared" si="207"/>
        <v>238930</v>
      </c>
    </row>
    <row r="6174" spans="7:14" ht="11.25" customHeight="1" x14ac:dyDescent="0.3">
      <c r="G6174" s="470"/>
      <c r="H6174" s="470">
        <v>6167</v>
      </c>
      <c r="I6174" s="455">
        <f t="shared" ca="1" si="205"/>
        <v>-5.8471568602458672E+16</v>
      </c>
      <c r="J6174" s="455">
        <f t="array" ref="J6174">IFERROR(INDEX('Retirement Calculator'!K:K,MATCH('Lorri 401b'!N6174,'Retirement Calculator'!A:A,0),0),0)</f>
        <v>0</v>
      </c>
      <c r="K6174" s="455">
        <f t="shared" ca="1" si="203"/>
        <v>-243631535843577.78</v>
      </c>
      <c r="L6174" s="455">
        <f t="shared" ca="1" si="204"/>
        <v>-5.8715200138302248E+16</v>
      </c>
      <c r="M6174" s="471">
        <f t="shared" si="206"/>
        <v>0.05</v>
      </c>
      <c r="N6174" s="475">
        <f t="shared" si="207"/>
        <v>238961</v>
      </c>
    </row>
    <row r="6175" spans="7:14" ht="11.25" customHeight="1" x14ac:dyDescent="0.3">
      <c r="G6175" s="470"/>
      <c r="H6175" s="470">
        <v>6168</v>
      </c>
      <c r="I6175" s="455">
        <f t="shared" ca="1" si="205"/>
        <v>-5.8715200138302248E+16</v>
      </c>
      <c r="J6175" s="455">
        <f t="array" ref="J6175">IFERROR(INDEX('Retirement Calculator'!K:K,MATCH('Lorri 401b'!N6175,'Retirement Calculator'!A:A,0),0),0)</f>
        <v>0</v>
      </c>
      <c r="K6175" s="455">
        <f t="shared" ca="1" si="203"/>
        <v>-244646667242926.03</v>
      </c>
      <c r="L6175" s="455">
        <f t="shared" ca="1" si="204"/>
        <v>-5.8959846805545176E+16</v>
      </c>
      <c r="M6175" s="471">
        <f t="shared" si="206"/>
        <v>0.05</v>
      </c>
      <c r="N6175" s="475">
        <f t="shared" si="207"/>
        <v>238991</v>
      </c>
    </row>
    <row r="6176" spans="7:14" ht="11.25" customHeight="1" x14ac:dyDescent="0.3">
      <c r="G6176" s="470"/>
      <c r="H6176" s="470">
        <v>6169</v>
      </c>
      <c r="I6176" s="455">
        <f t="shared" ca="1" si="205"/>
        <v>-5.8959846805545176E+16</v>
      </c>
      <c r="J6176" s="455">
        <f t="array" ref="J6176">IFERROR(INDEX('Retirement Calculator'!K:K,MATCH('Lorri 401b'!N6176,'Retirement Calculator'!A:A,0),0),0)</f>
        <v>0</v>
      </c>
      <c r="K6176" s="455">
        <f t="shared" ca="1" si="203"/>
        <v>-245666028356438.22</v>
      </c>
      <c r="L6176" s="455">
        <f t="shared" ca="1" si="204"/>
        <v>-5.9205512833901616E+16</v>
      </c>
      <c r="M6176" s="471">
        <f t="shared" si="206"/>
        <v>0.05</v>
      </c>
      <c r="N6176" s="475">
        <f t="shared" si="207"/>
        <v>239022</v>
      </c>
    </row>
    <row r="6177" spans="7:14" ht="11.25" customHeight="1" x14ac:dyDescent="0.3">
      <c r="G6177" s="470"/>
      <c r="H6177" s="470">
        <v>6170</v>
      </c>
      <c r="I6177" s="455">
        <f t="shared" ca="1" si="205"/>
        <v>-5.9205512833901616E+16</v>
      </c>
      <c r="J6177" s="455">
        <f t="array" ref="J6177">IFERROR(INDEX('Retirement Calculator'!K:K,MATCH('Lorri 401b'!N6177,'Retirement Calculator'!A:A,0),0),0)</f>
        <v>0</v>
      </c>
      <c r="K6177" s="455">
        <f t="shared" ca="1" si="203"/>
        <v>-246689636807923.38</v>
      </c>
      <c r="L6177" s="455">
        <f t="shared" ca="1" si="204"/>
        <v>-5.9452202470709536E+16</v>
      </c>
      <c r="M6177" s="471">
        <f t="shared" si="206"/>
        <v>0.05</v>
      </c>
      <c r="N6177" s="475">
        <f t="shared" si="207"/>
        <v>239052</v>
      </c>
    </row>
    <row r="6178" spans="7:14" ht="11.25" customHeight="1" x14ac:dyDescent="0.3">
      <c r="G6178" s="470"/>
      <c r="H6178" s="470">
        <v>6171</v>
      </c>
      <c r="I6178" s="455">
        <f t="shared" ca="1" si="205"/>
        <v>-5.9452202470709536E+16</v>
      </c>
      <c r="J6178" s="455">
        <f t="array" ref="J6178">IFERROR(INDEX('Retirement Calculator'!K:K,MATCH('Lorri 401b'!N6178,'Retirement Calculator'!A:A,0),0),0)</f>
        <v>0</v>
      </c>
      <c r="K6178" s="455">
        <f t="shared" ca="1" si="203"/>
        <v>-247717510294623.09</v>
      </c>
      <c r="L6178" s="455">
        <f t="shared" ca="1" si="204"/>
        <v>-5.969991998100416E+16</v>
      </c>
      <c r="M6178" s="471">
        <f t="shared" si="206"/>
        <v>0.05</v>
      </c>
      <c r="N6178" s="475">
        <f t="shared" si="207"/>
        <v>239083</v>
      </c>
    </row>
    <row r="6179" spans="7:14" ht="11.25" customHeight="1" x14ac:dyDescent="0.3">
      <c r="G6179" s="470"/>
      <c r="H6179" s="470">
        <v>6172</v>
      </c>
      <c r="I6179" s="455">
        <f t="shared" ca="1" si="205"/>
        <v>-5.969991998100416E+16</v>
      </c>
      <c r="J6179" s="455">
        <f t="array" ref="J6179">IFERROR(INDEX('Retirement Calculator'!K:K,MATCH('Lorri 401b'!N6179,'Retirement Calculator'!A:A,0),0),0)</f>
        <v>0</v>
      </c>
      <c r="K6179" s="455">
        <f t="shared" ca="1" si="203"/>
        <v>-248749666587517.34</v>
      </c>
      <c r="L6179" s="455">
        <f t="shared" ca="1" si="204"/>
        <v>-5.994866964759168E+16</v>
      </c>
      <c r="M6179" s="471">
        <f t="shared" si="206"/>
        <v>0.05</v>
      </c>
      <c r="N6179" s="475">
        <f t="shared" si="207"/>
        <v>239114</v>
      </c>
    </row>
    <row r="6180" spans="7:14" ht="11.25" customHeight="1" x14ac:dyDescent="0.3">
      <c r="G6180" s="470"/>
      <c r="H6180" s="470">
        <v>6173</v>
      </c>
      <c r="I6180" s="455">
        <f t="shared" ca="1" si="205"/>
        <v>-5.994866964759168E+16</v>
      </c>
      <c r="J6180" s="455">
        <f t="array" ref="J6180">IFERROR(INDEX('Retirement Calculator'!K:K,MATCH('Lorri 401b'!N6180,'Retirement Calculator'!A:A,0),0),0)</f>
        <v>0</v>
      </c>
      <c r="K6180" s="455">
        <f t="shared" ca="1" si="203"/>
        <v>-249786123531632</v>
      </c>
      <c r="L6180" s="455">
        <f t="shared" ca="1" si="204"/>
        <v>-6.0198455771123312E+16</v>
      </c>
      <c r="M6180" s="471">
        <f t="shared" si="206"/>
        <v>0.05</v>
      </c>
      <c r="N6180" s="475">
        <f t="shared" si="207"/>
        <v>239144</v>
      </c>
    </row>
    <row r="6181" spans="7:14" ht="11.25" customHeight="1" x14ac:dyDescent="0.3">
      <c r="G6181" s="470"/>
      <c r="H6181" s="470">
        <v>6174</v>
      </c>
      <c r="I6181" s="455">
        <f t="shared" ca="1" si="205"/>
        <v>-6.0198455771123312E+16</v>
      </c>
      <c r="J6181" s="455">
        <f t="array" ref="J6181">IFERROR(INDEX('Retirement Calculator'!K:K,MATCH('Lorri 401b'!N6181,'Retirement Calculator'!A:A,0),0),0)</f>
        <v>0</v>
      </c>
      <c r="K6181" s="455">
        <f t="shared" ca="1" si="203"/>
        <v>-250826899046347.13</v>
      </c>
      <c r="L6181" s="455">
        <f t="shared" ca="1" si="204"/>
        <v>-6.0449282670169656E+16</v>
      </c>
      <c r="M6181" s="471">
        <f t="shared" si="206"/>
        <v>0.05</v>
      </c>
      <c r="N6181" s="475">
        <f t="shared" si="207"/>
        <v>239175</v>
      </c>
    </row>
    <row r="6182" spans="7:14" ht="11.25" customHeight="1" x14ac:dyDescent="0.3">
      <c r="G6182" s="470"/>
      <c r="H6182" s="470">
        <v>6175</v>
      </c>
      <c r="I6182" s="455">
        <f t="shared" ca="1" si="205"/>
        <v>-6.0449282670169656E+16</v>
      </c>
      <c r="J6182" s="455">
        <f t="array" ref="J6182">IFERROR(INDEX('Retirement Calculator'!K:K,MATCH('Lorri 401b'!N6182,'Retirement Calculator'!A:A,0),0),0)</f>
        <v>0</v>
      </c>
      <c r="K6182" s="455">
        <f t="shared" ca="1" si="203"/>
        <v>-251872011125706.88</v>
      </c>
      <c r="L6182" s="455">
        <f t="shared" ca="1" si="204"/>
        <v>-6.070115468129536E+16</v>
      </c>
      <c r="M6182" s="471">
        <f t="shared" si="206"/>
        <v>0.05</v>
      </c>
      <c r="N6182" s="475">
        <f t="shared" si="207"/>
        <v>239205</v>
      </c>
    </row>
    <row r="6183" spans="7:14" ht="11.25" customHeight="1" x14ac:dyDescent="0.3">
      <c r="G6183" s="470"/>
      <c r="H6183" s="470">
        <v>6176</v>
      </c>
      <c r="I6183" s="455">
        <f t="shared" ca="1" si="205"/>
        <v>-6.070115468129536E+16</v>
      </c>
      <c r="J6183" s="455">
        <f t="array" ref="J6183">IFERROR(INDEX('Retirement Calculator'!K:K,MATCH('Lorri 401b'!N6183,'Retirement Calculator'!A:A,0),0),0)</f>
        <v>0</v>
      </c>
      <c r="K6183" s="455">
        <f t="shared" ca="1" si="203"/>
        <v>-252921477838730.66</v>
      </c>
      <c r="L6183" s="455">
        <f t="shared" ca="1" si="204"/>
        <v>-6.0954076159134088E+16</v>
      </c>
      <c r="M6183" s="471">
        <f t="shared" si="206"/>
        <v>0.05</v>
      </c>
      <c r="N6183" s="475">
        <f t="shared" si="207"/>
        <v>239236</v>
      </c>
    </row>
    <row r="6184" spans="7:14" ht="11.25" customHeight="1" x14ac:dyDescent="0.3">
      <c r="G6184" s="470"/>
      <c r="H6184" s="470">
        <v>6177</v>
      </c>
      <c r="I6184" s="455">
        <f t="shared" ca="1" si="205"/>
        <v>-6.0954076159134088E+16</v>
      </c>
      <c r="J6184" s="455">
        <f t="array" ref="J6184">IFERROR(INDEX('Retirement Calculator'!K:K,MATCH('Lorri 401b'!N6184,'Retirement Calculator'!A:A,0),0),0)</f>
        <v>0</v>
      </c>
      <c r="K6184" s="455">
        <f t="shared" ca="1" si="203"/>
        <v>-253975317329725.41</v>
      </c>
      <c r="L6184" s="455">
        <f t="shared" ca="1" si="204"/>
        <v>-6.1208051476463816E+16</v>
      </c>
      <c r="M6184" s="471">
        <f t="shared" si="206"/>
        <v>0.05</v>
      </c>
      <c r="N6184" s="475">
        <f t="shared" si="207"/>
        <v>239267</v>
      </c>
    </row>
    <row r="6185" spans="7:14" ht="11.25" customHeight="1" x14ac:dyDescent="0.3">
      <c r="G6185" s="470"/>
      <c r="H6185" s="470">
        <v>6178</v>
      </c>
      <c r="I6185" s="455">
        <f t="shared" ca="1" si="205"/>
        <v>-6.1208051476463816E+16</v>
      </c>
      <c r="J6185" s="455">
        <f t="array" ref="J6185">IFERROR(INDEX('Retirement Calculator'!K:K,MATCH('Lorri 401b'!N6185,'Retirement Calculator'!A:A,0),0),0)</f>
        <v>0</v>
      </c>
      <c r="K6185" s="455">
        <f t="shared" ca="1" si="203"/>
        <v>-255033547818599.22</v>
      </c>
      <c r="L6185" s="455">
        <f t="shared" ca="1" si="204"/>
        <v>-6.1463085024282416E+16</v>
      </c>
      <c r="M6185" s="471">
        <f t="shared" si="206"/>
        <v>0.05</v>
      </c>
      <c r="N6185" s="475">
        <f t="shared" si="207"/>
        <v>239295</v>
      </c>
    </row>
    <row r="6186" spans="7:14" ht="11.25" customHeight="1" x14ac:dyDescent="0.3">
      <c r="G6186" s="470"/>
      <c r="H6186" s="470">
        <v>6179</v>
      </c>
      <c r="I6186" s="455">
        <f t="shared" ca="1" si="205"/>
        <v>-6.1463085024282416E+16</v>
      </c>
      <c r="J6186" s="455">
        <f t="array" ref="J6186">IFERROR(INDEX('Retirement Calculator'!K:K,MATCH('Lorri 401b'!N6186,'Retirement Calculator'!A:A,0),0),0)</f>
        <v>0</v>
      </c>
      <c r="K6186" s="455">
        <f t="shared" ca="1" si="203"/>
        <v>-256096187601176.72</v>
      </c>
      <c r="L6186" s="455">
        <f t="shared" ca="1" si="204"/>
        <v>-6.1719181211883592E+16</v>
      </c>
      <c r="M6186" s="471">
        <f t="shared" si="206"/>
        <v>0.05</v>
      </c>
      <c r="N6186" s="475">
        <f t="shared" si="207"/>
        <v>239326</v>
      </c>
    </row>
    <row r="6187" spans="7:14" ht="11.25" customHeight="1" x14ac:dyDescent="0.3">
      <c r="G6187" s="470"/>
      <c r="H6187" s="470">
        <v>6180</v>
      </c>
      <c r="I6187" s="455">
        <f t="shared" ca="1" si="205"/>
        <v>-6.1719181211883592E+16</v>
      </c>
      <c r="J6187" s="455">
        <f t="array" ref="J6187">IFERROR(INDEX('Retirement Calculator'!K:K,MATCH('Lorri 401b'!N6187,'Retirement Calculator'!A:A,0),0),0)</f>
        <v>0</v>
      </c>
      <c r="K6187" s="455">
        <f t="shared" ca="1" si="203"/>
        <v>-257163255049514.97</v>
      </c>
      <c r="L6187" s="455">
        <f t="shared" ca="1" si="204"/>
        <v>-6.1976344466933104E+16</v>
      </c>
      <c r="M6187" s="471">
        <f t="shared" si="206"/>
        <v>0.05</v>
      </c>
      <c r="N6187" s="475">
        <f t="shared" si="207"/>
        <v>239356</v>
      </c>
    </row>
    <row r="6188" spans="7:14" ht="11.25" customHeight="1" x14ac:dyDescent="0.3">
      <c r="G6188" s="470"/>
      <c r="H6188" s="470">
        <v>6181</v>
      </c>
      <c r="I6188" s="455">
        <f t="shared" ca="1" si="205"/>
        <v>-6.1976344466933104E+16</v>
      </c>
      <c r="J6188" s="455">
        <f t="array" ref="J6188">IFERROR(INDEX('Retirement Calculator'!K:K,MATCH('Lorri 401b'!N6188,'Retirement Calculator'!A:A,0),0),0)</f>
        <v>0</v>
      </c>
      <c r="K6188" s="455">
        <f t="shared" ca="1" si="203"/>
        <v>-258234768612221.25</v>
      </c>
      <c r="L6188" s="455">
        <f t="shared" ca="1" si="204"/>
        <v>-6.2234579235545328E+16</v>
      </c>
      <c r="M6188" s="471">
        <f t="shared" si="206"/>
        <v>0.05</v>
      </c>
      <c r="N6188" s="475">
        <f t="shared" si="207"/>
        <v>239387</v>
      </c>
    </row>
    <row r="6189" spans="7:14" ht="11.25" customHeight="1" x14ac:dyDescent="0.3">
      <c r="G6189" s="470"/>
      <c r="H6189" s="470">
        <v>6182</v>
      </c>
      <c r="I6189" s="455">
        <f t="shared" ca="1" si="205"/>
        <v>-6.2234579235545328E+16</v>
      </c>
      <c r="J6189" s="455">
        <f t="array" ref="J6189">IFERROR(INDEX('Retirement Calculator'!K:K,MATCH('Lorri 401b'!N6189,'Retirement Calculator'!A:A,0),0),0)</f>
        <v>0</v>
      </c>
      <c r="K6189" s="455">
        <f t="shared" ca="1" si="203"/>
        <v>-259310746814772.19</v>
      </c>
      <c r="L6189" s="455">
        <f t="shared" ca="1" si="204"/>
        <v>-6.2493889982360104E+16</v>
      </c>
      <c r="M6189" s="471">
        <f t="shared" si="206"/>
        <v>0.05</v>
      </c>
      <c r="N6189" s="475">
        <f t="shared" si="207"/>
        <v>239417</v>
      </c>
    </row>
    <row r="6190" spans="7:14" ht="11.25" customHeight="1" x14ac:dyDescent="0.3">
      <c r="G6190" s="470"/>
      <c r="H6190" s="470">
        <v>6183</v>
      </c>
      <c r="I6190" s="455">
        <f t="shared" ca="1" si="205"/>
        <v>-6.2493889982360104E+16</v>
      </c>
      <c r="J6190" s="455">
        <f t="array" ref="J6190">IFERROR(INDEX('Retirement Calculator'!K:K,MATCH('Lorri 401b'!N6190,'Retirement Calculator'!A:A,0),0),0)</f>
        <v>0</v>
      </c>
      <c r="K6190" s="455">
        <f t="shared" ca="1" si="203"/>
        <v>-260391208259833.75</v>
      </c>
      <c r="L6190" s="455">
        <f t="shared" ca="1" si="204"/>
        <v>-6.2754281190619936E+16</v>
      </c>
      <c r="M6190" s="471">
        <f t="shared" si="206"/>
        <v>0.05</v>
      </c>
      <c r="N6190" s="475">
        <f t="shared" si="207"/>
        <v>239448</v>
      </c>
    </row>
    <row r="6191" spans="7:14" ht="11.25" customHeight="1" x14ac:dyDescent="0.3">
      <c r="G6191" s="470"/>
      <c r="H6191" s="470">
        <v>6184</v>
      </c>
      <c r="I6191" s="455">
        <f t="shared" ca="1" si="205"/>
        <v>-6.2754281190619936E+16</v>
      </c>
      <c r="J6191" s="455">
        <f t="array" ref="J6191">IFERROR(INDEX('Retirement Calculator'!K:K,MATCH('Lorri 401b'!N6191,'Retirement Calculator'!A:A,0),0),0)</f>
        <v>0</v>
      </c>
      <c r="K6191" s="455">
        <f t="shared" ca="1" si="203"/>
        <v>-261476171627583.06</v>
      </c>
      <c r="L6191" s="455">
        <f t="shared" ca="1" si="204"/>
        <v>-6.301575736224752E+16</v>
      </c>
      <c r="M6191" s="471">
        <f t="shared" si="206"/>
        <v>0.05</v>
      </c>
      <c r="N6191" s="475">
        <f t="shared" si="207"/>
        <v>239479</v>
      </c>
    </row>
    <row r="6192" spans="7:14" ht="11.25" customHeight="1" x14ac:dyDescent="0.3">
      <c r="G6192" s="470"/>
      <c r="H6192" s="470">
        <v>6185</v>
      </c>
      <c r="I6192" s="455">
        <f t="shared" ca="1" si="205"/>
        <v>-6.301575736224752E+16</v>
      </c>
      <c r="J6192" s="455">
        <f t="array" ref="J6192">IFERROR(INDEX('Retirement Calculator'!K:K,MATCH('Lorri 401b'!N6192,'Retirement Calculator'!A:A,0),0),0)</f>
        <v>0</v>
      </c>
      <c r="K6192" s="455">
        <f t="shared" ca="1" si="203"/>
        <v>-262565655676031.34</v>
      </c>
      <c r="L6192" s="455">
        <f t="shared" ca="1" si="204"/>
        <v>-6.3278323017923552E+16</v>
      </c>
      <c r="M6192" s="471">
        <f t="shared" si="206"/>
        <v>0.05</v>
      </c>
      <c r="N6192" s="475">
        <f t="shared" si="207"/>
        <v>239509</v>
      </c>
    </row>
    <row r="6193" spans="7:14" ht="11.25" customHeight="1" x14ac:dyDescent="0.3">
      <c r="G6193" s="470"/>
      <c r="H6193" s="470">
        <v>6186</v>
      </c>
      <c r="I6193" s="455">
        <f t="shared" ca="1" si="205"/>
        <v>-6.3278323017923552E+16</v>
      </c>
      <c r="J6193" s="455">
        <f t="array" ref="J6193">IFERROR(INDEX('Retirement Calculator'!K:K,MATCH('Lorri 401b'!N6193,'Retirement Calculator'!A:A,0),0),0)</f>
        <v>0</v>
      </c>
      <c r="K6193" s="455">
        <f t="shared" ca="1" si="203"/>
        <v>-263659679241348.13</v>
      </c>
      <c r="L6193" s="455">
        <f t="shared" ca="1" si="204"/>
        <v>-6.3541982697164904E+16</v>
      </c>
      <c r="M6193" s="471">
        <f t="shared" si="206"/>
        <v>0.05</v>
      </c>
      <c r="N6193" s="475">
        <f t="shared" si="207"/>
        <v>239540</v>
      </c>
    </row>
    <row r="6194" spans="7:14" ht="11.25" customHeight="1" x14ac:dyDescent="0.3">
      <c r="G6194" s="470"/>
      <c r="H6194" s="470">
        <v>6187</v>
      </c>
      <c r="I6194" s="455">
        <f t="shared" ca="1" si="205"/>
        <v>-6.3541982697164904E+16</v>
      </c>
      <c r="J6194" s="455">
        <f t="array" ref="J6194">IFERROR(INDEX('Retirement Calculator'!K:K,MATCH('Lorri 401b'!N6194,'Retirement Calculator'!A:A,0),0),0)</f>
        <v>0</v>
      </c>
      <c r="K6194" s="455">
        <f t="shared" ca="1" si="203"/>
        <v>-264758261238187.09</v>
      </c>
      <c r="L6194" s="455">
        <f t="shared" ca="1" si="204"/>
        <v>-6.3806740958403088E+16</v>
      </c>
      <c r="M6194" s="471">
        <f t="shared" si="206"/>
        <v>0.05</v>
      </c>
      <c r="N6194" s="475">
        <f t="shared" si="207"/>
        <v>239570</v>
      </c>
    </row>
    <row r="6195" spans="7:14" ht="11.25" customHeight="1" x14ac:dyDescent="0.3">
      <c r="G6195" s="470"/>
      <c r="H6195" s="470">
        <v>6188</v>
      </c>
      <c r="I6195" s="455">
        <f t="shared" ca="1" si="205"/>
        <v>-6.3806740958403088E+16</v>
      </c>
      <c r="J6195" s="455">
        <f t="array" ref="J6195">IFERROR(INDEX('Retirement Calculator'!K:K,MATCH('Lorri 401b'!N6195,'Retirement Calculator'!A:A,0),0),0)</f>
        <v>0</v>
      </c>
      <c r="K6195" s="455">
        <f t="shared" ca="1" si="203"/>
        <v>-265861420660012.88</v>
      </c>
      <c r="L6195" s="455">
        <f t="shared" ca="1" si="204"/>
        <v>-6.4072602379063104E+16</v>
      </c>
      <c r="M6195" s="471">
        <f t="shared" si="206"/>
        <v>0.05</v>
      </c>
      <c r="N6195" s="475">
        <f t="shared" si="207"/>
        <v>239601</v>
      </c>
    </row>
    <row r="6196" spans="7:14" ht="11.25" customHeight="1" x14ac:dyDescent="0.3">
      <c r="G6196" s="470"/>
      <c r="H6196" s="470">
        <v>6189</v>
      </c>
      <c r="I6196" s="455">
        <f t="shared" ca="1" si="205"/>
        <v>-6.4072602379063104E+16</v>
      </c>
      <c r="J6196" s="455">
        <f t="array" ref="J6196">IFERROR(INDEX('Retirement Calculator'!K:K,MATCH('Lorri 401b'!N6196,'Retirement Calculator'!A:A,0),0),0)</f>
        <v>0</v>
      </c>
      <c r="K6196" s="455">
        <f t="shared" ca="1" si="203"/>
        <v>-266969176579429.63</v>
      </c>
      <c r="L6196" s="455">
        <f t="shared" ca="1" si="204"/>
        <v>-6.4339571555642536E+16</v>
      </c>
      <c r="M6196" s="471">
        <f t="shared" si="206"/>
        <v>0.05</v>
      </c>
      <c r="N6196" s="475">
        <f t="shared" si="207"/>
        <v>239632</v>
      </c>
    </row>
    <row r="6197" spans="7:14" ht="11.25" customHeight="1" x14ac:dyDescent="0.3">
      <c r="G6197" s="470"/>
      <c r="H6197" s="470">
        <v>6190</v>
      </c>
      <c r="I6197" s="455">
        <f t="shared" ca="1" si="205"/>
        <v>-6.4339571555642536E+16</v>
      </c>
      <c r="J6197" s="455">
        <f t="array" ref="J6197">IFERROR(INDEX('Retirement Calculator'!K:K,MATCH('Lorri 401b'!N6197,'Retirement Calculator'!A:A,0),0),0)</f>
        <v>0</v>
      </c>
      <c r="K6197" s="455">
        <f t="shared" ca="1" si="203"/>
        <v>-268081548148510.56</v>
      </c>
      <c r="L6197" s="455">
        <f t="shared" ca="1" si="204"/>
        <v>-6.4607653103791048E+16</v>
      </c>
      <c r="M6197" s="471">
        <f t="shared" si="206"/>
        <v>0.05</v>
      </c>
      <c r="N6197" s="475">
        <f t="shared" si="207"/>
        <v>239661</v>
      </c>
    </row>
    <row r="6198" spans="7:14" ht="11.25" customHeight="1" x14ac:dyDescent="0.3">
      <c r="G6198" s="470"/>
      <c r="H6198" s="470">
        <v>6191</v>
      </c>
      <c r="I6198" s="455">
        <f t="shared" ca="1" si="205"/>
        <v>-6.4607653103791048E+16</v>
      </c>
      <c r="J6198" s="455">
        <f t="array" ref="J6198">IFERROR(INDEX('Retirement Calculator'!K:K,MATCH('Lorri 401b'!N6198,'Retirement Calculator'!A:A,0),0),0)</f>
        <v>0</v>
      </c>
      <c r="K6198" s="455">
        <f t="shared" ca="1" si="203"/>
        <v>-269198554599129.34</v>
      </c>
      <c r="L6198" s="455">
        <f t="shared" ca="1" si="204"/>
        <v>-6.4876851658390176E+16</v>
      </c>
      <c r="M6198" s="471">
        <f t="shared" si="206"/>
        <v>0.05</v>
      </c>
      <c r="N6198" s="475">
        <f t="shared" si="207"/>
        <v>239692</v>
      </c>
    </row>
    <row r="6199" spans="7:14" ht="11.25" customHeight="1" x14ac:dyDescent="0.3">
      <c r="G6199" s="470"/>
      <c r="H6199" s="470">
        <v>6192</v>
      </c>
      <c r="I6199" s="455">
        <f t="shared" ca="1" si="205"/>
        <v>-6.4876851658390176E+16</v>
      </c>
      <c r="J6199" s="455">
        <f t="array" ref="J6199">IFERROR(INDEX('Retirement Calculator'!K:K,MATCH('Lorri 401b'!N6199,'Retirement Calculator'!A:A,0),0),0)</f>
        <v>0</v>
      </c>
      <c r="K6199" s="455">
        <f t="shared" ca="1" si="203"/>
        <v>-270320215243292.38</v>
      </c>
      <c r="L6199" s="455">
        <f t="shared" ca="1" si="204"/>
        <v>-6.5147171873633472E+16</v>
      </c>
      <c r="M6199" s="471">
        <f t="shared" si="206"/>
        <v>0.05</v>
      </c>
      <c r="N6199" s="475">
        <f t="shared" si="207"/>
        <v>239722</v>
      </c>
    </row>
    <row r="6200" spans="7:14" ht="11.25" customHeight="1" x14ac:dyDescent="0.3">
      <c r="G6200" s="470"/>
      <c r="H6200" s="470">
        <v>6193</v>
      </c>
      <c r="I6200" s="455">
        <f t="shared" ca="1" si="205"/>
        <v>-6.5147171873633472E+16</v>
      </c>
      <c r="J6200" s="455">
        <f t="array" ref="J6200">IFERROR(INDEX('Retirement Calculator'!K:K,MATCH('Lorri 401b'!N6200,'Retirement Calculator'!A:A,0),0),0)</f>
        <v>0</v>
      </c>
      <c r="K6200" s="455">
        <f t="shared" ca="1" si="203"/>
        <v>-271446549473472.78</v>
      </c>
      <c r="L6200" s="455">
        <f t="shared" ca="1" si="204"/>
        <v>-6.5418618423106944E+16</v>
      </c>
      <c r="M6200" s="471">
        <f t="shared" si="206"/>
        <v>0.05</v>
      </c>
      <c r="N6200" s="475">
        <f t="shared" si="207"/>
        <v>239753</v>
      </c>
    </row>
    <row r="6201" spans="7:14" ht="11.25" customHeight="1" x14ac:dyDescent="0.3">
      <c r="G6201" s="470"/>
      <c r="H6201" s="470">
        <v>6194</v>
      </c>
      <c r="I6201" s="455">
        <f t="shared" ca="1" si="205"/>
        <v>-6.5418618423106944E+16</v>
      </c>
      <c r="J6201" s="455">
        <f t="array" ref="J6201">IFERROR(INDEX('Retirement Calculator'!K:K,MATCH('Lorri 401b'!N6201,'Retirement Calculator'!A:A,0),0),0)</f>
        <v>0</v>
      </c>
      <c r="K6201" s="455">
        <f t="shared" ca="1" si="203"/>
        <v>-272577576762945.56</v>
      </c>
      <c r="L6201" s="455">
        <f t="shared" ca="1" si="204"/>
        <v>-6.5691195999869888E+16</v>
      </c>
      <c r="M6201" s="471">
        <f t="shared" si="206"/>
        <v>0.05</v>
      </c>
      <c r="N6201" s="475">
        <f t="shared" si="207"/>
        <v>239783</v>
      </c>
    </row>
    <row r="6202" spans="7:14" ht="11.25" customHeight="1" x14ac:dyDescent="0.3">
      <c r="G6202" s="470"/>
      <c r="H6202" s="470">
        <v>6195</v>
      </c>
      <c r="I6202" s="455">
        <f t="shared" ca="1" si="205"/>
        <v>-6.5691195999869888E+16</v>
      </c>
      <c r="J6202" s="455">
        <f t="array" ref="J6202">IFERROR(INDEX('Retirement Calculator'!K:K,MATCH('Lorri 401b'!N6202,'Retirement Calculator'!A:A,0),0),0)</f>
        <v>0</v>
      </c>
      <c r="K6202" s="455">
        <f t="shared" ca="1" si="203"/>
        <v>-273713316666124.53</v>
      </c>
      <c r="L6202" s="455">
        <f t="shared" ca="1" si="204"/>
        <v>-6.5964909316536016E+16</v>
      </c>
      <c r="M6202" s="471">
        <f t="shared" si="206"/>
        <v>0.05</v>
      </c>
      <c r="N6202" s="475">
        <f t="shared" si="207"/>
        <v>239814</v>
      </c>
    </row>
    <row r="6203" spans="7:14" ht="11.25" customHeight="1" x14ac:dyDescent="0.3">
      <c r="G6203" s="470"/>
      <c r="H6203" s="470">
        <v>6196</v>
      </c>
      <c r="I6203" s="455">
        <f t="shared" ca="1" si="205"/>
        <v>-6.5964909316536016E+16</v>
      </c>
      <c r="J6203" s="455">
        <f t="array" ref="J6203">IFERROR(INDEX('Retirement Calculator'!K:K,MATCH('Lorri 401b'!N6203,'Retirement Calculator'!A:A,0),0),0)</f>
        <v>0</v>
      </c>
      <c r="K6203" s="455">
        <f t="shared" ca="1" si="203"/>
        <v>-274853788818900.06</v>
      </c>
      <c r="L6203" s="455">
        <f t="shared" ca="1" si="204"/>
        <v>-6.623976310535492E+16</v>
      </c>
      <c r="M6203" s="471">
        <f t="shared" si="206"/>
        <v>0.05</v>
      </c>
      <c r="N6203" s="475">
        <f t="shared" si="207"/>
        <v>239845</v>
      </c>
    </row>
    <row r="6204" spans="7:14" ht="11.25" customHeight="1" x14ac:dyDescent="0.3">
      <c r="G6204" s="470"/>
      <c r="H6204" s="470">
        <v>6197</v>
      </c>
      <c r="I6204" s="455">
        <f t="shared" ca="1" si="205"/>
        <v>-6.623976310535492E+16</v>
      </c>
      <c r="J6204" s="455">
        <f t="array" ref="J6204">IFERROR(INDEX('Retirement Calculator'!K:K,MATCH('Lorri 401b'!N6204,'Retirement Calculator'!A:A,0),0),0)</f>
        <v>0</v>
      </c>
      <c r="K6204" s="455">
        <f t="shared" ca="1" si="203"/>
        <v>-275999012938978.84</v>
      </c>
      <c r="L6204" s="455">
        <f t="shared" ca="1" si="204"/>
        <v>-6.6515762118293896E+16</v>
      </c>
      <c r="M6204" s="471">
        <f t="shared" si="206"/>
        <v>0.05</v>
      </c>
      <c r="N6204" s="475">
        <f t="shared" si="207"/>
        <v>239875</v>
      </c>
    </row>
    <row r="6205" spans="7:14" ht="11.25" customHeight="1" x14ac:dyDescent="0.3">
      <c r="G6205" s="470"/>
      <c r="H6205" s="470">
        <v>6198</v>
      </c>
      <c r="I6205" s="455">
        <f t="shared" ca="1" si="205"/>
        <v>-6.6515762118293896E+16</v>
      </c>
      <c r="J6205" s="455">
        <f t="array" ref="J6205">IFERROR(INDEX('Retirement Calculator'!K:K,MATCH('Lorri 401b'!N6205,'Retirement Calculator'!A:A,0),0),0)</f>
        <v>0</v>
      </c>
      <c r="K6205" s="455">
        <f t="shared" ca="1" si="203"/>
        <v>-277149008826224.53</v>
      </c>
      <c r="L6205" s="455">
        <f t="shared" ca="1" si="204"/>
        <v>-6.679291112712012E+16</v>
      </c>
      <c r="M6205" s="471">
        <f t="shared" si="206"/>
        <v>0.05</v>
      </c>
      <c r="N6205" s="475">
        <f t="shared" si="207"/>
        <v>239906</v>
      </c>
    </row>
    <row r="6206" spans="7:14" ht="11.25" customHeight="1" x14ac:dyDescent="0.3">
      <c r="G6206" s="470"/>
      <c r="H6206" s="470">
        <v>6199</v>
      </c>
      <c r="I6206" s="455">
        <f t="shared" ca="1" si="205"/>
        <v>-6.679291112712012E+16</v>
      </c>
      <c r="J6206" s="455">
        <f t="array" ref="J6206">IFERROR(INDEX('Retirement Calculator'!K:K,MATCH('Lorri 401b'!N6206,'Retirement Calculator'!A:A,0),0),0)</f>
        <v>0</v>
      </c>
      <c r="K6206" s="455">
        <f t="shared" ca="1" si="203"/>
        <v>-278303796363000.5</v>
      </c>
      <c r="L6206" s="455">
        <f t="shared" ca="1" si="204"/>
        <v>-6.707121492348312E+16</v>
      </c>
      <c r="M6206" s="471">
        <f t="shared" si="206"/>
        <v>0.05</v>
      </c>
      <c r="N6206" s="475">
        <f t="shared" si="207"/>
        <v>239936</v>
      </c>
    </row>
    <row r="6207" spans="7:14" ht="11.25" customHeight="1" x14ac:dyDescent="0.3">
      <c r="G6207" s="470"/>
      <c r="H6207" s="470">
        <v>6200</v>
      </c>
      <c r="I6207" s="455">
        <f t="shared" ca="1" si="205"/>
        <v>-6.707121492348312E+16</v>
      </c>
      <c r="J6207" s="455">
        <f t="array" ref="J6207">IFERROR(INDEX('Retirement Calculator'!K:K,MATCH('Lorri 401b'!N6207,'Retirement Calculator'!A:A,0),0),0)</f>
        <v>0</v>
      </c>
      <c r="K6207" s="455">
        <f t="shared" ca="1" si="203"/>
        <v>-279463395514513</v>
      </c>
      <c r="L6207" s="455">
        <f t="shared" ca="1" si="204"/>
        <v>-6.7350678318997632E+16</v>
      </c>
      <c r="M6207" s="471">
        <f t="shared" si="206"/>
        <v>0.05</v>
      </c>
      <c r="N6207" s="475">
        <f t="shared" si="207"/>
        <v>239967</v>
      </c>
    </row>
    <row r="6208" spans="7:14" ht="11.25" customHeight="1" x14ac:dyDescent="0.3">
      <c r="G6208" s="470"/>
      <c r="H6208" s="470">
        <v>6201</v>
      </c>
      <c r="I6208" s="455">
        <f t="shared" ca="1" si="205"/>
        <v>-6.7350678318997632E+16</v>
      </c>
      <c r="J6208" s="455">
        <f t="array" ref="J6208">IFERROR(INDEX('Retirement Calculator'!K:K,MATCH('Lorri 401b'!N6208,'Retirement Calculator'!A:A,0),0),0)</f>
        <v>0</v>
      </c>
      <c r="K6208" s="455">
        <f t="shared" ca="1" si="203"/>
        <v>-280627826329156.84</v>
      </c>
      <c r="L6208" s="455">
        <f t="shared" ca="1" si="204"/>
        <v>-6.7631306145326792E+16</v>
      </c>
      <c r="M6208" s="471">
        <f t="shared" si="206"/>
        <v>0.05</v>
      </c>
      <c r="N6208" s="475">
        <f t="shared" si="207"/>
        <v>239998</v>
      </c>
    </row>
    <row r="6209" spans="7:14" ht="11.25" customHeight="1" x14ac:dyDescent="0.3">
      <c r="G6209" s="470"/>
      <c r="H6209" s="470">
        <v>6202</v>
      </c>
      <c r="I6209" s="455">
        <f t="shared" ca="1" si="205"/>
        <v>-6.7631306145326792E+16</v>
      </c>
      <c r="J6209" s="455">
        <f t="array" ref="J6209">IFERROR(INDEX('Retirement Calculator'!K:K,MATCH('Lorri 401b'!N6209,'Retirement Calculator'!A:A,0),0),0)</f>
        <v>0</v>
      </c>
      <c r="K6209" s="455">
        <f t="shared" ca="1" si="203"/>
        <v>-281797108938861.63</v>
      </c>
      <c r="L6209" s="455">
        <f t="shared" ca="1" si="204"/>
        <v>-6.7913103254265656E+16</v>
      </c>
      <c r="M6209" s="471">
        <f t="shared" si="206"/>
        <v>0.05</v>
      </c>
      <c r="N6209" s="475">
        <f t="shared" si="207"/>
        <v>240026</v>
      </c>
    </row>
    <row r="6210" spans="7:14" ht="11.25" customHeight="1" x14ac:dyDescent="0.3">
      <c r="G6210" s="470"/>
      <c r="H6210" s="470">
        <v>6203</v>
      </c>
      <c r="I6210" s="455">
        <f t="shared" ca="1" si="205"/>
        <v>-6.7913103254265656E+16</v>
      </c>
      <c r="J6210" s="455">
        <f t="array" ref="J6210">IFERROR(INDEX('Retirement Calculator'!K:K,MATCH('Lorri 401b'!N6210,'Retirement Calculator'!A:A,0),0),0)</f>
        <v>0</v>
      </c>
      <c r="K6210" s="455">
        <f t="shared" ca="1" si="203"/>
        <v>-282971263559440.25</v>
      </c>
      <c r="L6210" s="455">
        <f t="shared" ca="1" si="204"/>
        <v>-6.8196074517825096E+16</v>
      </c>
      <c r="M6210" s="471">
        <f t="shared" si="206"/>
        <v>0.05</v>
      </c>
      <c r="N6210" s="475">
        <f t="shared" si="207"/>
        <v>240057</v>
      </c>
    </row>
    <row r="6211" spans="7:14" ht="11.25" customHeight="1" x14ac:dyDescent="0.3">
      <c r="G6211" s="470"/>
      <c r="H6211" s="470">
        <v>6204</v>
      </c>
      <c r="I6211" s="455">
        <f t="shared" ca="1" si="205"/>
        <v>-6.8196074517825096E+16</v>
      </c>
      <c r="J6211" s="455">
        <f t="array" ref="J6211">IFERROR(INDEX('Retirement Calculator'!K:K,MATCH('Lorri 401b'!N6211,'Retirement Calculator'!A:A,0),0),0)</f>
        <v>0</v>
      </c>
      <c r="K6211" s="455">
        <f t="shared" ca="1" si="203"/>
        <v>-284150310490937.88</v>
      </c>
      <c r="L6211" s="455">
        <f t="shared" ca="1" si="204"/>
        <v>-6.8480224828316032E+16</v>
      </c>
      <c r="M6211" s="471">
        <f t="shared" si="206"/>
        <v>0.05</v>
      </c>
      <c r="N6211" s="475">
        <f t="shared" si="207"/>
        <v>240087</v>
      </c>
    </row>
    <row r="6212" spans="7:14" ht="11.25" customHeight="1" x14ac:dyDescent="0.3">
      <c r="G6212" s="470"/>
      <c r="H6212" s="470">
        <v>6205</v>
      </c>
      <c r="I6212" s="455">
        <f t="shared" ca="1" si="205"/>
        <v>-6.8480224828316032E+16</v>
      </c>
      <c r="J6212" s="455">
        <f t="array" ref="J6212">IFERROR(INDEX('Retirement Calculator'!K:K,MATCH('Lorri 401b'!N6212,'Retirement Calculator'!A:A,0),0),0)</f>
        <v>0</v>
      </c>
      <c r="K6212" s="455">
        <f t="shared" ca="1" si="203"/>
        <v>-285334270117983.44</v>
      </c>
      <c r="L6212" s="455">
        <f t="shared" ca="1" si="204"/>
        <v>-6.8765559098434016E+16</v>
      </c>
      <c r="M6212" s="471">
        <f t="shared" si="206"/>
        <v>0.05</v>
      </c>
      <c r="N6212" s="475">
        <f t="shared" si="207"/>
        <v>240118</v>
      </c>
    </row>
    <row r="6213" spans="7:14" ht="11.25" customHeight="1" x14ac:dyDescent="0.3">
      <c r="G6213" s="470"/>
      <c r="H6213" s="470">
        <v>6206</v>
      </c>
      <c r="I6213" s="455">
        <f t="shared" ca="1" si="205"/>
        <v>-6.8765559098434016E+16</v>
      </c>
      <c r="J6213" s="455">
        <f t="array" ref="J6213">IFERROR(INDEX('Retirement Calculator'!K:K,MATCH('Lorri 401b'!N6213,'Retirement Calculator'!A:A,0),0),0)</f>
        <v>0</v>
      </c>
      <c r="K6213" s="455">
        <f t="shared" ca="1" si="203"/>
        <v>-286523162910141.75</v>
      </c>
      <c r="L6213" s="455">
        <f t="shared" ca="1" si="204"/>
        <v>-6.905208226134416E+16</v>
      </c>
      <c r="M6213" s="471">
        <f t="shared" si="206"/>
        <v>0.05</v>
      </c>
      <c r="N6213" s="475">
        <f t="shared" si="207"/>
        <v>240148</v>
      </c>
    </row>
    <row r="6214" spans="7:14" ht="11.25" customHeight="1" x14ac:dyDescent="0.3">
      <c r="G6214" s="470"/>
      <c r="H6214" s="470">
        <v>6207</v>
      </c>
      <c r="I6214" s="455">
        <f t="shared" ca="1" si="205"/>
        <v>-6.905208226134416E+16</v>
      </c>
      <c r="J6214" s="455">
        <f t="array" ref="J6214">IFERROR(INDEX('Retirement Calculator'!K:K,MATCH('Lorri 401b'!N6214,'Retirement Calculator'!A:A,0),0),0)</f>
        <v>0</v>
      </c>
      <c r="K6214" s="455">
        <f t="shared" ca="1" si="203"/>
        <v>-287717009422267.38</v>
      </c>
      <c r="L6214" s="455">
        <f t="shared" ca="1" si="204"/>
        <v>-6.9339799270766424E+16</v>
      </c>
      <c r="M6214" s="471">
        <f t="shared" si="206"/>
        <v>0.05</v>
      </c>
      <c r="N6214" s="475">
        <f t="shared" si="207"/>
        <v>240179</v>
      </c>
    </row>
    <row r="6215" spans="7:14" ht="11.25" customHeight="1" x14ac:dyDescent="0.3">
      <c r="G6215" s="470"/>
      <c r="H6215" s="470">
        <v>6208</v>
      </c>
      <c r="I6215" s="455">
        <f t="shared" ca="1" si="205"/>
        <v>-6.9339799270766424E+16</v>
      </c>
      <c r="J6215" s="455">
        <f t="array" ref="J6215">IFERROR(INDEX('Retirement Calculator'!K:K,MATCH('Lorri 401b'!N6215,'Retirement Calculator'!A:A,0),0),0)</f>
        <v>0</v>
      </c>
      <c r="K6215" s="455">
        <f t="shared" ca="1" si="203"/>
        <v>-288915830294860.13</v>
      </c>
      <c r="L6215" s="455">
        <f t="shared" ca="1" si="204"/>
        <v>-6.9628715101061288E+16</v>
      </c>
      <c r="M6215" s="471">
        <f t="shared" si="206"/>
        <v>0.05</v>
      </c>
      <c r="N6215" s="475">
        <f t="shared" si="207"/>
        <v>240210</v>
      </c>
    </row>
    <row r="6216" spans="7:14" ht="11.25" customHeight="1" x14ac:dyDescent="0.3">
      <c r="G6216" s="470"/>
      <c r="H6216" s="470">
        <v>6209</v>
      </c>
      <c r="I6216" s="455">
        <f t="shared" ca="1" si="205"/>
        <v>-6.9628715101061288E+16</v>
      </c>
      <c r="J6216" s="455">
        <f t="array" ref="J6216">IFERROR(INDEX('Retirement Calculator'!K:K,MATCH('Lorri 401b'!N6216,'Retirement Calculator'!A:A,0),0),0)</f>
        <v>0</v>
      </c>
      <c r="K6216" s="455">
        <f t="shared" ca="1" si="203"/>
        <v>-290119646254422</v>
      </c>
      <c r="L6216" s="455">
        <f t="shared" ca="1" si="204"/>
        <v>-6.9918834747315712E+16</v>
      </c>
      <c r="M6216" s="471">
        <f t="shared" si="206"/>
        <v>0.05</v>
      </c>
      <c r="N6216" s="475">
        <f t="shared" si="207"/>
        <v>240240</v>
      </c>
    </row>
    <row r="6217" spans="7:14" ht="11.25" customHeight="1" x14ac:dyDescent="0.3">
      <c r="G6217" s="470"/>
      <c r="H6217" s="470">
        <v>6210</v>
      </c>
      <c r="I6217" s="455">
        <f t="shared" ca="1" si="205"/>
        <v>-6.9918834747315712E+16</v>
      </c>
      <c r="J6217" s="455">
        <f t="array" ref="J6217">IFERROR(INDEX('Retirement Calculator'!K:K,MATCH('Lorri 401b'!N6217,'Retirement Calculator'!A:A,0),0),0)</f>
        <v>0</v>
      </c>
      <c r="K6217" s="455">
        <f t="shared" ca="1" si="203"/>
        <v>-291328478113815.44</v>
      </c>
      <c r="L6217" s="455">
        <f t="shared" ca="1" si="204"/>
        <v>-7.0210163225429528E+16</v>
      </c>
      <c r="M6217" s="471">
        <f t="shared" si="206"/>
        <v>0.05</v>
      </c>
      <c r="N6217" s="475">
        <f t="shared" si="207"/>
        <v>240271</v>
      </c>
    </row>
    <row r="6218" spans="7:14" ht="11.25" customHeight="1" x14ac:dyDescent="0.3">
      <c r="G6218" s="470"/>
      <c r="H6218" s="470">
        <v>6211</v>
      </c>
      <c r="I6218" s="455">
        <f t="shared" ca="1" si="205"/>
        <v>-7.0210163225429528E+16</v>
      </c>
      <c r="J6218" s="455">
        <f t="array" ref="J6218">IFERROR(INDEX('Retirement Calculator'!K:K,MATCH('Lorri 401b'!N6218,'Retirement Calculator'!A:A,0),0),0)</f>
        <v>0</v>
      </c>
      <c r="K6218" s="455">
        <f t="shared" ca="1" si="203"/>
        <v>-292542346772623</v>
      </c>
      <c r="L6218" s="455">
        <f t="shared" ca="1" si="204"/>
        <v>-7.0502705572202152E+16</v>
      </c>
      <c r="M6218" s="471">
        <f t="shared" si="206"/>
        <v>0.05</v>
      </c>
      <c r="N6218" s="475">
        <f t="shared" si="207"/>
        <v>240301</v>
      </c>
    </row>
    <row r="6219" spans="7:14" ht="11.25" customHeight="1" x14ac:dyDescent="0.3">
      <c r="G6219" s="470"/>
      <c r="H6219" s="470">
        <v>6212</v>
      </c>
      <c r="I6219" s="455">
        <f t="shared" ca="1" si="205"/>
        <v>-7.0502705572202152E+16</v>
      </c>
      <c r="J6219" s="455">
        <f t="array" ref="J6219">IFERROR(INDEX('Retirement Calculator'!K:K,MATCH('Lorri 401b'!N6219,'Retirement Calculator'!A:A,0),0),0)</f>
        <v>0</v>
      </c>
      <c r="K6219" s="455">
        <f t="shared" ca="1" si="203"/>
        <v>-293761273217509</v>
      </c>
      <c r="L6219" s="455">
        <f t="shared" ca="1" si="204"/>
        <v>-7.0796466845419664E+16</v>
      </c>
      <c r="M6219" s="471">
        <f t="shared" si="206"/>
        <v>0.05</v>
      </c>
      <c r="N6219" s="475">
        <f t="shared" si="207"/>
        <v>240332</v>
      </c>
    </row>
    <row r="6220" spans="7:14" ht="11.25" customHeight="1" x14ac:dyDescent="0.3">
      <c r="G6220" s="470"/>
      <c r="H6220" s="470">
        <v>6213</v>
      </c>
      <c r="I6220" s="455">
        <f t="shared" ca="1" si="205"/>
        <v>-7.0796466845419664E+16</v>
      </c>
      <c r="J6220" s="455">
        <f t="array" ref="J6220">IFERROR(INDEX('Retirement Calculator'!K:K,MATCH('Lorri 401b'!N6220,'Retirement Calculator'!A:A,0),0),0)</f>
        <v>0</v>
      </c>
      <c r="K6220" s="455">
        <f t="shared" ca="1" si="203"/>
        <v>-294985278522581.94</v>
      </c>
      <c r="L6220" s="455">
        <f t="shared" ca="1" si="204"/>
        <v>-7.1091452123942248E+16</v>
      </c>
      <c r="M6220" s="471">
        <f t="shared" si="206"/>
        <v>0.05</v>
      </c>
      <c r="N6220" s="475">
        <f t="shared" si="207"/>
        <v>240363</v>
      </c>
    </row>
    <row r="6221" spans="7:14" ht="11.25" customHeight="1" x14ac:dyDescent="0.3">
      <c r="G6221" s="470"/>
      <c r="H6221" s="470">
        <v>6214</v>
      </c>
      <c r="I6221" s="455">
        <f t="shared" ca="1" si="205"/>
        <v>-7.1091452123942248E+16</v>
      </c>
      <c r="J6221" s="455">
        <f t="array" ref="J6221">IFERROR(INDEX('Retirement Calculator'!K:K,MATCH('Lorri 401b'!N6221,'Retirement Calculator'!A:A,0),0),0)</f>
        <v>0</v>
      </c>
      <c r="K6221" s="455">
        <f t="shared" ca="1" si="203"/>
        <v>-296214383849759.38</v>
      </c>
      <c r="L6221" s="455">
        <f t="shared" ca="1" si="204"/>
        <v>-7.1387666507792008E+16</v>
      </c>
      <c r="M6221" s="471">
        <f t="shared" si="206"/>
        <v>0.05</v>
      </c>
      <c r="N6221" s="475">
        <f t="shared" si="207"/>
        <v>240391</v>
      </c>
    </row>
    <row r="6222" spans="7:14" ht="11.25" customHeight="1" x14ac:dyDescent="0.3">
      <c r="G6222" s="470"/>
      <c r="H6222" s="470">
        <v>6215</v>
      </c>
      <c r="I6222" s="455">
        <f t="shared" ca="1" si="205"/>
        <v>-7.1387666507792008E+16</v>
      </c>
      <c r="J6222" s="455">
        <f t="array" ref="J6222">IFERROR(INDEX('Retirement Calculator'!K:K,MATCH('Lorri 401b'!N6222,'Retirement Calculator'!A:A,0),0),0)</f>
        <v>0</v>
      </c>
      <c r="K6222" s="455">
        <f t="shared" ca="1" si="203"/>
        <v>-297448610449133.38</v>
      </c>
      <c r="L6222" s="455">
        <f t="shared" ca="1" si="204"/>
        <v>-7.1685115118241144E+16</v>
      </c>
      <c r="M6222" s="471">
        <f t="shared" si="206"/>
        <v>0.05</v>
      </c>
      <c r="N6222" s="475">
        <f t="shared" si="207"/>
        <v>240422</v>
      </c>
    </row>
    <row r="6223" spans="7:14" ht="11.25" customHeight="1" x14ac:dyDescent="0.3">
      <c r="G6223" s="470"/>
      <c r="H6223" s="470">
        <v>6216</v>
      </c>
      <c r="I6223" s="455">
        <f t="shared" ca="1" si="205"/>
        <v>-7.1685115118241144E+16</v>
      </c>
      <c r="J6223" s="455">
        <f t="array" ref="J6223">IFERROR(INDEX('Retirement Calculator'!K:K,MATCH('Lorri 401b'!N6223,'Retirement Calculator'!A:A,0),0),0)</f>
        <v>0</v>
      </c>
      <c r="K6223" s="455">
        <f t="shared" ca="1" si="203"/>
        <v>-298687979659338.13</v>
      </c>
      <c r="L6223" s="455">
        <f t="shared" ca="1" si="204"/>
        <v>-7.198380309790048E+16</v>
      </c>
      <c r="M6223" s="471">
        <f t="shared" si="206"/>
        <v>0.05</v>
      </c>
      <c r="N6223" s="475">
        <f t="shared" si="207"/>
        <v>240452</v>
      </c>
    </row>
    <row r="6224" spans="7:14" ht="11.25" customHeight="1" x14ac:dyDescent="0.3">
      <c r="G6224" s="470"/>
      <c r="H6224" s="470">
        <v>6217</v>
      </c>
      <c r="I6224" s="455">
        <f t="shared" ca="1" si="205"/>
        <v>-7.198380309790048E+16</v>
      </c>
      <c r="J6224" s="455">
        <f t="array" ref="J6224">IFERROR(INDEX('Retirement Calculator'!K:K,MATCH('Lorri 401b'!N6224,'Retirement Calculator'!A:A,0),0),0)</f>
        <v>0</v>
      </c>
      <c r="K6224" s="455">
        <f t="shared" ca="1" si="203"/>
        <v>-299932512907918.69</v>
      </c>
      <c r="L6224" s="455">
        <f t="shared" ca="1" si="204"/>
        <v>-7.22837356108084E+16</v>
      </c>
      <c r="M6224" s="471">
        <f t="shared" si="206"/>
        <v>0.05</v>
      </c>
      <c r="N6224" s="475">
        <f t="shared" si="207"/>
        <v>240483</v>
      </c>
    </row>
    <row r="6225" spans="7:14" ht="11.25" customHeight="1" x14ac:dyDescent="0.3">
      <c r="G6225" s="470"/>
      <c r="H6225" s="470">
        <v>6218</v>
      </c>
      <c r="I6225" s="455">
        <f t="shared" ca="1" si="205"/>
        <v>-7.22837356108084E+16</v>
      </c>
      <c r="J6225" s="455">
        <f t="array" ref="J6225">IFERROR(INDEX('Retirement Calculator'!K:K,MATCH('Lorri 401b'!N6225,'Retirement Calculator'!A:A,0),0),0)</f>
        <v>0</v>
      </c>
      <c r="K6225" s="455">
        <f t="shared" ca="1" si="203"/>
        <v>-301182231711701.69</v>
      </c>
      <c r="L6225" s="455">
        <f t="shared" ca="1" si="204"/>
        <v>-7.2584917842520096E+16</v>
      </c>
      <c r="M6225" s="471">
        <f t="shared" si="206"/>
        <v>0.05</v>
      </c>
      <c r="N6225" s="475">
        <f t="shared" si="207"/>
        <v>240513</v>
      </c>
    </row>
    <row r="6226" spans="7:14" ht="11.25" customHeight="1" x14ac:dyDescent="0.3">
      <c r="G6226" s="470"/>
      <c r="H6226" s="470">
        <v>6219</v>
      </c>
      <c r="I6226" s="455">
        <f t="shared" ca="1" si="205"/>
        <v>-7.2584917842520096E+16</v>
      </c>
      <c r="J6226" s="455">
        <f t="array" ref="J6226">IFERROR(INDEX('Retirement Calculator'!K:K,MATCH('Lorri 401b'!N6226,'Retirement Calculator'!A:A,0),0),0)</f>
        <v>0</v>
      </c>
      <c r="K6226" s="455">
        <f t="shared" ca="1" si="203"/>
        <v>-302437157677167.06</v>
      </c>
      <c r="L6226" s="455">
        <f t="shared" ca="1" si="204"/>
        <v>-7.2887355000197264E+16</v>
      </c>
      <c r="M6226" s="471">
        <f t="shared" si="206"/>
        <v>0.05</v>
      </c>
      <c r="N6226" s="475">
        <f t="shared" si="207"/>
        <v>240544</v>
      </c>
    </row>
    <row r="6227" spans="7:14" ht="11.25" customHeight="1" x14ac:dyDescent="0.3">
      <c r="G6227" s="470"/>
      <c r="H6227" s="470">
        <v>6220</v>
      </c>
      <c r="I6227" s="455">
        <f t="shared" ca="1" si="205"/>
        <v>-7.2887355000197264E+16</v>
      </c>
      <c r="J6227" s="455">
        <f t="array" ref="J6227">IFERROR(INDEX('Retirement Calculator'!K:K,MATCH('Lorri 401b'!N6227,'Retirement Calculator'!A:A,0),0),0)</f>
        <v>0</v>
      </c>
      <c r="K6227" s="455">
        <f t="shared" ca="1" si="203"/>
        <v>-303697312500821.94</v>
      </c>
      <c r="L6227" s="455">
        <f t="shared" ca="1" si="204"/>
        <v>-7.319105231269808E+16</v>
      </c>
      <c r="M6227" s="471">
        <f t="shared" si="206"/>
        <v>0.05</v>
      </c>
      <c r="N6227" s="475">
        <f t="shared" si="207"/>
        <v>240575</v>
      </c>
    </row>
    <row r="6228" spans="7:14" ht="11.25" customHeight="1" x14ac:dyDescent="0.3">
      <c r="G6228" s="470"/>
      <c r="H6228" s="470">
        <v>6221</v>
      </c>
      <c r="I6228" s="455">
        <f t="shared" ca="1" si="205"/>
        <v>-7.319105231269808E+16</v>
      </c>
      <c r="J6228" s="455">
        <f t="array" ref="J6228">IFERROR(INDEX('Retirement Calculator'!K:K,MATCH('Lorri 401b'!N6228,'Retirement Calculator'!A:A,0),0),0)</f>
        <v>0</v>
      </c>
      <c r="K6228" s="455">
        <f t="shared" ca="1" si="203"/>
        <v>-304962717969575.31</v>
      </c>
      <c r="L6228" s="455">
        <f t="shared" ca="1" si="204"/>
        <v>-7.3496015030667648E+16</v>
      </c>
      <c r="M6228" s="471">
        <f t="shared" si="206"/>
        <v>0.05</v>
      </c>
      <c r="N6228" s="475">
        <f t="shared" si="207"/>
        <v>240605</v>
      </c>
    </row>
    <row r="6229" spans="7:14" ht="11.25" customHeight="1" x14ac:dyDescent="0.3">
      <c r="G6229" s="470"/>
      <c r="H6229" s="470">
        <v>6222</v>
      </c>
      <c r="I6229" s="455">
        <f t="shared" ca="1" si="205"/>
        <v>-7.3496015030667648E+16</v>
      </c>
      <c r="J6229" s="455">
        <f t="array" ref="J6229">IFERROR(INDEX('Retirement Calculator'!K:K,MATCH('Lorri 401b'!N6229,'Retirement Calculator'!A:A,0),0),0)</f>
        <v>0</v>
      </c>
      <c r="K6229" s="455">
        <f t="shared" ca="1" si="203"/>
        <v>-306233395961115.19</v>
      </c>
      <c r="L6229" s="455">
        <f t="shared" ca="1" si="204"/>
        <v>-7.3802248426628768E+16</v>
      </c>
      <c r="M6229" s="471">
        <f t="shared" si="206"/>
        <v>0.05</v>
      </c>
      <c r="N6229" s="475">
        <f t="shared" si="207"/>
        <v>240636</v>
      </c>
    </row>
    <row r="6230" spans="7:14" ht="11.25" customHeight="1" x14ac:dyDescent="0.3">
      <c r="G6230" s="470"/>
      <c r="H6230" s="470">
        <v>6223</v>
      </c>
      <c r="I6230" s="455">
        <f t="shared" ca="1" si="205"/>
        <v>-7.3802248426628768E+16</v>
      </c>
      <c r="J6230" s="455">
        <f t="array" ref="J6230">IFERROR(INDEX('Retirement Calculator'!K:K,MATCH('Lorri 401b'!N6230,'Retirement Calculator'!A:A,0),0),0)</f>
        <v>0</v>
      </c>
      <c r="K6230" s="455">
        <f t="shared" ca="1" si="203"/>
        <v>-307509368444286.5</v>
      </c>
      <c r="L6230" s="455">
        <f t="shared" ca="1" si="204"/>
        <v>-7.4109757795073056E+16</v>
      </c>
      <c r="M6230" s="471">
        <f t="shared" si="206"/>
        <v>0.05</v>
      </c>
      <c r="N6230" s="475">
        <f t="shared" si="207"/>
        <v>240666</v>
      </c>
    </row>
    <row r="6231" spans="7:14" ht="11.25" customHeight="1" x14ac:dyDescent="0.3">
      <c r="G6231" s="470"/>
      <c r="H6231" s="470">
        <v>6224</v>
      </c>
      <c r="I6231" s="455">
        <f t="shared" ca="1" si="205"/>
        <v>-7.4109757795073056E+16</v>
      </c>
      <c r="J6231" s="455">
        <f t="array" ref="J6231">IFERROR(INDEX('Retirement Calculator'!K:K,MATCH('Lorri 401b'!N6231,'Retirement Calculator'!A:A,0),0),0)</f>
        <v>0</v>
      </c>
      <c r="K6231" s="455">
        <f t="shared" ca="1" si="203"/>
        <v>-308790657479471.06</v>
      </c>
      <c r="L6231" s="455">
        <f t="shared" ca="1" si="204"/>
        <v>-7.4418548452552528E+16</v>
      </c>
      <c r="M6231" s="471">
        <f t="shared" si="206"/>
        <v>0.05</v>
      </c>
      <c r="N6231" s="475">
        <f t="shared" si="207"/>
        <v>240697</v>
      </c>
    </row>
    <row r="6232" spans="7:14" ht="11.25" customHeight="1" x14ac:dyDescent="0.3">
      <c r="G6232" s="470"/>
      <c r="H6232" s="470">
        <v>6225</v>
      </c>
      <c r="I6232" s="455">
        <f t="shared" ca="1" si="205"/>
        <v>-7.4418548452552528E+16</v>
      </c>
      <c r="J6232" s="455">
        <f t="array" ref="J6232">IFERROR(INDEX('Retirement Calculator'!K:K,MATCH('Lorri 401b'!N6232,'Retirement Calculator'!A:A,0),0),0)</f>
        <v>0</v>
      </c>
      <c r="K6232" s="455">
        <f t="shared" ca="1" si="203"/>
        <v>-310077285218968.88</v>
      </c>
      <c r="L6232" s="455">
        <f t="shared" ca="1" si="204"/>
        <v>-7.4728625737771504E+16</v>
      </c>
      <c r="M6232" s="471">
        <f t="shared" si="206"/>
        <v>0.05</v>
      </c>
      <c r="N6232" s="475">
        <f t="shared" si="207"/>
        <v>240728</v>
      </c>
    </row>
    <row r="6233" spans="7:14" ht="11.25" customHeight="1" x14ac:dyDescent="0.3">
      <c r="G6233" s="470"/>
      <c r="H6233" s="470">
        <v>6226</v>
      </c>
      <c r="I6233" s="455">
        <f t="shared" ca="1" si="205"/>
        <v>-7.4728625737771504E+16</v>
      </c>
      <c r="J6233" s="455">
        <f t="array" ref="J6233">IFERROR(INDEX('Retirement Calculator'!K:K,MATCH('Lorri 401b'!N6233,'Retirement Calculator'!A:A,0),0),0)</f>
        <v>0</v>
      </c>
      <c r="K6233" s="455">
        <f t="shared" ca="1" si="203"/>
        <v>-311369273907381.25</v>
      </c>
      <c r="L6233" s="455">
        <f t="shared" ca="1" si="204"/>
        <v>-7.503999501167888E+16</v>
      </c>
      <c r="M6233" s="471">
        <f t="shared" si="206"/>
        <v>0.05</v>
      </c>
      <c r="N6233" s="475">
        <f t="shared" si="207"/>
        <v>240756</v>
      </c>
    </row>
    <row r="6234" spans="7:14" ht="11.25" customHeight="1" x14ac:dyDescent="0.3">
      <c r="G6234" s="470"/>
      <c r="H6234" s="470">
        <v>6227</v>
      </c>
      <c r="I6234" s="455">
        <f t="shared" ca="1" si="205"/>
        <v>-7.503999501167888E+16</v>
      </c>
      <c r="J6234" s="455">
        <f t="array" ref="J6234">IFERROR(INDEX('Retirement Calculator'!K:K,MATCH('Lorri 401b'!N6234,'Retirement Calculator'!A:A,0),0),0)</f>
        <v>0</v>
      </c>
      <c r="K6234" s="455">
        <f t="shared" ca="1" si="203"/>
        <v>-312666645881995.31</v>
      </c>
      <c r="L6234" s="455">
        <f t="shared" ca="1" si="204"/>
        <v>-7.535266165756088E+16</v>
      </c>
      <c r="M6234" s="471">
        <f t="shared" si="206"/>
        <v>0.05</v>
      </c>
      <c r="N6234" s="475">
        <f t="shared" si="207"/>
        <v>240787</v>
      </c>
    </row>
    <row r="6235" spans="7:14" ht="11.25" customHeight="1" x14ac:dyDescent="0.3">
      <c r="G6235" s="470"/>
      <c r="H6235" s="470">
        <v>6228</v>
      </c>
      <c r="I6235" s="455">
        <f t="shared" ca="1" si="205"/>
        <v>-7.535266165756088E+16</v>
      </c>
      <c r="J6235" s="455">
        <f t="array" ref="J6235">IFERROR(INDEX('Retirement Calculator'!K:K,MATCH('Lorri 401b'!N6235,'Retirement Calculator'!A:A,0),0),0)</f>
        <v>0</v>
      </c>
      <c r="K6235" s="455">
        <f t="shared" ca="1" si="203"/>
        <v>-313969423573170.31</v>
      </c>
      <c r="L6235" s="455">
        <f t="shared" ca="1" si="204"/>
        <v>-7.5666631081134048E+16</v>
      </c>
      <c r="M6235" s="471">
        <f t="shared" si="206"/>
        <v>0.05</v>
      </c>
      <c r="N6235" s="475">
        <f t="shared" si="207"/>
        <v>240817</v>
      </c>
    </row>
    <row r="6236" spans="7:14" ht="11.25" customHeight="1" x14ac:dyDescent="0.3">
      <c r="G6236" s="470"/>
      <c r="H6236" s="470">
        <v>6229</v>
      </c>
      <c r="I6236" s="455">
        <f t="shared" ca="1" si="205"/>
        <v>-7.5666631081134048E+16</v>
      </c>
      <c r="J6236" s="455">
        <f t="array" ref="J6236">IFERROR(INDEX('Retirement Calculator'!K:K,MATCH('Lorri 401b'!N6236,'Retirement Calculator'!A:A,0),0),0)</f>
        <v>0</v>
      </c>
      <c r="K6236" s="455">
        <f t="shared" ca="1" si="203"/>
        <v>-315277629504725.19</v>
      </c>
      <c r="L6236" s="455">
        <f t="shared" ca="1" si="204"/>
        <v>-7.5981908710638768E+16</v>
      </c>
      <c r="M6236" s="471">
        <f t="shared" si="206"/>
        <v>0.05</v>
      </c>
      <c r="N6236" s="475">
        <f t="shared" si="207"/>
        <v>240848</v>
      </c>
    </row>
    <row r="6237" spans="7:14" ht="11.25" customHeight="1" x14ac:dyDescent="0.3">
      <c r="G6237" s="470"/>
      <c r="H6237" s="470">
        <v>6230</v>
      </c>
      <c r="I6237" s="455">
        <f t="shared" ca="1" si="205"/>
        <v>-7.5981908710638768E+16</v>
      </c>
      <c r="J6237" s="455">
        <f t="array" ref="J6237">IFERROR(INDEX('Retirement Calculator'!K:K,MATCH('Lorri 401b'!N6237,'Retirement Calculator'!A:A,0),0),0)</f>
        <v>0</v>
      </c>
      <c r="K6237" s="455">
        <f t="shared" ca="1" si="203"/>
        <v>-316591286294328.19</v>
      </c>
      <c r="L6237" s="455">
        <f t="shared" ca="1" si="204"/>
        <v>-7.6298499996933104E+16</v>
      </c>
      <c r="M6237" s="471">
        <f t="shared" si="206"/>
        <v>0.05</v>
      </c>
      <c r="N6237" s="475">
        <f t="shared" si="207"/>
        <v>240878</v>
      </c>
    </row>
    <row r="6238" spans="7:14" ht="11.25" customHeight="1" x14ac:dyDescent="0.3">
      <c r="G6238" s="470"/>
      <c r="H6238" s="470">
        <v>6231</v>
      </c>
      <c r="I6238" s="455">
        <f t="shared" ca="1" si="205"/>
        <v>-7.6298499996933104E+16</v>
      </c>
      <c r="J6238" s="455">
        <f t="array" ref="J6238">IFERROR(INDEX('Retirement Calculator'!K:K,MATCH('Lorri 401b'!N6238,'Retirement Calculator'!A:A,0),0),0)</f>
        <v>0</v>
      </c>
      <c r="K6238" s="455">
        <f t="shared" ca="1" si="203"/>
        <v>-317910416653887.94</v>
      </c>
      <c r="L6238" s="455">
        <f t="shared" ca="1" si="204"/>
        <v>-7.6616410413586992E+16</v>
      </c>
      <c r="M6238" s="471">
        <f t="shared" si="206"/>
        <v>0.05</v>
      </c>
      <c r="N6238" s="475">
        <f t="shared" si="207"/>
        <v>240909</v>
      </c>
    </row>
    <row r="6239" spans="7:14" ht="11.25" customHeight="1" x14ac:dyDescent="0.3">
      <c r="G6239" s="470"/>
      <c r="H6239" s="470">
        <v>6232</v>
      </c>
      <c r="I6239" s="455">
        <f t="shared" ca="1" si="205"/>
        <v>-7.6616410413586992E+16</v>
      </c>
      <c r="J6239" s="455">
        <f t="array" ref="J6239">IFERROR(INDEX('Retirement Calculator'!K:K,MATCH('Lorri 401b'!N6239,'Retirement Calculator'!A:A,0),0),0)</f>
        <v>0</v>
      </c>
      <c r="K6239" s="455">
        <f t="shared" ca="1" si="203"/>
        <v>-319235043389945.81</v>
      </c>
      <c r="L6239" s="455">
        <f t="shared" ca="1" si="204"/>
        <v>-7.6935645456976944E+16</v>
      </c>
      <c r="M6239" s="471">
        <f t="shared" si="206"/>
        <v>0.05</v>
      </c>
      <c r="N6239" s="475">
        <f t="shared" si="207"/>
        <v>240940</v>
      </c>
    </row>
    <row r="6240" spans="7:14" ht="11.25" customHeight="1" x14ac:dyDescent="0.3">
      <c r="G6240" s="470"/>
      <c r="H6240" s="470">
        <v>6233</v>
      </c>
      <c r="I6240" s="455">
        <f t="shared" ca="1" si="205"/>
        <v>-7.6935645456976944E+16</v>
      </c>
      <c r="J6240" s="455">
        <f t="array" ref="J6240">IFERROR(INDEX('Retirement Calculator'!K:K,MATCH('Lorri 401b'!N6240,'Retirement Calculator'!A:A,0),0),0)</f>
        <v>0</v>
      </c>
      <c r="K6240" s="455">
        <f t="shared" ca="1" si="203"/>
        <v>-320565189404070.63</v>
      </c>
      <c r="L6240" s="455">
        <f t="shared" ca="1" si="204"/>
        <v>-7.7256210646381008E+16</v>
      </c>
      <c r="M6240" s="471">
        <f t="shared" si="206"/>
        <v>0.05</v>
      </c>
      <c r="N6240" s="475">
        <f t="shared" si="207"/>
        <v>240970</v>
      </c>
    </row>
    <row r="6241" spans="7:14" ht="11.25" customHeight="1" x14ac:dyDescent="0.3">
      <c r="G6241" s="470"/>
      <c r="H6241" s="470">
        <v>6234</v>
      </c>
      <c r="I6241" s="455">
        <f t="shared" ca="1" si="205"/>
        <v>-7.7256210646381008E+16</v>
      </c>
      <c r="J6241" s="455">
        <f t="array" ref="J6241">IFERROR(INDEX('Retirement Calculator'!K:K,MATCH('Lorri 401b'!N6241,'Retirement Calculator'!A:A,0),0),0)</f>
        <v>0</v>
      </c>
      <c r="K6241" s="455">
        <f t="shared" ca="1" si="203"/>
        <v>-321900877693254.19</v>
      </c>
      <c r="L6241" s="455">
        <f t="shared" ca="1" si="204"/>
        <v>-7.7578111524074256E+16</v>
      </c>
      <c r="M6241" s="471">
        <f t="shared" si="206"/>
        <v>0.05</v>
      </c>
      <c r="N6241" s="475">
        <f t="shared" si="207"/>
        <v>241001</v>
      </c>
    </row>
    <row r="6242" spans="7:14" ht="11.25" customHeight="1" x14ac:dyDescent="0.3">
      <c r="G6242" s="470"/>
      <c r="H6242" s="470">
        <v>6235</v>
      </c>
      <c r="I6242" s="455">
        <f t="shared" ca="1" si="205"/>
        <v>-7.7578111524074256E+16</v>
      </c>
      <c r="J6242" s="455">
        <f t="array" ref="J6242">IFERROR(INDEX('Retirement Calculator'!K:K,MATCH('Lorri 401b'!N6242,'Retirement Calculator'!A:A,0),0),0)</f>
        <v>0</v>
      </c>
      <c r="K6242" s="455">
        <f t="shared" ca="1" si="203"/>
        <v>-323242131350309.38</v>
      </c>
      <c r="L6242" s="455">
        <f t="shared" ca="1" si="204"/>
        <v>-7.790135365542456E+16</v>
      </c>
      <c r="M6242" s="471">
        <f t="shared" si="206"/>
        <v>0.05</v>
      </c>
      <c r="N6242" s="475">
        <f t="shared" si="207"/>
        <v>241031</v>
      </c>
    </row>
    <row r="6243" spans="7:14" ht="11.25" customHeight="1" x14ac:dyDescent="0.3">
      <c r="G6243" s="470"/>
      <c r="H6243" s="470">
        <v>6236</v>
      </c>
      <c r="I6243" s="455">
        <f t="shared" ca="1" si="205"/>
        <v>-7.790135365542456E+16</v>
      </c>
      <c r="J6243" s="455">
        <f t="array" ref="J6243">IFERROR(INDEX('Retirement Calculator'!K:K,MATCH('Lorri 401b'!N6243,'Retirement Calculator'!A:A,0),0),0)</f>
        <v>0</v>
      </c>
      <c r="K6243" s="455">
        <f t="shared" ca="1" si="203"/>
        <v>-324588973564269</v>
      </c>
      <c r="L6243" s="455">
        <f t="shared" ca="1" si="204"/>
        <v>-7.8225942628988832E+16</v>
      </c>
      <c r="M6243" s="471">
        <f t="shared" si="206"/>
        <v>0.05</v>
      </c>
      <c r="N6243" s="475">
        <f t="shared" si="207"/>
        <v>241062</v>
      </c>
    </row>
    <row r="6244" spans="7:14" ht="11.25" customHeight="1" x14ac:dyDescent="0.3">
      <c r="G6244" s="470"/>
      <c r="H6244" s="470">
        <v>6237</v>
      </c>
      <c r="I6244" s="455">
        <f t="shared" ca="1" si="205"/>
        <v>-7.8225942628988832E+16</v>
      </c>
      <c r="J6244" s="455">
        <f t="array" ref="J6244">IFERROR(INDEX('Retirement Calculator'!K:K,MATCH('Lorri 401b'!N6244,'Retirement Calculator'!A:A,0),0),0)</f>
        <v>0</v>
      </c>
      <c r="K6244" s="455">
        <f t="shared" ca="1" si="203"/>
        <v>-325941427620786.81</v>
      </c>
      <c r="L6244" s="455">
        <f t="shared" ca="1" si="204"/>
        <v>-7.8551884056609616E+16</v>
      </c>
      <c r="M6244" s="471">
        <f t="shared" si="206"/>
        <v>0.05</v>
      </c>
      <c r="N6244" s="475">
        <f t="shared" si="207"/>
        <v>241093</v>
      </c>
    </row>
    <row r="6245" spans="7:14" ht="11.25" customHeight="1" x14ac:dyDescent="0.3">
      <c r="G6245" s="470"/>
      <c r="H6245" s="470">
        <v>6238</v>
      </c>
      <c r="I6245" s="455">
        <f t="shared" ca="1" si="205"/>
        <v>-7.8551884056609616E+16</v>
      </c>
      <c r="J6245" s="455">
        <f t="array" ref="J6245">IFERROR(INDEX('Retirement Calculator'!K:K,MATCH('Lorri 401b'!N6245,'Retirement Calculator'!A:A,0),0),0)</f>
        <v>0</v>
      </c>
      <c r="K6245" s="455">
        <f t="shared" ca="1" si="203"/>
        <v>-327299516902540.06</v>
      </c>
      <c r="L6245" s="455">
        <f t="shared" ca="1" si="204"/>
        <v>-7.887918357351216E+16</v>
      </c>
      <c r="M6245" s="471">
        <f t="shared" si="206"/>
        <v>0.05</v>
      </c>
      <c r="N6245" s="475">
        <f t="shared" si="207"/>
        <v>241122</v>
      </c>
    </row>
    <row r="6246" spans="7:14" ht="11.25" customHeight="1" x14ac:dyDescent="0.3">
      <c r="G6246" s="470"/>
      <c r="H6246" s="470">
        <v>6239</v>
      </c>
      <c r="I6246" s="455">
        <f t="shared" ca="1" si="205"/>
        <v>-7.887918357351216E+16</v>
      </c>
      <c r="J6246" s="455">
        <f t="array" ref="J6246">IFERROR(INDEX('Retirement Calculator'!K:K,MATCH('Lorri 401b'!N6246,'Retirement Calculator'!A:A,0),0),0)</f>
        <v>0</v>
      </c>
      <c r="K6246" s="455">
        <f t="shared" ca="1" si="203"/>
        <v>-328663264889634</v>
      </c>
      <c r="L6246" s="455">
        <f t="shared" ca="1" si="204"/>
        <v>-7.9207846838401792E+16</v>
      </c>
      <c r="M6246" s="471">
        <f t="shared" si="206"/>
        <v>0.05</v>
      </c>
      <c r="N6246" s="475">
        <f t="shared" si="207"/>
        <v>241153</v>
      </c>
    </row>
    <row r="6247" spans="7:14" ht="11.25" customHeight="1" x14ac:dyDescent="0.3">
      <c r="G6247" s="470"/>
      <c r="H6247" s="470">
        <v>6240</v>
      </c>
      <c r="I6247" s="455">
        <f t="shared" ca="1" si="205"/>
        <v>-7.9207846838401792E+16</v>
      </c>
      <c r="J6247" s="455">
        <f t="array" ref="J6247">IFERROR(INDEX('Retirement Calculator'!K:K,MATCH('Lorri 401b'!N6247,'Retirement Calculator'!A:A,0),0),0)</f>
        <v>0</v>
      </c>
      <c r="K6247" s="455">
        <f t="shared" ca="1" si="203"/>
        <v>-330032695160007.44</v>
      </c>
      <c r="L6247" s="455">
        <f t="shared" ca="1" si="204"/>
        <v>-7.9537879533561792E+16</v>
      </c>
      <c r="M6247" s="471">
        <f t="shared" si="206"/>
        <v>0.05</v>
      </c>
      <c r="N6247" s="475">
        <f t="shared" si="207"/>
        <v>241183</v>
      </c>
    </row>
    <row r="6248" spans="7:14" ht="11.25" customHeight="1" x14ac:dyDescent="0.3">
      <c r="G6248" s="470"/>
      <c r="H6248" s="470">
        <v>6241</v>
      </c>
      <c r="I6248" s="455">
        <f t="shared" ca="1" si="205"/>
        <v>-7.9537879533561792E+16</v>
      </c>
      <c r="J6248" s="455">
        <f t="array" ref="J6248">IFERROR(INDEX('Retirement Calculator'!K:K,MATCH('Lorri 401b'!N6248,'Retirement Calculator'!A:A,0),0),0)</f>
        <v>0</v>
      </c>
      <c r="K6248" s="455">
        <f t="shared" ca="1" si="203"/>
        <v>-331407831389840.81</v>
      </c>
      <c r="L6248" s="455">
        <f t="shared" ca="1" si="204"/>
        <v>-7.9869287364951632E+16</v>
      </c>
      <c r="M6248" s="471">
        <f t="shared" si="206"/>
        <v>0.05</v>
      </c>
      <c r="N6248" s="475">
        <f t="shared" si="207"/>
        <v>241214</v>
      </c>
    </row>
    <row r="6249" spans="7:14" ht="11.25" customHeight="1" x14ac:dyDescent="0.3">
      <c r="G6249" s="470"/>
      <c r="H6249" s="470">
        <v>6242</v>
      </c>
      <c r="I6249" s="455">
        <f t="shared" ca="1" si="205"/>
        <v>-7.9869287364951632E+16</v>
      </c>
      <c r="J6249" s="455">
        <f t="array" ref="J6249">IFERROR(INDEX('Retirement Calculator'!K:K,MATCH('Lorri 401b'!N6249,'Retirement Calculator'!A:A,0),0),0)</f>
        <v>0</v>
      </c>
      <c r="K6249" s="455">
        <f t="shared" ca="1" si="203"/>
        <v>-332788697353965.13</v>
      </c>
      <c r="L6249" s="455">
        <f t="shared" ca="1" si="204"/>
        <v>-8.02020760623056E+16</v>
      </c>
      <c r="M6249" s="471">
        <f t="shared" si="206"/>
        <v>0.05</v>
      </c>
      <c r="N6249" s="475">
        <f t="shared" si="207"/>
        <v>241244</v>
      </c>
    </row>
    <row r="6250" spans="7:14" ht="11.25" customHeight="1" x14ac:dyDescent="0.3">
      <c r="G6250" s="470"/>
      <c r="H6250" s="470">
        <v>6243</v>
      </c>
      <c r="I6250" s="455">
        <f t="shared" ca="1" si="205"/>
        <v>-8.02020760623056E+16</v>
      </c>
      <c r="J6250" s="455">
        <f t="array" ref="J6250">IFERROR(INDEX('Retirement Calculator'!K:K,MATCH('Lorri 401b'!N6250,'Retirement Calculator'!A:A,0),0),0)</f>
        <v>0</v>
      </c>
      <c r="K6250" s="455">
        <f t="shared" ca="1" si="203"/>
        <v>-334175316926273.31</v>
      </c>
      <c r="L6250" s="455">
        <f t="shared" ca="1" si="204"/>
        <v>-8.0536251379231872E+16</v>
      </c>
      <c r="M6250" s="471">
        <f t="shared" si="206"/>
        <v>0.05</v>
      </c>
      <c r="N6250" s="475">
        <f t="shared" si="207"/>
        <v>241275</v>
      </c>
    </row>
  </sheetData>
  <pageMargins left="0.7" right="0.7" top="0.75" bottom="0.75" header="0" footer="0"/>
  <pageSetup orientation="landscape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M1000"/>
  <sheetViews>
    <sheetView workbookViewId="0"/>
  </sheetViews>
  <sheetFormatPr defaultColWidth="14.44140625" defaultRowHeight="15" customHeight="1" x14ac:dyDescent="0.3"/>
  <cols>
    <col min="1" max="1" width="4" customWidth="1"/>
    <col min="2" max="2" width="5" customWidth="1"/>
    <col min="3" max="3" width="11" customWidth="1"/>
    <col min="4" max="4" width="12" customWidth="1"/>
    <col min="5" max="5" width="11" customWidth="1"/>
    <col min="6" max="6" width="10" customWidth="1"/>
    <col min="7" max="7" width="11" customWidth="1"/>
    <col min="8" max="8" width="10" customWidth="1"/>
    <col min="9" max="11" width="11" customWidth="1"/>
    <col min="12" max="12" width="10" customWidth="1"/>
    <col min="13" max="13" width="12" customWidth="1"/>
  </cols>
  <sheetData>
    <row r="1" spans="1:13" ht="11.25" customHeight="1" x14ac:dyDescent="0.3">
      <c r="A1" s="476"/>
      <c r="B1" s="476"/>
      <c r="C1" s="477" t="s">
        <v>683</v>
      </c>
      <c r="D1" s="477">
        <v>3063</v>
      </c>
      <c r="E1" s="306"/>
      <c r="F1" s="306"/>
      <c r="G1" s="306"/>
      <c r="H1" s="306"/>
      <c r="I1" s="306"/>
      <c r="J1" s="306"/>
      <c r="K1" s="306"/>
      <c r="L1" s="306"/>
      <c r="M1" s="306" t="s">
        <v>684</v>
      </c>
    </row>
    <row r="2" spans="1:13" ht="11.25" customHeight="1" x14ac:dyDescent="0.3">
      <c r="A2" s="476"/>
      <c r="B2" s="476"/>
      <c r="C2" s="477" t="s">
        <v>685</v>
      </c>
      <c r="D2" s="477">
        <v>24</v>
      </c>
      <c r="E2" s="306"/>
      <c r="F2" s="306"/>
      <c r="G2" s="306"/>
      <c r="H2" s="306"/>
      <c r="I2" s="306"/>
      <c r="J2" s="306"/>
      <c r="K2" s="306"/>
      <c r="L2" s="306"/>
      <c r="M2" s="416">
        <v>45442</v>
      </c>
    </row>
    <row r="3" spans="1:13" ht="11.25" customHeight="1" x14ac:dyDescent="0.3">
      <c r="A3" s="476"/>
      <c r="B3" s="476"/>
      <c r="C3" s="477" t="s">
        <v>686</v>
      </c>
      <c r="D3" s="412">
        <f>D1/D2</f>
        <v>127.625</v>
      </c>
      <c r="E3" s="306"/>
      <c r="F3" s="306"/>
      <c r="G3" s="306"/>
      <c r="H3" s="306"/>
      <c r="I3" s="306"/>
      <c r="J3" s="306"/>
      <c r="K3" s="306"/>
      <c r="L3" s="306"/>
      <c r="M3" s="416"/>
    </row>
    <row r="4" spans="1:13" ht="11.25" customHeight="1" x14ac:dyDescent="0.3">
      <c r="A4" s="476"/>
      <c r="B4" s="476"/>
      <c r="C4" s="477"/>
      <c r="D4" s="306"/>
      <c r="E4" s="306"/>
      <c r="F4" s="306"/>
      <c r="G4" s="306"/>
      <c r="H4" s="306"/>
      <c r="I4" s="306"/>
      <c r="J4" s="306"/>
      <c r="K4" s="306"/>
      <c r="L4" s="306"/>
      <c r="M4" s="306"/>
    </row>
    <row r="5" spans="1:13" ht="11.25" customHeight="1" x14ac:dyDescent="0.3">
      <c r="A5" s="476" t="s">
        <v>662</v>
      </c>
      <c r="B5" s="476" t="s">
        <v>676</v>
      </c>
      <c r="C5" s="477" t="s">
        <v>687</v>
      </c>
      <c r="D5" s="561" t="s">
        <v>688</v>
      </c>
      <c r="E5" s="550"/>
      <c r="F5" s="561" t="s">
        <v>689</v>
      </c>
      <c r="G5" s="550"/>
      <c r="H5" s="561" t="s">
        <v>690</v>
      </c>
      <c r="I5" s="550"/>
      <c r="J5" s="561" t="s">
        <v>691</v>
      </c>
      <c r="K5" s="550"/>
      <c r="L5" s="306"/>
      <c r="M5" s="306"/>
    </row>
    <row r="6" spans="1:13" ht="11.25" customHeight="1" x14ac:dyDescent="0.3">
      <c r="A6" s="476"/>
      <c r="B6" s="476"/>
      <c r="C6" s="477"/>
      <c r="D6" s="199" t="s">
        <v>692</v>
      </c>
      <c r="E6" s="199" t="s">
        <v>162</v>
      </c>
      <c r="F6" s="199" t="s">
        <v>692</v>
      </c>
      <c r="G6" s="199" t="s">
        <v>162</v>
      </c>
      <c r="H6" s="199" t="s">
        <v>692</v>
      </c>
      <c r="I6" s="199" t="s">
        <v>162</v>
      </c>
      <c r="J6" s="199" t="s">
        <v>692</v>
      </c>
      <c r="K6" s="199" t="s">
        <v>162</v>
      </c>
      <c r="L6" s="306"/>
      <c r="M6" s="306"/>
    </row>
    <row r="7" spans="1:13" ht="11.25" customHeight="1" x14ac:dyDescent="0.3">
      <c r="A7" s="476">
        <v>42</v>
      </c>
      <c r="B7" s="476">
        <v>2023</v>
      </c>
      <c r="C7" s="477">
        <v>24</v>
      </c>
      <c r="D7" s="478">
        <v>7111.8</v>
      </c>
      <c r="E7" s="479">
        <f>((((D1/D2)*C7)/360)*0.025)*D7</f>
        <v>1512.7391250000001</v>
      </c>
      <c r="F7" s="478">
        <v>8186.1</v>
      </c>
      <c r="G7" s="479">
        <f>((((D1/D2)*C7)/360)*0.025)*F7</f>
        <v>1741.2516875000001</v>
      </c>
      <c r="H7" s="478">
        <v>9248.7000000000007</v>
      </c>
      <c r="I7" s="479">
        <f>((((D1/D2)*C7)/360)*0.025)*H7</f>
        <v>1967.2755625000002</v>
      </c>
      <c r="J7" s="480">
        <v>10205.700000000001</v>
      </c>
      <c r="K7" s="481">
        <f>((((D1/D2)*C7)/360)*0.025)*J7</f>
        <v>2170.8374375000003</v>
      </c>
      <c r="L7" s="306"/>
      <c r="M7" s="306"/>
    </row>
    <row r="8" spans="1:13" ht="11.25" customHeight="1" x14ac:dyDescent="0.3">
      <c r="A8" s="476">
        <v>43</v>
      </c>
      <c r="B8" s="476">
        <v>2024</v>
      </c>
      <c r="C8" s="477">
        <v>25</v>
      </c>
      <c r="D8" s="478">
        <v>7111.8</v>
      </c>
      <c r="E8" s="479">
        <f>((((D1/D2)*C8)/360)*0.025)*D8</f>
        <v>1575.7699218749999</v>
      </c>
      <c r="F8" s="478">
        <v>8186.1</v>
      </c>
      <c r="G8" s="479">
        <f>((((D1/D2)*C8)/360)*0.025)*F8</f>
        <v>1813.8038411458333</v>
      </c>
      <c r="H8" s="478">
        <v>9248.7000000000007</v>
      </c>
      <c r="I8" s="479">
        <f>((((D1/D2)*C8)/360)*0.025)*H8</f>
        <v>2049.2453776041666</v>
      </c>
      <c r="J8" s="480">
        <v>10205.700000000001</v>
      </c>
      <c r="K8" s="481">
        <f>((((D1/D2)*C8)/360)*0.025)*J8</f>
        <v>2261.2889973958336</v>
      </c>
      <c r="L8" s="306"/>
      <c r="M8" s="306"/>
    </row>
    <row r="9" spans="1:13" ht="11.25" customHeight="1" x14ac:dyDescent="0.3">
      <c r="A9" s="476">
        <v>44</v>
      </c>
      <c r="B9" s="476">
        <v>2025</v>
      </c>
      <c r="C9" s="477">
        <v>26</v>
      </c>
      <c r="D9" s="478">
        <v>7111.8</v>
      </c>
      <c r="E9" s="479">
        <f>((((D1/D2)*C9)/360)*0.025)*D9</f>
        <v>1638.8007187500002</v>
      </c>
      <c r="F9" s="478">
        <v>8447.1</v>
      </c>
      <c r="G9" s="479">
        <f>((((D1/D2)*C9)/360)*0.025)*F9</f>
        <v>1946.4992760416669</v>
      </c>
      <c r="H9" s="478">
        <v>9629.7000000000007</v>
      </c>
      <c r="I9" s="479">
        <f>((((D1/D2)*C9)/360)*0.025)*H9</f>
        <v>2219.0105572916668</v>
      </c>
      <c r="J9" s="480">
        <v>10597.2</v>
      </c>
      <c r="K9" s="481">
        <f>((((D1/D2)*C9)/360)*0.025)*J9</f>
        <v>2441.9554791666669</v>
      </c>
      <c r="L9" s="306"/>
      <c r="M9" s="306"/>
    </row>
    <row r="10" spans="1:13" ht="11.25" customHeight="1" x14ac:dyDescent="0.3">
      <c r="A10" s="476">
        <v>45</v>
      </c>
      <c r="B10" s="476">
        <v>2026</v>
      </c>
      <c r="C10" s="477">
        <v>27</v>
      </c>
      <c r="D10" s="478">
        <v>7111.8</v>
      </c>
      <c r="E10" s="479">
        <f>((((D1/D2)*C10)/360)*0.025)*D10</f>
        <v>1701.8315156250003</v>
      </c>
      <c r="F10" s="478">
        <v>8447.1</v>
      </c>
      <c r="G10" s="479">
        <f>((((D1/D2)*C10)/360)*0.025)*F10</f>
        <v>2021.3646328125003</v>
      </c>
      <c r="H10" s="478">
        <v>9629.7000000000007</v>
      </c>
      <c r="I10" s="479">
        <f>((((D1/D2)*C10)/360)*0.025)*H10</f>
        <v>2304.3571171875005</v>
      </c>
      <c r="J10" s="480">
        <v>10597.2</v>
      </c>
      <c r="K10" s="481">
        <f>((((D1/D2)*C10)/360)*0.025)*J10</f>
        <v>2535.8768437500003</v>
      </c>
      <c r="L10" s="306"/>
      <c r="M10" s="306"/>
    </row>
    <row r="11" spans="1:13" ht="11.25" customHeight="1" x14ac:dyDescent="0.3">
      <c r="A11" s="476">
        <v>46</v>
      </c>
      <c r="B11" s="476">
        <v>2027</v>
      </c>
      <c r="C11" s="477">
        <v>28</v>
      </c>
      <c r="D11" s="478">
        <v>7111.8</v>
      </c>
      <c r="E11" s="479">
        <f>((((D1/D2)*C11)/360)*0.025)*D11</f>
        <v>1764.8623125000001</v>
      </c>
      <c r="F11" s="478">
        <v>8447.1</v>
      </c>
      <c r="G11" s="479">
        <f>((((D1/D2)*C11)/360)*0.025)*F11</f>
        <v>2096.2299895833335</v>
      </c>
      <c r="H11" s="478">
        <v>9629.7000000000007</v>
      </c>
      <c r="I11" s="479">
        <f>((((D1/D2)*C11)/360)*0.025)*H11</f>
        <v>2389.7036770833338</v>
      </c>
      <c r="J11" s="480">
        <v>10597.2</v>
      </c>
      <c r="K11" s="481">
        <f>((((D1/D2)*C11)/360)*0.025)*J11</f>
        <v>2629.7982083333336</v>
      </c>
      <c r="L11" s="306"/>
      <c r="M11" s="306"/>
    </row>
    <row r="12" spans="1:13" ht="11.25" customHeight="1" x14ac:dyDescent="0.3">
      <c r="A12" s="476">
        <v>47</v>
      </c>
      <c r="B12" s="476">
        <v>2028</v>
      </c>
      <c r="C12" s="477">
        <v>29</v>
      </c>
      <c r="D12" s="478">
        <v>7111.8</v>
      </c>
      <c r="E12" s="479">
        <f>((((D1/D2)*C12)/360)*0.025)*D12</f>
        <v>1827.8931093750002</v>
      </c>
      <c r="F12" s="478">
        <v>8447.1</v>
      </c>
      <c r="G12" s="479">
        <f>((((D1/D2)*C12)/360)*0.025)*F12</f>
        <v>2171.0953463541668</v>
      </c>
      <c r="H12" s="478">
        <v>9629.7000000000007</v>
      </c>
      <c r="I12" s="479">
        <f>((((D1/D2)*C12)/360)*0.025)*H12</f>
        <v>2475.050236979167</v>
      </c>
      <c r="J12" s="480">
        <v>10597.2</v>
      </c>
      <c r="K12" s="481">
        <f>((((D1/D2)*C12)/360)*0.025)*J12</f>
        <v>2723.7195729166669</v>
      </c>
      <c r="L12" s="306"/>
      <c r="M12" s="306"/>
    </row>
    <row r="13" spans="1:13" ht="11.25" customHeight="1" x14ac:dyDescent="0.3">
      <c r="A13" s="476">
        <v>48</v>
      </c>
      <c r="B13" s="476">
        <v>2029</v>
      </c>
      <c r="C13" s="477">
        <v>30</v>
      </c>
      <c r="D13" s="478">
        <v>7111.8</v>
      </c>
      <c r="E13" s="479">
        <f>((((D1/D2)*C13)/360)*0.025)*D13</f>
        <v>1890.9239062499998</v>
      </c>
      <c r="F13" s="478">
        <v>8447.1</v>
      </c>
      <c r="G13" s="479">
        <f>((((D1/D2)*C13)/360)*0.025)*F13</f>
        <v>2245.9607031249998</v>
      </c>
      <c r="H13" s="478">
        <v>9821.7000000000007</v>
      </c>
      <c r="I13" s="479">
        <f>((((D1/D2)*C13)/360)*0.025)*H13</f>
        <v>2611.446796875</v>
      </c>
      <c r="J13" s="480">
        <v>11128.2</v>
      </c>
      <c r="K13" s="481">
        <f>((((D1/D2)*C13)/360)*0.025)*J13</f>
        <v>2958.8260937499999</v>
      </c>
      <c r="L13" s="306"/>
      <c r="M13" s="306"/>
    </row>
    <row r="14" spans="1:13" ht="11.25" customHeight="1" x14ac:dyDescent="0.3">
      <c r="A14" s="476">
        <v>49</v>
      </c>
      <c r="B14" s="476">
        <v>2030</v>
      </c>
      <c r="C14" s="477">
        <v>31</v>
      </c>
      <c r="D14" s="478">
        <v>7111.8</v>
      </c>
      <c r="E14" s="479">
        <f>((((D1/D2)*C14)/360)*0.025)*D14</f>
        <v>1953.9547031250002</v>
      </c>
      <c r="F14" s="478">
        <v>8447.1</v>
      </c>
      <c r="G14" s="479">
        <f>((((D1/D2)*C14)/360)*0.025)*F14</f>
        <v>2320.8260598958336</v>
      </c>
      <c r="H14" s="478">
        <v>9821.7000000000007</v>
      </c>
      <c r="I14" s="479">
        <f>((((D1/D2)*C14)/360)*0.025)*H14</f>
        <v>2698.4950234375001</v>
      </c>
      <c r="J14" s="480">
        <v>11128.2</v>
      </c>
      <c r="K14" s="481">
        <f>((((D1/D2)*C14)/360)*0.025)*J14</f>
        <v>3057.4536302083338</v>
      </c>
      <c r="L14" s="306"/>
      <c r="M14" s="306"/>
    </row>
    <row r="15" spans="1:13" ht="11.25" customHeight="1" x14ac:dyDescent="0.3">
      <c r="A15" s="476">
        <v>50</v>
      </c>
      <c r="B15" s="476">
        <v>2031</v>
      </c>
      <c r="C15" s="477">
        <v>32</v>
      </c>
      <c r="D15" s="478">
        <v>7111.8</v>
      </c>
      <c r="E15" s="479">
        <f>((((D1/D2)*C15)/360)*0.025)*D15</f>
        <v>2016.9855000000002</v>
      </c>
      <c r="F15" s="478">
        <v>8447.1</v>
      </c>
      <c r="G15" s="479">
        <f>((((D1/D2)*C15)/360)*0.025)*F15</f>
        <v>2395.691416666667</v>
      </c>
      <c r="H15" s="478">
        <v>9821.7000000000007</v>
      </c>
      <c r="I15" s="479">
        <f>((((D1/D2)*C15)/360)*0.025)*H15</f>
        <v>2785.5432500000006</v>
      </c>
      <c r="J15" s="480">
        <v>11128.2</v>
      </c>
      <c r="K15" s="481">
        <f>((((D1/D2)*C15)/360)*0.025)*J15</f>
        <v>3156.0811666666673</v>
      </c>
      <c r="L15" s="306"/>
      <c r="M15" s="306"/>
    </row>
    <row r="16" spans="1:13" ht="11.25" customHeight="1" x14ac:dyDescent="0.3">
      <c r="A16" s="476">
        <v>51</v>
      </c>
      <c r="B16" s="476">
        <v>2032</v>
      </c>
      <c r="C16" s="477">
        <v>33</v>
      </c>
      <c r="D16" s="478">
        <v>7111.8</v>
      </c>
      <c r="E16" s="479">
        <f>((((D1/D2)*C16)/360)*0.025)*D16</f>
        <v>2080.0162968750001</v>
      </c>
      <c r="F16" s="478">
        <v>8447.1</v>
      </c>
      <c r="G16" s="479">
        <f>((((D1/D2)*C16)/360)*0.025)*F16</f>
        <v>2470.5567734374999</v>
      </c>
      <c r="H16" s="478">
        <v>9821.7000000000007</v>
      </c>
      <c r="I16" s="479">
        <f>((((D1/D2)*C16)/360)*0.025)*H16</f>
        <v>2872.5914765625002</v>
      </c>
      <c r="J16" s="480">
        <v>11128.2</v>
      </c>
      <c r="K16" s="481">
        <f>((((D1/D2)*C16)/360)*0.025)*J16</f>
        <v>3254.7087031250003</v>
      </c>
      <c r="L16" s="306"/>
      <c r="M16" s="306"/>
    </row>
    <row r="17" spans="1:11" ht="11.25" customHeight="1" x14ac:dyDescent="0.3">
      <c r="A17" s="476">
        <v>52</v>
      </c>
      <c r="B17" s="476">
        <v>2033</v>
      </c>
      <c r="C17" s="477">
        <v>34</v>
      </c>
      <c r="D17" s="478">
        <v>7111.8</v>
      </c>
      <c r="E17" s="479">
        <f>((((D1/D2)*C17)/360)*0.025)*D17</f>
        <v>2143.0470937500004</v>
      </c>
      <c r="F17" s="478">
        <v>8447.1</v>
      </c>
      <c r="G17" s="479">
        <f>((((D1/D2)*C17)/360)*0.025)*F17</f>
        <v>2545.4221302083338</v>
      </c>
      <c r="H17" s="478">
        <v>9821.7000000000007</v>
      </c>
      <c r="I17" s="479">
        <f>((((D1/D2)*C17)/360)*0.025)*H17</f>
        <v>2959.6397031250003</v>
      </c>
      <c r="J17" s="480">
        <v>11683.5</v>
      </c>
      <c r="K17" s="481">
        <f>((((D1/D2)*C17)/360)*0.025)*J17</f>
        <v>3520.6685677083337</v>
      </c>
    </row>
    <row r="18" spans="1:11" ht="11.25" customHeight="1" x14ac:dyDescent="0.3">
      <c r="A18" s="476">
        <v>53</v>
      </c>
      <c r="B18" s="476">
        <v>2034</v>
      </c>
      <c r="C18" s="477">
        <v>35</v>
      </c>
      <c r="D18" s="478">
        <v>7111.8</v>
      </c>
      <c r="E18" s="479">
        <f>((((D1/D2)*C18)/360)*0.025)*D18</f>
        <v>2206.0778906250002</v>
      </c>
      <c r="F18" s="478">
        <v>8447.1</v>
      </c>
      <c r="G18" s="479">
        <f>((((D1/D2)*C18)/360)*0.025)*F18</f>
        <v>2620.2874869791667</v>
      </c>
      <c r="H18" s="478">
        <v>9821.7000000000007</v>
      </c>
      <c r="I18" s="479">
        <f>((((D1/D2)*C18)/360)*0.025)*H18</f>
        <v>3046.6879296875004</v>
      </c>
      <c r="J18" s="480">
        <v>11683.5</v>
      </c>
      <c r="K18" s="481">
        <f>((((D1/D2)*C18)/360)*0.025)*J18</f>
        <v>3624.2176432291667</v>
      </c>
    </row>
    <row r="19" spans="1:11" ht="11.25" customHeight="1" x14ac:dyDescent="0.3">
      <c r="A19" s="476">
        <v>54</v>
      </c>
      <c r="B19" s="476">
        <v>2035</v>
      </c>
      <c r="C19" s="477">
        <v>36</v>
      </c>
      <c r="D19" s="478">
        <v>7111.8</v>
      </c>
      <c r="E19" s="479">
        <f>((((D1/D2)*C19)/360)*0.025)*D19</f>
        <v>2269.1086875000001</v>
      </c>
      <c r="F19" s="478">
        <v>8447.1</v>
      </c>
      <c r="G19" s="479">
        <f>((((D1/D2)*C19)/360)*0.025)*F19</f>
        <v>2695.1528437500006</v>
      </c>
      <c r="H19" s="478">
        <v>9821.7000000000007</v>
      </c>
      <c r="I19" s="479">
        <f>((((D1/D2)*C19)/360)*0.025)*H19</f>
        <v>3133.7361562500005</v>
      </c>
      <c r="J19" s="480">
        <v>11683.5</v>
      </c>
      <c r="K19" s="481">
        <f>((((D1/D2)*C19)/360)*0.025)*J19</f>
        <v>3727.7667187500001</v>
      </c>
    </row>
    <row r="20" spans="1:11" ht="11.25" customHeight="1" x14ac:dyDescent="0.3">
      <c r="A20" s="476">
        <v>55</v>
      </c>
      <c r="B20" s="476">
        <v>2036</v>
      </c>
      <c r="C20" s="477">
        <v>37</v>
      </c>
      <c r="D20" s="478">
        <v>7111.8</v>
      </c>
      <c r="E20" s="479">
        <f>((((D1/D2)*C20)/360)*0.025)*D20</f>
        <v>2332.1394843750004</v>
      </c>
      <c r="F20" s="478">
        <v>8447.1</v>
      </c>
      <c r="G20" s="479">
        <f>((((D1/D2)*C20)/360)*0.025)*F20</f>
        <v>2770.0182005208339</v>
      </c>
      <c r="H20" s="478">
        <v>9821.7000000000007</v>
      </c>
      <c r="I20" s="479">
        <f>((((D1/D2)*C20)/360)*0.025)*H20</f>
        <v>3220.7843828125006</v>
      </c>
      <c r="J20" s="480">
        <v>11683.5</v>
      </c>
      <c r="K20" s="481">
        <f>((((D1/D2)*C20)/360)*0.025)*J20</f>
        <v>3831.315794270834</v>
      </c>
    </row>
    <row r="21" spans="1:11" ht="11.25" customHeight="1" x14ac:dyDescent="0.3">
      <c r="A21" s="476">
        <v>56</v>
      </c>
      <c r="B21" s="476">
        <v>2037</v>
      </c>
      <c r="C21" s="477">
        <v>38</v>
      </c>
      <c r="D21" s="478">
        <v>7111.8</v>
      </c>
      <c r="E21" s="479">
        <f>((((D1/D2)*C21)/360)*0.025)*D21</f>
        <v>2395.1702812500002</v>
      </c>
      <c r="F21" s="478">
        <v>8447.1</v>
      </c>
      <c r="G21" s="479">
        <f>((((D1/D2)*C21)/360)*0.025)*F21</f>
        <v>2844.8835572916669</v>
      </c>
      <c r="H21" s="478">
        <v>9821.7000000000007</v>
      </c>
      <c r="I21" s="479">
        <f>((((D1/D2)*C21)/360)*0.025)*H21</f>
        <v>3307.8326093750006</v>
      </c>
      <c r="J21" s="480">
        <v>12269.1</v>
      </c>
      <c r="K21" s="481">
        <f>((((D1/D2)*C21)/360)*0.025)*J21</f>
        <v>4132.0880364583336</v>
      </c>
    </row>
    <row r="22" spans="1:11" ht="11.25" customHeight="1" x14ac:dyDescent="0.3">
      <c r="A22" s="476">
        <v>57</v>
      </c>
      <c r="B22" s="476">
        <v>2038</v>
      </c>
      <c r="C22" s="477">
        <v>39</v>
      </c>
      <c r="D22" s="478">
        <v>7111.8</v>
      </c>
      <c r="E22" s="479">
        <f>((((D1/D2)*C22)/360)*0.025)*D22</f>
        <v>2458.2010781250005</v>
      </c>
      <c r="F22" s="478">
        <v>8447.1</v>
      </c>
      <c r="G22" s="479">
        <f>((((D1/D2)*C22)/360)*0.025)*F22</f>
        <v>2919.7489140625007</v>
      </c>
      <c r="H22" s="478">
        <v>9821.7000000000007</v>
      </c>
      <c r="I22" s="479">
        <f>((((D1/D2)*C22)/360)*0.025)*H22</f>
        <v>3394.8808359375007</v>
      </c>
      <c r="J22" s="480">
        <v>12269.1</v>
      </c>
      <c r="K22" s="481">
        <f>((((D1/D2)*C22)/360)*0.025)*J22</f>
        <v>4240.8271953125004</v>
      </c>
    </row>
    <row r="23" spans="1:11" ht="11.25" customHeight="1" x14ac:dyDescent="0.3">
      <c r="A23" s="476">
        <v>58</v>
      </c>
      <c r="B23" s="476">
        <v>2039</v>
      </c>
      <c r="C23" s="477">
        <v>40</v>
      </c>
      <c r="D23" s="478">
        <v>7111.8</v>
      </c>
      <c r="E23" s="482">
        <f>((((D1/D2)*C23)/360)*0.025)*D23</f>
        <v>2521.2318750000004</v>
      </c>
      <c r="F23" s="478">
        <v>8447.1</v>
      </c>
      <c r="G23" s="482">
        <f>((((D1/D2)*C23)/360)*0.025)*F23</f>
        <v>2994.6142708333336</v>
      </c>
      <c r="H23" s="478">
        <v>9821.7000000000007</v>
      </c>
      <c r="I23" s="482">
        <f>((((D1/D2)*C23)/360)*0.025)*H23</f>
        <v>3481.9290625000003</v>
      </c>
      <c r="J23" s="480">
        <v>12269.1</v>
      </c>
      <c r="K23" s="483">
        <f>((((D1/D2)*C23)/360)*0.025)*J23</f>
        <v>4349.5663541666672</v>
      </c>
    </row>
    <row r="24" spans="1:11" ht="11.25" customHeight="1" x14ac:dyDescent="0.3">
      <c r="A24" s="476">
        <v>59</v>
      </c>
      <c r="B24" s="476">
        <v>2040</v>
      </c>
      <c r="C24" s="477">
        <v>41</v>
      </c>
      <c r="D24" s="478">
        <v>7111.8</v>
      </c>
      <c r="E24" s="482">
        <f>((((D1/D2)*C24)/360)*0.025)*D24</f>
        <v>2584.2626718749998</v>
      </c>
      <c r="F24" s="478">
        <v>8447.1</v>
      </c>
      <c r="G24" s="482">
        <f>((((D1/D2)*C24)/360)*0.025)*F24</f>
        <v>3069.4796276041666</v>
      </c>
      <c r="H24" s="478">
        <v>9821.7000000000007</v>
      </c>
      <c r="I24" s="482">
        <f>((((D1/D2)*C24)/360)*0.025)*H24</f>
        <v>3568.9772890624999</v>
      </c>
      <c r="J24" s="480">
        <v>12269.1</v>
      </c>
      <c r="K24" s="483">
        <f>((((D1/D2)*C24)/360)*0.025)*J24</f>
        <v>4458.3055130208331</v>
      </c>
    </row>
    <row r="25" spans="1:11" ht="11.25" customHeight="1" x14ac:dyDescent="0.3">
      <c r="A25" s="476">
        <v>60</v>
      </c>
      <c r="B25" s="476">
        <v>2041</v>
      </c>
      <c r="C25" s="477">
        <v>42</v>
      </c>
      <c r="D25" s="478">
        <v>7111.8</v>
      </c>
      <c r="E25" s="479">
        <f>((((D1/D2)*C25)/360)*0.025)*D25</f>
        <v>2647.2934687500001</v>
      </c>
      <c r="F25" s="478">
        <v>8447.1</v>
      </c>
      <c r="G25" s="479">
        <f>((((D1/D2)*C25)/360)*0.025)*F25</f>
        <v>3144.3449843750004</v>
      </c>
      <c r="H25" s="478">
        <v>9821.7000000000007</v>
      </c>
      <c r="I25" s="479">
        <f>((((D1/D2)*C25)/360)*0.025)*H25</f>
        <v>3656.0255156250005</v>
      </c>
      <c r="J25" s="480">
        <v>12269.1</v>
      </c>
      <c r="K25" s="481">
        <f>((((D1/D2)*C25)/360)*0.025)*J25</f>
        <v>4567.0446718749999</v>
      </c>
    </row>
    <row r="26" spans="1:11" ht="11.25" customHeight="1" x14ac:dyDescent="0.3">
      <c r="A26" s="476">
        <v>61</v>
      </c>
      <c r="B26" s="476">
        <v>2042</v>
      </c>
      <c r="C26" s="477">
        <v>43</v>
      </c>
      <c r="D26" s="478">
        <v>7111.8</v>
      </c>
      <c r="E26" s="479">
        <f>((((D1/D2)*C26)/360)*0.025)*D26</f>
        <v>2710.3242656250004</v>
      </c>
      <c r="F26" s="478">
        <v>8447.1</v>
      </c>
      <c r="G26" s="479">
        <f>((((D1/D2)*C26)/360)*0.025)*F26</f>
        <v>3219.2103411458338</v>
      </c>
      <c r="H26" s="478">
        <v>9821.7000000000007</v>
      </c>
      <c r="I26" s="479">
        <f>((((D1/D2)*C26)/360)*0.025)*H26</f>
        <v>3743.0737421875006</v>
      </c>
      <c r="J26" s="480">
        <v>12269.1</v>
      </c>
      <c r="K26" s="481">
        <f>((((D1/D2)*C26)/360)*0.025)*J26</f>
        <v>4675.7838307291677</v>
      </c>
    </row>
    <row r="27" spans="1:11" ht="11.25" customHeight="1" x14ac:dyDescent="0.3">
      <c r="A27" s="476">
        <v>62</v>
      </c>
      <c r="B27" s="476">
        <v>2043</v>
      </c>
      <c r="C27" s="477">
        <v>44</v>
      </c>
      <c r="D27" s="478">
        <v>7111.8</v>
      </c>
      <c r="E27" s="479">
        <f>((((D1/D2)*C27)/360)*0.025)*D27</f>
        <v>2773.3550625000003</v>
      </c>
      <c r="F27" s="478">
        <v>8447.1</v>
      </c>
      <c r="G27" s="479">
        <f>((((D1/D2)*C27)/360)*0.025)*F27</f>
        <v>3294.0756979166667</v>
      </c>
      <c r="H27" s="478">
        <v>9821.7000000000007</v>
      </c>
      <c r="I27" s="479">
        <f>((((D1/D2)*C27)/360)*0.025)*H27</f>
        <v>3830.1219687500002</v>
      </c>
      <c r="J27" s="480">
        <v>12269.1</v>
      </c>
      <c r="K27" s="481">
        <f>((((D1/D2)*C27)/360)*0.025)*J27</f>
        <v>4784.5229895833336</v>
      </c>
    </row>
    <row r="28" spans="1:11" ht="15.75" customHeight="1" x14ac:dyDescent="0.3"/>
    <row r="29" spans="1:11" ht="15.75" customHeight="1" x14ac:dyDescent="0.3"/>
    <row r="30" spans="1:11" ht="15.75" customHeight="1" x14ac:dyDescent="0.3"/>
    <row r="31" spans="1:11" ht="15.75" customHeight="1" x14ac:dyDescent="0.3"/>
    <row r="32" spans="1:11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4">
    <mergeCell ref="D5:E5"/>
    <mergeCell ref="F5:G5"/>
    <mergeCell ref="H5:I5"/>
    <mergeCell ref="J5:K5"/>
  </mergeCells>
  <pageMargins left="0.7" right="0.7" top="0.75" bottom="0.75" header="0" footer="0"/>
  <pageSetup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000"/>
  <sheetViews>
    <sheetView workbookViewId="0"/>
  </sheetViews>
  <sheetFormatPr defaultColWidth="14.44140625" defaultRowHeight="15" customHeight="1" x14ac:dyDescent="0.3"/>
  <cols>
    <col min="1" max="1" width="25.5546875" customWidth="1"/>
    <col min="2" max="2" width="26.5546875" customWidth="1"/>
    <col min="3" max="3" width="18.33203125" customWidth="1"/>
    <col min="4" max="4" width="5" customWidth="1"/>
    <col min="5" max="5" width="65.88671875" customWidth="1"/>
    <col min="6" max="6" width="13.109375" customWidth="1"/>
    <col min="7" max="7" width="8" customWidth="1"/>
    <col min="8" max="8" width="9.109375" customWidth="1"/>
  </cols>
  <sheetData>
    <row r="1" spans="1:8" ht="11.25" customHeight="1" x14ac:dyDescent="0.3">
      <c r="A1" s="484"/>
      <c r="B1" s="484" t="s">
        <v>693</v>
      </c>
      <c r="C1" s="484" t="s">
        <v>694</v>
      </c>
      <c r="D1" s="484" t="s">
        <v>695</v>
      </c>
      <c r="E1" s="484" t="s">
        <v>696</v>
      </c>
      <c r="F1" s="484" t="s">
        <v>697</v>
      </c>
      <c r="G1" s="484"/>
      <c r="H1" s="484"/>
    </row>
    <row r="2" spans="1:8" ht="11.25" customHeight="1" x14ac:dyDescent="0.3">
      <c r="A2" s="484" t="s">
        <v>698</v>
      </c>
      <c r="B2" s="306" t="s">
        <v>699</v>
      </c>
      <c r="C2" s="484" t="s">
        <v>700</v>
      </c>
      <c r="D2" s="484"/>
      <c r="E2" s="484" t="s">
        <v>701</v>
      </c>
      <c r="F2" s="484"/>
      <c r="G2" s="484"/>
      <c r="H2" s="484"/>
    </row>
    <row r="3" spans="1:8" ht="11.25" customHeight="1" x14ac:dyDescent="0.3">
      <c r="A3" s="484" t="s">
        <v>702</v>
      </c>
      <c r="B3" s="484" t="s">
        <v>703</v>
      </c>
      <c r="C3" s="484" t="s">
        <v>704</v>
      </c>
      <c r="D3" s="484"/>
      <c r="E3" s="484"/>
      <c r="F3" s="484"/>
      <c r="G3" s="484"/>
      <c r="H3" s="484"/>
    </row>
    <row r="4" spans="1:8" ht="11.25" customHeight="1" x14ac:dyDescent="0.3">
      <c r="A4" s="484" t="s">
        <v>705</v>
      </c>
      <c r="B4" s="485" t="s">
        <v>706</v>
      </c>
      <c r="C4" s="484" t="s">
        <v>707</v>
      </c>
      <c r="D4" s="484"/>
      <c r="E4" s="484" t="s">
        <v>708</v>
      </c>
      <c r="F4" s="484"/>
      <c r="G4" s="484"/>
      <c r="H4" s="484"/>
    </row>
    <row r="5" spans="1:8" ht="11.25" customHeight="1" x14ac:dyDescent="0.3">
      <c r="A5" s="484" t="s">
        <v>705</v>
      </c>
      <c r="B5" s="484" t="s">
        <v>709</v>
      </c>
      <c r="C5" s="484" t="s">
        <v>710</v>
      </c>
      <c r="D5" s="484"/>
      <c r="E5" s="484" t="s">
        <v>708</v>
      </c>
      <c r="F5" s="484"/>
      <c r="G5" s="484"/>
      <c r="H5" s="484"/>
    </row>
    <row r="6" spans="1:8" ht="11.25" customHeight="1" x14ac:dyDescent="0.3">
      <c r="A6" s="484" t="s">
        <v>639</v>
      </c>
      <c r="B6" s="484" t="s">
        <v>711</v>
      </c>
      <c r="C6" s="484" t="s">
        <v>712</v>
      </c>
      <c r="D6" s="484"/>
      <c r="E6" s="306" t="s">
        <v>713</v>
      </c>
      <c r="F6" s="484"/>
      <c r="G6" s="484"/>
      <c r="H6" s="484"/>
    </row>
    <row r="7" spans="1:8" ht="11.25" customHeight="1" x14ac:dyDescent="0.3">
      <c r="A7" s="484" t="s">
        <v>185</v>
      </c>
      <c r="B7" s="484" t="s">
        <v>714</v>
      </c>
      <c r="C7" s="484" t="s">
        <v>715</v>
      </c>
      <c r="D7" s="484"/>
      <c r="E7" s="484" t="s">
        <v>716</v>
      </c>
      <c r="F7" s="484"/>
      <c r="G7" s="484"/>
      <c r="H7" s="484"/>
    </row>
    <row r="8" spans="1:8" ht="11.25" customHeight="1" x14ac:dyDescent="0.3">
      <c r="A8" s="484" t="s">
        <v>185</v>
      </c>
      <c r="B8" s="484" t="s">
        <v>706</v>
      </c>
      <c r="C8" s="484" t="s">
        <v>717</v>
      </c>
      <c r="D8" s="484"/>
      <c r="E8" s="484"/>
      <c r="F8" s="484"/>
      <c r="G8" s="484"/>
      <c r="H8" s="484"/>
    </row>
    <row r="9" spans="1:8" ht="11.25" customHeight="1" x14ac:dyDescent="0.3">
      <c r="A9" s="484" t="s">
        <v>718</v>
      </c>
      <c r="B9" s="306" t="s">
        <v>719</v>
      </c>
      <c r="C9" s="484" t="s">
        <v>717</v>
      </c>
      <c r="D9" s="484"/>
      <c r="E9" s="484" t="s">
        <v>720</v>
      </c>
      <c r="F9" s="484"/>
      <c r="G9" s="484"/>
      <c r="H9" s="484"/>
    </row>
    <row r="10" spans="1:8" ht="11.25" customHeight="1" x14ac:dyDescent="0.3">
      <c r="A10" s="484" t="s">
        <v>721</v>
      </c>
      <c r="B10" s="484" t="s">
        <v>710</v>
      </c>
      <c r="C10" s="486" t="s">
        <v>722</v>
      </c>
      <c r="D10" s="486"/>
      <c r="E10" s="306" t="s">
        <v>723</v>
      </c>
      <c r="F10" s="484"/>
      <c r="G10" s="484"/>
      <c r="H10" s="484"/>
    </row>
    <row r="11" spans="1:8" ht="11.25" customHeight="1" x14ac:dyDescent="0.3">
      <c r="A11" s="484" t="s">
        <v>724</v>
      </c>
      <c r="B11" s="485" t="s">
        <v>725</v>
      </c>
      <c r="C11" s="484" t="s">
        <v>726</v>
      </c>
      <c r="D11" s="484"/>
      <c r="E11" s="487" t="s">
        <v>727</v>
      </c>
      <c r="F11" s="484"/>
      <c r="G11" s="484" t="s">
        <v>728</v>
      </c>
      <c r="H11" s="484" t="s">
        <v>729</v>
      </c>
    </row>
    <row r="12" spans="1:8" ht="11.25" customHeight="1" x14ac:dyDescent="0.3">
      <c r="A12" s="484" t="s">
        <v>730</v>
      </c>
      <c r="B12" s="484" t="s">
        <v>731</v>
      </c>
      <c r="C12" s="484" t="s">
        <v>732</v>
      </c>
      <c r="D12" s="484"/>
      <c r="E12" s="484" t="s">
        <v>733</v>
      </c>
      <c r="F12" s="484"/>
      <c r="G12" s="484"/>
      <c r="H12" s="484"/>
    </row>
    <row r="13" spans="1:8" ht="11.25" customHeight="1" x14ac:dyDescent="0.3">
      <c r="A13" s="484" t="s">
        <v>356</v>
      </c>
      <c r="B13" s="306" t="s">
        <v>699</v>
      </c>
      <c r="C13" s="484" t="s">
        <v>729</v>
      </c>
      <c r="D13" s="484"/>
      <c r="E13" s="485" t="s">
        <v>734</v>
      </c>
      <c r="F13" s="484"/>
      <c r="G13" s="484"/>
      <c r="H13" s="484"/>
    </row>
    <row r="14" spans="1:8" ht="11.25" customHeight="1" x14ac:dyDescent="0.3">
      <c r="A14" s="484" t="s">
        <v>735</v>
      </c>
      <c r="B14" s="484" t="s">
        <v>706</v>
      </c>
      <c r="C14" s="484" t="s">
        <v>707</v>
      </c>
      <c r="D14" s="484"/>
      <c r="E14" s="488" t="s">
        <v>736</v>
      </c>
      <c r="F14" s="484"/>
      <c r="G14" s="484"/>
      <c r="H14" s="484"/>
    </row>
    <row r="15" spans="1:8" ht="11.25" customHeight="1" x14ac:dyDescent="0.3">
      <c r="A15" s="484" t="s">
        <v>737</v>
      </c>
      <c r="B15" s="484" t="s">
        <v>738</v>
      </c>
      <c r="C15" s="484" t="s">
        <v>739</v>
      </c>
      <c r="D15" s="484"/>
      <c r="E15" s="306" t="s">
        <v>740</v>
      </c>
      <c r="F15" s="484"/>
      <c r="G15" s="484"/>
      <c r="H15" s="484"/>
    </row>
    <row r="16" spans="1:8" ht="11.25" customHeight="1" x14ac:dyDescent="0.3">
      <c r="A16" s="484" t="s">
        <v>741</v>
      </c>
      <c r="B16" s="306" t="s">
        <v>699</v>
      </c>
      <c r="C16" s="484" t="s">
        <v>715</v>
      </c>
      <c r="D16" s="484"/>
      <c r="E16" s="484"/>
      <c r="F16" s="484"/>
      <c r="G16" s="484"/>
      <c r="H16" s="484"/>
    </row>
    <row r="17" spans="1:8" ht="11.25" customHeight="1" x14ac:dyDescent="0.3">
      <c r="A17" s="484" t="s">
        <v>742</v>
      </c>
      <c r="B17" s="485" t="s">
        <v>743</v>
      </c>
      <c r="C17" s="484" t="s">
        <v>715</v>
      </c>
      <c r="D17" s="484"/>
      <c r="E17" s="484"/>
      <c r="F17" s="484"/>
      <c r="G17" s="484"/>
      <c r="H17" s="484"/>
    </row>
    <row r="18" spans="1:8" ht="11.25" customHeight="1" x14ac:dyDescent="0.3">
      <c r="A18" s="484" t="s">
        <v>744</v>
      </c>
      <c r="B18" s="484" t="s">
        <v>706</v>
      </c>
      <c r="C18" s="484" t="s">
        <v>745</v>
      </c>
      <c r="D18" s="484"/>
      <c r="E18" s="484" t="s">
        <v>746</v>
      </c>
      <c r="F18" s="484"/>
      <c r="G18" s="484"/>
      <c r="H18" s="484"/>
    </row>
    <row r="19" spans="1:8" ht="11.25" customHeight="1" x14ac:dyDescent="0.3">
      <c r="A19" s="484" t="s">
        <v>747</v>
      </c>
      <c r="B19" s="485" t="s">
        <v>703</v>
      </c>
      <c r="C19" s="484" t="s">
        <v>748</v>
      </c>
      <c r="D19" s="484"/>
      <c r="E19" s="487" t="s">
        <v>749</v>
      </c>
      <c r="F19" s="484"/>
      <c r="G19" s="484"/>
      <c r="H19" s="484"/>
    </row>
    <row r="20" spans="1:8" ht="11.25" customHeight="1" x14ac:dyDescent="0.3">
      <c r="A20" s="484" t="s">
        <v>750</v>
      </c>
      <c r="B20" s="484" t="s">
        <v>706</v>
      </c>
      <c r="C20" s="484" t="s">
        <v>748</v>
      </c>
      <c r="D20" s="484"/>
      <c r="E20" s="484" t="s">
        <v>749</v>
      </c>
      <c r="F20" s="484"/>
      <c r="G20" s="484"/>
      <c r="H20" s="484"/>
    </row>
    <row r="21" spans="1:8" ht="11.25" customHeight="1" x14ac:dyDescent="0.3">
      <c r="A21" s="484" t="s">
        <v>751</v>
      </c>
      <c r="B21" s="485" t="s">
        <v>703</v>
      </c>
      <c r="C21" s="484" t="s">
        <v>752</v>
      </c>
      <c r="D21" s="484" t="s">
        <v>753</v>
      </c>
      <c r="E21" s="484"/>
      <c r="F21" s="484"/>
      <c r="G21" s="484"/>
      <c r="H21" s="484"/>
    </row>
    <row r="22" spans="1:8" ht="11.25" customHeight="1" x14ac:dyDescent="0.3">
      <c r="A22" s="484" t="s">
        <v>751</v>
      </c>
      <c r="B22" s="484" t="s">
        <v>754</v>
      </c>
      <c r="C22" s="484" t="s">
        <v>755</v>
      </c>
      <c r="D22" s="484" t="s">
        <v>756</v>
      </c>
      <c r="E22" s="484"/>
      <c r="F22" s="484"/>
      <c r="G22" s="484"/>
      <c r="H22" s="484"/>
    </row>
    <row r="23" spans="1:8" ht="11.25" customHeight="1" x14ac:dyDescent="0.3">
      <c r="A23" s="484" t="s">
        <v>757</v>
      </c>
      <c r="B23" s="484" t="s">
        <v>703</v>
      </c>
      <c r="C23" s="484" t="s">
        <v>715</v>
      </c>
      <c r="D23" s="484"/>
      <c r="E23" s="484"/>
      <c r="F23" s="484"/>
      <c r="G23" s="484"/>
      <c r="H23" s="484"/>
    </row>
    <row r="24" spans="1:8" ht="11.25" customHeight="1" x14ac:dyDescent="0.3">
      <c r="A24" s="484" t="s">
        <v>758</v>
      </c>
      <c r="B24" s="484" t="s">
        <v>759</v>
      </c>
      <c r="C24" s="484" t="s">
        <v>707</v>
      </c>
      <c r="D24" s="484"/>
      <c r="E24" s="306" t="s">
        <v>760</v>
      </c>
      <c r="F24" s="484"/>
      <c r="G24" s="484"/>
      <c r="H24" s="484"/>
    </row>
    <row r="25" spans="1:8" ht="11.25" customHeight="1" x14ac:dyDescent="0.3">
      <c r="A25" s="484" t="s">
        <v>97</v>
      </c>
      <c r="B25" s="484" t="s">
        <v>731</v>
      </c>
      <c r="C25" s="484" t="s">
        <v>761</v>
      </c>
      <c r="D25" s="484"/>
      <c r="E25" s="484" t="s">
        <v>762</v>
      </c>
      <c r="F25" s="484"/>
      <c r="G25" s="484"/>
      <c r="H25" s="484"/>
    </row>
    <row r="26" spans="1:8" ht="11.25" customHeight="1" x14ac:dyDescent="0.3">
      <c r="A26" s="484" t="s">
        <v>763</v>
      </c>
      <c r="B26" s="484" t="s">
        <v>706</v>
      </c>
      <c r="C26" s="484" t="s">
        <v>729</v>
      </c>
      <c r="D26" s="484"/>
      <c r="E26" s="484"/>
      <c r="F26" s="484" t="s">
        <v>764</v>
      </c>
      <c r="G26" s="484" t="s">
        <v>765</v>
      </c>
      <c r="H26" s="484"/>
    </row>
    <row r="27" spans="1:8" ht="11.25" customHeight="1" x14ac:dyDescent="0.3">
      <c r="A27" s="484" t="s">
        <v>766</v>
      </c>
      <c r="B27" s="484" t="s">
        <v>706</v>
      </c>
      <c r="C27" s="484" t="s">
        <v>707</v>
      </c>
      <c r="D27" s="486">
        <v>1116</v>
      </c>
      <c r="E27" s="306" t="s">
        <v>767</v>
      </c>
      <c r="F27" s="484"/>
      <c r="G27" s="484"/>
      <c r="H27" s="484"/>
    </row>
    <row r="28" spans="1:8" ht="11.25" customHeight="1" x14ac:dyDescent="0.3">
      <c r="A28" s="484" t="s">
        <v>768</v>
      </c>
      <c r="B28" s="486">
        <v>4403872289</v>
      </c>
      <c r="C28" s="484" t="s">
        <v>707</v>
      </c>
      <c r="D28" s="484"/>
      <c r="E28" s="484" t="s">
        <v>769</v>
      </c>
      <c r="F28" s="484"/>
      <c r="G28" s="484"/>
      <c r="H28" s="484"/>
    </row>
    <row r="29" spans="1:8" ht="11.25" customHeight="1" x14ac:dyDescent="0.3">
      <c r="A29" s="484" t="s">
        <v>770</v>
      </c>
      <c r="B29" s="306" t="s">
        <v>699</v>
      </c>
      <c r="C29" s="484" t="s">
        <v>715</v>
      </c>
      <c r="D29" s="484"/>
      <c r="E29" s="306" t="s">
        <v>771</v>
      </c>
      <c r="F29" s="484" t="s">
        <v>772</v>
      </c>
      <c r="G29" s="484" t="s">
        <v>773</v>
      </c>
      <c r="H29" s="484"/>
    </row>
    <row r="30" spans="1:8" ht="11.25" customHeight="1" x14ac:dyDescent="0.3">
      <c r="A30" s="484" t="s">
        <v>774</v>
      </c>
      <c r="B30" s="484" t="s">
        <v>731</v>
      </c>
      <c r="C30" s="484" t="s">
        <v>775</v>
      </c>
      <c r="D30" s="484"/>
      <c r="E30" s="484"/>
      <c r="F30" s="484"/>
      <c r="G30" s="484"/>
      <c r="H30" s="484"/>
    </row>
    <row r="31" spans="1:8" ht="11.25" customHeight="1" x14ac:dyDescent="0.3">
      <c r="A31" s="484" t="s">
        <v>776</v>
      </c>
      <c r="B31" s="484" t="s">
        <v>706</v>
      </c>
      <c r="C31" s="484" t="s">
        <v>707</v>
      </c>
      <c r="D31" s="484"/>
      <c r="E31" s="484"/>
      <c r="F31" s="484"/>
      <c r="G31" s="484"/>
      <c r="H31" s="484"/>
    </row>
    <row r="32" spans="1:8" ht="11.25" customHeight="1" x14ac:dyDescent="0.3">
      <c r="A32" s="484" t="s">
        <v>777</v>
      </c>
      <c r="B32" s="484" t="s">
        <v>706</v>
      </c>
      <c r="C32" s="484" t="s">
        <v>729</v>
      </c>
      <c r="D32" s="484"/>
      <c r="E32" s="484"/>
      <c r="F32" s="484"/>
      <c r="G32" s="484"/>
      <c r="H32" s="484"/>
    </row>
    <row r="33" spans="1:8" ht="11.25" customHeight="1" x14ac:dyDescent="0.3">
      <c r="A33" s="484" t="s">
        <v>778</v>
      </c>
      <c r="B33" s="487" t="s">
        <v>779</v>
      </c>
      <c r="C33" s="484" t="s">
        <v>729</v>
      </c>
      <c r="D33" s="484"/>
      <c r="E33" s="484"/>
      <c r="F33" s="484"/>
      <c r="G33" s="484"/>
      <c r="H33" s="484"/>
    </row>
    <row r="34" spans="1:8" ht="11.25" customHeight="1" x14ac:dyDescent="0.3">
      <c r="A34" s="484" t="s">
        <v>780</v>
      </c>
      <c r="B34" s="484" t="s">
        <v>781</v>
      </c>
      <c r="C34" s="484"/>
      <c r="D34" s="484"/>
      <c r="E34" s="484"/>
      <c r="F34" s="484"/>
      <c r="G34" s="484"/>
      <c r="H34" s="484"/>
    </row>
    <row r="35" spans="1:8" ht="11.25" customHeight="1" x14ac:dyDescent="0.3">
      <c r="A35" s="484"/>
      <c r="B35" s="484"/>
      <c r="C35" s="484"/>
      <c r="D35" s="484"/>
      <c r="E35" s="484"/>
      <c r="F35" s="484"/>
      <c r="G35" s="484"/>
      <c r="H35" s="484"/>
    </row>
    <row r="36" spans="1:8" ht="11.25" customHeight="1" x14ac:dyDescent="0.3">
      <c r="A36" s="484"/>
      <c r="B36" s="484"/>
      <c r="C36" s="484"/>
      <c r="D36" s="484"/>
      <c r="E36" s="484"/>
      <c r="F36" s="484" t="s">
        <v>782</v>
      </c>
      <c r="G36" s="484"/>
      <c r="H36" s="484"/>
    </row>
    <row r="37" spans="1:8" ht="15.75" customHeight="1" x14ac:dyDescent="0.3"/>
    <row r="38" spans="1:8" ht="15.75" customHeight="1" x14ac:dyDescent="0.3"/>
    <row r="39" spans="1:8" ht="15.75" customHeight="1" x14ac:dyDescent="0.3"/>
    <row r="40" spans="1:8" ht="15.75" customHeight="1" x14ac:dyDescent="0.3"/>
    <row r="41" spans="1:8" ht="15.75" customHeight="1" x14ac:dyDescent="0.3"/>
    <row r="42" spans="1:8" ht="15.75" customHeight="1" x14ac:dyDescent="0.3"/>
    <row r="43" spans="1:8" ht="15.75" customHeight="1" x14ac:dyDescent="0.3"/>
    <row r="44" spans="1:8" ht="15.75" customHeight="1" x14ac:dyDescent="0.3"/>
    <row r="45" spans="1:8" ht="15.75" customHeight="1" x14ac:dyDescent="0.3"/>
    <row r="46" spans="1:8" ht="15.75" customHeight="1" x14ac:dyDescent="0.3"/>
    <row r="47" spans="1:8" ht="15.75" customHeight="1" x14ac:dyDescent="0.3"/>
    <row r="48" spans="1: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B4" r:id="rId1" xr:uid="{00000000-0004-0000-0F00-000000000000}"/>
    <hyperlink ref="B11" r:id="rId2" xr:uid="{00000000-0004-0000-0F00-000001000000}"/>
    <hyperlink ref="E11" r:id="rId3" xr:uid="{00000000-0004-0000-0F00-000002000000}"/>
    <hyperlink ref="E13" r:id="rId4" xr:uid="{00000000-0004-0000-0F00-000003000000}"/>
    <hyperlink ref="E14" r:id="rId5" xr:uid="{00000000-0004-0000-0F00-000004000000}"/>
    <hyperlink ref="B17" r:id="rId6" xr:uid="{00000000-0004-0000-0F00-000005000000}"/>
    <hyperlink ref="B19" r:id="rId7" xr:uid="{00000000-0004-0000-0F00-000006000000}"/>
    <hyperlink ref="E19" r:id="rId8" xr:uid="{00000000-0004-0000-0F00-000007000000}"/>
    <hyperlink ref="B21" r:id="rId9" xr:uid="{00000000-0004-0000-0F00-000008000000}"/>
    <hyperlink ref="B33" r:id="rId10" xr:uid="{00000000-0004-0000-0F00-000009000000}"/>
  </hyperlinks>
  <pageMargins left="0.7" right="0.7" top="0.75" bottom="0.75" header="0" footer="0"/>
  <pageSetup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1000"/>
  <sheetViews>
    <sheetView workbookViewId="0"/>
  </sheetViews>
  <sheetFormatPr defaultColWidth="14.44140625" defaultRowHeight="15" customHeight="1" x14ac:dyDescent="0.3"/>
  <cols>
    <col min="1" max="1" width="8.6640625" customWidth="1"/>
    <col min="2" max="2" width="13.109375" customWidth="1"/>
    <col min="3" max="3" width="24.109375" customWidth="1"/>
    <col min="4" max="4" width="16.33203125" customWidth="1"/>
    <col min="5" max="5" width="10.33203125" customWidth="1"/>
    <col min="6" max="6" width="8.6640625" customWidth="1"/>
    <col min="7" max="7" width="11.33203125" customWidth="1"/>
    <col min="8" max="8" width="8.6640625" customWidth="1"/>
    <col min="9" max="9" width="11.33203125" customWidth="1"/>
    <col min="10" max="26" width="8.6640625" customWidth="1"/>
  </cols>
  <sheetData>
    <row r="1" spans="1:10" ht="14.25" customHeight="1" x14ac:dyDescent="0.3">
      <c r="B1" s="489"/>
      <c r="C1" s="490"/>
      <c r="E1" s="491"/>
      <c r="G1" s="65"/>
    </row>
    <row r="2" spans="1:10" ht="14.25" customHeight="1" x14ac:dyDescent="0.3">
      <c r="B2" s="489"/>
      <c r="C2" s="490"/>
      <c r="E2" s="491" t="s">
        <v>783</v>
      </c>
      <c r="G2" s="65"/>
      <c r="I2" s="92" t="s">
        <v>784</v>
      </c>
    </row>
    <row r="3" spans="1:10" ht="14.25" customHeight="1" x14ac:dyDescent="0.3">
      <c r="A3" s="92" t="s">
        <v>785</v>
      </c>
      <c r="B3" s="489"/>
      <c r="C3" s="490"/>
      <c r="E3" s="491" t="s">
        <v>786</v>
      </c>
      <c r="F3" s="92" t="s">
        <v>787</v>
      </c>
      <c r="G3" s="65"/>
      <c r="I3" s="492">
        <v>0.46899999999999997</v>
      </c>
      <c r="J3" s="92" t="s">
        <v>788</v>
      </c>
    </row>
    <row r="4" spans="1:10" ht="14.25" customHeight="1" x14ac:dyDescent="0.3">
      <c r="B4" s="489"/>
      <c r="C4" s="490"/>
      <c r="E4" s="491"/>
      <c r="G4" s="65"/>
    </row>
    <row r="5" spans="1:10" ht="14.25" customHeight="1" x14ac:dyDescent="0.3">
      <c r="B5" s="489"/>
      <c r="C5" s="490"/>
      <c r="E5" s="491"/>
      <c r="G5" s="65"/>
    </row>
    <row r="6" spans="1:10" ht="14.25" customHeight="1" x14ac:dyDescent="0.3">
      <c r="A6" s="92" t="s">
        <v>789</v>
      </c>
      <c r="B6" s="489"/>
      <c r="C6" s="490"/>
      <c r="E6" s="491" t="s">
        <v>790</v>
      </c>
      <c r="F6" s="92" t="s">
        <v>735</v>
      </c>
      <c r="G6" s="65"/>
      <c r="I6" s="493">
        <v>0.46899999999999997</v>
      </c>
      <c r="J6" s="92" t="s">
        <v>788</v>
      </c>
    </row>
    <row r="7" spans="1:10" ht="14.25" customHeight="1" x14ac:dyDescent="0.3">
      <c r="B7" s="489"/>
      <c r="C7" s="490"/>
      <c r="E7" s="491"/>
      <c r="G7" s="65"/>
    </row>
    <row r="8" spans="1:10" ht="14.25" customHeight="1" x14ac:dyDescent="0.3">
      <c r="B8" s="489"/>
      <c r="C8" s="490"/>
      <c r="E8" s="491"/>
      <c r="G8" s="65"/>
    </row>
    <row r="9" spans="1:10" ht="14.25" customHeight="1" x14ac:dyDescent="0.3">
      <c r="B9" s="489"/>
      <c r="C9" s="490"/>
      <c r="E9" s="491"/>
      <c r="G9" s="65"/>
    </row>
    <row r="10" spans="1:10" ht="14.25" customHeight="1" x14ac:dyDescent="0.3">
      <c r="B10" s="489"/>
      <c r="C10" s="490"/>
      <c r="E10" s="491"/>
      <c r="G10" s="65"/>
    </row>
    <row r="11" spans="1:10" ht="14.25" customHeight="1" x14ac:dyDescent="0.3">
      <c r="B11" s="489" t="s">
        <v>791</v>
      </c>
      <c r="C11" s="490" t="s">
        <v>792</v>
      </c>
      <c r="D11" s="86" t="s">
        <v>793</v>
      </c>
      <c r="E11" s="491" t="s">
        <v>794</v>
      </c>
      <c r="F11" s="86" t="s">
        <v>795</v>
      </c>
      <c r="G11" s="65" t="s">
        <v>796</v>
      </c>
      <c r="H11" s="86" t="s">
        <v>797</v>
      </c>
    </row>
    <row r="12" spans="1:10" ht="14.25" customHeight="1" x14ac:dyDescent="0.3">
      <c r="A12" s="86" t="s">
        <v>798</v>
      </c>
      <c r="B12" s="489">
        <v>110059119914</v>
      </c>
      <c r="C12" s="494" t="s">
        <v>799</v>
      </c>
      <c r="D12" s="86" t="s">
        <v>787</v>
      </c>
      <c r="E12" s="491">
        <v>8.2900000000000001E-2</v>
      </c>
      <c r="F12" s="86" t="s">
        <v>800</v>
      </c>
      <c r="G12" s="65">
        <v>45878</v>
      </c>
    </row>
    <row r="13" spans="1:10" ht="14.25" customHeight="1" x14ac:dyDescent="0.3">
      <c r="A13" s="86" t="s">
        <v>149</v>
      </c>
      <c r="B13" s="489">
        <v>110154325473</v>
      </c>
      <c r="C13" s="490" t="s">
        <v>801</v>
      </c>
      <c r="D13" s="86" t="s">
        <v>787</v>
      </c>
      <c r="E13" s="491">
        <v>8.2900000000000001E-2</v>
      </c>
      <c r="F13" s="86" t="s">
        <v>800</v>
      </c>
      <c r="G13" s="65">
        <v>45878</v>
      </c>
    </row>
    <row r="14" spans="1:10" ht="14.25" customHeight="1" x14ac:dyDescent="0.3">
      <c r="B14" s="489"/>
      <c r="C14" s="490"/>
      <c r="E14" s="491"/>
      <c r="G14" s="65"/>
    </row>
    <row r="15" spans="1:10" ht="14.25" customHeight="1" x14ac:dyDescent="0.3">
      <c r="B15" s="489"/>
      <c r="C15" s="490"/>
      <c r="E15" s="491"/>
      <c r="G15" s="65"/>
    </row>
    <row r="16" spans="1:10" ht="14.25" customHeight="1" x14ac:dyDescent="0.3">
      <c r="B16" s="489"/>
      <c r="C16" s="490"/>
      <c r="E16" s="491"/>
      <c r="G16" s="65"/>
    </row>
    <row r="17" spans="2:7" ht="14.25" customHeight="1" x14ac:dyDescent="0.3">
      <c r="B17" s="489"/>
      <c r="C17" s="490"/>
      <c r="E17" s="491"/>
      <c r="G17" s="65"/>
    </row>
    <row r="18" spans="2:7" ht="14.25" customHeight="1" x14ac:dyDescent="0.3">
      <c r="B18" s="489"/>
      <c r="C18" s="490"/>
      <c r="E18" s="491"/>
      <c r="G18" s="65"/>
    </row>
    <row r="19" spans="2:7" ht="14.25" customHeight="1" x14ac:dyDescent="0.3">
      <c r="B19" s="489"/>
      <c r="C19" s="490"/>
      <c r="E19" s="491"/>
      <c r="G19" s="65"/>
    </row>
    <row r="20" spans="2:7" ht="14.25" customHeight="1" x14ac:dyDescent="0.3">
      <c r="B20" s="489"/>
      <c r="C20" s="490"/>
      <c r="E20" s="491"/>
      <c r="G20" s="65"/>
    </row>
    <row r="21" spans="2:7" ht="14.25" customHeight="1" x14ac:dyDescent="0.3">
      <c r="B21" s="489"/>
      <c r="C21" s="490"/>
      <c r="E21" s="491"/>
      <c r="G21" s="65"/>
    </row>
    <row r="22" spans="2:7" ht="14.25" customHeight="1" x14ac:dyDescent="0.3">
      <c r="B22" s="489"/>
      <c r="C22" s="490"/>
      <c r="E22" s="491"/>
      <c r="G22" s="65"/>
    </row>
    <row r="23" spans="2:7" ht="14.25" customHeight="1" x14ac:dyDescent="0.3">
      <c r="B23" s="489"/>
      <c r="C23" s="490"/>
      <c r="E23" s="491"/>
      <c r="G23" s="65"/>
    </row>
    <row r="24" spans="2:7" ht="14.25" customHeight="1" x14ac:dyDescent="0.3">
      <c r="B24" s="489"/>
      <c r="C24" s="490"/>
      <c r="E24" s="491"/>
      <c r="G24" s="65"/>
    </row>
    <row r="25" spans="2:7" ht="14.25" customHeight="1" x14ac:dyDescent="0.3">
      <c r="B25" s="489"/>
      <c r="C25" s="490"/>
      <c r="E25" s="491"/>
      <c r="G25" s="65"/>
    </row>
    <row r="26" spans="2:7" ht="14.25" customHeight="1" x14ac:dyDescent="0.3">
      <c r="B26" s="489"/>
      <c r="C26" s="490"/>
      <c r="E26" s="491"/>
      <c r="G26" s="65"/>
    </row>
    <row r="27" spans="2:7" ht="14.25" customHeight="1" x14ac:dyDescent="0.3">
      <c r="B27" s="489"/>
      <c r="C27" s="490"/>
      <c r="E27" s="491"/>
      <c r="G27" s="65"/>
    </row>
    <row r="28" spans="2:7" ht="14.25" customHeight="1" x14ac:dyDescent="0.3">
      <c r="B28" s="489"/>
      <c r="C28" s="490"/>
      <c r="E28" s="491"/>
      <c r="G28" s="65"/>
    </row>
    <row r="29" spans="2:7" ht="14.25" customHeight="1" x14ac:dyDescent="0.3">
      <c r="B29" s="489"/>
      <c r="C29" s="490"/>
      <c r="E29" s="491"/>
      <c r="G29" s="65"/>
    </row>
    <row r="30" spans="2:7" ht="14.25" customHeight="1" x14ac:dyDescent="0.3">
      <c r="B30" s="489"/>
      <c r="C30" s="490"/>
      <c r="E30" s="491"/>
      <c r="G30" s="65"/>
    </row>
    <row r="31" spans="2:7" ht="14.25" customHeight="1" x14ac:dyDescent="0.3">
      <c r="B31" s="489"/>
      <c r="C31" s="490"/>
      <c r="E31" s="491"/>
      <c r="G31" s="65"/>
    </row>
    <row r="32" spans="2:7" ht="14.25" customHeight="1" x14ac:dyDescent="0.3">
      <c r="B32" s="489"/>
      <c r="C32" s="490"/>
      <c r="E32" s="491"/>
      <c r="G32" s="65"/>
    </row>
    <row r="33" spans="2:7" ht="14.25" customHeight="1" x14ac:dyDescent="0.3">
      <c r="B33" s="489"/>
      <c r="C33" s="490"/>
      <c r="E33" s="491"/>
      <c r="G33" s="65"/>
    </row>
    <row r="34" spans="2:7" ht="14.25" customHeight="1" x14ac:dyDescent="0.3">
      <c r="B34" s="489"/>
      <c r="C34" s="490"/>
      <c r="E34" s="491"/>
      <c r="G34" s="65"/>
    </row>
    <row r="35" spans="2:7" ht="14.25" customHeight="1" x14ac:dyDescent="0.3">
      <c r="B35" s="489"/>
      <c r="C35" s="490"/>
      <c r="E35" s="491"/>
      <c r="G35" s="65"/>
    </row>
    <row r="36" spans="2:7" ht="14.25" customHeight="1" x14ac:dyDescent="0.3">
      <c r="B36" s="489"/>
      <c r="C36" s="490"/>
      <c r="E36" s="491"/>
      <c r="G36" s="65"/>
    </row>
    <row r="37" spans="2:7" ht="14.25" customHeight="1" x14ac:dyDescent="0.3">
      <c r="B37" s="489"/>
      <c r="C37" s="490"/>
      <c r="E37" s="491"/>
      <c r="G37" s="65"/>
    </row>
    <row r="38" spans="2:7" ht="14.25" customHeight="1" x14ac:dyDescent="0.3">
      <c r="B38" s="489"/>
      <c r="C38" s="490"/>
      <c r="E38" s="491"/>
      <c r="G38" s="65"/>
    </row>
    <row r="39" spans="2:7" ht="14.25" customHeight="1" x14ac:dyDescent="0.3">
      <c r="B39" s="489"/>
      <c r="C39" s="490"/>
      <c r="E39" s="491"/>
      <c r="G39" s="65"/>
    </row>
    <row r="40" spans="2:7" ht="14.25" customHeight="1" x14ac:dyDescent="0.3">
      <c r="B40" s="489"/>
      <c r="C40" s="490"/>
      <c r="E40" s="491"/>
      <c r="G40" s="65"/>
    </row>
    <row r="41" spans="2:7" ht="14.25" customHeight="1" x14ac:dyDescent="0.3">
      <c r="B41" s="489"/>
      <c r="C41" s="490"/>
      <c r="E41" s="491"/>
      <c r="G41" s="65"/>
    </row>
    <row r="42" spans="2:7" ht="14.25" customHeight="1" x14ac:dyDescent="0.3">
      <c r="B42" s="489"/>
      <c r="C42" s="490"/>
      <c r="E42" s="491"/>
      <c r="G42" s="65"/>
    </row>
    <row r="43" spans="2:7" ht="14.25" customHeight="1" x14ac:dyDescent="0.3">
      <c r="B43" s="489"/>
      <c r="C43" s="490"/>
      <c r="E43" s="491"/>
      <c r="G43" s="65"/>
    </row>
    <row r="44" spans="2:7" ht="14.25" customHeight="1" x14ac:dyDescent="0.3">
      <c r="B44" s="489"/>
      <c r="C44" s="490"/>
      <c r="E44" s="491"/>
      <c r="G44" s="65"/>
    </row>
    <row r="45" spans="2:7" ht="14.25" customHeight="1" x14ac:dyDescent="0.3">
      <c r="B45" s="489"/>
      <c r="C45" s="490"/>
      <c r="E45" s="491"/>
      <c r="G45" s="65"/>
    </row>
    <row r="46" spans="2:7" ht="14.25" customHeight="1" x14ac:dyDescent="0.3">
      <c r="B46" s="489"/>
      <c r="C46" s="490"/>
      <c r="E46" s="491"/>
      <c r="G46" s="65"/>
    </row>
    <row r="47" spans="2:7" ht="14.25" customHeight="1" x14ac:dyDescent="0.3">
      <c r="B47" s="489"/>
      <c r="C47" s="490"/>
      <c r="E47" s="491"/>
      <c r="G47" s="65"/>
    </row>
    <row r="48" spans="2:7" ht="14.25" customHeight="1" x14ac:dyDescent="0.3">
      <c r="B48" s="489"/>
      <c r="C48" s="490"/>
      <c r="E48" s="491"/>
      <c r="G48" s="65"/>
    </row>
    <row r="49" spans="2:7" ht="14.25" customHeight="1" x14ac:dyDescent="0.3">
      <c r="B49" s="489"/>
      <c r="C49" s="490"/>
      <c r="E49" s="491"/>
      <c r="G49" s="65"/>
    </row>
    <row r="50" spans="2:7" ht="14.25" customHeight="1" x14ac:dyDescent="0.3">
      <c r="B50" s="489"/>
      <c r="C50" s="490"/>
      <c r="E50" s="491"/>
      <c r="G50" s="65"/>
    </row>
    <row r="51" spans="2:7" ht="14.25" customHeight="1" x14ac:dyDescent="0.3">
      <c r="B51" s="489"/>
      <c r="C51" s="490"/>
      <c r="E51" s="491"/>
      <c r="G51" s="65"/>
    </row>
    <row r="52" spans="2:7" ht="14.25" customHeight="1" x14ac:dyDescent="0.3">
      <c r="B52" s="489"/>
      <c r="C52" s="490"/>
      <c r="E52" s="491"/>
      <c r="G52" s="65"/>
    </row>
    <row r="53" spans="2:7" ht="14.25" customHeight="1" x14ac:dyDescent="0.3">
      <c r="B53" s="489"/>
      <c r="C53" s="490"/>
      <c r="E53" s="491"/>
      <c r="G53" s="65"/>
    </row>
    <row r="54" spans="2:7" ht="14.25" customHeight="1" x14ac:dyDescent="0.3">
      <c r="B54" s="489"/>
      <c r="C54" s="490"/>
      <c r="E54" s="491"/>
      <c r="G54" s="65"/>
    </row>
    <row r="55" spans="2:7" ht="14.25" customHeight="1" x14ac:dyDescent="0.3">
      <c r="B55" s="489"/>
      <c r="C55" s="490"/>
      <c r="E55" s="491"/>
      <c r="G55" s="65"/>
    </row>
    <row r="56" spans="2:7" ht="14.25" customHeight="1" x14ac:dyDescent="0.3">
      <c r="B56" s="489"/>
      <c r="C56" s="490"/>
      <c r="E56" s="491"/>
      <c r="G56" s="65"/>
    </row>
    <row r="57" spans="2:7" ht="14.25" customHeight="1" x14ac:dyDescent="0.3">
      <c r="B57" s="489"/>
      <c r="C57" s="490"/>
      <c r="E57" s="491"/>
      <c r="G57" s="65"/>
    </row>
    <row r="58" spans="2:7" ht="14.25" customHeight="1" x14ac:dyDescent="0.3">
      <c r="B58" s="489"/>
      <c r="C58" s="490"/>
      <c r="E58" s="491"/>
      <c r="G58" s="65"/>
    </row>
    <row r="59" spans="2:7" ht="14.25" customHeight="1" x14ac:dyDescent="0.3">
      <c r="B59" s="489"/>
      <c r="C59" s="490"/>
      <c r="E59" s="491"/>
      <c r="G59" s="65"/>
    </row>
    <row r="60" spans="2:7" ht="14.25" customHeight="1" x14ac:dyDescent="0.3">
      <c r="B60" s="489"/>
      <c r="C60" s="490"/>
      <c r="E60" s="491"/>
      <c r="G60" s="65"/>
    </row>
    <row r="61" spans="2:7" ht="14.25" customHeight="1" x14ac:dyDescent="0.3">
      <c r="B61" s="489"/>
      <c r="C61" s="490"/>
      <c r="E61" s="491"/>
      <c r="G61" s="65"/>
    </row>
    <row r="62" spans="2:7" ht="14.25" customHeight="1" x14ac:dyDescent="0.3">
      <c r="B62" s="489"/>
      <c r="C62" s="490"/>
      <c r="E62" s="491"/>
      <c r="G62" s="65"/>
    </row>
    <row r="63" spans="2:7" ht="14.25" customHeight="1" x14ac:dyDescent="0.3">
      <c r="B63" s="489"/>
      <c r="C63" s="490"/>
      <c r="E63" s="491"/>
      <c r="G63" s="65"/>
    </row>
    <row r="64" spans="2:7" ht="14.25" customHeight="1" x14ac:dyDescent="0.3">
      <c r="B64" s="489"/>
      <c r="C64" s="490"/>
      <c r="E64" s="491"/>
      <c r="G64" s="65"/>
    </row>
    <row r="65" spans="2:7" ht="14.25" customHeight="1" x14ac:dyDescent="0.3">
      <c r="B65" s="489"/>
      <c r="C65" s="490"/>
      <c r="E65" s="491"/>
      <c r="G65" s="65"/>
    </row>
    <row r="66" spans="2:7" ht="14.25" customHeight="1" x14ac:dyDescent="0.3">
      <c r="B66" s="489"/>
      <c r="C66" s="490"/>
      <c r="E66" s="491"/>
      <c r="G66" s="65"/>
    </row>
    <row r="67" spans="2:7" ht="14.25" customHeight="1" x14ac:dyDescent="0.3">
      <c r="B67" s="489"/>
      <c r="C67" s="490"/>
      <c r="E67" s="491"/>
      <c r="G67" s="65"/>
    </row>
    <row r="68" spans="2:7" ht="14.25" customHeight="1" x14ac:dyDescent="0.3">
      <c r="B68" s="489"/>
      <c r="C68" s="490"/>
      <c r="E68" s="491"/>
      <c r="G68" s="65"/>
    </row>
    <row r="69" spans="2:7" ht="14.25" customHeight="1" x14ac:dyDescent="0.3">
      <c r="B69" s="489"/>
      <c r="C69" s="490"/>
      <c r="E69" s="491"/>
      <c r="G69" s="65"/>
    </row>
    <row r="70" spans="2:7" ht="14.25" customHeight="1" x14ac:dyDescent="0.3">
      <c r="B70" s="489"/>
      <c r="C70" s="490"/>
      <c r="E70" s="491"/>
      <c r="G70" s="65"/>
    </row>
    <row r="71" spans="2:7" ht="14.25" customHeight="1" x14ac:dyDescent="0.3">
      <c r="B71" s="489"/>
      <c r="C71" s="490"/>
      <c r="E71" s="491"/>
      <c r="G71" s="65"/>
    </row>
    <row r="72" spans="2:7" ht="14.25" customHeight="1" x14ac:dyDescent="0.3">
      <c r="B72" s="489"/>
      <c r="C72" s="490"/>
      <c r="E72" s="491"/>
      <c r="G72" s="65"/>
    </row>
    <row r="73" spans="2:7" ht="14.25" customHeight="1" x14ac:dyDescent="0.3">
      <c r="B73" s="489"/>
      <c r="C73" s="490"/>
      <c r="E73" s="491"/>
      <c r="G73" s="65"/>
    </row>
    <row r="74" spans="2:7" ht="14.25" customHeight="1" x14ac:dyDescent="0.3">
      <c r="B74" s="489"/>
      <c r="C74" s="490"/>
      <c r="E74" s="491"/>
      <c r="G74" s="65"/>
    </row>
    <row r="75" spans="2:7" ht="14.25" customHeight="1" x14ac:dyDescent="0.3">
      <c r="B75" s="489"/>
      <c r="C75" s="490"/>
      <c r="E75" s="491"/>
      <c r="G75" s="65"/>
    </row>
    <row r="76" spans="2:7" ht="14.25" customHeight="1" x14ac:dyDescent="0.3">
      <c r="B76" s="489"/>
      <c r="C76" s="490"/>
      <c r="E76" s="491"/>
      <c r="G76" s="65"/>
    </row>
    <row r="77" spans="2:7" ht="14.25" customHeight="1" x14ac:dyDescent="0.3">
      <c r="B77" s="489"/>
      <c r="C77" s="490"/>
      <c r="E77" s="491"/>
      <c r="G77" s="65"/>
    </row>
    <row r="78" spans="2:7" ht="14.25" customHeight="1" x14ac:dyDescent="0.3">
      <c r="B78" s="489"/>
      <c r="C78" s="490"/>
      <c r="E78" s="491"/>
      <c r="G78" s="65"/>
    </row>
    <row r="79" spans="2:7" ht="14.25" customHeight="1" x14ac:dyDescent="0.3">
      <c r="B79" s="489"/>
      <c r="C79" s="490"/>
      <c r="E79" s="491"/>
      <c r="G79" s="65"/>
    </row>
    <row r="80" spans="2:7" ht="14.25" customHeight="1" x14ac:dyDescent="0.3">
      <c r="B80" s="489"/>
      <c r="C80" s="490"/>
      <c r="E80" s="491"/>
      <c r="G80" s="65"/>
    </row>
    <row r="81" spans="2:7" ht="14.25" customHeight="1" x14ac:dyDescent="0.3">
      <c r="B81" s="489"/>
      <c r="C81" s="490"/>
      <c r="E81" s="491"/>
      <c r="G81" s="65"/>
    </row>
    <row r="82" spans="2:7" ht="14.25" customHeight="1" x14ac:dyDescent="0.3">
      <c r="B82" s="489"/>
      <c r="C82" s="490"/>
      <c r="E82" s="491"/>
      <c r="G82" s="65"/>
    </row>
    <row r="83" spans="2:7" ht="14.25" customHeight="1" x14ac:dyDescent="0.3">
      <c r="B83" s="489"/>
      <c r="C83" s="490"/>
      <c r="E83" s="491"/>
      <c r="G83" s="65"/>
    </row>
    <row r="84" spans="2:7" ht="14.25" customHeight="1" x14ac:dyDescent="0.3">
      <c r="B84" s="489"/>
      <c r="C84" s="490"/>
      <c r="E84" s="491"/>
      <c r="G84" s="65"/>
    </row>
    <row r="85" spans="2:7" ht="14.25" customHeight="1" x14ac:dyDescent="0.3">
      <c r="B85" s="489"/>
      <c r="C85" s="490"/>
      <c r="E85" s="491"/>
      <c r="G85" s="65"/>
    </row>
    <row r="86" spans="2:7" ht="14.25" customHeight="1" x14ac:dyDescent="0.3">
      <c r="B86" s="489"/>
      <c r="C86" s="490"/>
      <c r="E86" s="491"/>
      <c r="G86" s="65"/>
    </row>
    <row r="87" spans="2:7" ht="14.25" customHeight="1" x14ac:dyDescent="0.3">
      <c r="B87" s="489"/>
      <c r="C87" s="490"/>
      <c r="E87" s="491"/>
      <c r="G87" s="65"/>
    </row>
    <row r="88" spans="2:7" ht="14.25" customHeight="1" x14ac:dyDescent="0.3">
      <c r="B88" s="489"/>
      <c r="C88" s="490"/>
      <c r="E88" s="491"/>
      <c r="G88" s="65"/>
    </row>
    <row r="89" spans="2:7" ht="14.25" customHeight="1" x14ac:dyDescent="0.3">
      <c r="B89" s="489"/>
      <c r="C89" s="490"/>
      <c r="E89" s="491"/>
      <c r="G89" s="65"/>
    </row>
    <row r="90" spans="2:7" ht="14.25" customHeight="1" x14ac:dyDescent="0.3">
      <c r="B90" s="489"/>
      <c r="C90" s="490"/>
      <c r="E90" s="491"/>
      <c r="G90" s="65"/>
    </row>
    <row r="91" spans="2:7" ht="14.25" customHeight="1" x14ac:dyDescent="0.3">
      <c r="B91" s="489"/>
      <c r="C91" s="490"/>
      <c r="E91" s="491"/>
      <c r="G91" s="65"/>
    </row>
    <row r="92" spans="2:7" ht="14.25" customHeight="1" x14ac:dyDescent="0.3">
      <c r="B92" s="489"/>
      <c r="C92" s="490"/>
      <c r="E92" s="491"/>
      <c r="G92" s="65"/>
    </row>
    <row r="93" spans="2:7" ht="14.25" customHeight="1" x14ac:dyDescent="0.3">
      <c r="B93" s="489"/>
      <c r="C93" s="490"/>
      <c r="E93" s="491"/>
      <c r="G93" s="65"/>
    </row>
    <row r="94" spans="2:7" ht="14.25" customHeight="1" x14ac:dyDescent="0.3">
      <c r="B94" s="489"/>
      <c r="C94" s="490"/>
      <c r="E94" s="491"/>
      <c r="G94" s="65"/>
    </row>
    <row r="95" spans="2:7" ht="14.25" customHeight="1" x14ac:dyDescent="0.3">
      <c r="B95" s="489"/>
      <c r="C95" s="490"/>
      <c r="E95" s="491"/>
      <c r="G95" s="65"/>
    </row>
    <row r="96" spans="2:7" ht="14.25" customHeight="1" x14ac:dyDescent="0.3">
      <c r="B96" s="489"/>
      <c r="C96" s="490"/>
      <c r="E96" s="491"/>
      <c r="G96" s="65"/>
    </row>
    <row r="97" spans="2:7" ht="14.25" customHeight="1" x14ac:dyDescent="0.3">
      <c r="B97" s="489"/>
      <c r="C97" s="490"/>
      <c r="E97" s="491"/>
      <c r="G97" s="65"/>
    </row>
    <row r="98" spans="2:7" ht="14.25" customHeight="1" x14ac:dyDescent="0.3">
      <c r="B98" s="489"/>
      <c r="C98" s="490"/>
      <c r="E98" s="491"/>
      <c r="G98" s="65"/>
    </row>
    <row r="99" spans="2:7" ht="14.25" customHeight="1" x14ac:dyDescent="0.3">
      <c r="B99" s="489"/>
      <c r="C99" s="490"/>
      <c r="E99" s="491"/>
      <c r="G99" s="65"/>
    </row>
    <row r="100" spans="2:7" ht="14.25" customHeight="1" x14ac:dyDescent="0.3">
      <c r="B100" s="489"/>
      <c r="C100" s="490"/>
      <c r="E100" s="491"/>
      <c r="G100" s="65"/>
    </row>
    <row r="101" spans="2:7" ht="14.25" customHeight="1" x14ac:dyDescent="0.3">
      <c r="B101" s="489"/>
      <c r="C101" s="490"/>
      <c r="E101" s="491"/>
      <c r="G101" s="65"/>
    </row>
    <row r="102" spans="2:7" ht="14.25" customHeight="1" x14ac:dyDescent="0.3">
      <c r="B102" s="489"/>
      <c r="C102" s="490"/>
      <c r="E102" s="491"/>
      <c r="G102" s="65"/>
    </row>
    <row r="103" spans="2:7" ht="14.25" customHeight="1" x14ac:dyDescent="0.3">
      <c r="B103" s="489"/>
      <c r="C103" s="490"/>
      <c r="E103" s="491"/>
      <c r="G103" s="65"/>
    </row>
    <row r="104" spans="2:7" ht="14.25" customHeight="1" x14ac:dyDescent="0.3">
      <c r="B104" s="489"/>
      <c r="C104" s="490"/>
      <c r="E104" s="491"/>
      <c r="G104" s="65"/>
    </row>
    <row r="105" spans="2:7" ht="14.25" customHeight="1" x14ac:dyDescent="0.3">
      <c r="B105" s="489"/>
      <c r="C105" s="490"/>
      <c r="E105" s="491"/>
      <c r="G105" s="65"/>
    </row>
    <row r="106" spans="2:7" ht="14.25" customHeight="1" x14ac:dyDescent="0.3">
      <c r="B106" s="489"/>
      <c r="C106" s="490"/>
      <c r="E106" s="491"/>
      <c r="G106" s="65"/>
    </row>
    <row r="107" spans="2:7" ht="14.25" customHeight="1" x14ac:dyDescent="0.3">
      <c r="B107" s="489"/>
      <c r="C107" s="490"/>
      <c r="E107" s="491"/>
      <c r="G107" s="65"/>
    </row>
    <row r="108" spans="2:7" ht="14.25" customHeight="1" x14ac:dyDescent="0.3">
      <c r="B108" s="489"/>
      <c r="C108" s="490"/>
      <c r="E108" s="491"/>
      <c r="G108" s="65"/>
    </row>
    <row r="109" spans="2:7" ht="14.25" customHeight="1" x14ac:dyDescent="0.3">
      <c r="B109" s="489"/>
      <c r="C109" s="490"/>
      <c r="E109" s="491"/>
      <c r="G109" s="65"/>
    </row>
    <row r="110" spans="2:7" ht="14.25" customHeight="1" x14ac:dyDescent="0.3">
      <c r="B110" s="489"/>
      <c r="C110" s="490"/>
      <c r="E110" s="491"/>
      <c r="G110" s="65"/>
    </row>
    <row r="111" spans="2:7" ht="14.25" customHeight="1" x14ac:dyDescent="0.3">
      <c r="B111" s="489"/>
      <c r="C111" s="490"/>
      <c r="E111" s="491"/>
      <c r="G111" s="65"/>
    </row>
    <row r="112" spans="2:7" ht="14.25" customHeight="1" x14ac:dyDescent="0.3">
      <c r="B112" s="489"/>
      <c r="C112" s="490"/>
      <c r="E112" s="491"/>
      <c r="G112" s="65"/>
    </row>
    <row r="113" spans="2:7" ht="14.25" customHeight="1" x14ac:dyDescent="0.3">
      <c r="B113" s="489"/>
      <c r="C113" s="490"/>
      <c r="E113" s="491"/>
      <c r="G113" s="65"/>
    </row>
    <row r="114" spans="2:7" ht="14.25" customHeight="1" x14ac:dyDescent="0.3">
      <c r="B114" s="489"/>
      <c r="C114" s="490"/>
      <c r="E114" s="491"/>
      <c r="G114" s="65"/>
    </row>
    <row r="115" spans="2:7" ht="14.25" customHeight="1" x14ac:dyDescent="0.3">
      <c r="B115" s="489"/>
      <c r="C115" s="490"/>
      <c r="E115" s="491"/>
      <c r="G115" s="65"/>
    </row>
    <row r="116" spans="2:7" ht="14.25" customHeight="1" x14ac:dyDescent="0.3">
      <c r="B116" s="489"/>
      <c r="C116" s="490"/>
      <c r="E116" s="491"/>
      <c r="G116" s="65"/>
    </row>
    <row r="117" spans="2:7" ht="14.25" customHeight="1" x14ac:dyDescent="0.3">
      <c r="B117" s="489"/>
      <c r="C117" s="490"/>
      <c r="E117" s="491"/>
      <c r="G117" s="65"/>
    </row>
    <row r="118" spans="2:7" ht="14.25" customHeight="1" x14ac:dyDescent="0.3">
      <c r="B118" s="489"/>
      <c r="C118" s="490"/>
      <c r="E118" s="491"/>
      <c r="G118" s="65"/>
    </row>
    <row r="119" spans="2:7" ht="14.25" customHeight="1" x14ac:dyDescent="0.3">
      <c r="B119" s="489"/>
      <c r="C119" s="490"/>
      <c r="E119" s="491"/>
      <c r="G119" s="65"/>
    </row>
    <row r="120" spans="2:7" ht="14.25" customHeight="1" x14ac:dyDescent="0.3">
      <c r="B120" s="489"/>
      <c r="C120" s="490"/>
      <c r="E120" s="491"/>
      <c r="G120" s="65"/>
    </row>
    <row r="121" spans="2:7" ht="14.25" customHeight="1" x14ac:dyDescent="0.3">
      <c r="B121" s="489"/>
      <c r="C121" s="490"/>
      <c r="E121" s="491"/>
      <c r="G121" s="65"/>
    </row>
    <row r="122" spans="2:7" ht="14.25" customHeight="1" x14ac:dyDescent="0.3">
      <c r="B122" s="489"/>
      <c r="C122" s="490"/>
      <c r="E122" s="491"/>
      <c r="G122" s="65"/>
    </row>
    <row r="123" spans="2:7" ht="14.25" customHeight="1" x14ac:dyDescent="0.3">
      <c r="B123" s="489"/>
      <c r="C123" s="490"/>
      <c r="E123" s="491"/>
      <c r="G123" s="65"/>
    </row>
    <row r="124" spans="2:7" ht="14.25" customHeight="1" x14ac:dyDescent="0.3">
      <c r="B124" s="489"/>
      <c r="C124" s="490"/>
      <c r="E124" s="491"/>
      <c r="G124" s="65"/>
    </row>
    <row r="125" spans="2:7" ht="14.25" customHeight="1" x14ac:dyDescent="0.3">
      <c r="B125" s="489"/>
      <c r="C125" s="490"/>
      <c r="E125" s="491"/>
      <c r="G125" s="65"/>
    </row>
    <row r="126" spans="2:7" ht="14.25" customHeight="1" x14ac:dyDescent="0.3">
      <c r="B126" s="489"/>
      <c r="C126" s="490"/>
      <c r="E126" s="491"/>
      <c r="G126" s="65"/>
    </row>
    <row r="127" spans="2:7" ht="14.25" customHeight="1" x14ac:dyDescent="0.3">
      <c r="B127" s="489"/>
      <c r="C127" s="490"/>
      <c r="E127" s="491"/>
      <c r="G127" s="65"/>
    </row>
    <row r="128" spans="2:7" ht="14.25" customHeight="1" x14ac:dyDescent="0.3">
      <c r="B128" s="489"/>
      <c r="C128" s="490"/>
      <c r="E128" s="491"/>
      <c r="G128" s="65"/>
    </row>
    <row r="129" spans="2:7" ht="14.25" customHeight="1" x14ac:dyDescent="0.3">
      <c r="B129" s="489"/>
      <c r="C129" s="490"/>
      <c r="E129" s="491"/>
      <c r="G129" s="65"/>
    </row>
    <row r="130" spans="2:7" ht="14.25" customHeight="1" x14ac:dyDescent="0.3">
      <c r="B130" s="489"/>
      <c r="C130" s="490"/>
      <c r="E130" s="491"/>
      <c r="G130" s="65"/>
    </row>
    <row r="131" spans="2:7" ht="14.25" customHeight="1" x14ac:dyDescent="0.3">
      <c r="B131" s="489"/>
      <c r="C131" s="490"/>
      <c r="E131" s="491"/>
      <c r="G131" s="65"/>
    </row>
    <row r="132" spans="2:7" ht="14.25" customHeight="1" x14ac:dyDescent="0.3">
      <c r="B132" s="489"/>
      <c r="C132" s="490"/>
      <c r="E132" s="491"/>
      <c r="G132" s="65"/>
    </row>
    <row r="133" spans="2:7" ht="14.25" customHeight="1" x14ac:dyDescent="0.3">
      <c r="B133" s="489"/>
      <c r="C133" s="490"/>
      <c r="E133" s="491"/>
      <c r="G133" s="65"/>
    </row>
    <row r="134" spans="2:7" ht="14.25" customHeight="1" x14ac:dyDescent="0.3">
      <c r="B134" s="489"/>
      <c r="C134" s="490"/>
      <c r="E134" s="491"/>
      <c r="G134" s="65"/>
    </row>
    <row r="135" spans="2:7" ht="14.25" customHeight="1" x14ac:dyDescent="0.3">
      <c r="B135" s="489"/>
      <c r="C135" s="490"/>
      <c r="E135" s="491"/>
      <c r="G135" s="65"/>
    </row>
    <row r="136" spans="2:7" ht="14.25" customHeight="1" x14ac:dyDescent="0.3">
      <c r="B136" s="489"/>
      <c r="C136" s="490"/>
      <c r="E136" s="491"/>
      <c r="G136" s="65"/>
    </row>
    <row r="137" spans="2:7" ht="14.25" customHeight="1" x14ac:dyDescent="0.3">
      <c r="B137" s="489"/>
      <c r="C137" s="490"/>
      <c r="E137" s="491"/>
      <c r="G137" s="65"/>
    </row>
    <row r="138" spans="2:7" ht="14.25" customHeight="1" x14ac:dyDescent="0.3">
      <c r="B138" s="489"/>
      <c r="C138" s="490"/>
      <c r="E138" s="491"/>
      <c r="G138" s="65"/>
    </row>
    <row r="139" spans="2:7" ht="14.25" customHeight="1" x14ac:dyDescent="0.3">
      <c r="B139" s="489"/>
      <c r="C139" s="490"/>
      <c r="E139" s="491"/>
      <c r="G139" s="65"/>
    </row>
    <row r="140" spans="2:7" ht="14.25" customHeight="1" x14ac:dyDescent="0.3">
      <c r="B140" s="489"/>
      <c r="C140" s="490"/>
      <c r="E140" s="491"/>
      <c r="G140" s="65"/>
    </row>
    <row r="141" spans="2:7" ht="14.25" customHeight="1" x14ac:dyDescent="0.3">
      <c r="B141" s="489"/>
      <c r="C141" s="490"/>
      <c r="E141" s="491"/>
      <c r="G141" s="65"/>
    </row>
    <row r="142" spans="2:7" ht="14.25" customHeight="1" x14ac:dyDescent="0.3">
      <c r="B142" s="489"/>
      <c r="C142" s="490"/>
      <c r="E142" s="491"/>
      <c r="G142" s="65"/>
    </row>
    <row r="143" spans="2:7" ht="14.25" customHeight="1" x14ac:dyDescent="0.3">
      <c r="B143" s="489"/>
      <c r="C143" s="490"/>
      <c r="E143" s="491"/>
      <c r="G143" s="65"/>
    </row>
    <row r="144" spans="2:7" ht="14.25" customHeight="1" x14ac:dyDescent="0.3">
      <c r="B144" s="489"/>
      <c r="C144" s="490"/>
      <c r="E144" s="491"/>
      <c r="G144" s="65"/>
    </row>
    <row r="145" spans="2:7" ht="14.25" customHeight="1" x14ac:dyDescent="0.3">
      <c r="B145" s="489"/>
      <c r="C145" s="490"/>
      <c r="E145" s="491"/>
      <c r="G145" s="65"/>
    </row>
    <row r="146" spans="2:7" ht="14.25" customHeight="1" x14ac:dyDescent="0.3">
      <c r="B146" s="489"/>
      <c r="C146" s="490"/>
      <c r="E146" s="491"/>
      <c r="G146" s="65"/>
    </row>
    <row r="147" spans="2:7" ht="14.25" customHeight="1" x14ac:dyDescent="0.3">
      <c r="B147" s="489"/>
      <c r="C147" s="490"/>
      <c r="E147" s="491"/>
      <c r="G147" s="65"/>
    </row>
    <row r="148" spans="2:7" ht="14.25" customHeight="1" x14ac:dyDescent="0.3">
      <c r="B148" s="489"/>
      <c r="C148" s="490"/>
      <c r="E148" s="491"/>
      <c r="G148" s="65"/>
    </row>
    <row r="149" spans="2:7" ht="14.25" customHeight="1" x14ac:dyDescent="0.3">
      <c r="B149" s="489"/>
      <c r="C149" s="490"/>
      <c r="E149" s="491"/>
      <c r="G149" s="65"/>
    </row>
    <row r="150" spans="2:7" ht="14.25" customHeight="1" x14ac:dyDescent="0.3">
      <c r="B150" s="489"/>
      <c r="C150" s="490"/>
      <c r="E150" s="491"/>
      <c r="G150" s="65"/>
    </row>
    <row r="151" spans="2:7" ht="14.25" customHeight="1" x14ac:dyDescent="0.3">
      <c r="B151" s="489"/>
      <c r="C151" s="490"/>
      <c r="E151" s="491"/>
      <c r="G151" s="65"/>
    </row>
    <row r="152" spans="2:7" ht="14.25" customHeight="1" x14ac:dyDescent="0.3">
      <c r="B152" s="489"/>
      <c r="C152" s="490"/>
      <c r="E152" s="491"/>
      <c r="G152" s="65"/>
    </row>
    <row r="153" spans="2:7" ht="14.25" customHeight="1" x14ac:dyDescent="0.3">
      <c r="B153" s="489"/>
      <c r="C153" s="490"/>
      <c r="E153" s="491"/>
      <c r="G153" s="65"/>
    </row>
    <row r="154" spans="2:7" ht="14.25" customHeight="1" x14ac:dyDescent="0.3">
      <c r="B154" s="489"/>
      <c r="C154" s="490"/>
      <c r="E154" s="491"/>
      <c r="G154" s="65"/>
    </row>
    <row r="155" spans="2:7" ht="14.25" customHeight="1" x14ac:dyDescent="0.3">
      <c r="B155" s="489"/>
      <c r="C155" s="490"/>
      <c r="E155" s="491"/>
      <c r="G155" s="65"/>
    </row>
    <row r="156" spans="2:7" ht="14.25" customHeight="1" x14ac:dyDescent="0.3">
      <c r="B156" s="489"/>
      <c r="C156" s="490"/>
      <c r="E156" s="491"/>
      <c r="G156" s="65"/>
    </row>
    <row r="157" spans="2:7" ht="14.25" customHeight="1" x14ac:dyDescent="0.3">
      <c r="B157" s="489"/>
      <c r="C157" s="490"/>
      <c r="E157" s="491"/>
      <c r="G157" s="65"/>
    </row>
    <row r="158" spans="2:7" ht="14.25" customHeight="1" x14ac:dyDescent="0.3">
      <c r="B158" s="489"/>
      <c r="C158" s="490"/>
      <c r="E158" s="491"/>
      <c r="G158" s="65"/>
    </row>
    <row r="159" spans="2:7" ht="14.25" customHeight="1" x14ac:dyDescent="0.3">
      <c r="B159" s="489"/>
      <c r="C159" s="490"/>
      <c r="E159" s="491"/>
      <c r="G159" s="65"/>
    </row>
    <row r="160" spans="2:7" ht="14.25" customHeight="1" x14ac:dyDescent="0.3">
      <c r="B160" s="489"/>
      <c r="C160" s="490"/>
      <c r="E160" s="491"/>
      <c r="G160" s="65"/>
    </row>
    <row r="161" spans="2:7" ht="14.25" customHeight="1" x14ac:dyDescent="0.3">
      <c r="B161" s="489"/>
      <c r="C161" s="490"/>
      <c r="E161" s="491"/>
      <c r="G161" s="65"/>
    </row>
    <row r="162" spans="2:7" ht="14.25" customHeight="1" x14ac:dyDescent="0.3">
      <c r="B162" s="489"/>
      <c r="C162" s="490"/>
      <c r="E162" s="491"/>
      <c r="G162" s="65"/>
    </row>
    <row r="163" spans="2:7" ht="14.25" customHeight="1" x14ac:dyDescent="0.3">
      <c r="B163" s="489"/>
      <c r="C163" s="490"/>
      <c r="E163" s="491"/>
      <c r="G163" s="65"/>
    </row>
    <row r="164" spans="2:7" ht="14.25" customHeight="1" x14ac:dyDescent="0.3">
      <c r="B164" s="489"/>
      <c r="C164" s="490"/>
      <c r="E164" s="491"/>
      <c r="G164" s="65"/>
    </row>
    <row r="165" spans="2:7" ht="14.25" customHeight="1" x14ac:dyDescent="0.3">
      <c r="B165" s="489"/>
      <c r="C165" s="490"/>
      <c r="E165" s="491"/>
      <c r="G165" s="65"/>
    </row>
    <row r="166" spans="2:7" ht="14.25" customHeight="1" x14ac:dyDescent="0.3">
      <c r="B166" s="489"/>
      <c r="C166" s="490"/>
      <c r="E166" s="491"/>
      <c r="G166" s="65"/>
    </row>
    <row r="167" spans="2:7" ht="14.25" customHeight="1" x14ac:dyDescent="0.3">
      <c r="B167" s="489"/>
      <c r="C167" s="490"/>
      <c r="E167" s="491"/>
      <c r="G167" s="65"/>
    </row>
    <row r="168" spans="2:7" ht="14.25" customHeight="1" x14ac:dyDescent="0.3">
      <c r="B168" s="489"/>
      <c r="C168" s="490"/>
      <c r="E168" s="491"/>
      <c r="G168" s="65"/>
    </row>
    <row r="169" spans="2:7" ht="14.25" customHeight="1" x14ac:dyDescent="0.3">
      <c r="B169" s="489"/>
      <c r="C169" s="490"/>
      <c r="E169" s="491"/>
      <c r="G169" s="65"/>
    </row>
    <row r="170" spans="2:7" ht="14.25" customHeight="1" x14ac:dyDescent="0.3">
      <c r="B170" s="489"/>
      <c r="C170" s="490"/>
      <c r="E170" s="491"/>
      <c r="G170" s="65"/>
    </row>
    <row r="171" spans="2:7" ht="14.25" customHeight="1" x14ac:dyDescent="0.3">
      <c r="B171" s="489"/>
      <c r="C171" s="490"/>
      <c r="E171" s="491"/>
      <c r="G171" s="65"/>
    </row>
    <row r="172" spans="2:7" ht="14.25" customHeight="1" x14ac:dyDescent="0.3">
      <c r="B172" s="489"/>
      <c r="C172" s="490"/>
      <c r="E172" s="491"/>
      <c r="G172" s="65"/>
    </row>
    <row r="173" spans="2:7" ht="14.25" customHeight="1" x14ac:dyDescent="0.3">
      <c r="B173" s="489"/>
      <c r="C173" s="490"/>
      <c r="E173" s="491"/>
      <c r="G173" s="65"/>
    </row>
    <row r="174" spans="2:7" ht="14.25" customHeight="1" x14ac:dyDescent="0.3">
      <c r="B174" s="489"/>
      <c r="C174" s="490"/>
      <c r="E174" s="491"/>
      <c r="G174" s="65"/>
    </row>
    <row r="175" spans="2:7" ht="14.25" customHeight="1" x14ac:dyDescent="0.3">
      <c r="B175" s="489"/>
      <c r="C175" s="490"/>
      <c r="E175" s="491"/>
      <c r="G175" s="65"/>
    </row>
    <row r="176" spans="2:7" ht="14.25" customHeight="1" x14ac:dyDescent="0.3">
      <c r="B176" s="489"/>
      <c r="C176" s="490"/>
      <c r="E176" s="491"/>
      <c r="G176" s="65"/>
    </row>
    <row r="177" spans="2:7" ht="14.25" customHeight="1" x14ac:dyDescent="0.3">
      <c r="B177" s="489"/>
      <c r="C177" s="490"/>
      <c r="E177" s="491"/>
      <c r="G177" s="65"/>
    </row>
    <row r="178" spans="2:7" ht="14.25" customHeight="1" x14ac:dyDescent="0.3">
      <c r="B178" s="489"/>
      <c r="C178" s="490"/>
      <c r="E178" s="491"/>
      <c r="G178" s="65"/>
    </row>
    <row r="179" spans="2:7" ht="14.25" customHeight="1" x14ac:dyDescent="0.3">
      <c r="B179" s="489"/>
      <c r="C179" s="490"/>
      <c r="E179" s="491"/>
      <c r="G179" s="65"/>
    </row>
    <row r="180" spans="2:7" ht="14.25" customHeight="1" x14ac:dyDescent="0.3">
      <c r="B180" s="489"/>
      <c r="C180" s="490"/>
      <c r="E180" s="491"/>
      <c r="G180" s="65"/>
    </row>
    <row r="181" spans="2:7" ht="14.25" customHeight="1" x14ac:dyDescent="0.3">
      <c r="B181" s="489"/>
      <c r="C181" s="490"/>
      <c r="E181" s="491"/>
      <c r="G181" s="65"/>
    </row>
    <row r="182" spans="2:7" ht="14.25" customHeight="1" x14ac:dyDescent="0.3">
      <c r="B182" s="489"/>
      <c r="C182" s="490"/>
      <c r="E182" s="491"/>
      <c r="G182" s="65"/>
    </row>
    <row r="183" spans="2:7" ht="14.25" customHeight="1" x14ac:dyDescent="0.3">
      <c r="B183" s="489"/>
      <c r="C183" s="490"/>
      <c r="E183" s="491"/>
      <c r="G183" s="65"/>
    </row>
    <row r="184" spans="2:7" ht="14.25" customHeight="1" x14ac:dyDescent="0.3">
      <c r="B184" s="489"/>
      <c r="C184" s="490"/>
      <c r="E184" s="491"/>
      <c r="G184" s="65"/>
    </row>
    <row r="185" spans="2:7" ht="14.25" customHeight="1" x14ac:dyDescent="0.3">
      <c r="B185" s="489"/>
      <c r="C185" s="490"/>
      <c r="E185" s="491"/>
      <c r="G185" s="65"/>
    </row>
    <row r="186" spans="2:7" ht="14.25" customHeight="1" x14ac:dyDescent="0.3">
      <c r="B186" s="489"/>
      <c r="C186" s="490"/>
      <c r="E186" s="491"/>
      <c r="G186" s="65"/>
    </row>
    <row r="187" spans="2:7" ht="14.25" customHeight="1" x14ac:dyDescent="0.3">
      <c r="B187" s="489"/>
      <c r="C187" s="490"/>
      <c r="E187" s="491"/>
      <c r="G187" s="65"/>
    </row>
    <row r="188" spans="2:7" ht="14.25" customHeight="1" x14ac:dyDescent="0.3">
      <c r="B188" s="489"/>
      <c r="C188" s="490"/>
      <c r="E188" s="491"/>
      <c r="G188" s="65"/>
    </row>
    <row r="189" spans="2:7" ht="14.25" customHeight="1" x14ac:dyDescent="0.3">
      <c r="B189" s="489"/>
      <c r="C189" s="490"/>
      <c r="E189" s="491"/>
      <c r="G189" s="65"/>
    </row>
    <row r="190" spans="2:7" ht="14.25" customHeight="1" x14ac:dyDescent="0.3">
      <c r="B190" s="489"/>
      <c r="C190" s="490"/>
      <c r="E190" s="491"/>
      <c r="G190" s="65"/>
    </row>
    <row r="191" spans="2:7" ht="14.25" customHeight="1" x14ac:dyDescent="0.3">
      <c r="B191" s="489"/>
      <c r="C191" s="490"/>
      <c r="E191" s="491"/>
      <c r="G191" s="65"/>
    </row>
    <row r="192" spans="2:7" ht="14.25" customHeight="1" x14ac:dyDescent="0.3">
      <c r="B192" s="489"/>
      <c r="C192" s="490"/>
      <c r="E192" s="491"/>
      <c r="G192" s="65"/>
    </row>
    <row r="193" spans="2:7" ht="14.25" customHeight="1" x14ac:dyDescent="0.3">
      <c r="B193" s="489"/>
      <c r="C193" s="490"/>
      <c r="E193" s="491"/>
      <c r="G193" s="65"/>
    </row>
    <row r="194" spans="2:7" ht="14.25" customHeight="1" x14ac:dyDescent="0.3">
      <c r="B194" s="489"/>
      <c r="C194" s="490"/>
      <c r="E194" s="491"/>
      <c r="G194" s="65"/>
    </row>
    <row r="195" spans="2:7" ht="14.25" customHeight="1" x14ac:dyDescent="0.3">
      <c r="B195" s="489"/>
      <c r="C195" s="490"/>
      <c r="E195" s="491"/>
      <c r="G195" s="65"/>
    </row>
    <row r="196" spans="2:7" ht="14.25" customHeight="1" x14ac:dyDescent="0.3">
      <c r="B196" s="489"/>
      <c r="C196" s="490"/>
      <c r="E196" s="491"/>
      <c r="G196" s="65"/>
    </row>
    <row r="197" spans="2:7" ht="14.25" customHeight="1" x14ac:dyDescent="0.3">
      <c r="B197" s="489"/>
      <c r="C197" s="490"/>
      <c r="E197" s="491"/>
      <c r="G197" s="65"/>
    </row>
    <row r="198" spans="2:7" ht="14.25" customHeight="1" x14ac:dyDescent="0.3">
      <c r="B198" s="489"/>
      <c r="C198" s="490"/>
      <c r="E198" s="491"/>
      <c r="G198" s="65"/>
    </row>
    <row r="199" spans="2:7" ht="14.25" customHeight="1" x14ac:dyDescent="0.3">
      <c r="B199" s="489"/>
      <c r="C199" s="490"/>
      <c r="E199" s="491"/>
      <c r="G199" s="65"/>
    </row>
    <row r="200" spans="2:7" ht="14.25" customHeight="1" x14ac:dyDescent="0.3">
      <c r="B200" s="489"/>
      <c r="C200" s="490"/>
      <c r="E200" s="491"/>
      <c r="G200" s="65"/>
    </row>
    <row r="201" spans="2:7" ht="14.25" customHeight="1" x14ac:dyDescent="0.3">
      <c r="B201" s="489"/>
      <c r="C201" s="490"/>
      <c r="E201" s="491"/>
      <c r="G201" s="65"/>
    </row>
    <row r="202" spans="2:7" ht="14.25" customHeight="1" x14ac:dyDescent="0.3">
      <c r="B202" s="489"/>
      <c r="C202" s="490"/>
      <c r="E202" s="491"/>
      <c r="G202" s="65"/>
    </row>
    <row r="203" spans="2:7" ht="14.25" customHeight="1" x14ac:dyDescent="0.3">
      <c r="B203" s="489"/>
      <c r="C203" s="490"/>
      <c r="E203" s="491"/>
      <c r="G203" s="65"/>
    </row>
    <row r="204" spans="2:7" ht="14.25" customHeight="1" x14ac:dyDescent="0.3">
      <c r="B204" s="489"/>
      <c r="C204" s="490"/>
      <c r="E204" s="491"/>
      <c r="G204" s="65"/>
    </row>
    <row r="205" spans="2:7" ht="14.25" customHeight="1" x14ac:dyDescent="0.3">
      <c r="B205" s="489"/>
      <c r="C205" s="490"/>
      <c r="E205" s="491"/>
      <c r="G205" s="65"/>
    </row>
    <row r="206" spans="2:7" ht="14.25" customHeight="1" x14ac:dyDescent="0.3">
      <c r="B206" s="489"/>
      <c r="C206" s="490"/>
      <c r="E206" s="491"/>
      <c r="G206" s="65"/>
    </row>
    <row r="207" spans="2:7" ht="14.25" customHeight="1" x14ac:dyDescent="0.3">
      <c r="B207" s="489"/>
      <c r="C207" s="490"/>
      <c r="E207" s="491"/>
      <c r="G207" s="65"/>
    </row>
    <row r="208" spans="2:7" ht="14.25" customHeight="1" x14ac:dyDescent="0.3">
      <c r="B208" s="489"/>
      <c r="C208" s="490"/>
      <c r="E208" s="491"/>
      <c r="G208" s="65"/>
    </row>
    <row r="209" spans="2:7" ht="14.25" customHeight="1" x14ac:dyDescent="0.3">
      <c r="B209" s="489"/>
      <c r="C209" s="490"/>
      <c r="E209" s="491"/>
      <c r="G209" s="65"/>
    </row>
    <row r="210" spans="2:7" ht="14.25" customHeight="1" x14ac:dyDescent="0.3">
      <c r="B210" s="489"/>
      <c r="C210" s="490"/>
      <c r="E210" s="491"/>
      <c r="G210" s="65"/>
    </row>
    <row r="211" spans="2:7" ht="14.25" customHeight="1" x14ac:dyDescent="0.3">
      <c r="B211" s="489"/>
      <c r="C211" s="490"/>
      <c r="E211" s="491"/>
      <c r="G211" s="65"/>
    </row>
    <row r="212" spans="2:7" ht="14.25" customHeight="1" x14ac:dyDescent="0.3">
      <c r="B212" s="489"/>
      <c r="C212" s="490"/>
      <c r="E212" s="491"/>
      <c r="G212" s="65"/>
    </row>
    <row r="213" spans="2:7" ht="14.25" customHeight="1" x14ac:dyDescent="0.3">
      <c r="B213" s="489"/>
      <c r="C213" s="490"/>
      <c r="E213" s="491"/>
      <c r="G213" s="65"/>
    </row>
    <row r="214" spans="2:7" ht="14.25" customHeight="1" x14ac:dyDescent="0.3">
      <c r="B214" s="489"/>
      <c r="C214" s="490"/>
      <c r="E214" s="491"/>
      <c r="G214" s="65"/>
    </row>
    <row r="215" spans="2:7" ht="14.25" customHeight="1" x14ac:dyDescent="0.3">
      <c r="B215" s="489"/>
      <c r="C215" s="490"/>
      <c r="E215" s="491"/>
      <c r="G215" s="65"/>
    </row>
    <row r="216" spans="2:7" ht="14.25" customHeight="1" x14ac:dyDescent="0.3">
      <c r="B216" s="489"/>
      <c r="C216" s="490"/>
      <c r="E216" s="491"/>
      <c r="G216" s="65"/>
    </row>
    <row r="217" spans="2:7" ht="14.25" customHeight="1" x14ac:dyDescent="0.3">
      <c r="B217" s="489"/>
      <c r="C217" s="490"/>
      <c r="E217" s="491"/>
      <c r="G217" s="65"/>
    </row>
    <row r="218" spans="2:7" ht="14.25" customHeight="1" x14ac:dyDescent="0.3">
      <c r="B218" s="489"/>
      <c r="C218" s="490"/>
      <c r="E218" s="491"/>
      <c r="G218" s="65"/>
    </row>
    <row r="219" spans="2:7" ht="14.25" customHeight="1" x14ac:dyDescent="0.3">
      <c r="B219" s="489"/>
      <c r="C219" s="490"/>
      <c r="E219" s="491"/>
      <c r="G219" s="65"/>
    </row>
    <row r="220" spans="2:7" ht="14.25" customHeight="1" x14ac:dyDescent="0.3">
      <c r="B220" s="489"/>
      <c r="C220" s="490"/>
      <c r="E220" s="491"/>
      <c r="G220" s="65"/>
    </row>
    <row r="221" spans="2:7" ht="14.25" customHeight="1" x14ac:dyDescent="0.3">
      <c r="B221" s="489"/>
      <c r="C221" s="490"/>
      <c r="E221" s="491"/>
      <c r="G221" s="65"/>
    </row>
    <row r="222" spans="2:7" ht="14.25" customHeight="1" x14ac:dyDescent="0.3">
      <c r="B222" s="489"/>
      <c r="C222" s="490"/>
      <c r="E222" s="491"/>
      <c r="G222" s="65"/>
    </row>
    <row r="223" spans="2:7" ht="14.25" customHeight="1" x14ac:dyDescent="0.3">
      <c r="B223" s="489"/>
      <c r="C223" s="490"/>
      <c r="E223" s="491"/>
      <c r="G223" s="65"/>
    </row>
    <row r="224" spans="2:7" ht="14.25" customHeight="1" x14ac:dyDescent="0.3">
      <c r="B224" s="489"/>
      <c r="C224" s="490"/>
      <c r="E224" s="491"/>
      <c r="G224" s="65"/>
    </row>
    <row r="225" spans="2:7" ht="14.25" customHeight="1" x14ac:dyDescent="0.3">
      <c r="B225" s="489"/>
      <c r="C225" s="490"/>
      <c r="E225" s="491"/>
      <c r="G225" s="65"/>
    </row>
    <row r="226" spans="2:7" ht="14.25" customHeight="1" x14ac:dyDescent="0.3">
      <c r="B226" s="489"/>
      <c r="C226" s="490"/>
      <c r="E226" s="491"/>
      <c r="G226" s="65"/>
    </row>
    <row r="227" spans="2:7" ht="14.25" customHeight="1" x14ac:dyDescent="0.3">
      <c r="B227" s="489"/>
      <c r="C227" s="490"/>
      <c r="E227" s="491"/>
      <c r="G227" s="65"/>
    </row>
    <row r="228" spans="2:7" ht="14.25" customHeight="1" x14ac:dyDescent="0.3">
      <c r="B228" s="489"/>
      <c r="C228" s="490"/>
      <c r="E228" s="491"/>
      <c r="G228" s="65"/>
    </row>
    <row r="229" spans="2:7" ht="14.25" customHeight="1" x14ac:dyDescent="0.3">
      <c r="B229" s="489"/>
      <c r="C229" s="490"/>
      <c r="E229" s="491"/>
      <c r="G229" s="65"/>
    </row>
    <row r="230" spans="2:7" ht="14.25" customHeight="1" x14ac:dyDescent="0.3">
      <c r="B230" s="489"/>
      <c r="C230" s="490"/>
      <c r="E230" s="491"/>
      <c r="G230" s="65"/>
    </row>
    <row r="231" spans="2:7" ht="14.25" customHeight="1" x14ac:dyDescent="0.3">
      <c r="B231" s="489"/>
      <c r="C231" s="490"/>
      <c r="E231" s="491"/>
      <c r="G231" s="65"/>
    </row>
    <row r="232" spans="2:7" ht="14.25" customHeight="1" x14ac:dyDescent="0.3">
      <c r="B232" s="489"/>
      <c r="C232" s="490"/>
      <c r="E232" s="491"/>
      <c r="G232" s="65"/>
    </row>
    <row r="233" spans="2:7" ht="14.25" customHeight="1" x14ac:dyDescent="0.3">
      <c r="B233" s="489"/>
      <c r="C233" s="490"/>
      <c r="E233" s="491"/>
      <c r="G233" s="65"/>
    </row>
    <row r="234" spans="2:7" ht="14.25" customHeight="1" x14ac:dyDescent="0.3">
      <c r="B234" s="489"/>
      <c r="C234" s="490"/>
      <c r="E234" s="491"/>
      <c r="G234" s="65"/>
    </row>
    <row r="235" spans="2:7" ht="14.25" customHeight="1" x14ac:dyDescent="0.3">
      <c r="B235" s="489"/>
      <c r="C235" s="490"/>
      <c r="E235" s="491"/>
      <c r="G235" s="65"/>
    </row>
    <row r="236" spans="2:7" ht="14.25" customHeight="1" x14ac:dyDescent="0.3">
      <c r="B236" s="489"/>
      <c r="C236" s="490"/>
      <c r="E236" s="491"/>
      <c r="G236" s="65"/>
    </row>
    <row r="237" spans="2:7" ht="14.25" customHeight="1" x14ac:dyDescent="0.3">
      <c r="B237" s="489"/>
      <c r="C237" s="490"/>
      <c r="E237" s="491"/>
      <c r="G237" s="65"/>
    </row>
    <row r="238" spans="2:7" ht="14.25" customHeight="1" x14ac:dyDescent="0.3">
      <c r="B238" s="489"/>
      <c r="C238" s="490"/>
      <c r="E238" s="491"/>
      <c r="G238" s="65"/>
    </row>
    <row r="239" spans="2:7" ht="14.25" customHeight="1" x14ac:dyDescent="0.3">
      <c r="B239" s="489"/>
      <c r="C239" s="490"/>
      <c r="E239" s="491"/>
      <c r="G239" s="65"/>
    </row>
    <row r="240" spans="2:7" ht="14.25" customHeight="1" x14ac:dyDescent="0.3">
      <c r="B240" s="489"/>
      <c r="C240" s="490"/>
      <c r="E240" s="491"/>
      <c r="G240" s="65"/>
    </row>
    <row r="241" spans="2:7" ht="14.25" customHeight="1" x14ac:dyDescent="0.3">
      <c r="B241" s="489"/>
      <c r="C241" s="490"/>
      <c r="E241" s="491"/>
      <c r="G241" s="65"/>
    </row>
    <row r="242" spans="2:7" ht="14.25" customHeight="1" x14ac:dyDescent="0.3">
      <c r="B242" s="489"/>
      <c r="C242" s="490"/>
      <c r="E242" s="491"/>
      <c r="G242" s="65"/>
    </row>
    <row r="243" spans="2:7" ht="14.25" customHeight="1" x14ac:dyDescent="0.3">
      <c r="B243" s="489"/>
      <c r="C243" s="490"/>
      <c r="E243" s="491"/>
      <c r="G243" s="65"/>
    </row>
    <row r="244" spans="2:7" ht="14.25" customHeight="1" x14ac:dyDescent="0.3">
      <c r="B244" s="489"/>
      <c r="C244" s="490"/>
      <c r="E244" s="491"/>
      <c r="G244" s="65"/>
    </row>
    <row r="245" spans="2:7" ht="14.25" customHeight="1" x14ac:dyDescent="0.3">
      <c r="B245" s="489"/>
      <c r="C245" s="490"/>
      <c r="E245" s="491"/>
      <c r="G245" s="65"/>
    </row>
    <row r="246" spans="2:7" ht="14.25" customHeight="1" x14ac:dyDescent="0.3">
      <c r="B246" s="489"/>
      <c r="C246" s="490"/>
      <c r="E246" s="491"/>
      <c r="G246" s="65"/>
    </row>
    <row r="247" spans="2:7" ht="14.25" customHeight="1" x14ac:dyDescent="0.3">
      <c r="B247" s="489"/>
      <c r="C247" s="490"/>
      <c r="E247" s="491"/>
      <c r="G247" s="65"/>
    </row>
    <row r="248" spans="2:7" ht="14.25" customHeight="1" x14ac:dyDescent="0.3">
      <c r="B248" s="489"/>
      <c r="C248" s="490"/>
      <c r="E248" s="491"/>
      <c r="G248" s="65"/>
    </row>
    <row r="249" spans="2:7" ht="14.25" customHeight="1" x14ac:dyDescent="0.3">
      <c r="B249" s="489"/>
      <c r="C249" s="490"/>
      <c r="E249" s="491"/>
      <c r="G249" s="65"/>
    </row>
    <row r="250" spans="2:7" ht="14.25" customHeight="1" x14ac:dyDescent="0.3">
      <c r="B250" s="489"/>
      <c r="C250" s="490"/>
      <c r="E250" s="491"/>
      <c r="G250" s="65"/>
    </row>
    <row r="251" spans="2:7" ht="14.25" customHeight="1" x14ac:dyDescent="0.3">
      <c r="B251" s="489"/>
      <c r="C251" s="490"/>
      <c r="E251" s="491"/>
      <c r="G251" s="65"/>
    </row>
    <row r="252" spans="2:7" ht="14.25" customHeight="1" x14ac:dyDescent="0.3">
      <c r="B252" s="489"/>
      <c r="C252" s="490"/>
      <c r="E252" s="491"/>
      <c r="G252" s="65"/>
    </row>
    <row r="253" spans="2:7" ht="14.25" customHeight="1" x14ac:dyDescent="0.3">
      <c r="B253" s="489"/>
      <c r="C253" s="490"/>
      <c r="E253" s="491"/>
      <c r="G253" s="65"/>
    </row>
    <row r="254" spans="2:7" ht="14.25" customHeight="1" x14ac:dyDescent="0.3">
      <c r="B254" s="489"/>
      <c r="C254" s="490"/>
      <c r="E254" s="491"/>
      <c r="G254" s="65"/>
    </row>
    <row r="255" spans="2:7" ht="14.25" customHeight="1" x14ac:dyDescent="0.3">
      <c r="B255" s="489"/>
      <c r="C255" s="490"/>
      <c r="E255" s="491"/>
      <c r="G255" s="65"/>
    </row>
    <row r="256" spans="2:7" ht="14.25" customHeight="1" x14ac:dyDescent="0.3">
      <c r="B256" s="489"/>
      <c r="C256" s="490"/>
      <c r="E256" s="491"/>
      <c r="G256" s="65"/>
    </row>
    <row r="257" spans="2:7" ht="14.25" customHeight="1" x14ac:dyDescent="0.3">
      <c r="B257" s="489"/>
      <c r="C257" s="490"/>
      <c r="E257" s="491"/>
      <c r="G257" s="65"/>
    </row>
    <row r="258" spans="2:7" ht="14.25" customHeight="1" x14ac:dyDescent="0.3">
      <c r="B258" s="489"/>
      <c r="C258" s="490"/>
      <c r="E258" s="491"/>
      <c r="G258" s="65"/>
    </row>
    <row r="259" spans="2:7" ht="14.25" customHeight="1" x14ac:dyDescent="0.3">
      <c r="B259" s="489"/>
      <c r="C259" s="490"/>
      <c r="E259" s="491"/>
      <c r="G259" s="65"/>
    </row>
    <row r="260" spans="2:7" ht="14.25" customHeight="1" x14ac:dyDescent="0.3">
      <c r="B260" s="489"/>
      <c r="C260" s="490"/>
      <c r="E260" s="491"/>
      <c r="G260" s="65"/>
    </row>
    <row r="261" spans="2:7" ht="14.25" customHeight="1" x14ac:dyDescent="0.3">
      <c r="B261" s="489"/>
      <c r="C261" s="490"/>
      <c r="E261" s="491"/>
      <c r="G261" s="65"/>
    </row>
    <row r="262" spans="2:7" ht="14.25" customHeight="1" x14ac:dyDescent="0.3">
      <c r="B262" s="489"/>
      <c r="C262" s="490"/>
      <c r="E262" s="491"/>
      <c r="G262" s="65"/>
    </row>
    <row r="263" spans="2:7" ht="14.25" customHeight="1" x14ac:dyDescent="0.3">
      <c r="B263" s="489"/>
      <c r="C263" s="490"/>
      <c r="E263" s="491"/>
      <c r="G263" s="65"/>
    </row>
    <row r="264" spans="2:7" ht="14.25" customHeight="1" x14ac:dyDescent="0.3">
      <c r="B264" s="489"/>
      <c r="C264" s="490"/>
      <c r="E264" s="491"/>
      <c r="G264" s="65"/>
    </row>
    <row r="265" spans="2:7" ht="14.25" customHeight="1" x14ac:dyDescent="0.3">
      <c r="B265" s="489"/>
      <c r="C265" s="490"/>
      <c r="E265" s="491"/>
      <c r="G265" s="65"/>
    </row>
    <row r="266" spans="2:7" ht="14.25" customHeight="1" x14ac:dyDescent="0.3">
      <c r="B266" s="489"/>
      <c r="C266" s="490"/>
      <c r="E266" s="491"/>
      <c r="G266" s="65"/>
    </row>
    <row r="267" spans="2:7" ht="14.25" customHeight="1" x14ac:dyDescent="0.3">
      <c r="B267" s="489"/>
      <c r="C267" s="490"/>
      <c r="E267" s="491"/>
      <c r="G267" s="65"/>
    </row>
    <row r="268" spans="2:7" ht="14.25" customHeight="1" x14ac:dyDescent="0.3">
      <c r="B268" s="489"/>
      <c r="C268" s="490"/>
      <c r="E268" s="491"/>
      <c r="G268" s="65"/>
    </row>
    <row r="269" spans="2:7" ht="14.25" customHeight="1" x14ac:dyDescent="0.3">
      <c r="B269" s="489"/>
      <c r="C269" s="490"/>
      <c r="E269" s="491"/>
      <c r="G269" s="65"/>
    </row>
    <row r="270" spans="2:7" ht="14.25" customHeight="1" x14ac:dyDescent="0.3">
      <c r="B270" s="489"/>
      <c r="C270" s="490"/>
      <c r="E270" s="491"/>
      <c r="G270" s="65"/>
    </row>
    <row r="271" spans="2:7" ht="14.25" customHeight="1" x14ac:dyDescent="0.3">
      <c r="B271" s="489"/>
      <c r="C271" s="490"/>
      <c r="E271" s="491"/>
      <c r="G271" s="65"/>
    </row>
    <row r="272" spans="2:7" ht="14.25" customHeight="1" x14ac:dyDescent="0.3">
      <c r="B272" s="489"/>
      <c r="C272" s="490"/>
      <c r="E272" s="491"/>
      <c r="G272" s="65"/>
    </row>
    <row r="273" spans="2:7" ht="14.25" customHeight="1" x14ac:dyDescent="0.3">
      <c r="B273" s="489"/>
      <c r="C273" s="490"/>
      <c r="E273" s="491"/>
      <c r="G273" s="65"/>
    </row>
    <row r="274" spans="2:7" ht="14.25" customHeight="1" x14ac:dyDescent="0.3">
      <c r="B274" s="489"/>
      <c r="C274" s="490"/>
      <c r="E274" s="491"/>
      <c r="G274" s="65"/>
    </row>
    <row r="275" spans="2:7" ht="14.25" customHeight="1" x14ac:dyDescent="0.3">
      <c r="B275" s="489"/>
      <c r="C275" s="490"/>
      <c r="E275" s="491"/>
      <c r="G275" s="65"/>
    </row>
    <row r="276" spans="2:7" ht="14.25" customHeight="1" x14ac:dyDescent="0.3">
      <c r="B276" s="489"/>
      <c r="C276" s="490"/>
      <c r="E276" s="491"/>
      <c r="G276" s="65"/>
    </row>
    <row r="277" spans="2:7" ht="14.25" customHeight="1" x14ac:dyDescent="0.3">
      <c r="B277" s="489"/>
      <c r="C277" s="490"/>
      <c r="E277" s="491"/>
      <c r="G277" s="65"/>
    </row>
    <row r="278" spans="2:7" ht="14.25" customHeight="1" x14ac:dyDescent="0.3">
      <c r="B278" s="489"/>
      <c r="C278" s="490"/>
      <c r="E278" s="491"/>
      <c r="G278" s="65"/>
    </row>
    <row r="279" spans="2:7" ht="14.25" customHeight="1" x14ac:dyDescent="0.3">
      <c r="B279" s="489"/>
      <c r="C279" s="490"/>
      <c r="E279" s="491"/>
      <c r="G279" s="65"/>
    </row>
    <row r="280" spans="2:7" ht="14.25" customHeight="1" x14ac:dyDescent="0.3">
      <c r="B280" s="489"/>
      <c r="C280" s="490"/>
      <c r="E280" s="491"/>
      <c r="G280" s="65"/>
    </row>
    <row r="281" spans="2:7" ht="14.25" customHeight="1" x14ac:dyDescent="0.3">
      <c r="B281" s="489"/>
      <c r="C281" s="490"/>
      <c r="E281" s="491"/>
      <c r="G281" s="65"/>
    </row>
    <row r="282" spans="2:7" ht="14.25" customHeight="1" x14ac:dyDescent="0.3">
      <c r="B282" s="489"/>
      <c r="C282" s="490"/>
      <c r="E282" s="491"/>
      <c r="G282" s="65"/>
    </row>
    <row r="283" spans="2:7" ht="14.25" customHeight="1" x14ac:dyDescent="0.3">
      <c r="B283" s="489"/>
      <c r="C283" s="490"/>
      <c r="E283" s="491"/>
      <c r="G283" s="65"/>
    </row>
    <row r="284" spans="2:7" ht="14.25" customHeight="1" x14ac:dyDescent="0.3">
      <c r="B284" s="489"/>
      <c r="C284" s="490"/>
      <c r="E284" s="491"/>
      <c r="G284" s="65"/>
    </row>
    <row r="285" spans="2:7" ht="14.25" customHeight="1" x14ac:dyDescent="0.3">
      <c r="B285" s="489"/>
      <c r="C285" s="490"/>
      <c r="E285" s="491"/>
      <c r="G285" s="65"/>
    </row>
    <row r="286" spans="2:7" ht="14.25" customHeight="1" x14ac:dyDescent="0.3">
      <c r="B286" s="489"/>
      <c r="C286" s="490"/>
      <c r="E286" s="491"/>
      <c r="G286" s="65"/>
    </row>
    <row r="287" spans="2:7" ht="14.25" customHeight="1" x14ac:dyDescent="0.3">
      <c r="B287" s="489"/>
      <c r="C287" s="490"/>
      <c r="E287" s="491"/>
      <c r="G287" s="65"/>
    </row>
    <row r="288" spans="2:7" ht="14.25" customHeight="1" x14ac:dyDescent="0.3">
      <c r="B288" s="489"/>
      <c r="C288" s="490"/>
      <c r="E288" s="491"/>
      <c r="G288" s="65"/>
    </row>
    <row r="289" spans="2:7" ht="14.25" customHeight="1" x14ac:dyDescent="0.3">
      <c r="B289" s="489"/>
      <c r="C289" s="490"/>
      <c r="E289" s="491"/>
      <c r="G289" s="65"/>
    </row>
    <row r="290" spans="2:7" ht="14.25" customHeight="1" x14ac:dyDescent="0.3">
      <c r="B290" s="489"/>
      <c r="C290" s="490"/>
      <c r="E290" s="491"/>
      <c r="G290" s="65"/>
    </row>
    <row r="291" spans="2:7" ht="14.25" customHeight="1" x14ac:dyDescent="0.3">
      <c r="B291" s="489"/>
      <c r="C291" s="490"/>
      <c r="E291" s="491"/>
      <c r="G291" s="65"/>
    </row>
    <row r="292" spans="2:7" ht="14.25" customHeight="1" x14ac:dyDescent="0.3">
      <c r="B292" s="489"/>
      <c r="C292" s="490"/>
      <c r="E292" s="491"/>
      <c r="G292" s="65"/>
    </row>
    <row r="293" spans="2:7" ht="14.25" customHeight="1" x14ac:dyDescent="0.3">
      <c r="B293" s="489"/>
      <c r="C293" s="490"/>
      <c r="E293" s="491"/>
      <c r="G293" s="65"/>
    </row>
    <row r="294" spans="2:7" ht="14.25" customHeight="1" x14ac:dyDescent="0.3">
      <c r="B294" s="489"/>
      <c r="C294" s="490"/>
      <c r="E294" s="491"/>
      <c r="G294" s="65"/>
    </row>
    <row r="295" spans="2:7" ht="14.25" customHeight="1" x14ac:dyDescent="0.3">
      <c r="B295" s="489"/>
      <c r="C295" s="490"/>
      <c r="E295" s="491"/>
      <c r="G295" s="65"/>
    </row>
    <row r="296" spans="2:7" ht="14.25" customHeight="1" x14ac:dyDescent="0.3">
      <c r="B296" s="489"/>
      <c r="C296" s="490"/>
      <c r="E296" s="491"/>
      <c r="G296" s="65"/>
    </row>
    <row r="297" spans="2:7" ht="14.25" customHeight="1" x14ac:dyDescent="0.3">
      <c r="B297" s="489"/>
      <c r="C297" s="490"/>
      <c r="E297" s="491"/>
      <c r="G297" s="65"/>
    </row>
    <row r="298" spans="2:7" ht="14.25" customHeight="1" x14ac:dyDescent="0.3">
      <c r="B298" s="489"/>
      <c r="C298" s="490"/>
      <c r="E298" s="491"/>
      <c r="G298" s="65"/>
    </row>
    <row r="299" spans="2:7" ht="14.25" customHeight="1" x14ac:dyDescent="0.3">
      <c r="B299" s="489"/>
      <c r="C299" s="490"/>
      <c r="E299" s="491"/>
      <c r="G299" s="65"/>
    </row>
    <row r="300" spans="2:7" ht="14.25" customHeight="1" x14ac:dyDescent="0.3">
      <c r="B300" s="489"/>
      <c r="C300" s="490"/>
      <c r="E300" s="491"/>
      <c r="G300" s="65"/>
    </row>
    <row r="301" spans="2:7" ht="14.25" customHeight="1" x14ac:dyDescent="0.3">
      <c r="B301" s="489"/>
      <c r="C301" s="490"/>
      <c r="E301" s="491"/>
      <c r="G301" s="65"/>
    </row>
    <row r="302" spans="2:7" ht="14.25" customHeight="1" x14ac:dyDescent="0.3">
      <c r="B302" s="489"/>
      <c r="C302" s="490"/>
      <c r="E302" s="491"/>
      <c r="G302" s="65"/>
    </row>
    <row r="303" spans="2:7" ht="14.25" customHeight="1" x14ac:dyDescent="0.3">
      <c r="B303" s="489"/>
      <c r="C303" s="490"/>
      <c r="E303" s="491"/>
      <c r="G303" s="65"/>
    </row>
    <row r="304" spans="2:7" ht="14.25" customHeight="1" x14ac:dyDescent="0.3">
      <c r="B304" s="489"/>
      <c r="C304" s="490"/>
      <c r="E304" s="491"/>
      <c r="G304" s="65"/>
    </row>
    <row r="305" spans="2:7" ht="14.25" customHeight="1" x14ac:dyDescent="0.3">
      <c r="B305" s="489"/>
      <c r="C305" s="490"/>
      <c r="E305" s="491"/>
      <c r="G305" s="65"/>
    </row>
    <row r="306" spans="2:7" ht="14.25" customHeight="1" x14ac:dyDescent="0.3">
      <c r="B306" s="489"/>
      <c r="C306" s="490"/>
      <c r="E306" s="491"/>
      <c r="G306" s="65"/>
    </row>
    <row r="307" spans="2:7" ht="14.25" customHeight="1" x14ac:dyDescent="0.3">
      <c r="B307" s="489"/>
      <c r="C307" s="490"/>
      <c r="E307" s="491"/>
      <c r="G307" s="65"/>
    </row>
    <row r="308" spans="2:7" ht="14.25" customHeight="1" x14ac:dyDescent="0.3">
      <c r="B308" s="489"/>
      <c r="C308" s="490"/>
      <c r="E308" s="491"/>
      <c r="G308" s="65"/>
    </row>
    <row r="309" spans="2:7" ht="14.25" customHeight="1" x14ac:dyDescent="0.3">
      <c r="B309" s="489"/>
      <c r="C309" s="490"/>
      <c r="E309" s="491"/>
      <c r="G309" s="65"/>
    </row>
    <row r="310" spans="2:7" ht="14.25" customHeight="1" x14ac:dyDescent="0.3">
      <c r="B310" s="489"/>
      <c r="C310" s="490"/>
      <c r="E310" s="491"/>
      <c r="G310" s="65"/>
    </row>
    <row r="311" spans="2:7" ht="14.25" customHeight="1" x14ac:dyDescent="0.3">
      <c r="B311" s="489"/>
      <c r="C311" s="490"/>
      <c r="E311" s="491"/>
      <c r="G311" s="65"/>
    </row>
    <row r="312" spans="2:7" ht="14.25" customHeight="1" x14ac:dyDescent="0.3">
      <c r="B312" s="489"/>
      <c r="C312" s="490"/>
      <c r="E312" s="491"/>
      <c r="G312" s="65"/>
    </row>
    <row r="313" spans="2:7" ht="14.25" customHeight="1" x14ac:dyDescent="0.3">
      <c r="B313" s="489"/>
      <c r="C313" s="490"/>
      <c r="E313" s="491"/>
      <c r="G313" s="65"/>
    </row>
    <row r="314" spans="2:7" ht="14.25" customHeight="1" x14ac:dyDescent="0.3">
      <c r="B314" s="489"/>
      <c r="C314" s="490"/>
      <c r="E314" s="491"/>
      <c r="G314" s="65"/>
    </row>
    <row r="315" spans="2:7" ht="14.25" customHeight="1" x14ac:dyDescent="0.3">
      <c r="B315" s="489"/>
      <c r="C315" s="490"/>
      <c r="E315" s="491"/>
      <c r="G315" s="65"/>
    </row>
    <row r="316" spans="2:7" ht="14.25" customHeight="1" x14ac:dyDescent="0.3">
      <c r="B316" s="489"/>
      <c r="C316" s="490"/>
      <c r="E316" s="491"/>
      <c r="G316" s="65"/>
    </row>
    <row r="317" spans="2:7" ht="14.25" customHeight="1" x14ac:dyDescent="0.3">
      <c r="B317" s="489"/>
      <c r="C317" s="490"/>
      <c r="E317" s="491"/>
      <c r="G317" s="65"/>
    </row>
    <row r="318" spans="2:7" ht="14.25" customHeight="1" x14ac:dyDescent="0.3">
      <c r="B318" s="489"/>
      <c r="C318" s="490"/>
      <c r="E318" s="491"/>
      <c r="G318" s="65"/>
    </row>
    <row r="319" spans="2:7" ht="14.25" customHeight="1" x14ac:dyDescent="0.3">
      <c r="B319" s="489"/>
      <c r="C319" s="490"/>
      <c r="E319" s="491"/>
      <c r="G319" s="65"/>
    </row>
    <row r="320" spans="2:7" ht="14.25" customHeight="1" x14ac:dyDescent="0.3">
      <c r="B320" s="489"/>
      <c r="C320" s="490"/>
      <c r="E320" s="491"/>
      <c r="G320" s="65"/>
    </row>
    <row r="321" spans="2:7" ht="14.25" customHeight="1" x14ac:dyDescent="0.3">
      <c r="B321" s="489"/>
      <c r="C321" s="490"/>
      <c r="E321" s="491"/>
      <c r="G321" s="65"/>
    </row>
    <row r="322" spans="2:7" ht="14.25" customHeight="1" x14ac:dyDescent="0.3">
      <c r="B322" s="489"/>
      <c r="C322" s="490"/>
      <c r="E322" s="491"/>
      <c r="G322" s="65"/>
    </row>
    <row r="323" spans="2:7" ht="14.25" customHeight="1" x14ac:dyDescent="0.3">
      <c r="B323" s="489"/>
      <c r="C323" s="490"/>
      <c r="E323" s="491"/>
      <c r="G323" s="65"/>
    </row>
    <row r="324" spans="2:7" ht="14.25" customHeight="1" x14ac:dyDescent="0.3">
      <c r="B324" s="489"/>
      <c r="C324" s="490"/>
      <c r="E324" s="491"/>
      <c r="G324" s="65"/>
    </row>
    <row r="325" spans="2:7" ht="14.25" customHeight="1" x14ac:dyDescent="0.3">
      <c r="B325" s="489"/>
      <c r="C325" s="490"/>
      <c r="E325" s="491"/>
      <c r="G325" s="65"/>
    </row>
    <row r="326" spans="2:7" ht="14.25" customHeight="1" x14ac:dyDescent="0.3">
      <c r="B326" s="489"/>
      <c r="C326" s="490"/>
      <c r="E326" s="491"/>
      <c r="G326" s="65"/>
    </row>
    <row r="327" spans="2:7" ht="14.25" customHeight="1" x14ac:dyDescent="0.3">
      <c r="B327" s="489"/>
      <c r="C327" s="490"/>
      <c r="E327" s="491"/>
      <c r="G327" s="65"/>
    </row>
    <row r="328" spans="2:7" ht="14.25" customHeight="1" x14ac:dyDescent="0.3">
      <c r="B328" s="489"/>
      <c r="C328" s="490"/>
      <c r="E328" s="491"/>
      <c r="G328" s="65"/>
    </row>
    <row r="329" spans="2:7" ht="14.25" customHeight="1" x14ac:dyDescent="0.3">
      <c r="B329" s="489"/>
      <c r="C329" s="490"/>
      <c r="E329" s="491"/>
      <c r="G329" s="65"/>
    </row>
    <row r="330" spans="2:7" ht="14.25" customHeight="1" x14ac:dyDescent="0.3">
      <c r="B330" s="489"/>
      <c r="C330" s="490"/>
      <c r="E330" s="491"/>
      <c r="G330" s="65"/>
    </row>
    <row r="331" spans="2:7" ht="14.25" customHeight="1" x14ac:dyDescent="0.3">
      <c r="B331" s="489"/>
      <c r="C331" s="490"/>
      <c r="E331" s="491"/>
      <c r="G331" s="65"/>
    </row>
    <row r="332" spans="2:7" ht="14.25" customHeight="1" x14ac:dyDescent="0.3">
      <c r="B332" s="489"/>
      <c r="C332" s="490"/>
      <c r="E332" s="491"/>
      <c r="G332" s="65"/>
    </row>
    <row r="333" spans="2:7" ht="14.25" customHeight="1" x14ac:dyDescent="0.3">
      <c r="B333" s="489"/>
      <c r="C333" s="490"/>
      <c r="E333" s="491"/>
      <c r="G333" s="65"/>
    </row>
    <row r="334" spans="2:7" ht="14.25" customHeight="1" x14ac:dyDescent="0.3">
      <c r="B334" s="489"/>
      <c r="C334" s="490"/>
      <c r="E334" s="491"/>
      <c r="G334" s="65"/>
    </row>
    <row r="335" spans="2:7" ht="14.25" customHeight="1" x14ac:dyDescent="0.3">
      <c r="B335" s="489"/>
      <c r="C335" s="490"/>
      <c r="E335" s="491"/>
      <c r="G335" s="65"/>
    </row>
    <row r="336" spans="2:7" ht="14.25" customHeight="1" x14ac:dyDescent="0.3">
      <c r="B336" s="489"/>
      <c r="C336" s="490"/>
      <c r="E336" s="491"/>
      <c r="G336" s="65"/>
    </row>
    <row r="337" spans="2:7" ht="14.25" customHeight="1" x14ac:dyDescent="0.3">
      <c r="B337" s="489"/>
      <c r="C337" s="490"/>
      <c r="E337" s="491"/>
      <c r="G337" s="65"/>
    </row>
    <row r="338" spans="2:7" ht="14.25" customHeight="1" x14ac:dyDescent="0.3">
      <c r="B338" s="489"/>
      <c r="C338" s="490"/>
      <c r="E338" s="491"/>
      <c r="G338" s="65"/>
    </row>
    <row r="339" spans="2:7" ht="14.25" customHeight="1" x14ac:dyDescent="0.3">
      <c r="B339" s="489"/>
      <c r="C339" s="490"/>
      <c r="E339" s="491"/>
      <c r="G339" s="65"/>
    </row>
    <row r="340" spans="2:7" ht="14.25" customHeight="1" x14ac:dyDescent="0.3">
      <c r="B340" s="489"/>
      <c r="C340" s="490"/>
      <c r="E340" s="491"/>
      <c r="G340" s="65"/>
    </row>
    <row r="341" spans="2:7" ht="14.25" customHeight="1" x14ac:dyDescent="0.3">
      <c r="B341" s="489"/>
      <c r="C341" s="490"/>
      <c r="E341" s="491"/>
      <c r="G341" s="65"/>
    </row>
    <row r="342" spans="2:7" ht="14.25" customHeight="1" x14ac:dyDescent="0.3">
      <c r="B342" s="489"/>
      <c r="C342" s="490"/>
      <c r="E342" s="491"/>
      <c r="G342" s="65"/>
    </row>
    <row r="343" spans="2:7" ht="14.25" customHeight="1" x14ac:dyDescent="0.3">
      <c r="B343" s="489"/>
      <c r="C343" s="490"/>
      <c r="E343" s="491"/>
      <c r="G343" s="65"/>
    </row>
    <row r="344" spans="2:7" ht="14.25" customHeight="1" x14ac:dyDescent="0.3">
      <c r="B344" s="489"/>
      <c r="C344" s="490"/>
      <c r="E344" s="491"/>
      <c r="G344" s="65"/>
    </row>
    <row r="345" spans="2:7" ht="14.25" customHeight="1" x14ac:dyDescent="0.3">
      <c r="B345" s="489"/>
      <c r="C345" s="490"/>
      <c r="E345" s="491"/>
      <c r="G345" s="65"/>
    </row>
    <row r="346" spans="2:7" ht="14.25" customHeight="1" x14ac:dyDescent="0.3">
      <c r="B346" s="489"/>
      <c r="C346" s="490"/>
      <c r="E346" s="491"/>
      <c r="G346" s="65"/>
    </row>
    <row r="347" spans="2:7" ht="14.25" customHeight="1" x14ac:dyDescent="0.3">
      <c r="B347" s="489"/>
      <c r="C347" s="490"/>
      <c r="E347" s="491"/>
      <c r="G347" s="65"/>
    </row>
    <row r="348" spans="2:7" ht="14.25" customHeight="1" x14ac:dyDescent="0.3">
      <c r="B348" s="489"/>
      <c r="C348" s="490"/>
      <c r="E348" s="491"/>
      <c r="G348" s="65"/>
    </row>
    <row r="349" spans="2:7" ht="14.25" customHeight="1" x14ac:dyDescent="0.3">
      <c r="B349" s="489"/>
      <c r="C349" s="490"/>
      <c r="E349" s="491"/>
      <c r="G349" s="65"/>
    </row>
    <row r="350" spans="2:7" ht="14.25" customHeight="1" x14ac:dyDescent="0.3">
      <c r="B350" s="489"/>
      <c r="C350" s="490"/>
      <c r="E350" s="491"/>
      <c r="G350" s="65"/>
    </row>
    <row r="351" spans="2:7" ht="14.25" customHeight="1" x14ac:dyDescent="0.3">
      <c r="B351" s="489"/>
      <c r="C351" s="490"/>
      <c r="E351" s="491"/>
      <c r="G351" s="65"/>
    </row>
    <row r="352" spans="2:7" ht="14.25" customHeight="1" x14ac:dyDescent="0.3">
      <c r="B352" s="489"/>
      <c r="C352" s="490"/>
      <c r="E352" s="491"/>
      <c r="G352" s="65"/>
    </row>
    <row r="353" spans="2:7" ht="14.25" customHeight="1" x14ac:dyDescent="0.3">
      <c r="B353" s="489"/>
      <c r="C353" s="490"/>
      <c r="E353" s="491"/>
      <c r="G353" s="65"/>
    </row>
    <row r="354" spans="2:7" ht="14.25" customHeight="1" x14ac:dyDescent="0.3">
      <c r="B354" s="489"/>
      <c r="C354" s="490"/>
      <c r="E354" s="491"/>
      <c r="G354" s="65"/>
    </row>
    <row r="355" spans="2:7" ht="14.25" customHeight="1" x14ac:dyDescent="0.3">
      <c r="B355" s="489"/>
      <c r="C355" s="490"/>
      <c r="E355" s="491"/>
      <c r="G355" s="65"/>
    </row>
    <row r="356" spans="2:7" ht="14.25" customHeight="1" x14ac:dyDescent="0.3">
      <c r="B356" s="489"/>
      <c r="C356" s="490"/>
      <c r="E356" s="491"/>
      <c r="G356" s="65"/>
    </row>
    <row r="357" spans="2:7" ht="14.25" customHeight="1" x14ac:dyDescent="0.3">
      <c r="B357" s="489"/>
      <c r="C357" s="490"/>
      <c r="E357" s="491"/>
      <c r="G357" s="65"/>
    </row>
    <row r="358" spans="2:7" ht="14.25" customHeight="1" x14ac:dyDescent="0.3">
      <c r="B358" s="489"/>
      <c r="C358" s="490"/>
      <c r="E358" s="491"/>
      <c r="G358" s="65"/>
    </row>
    <row r="359" spans="2:7" ht="14.25" customHeight="1" x14ac:dyDescent="0.3">
      <c r="B359" s="489"/>
      <c r="C359" s="490"/>
      <c r="E359" s="491"/>
      <c r="G359" s="65"/>
    </row>
    <row r="360" spans="2:7" ht="14.25" customHeight="1" x14ac:dyDescent="0.3">
      <c r="B360" s="489"/>
      <c r="C360" s="490"/>
      <c r="E360" s="491"/>
      <c r="G360" s="65"/>
    </row>
    <row r="361" spans="2:7" ht="14.25" customHeight="1" x14ac:dyDescent="0.3">
      <c r="B361" s="489"/>
      <c r="C361" s="490"/>
      <c r="E361" s="491"/>
      <c r="G361" s="65"/>
    </row>
    <row r="362" spans="2:7" ht="14.25" customHeight="1" x14ac:dyDescent="0.3">
      <c r="B362" s="489"/>
      <c r="C362" s="490"/>
      <c r="E362" s="491"/>
      <c r="G362" s="65"/>
    </row>
    <row r="363" spans="2:7" ht="14.25" customHeight="1" x14ac:dyDescent="0.3">
      <c r="B363" s="489"/>
      <c r="C363" s="490"/>
      <c r="E363" s="491"/>
      <c r="G363" s="65"/>
    </row>
    <row r="364" spans="2:7" ht="14.25" customHeight="1" x14ac:dyDescent="0.3">
      <c r="B364" s="489"/>
      <c r="C364" s="490"/>
      <c r="E364" s="491"/>
      <c r="G364" s="65"/>
    </row>
    <row r="365" spans="2:7" ht="14.25" customHeight="1" x14ac:dyDescent="0.3">
      <c r="B365" s="489"/>
      <c r="C365" s="490"/>
      <c r="E365" s="491"/>
      <c r="G365" s="65"/>
    </row>
    <row r="366" spans="2:7" ht="14.25" customHeight="1" x14ac:dyDescent="0.3">
      <c r="B366" s="489"/>
      <c r="C366" s="490"/>
      <c r="E366" s="491"/>
      <c r="G366" s="65"/>
    </row>
    <row r="367" spans="2:7" ht="14.25" customHeight="1" x14ac:dyDescent="0.3">
      <c r="B367" s="489"/>
      <c r="C367" s="490"/>
      <c r="E367" s="491"/>
      <c r="G367" s="65"/>
    </row>
    <row r="368" spans="2:7" ht="14.25" customHeight="1" x14ac:dyDescent="0.3">
      <c r="B368" s="489"/>
      <c r="C368" s="490"/>
      <c r="E368" s="491"/>
      <c r="G368" s="65"/>
    </row>
    <row r="369" spans="2:7" ht="14.25" customHeight="1" x14ac:dyDescent="0.3">
      <c r="B369" s="489"/>
      <c r="C369" s="490"/>
      <c r="E369" s="491"/>
      <c r="G369" s="65"/>
    </row>
    <row r="370" spans="2:7" ht="14.25" customHeight="1" x14ac:dyDescent="0.3">
      <c r="B370" s="489"/>
      <c r="C370" s="490"/>
      <c r="E370" s="491"/>
      <c r="G370" s="65"/>
    </row>
    <row r="371" spans="2:7" ht="14.25" customHeight="1" x14ac:dyDescent="0.3">
      <c r="B371" s="489"/>
      <c r="C371" s="490"/>
      <c r="E371" s="491"/>
      <c r="G371" s="65"/>
    </row>
    <row r="372" spans="2:7" ht="14.25" customHeight="1" x14ac:dyDescent="0.3">
      <c r="B372" s="489"/>
      <c r="C372" s="490"/>
      <c r="E372" s="491"/>
      <c r="G372" s="65"/>
    </row>
    <row r="373" spans="2:7" ht="14.25" customHeight="1" x14ac:dyDescent="0.3">
      <c r="B373" s="489"/>
      <c r="C373" s="490"/>
      <c r="E373" s="491"/>
      <c r="G373" s="65"/>
    </row>
    <row r="374" spans="2:7" ht="14.25" customHeight="1" x14ac:dyDescent="0.3">
      <c r="B374" s="489"/>
      <c r="C374" s="490"/>
      <c r="E374" s="491"/>
      <c r="G374" s="65"/>
    </row>
    <row r="375" spans="2:7" ht="14.25" customHeight="1" x14ac:dyDescent="0.3">
      <c r="B375" s="489"/>
      <c r="C375" s="490"/>
      <c r="E375" s="491"/>
      <c r="G375" s="65"/>
    </row>
    <row r="376" spans="2:7" ht="14.25" customHeight="1" x14ac:dyDescent="0.3">
      <c r="B376" s="489"/>
      <c r="C376" s="490"/>
      <c r="E376" s="491"/>
      <c r="G376" s="65"/>
    </row>
    <row r="377" spans="2:7" ht="14.25" customHeight="1" x14ac:dyDescent="0.3">
      <c r="B377" s="489"/>
      <c r="C377" s="490"/>
      <c r="E377" s="491"/>
      <c r="G377" s="65"/>
    </row>
    <row r="378" spans="2:7" ht="14.25" customHeight="1" x14ac:dyDescent="0.3">
      <c r="B378" s="489"/>
      <c r="C378" s="490"/>
      <c r="E378" s="491"/>
      <c r="G378" s="65"/>
    </row>
    <row r="379" spans="2:7" ht="14.25" customHeight="1" x14ac:dyDescent="0.3">
      <c r="B379" s="489"/>
      <c r="C379" s="490"/>
      <c r="E379" s="491"/>
      <c r="G379" s="65"/>
    </row>
    <row r="380" spans="2:7" ht="14.25" customHeight="1" x14ac:dyDescent="0.3">
      <c r="B380" s="489"/>
      <c r="C380" s="490"/>
      <c r="E380" s="491"/>
      <c r="G380" s="65"/>
    </row>
    <row r="381" spans="2:7" ht="14.25" customHeight="1" x14ac:dyDescent="0.3">
      <c r="B381" s="489"/>
      <c r="C381" s="490"/>
      <c r="E381" s="491"/>
      <c r="G381" s="65"/>
    </row>
    <row r="382" spans="2:7" ht="14.25" customHeight="1" x14ac:dyDescent="0.3">
      <c r="B382" s="489"/>
      <c r="C382" s="490"/>
      <c r="E382" s="491"/>
      <c r="G382" s="65"/>
    </row>
    <row r="383" spans="2:7" ht="14.25" customHeight="1" x14ac:dyDescent="0.3">
      <c r="B383" s="489"/>
      <c r="C383" s="490"/>
      <c r="E383" s="491"/>
      <c r="G383" s="65"/>
    </row>
    <row r="384" spans="2:7" ht="14.25" customHeight="1" x14ac:dyDescent="0.3">
      <c r="B384" s="489"/>
      <c r="C384" s="490"/>
      <c r="E384" s="491"/>
      <c r="G384" s="65"/>
    </row>
    <row r="385" spans="2:7" ht="14.25" customHeight="1" x14ac:dyDescent="0.3">
      <c r="B385" s="489"/>
      <c r="C385" s="490"/>
      <c r="E385" s="491"/>
      <c r="G385" s="65"/>
    </row>
    <row r="386" spans="2:7" ht="14.25" customHeight="1" x14ac:dyDescent="0.3">
      <c r="B386" s="489"/>
      <c r="C386" s="490"/>
      <c r="E386" s="491"/>
      <c r="G386" s="65"/>
    </row>
    <row r="387" spans="2:7" ht="14.25" customHeight="1" x14ac:dyDescent="0.3">
      <c r="B387" s="489"/>
      <c r="C387" s="490"/>
      <c r="E387" s="491"/>
      <c r="G387" s="65"/>
    </row>
    <row r="388" spans="2:7" ht="14.25" customHeight="1" x14ac:dyDescent="0.3">
      <c r="B388" s="489"/>
      <c r="C388" s="490"/>
      <c r="E388" s="491"/>
      <c r="G388" s="65"/>
    </row>
    <row r="389" spans="2:7" ht="14.25" customHeight="1" x14ac:dyDescent="0.3">
      <c r="B389" s="489"/>
      <c r="C389" s="490"/>
      <c r="E389" s="491"/>
      <c r="G389" s="65"/>
    </row>
    <row r="390" spans="2:7" ht="14.25" customHeight="1" x14ac:dyDescent="0.3">
      <c r="B390" s="489"/>
      <c r="C390" s="490"/>
      <c r="E390" s="491"/>
      <c r="G390" s="65"/>
    </row>
    <row r="391" spans="2:7" ht="14.25" customHeight="1" x14ac:dyDescent="0.3">
      <c r="B391" s="489"/>
      <c r="C391" s="490"/>
      <c r="E391" s="491"/>
      <c r="G391" s="65"/>
    </row>
    <row r="392" spans="2:7" ht="14.25" customHeight="1" x14ac:dyDescent="0.3">
      <c r="B392" s="489"/>
      <c r="C392" s="490"/>
      <c r="E392" s="491"/>
      <c r="G392" s="65"/>
    </row>
    <row r="393" spans="2:7" ht="14.25" customHeight="1" x14ac:dyDescent="0.3">
      <c r="B393" s="489"/>
      <c r="C393" s="490"/>
      <c r="E393" s="491"/>
      <c r="G393" s="65"/>
    </row>
    <row r="394" spans="2:7" ht="14.25" customHeight="1" x14ac:dyDescent="0.3">
      <c r="B394" s="489"/>
      <c r="C394" s="490"/>
      <c r="E394" s="491"/>
      <c r="G394" s="65"/>
    </row>
    <row r="395" spans="2:7" ht="14.25" customHeight="1" x14ac:dyDescent="0.3">
      <c r="B395" s="489"/>
      <c r="C395" s="490"/>
      <c r="E395" s="491"/>
      <c r="G395" s="65"/>
    </row>
    <row r="396" spans="2:7" ht="14.25" customHeight="1" x14ac:dyDescent="0.3">
      <c r="B396" s="489"/>
      <c r="C396" s="490"/>
      <c r="E396" s="491"/>
      <c r="G396" s="65"/>
    </row>
    <row r="397" spans="2:7" ht="14.25" customHeight="1" x14ac:dyDescent="0.3">
      <c r="B397" s="489"/>
      <c r="C397" s="490"/>
      <c r="E397" s="491"/>
      <c r="G397" s="65"/>
    </row>
    <row r="398" spans="2:7" ht="14.25" customHeight="1" x14ac:dyDescent="0.3">
      <c r="B398" s="489"/>
      <c r="C398" s="490"/>
      <c r="E398" s="491"/>
      <c r="G398" s="65"/>
    </row>
    <row r="399" spans="2:7" ht="14.25" customHeight="1" x14ac:dyDescent="0.3">
      <c r="B399" s="489"/>
      <c r="C399" s="490"/>
      <c r="E399" s="491"/>
      <c r="G399" s="65"/>
    </row>
    <row r="400" spans="2:7" ht="14.25" customHeight="1" x14ac:dyDescent="0.3">
      <c r="B400" s="489"/>
      <c r="C400" s="490"/>
      <c r="E400" s="491"/>
      <c r="G400" s="65"/>
    </row>
    <row r="401" spans="2:7" ht="14.25" customHeight="1" x14ac:dyDescent="0.3">
      <c r="B401" s="489"/>
      <c r="C401" s="490"/>
      <c r="E401" s="491"/>
      <c r="G401" s="65"/>
    </row>
    <row r="402" spans="2:7" ht="14.25" customHeight="1" x14ac:dyDescent="0.3">
      <c r="B402" s="489"/>
      <c r="C402" s="490"/>
      <c r="E402" s="491"/>
      <c r="G402" s="65"/>
    </row>
    <row r="403" spans="2:7" ht="14.25" customHeight="1" x14ac:dyDescent="0.3">
      <c r="B403" s="489"/>
      <c r="C403" s="490"/>
      <c r="E403" s="491"/>
      <c r="G403" s="65"/>
    </row>
    <row r="404" spans="2:7" ht="14.25" customHeight="1" x14ac:dyDescent="0.3">
      <c r="B404" s="489"/>
      <c r="C404" s="490"/>
      <c r="E404" s="491"/>
      <c r="G404" s="65"/>
    </row>
    <row r="405" spans="2:7" ht="14.25" customHeight="1" x14ac:dyDescent="0.3">
      <c r="B405" s="489"/>
      <c r="C405" s="490"/>
      <c r="E405" s="491"/>
      <c r="G405" s="65"/>
    </row>
    <row r="406" spans="2:7" ht="14.25" customHeight="1" x14ac:dyDescent="0.3">
      <c r="B406" s="489"/>
      <c r="C406" s="490"/>
      <c r="E406" s="491"/>
      <c r="G406" s="65"/>
    </row>
    <row r="407" spans="2:7" ht="14.25" customHeight="1" x14ac:dyDescent="0.3">
      <c r="B407" s="489"/>
      <c r="C407" s="490"/>
      <c r="E407" s="491"/>
      <c r="G407" s="65"/>
    </row>
    <row r="408" spans="2:7" ht="14.25" customHeight="1" x14ac:dyDescent="0.3">
      <c r="B408" s="489"/>
      <c r="C408" s="490"/>
      <c r="E408" s="491"/>
      <c r="G408" s="65"/>
    </row>
    <row r="409" spans="2:7" ht="14.25" customHeight="1" x14ac:dyDescent="0.3">
      <c r="B409" s="489"/>
      <c r="C409" s="490"/>
      <c r="E409" s="491"/>
      <c r="G409" s="65"/>
    </row>
    <row r="410" spans="2:7" ht="14.25" customHeight="1" x14ac:dyDescent="0.3">
      <c r="B410" s="489"/>
      <c r="C410" s="490"/>
      <c r="E410" s="491"/>
      <c r="G410" s="65"/>
    </row>
    <row r="411" spans="2:7" ht="14.25" customHeight="1" x14ac:dyDescent="0.3">
      <c r="B411" s="489"/>
      <c r="C411" s="490"/>
      <c r="E411" s="491"/>
      <c r="G411" s="65"/>
    </row>
    <row r="412" spans="2:7" ht="14.25" customHeight="1" x14ac:dyDescent="0.3">
      <c r="B412" s="489"/>
      <c r="C412" s="490"/>
      <c r="E412" s="491"/>
      <c r="G412" s="65"/>
    </row>
    <row r="413" spans="2:7" ht="14.25" customHeight="1" x14ac:dyDescent="0.3">
      <c r="B413" s="489"/>
      <c r="C413" s="490"/>
      <c r="E413" s="491"/>
      <c r="G413" s="65"/>
    </row>
    <row r="414" spans="2:7" ht="14.25" customHeight="1" x14ac:dyDescent="0.3">
      <c r="B414" s="489"/>
      <c r="C414" s="490"/>
      <c r="E414" s="491"/>
      <c r="G414" s="65"/>
    </row>
    <row r="415" spans="2:7" ht="14.25" customHeight="1" x14ac:dyDescent="0.3">
      <c r="B415" s="489"/>
      <c r="C415" s="490"/>
      <c r="E415" s="491"/>
      <c r="G415" s="65"/>
    </row>
    <row r="416" spans="2:7" ht="14.25" customHeight="1" x14ac:dyDescent="0.3">
      <c r="B416" s="489"/>
      <c r="C416" s="490"/>
      <c r="E416" s="491"/>
      <c r="G416" s="65"/>
    </row>
    <row r="417" spans="2:7" ht="14.25" customHeight="1" x14ac:dyDescent="0.3">
      <c r="B417" s="489"/>
      <c r="C417" s="490"/>
      <c r="E417" s="491"/>
      <c r="G417" s="65"/>
    </row>
    <row r="418" spans="2:7" ht="14.25" customHeight="1" x14ac:dyDescent="0.3">
      <c r="B418" s="489"/>
      <c r="C418" s="490"/>
      <c r="E418" s="491"/>
      <c r="G418" s="65"/>
    </row>
    <row r="419" spans="2:7" ht="14.25" customHeight="1" x14ac:dyDescent="0.3">
      <c r="B419" s="489"/>
      <c r="C419" s="490"/>
      <c r="E419" s="491"/>
      <c r="G419" s="65"/>
    </row>
    <row r="420" spans="2:7" ht="14.25" customHeight="1" x14ac:dyDescent="0.3">
      <c r="B420" s="489"/>
      <c r="C420" s="490"/>
      <c r="E420" s="491"/>
      <c r="G420" s="65"/>
    </row>
    <row r="421" spans="2:7" ht="14.25" customHeight="1" x14ac:dyDescent="0.3">
      <c r="B421" s="489"/>
      <c r="C421" s="490"/>
      <c r="E421" s="491"/>
      <c r="G421" s="65"/>
    </row>
    <row r="422" spans="2:7" ht="14.25" customHeight="1" x14ac:dyDescent="0.3">
      <c r="B422" s="489"/>
      <c r="C422" s="490"/>
      <c r="E422" s="491"/>
      <c r="G422" s="65"/>
    </row>
    <row r="423" spans="2:7" ht="14.25" customHeight="1" x14ac:dyDescent="0.3">
      <c r="B423" s="489"/>
      <c r="C423" s="490"/>
      <c r="E423" s="491"/>
      <c r="G423" s="65"/>
    </row>
    <row r="424" spans="2:7" ht="14.25" customHeight="1" x14ac:dyDescent="0.3">
      <c r="B424" s="489"/>
      <c r="C424" s="490"/>
      <c r="E424" s="491"/>
      <c r="G424" s="65"/>
    </row>
    <row r="425" spans="2:7" ht="14.25" customHeight="1" x14ac:dyDescent="0.3">
      <c r="B425" s="489"/>
      <c r="C425" s="490"/>
      <c r="E425" s="491"/>
      <c r="G425" s="65"/>
    </row>
    <row r="426" spans="2:7" ht="14.25" customHeight="1" x14ac:dyDescent="0.3">
      <c r="B426" s="489"/>
      <c r="C426" s="490"/>
      <c r="E426" s="491"/>
      <c r="G426" s="65"/>
    </row>
    <row r="427" spans="2:7" ht="14.25" customHeight="1" x14ac:dyDescent="0.3">
      <c r="B427" s="489"/>
      <c r="C427" s="490"/>
      <c r="E427" s="491"/>
      <c r="G427" s="65"/>
    </row>
    <row r="428" spans="2:7" ht="14.25" customHeight="1" x14ac:dyDescent="0.3">
      <c r="B428" s="489"/>
      <c r="C428" s="490"/>
      <c r="E428" s="491"/>
      <c r="G428" s="65"/>
    </row>
    <row r="429" spans="2:7" ht="14.25" customHeight="1" x14ac:dyDescent="0.3">
      <c r="B429" s="489"/>
      <c r="C429" s="490"/>
      <c r="E429" s="491"/>
      <c r="G429" s="65"/>
    </row>
    <row r="430" spans="2:7" ht="14.25" customHeight="1" x14ac:dyDescent="0.3">
      <c r="B430" s="489"/>
      <c r="C430" s="490"/>
      <c r="E430" s="491"/>
      <c r="G430" s="65"/>
    </row>
    <row r="431" spans="2:7" ht="14.25" customHeight="1" x14ac:dyDescent="0.3">
      <c r="B431" s="489"/>
      <c r="C431" s="490"/>
      <c r="E431" s="491"/>
      <c r="G431" s="65"/>
    </row>
    <row r="432" spans="2:7" ht="14.25" customHeight="1" x14ac:dyDescent="0.3">
      <c r="B432" s="489"/>
      <c r="C432" s="490"/>
      <c r="E432" s="491"/>
      <c r="G432" s="65"/>
    </row>
    <row r="433" spans="2:7" ht="14.25" customHeight="1" x14ac:dyDescent="0.3">
      <c r="B433" s="489"/>
      <c r="C433" s="490"/>
      <c r="E433" s="491"/>
      <c r="G433" s="65"/>
    </row>
    <row r="434" spans="2:7" ht="14.25" customHeight="1" x14ac:dyDescent="0.3">
      <c r="B434" s="489"/>
      <c r="C434" s="490"/>
      <c r="E434" s="491"/>
      <c r="G434" s="65"/>
    </row>
    <row r="435" spans="2:7" ht="14.25" customHeight="1" x14ac:dyDescent="0.3">
      <c r="B435" s="489"/>
      <c r="C435" s="490"/>
      <c r="E435" s="491"/>
      <c r="G435" s="65"/>
    </row>
    <row r="436" spans="2:7" ht="14.25" customHeight="1" x14ac:dyDescent="0.3">
      <c r="B436" s="489"/>
      <c r="C436" s="490"/>
      <c r="E436" s="491"/>
      <c r="G436" s="65"/>
    </row>
    <row r="437" spans="2:7" ht="14.25" customHeight="1" x14ac:dyDescent="0.3">
      <c r="B437" s="489"/>
      <c r="C437" s="490"/>
      <c r="E437" s="491"/>
      <c r="G437" s="65"/>
    </row>
    <row r="438" spans="2:7" ht="14.25" customHeight="1" x14ac:dyDescent="0.3">
      <c r="B438" s="489"/>
      <c r="C438" s="490"/>
      <c r="E438" s="491"/>
      <c r="G438" s="65"/>
    </row>
    <row r="439" spans="2:7" ht="14.25" customHeight="1" x14ac:dyDescent="0.3">
      <c r="B439" s="489"/>
      <c r="C439" s="490"/>
      <c r="E439" s="491"/>
      <c r="G439" s="65"/>
    </row>
    <row r="440" spans="2:7" ht="14.25" customHeight="1" x14ac:dyDescent="0.3">
      <c r="B440" s="489"/>
      <c r="C440" s="490"/>
      <c r="E440" s="491"/>
      <c r="G440" s="65"/>
    </row>
    <row r="441" spans="2:7" ht="14.25" customHeight="1" x14ac:dyDescent="0.3">
      <c r="B441" s="489"/>
      <c r="C441" s="490"/>
      <c r="E441" s="491"/>
      <c r="G441" s="65"/>
    </row>
    <row r="442" spans="2:7" ht="14.25" customHeight="1" x14ac:dyDescent="0.3">
      <c r="B442" s="489"/>
      <c r="C442" s="490"/>
      <c r="E442" s="491"/>
      <c r="G442" s="65"/>
    </row>
    <row r="443" spans="2:7" ht="14.25" customHeight="1" x14ac:dyDescent="0.3">
      <c r="B443" s="489"/>
      <c r="C443" s="490"/>
      <c r="E443" s="491"/>
      <c r="G443" s="65"/>
    </row>
    <row r="444" spans="2:7" ht="14.25" customHeight="1" x14ac:dyDescent="0.3">
      <c r="B444" s="489"/>
      <c r="C444" s="490"/>
      <c r="E444" s="491"/>
      <c r="G444" s="65"/>
    </row>
    <row r="445" spans="2:7" ht="14.25" customHeight="1" x14ac:dyDescent="0.3">
      <c r="B445" s="489"/>
      <c r="C445" s="490"/>
      <c r="E445" s="491"/>
      <c r="G445" s="65"/>
    </row>
    <row r="446" spans="2:7" ht="14.25" customHeight="1" x14ac:dyDescent="0.3">
      <c r="B446" s="489"/>
      <c r="C446" s="490"/>
      <c r="E446" s="491"/>
      <c r="G446" s="65"/>
    </row>
    <row r="447" spans="2:7" ht="14.25" customHeight="1" x14ac:dyDescent="0.3">
      <c r="B447" s="489"/>
      <c r="C447" s="490"/>
      <c r="E447" s="491"/>
      <c r="G447" s="65"/>
    </row>
    <row r="448" spans="2:7" ht="14.25" customHeight="1" x14ac:dyDescent="0.3">
      <c r="B448" s="489"/>
      <c r="C448" s="490"/>
      <c r="E448" s="491"/>
      <c r="G448" s="65"/>
    </row>
    <row r="449" spans="2:7" ht="14.25" customHeight="1" x14ac:dyDescent="0.3">
      <c r="B449" s="489"/>
      <c r="C449" s="490"/>
      <c r="E449" s="491"/>
      <c r="G449" s="65"/>
    </row>
    <row r="450" spans="2:7" ht="14.25" customHeight="1" x14ac:dyDescent="0.3">
      <c r="B450" s="489"/>
      <c r="C450" s="490"/>
      <c r="E450" s="491"/>
      <c r="G450" s="65"/>
    </row>
    <row r="451" spans="2:7" ht="14.25" customHeight="1" x14ac:dyDescent="0.3">
      <c r="B451" s="489"/>
      <c r="C451" s="490"/>
      <c r="E451" s="491"/>
      <c r="G451" s="65"/>
    </row>
    <row r="452" spans="2:7" ht="14.25" customHeight="1" x14ac:dyDescent="0.3">
      <c r="B452" s="489"/>
      <c r="C452" s="490"/>
      <c r="E452" s="491"/>
      <c r="G452" s="65"/>
    </row>
    <row r="453" spans="2:7" ht="14.25" customHeight="1" x14ac:dyDescent="0.3">
      <c r="B453" s="489"/>
      <c r="C453" s="490"/>
      <c r="E453" s="491"/>
      <c r="G453" s="65"/>
    </row>
    <row r="454" spans="2:7" ht="14.25" customHeight="1" x14ac:dyDescent="0.3">
      <c r="B454" s="489"/>
      <c r="C454" s="490"/>
      <c r="E454" s="491"/>
      <c r="G454" s="65"/>
    </row>
    <row r="455" spans="2:7" ht="14.25" customHeight="1" x14ac:dyDescent="0.3">
      <c r="B455" s="489"/>
      <c r="C455" s="490"/>
      <c r="E455" s="491"/>
      <c r="G455" s="65"/>
    </row>
    <row r="456" spans="2:7" ht="14.25" customHeight="1" x14ac:dyDescent="0.3">
      <c r="B456" s="489"/>
      <c r="C456" s="490"/>
      <c r="E456" s="491"/>
      <c r="G456" s="65"/>
    </row>
    <row r="457" spans="2:7" ht="14.25" customHeight="1" x14ac:dyDescent="0.3">
      <c r="B457" s="489"/>
      <c r="C457" s="490"/>
      <c r="E457" s="491"/>
      <c r="G457" s="65"/>
    </row>
    <row r="458" spans="2:7" ht="14.25" customHeight="1" x14ac:dyDescent="0.3">
      <c r="B458" s="489"/>
      <c r="C458" s="490"/>
      <c r="E458" s="491"/>
      <c r="G458" s="65"/>
    </row>
    <row r="459" spans="2:7" ht="14.25" customHeight="1" x14ac:dyDescent="0.3">
      <c r="B459" s="489"/>
      <c r="C459" s="490"/>
      <c r="E459" s="491"/>
      <c r="G459" s="65"/>
    </row>
    <row r="460" spans="2:7" ht="14.25" customHeight="1" x14ac:dyDescent="0.3">
      <c r="B460" s="489"/>
      <c r="C460" s="490"/>
      <c r="E460" s="491"/>
      <c r="G460" s="65"/>
    </row>
    <row r="461" spans="2:7" ht="14.25" customHeight="1" x14ac:dyDescent="0.3">
      <c r="B461" s="489"/>
      <c r="C461" s="490"/>
      <c r="E461" s="491"/>
      <c r="G461" s="65"/>
    </row>
    <row r="462" spans="2:7" ht="14.25" customHeight="1" x14ac:dyDescent="0.3">
      <c r="B462" s="489"/>
      <c r="C462" s="490"/>
      <c r="E462" s="491"/>
      <c r="G462" s="65"/>
    </row>
    <row r="463" spans="2:7" ht="14.25" customHeight="1" x14ac:dyDescent="0.3">
      <c r="B463" s="489"/>
      <c r="C463" s="490"/>
      <c r="E463" s="491"/>
      <c r="G463" s="65"/>
    </row>
    <row r="464" spans="2:7" ht="14.25" customHeight="1" x14ac:dyDescent="0.3">
      <c r="B464" s="489"/>
      <c r="C464" s="490"/>
      <c r="E464" s="491"/>
      <c r="G464" s="65"/>
    </row>
    <row r="465" spans="2:7" ht="14.25" customHeight="1" x14ac:dyDescent="0.3">
      <c r="B465" s="489"/>
      <c r="C465" s="490"/>
      <c r="E465" s="491"/>
      <c r="G465" s="65"/>
    </row>
    <row r="466" spans="2:7" ht="14.25" customHeight="1" x14ac:dyDescent="0.3">
      <c r="B466" s="489"/>
      <c r="C466" s="490"/>
      <c r="E466" s="491"/>
      <c r="G466" s="65"/>
    </row>
    <row r="467" spans="2:7" ht="14.25" customHeight="1" x14ac:dyDescent="0.3">
      <c r="B467" s="489"/>
      <c r="C467" s="490"/>
      <c r="E467" s="491"/>
      <c r="G467" s="65"/>
    </row>
    <row r="468" spans="2:7" ht="14.25" customHeight="1" x14ac:dyDescent="0.3">
      <c r="B468" s="489"/>
      <c r="C468" s="490"/>
      <c r="E468" s="491"/>
      <c r="G468" s="65"/>
    </row>
    <row r="469" spans="2:7" ht="14.25" customHeight="1" x14ac:dyDescent="0.3">
      <c r="B469" s="489"/>
      <c r="C469" s="490"/>
      <c r="E469" s="491"/>
      <c r="G469" s="65"/>
    </row>
    <row r="470" spans="2:7" ht="14.25" customHeight="1" x14ac:dyDescent="0.3">
      <c r="B470" s="489"/>
      <c r="C470" s="490"/>
      <c r="E470" s="491"/>
      <c r="G470" s="65"/>
    </row>
    <row r="471" spans="2:7" ht="14.25" customHeight="1" x14ac:dyDescent="0.3">
      <c r="B471" s="489"/>
      <c r="C471" s="490"/>
      <c r="E471" s="491"/>
      <c r="G471" s="65"/>
    </row>
    <row r="472" spans="2:7" ht="14.25" customHeight="1" x14ac:dyDescent="0.3">
      <c r="B472" s="489"/>
      <c r="C472" s="490"/>
      <c r="E472" s="491"/>
      <c r="G472" s="65"/>
    </row>
    <row r="473" spans="2:7" ht="14.25" customHeight="1" x14ac:dyDescent="0.3">
      <c r="B473" s="489"/>
      <c r="C473" s="490"/>
      <c r="E473" s="491"/>
      <c r="G473" s="65"/>
    </row>
    <row r="474" spans="2:7" ht="14.25" customHeight="1" x14ac:dyDescent="0.3">
      <c r="B474" s="489"/>
      <c r="C474" s="490"/>
      <c r="E474" s="491"/>
      <c r="G474" s="65"/>
    </row>
    <row r="475" spans="2:7" ht="14.25" customHeight="1" x14ac:dyDescent="0.3">
      <c r="B475" s="489"/>
      <c r="C475" s="490"/>
      <c r="E475" s="491"/>
      <c r="G475" s="65"/>
    </row>
    <row r="476" spans="2:7" ht="14.25" customHeight="1" x14ac:dyDescent="0.3">
      <c r="B476" s="489"/>
      <c r="C476" s="490"/>
      <c r="E476" s="491"/>
      <c r="G476" s="65"/>
    </row>
    <row r="477" spans="2:7" ht="14.25" customHeight="1" x14ac:dyDescent="0.3">
      <c r="B477" s="489"/>
      <c r="C477" s="490"/>
      <c r="E477" s="491"/>
      <c r="G477" s="65"/>
    </row>
    <row r="478" spans="2:7" ht="14.25" customHeight="1" x14ac:dyDescent="0.3">
      <c r="B478" s="489"/>
      <c r="C478" s="490"/>
      <c r="E478" s="491"/>
      <c r="G478" s="65"/>
    </row>
    <row r="479" spans="2:7" ht="14.25" customHeight="1" x14ac:dyDescent="0.3">
      <c r="B479" s="489"/>
      <c r="C479" s="490"/>
      <c r="E479" s="491"/>
      <c r="G479" s="65"/>
    </row>
    <row r="480" spans="2:7" ht="14.25" customHeight="1" x14ac:dyDescent="0.3">
      <c r="B480" s="489"/>
      <c r="C480" s="490"/>
      <c r="E480" s="491"/>
      <c r="G480" s="65"/>
    </row>
    <row r="481" spans="2:7" ht="14.25" customHeight="1" x14ac:dyDescent="0.3">
      <c r="B481" s="489"/>
      <c r="C481" s="490"/>
      <c r="E481" s="491"/>
      <c r="G481" s="65"/>
    </row>
    <row r="482" spans="2:7" ht="14.25" customHeight="1" x14ac:dyDescent="0.3">
      <c r="B482" s="489"/>
      <c r="C482" s="490"/>
      <c r="E482" s="491"/>
      <c r="G482" s="65"/>
    </row>
    <row r="483" spans="2:7" ht="14.25" customHeight="1" x14ac:dyDescent="0.3">
      <c r="B483" s="489"/>
      <c r="C483" s="490"/>
      <c r="E483" s="491"/>
      <c r="G483" s="65"/>
    </row>
    <row r="484" spans="2:7" ht="14.25" customHeight="1" x14ac:dyDescent="0.3">
      <c r="B484" s="489"/>
      <c r="C484" s="490"/>
      <c r="E484" s="491"/>
      <c r="G484" s="65"/>
    </row>
    <row r="485" spans="2:7" ht="14.25" customHeight="1" x14ac:dyDescent="0.3">
      <c r="B485" s="489"/>
      <c r="C485" s="490"/>
      <c r="E485" s="491"/>
      <c r="G485" s="65"/>
    </row>
    <row r="486" spans="2:7" ht="14.25" customHeight="1" x14ac:dyDescent="0.3">
      <c r="B486" s="489"/>
      <c r="C486" s="490"/>
      <c r="E486" s="491"/>
      <c r="G486" s="65"/>
    </row>
    <row r="487" spans="2:7" ht="14.25" customHeight="1" x14ac:dyDescent="0.3">
      <c r="B487" s="489"/>
      <c r="C487" s="490"/>
      <c r="E487" s="491"/>
      <c r="G487" s="65"/>
    </row>
    <row r="488" spans="2:7" ht="14.25" customHeight="1" x14ac:dyDescent="0.3">
      <c r="B488" s="489"/>
      <c r="C488" s="490"/>
      <c r="E488" s="491"/>
      <c r="G488" s="65"/>
    </row>
    <row r="489" spans="2:7" ht="14.25" customHeight="1" x14ac:dyDescent="0.3">
      <c r="B489" s="489"/>
      <c r="C489" s="490"/>
      <c r="E489" s="491"/>
      <c r="G489" s="65"/>
    </row>
    <row r="490" spans="2:7" ht="14.25" customHeight="1" x14ac:dyDescent="0.3">
      <c r="B490" s="489"/>
      <c r="C490" s="490"/>
      <c r="E490" s="491"/>
      <c r="G490" s="65"/>
    </row>
    <row r="491" spans="2:7" ht="14.25" customHeight="1" x14ac:dyDescent="0.3">
      <c r="B491" s="489"/>
      <c r="C491" s="490"/>
      <c r="E491" s="491"/>
      <c r="G491" s="65"/>
    </row>
    <row r="492" spans="2:7" ht="14.25" customHeight="1" x14ac:dyDescent="0.3">
      <c r="B492" s="489"/>
      <c r="C492" s="490"/>
      <c r="E492" s="491"/>
      <c r="G492" s="65"/>
    </row>
    <row r="493" spans="2:7" ht="14.25" customHeight="1" x14ac:dyDescent="0.3">
      <c r="B493" s="489"/>
      <c r="C493" s="490"/>
      <c r="E493" s="491"/>
      <c r="G493" s="65"/>
    </row>
    <row r="494" spans="2:7" ht="14.25" customHeight="1" x14ac:dyDescent="0.3">
      <c r="B494" s="489"/>
      <c r="C494" s="490"/>
      <c r="E494" s="491"/>
      <c r="G494" s="65"/>
    </row>
    <row r="495" spans="2:7" ht="14.25" customHeight="1" x14ac:dyDescent="0.3">
      <c r="B495" s="489"/>
      <c r="C495" s="490"/>
      <c r="E495" s="491"/>
      <c r="G495" s="65"/>
    </row>
    <row r="496" spans="2:7" ht="14.25" customHeight="1" x14ac:dyDescent="0.3">
      <c r="B496" s="489"/>
      <c r="C496" s="490"/>
      <c r="E496" s="491"/>
      <c r="G496" s="65"/>
    </row>
    <row r="497" spans="2:7" ht="14.25" customHeight="1" x14ac:dyDescent="0.3">
      <c r="B497" s="489"/>
      <c r="C497" s="490"/>
      <c r="E497" s="491"/>
      <c r="G497" s="65"/>
    </row>
    <row r="498" spans="2:7" ht="14.25" customHeight="1" x14ac:dyDescent="0.3">
      <c r="B498" s="489"/>
      <c r="C498" s="490"/>
      <c r="E498" s="491"/>
      <c r="G498" s="65"/>
    </row>
    <row r="499" spans="2:7" ht="14.25" customHeight="1" x14ac:dyDescent="0.3">
      <c r="B499" s="489"/>
      <c r="C499" s="490"/>
      <c r="E499" s="491"/>
      <c r="G499" s="65"/>
    </row>
    <row r="500" spans="2:7" ht="14.25" customHeight="1" x14ac:dyDescent="0.3">
      <c r="B500" s="489"/>
      <c r="C500" s="490"/>
      <c r="E500" s="491"/>
      <c r="G500" s="65"/>
    </row>
    <row r="501" spans="2:7" ht="14.25" customHeight="1" x14ac:dyDescent="0.3">
      <c r="B501" s="489"/>
      <c r="C501" s="490"/>
      <c r="E501" s="491"/>
      <c r="G501" s="65"/>
    </row>
    <row r="502" spans="2:7" ht="14.25" customHeight="1" x14ac:dyDescent="0.3">
      <c r="B502" s="489"/>
      <c r="C502" s="490"/>
      <c r="E502" s="491"/>
      <c r="G502" s="65"/>
    </row>
    <row r="503" spans="2:7" ht="14.25" customHeight="1" x14ac:dyDescent="0.3">
      <c r="B503" s="489"/>
      <c r="C503" s="490"/>
      <c r="E503" s="491"/>
      <c r="G503" s="65"/>
    </row>
    <row r="504" spans="2:7" ht="14.25" customHeight="1" x14ac:dyDescent="0.3">
      <c r="B504" s="489"/>
      <c r="C504" s="490"/>
      <c r="E504" s="491"/>
      <c r="G504" s="65"/>
    </row>
    <row r="505" spans="2:7" ht="14.25" customHeight="1" x14ac:dyDescent="0.3">
      <c r="B505" s="489"/>
      <c r="C505" s="490"/>
      <c r="E505" s="491"/>
      <c r="G505" s="65"/>
    </row>
    <row r="506" spans="2:7" ht="14.25" customHeight="1" x14ac:dyDescent="0.3">
      <c r="B506" s="489"/>
      <c r="C506" s="490"/>
      <c r="E506" s="491"/>
      <c r="G506" s="65"/>
    </row>
    <row r="507" spans="2:7" ht="14.25" customHeight="1" x14ac:dyDescent="0.3">
      <c r="B507" s="489"/>
      <c r="C507" s="490"/>
      <c r="E507" s="491"/>
      <c r="G507" s="65"/>
    </row>
    <row r="508" spans="2:7" ht="14.25" customHeight="1" x14ac:dyDescent="0.3">
      <c r="B508" s="489"/>
      <c r="C508" s="490"/>
      <c r="E508" s="491"/>
      <c r="G508" s="65"/>
    </row>
    <row r="509" spans="2:7" ht="14.25" customHeight="1" x14ac:dyDescent="0.3">
      <c r="B509" s="489"/>
      <c r="C509" s="490"/>
      <c r="E509" s="491"/>
      <c r="G509" s="65"/>
    </row>
    <row r="510" spans="2:7" ht="14.25" customHeight="1" x14ac:dyDescent="0.3">
      <c r="B510" s="489"/>
      <c r="C510" s="490"/>
      <c r="E510" s="491"/>
      <c r="G510" s="65"/>
    </row>
    <row r="511" spans="2:7" ht="14.25" customHeight="1" x14ac:dyDescent="0.3">
      <c r="B511" s="489"/>
      <c r="C511" s="490"/>
      <c r="E511" s="491"/>
      <c r="G511" s="65"/>
    </row>
    <row r="512" spans="2:7" ht="14.25" customHeight="1" x14ac:dyDescent="0.3">
      <c r="B512" s="489"/>
      <c r="C512" s="490"/>
      <c r="E512" s="491"/>
      <c r="G512" s="65"/>
    </row>
    <row r="513" spans="2:7" ht="14.25" customHeight="1" x14ac:dyDescent="0.3">
      <c r="B513" s="489"/>
      <c r="C513" s="490"/>
      <c r="E513" s="491"/>
      <c r="G513" s="65"/>
    </row>
    <row r="514" spans="2:7" ht="14.25" customHeight="1" x14ac:dyDescent="0.3">
      <c r="B514" s="489"/>
      <c r="C514" s="490"/>
      <c r="E514" s="491"/>
      <c r="G514" s="65"/>
    </row>
    <row r="515" spans="2:7" ht="14.25" customHeight="1" x14ac:dyDescent="0.3">
      <c r="B515" s="489"/>
      <c r="C515" s="490"/>
      <c r="E515" s="491"/>
      <c r="G515" s="65"/>
    </row>
    <row r="516" spans="2:7" ht="14.25" customHeight="1" x14ac:dyDescent="0.3">
      <c r="B516" s="489"/>
      <c r="C516" s="490"/>
      <c r="E516" s="491"/>
      <c r="G516" s="65"/>
    </row>
    <row r="517" spans="2:7" ht="14.25" customHeight="1" x14ac:dyDescent="0.3">
      <c r="B517" s="489"/>
      <c r="C517" s="490"/>
      <c r="E517" s="491"/>
      <c r="G517" s="65"/>
    </row>
    <row r="518" spans="2:7" ht="14.25" customHeight="1" x14ac:dyDescent="0.3">
      <c r="B518" s="489"/>
      <c r="C518" s="490"/>
      <c r="E518" s="491"/>
      <c r="G518" s="65"/>
    </row>
    <row r="519" spans="2:7" ht="14.25" customHeight="1" x14ac:dyDescent="0.3">
      <c r="B519" s="489"/>
      <c r="C519" s="490"/>
      <c r="E519" s="491"/>
      <c r="G519" s="65"/>
    </row>
    <row r="520" spans="2:7" ht="14.25" customHeight="1" x14ac:dyDescent="0.3">
      <c r="B520" s="489"/>
      <c r="C520" s="490"/>
      <c r="E520" s="491"/>
      <c r="G520" s="65"/>
    </row>
    <row r="521" spans="2:7" ht="14.25" customHeight="1" x14ac:dyDescent="0.3">
      <c r="B521" s="489"/>
      <c r="C521" s="490"/>
      <c r="E521" s="491"/>
      <c r="G521" s="65"/>
    </row>
    <row r="522" spans="2:7" ht="14.25" customHeight="1" x14ac:dyDescent="0.3">
      <c r="B522" s="489"/>
      <c r="C522" s="490"/>
      <c r="E522" s="491"/>
      <c r="G522" s="65"/>
    </row>
    <row r="523" spans="2:7" ht="14.25" customHeight="1" x14ac:dyDescent="0.3">
      <c r="B523" s="489"/>
      <c r="C523" s="490"/>
      <c r="E523" s="491"/>
      <c r="G523" s="65"/>
    </row>
    <row r="524" spans="2:7" ht="14.25" customHeight="1" x14ac:dyDescent="0.3">
      <c r="B524" s="489"/>
      <c r="C524" s="490"/>
      <c r="E524" s="491"/>
      <c r="G524" s="65"/>
    </row>
    <row r="525" spans="2:7" ht="14.25" customHeight="1" x14ac:dyDescent="0.3">
      <c r="B525" s="489"/>
      <c r="C525" s="490"/>
      <c r="E525" s="491"/>
      <c r="G525" s="65"/>
    </row>
    <row r="526" spans="2:7" ht="14.25" customHeight="1" x14ac:dyDescent="0.3">
      <c r="B526" s="489"/>
      <c r="C526" s="490"/>
      <c r="E526" s="491"/>
      <c r="G526" s="65"/>
    </row>
    <row r="527" spans="2:7" ht="14.25" customHeight="1" x14ac:dyDescent="0.3">
      <c r="B527" s="489"/>
      <c r="C527" s="490"/>
      <c r="E527" s="491"/>
      <c r="G527" s="65"/>
    </row>
    <row r="528" spans="2:7" ht="14.25" customHeight="1" x14ac:dyDescent="0.3">
      <c r="B528" s="489"/>
      <c r="C528" s="490"/>
      <c r="E528" s="491"/>
      <c r="G528" s="65"/>
    </row>
    <row r="529" spans="2:7" ht="14.25" customHeight="1" x14ac:dyDescent="0.3">
      <c r="B529" s="489"/>
      <c r="C529" s="490"/>
      <c r="E529" s="491"/>
      <c r="G529" s="65"/>
    </row>
    <row r="530" spans="2:7" ht="14.25" customHeight="1" x14ac:dyDescent="0.3">
      <c r="B530" s="489"/>
      <c r="C530" s="490"/>
      <c r="E530" s="491"/>
      <c r="G530" s="65"/>
    </row>
    <row r="531" spans="2:7" ht="14.25" customHeight="1" x14ac:dyDescent="0.3">
      <c r="B531" s="489"/>
      <c r="C531" s="490"/>
      <c r="E531" s="491"/>
      <c r="G531" s="65"/>
    </row>
    <row r="532" spans="2:7" ht="14.25" customHeight="1" x14ac:dyDescent="0.3">
      <c r="B532" s="489"/>
      <c r="C532" s="490"/>
      <c r="E532" s="491"/>
      <c r="G532" s="65"/>
    </row>
    <row r="533" spans="2:7" ht="14.25" customHeight="1" x14ac:dyDescent="0.3">
      <c r="B533" s="489"/>
      <c r="C533" s="490"/>
      <c r="E533" s="491"/>
      <c r="G533" s="65"/>
    </row>
    <row r="534" spans="2:7" ht="14.25" customHeight="1" x14ac:dyDescent="0.3">
      <c r="B534" s="489"/>
      <c r="C534" s="490"/>
      <c r="E534" s="491"/>
      <c r="G534" s="65"/>
    </row>
    <row r="535" spans="2:7" ht="14.25" customHeight="1" x14ac:dyDescent="0.3">
      <c r="B535" s="489"/>
      <c r="C535" s="490"/>
      <c r="E535" s="491"/>
      <c r="G535" s="65"/>
    </row>
    <row r="536" spans="2:7" ht="14.25" customHeight="1" x14ac:dyDescent="0.3">
      <c r="B536" s="489"/>
      <c r="C536" s="490"/>
      <c r="E536" s="491"/>
      <c r="G536" s="65"/>
    </row>
    <row r="537" spans="2:7" ht="14.25" customHeight="1" x14ac:dyDescent="0.3">
      <c r="B537" s="489"/>
      <c r="C537" s="490"/>
      <c r="E537" s="491"/>
      <c r="G537" s="65"/>
    </row>
    <row r="538" spans="2:7" ht="14.25" customHeight="1" x14ac:dyDescent="0.3">
      <c r="B538" s="489"/>
      <c r="C538" s="490"/>
      <c r="E538" s="491"/>
      <c r="G538" s="65"/>
    </row>
    <row r="539" spans="2:7" ht="14.25" customHeight="1" x14ac:dyDescent="0.3">
      <c r="B539" s="489"/>
      <c r="C539" s="490"/>
      <c r="E539" s="491"/>
      <c r="G539" s="65"/>
    </row>
    <row r="540" spans="2:7" ht="14.25" customHeight="1" x14ac:dyDescent="0.3">
      <c r="B540" s="489"/>
      <c r="C540" s="490"/>
      <c r="E540" s="491"/>
      <c r="G540" s="65"/>
    </row>
    <row r="541" spans="2:7" ht="14.25" customHeight="1" x14ac:dyDescent="0.3">
      <c r="B541" s="489"/>
      <c r="C541" s="490"/>
      <c r="E541" s="491"/>
      <c r="G541" s="65"/>
    </row>
    <row r="542" spans="2:7" ht="14.25" customHeight="1" x14ac:dyDescent="0.3">
      <c r="B542" s="489"/>
      <c r="C542" s="490"/>
      <c r="E542" s="491"/>
      <c r="G542" s="65"/>
    </row>
    <row r="543" spans="2:7" ht="14.25" customHeight="1" x14ac:dyDescent="0.3">
      <c r="B543" s="489"/>
      <c r="C543" s="490"/>
      <c r="E543" s="491"/>
      <c r="G543" s="65"/>
    </row>
    <row r="544" spans="2:7" ht="14.25" customHeight="1" x14ac:dyDescent="0.3">
      <c r="B544" s="489"/>
      <c r="C544" s="490"/>
      <c r="E544" s="491"/>
      <c r="G544" s="65"/>
    </row>
    <row r="545" spans="2:7" ht="14.25" customHeight="1" x14ac:dyDescent="0.3">
      <c r="B545" s="489"/>
      <c r="C545" s="490"/>
      <c r="E545" s="491"/>
      <c r="G545" s="65"/>
    </row>
    <row r="546" spans="2:7" ht="14.25" customHeight="1" x14ac:dyDescent="0.3">
      <c r="B546" s="489"/>
      <c r="C546" s="490"/>
      <c r="E546" s="491"/>
      <c r="G546" s="65"/>
    </row>
    <row r="547" spans="2:7" ht="14.25" customHeight="1" x14ac:dyDescent="0.3">
      <c r="B547" s="489"/>
      <c r="C547" s="490"/>
      <c r="E547" s="491"/>
      <c r="G547" s="65"/>
    </row>
    <row r="548" spans="2:7" ht="14.25" customHeight="1" x14ac:dyDescent="0.3">
      <c r="B548" s="489"/>
      <c r="C548" s="490"/>
      <c r="E548" s="491"/>
      <c r="G548" s="65"/>
    </row>
    <row r="549" spans="2:7" ht="14.25" customHeight="1" x14ac:dyDescent="0.3">
      <c r="B549" s="489"/>
      <c r="C549" s="490"/>
      <c r="E549" s="491"/>
      <c r="G549" s="65"/>
    </row>
    <row r="550" spans="2:7" ht="14.25" customHeight="1" x14ac:dyDescent="0.3">
      <c r="B550" s="489"/>
      <c r="C550" s="490"/>
      <c r="E550" s="491"/>
      <c r="G550" s="65"/>
    </row>
    <row r="551" spans="2:7" ht="14.25" customHeight="1" x14ac:dyDescent="0.3">
      <c r="B551" s="489"/>
      <c r="C551" s="490"/>
      <c r="E551" s="491"/>
      <c r="G551" s="65"/>
    </row>
    <row r="552" spans="2:7" ht="14.25" customHeight="1" x14ac:dyDescent="0.3">
      <c r="B552" s="489"/>
      <c r="C552" s="490"/>
      <c r="E552" s="491"/>
      <c r="G552" s="65"/>
    </row>
    <row r="553" spans="2:7" ht="14.25" customHeight="1" x14ac:dyDescent="0.3">
      <c r="B553" s="489"/>
      <c r="C553" s="490"/>
      <c r="E553" s="491"/>
      <c r="G553" s="65"/>
    </row>
    <row r="554" spans="2:7" ht="14.25" customHeight="1" x14ac:dyDescent="0.3">
      <c r="B554" s="489"/>
      <c r="C554" s="490"/>
      <c r="E554" s="491"/>
      <c r="G554" s="65"/>
    </row>
    <row r="555" spans="2:7" ht="14.25" customHeight="1" x14ac:dyDescent="0.3">
      <c r="B555" s="489"/>
      <c r="C555" s="490"/>
      <c r="E555" s="491"/>
      <c r="G555" s="65"/>
    </row>
    <row r="556" spans="2:7" ht="14.25" customHeight="1" x14ac:dyDescent="0.3">
      <c r="B556" s="489"/>
      <c r="C556" s="490"/>
      <c r="E556" s="491"/>
      <c r="G556" s="65"/>
    </row>
    <row r="557" spans="2:7" ht="14.25" customHeight="1" x14ac:dyDescent="0.3">
      <c r="B557" s="489"/>
      <c r="C557" s="490"/>
      <c r="E557" s="491"/>
      <c r="G557" s="65"/>
    </row>
    <row r="558" spans="2:7" ht="14.25" customHeight="1" x14ac:dyDescent="0.3">
      <c r="B558" s="489"/>
      <c r="C558" s="490"/>
      <c r="E558" s="491"/>
      <c r="G558" s="65"/>
    </row>
    <row r="559" spans="2:7" ht="14.25" customHeight="1" x14ac:dyDescent="0.3">
      <c r="B559" s="489"/>
      <c r="C559" s="490"/>
      <c r="E559" s="491"/>
      <c r="G559" s="65"/>
    </row>
    <row r="560" spans="2:7" ht="14.25" customHeight="1" x14ac:dyDescent="0.3">
      <c r="B560" s="489"/>
      <c r="C560" s="490"/>
      <c r="E560" s="491"/>
      <c r="G560" s="65"/>
    </row>
    <row r="561" spans="2:7" ht="14.25" customHeight="1" x14ac:dyDescent="0.3">
      <c r="B561" s="489"/>
      <c r="C561" s="490"/>
      <c r="E561" s="491"/>
      <c r="G561" s="65"/>
    </row>
    <row r="562" spans="2:7" ht="14.25" customHeight="1" x14ac:dyDescent="0.3">
      <c r="B562" s="489"/>
      <c r="C562" s="490"/>
      <c r="E562" s="491"/>
      <c r="G562" s="65"/>
    </row>
    <row r="563" spans="2:7" ht="14.25" customHeight="1" x14ac:dyDescent="0.3">
      <c r="B563" s="489"/>
      <c r="C563" s="490"/>
      <c r="E563" s="491"/>
      <c r="G563" s="65"/>
    </row>
    <row r="564" spans="2:7" ht="14.25" customHeight="1" x14ac:dyDescent="0.3">
      <c r="B564" s="489"/>
      <c r="C564" s="490"/>
      <c r="E564" s="491"/>
      <c r="G564" s="65"/>
    </row>
    <row r="565" spans="2:7" ht="14.25" customHeight="1" x14ac:dyDescent="0.3">
      <c r="B565" s="489"/>
      <c r="C565" s="490"/>
      <c r="E565" s="491"/>
      <c r="G565" s="65"/>
    </row>
    <row r="566" spans="2:7" ht="14.25" customHeight="1" x14ac:dyDescent="0.3">
      <c r="B566" s="489"/>
      <c r="C566" s="490"/>
      <c r="E566" s="491"/>
      <c r="G566" s="65"/>
    </row>
    <row r="567" spans="2:7" ht="14.25" customHeight="1" x14ac:dyDescent="0.3">
      <c r="B567" s="489"/>
      <c r="C567" s="490"/>
      <c r="E567" s="491"/>
      <c r="G567" s="65"/>
    </row>
    <row r="568" spans="2:7" ht="14.25" customHeight="1" x14ac:dyDescent="0.3">
      <c r="B568" s="489"/>
      <c r="C568" s="490"/>
      <c r="E568" s="491"/>
      <c r="G568" s="65"/>
    </row>
    <row r="569" spans="2:7" ht="14.25" customHeight="1" x14ac:dyDescent="0.3">
      <c r="B569" s="489"/>
      <c r="C569" s="490"/>
      <c r="E569" s="491"/>
      <c r="G569" s="65"/>
    </row>
    <row r="570" spans="2:7" ht="14.25" customHeight="1" x14ac:dyDescent="0.3">
      <c r="B570" s="489"/>
      <c r="C570" s="490"/>
      <c r="E570" s="491"/>
      <c r="G570" s="65"/>
    </row>
    <row r="571" spans="2:7" ht="14.25" customHeight="1" x14ac:dyDescent="0.3">
      <c r="B571" s="489"/>
      <c r="C571" s="490"/>
      <c r="E571" s="491"/>
      <c r="G571" s="65"/>
    </row>
    <row r="572" spans="2:7" ht="14.25" customHeight="1" x14ac:dyDescent="0.3">
      <c r="B572" s="489"/>
      <c r="C572" s="490"/>
      <c r="E572" s="491"/>
      <c r="G572" s="65"/>
    </row>
    <row r="573" spans="2:7" ht="14.25" customHeight="1" x14ac:dyDescent="0.3">
      <c r="B573" s="489"/>
      <c r="C573" s="490"/>
      <c r="E573" s="491"/>
      <c r="G573" s="65"/>
    </row>
    <row r="574" spans="2:7" ht="14.25" customHeight="1" x14ac:dyDescent="0.3">
      <c r="B574" s="489"/>
      <c r="C574" s="490"/>
      <c r="E574" s="491"/>
      <c r="G574" s="65"/>
    </row>
    <row r="575" spans="2:7" ht="14.25" customHeight="1" x14ac:dyDescent="0.3">
      <c r="B575" s="489"/>
      <c r="C575" s="490"/>
      <c r="E575" s="491"/>
      <c r="G575" s="65"/>
    </row>
    <row r="576" spans="2:7" ht="14.25" customHeight="1" x14ac:dyDescent="0.3">
      <c r="B576" s="489"/>
      <c r="C576" s="490"/>
      <c r="E576" s="491"/>
      <c r="G576" s="65"/>
    </row>
    <row r="577" spans="2:7" ht="14.25" customHeight="1" x14ac:dyDescent="0.3">
      <c r="B577" s="489"/>
      <c r="C577" s="490"/>
      <c r="E577" s="491"/>
      <c r="G577" s="65"/>
    </row>
    <row r="578" spans="2:7" ht="14.25" customHeight="1" x14ac:dyDescent="0.3">
      <c r="B578" s="489"/>
      <c r="C578" s="490"/>
      <c r="E578" s="491"/>
      <c r="G578" s="65"/>
    </row>
    <row r="579" spans="2:7" ht="14.25" customHeight="1" x14ac:dyDescent="0.3">
      <c r="B579" s="489"/>
      <c r="C579" s="490"/>
      <c r="E579" s="491"/>
      <c r="G579" s="65"/>
    </row>
    <row r="580" spans="2:7" ht="14.25" customHeight="1" x14ac:dyDescent="0.3">
      <c r="B580" s="489"/>
      <c r="C580" s="490"/>
      <c r="E580" s="491"/>
      <c r="G580" s="65"/>
    </row>
    <row r="581" spans="2:7" ht="14.25" customHeight="1" x14ac:dyDescent="0.3">
      <c r="B581" s="489"/>
      <c r="C581" s="490"/>
      <c r="E581" s="491"/>
      <c r="G581" s="65"/>
    </row>
    <row r="582" spans="2:7" ht="14.25" customHeight="1" x14ac:dyDescent="0.3">
      <c r="B582" s="489"/>
      <c r="C582" s="490"/>
      <c r="E582" s="491"/>
      <c r="G582" s="65"/>
    </row>
    <row r="583" spans="2:7" ht="14.25" customHeight="1" x14ac:dyDescent="0.3">
      <c r="B583" s="489"/>
      <c r="C583" s="490"/>
      <c r="E583" s="491"/>
      <c r="G583" s="65"/>
    </row>
    <row r="584" spans="2:7" ht="14.25" customHeight="1" x14ac:dyDescent="0.3">
      <c r="B584" s="489"/>
      <c r="C584" s="490"/>
      <c r="E584" s="491"/>
      <c r="G584" s="65"/>
    </row>
    <row r="585" spans="2:7" ht="14.25" customHeight="1" x14ac:dyDescent="0.3">
      <c r="B585" s="489"/>
      <c r="C585" s="490"/>
      <c r="E585" s="491"/>
      <c r="G585" s="65"/>
    </row>
    <row r="586" spans="2:7" ht="14.25" customHeight="1" x14ac:dyDescent="0.3">
      <c r="B586" s="489"/>
      <c r="C586" s="490"/>
      <c r="E586" s="491"/>
      <c r="G586" s="65"/>
    </row>
    <row r="587" spans="2:7" ht="14.25" customHeight="1" x14ac:dyDescent="0.3">
      <c r="B587" s="489"/>
      <c r="C587" s="490"/>
      <c r="E587" s="491"/>
      <c r="G587" s="65"/>
    </row>
    <row r="588" spans="2:7" ht="14.25" customHeight="1" x14ac:dyDescent="0.3">
      <c r="B588" s="489"/>
      <c r="C588" s="490"/>
      <c r="E588" s="491"/>
      <c r="G588" s="65"/>
    </row>
    <row r="589" spans="2:7" ht="14.25" customHeight="1" x14ac:dyDescent="0.3">
      <c r="B589" s="489"/>
      <c r="C589" s="490"/>
      <c r="E589" s="491"/>
      <c r="G589" s="65"/>
    </row>
    <row r="590" spans="2:7" ht="14.25" customHeight="1" x14ac:dyDescent="0.3">
      <c r="B590" s="489"/>
      <c r="C590" s="490"/>
      <c r="E590" s="491"/>
      <c r="G590" s="65"/>
    </row>
    <row r="591" spans="2:7" ht="14.25" customHeight="1" x14ac:dyDescent="0.3">
      <c r="B591" s="489"/>
      <c r="C591" s="490"/>
      <c r="E591" s="491"/>
      <c r="G591" s="65"/>
    </row>
    <row r="592" spans="2:7" ht="14.25" customHeight="1" x14ac:dyDescent="0.3">
      <c r="B592" s="489"/>
      <c r="C592" s="490"/>
      <c r="E592" s="491"/>
      <c r="G592" s="65"/>
    </row>
    <row r="593" spans="2:7" ht="14.25" customHeight="1" x14ac:dyDescent="0.3">
      <c r="B593" s="489"/>
      <c r="C593" s="490"/>
      <c r="E593" s="491"/>
      <c r="G593" s="65"/>
    </row>
    <row r="594" spans="2:7" ht="14.25" customHeight="1" x14ac:dyDescent="0.3">
      <c r="B594" s="489"/>
      <c r="C594" s="490"/>
      <c r="E594" s="491"/>
      <c r="G594" s="65"/>
    </row>
    <row r="595" spans="2:7" ht="14.25" customHeight="1" x14ac:dyDescent="0.3">
      <c r="B595" s="489"/>
      <c r="C595" s="490"/>
      <c r="E595" s="491"/>
      <c r="G595" s="65"/>
    </row>
    <row r="596" spans="2:7" ht="14.25" customHeight="1" x14ac:dyDescent="0.3">
      <c r="B596" s="489"/>
      <c r="C596" s="490"/>
      <c r="E596" s="491"/>
      <c r="G596" s="65"/>
    </row>
    <row r="597" spans="2:7" ht="14.25" customHeight="1" x14ac:dyDescent="0.3">
      <c r="B597" s="489"/>
      <c r="C597" s="490"/>
      <c r="E597" s="491"/>
      <c r="G597" s="65"/>
    </row>
    <row r="598" spans="2:7" ht="14.25" customHeight="1" x14ac:dyDescent="0.3">
      <c r="B598" s="489"/>
      <c r="C598" s="490"/>
      <c r="E598" s="491"/>
      <c r="G598" s="65"/>
    </row>
    <row r="599" spans="2:7" ht="14.25" customHeight="1" x14ac:dyDescent="0.3">
      <c r="B599" s="489"/>
      <c r="C599" s="490"/>
      <c r="E599" s="491"/>
      <c r="G599" s="65"/>
    </row>
    <row r="600" spans="2:7" ht="14.25" customHeight="1" x14ac:dyDescent="0.3">
      <c r="B600" s="489"/>
      <c r="C600" s="490"/>
      <c r="E600" s="491"/>
      <c r="G600" s="65"/>
    </row>
    <row r="601" spans="2:7" ht="14.25" customHeight="1" x14ac:dyDescent="0.3">
      <c r="B601" s="489"/>
      <c r="C601" s="490"/>
      <c r="E601" s="491"/>
      <c r="G601" s="65"/>
    </row>
    <row r="602" spans="2:7" ht="14.25" customHeight="1" x14ac:dyDescent="0.3">
      <c r="B602" s="489"/>
      <c r="C602" s="490"/>
      <c r="E602" s="491"/>
      <c r="G602" s="65"/>
    </row>
    <row r="603" spans="2:7" ht="14.25" customHeight="1" x14ac:dyDescent="0.3">
      <c r="B603" s="489"/>
      <c r="C603" s="490"/>
      <c r="E603" s="491"/>
      <c r="G603" s="65"/>
    </row>
    <row r="604" spans="2:7" ht="14.25" customHeight="1" x14ac:dyDescent="0.3">
      <c r="B604" s="489"/>
      <c r="C604" s="490"/>
      <c r="E604" s="491"/>
      <c r="G604" s="65"/>
    </row>
    <row r="605" spans="2:7" ht="14.25" customHeight="1" x14ac:dyDescent="0.3">
      <c r="B605" s="489"/>
      <c r="C605" s="490"/>
      <c r="E605" s="491"/>
      <c r="G605" s="65"/>
    </row>
    <row r="606" spans="2:7" ht="14.25" customHeight="1" x14ac:dyDescent="0.3">
      <c r="B606" s="489"/>
      <c r="C606" s="490"/>
      <c r="E606" s="491"/>
      <c r="G606" s="65"/>
    </row>
    <row r="607" spans="2:7" ht="14.25" customHeight="1" x14ac:dyDescent="0.3">
      <c r="B607" s="489"/>
      <c r="C607" s="490"/>
      <c r="E607" s="491"/>
      <c r="G607" s="65"/>
    </row>
    <row r="608" spans="2:7" ht="14.25" customHeight="1" x14ac:dyDescent="0.3">
      <c r="B608" s="489"/>
      <c r="C608" s="490"/>
      <c r="E608" s="491"/>
      <c r="G608" s="65"/>
    </row>
    <row r="609" spans="2:7" ht="14.25" customHeight="1" x14ac:dyDescent="0.3">
      <c r="B609" s="489"/>
      <c r="C609" s="490"/>
      <c r="E609" s="491"/>
      <c r="G609" s="65"/>
    </row>
    <row r="610" spans="2:7" ht="14.25" customHeight="1" x14ac:dyDescent="0.3">
      <c r="B610" s="489"/>
      <c r="C610" s="490"/>
      <c r="E610" s="491"/>
      <c r="G610" s="65"/>
    </row>
    <row r="611" spans="2:7" ht="14.25" customHeight="1" x14ac:dyDescent="0.3">
      <c r="B611" s="489"/>
      <c r="C611" s="490"/>
      <c r="E611" s="491"/>
      <c r="G611" s="65"/>
    </row>
    <row r="612" spans="2:7" ht="14.25" customHeight="1" x14ac:dyDescent="0.3">
      <c r="B612" s="489"/>
      <c r="C612" s="490"/>
      <c r="E612" s="491"/>
      <c r="G612" s="65"/>
    </row>
    <row r="613" spans="2:7" ht="14.25" customHeight="1" x14ac:dyDescent="0.3">
      <c r="B613" s="489"/>
      <c r="C613" s="490"/>
      <c r="E613" s="491"/>
      <c r="G613" s="65"/>
    </row>
    <row r="614" spans="2:7" ht="14.25" customHeight="1" x14ac:dyDescent="0.3">
      <c r="B614" s="489"/>
      <c r="C614" s="490"/>
      <c r="E614" s="491"/>
      <c r="G614" s="65"/>
    </row>
    <row r="615" spans="2:7" ht="14.25" customHeight="1" x14ac:dyDescent="0.3">
      <c r="B615" s="489"/>
      <c r="C615" s="490"/>
      <c r="E615" s="491"/>
      <c r="G615" s="65"/>
    </row>
    <row r="616" spans="2:7" ht="14.25" customHeight="1" x14ac:dyDescent="0.3">
      <c r="B616" s="489"/>
      <c r="C616" s="490"/>
      <c r="E616" s="491"/>
      <c r="G616" s="65"/>
    </row>
    <row r="617" spans="2:7" ht="14.25" customHeight="1" x14ac:dyDescent="0.3">
      <c r="B617" s="489"/>
      <c r="C617" s="490"/>
      <c r="E617" s="491"/>
      <c r="G617" s="65"/>
    </row>
    <row r="618" spans="2:7" ht="14.25" customHeight="1" x14ac:dyDescent="0.3">
      <c r="B618" s="489"/>
      <c r="C618" s="490"/>
      <c r="E618" s="491"/>
      <c r="G618" s="65"/>
    </row>
    <row r="619" spans="2:7" ht="14.25" customHeight="1" x14ac:dyDescent="0.3">
      <c r="B619" s="489"/>
      <c r="C619" s="490"/>
      <c r="E619" s="491"/>
      <c r="G619" s="65"/>
    </row>
    <row r="620" spans="2:7" ht="14.25" customHeight="1" x14ac:dyDescent="0.3">
      <c r="B620" s="489"/>
      <c r="C620" s="490"/>
      <c r="E620" s="491"/>
      <c r="G620" s="65"/>
    </row>
    <row r="621" spans="2:7" ht="14.25" customHeight="1" x14ac:dyDescent="0.3">
      <c r="B621" s="489"/>
      <c r="C621" s="490"/>
      <c r="E621" s="491"/>
      <c r="G621" s="65"/>
    </row>
    <row r="622" spans="2:7" ht="14.25" customHeight="1" x14ac:dyDescent="0.3">
      <c r="B622" s="489"/>
      <c r="C622" s="490"/>
      <c r="E622" s="491"/>
      <c r="G622" s="65"/>
    </row>
    <row r="623" spans="2:7" ht="14.25" customHeight="1" x14ac:dyDescent="0.3">
      <c r="B623" s="489"/>
      <c r="C623" s="490"/>
      <c r="E623" s="491"/>
      <c r="G623" s="65"/>
    </row>
    <row r="624" spans="2:7" ht="14.25" customHeight="1" x14ac:dyDescent="0.3">
      <c r="B624" s="489"/>
      <c r="C624" s="490"/>
      <c r="E624" s="491"/>
      <c r="G624" s="65"/>
    </row>
    <row r="625" spans="2:7" ht="14.25" customHeight="1" x14ac:dyDescent="0.3">
      <c r="B625" s="489"/>
      <c r="C625" s="490"/>
      <c r="E625" s="491"/>
      <c r="G625" s="65"/>
    </row>
    <row r="626" spans="2:7" ht="14.25" customHeight="1" x14ac:dyDescent="0.3">
      <c r="B626" s="489"/>
      <c r="C626" s="490"/>
      <c r="E626" s="491"/>
      <c r="G626" s="65"/>
    </row>
    <row r="627" spans="2:7" ht="14.25" customHeight="1" x14ac:dyDescent="0.3">
      <c r="B627" s="489"/>
      <c r="C627" s="490"/>
      <c r="E627" s="491"/>
      <c r="G627" s="65"/>
    </row>
    <row r="628" spans="2:7" ht="14.25" customHeight="1" x14ac:dyDescent="0.3">
      <c r="B628" s="489"/>
      <c r="C628" s="490"/>
      <c r="E628" s="491"/>
      <c r="G628" s="65"/>
    </row>
    <row r="629" spans="2:7" ht="14.25" customHeight="1" x14ac:dyDescent="0.3">
      <c r="B629" s="489"/>
      <c r="C629" s="490"/>
      <c r="E629" s="491"/>
      <c r="G629" s="65"/>
    </row>
    <row r="630" spans="2:7" ht="14.25" customHeight="1" x14ac:dyDescent="0.3">
      <c r="B630" s="489"/>
      <c r="C630" s="490"/>
      <c r="E630" s="491"/>
      <c r="G630" s="65"/>
    </row>
    <row r="631" spans="2:7" ht="14.25" customHeight="1" x14ac:dyDescent="0.3">
      <c r="B631" s="489"/>
      <c r="C631" s="490"/>
      <c r="E631" s="491"/>
      <c r="G631" s="65"/>
    </row>
    <row r="632" spans="2:7" ht="14.25" customHeight="1" x14ac:dyDescent="0.3">
      <c r="B632" s="489"/>
      <c r="C632" s="490"/>
      <c r="E632" s="491"/>
      <c r="G632" s="65"/>
    </row>
    <row r="633" spans="2:7" ht="14.25" customHeight="1" x14ac:dyDescent="0.3">
      <c r="B633" s="489"/>
      <c r="C633" s="490"/>
      <c r="E633" s="491"/>
      <c r="G633" s="65"/>
    </row>
    <row r="634" spans="2:7" ht="14.25" customHeight="1" x14ac:dyDescent="0.3">
      <c r="B634" s="489"/>
      <c r="C634" s="490"/>
      <c r="E634" s="491"/>
      <c r="G634" s="65"/>
    </row>
    <row r="635" spans="2:7" ht="14.25" customHeight="1" x14ac:dyDescent="0.3">
      <c r="B635" s="489"/>
      <c r="C635" s="490"/>
      <c r="E635" s="491"/>
      <c r="G635" s="65"/>
    </row>
    <row r="636" spans="2:7" ht="14.25" customHeight="1" x14ac:dyDescent="0.3">
      <c r="B636" s="489"/>
      <c r="C636" s="490"/>
      <c r="E636" s="491"/>
      <c r="G636" s="65"/>
    </row>
    <row r="637" spans="2:7" ht="14.25" customHeight="1" x14ac:dyDescent="0.3">
      <c r="B637" s="489"/>
      <c r="C637" s="490"/>
      <c r="E637" s="491"/>
      <c r="G637" s="65"/>
    </row>
    <row r="638" spans="2:7" ht="14.25" customHeight="1" x14ac:dyDescent="0.3">
      <c r="B638" s="489"/>
      <c r="C638" s="490"/>
      <c r="E638" s="491"/>
      <c r="G638" s="65"/>
    </row>
    <row r="639" spans="2:7" ht="14.25" customHeight="1" x14ac:dyDescent="0.3">
      <c r="B639" s="489"/>
      <c r="C639" s="490"/>
      <c r="E639" s="491"/>
      <c r="G639" s="65"/>
    </row>
    <row r="640" spans="2:7" ht="14.25" customHeight="1" x14ac:dyDescent="0.3">
      <c r="B640" s="489"/>
      <c r="C640" s="490"/>
      <c r="E640" s="491"/>
      <c r="G640" s="65"/>
    </row>
    <row r="641" spans="2:7" ht="14.25" customHeight="1" x14ac:dyDescent="0.3">
      <c r="B641" s="489"/>
      <c r="C641" s="490"/>
      <c r="E641" s="491"/>
      <c r="G641" s="65"/>
    </row>
    <row r="642" spans="2:7" ht="14.25" customHeight="1" x14ac:dyDescent="0.3">
      <c r="B642" s="489"/>
      <c r="C642" s="490"/>
      <c r="E642" s="491"/>
      <c r="G642" s="65"/>
    </row>
    <row r="643" spans="2:7" ht="14.25" customHeight="1" x14ac:dyDescent="0.3">
      <c r="B643" s="489"/>
      <c r="C643" s="490"/>
      <c r="E643" s="491"/>
      <c r="G643" s="65"/>
    </row>
    <row r="644" spans="2:7" ht="14.25" customHeight="1" x14ac:dyDescent="0.3">
      <c r="B644" s="489"/>
      <c r="C644" s="490"/>
      <c r="E644" s="491"/>
      <c r="G644" s="65"/>
    </row>
    <row r="645" spans="2:7" ht="14.25" customHeight="1" x14ac:dyDescent="0.3">
      <c r="B645" s="489"/>
      <c r="C645" s="490"/>
      <c r="E645" s="491"/>
      <c r="G645" s="65"/>
    </row>
    <row r="646" spans="2:7" ht="14.25" customHeight="1" x14ac:dyDescent="0.3">
      <c r="B646" s="489"/>
      <c r="C646" s="490"/>
      <c r="E646" s="491"/>
      <c r="G646" s="65"/>
    </row>
    <row r="647" spans="2:7" ht="14.25" customHeight="1" x14ac:dyDescent="0.3">
      <c r="B647" s="489"/>
      <c r="C647" s="490"/>
      <c r="E647" s="491"/>
      <c r="G647" s="65"/>
    </row>
    <row r="648" spans="2:7" ht="14.25" customHeight="1" x14ac:dyDescent="0.3">
      <c r="B648" s="489"/>
      <c r="C648" s="490"/>
      <c r="E648" s="491"/>
      <c r="G648" s="65"/>
    </row>
    <row r="649" spans="2:7" ht="14.25" customHeight="1" x14ac:dyDescent="0.3">
      <c r="B649" s="489"/>
      <c r="C649" s="490"/>
      <c r="E649" s="491"/>
      <c r="G649" s="65"/>
    </row>
    <row r="650" spans="2:7" ht="14.25" customHeight="1" x14ac:dyDescent="0.3">
      <c r="B650" s="489"/>
      <c r="C650" s="490"/>
      <c r="E650" s="491"/>
      <c r="G650" s="65"/>
    </row>
    <row r="651" spans="2:7" ht="14.25" customHeight="1" x14ac:dyDescent="0.3">
      <c r="B651" s="489"/>
      <c r="C651" s="490"/>
      <c r="E651" s="491"/>
      <c r="G651" s="65"/>
    </row>
    <row r="652" spans="2:7" ht="14.25" customHeight="1" x14ac:dyDescent="0.3">
      <c r="B652" s="489"/>
      <c r="C652" s="490"/>
      <c r="E652" s="491"/>
      <c r="G652" s="65"/>
    </row>
    <row r="653" spans="2:7" ht="14.25" customHeight="1" x14ac:dyDescent="0.3">
      <c r="B653" s="489"/>
      <c r="C653" s="490"/>
      <c r="E653" s="491"/>
      <c r="G653" s="65"/>
    </row>
    <row r="654" spans="2:7" ht="14.25" customHeight="1" x14ac:dyDescent="0.3">
      <c r="B654" s="489"/>
      <c r="C654" s="490"/>
      <c r="E654" s="491"/>
      <c r="G654" s="65"/>
    </row>
    <row r="655" spans="2:7" ht="14.25" customHeight="1" x14ac:dyDescent="0.3">
      <c r="B655" s="489"/>
      <c r="C655" s="490"/>
      <c r="E655" s="491"/>
      <c r="G655" s="65"/>
    </row>
    <row r="656" spans="2:7" ht="14.25" customHeight="1" x14ac:dyDescent="0.3">
      <c r="B656" s="489"/>
      <c r="C656" s="490"/>
      <c r="E656" s="491"/>
      <c r="G656" s="65"/>
    </row>
    <row r="657" spans="2:7" ht="14.25" customHeight="1" x14ac:dyDescent="0.3">
      <c r="B657" s="489"/>
      <c r="C657" s="490"/>
      <c r="E657" s="491"/>
      <c r="G657" s="65"/>
    </row>
    <row r="658" spans="2:7" ht="14.25" customHeight="1" x14ac:dyDescent="0.3">
      <c r="B658" s="489"/>
      <c r="C658" s="490"/>
      <c r="E658" s="491"/>
      <c r="G658" s="65"/>
    </row>
    <row r="659" spans="2:7" ht="14.25" customHeight="1" x14ac:dyDescent="0.3">
      <c r="B659" s="489"/>
      <c r="C659" s="490"/>
      <c r="E659" s="491"/>
      <c r="G659" s="65"/>
    </row>
    <row r="660" spans="2:7" ht="14.25" customHeight="1" x14ac:dyDescent="0.3">
      <c r="B660" s="489"/>
      <c r="C660" s="490"/>
      <c r="E660" s="491"/>
      <c r="G660" s="65"/>
    </row>
    <row r="661" spans="2:7" ht="14.25" customHeight="1" x14ac:dyDescent="0.3">
      <c r="B661" s="489"/>
      <c r="C661" s="490"/>
      <c r="E661" s="491"/>
      <c r="G661" s="65"/>
    </row>
    <row r="662" spans="2:7" ht="14.25" customHeight="1" x14ac:dyDescent="0.3">
      <c r="B662" s="489"/>
      <c r="C662" s="490"/>
      <c r="E662" s="491"/>
      <c r="G662" s="65"/>
    </row>
    <row r="663" spans="2:7" ht="14.25" customHeight="1" x14ac:dyDescent="0.3">
      <c r="B663" s="489"/>
      <c r="C663" s="490"/>
      <c r="E663" s="491"/>
      <c r="G663" s="65"/>
    </row>
    <row r="664" spans="2:7" ht="14.25" customHeight="1" x14ac:dyDescent="0.3">
      <c r="B664" s="489"/>
      <c r="C664" s="490"/>
      <c r="E664" s="491"/>
      <c r="G664" s="65"/>
    </row>
    <row r="665" spans="2:7" ht="14.25" customHeight="1" x14ac:dyDescent="0.3">
      <c r="B665" s="489"/>
      <c r="C665" s="490"/>
      <c r="E665" s="491"/>
      <c r="G665" s="65"/>
    </row>
    <row r="666" spans="2:7" ht="14.25" customHeight="1" x14ac:dyDescent="0.3">
      <c r="B666" s="489"/>
      <c r="C666" s="490"/>
      <c r="E666" s="491"/>
      <c r="G666" s="65"/>
    </row>
    <row r="667" spans="2:7" ht="14.25" customHeight="1" x14ac:dyDescent="0.3">
      <c r="B667" s="489"/>
      <c r="C667" s="490"/>
      <c r="E667" s="491"/>
      <c r="G667" s="65"/>
    </row>
    <row r="668" spans="2:7" ht="14.25" customHeight="1" x14ac:dyDescent="0.3">
      <c r="B668" s="489"/>
      <c r="C668" s="490"/>
      <c r="E668" s="491"/>
      <c r="G668" s="65"/>
    </row>
    <row r="669" spans="2:7" ht="14.25" customHeight="1" x14ac:dyDescent="0.3">
      <c r="B669" s="489"/>
      <c r="C669" s="490"/>
      <c r="E669" s="491"/>
      <c r="G669" s="65"/>
    </row>
    <row r="670" spans="2:7" ht="14.25" customHeight="1" x14ac:dyDescent="0.3">
      <c r="B670" s="489"/>
      <c r="C670" s="490"/>
      <c r="E670" s="491"/>
      <c r="G670" s="65"/>
    </row>
    <row r="671" spans="2:7" ht="14.25" customHeight="1" x14ac:dyDescent="0.3">
      <c r="B671" s="489"/>
      <c r="C671" s="490"/>
      <c r="E671" s="491"/>
      <c r="G671" s="65"/>
    </row>
    <row r="672" spans="2:7" ht="14.25" customHeight="1" x14ac:dyDescent="0.3">
      <c r="B672" s="489"/>
      <c r="C672" s="490"/>
      <c r="E672" s="491"/>
      <c r="G672" s="65"/>
    </row>
    <row r="673" spans="2:7" ht="14.25" customHeight="1" x14ac:dyDescent="0.3">
      <c r="B673" s="489"/>
      <c r="C673" s="490"/>
      <c r="E673" s="491"/>
      <c r="G673" s="65"/>
    </row>
    <row r="674" spans="2:7" ht="14.25" customHeight="1" x14ac:dyDescent="0.3">
      <c r="B674" s="489"/>
      <c r="C674" s="490"/>
      <c r="E674" s="491"/>
      <c r="G674" s="65"/>
    </row>
    <row r="675" spans="2:7" ht="14.25" customHeight="1" x14ac:dyDescent="0.3">
      <c r="B675" s="489"/>
      <c r="C675" s="490"/>
      <c r="E675" s="491"/>
      <c r="G675" s="65"/>
    </row>
    <row r="676" spans="2:7" ht="14.25" customHeight="1" x14ac:dyDescent="0.3">
      <c r="B676" s="489"/>
      <c r="C676" s="490"/>
      <c r="E676" s="491"/>
      <c r="G676" s="65"/>
    </row>
    <row r="677" spans="2:7" ht="14.25" customHeight="1" x14ac:dyDescent="0.3">
      <c r="B677" s="489"/>
      <c r="C677" s="490"/>
      <c r="E677" s="491"/>
      <c r="G677" s="65"/>
    </row>
    <row r="678" spans="2:7" ht="14.25" customHeight="1" x14ac:dyDescent="0.3">
      <c r="B678" s="489"/>
      <c r="C678" s="490"/>
      <c r="E678" s="491"/>
      <c r="G678" s="65"/>
    </row>
    <row r="679" spans="2:7" ht="14.25" customHeight="1" x14ac:dyDescent="0.3">
      <c r="B679" s="489"/>
      <c r="C679" s="490"/>
      <c r="E679" s="491"/>
      <c r="G679" s="65"/>
    </row>
    <row r="680" spans="2:7" ht="14.25" customHeight="1" x14ac:dyDescent="0.3">
      <c r="B680" s="489"/>
      <c r="C680" s="490"/>
      <c r="E680" s="491"/>
      <c r="G680" s="65"/>
    </row>
    <row r="681" spans="2:7" ht="14.25" customHeight="1" x14ac:dyDescent="0.3">
      <c r="B681" s="489"/>
      <c r="C681" s="490"/>
      <c r="E681" s="491"/>
      <c r="G681" s="65"/>
    </row>
    <row r="682" spans="2:7" ht="14.25" customHeight="1" x14ac:dyDescent="0.3">
      <c r="B682" s="489"/>
      <c r="C682" s="490"/>
      <c r="E682" s="491"/>
      <c r="G682" s="65"/>
    </row>
    <row r="683" spans="2:7" ht="14.25" customHeight="1" x14ac:dyDescent="0.3">
      <c r="B683" s="489"/>
      <c r="C683" s="490"/>
      <c r="E683" s="491"/>
      <c r="G683" s="65"/>
    </row>
    <row r="684" spans="2:7" ht="14.25" customHeight="1" x14ac:dyDescent="0.3">
      <c r="B684" s="489"/>
      <c r="C684" s="490"/>
      <c r="E684" s="491"/>
      <c r="G684" s="65"/>
    </row>
    <row r="685" spans="2:7" ht="14.25" customHeight="1" x14ac:dyDescent="0.3">
      <c r="B685" s="489"/>
      <c r="C685" s="490"/>
      <c r="E685" s="491"/>
      <c r="G685" s="65"/>
    </row>
    <row r="686" spans="2:7" ht="14.25" customHeight="1" x14ac:dyDescent="0.3">
      <c r="B686" s="489"/>
      <c r="C686" s="490"/>
      <c r="E686" s="491"/>
      <c r="G686" s="65"/>
    </row>
    <row r="687" spans="2:7" ht="14.25" customHeight="1" x14ac:dyDescent="0.3">
      <c r="B687" s="489"/>
      <c r="C687" s="490"/>
      <c r="E687" s="491"/>
      <c r="G687" s="65"/>
    </row>
    <row r="688" spans="2:7" ht="14.25" customHeight="1" x14ac:dyDescent="0.3">
      <c r="B688" s="489"/>
      <c r="C688" s="490"/>
      <c r="E688" s="491"/>
      <c r="G688" s="65"/>
    </row>
    <row r="689" spans="2:7" ht="14.25" customHeight="1" x14ac:dyDescent="0.3">
      <c r="B689" s="489"/>
      <c r="C689" s="490"/>
      <c r="E689" s="491"/>
      <c r="G689" s="65"/>
    </row>
    <row r="690" spans="2:7" ht="14.25" customHeight="1" x14ac:dyDescent="0.3">
      <c r="B690" s="489"/>
      <c r="C690" s="490"/>
      <c r="E690" s="491"/>
      <c r="G690" s="65"/>
    </row>
    <row r="691" spans="2:7" ht="14.25" customHeight="1" x14ac:dyDescent="0.3">
      <c r="B691" s="489"/>
      <c r="C691" s="490"/>
      <c r="E691" s="491"/>
      <c r="G691" s="65"/>
    </row>
    <row r="692" spans="2:7" ht="14.25" customHeight="1" x14ac:dyDescent="0.3">
      <c r="B692" s="489"/>
      <c r="C692" s="490"/>
      <c r="E692" s="491"/>
      <c r="G692" s="65"/>
    </row>
    <row r="693" spans="2:7" ht="14.25" customHeight="1" x14ac:dyDescent="0.3">
      <c r="B693" s="489"/>
      <c r="C693" s="490"/>
      <c r="E693" s="491"/>
      <c r="G693" s="65"/>
    </row>
    <row r="694" spans="2:7" ht="14.25" customHeight="1" x14ac:dyDescent="0.3">
      <c r="B694" s="489"/>
      <c r="C694" s="490"/>
      <c r="E694" s="491"/>
      <c r="G694" s="65"/>
    </row>
    <row r="695" spans="2:7" ht="14.25" customHeight="1" x14ac:dyDescent="0.3">
      <c r="B695" s="489"/>
      <c r="C695" s="490"/>
      <c r="E695" s="491"/>
      <c r="G695" s="65"/>
    </row>
    <row r="696" spans="2:7" ht="14.25" customHeight="1" x14ac:dyDescent="0.3">
      <c r="B696" s="489"/>
      <c r="C696" s="490"/>
      <c r="E696" s="491"/>
      <c r="G696" s="65"/>
    </row>
    <row r="697" spans="2:7" ht="14.25" customHeight="1" x14ac:dyDescent="0.3">
      <c r="B697" s="489"/>
      <c r="C697" s="490"/>
      <c r="E697" s="491"/>
      <c r="G697" s="65"/>
    </row>
    <row r="698" spans="2:7" ht="14.25" customHeight="1" x14ac:dyDescent="0.3">
      <c r="B698" s="489"/>
      <c r="C698" s="490"/>
      <c r="E698" s="491"/>
      <c r="G698" s="65"/>
    </row>
    <row r="699" spans="2:7" ht="14.25" customHeight="1" x14ac:dyDescent="0.3">
      <c r="B699" s="489"/>
      <c r="C699" s="490"/>
      <c r="E699" s="491"/>
      <c r="G699" s="65"/>
    </row>
    <row r="700" spans="2:7" ht="14.25" customHeight="1" x14ac:dyDescent="0.3">
      <c r="B700" s="489"/>
      <c r="C700" s="490"/>
      <c r="E700" s="491"/>
      <c r="G700" s="65"/>
    </row>
    <row r="701" spans="2:7" ht="14.25" customHeight="1" x14ac:dyDescent="0.3">
      <c r="B701" s="489"/>
      <c r="C701" s="490"/>
      <c r="E701" s="491"/>
      <c r="G701" s="65"/>
    </row>
    <row r="702" spans="2:7" ht="14.25" customHeight="1" x14ac:dyDescent="0.3">
      <c r="B702" s="489"/>
      <c r="C702" s="490"/>
      <c r="E702" s="491"/>
      <c r="G702" s="65"/>
    </row>
    <row r="703" spans="2:7" ht="14.25" customHeight="1" x14ac:dyDescent="0.3">
      <c r="B703" s="489"/>
      <c r="C703" s="490"/>
      <c r="E703" s="491"/>
      <c r="G703" s="65"/>
    </row>
    <row r="704" spans="2:7" ht="14.25" customHeight="1" x14ac:dyDescent="0.3">
      <c r="B704" s="489"/>
      <c r="C704" s="490"/>
      <c r="E704" s="491"/>
      <c r="G704" s="65"/>
    </row>
    <row r="705" spans="2:7" ht="14.25" customHeight="1" x14ac:dyDescent="0.3">
      <c r="B705" s="489"/>
      <c r="C705" s="490"/>
      <c r="E705" s="491"/>
      <c r="G705" s="65"/>
    </row>
    <row r="706" spans="2:7" ht="14.25" customHeight="1" x14ac:dyDescent="0.3">
      <c r="B706" s="489"/>
      <c r="C706" s="490"/>
      <c r="E706" s="491"/>
      <c r="G706" s="65"/>
    </row>
    <row r="707" spans="2:7" ht="14.25" customHeight="1" x14ac:dyDescent="0.3">
      <c r="B707" s="489"/>
      <c r="C707" s="490"/>
      <c r="E707" s="491"/>
      <c r="G707" s="65"/>
    </row>
    <row r="708" spans="2:7" ht="14.25" customHeight="1" x14ac:dyDescent="0.3">
      <c r="B708" s="489"/>
      <c r="C708" s="490"/>
      <c r="E708" s="491"/>
      <c r="G708" s="65"/>
    </row>
    <row r="709" spans="2:7" ht="14.25" customHeight="1" x14ac:dyDescent="0.3">
      <c r="B709" s="489"/>
      <c r="C709" s="490"/>
      <c r="E709" s="491"/>
      <c r="G709" s="65"/>
    </row>
    <row r="710" spans="2:7" ht="14.25" customHeight="1" x14ac:dyDescent="0.3">
      <c r="B710" s="489"/>
      <c r="C710" s="490"/>
      <c r="E710" s="491"/>
      <c r="G710" s="65"/>
    </row>
    <row r="711" spans="2:7" ht="14.25" customHeight="1" x14ac:dyDescent="0.3">
      <c r="B711" s="489"/>
      <c r="C711" s="490"/>
      <c r="E711" s="491"/>
      <c r="G711" s="65"/>
    </row>
    <row r="712" spans="2:7" ht="14.25" customHeight="1" x14ac:dyDescent="0.3">
      <c r="B712" s="489"/>
      <c r="C712" s="490"/>
      <c r="E712" s="491"/>
      <c r="G712" s="65"/>
    </row>
    <row r="713" spans="2:7" ht="14.25" customHeight="1" x14ac:dyDescent="0.3">
      <c r="B713" s="489"/>
      <c r="C713" s="490"/>
      <c r="E713" s="491"/>
      <c r="G713" s="65"/>
    </row>
    <row r="714" spans="2:7" ht="14.25" customHeight="1" x14ac:dyDescent="0.3">
      <c r="B714" s="489"/>
      <c r="C714" s="490"/>
      <c r="E714" s="491"/>
      <c r="G714" s="65"/>
    </row>
    <row r="715" spans="2:7" ht="14.25" customHeight="1" x14ac:dyDescent="0.3">
      <c r="B715" s="489"/>
      <c r="C715" s="490"/>
      <c r="E715" s="491"/>
      <c r="G715" s="65"/>
    </row>
    <row r="716" spans="2:7" ht="14.25" customHeight="1" x14ac:dyDescent="0.3">
      <c r="B716" s="489"/>
      <c r="C716" s="490"/>
      <c r="E716" s="491"/>
      <c r="G716" s="65"/>
    </row>
    <row r="717" spans="2:7" ht="14.25" customHeight="1" x14ac:dyDescent="0.3">
      <c r="B717" s="489"/>
      <c r="C717" s="490"/>
      <c r="E717" s="491"/>
      <c r="G717" s="65"/>
    </row>
    <row r="718" spans="2:7" ht="14.25" customHeight="1" x14ac:dyDescent="0.3">
      <c r="B718" s="489"/>
      <c r="C718" s="490"/>
      <c r="E718" s="491"/>
      <c r="G718" s="65"/>
    </row>
    <row r="719" spans="2:7" ht="14.25" customHeight="1" x14ac:dyDescent="0.3">
      <c r="B719" s="489"/>
      <c r="C719" s="490"/>
      <c r="E719" s="491"/>
      <c r="G719" s="65"/>
    </row>
    <row r="720" spans="2:7" ht="14.25" customHeight="1" x14ac:dyDescent="0.3">
      <c r="B720" s="489"/>
      <c r="C720" s="490"/>
      <c r="E720" s="491"/>
      <c r="G720" s="65"/>
    </row>
    <row r="721" spans="2:7" ht="14.25" customHeight="1" x14ac:dyDescent="0.3">
      <c r="B721" s="489"/>
      <c r="C721" s="490"/>
      <c r="E721" s="491"/>
      <c r="G721" s="65"/>
    </row>
    <row r="722" spans="2:7" ht="14.25" customHeight="1" x14ac:dyDescent="0.3">
      <c r="B722" s="489"/>
      <c r="C722" s="490"/>
      <c r="E722" s="491"/>
      <c r="G722" s="65"/>
    </row>
    <row r="723" spans="2:7" ht="14.25" customHeight="1" x14ac:dyDescent="0.3">
      <c r="B723" s="489"/>
      <c r="C723" s="490"/>
      <c r="E723" s="491"/>
      <c r="G723" s="65"/>
    </row>
    <row r="724" spans="2:7" ht="14.25" customHeight="1" x14ac:dyDescent="0.3">
      <c r="B724" s="489"/>
      <c r="C724" s="490"/>
      <c r="E724" s="491"/>
      <c r="G724" s="65"/>
    </row>
    <row r="725" spans="2:7" ht="14.25" customHeight="1" x14ac:dyDescent="0.3">
      <c r="B725" s="489"/>
      <c r="C725" s="490"/>
      <c r="E725" s="491"/>
      <c r="G725" s="65"/>
    </row>
    <row r="726" spans="2:7" ht="14.25" customHeight="1" x14ac:dyDescent="0.3">
      <c r="B726" s="489"/>
      <c r="C726" s="490"/>
      <c r="E726" s="491"/>
      <c r="G726" s="65"/>
    </row>
    <row r="727" spans="2:7" ht="14.25" customHeight="1" x14ac:dyDescent="0.3">
      <c r="B727" s="489"/>
      <c r="C727" s="490"/>
      <c r="E727" s="491"/>
      <c r="G727" s="65"/>
    </row>
    <row r="728" spans="2:7" ht="14.25" customHeight="1" x14ac:dyDescent="0.3">
      <c r="B728" s="489"/>
      <c r="C728" s="490"/>
      <c r="E728" s="491"/>
      <c r="G728" s="65"/>
    </row>
    <row r="729" spans="2:7" ht="14.25" customHeight="1" x14ac:dyDescent="0.3">
      <c r="B729" s="489"/>
      <c r="C729" s="490"/>
      <c r="E729" s="491"/>
      <c r="G729" s="65"/>
    </row>
    <row r="730" spans="2:7" ht="14.25" customHeight="1" x14ac:dyDescent="0.3">
      <c r="B730" s="489"/>
      <c r="C730" s="490"/>
      <c r="E730" s="491"/>
      <c r="G730" s="65"/>
    </row>
    <row r="731" spans="2:7" ht="14.25" customHeight="1" x14ac:dyDescent="0.3">
      <c r="B731" s="489"/>
      <c r="C731" s="490"/>
      <c r="E731" s="491"/>
      <c r="G731" s="65"/>
    </row>
    <row r="732" spans="2:7" ht="14.25" customHeight="1" x14ac:dyDescent="0.3">
      <c r="B732" s="489"/>
      <c r="C732" s="490"/>
      <c r="E732" s="491"/>
      <c r="G732" s="65"/>
    </row>
    <row r="733" spans="2:7" ht="14.25" customHeight="1" x14ac:dyDescent="0.3">
      <c r="B733" s="489"/>
      <c r="C733" s="490"/>
      <c r="E733" s="491"/>
      <c r="G733" s="65"/>
    </row>
    <row r="734" spans="2:7" ht="14.25" customHeight="1" x14ac:dyDescent="0.3">
      <c r="B734" s="489"/>
      <c r="C734" s="490"/>
      <c r="E734" s="491"/>
      <c r="G734" s="65"/>
    </row>
    <row r="735" spans="2:7" ht="14.25" customHeight="1" x14ac:dyDescent="0.3">
      <c r="B735" s="489"/>
      <c r="C735" s="490"/>
      <c r="E735" s="491"/>
      <c r="G735" s="65"/>
    </row>
    <row r="736" spans="2:7" ht="14.25" customHeight="1" x14ac:dyDescent="0.3">
      <c r="B736" s="489"/>
      <c r="C736" s="490"/>
      <c r="E736" s="491"/>
      <c r="G736" s="65"/>
    </row>
    <row r="737" spans="2:7" ht="14.25" customHeight="1" x14ac:dyDescent="0.3">
      <c r="B737" s="489"/>
      <c r="C737" s="490"/>
      <c r="E737" s="491"/>
      <c r="G737" s="65"/>
    </row>
    <row r="738" spans="2:7" ht="14.25" customHeight="1" x14ac:dyDescent="0.3">
      <c r="B738" s="489"/>
      <c r="C738" s="490"/>
      <c r="E738" s="491"/>
      <c r="G738" s="65"/>
    </row>
    <row r="739" spans="2:7" ht="14.25" customHeight="1" x14ac:dyDescent="0.3">
      <c r="B739" s="489"/>
      <c r="C739" s="490"/>
      <c r="E739" s="491"/>
      <c r="G739" s="65"/>
    </row>
    <row r="740" spans="2:7" ht="14.25" customHeight="1" x14ac:dyDescent="0.3">
      <c r="B740" s="489"/>
      <c r="C740" s="490"/>
      <c r="E740" s="491"/>
      <c r="G740" s="65"/>
    </row>
    <row r="741" spans="2:7" ht="14.25" customHeight="1" x14ac:dyDescent="0.3">
      <c r="B741" s="489"/>
      <c r="C741" s="490"/>
      <c r="E741" s="491"/>
      <c r="G741" s="65"/>
    </row>
    <row r="742" spans="2:7" ht="14.25" customHeight="1" x14ac:dyDescent="0.3">
      <c r="B742" s="489"/>
      <c r="C742" s="490"/>
      <c r="E742" s="491"/>
      <c r="G742" s="65"/>
    </row>
    <row r="743" spans="2:7" ht="14.25" customHeight="1" x14ac:dyDescent="0.3">
      <c r="B743" s="489"/>
      <c r="C743" s="490"/>
      <c r="E743" s="491"/>
      <c r="G743" s="65"/>
    </row>
    <row r="744" spans="2:7" ht="14.25" customHeight="1" x14ac:dyDescent="0.3">
      <c r="B744" s="489"/>
      <c r="C744" s="490"/>
      <c r="E744" s="491"/>
      <c r="G744" s="65"/>
    </row>
    <row r="745" spans="2:7" ht="14.25" customHeight="1" x14ac:dyDescent="0.3">
      <c r="B745" s="489"/>
      <c r="C745" s="490"/>
      <c r="E745" s="491"/>
      <c r="G745" s="65"/>
    </row>
    <row r="746" spans="2:7" ht="14.25" customHeight="1" x14ac:dyDescent="0.3">
      <c r="B746" s="489"/>
      <c r="C746" s="490"/>
      <c r="E746" s="491"/>
      <c r="G746" s="65"/>
    </row>
    <row r="747" spans="2:7" ht="14.25" customHeight="1" x14ac:dyDescent="0.3">
      <c r="B747" s="489"/>
      <c r="C747" s="490"/>
      <c r="E747" s="491"/>
      <c r="G747" s="65"/>
    </row>
    <row r="748" spans="2:7" ht="14.25" customHeight="1" x14ac:dyDescent="0.3">
      <c r="B748" s="489"/>
      <c r="C748" s="490"/>
      <c r="E748" s="491"/>
      <c r="G748" s="65"/>
    </row>
    <row r="749" spans="2:7" ht="14.25" customHeight="1" x14ac:dyDescent="0.3">
      <c r="B749" s="489"/>
      <c r="C749" s="490"/>
      <c r="E749" s="491"/>
      <c r="G749" s="65"/>
    </row>
    <row r="750" spans="2:7" ht="14.25" customHeight="1" x14ac:dyDescent="0.3">
      <c r="B750" s="489"/>
      <c r="C750" s="490"/>
      <c r="E750" s="491"/>
      <c r="G750" s="65"/>
    </row>
    <row r="751" spans="2:7" ht="14.25" customHeight="1" x14ac:dyDescent="0.3">
      <c r="B751" s="489"/>
      <c r="C751" s="490"/>
      <c r="E751" s="491"/>
      <c r="G751" s="65"/>
    </row>
    <row r="752" spans="2:7" ht="14.25" customHeight="1" x14ac:dyDescent="0.3">
      <c r="B752" s="489"/>
      <c r="C752" s="490"/>
      <c r="E752" s="491"/>
      <c r="G752" s="65"/>
    </row>
    <row r="753" spans="2:7" ht="14.25" customHeight="1" x14ac:dyDescent="0.3">
      <c r="B753" s="489"/>
      <c r="C753" s="490"/>
      <c r="E753" s="491"/>
      <c r="G753" s="65"/>
    </row>
    <row r="754" spans="2:7" ht="14.25" customHeight="1" x14ac:dyDescent="0.3">
      <c r="B754" s="489"/>
      <c r="C754" s="490"/>
      <c r="E754" s="491"/>
      <c r="G754" s="65"/>
    </row>
    <row r="755" spans="2:7" ht="14.25" customHeight="1" x14ac:dyDescent="0.3">
      <c r="B755" s="489"/>
      <c r="C755" s="490"/>
      <c r="E755" s="491"/>
      <c r="G755" s="65"/>
    </row>
    <row r="756" spans="2:7" ht="14.25" customHeight="1" x14ac:dyDescent="0.3">
      <c r="B756" s="489"/>
      <c r="C756" s="490"/>
      <c r="E756" s="491"/>
      <c r="G756" s="65"/>
    </row>
    <row r="757" spans="2:7" ht="14.25" customHeight="1" x14ac:dyDescent="0.3">
      <c r="B757" s="489"/>
      <c r="C757" s="490"/>
      <c r="E757" s="491"/>
      <c r="G757" s="65"/>
    </row>
    <row r="758" spans="2:7" ht="14.25" customHeight="1" x14ac:dyDescent="0.3">
      <c r="B758" s="489"/>
      <c r="C758" s="490"/>
      <c r="E758" s="491"/>
      <c r="G758" s="65"/>
    </row>
    <row r="759" spans="2:7" ht="14.25" customHeight="1" x14ac:dyDescent="0.3">
      <c r="B759" s="489"/>
      <c r="C759" s="490"/>
      <c r="E759" s="491"/>
      <c r="G759" s="65"/>
    </row>
    <row r="760" spans="2:7" ht="14.25" customHeight="1" x14ac:dyDescent="0.3">
      <c r="B760" s="489"/>
      <c r="C760" s="490"/>
      <c r="E760" s="491"/>
      <c r="G760" s="65"/>
    </row>
    <row r="761" spans="2:7" ht="14.25" customHeight="1" x14ac:dyDescent="0.3">
      <c r="B761" s="489"/>
      <c r="C761" s="490"/>
      <c r="E761" s="491"/>
      <c r="G761" s="65"/>
    </row>
    <row r="762" spans="2:7" ht="14.25" customHeight="1" x14ac:dyDescent="0.3">
      <c r="B762" s="489"/>
      <c r="C762" s="490"/>
      <c r="E762" s="491"/>
      <c r="G762" s="65"/>
    </row>
    <row r="763" spans="2:7" ht="14.25" customHeight="1" x14ac:dyDescent="0.3">
      <c r="B763" s="489"/>
      <c r="C763" s="490"/>
      <c r="E763" s="491"/>
      <c r="G763" s="65"/>
    </row>
    <row r="764" spans="2:7" ht="14.25" customHeight="1" x14ac:dyDescent="0.3">
      <c r="B764" s="489"/>
      <c r="C764" s="490"/>
      <c r="E764" s="491"/>
      <c r="G764" s="65"/>
    </row>
    <row r="765" spans="2:7" ht="14.25" customHeight="1" x14ac:dyDescent="0.3">
      <c r="B765" s="489"/>
      <c r="C765" s="490"/>
      <c r="E765" s="491"/>
      <c r="G765" s="65"/>
    </row>
    <row r="766" spans="2:7" ht="14.25" customHeight="1" x14ac:dyDescent="0.3">
      <c r="B766" s="489"/>
      <c r="C766" s="490"/>
      <c r="E766" s="491"/>
      <c r="G766" s="65"/>
    </row>
    <row r="767" spans="2:7" ht="14.25" customHeight="1" x14ac:dyDescent="0.3">
      <c r="B767" s="489"/>
      <c r="C767" s="490"/>
      <c r="E767" s="491"/>
      <c r="G767" s="65"/>
    </row>
    <row r="768" spans="2:7" ht="14.25" customHeight="1" x14ac:dyDescent="0.3">
      <c r="B768" s="489"/>
      <c r="C768" s="490"/>
      <c r="E768" s="491"/>
      <c r="G768" s="65"/>
    </row>
    <row r="769" spans="2:7" ht="14.25" customHeight="1" x14ac:dyDescent="0.3">
      <c r="B769" s="489"/>
      <c r="C769" s="490"/>
      <c r="E769" s="491"/>
      <c r="G769" s="65"/>
    </row>
    <row r="770" spans="2:7" ht="14.25" customHeight="1" x14ac:dyDescent="0.3">
      <c r="B770" s="489"/>
      <c r="C770" s="490"/>
      <c r="E770" s="491"/>
      <c r="G770" s="65"/>
    </row>
    <row r="771" spans="2:7" ht="14.25" customHeight="1" x14ac:dyDescent="0.3">
      <c r="B771" s="489"/>
      <c r="C771" s="490"/>
      <c r="E771" s="491"/>
      <c r="G771" s="65"/>
    </row>
    <row r="772" spans="2:7" ht="14.25" customHeight="1" x14ac:dyDescent="0.3">
      <c r="B772" s="489"/>
      <c r="C772" s="490"/>
      <c r="E772" s="491"/>
      <c r="G772" s="65"/>
    </row>
    <row r="773" spans="2:7" ht="14.25" customHeight="1" x14ac:dyDescent="0.3">
      <c r="B773" s="489"/>
      <c r="C773" s="490"/>
      <c r="E773" s="491"/>
      <c r="G773" s="65"/>
    </row>
    <row r="774" spans="2:7" ht="14.25" customHeight="1" x14ac:dyDescent="0.3">
      <c r="B774" s="489"/>
      <c r="C774" s="490"/>
      <c r="E774" s="491"/>
      <c r="G774" s="65"/>
    </row>
    <row r="775" spans="2:7" ht="14.25" customHeight="1" x14ac:dyDescent="0.3">
      <c r="B775" s="489"/>
      <c r="C775" s="490"/>
      <c r="E775" s="491"/>
      <c r="G775" s="65"/>
    </row>
    <row r="776" spans="2:7" ht="14.25" customHeight="1" x14ac:dyDescent="0.3">
      <c r="B776" s="489"/>
      <c r="C776" s="490"/>
      <c r="E776" s="491"/>
      <c r="G776" s="65"/>
    </row>
    <row r="777" spans="2:7" ht="14.25" customHeight="1" x14ac:dyDescent="0.3">
      <c r="B777" s="489"/>
      <c r="C777" s="490"/>
      <c r="E777" s="491"/>
      <c r="G777" s="65"/>
    </row>
    <row r="778" spans="2:7" ht="14.25" customHeight="1" x14ac:dyDescent="0.3">
      <c r="B778" s="489"/>
      <c r="C778" s="490"/>
      <c r="E778" s="491"/>
      <c r="G778" s="65"/>
    </row>
    <row r="779" spans="2:7" ht="14.25" customHeight="1" x14ac:dyDescent="0.3">
      <c r="B779" s="489"/>
      <c r="C779" s="490"/>
      <c r="E779" s="491"/>
      <c r="G779" s="65"/>
    </row>
    <row r="780" spans="2:7" ht="14.25" customHeight="1" x14ac:dyDescent="0.3">
      <c r="B780" s="489"/>
      <c r="C780" s="490"/>
      <c r="E780" s="491"/>
      <c r="G780" s="65"/>
    </row>
    <row r="781" spans="2:7" ht="14.25" customHeight="1" x14ac:dyDescent="0.3">
      <c r="B781" s="489"/>
      <c r="C781" s="490"/>
      <c r="E781" s="491"/>
      <c r="G781" s="65"/>
    </row>
    <row r="782" spans="2:7" ht="14.25" customHeight="1" x14ac:dyDescent="0.3">
      <c r="B782" s="489"/>
      <c r="C782" s="490"/>
      <c r="E782" s="491"/>
      <c r="G782" s="65"/>
    </row>
    <row r="783" spans="2:7" ht="14.25" customHeight="1" x14ac:dyDescent="0.3">
      <c r="B783" s="489"/>
      <c r="C783" s="490"/>
      <c r="E783" s="491"/>
      <c r="G783" s="65"/>
    </row>
    <row r="784" spans="2:7" ht="14.25" customHeight="1" x14ac:dyDescent="0.3">
      <c r="B784" s="489"/>
      <c r="C784" s="490"/>
      <c r="E784" s="491"/>
      <c r="G784" s="65"/>
    </row>
    <row r="785" spans="2:7" ht="14.25" customHeight="1" x14ac:dyDescent="0.3">
      <c r="B785" s="489"/>
      <c r="C785" s="490"/>
      <c r="E785" s="491"/>
      <c r="G785" s="65"/>
    </row>
    <row r="786" spans="2:7" ht="14.25" customHeight="1" x14ac:dyDescent="0.3">
      <c r="B786" s="489"/>
      <c r="C786" s="490"/>
      <c r="E786" s="491"/>
      <c r="G786" s="65"/>
    </row>
    <row r="787" spans="2:7" ht="14.25" customHeight="1" x14ac:dyDescent="0.3">
      <c r="B787" s="489"/>
      <c r="C787" s="490"/>
      <c r="E787" s="491"/>
      <c r="G787" s="65"/>
    </row>
    <row r="788" spans="2:7" ht="14.25" customHeight="1" x14ac:dyDescent="0.3">
      <c r="B788" s="489"/>
      <c r="C788" s="490"/>
      <c r="E788" s="491"/>
      <c r="G788" s="65"/>
    </row>
    <row r="789" spans="2:7" ht="14.25" customHeight="1" x14ac:dyDescent="0.3">
      <c r="B789" s="489"/>
      <c r="C789" s="490"/>
      <c r="E789" s="491"/>
      <c r="G789" s="65"/>
    </row>
    <row r="790" spans="2:7" ht="14.25" customHeight="1" x14ac:dyDescent="0.3">
      <c r="B790" s="489"/>
      <c r="C790" s="490"/>
      <c r="E790" s="491"/>
      <c r="G790" s="65"/>
    </row>
    <row r="791" spans="2:7" ht="14.25" customHeight="1" x14ac:dyDescent="0.3">
      <c r="B791" s="489"/>
      <c r="C791" s="490"/>
      <c r="E791" s="491"/>
      <c r="G791" s="65"/>
    </row>
    <row r="792" spans="2:7" ht="14.25" customHeight="1" x14ac:dyDescent="0.3">
      <c r="B792" s="489"/>
      <c r="C792" s="490"/>
      <c r="E792" s="491"/>
      <c r="G792" s="65"/>
    </row>
    <row r="793" spans="2:7" ht="14.25" customHeight="1" x14ac:dyDescent="0.3">
      <c r="B793" s="489"/>
      <c r="C793" s="490"/>
      <c r="E793" s="491"/>
      <c r="G793" s="65"/>
    </row>
    <row r="794" spans="2:7" ht="14.25" customHeight="1" x14ac:dyDescent="0.3">
      <c r="B794" s="489"/>
      <c r="C794" s="490"/>
      <c r="E794" s="491"/>
      <c r="G794" s="65"/>
    </row>
    <row r="795" spans="2:7" ht="14.25" customHeight="1" x14ac:dyDescent="0.3">
      <c r="B795" s="489"/>
      <c r="C795" s="490"/>
      <c r="E795" s="491"/>
      <c r="G795" s="65"/>
    </row>
    <row r="796" spans="2:7" ht="14.25" customHeight="1" x14ac:dyDescent="0.3">
      <c r="B796" s="489"/>
      <c r="C796" s="490"/>
      <c r="E796" s="491"/>
      <c r="G796" s="65"/>
    </row>
    <row r="797" spans="2:7" ht="14.25" customHeight="1" x14ac:dyDescent="0.3">
      <c r="B797" s="489"/>
      <c r="C797" s="490"/>
      <c r="E797" s="491"/>
      <c r="G797" s="65"/>
    </row>
    <row r="798" spans="2:7" ht="14.25" customHeight="1" x14ac:dyDescent="0.3">
      <c r="B798" s="489"/>
      <c r="C798" s="490"/>
      <c r="E798" s="491"/>
      <c r="G798" s="65"/>
    </row>
    <row r="799" spans="2:7" ht="14.25" customHeight="1" x14ac:dyDescent="0.3">
      <c r="B799" s="489"/>
      <c r="C799" s="490"/>
      <c r="E799" s="491"/>
      <c r="G799" s="65"/>
    </row>
    <row r="800" spans="2:7" ht="14.25" customHeight="1" x14ac:dyDescent="0.3">
      <c r="B800" s="489"/>
      <c r="C800" s="490"/>
      <c r="E800" s="491"/>
      <c r="G800" s="65"/>
    </row>
    <row r="801" spans="2:7" ht="14.25" customHeight="1" x14ac:dyDescent="0.3">
      <c r="B801" s="489"/>
      <c r="C801" s="490"/>
      <c r="E801" s="491"/>
      <c r="G801" s="65"/>
    </row>
    <row r="802" spans="2:7" ht="14.25" customHeight="1" x14ac:dyDescent="0.3">
      <c r="B802" s="489"/>
      <c r="C802" s="490"/>
      <c r="E802" s="491"/>
      <c r="G802" s="65"/>
    </row>
    <row r="803" spans="2:7" ht="14.25" customHeight="1" x14ac:dyDescent="0.3">
      <c r="B803" s="489"/>
      <c r="C803" s="490"/>
      <c r="E803" s="491"/>
      <c r="G803" s="65"/>
    </row>
    <row r="804" spans="2:7" ht="14.25" customHeight="1" x14ac:dyDescent="0.3">
      <c r="B804" s="489"/>
      <c r="C804" s="490"/>
      <c r="E804" s="491"/>
      <c r="G804" s="65"/>
    </row>
    <row r="805" spans="2:7" ht="14.25" customHeight="1" x14ac:dyDescent="0.3">
      <c r="B805" s="489"/>
      <c r="C805" s="490"/>
      <c r="E805" s="491"/>
      <c r="G805" s="65"/>
    </row>
    <row r="806" spans="2:7" ht="14.25" customHeight="1" x14ac:dyDescent="0.3">
      <c r="B806" s="489"/>
      <c r="C806" s="490"/>
      <c r="E806" s="491"/>
      <c r="G806" s="65"/>
    </row>
    <row r="807" spans="2:7" ht="14.25" customHeight="1" x14ac:dyDescent="0.3">
      <c r="B807" s="489"/>
      <c r="C807" s="490"/>
      <c r="E807" s="491"/>
      <c r="G807" s="65"/>
    </row>
    <row r="808" spans="2:7" ht="14.25" customHeight="1" x14ac:dyDescent="0.3">
      <c r="B808" s="489"/>
      <c r="C808" s="490"/>
      <c r="E808" s="491"/>
      <c r="G808" s="65"/>
    </row>
    <row r="809" spans="2:7" ht="14.25" customHeight="1" x14ac:dyDescent="0.3">
      <c r="B809" s="489"/>
      <c r="C809" s="490"/>
      <c r="E809" s="491"/>
      <c r="G809" s="65"/>
    </row>
    <row r="810" spans="2:7" ht="14.25" customHeight="1" x14ac:dyDescent="0.3">
      <c r="B810" s="489"/>
      <c r="C810" s="490"/>
      <c r="E810" s="491"/>
      <c r="G810" s="65"/>
    </row>
    <row r="811" spans="2:7" ht="14.25" customHeight="1" x14ac:dyDescent="0.3">
      <c r="B811" s="489"/>
      <c r="C811" s="490"/>
      <c r="E811" s="491"/>
      <c r="G811" s="65"/>
    </row>
    <row r="812" spans="2:7" ht="14.25" customHeight="1" x14ac:dyDescent="0.3">
      <c r="B812" s="489"/>
      <c r="C812" s="490"/>
      <c r="E812" s="491"/>
      <c r="G812" s="65"/>
    </row>
    <row r="813" spans="2:7" ht="14.25" customHeight="1" x14ac:dyDescent="0.3">
      <c r="B813" s="489"/>
      <c r="C813" s="490"/>
      <c r="E813" s="491"/>
      <c r="G813" s="65"/>
    </row>
    <row r="814" spans="2:7" ht="14.25" customHeight="1" x14ac:dyDescent="0.3">
      <c r="B814" s="489"/>
      <c r="C814" s="490"/>
      <c r="E814" s="491"/>
      <c r="G814" s="65"/>
    </row>
    <row r="815" spans="2:7" ht="14.25" customHeight="1" x14ac:dyDescent="0.3">
      <c r="B815" s="489"/>
      <c r="C815" s="490"/>
      <c r="E815" s="491"/>
      <c r="G815" s="65"/>
    </row>
    <row r="816" spans="2:7" ht="14.25" customHeight="1" x14ac:dyDescent="0.3">
      <c r="B816" s="489"/>
      <c r="C816" s="490"/>
      <c r="E816" s="491"/>
      <c r="G816" s="65"/>
    </row>
    <row r="817" spans="2:7" ht="14.25" customHeight="1" x14ac:dyDescent="0.3">
      <c r="B817" s="489"/>
      <c r="C817" s="490"/>
      <c r="E817" s="491"/>
      <c r="G817" s="65"/>
    </row>
    <row r="818" spans="2:7" ht="14.25" customHeight="1" x14ac:dyDescent="0.3">
      <c r="B818" s="489"/>
      <c r="C818" s="490"/>
      <c r="E818" s="491"/>
      <c r="G818" s="65"/>
    </row>
    <row r="819" spans="2:7" ht="14.25" customHeight="1" x14ac:dyDescent="0.3">
      <c r="B819" s="489"/>
      <c r="C819" s="490"/>
      <c r="E819" s="491"/>
      <c r="G819" s="65"/>
    </row>
    <row r="820" spans="2:7" ht="14.25" customHeight="1" x14ac:dyDescent="0.3">
      <c r="B820" s="489"/>
      <c r="C820" s="490"/>
      <c r="E820" s="491"/>
      <c r="G820" s="65"/>
    </row>
    <row r="821" spans="2:7" ht="14.25" customHeight="1" x14ac:dyDescent="0.3">
      <c r="B821" s="489"/>
      <c r="C821" s="490"/>
      <c r="E821" s="491"/>
      <c r="G821" s="65"/>
    </row>
    <row r="822" spans="2:7" ht="14.25" customHeight="1" x14ac:dyDescent="0.3">
      <c r="B822" s="489"/>
      <c r="C822" s="490"/>
      <c r="E822" s="491"/>
      <c r="G822" s="65"/>
    </row>
    <row r="823" spans="2:7" ht="14.25" customHeight="1" x14ac:dyDescent="0.3">
      <c r="B823" s="489"/>
      <c r="C823" s="490"/>
      <c r="E823" s="491"/>
      <c r="G823" s="65"/>
    </row>
    <row r="824" spans="2:7" ht="14.25" customHeight="1" x14ac:dyDescent="0.3">
      <c r="B824" s="489"/>
      <c r="C824" s="490"/>
      <c r="E824" s="491"/>
      <c r="G824" s="65"/>
    </row>
    <row r="825" spans="2:7" ht="14.25" customHeight="1" x14ac:dyDescent="0.3">
      <c r="B825" s="489"/>
      <c r="C825" s="490"/>
      <c r="E825" s="491"/>
      <c r="G825" s="65"/>
    </row>
    <row r="826" spans="2:7" ht="14.25" customHeight="1" x14ac:dyDescent="0.3">
      <c r="B826" s="489"/>
      <c r="C826" s="490"/>
      <c r="E826" s="491"/>
      <c r="G826" s="65"/>
    </row>
    <row r="827" spans="2:7" ht="14.25" customHeight="1" x14ac:dyDescent="0.3">
      <c r="B827" s="489"/>
      <c r="C827" s="490"/>
      <c r="E827" s="491"/>
      <c r="G827" s="65"/>
    </row>
    <row r="828" spans="2:7" ht="14.25" customHeight="1" x14ac:dyDescent="0.3">
      <c r="B828" s="489"/>
      <c r="C828" s="490"/>
      <c r="E828" s="491"/>
      <c r="G828" s="65"/>
    </row>
    <row r="829" spans="2:7" ht="14.25" customHeight="1" x14ac:dyDescent="0.3">
      <c r="B829" s="489"/>
      <c r="C829" s="490"/>
      <c r="E829" s="491"/>
      <c r="G829" s="65"/>
    </row>
    <row r="830" spans="2:7" ht="14.25" customHeight="1" x14ac:dyDescent="0.3">
      <c r="B830" s="489"/>
      <c r="C830" s="490"/>
      <c r="E830" s="491"/>
      <c r="G830" s="65"/>
    </row>
    <row r="831" spans="2:7" ht="14.25" customHeight="1" x14ac:dyDescent="0.3">
      <c r="B831" s="489"/>
      <c r="C831" s="490"/>
      <c r="E831" s="491"/>
      <c r="G831" s="65"/>
    </row>
    <row r="832" spans="2:7" ht="14.25" customHeight="1" x14ac:dyDescent="0.3">
      <c r="B832" s="489"/>
      <c r="C832" s="490"/>
      <c r="E832" s="491"/>
      <c r="G832" s="65"/>
    </row>
    <row r="833" spans="2:7" ht="14.25" customHeight="1" x14ac:dyDescent="0.3">
      <c r="B833" s="489"/>
      <c r="C833" s="490"/>
      <c r="E833" s="491"/>
      <c r="G833" s="65"/>
    </row>
    <row r="834" spans="2:7" ht="14.25" customHeight="1" x14ac:dyDescent="0.3">
      <c r="B834" s="489"/>
      <c r="C834" s="490"/>
      <c r="E834" s="491"/>
      <c r="G834" s="65"/>
    </row>
    <row r="835" spans="2:7" ht="14.25" customHeight="1" x14ac:dyDescent="0.3">
      <c r="B835" s="489"/>
      <c r="C835" s="490"/>
      <c r="E835" s="491"/>
      <c r="G835" s="65"/>
    </row>
    <row r="836" spans="2:7" ht="14.25" customHeight="1" x14ac:dyDescent="0.3">
      <c r="B836" s="489"/>
      <c r="C836" s="490"/>
      <c r="E836" s="491"/>
      <c r="G836" s="65"/>
    </row>
    <row r="837" spans="2:7" ht="14.25" customHeight="1" x14ac:dyDescent="0.3">
      <c r="B837" s="489"/>
      <c r="C837" s="490"/>
      <c r="E837" s="491"/>
      <c r="G837" s="65"/>
    </row>
    <row r="838" spans="2:7" ht="14.25" customHeight="1" x14ac:dyDescent="0.3">
      <c r="B838" s="489"/>
      <c r="C838" s="490"/>
      <c r="E838" s="491"/>
      <c r="G838" s="65"/>
    </row>
    <row r="839" spans="2:7" ht="14.25" customHeight="1" x14ac:dyDescent="0.3">
      <c r="B839" s="489"/>
      <c r="C839" s="490"/>
      <c r="E839" s="491"/>
      <c r="G839" s="65"/>
    </row>
    <row r="840" spans="2:7" ht="14.25" customHeight="1" x14ac:dyDescent="0.3">
      <c r="B840" s="489"/>
      <c r="C840" s="490"/>
      <c r="E840" s="491"/>
      <c r="G840" s="65"/>
    </row>
    <row r="841" spans="2:7" ht="14.25" customHeight="1" x14ac:dyDescent="0.3">
      <c r="B841" s="489"/>
      <c r="C841" s="490"/>
      <c r="E841" s="491"/>
      <c r="G841" s="65"/>
    </row>
    <row r="842" spans="2:7" ht="14.25" customHeight="1" x14ac:dyDescent="0.3">
      <c r="B842" s="489"/>
      <c r="C842" s="490"/>
      <c r="E842" s="491"/>
      <c r="G842" s="65"/>
    </row>
    <row r="843" spans="2:7" ht="14.25" customHeight="1" x14ac:dyDescent="0.3">
      <c r="B843" s="489"/>
      <c r="C843" s="490"/>
      <c r="E843" s="491"/>
      <c r="G843" s="65"/>
    </row>
    <row r="844" spans="2:7" ht="14.25" customHeight="1" x14ac:dyDescent="0.3">
      <c r="B844" s="489"/>
      <c r="C844" s="490"/>
      <c r="E844" s="491"/>
      <c r="G844" s="65"/>
    </row>
    <row r="845" spans="2:7" ht="14.25" customHeight="1" x14ac:dyDescent="0.3">
      <c r="B845" s="489"/>
      <c r="C845" s="490"/>
      <c r="E845" s="491"/>
      <c r="G845" s="65"/>
    </row>
    <row r="846" spans="2:7" ht="14.25" customHeight="1" x14ac:dyDescent="0.3">
      <c r="B846" s="489"/>
      <c r="C846" s="490"/>
      <c r="E846" s="491"/>
      <c r="G846" s="65"/>
    </row>
    <row r="847" spans="2:7" ht="14.25" customHeight="1" x14ac:dyDescent="0.3">
      <c r="B847" s="489"/>
      <c r="C847" s="490"/>
      <c r="E847" s="491"/>
      <c r="G847" s="65"/>
    </row>
    <row r="848" spans="2:7" ht="14.25" customHeight="1" x14ac:dyDescent="0.3">
      <c r="B848" s="489"/>
      <c r="C848" s="490"/>
      <c r="E848" s="491"/>
      <c r="G848" s="65"/>
    </row>
    <row r="849" spans="2:7" ht="14.25" customHeight="1" x14ac:dyDescent="0.3">
      <c r="B849" s="489"/>
      <c r="C849" s="490"/>
      <c r="E849" s="491"/>
      <c r="G849" s="65"/>
    </row>
    <row r="850" spans="2:7" ht="14.25" customHeight="1" x14ac:dyDescent="0.3">
      <c r="B850" s="489"/>
      <c r="C850" s="490"/>
      <c r="E850" s="491"/>
      <c r="G850" s="65"/>
    </row>
    <row r="851" spans="2:7" ht="14.25" customHeight="1" x14ac:dyDescent="0.3">
      <c r="B851" s="489"/>
      <c r="C851" s="490"/>
      <c r="E851" s="491"/>
      <c r="G851" s="65"/>
    </row>
    <row r="852" spans="2:7" ht="14.25" customHeight="1" x14ac:dyDescent="0.3">
      <c r="B852" s="489"/>
      <c r="C852" s="490"/>
      <c r="E852" s="491"/>
      <c r="G852" s="65"/>
    </row>
    <row r="853" spans="2:7" ht="14.25" customHeight="1" x14ac:dyDescent="0.3">
      <c r="B853" s="489"/>
      <c r="C853" s="490"/>
      <c r="E853" s="491"/>
      <c r="G853" s="65"/>
    </row>
    <row r="854" spans="2:7" ht="14.25" customHeight="1" x14ac:dyDescent="0.3">
      <c r="B854" s="489"/>
      <c r="C854" s="490"/>
      <c r="E854" s="491"/>
      <c r="G854" s="65"/>
    </row>
    <row r="855" spans="2:7" ht="14.25" customHeight="1" x14ac:dyDescent="0.3">
      <c r="B855" s="489"/>
      <c r="C855" s="490"/>
      <c r="E855" s="491"/>
      <c r="G855" s="65"/>
    </row>
    <row r="856" spans="2:7" ht="14.25" customHeight="1" x14ac:dyDescent="0.3">
      <c r="B856" s="489"/>
      <c r="C856" s="490"/>
      <c r="E856" s="491"/>
      <c r="G856" s="65"/>
    </row>
    <row r="857" spans="2:7" ht="14.25" customHeight="1" x14ac:dyDescent="0.3">
      <c r="B857" s="489"/>
      <c r="C857" s="490"/>
      <c r="E857" s="491"/>
      <c r="G857" s="65"/>
    </row>
    <row r="858" spans="2:7" ht="14.25" customHeight="1" x14ac:dyDescent="0.3">
      <c r="B858" s="489"/>
      <c r="C858" s="490"/>
      <c r="E858" s="491"/>
      <c r="G858" s="65"/>
    </row>
    <row r="859" spans="2:7" ht="14.25" customHeight="1" x14ac:dyDescent="0.3">
      <c r="B859" s="489"/>
      <c r="C859" s="490"/>
      <c r="E859" s="491"/>
      <c r="G859" s="65"/>
    </row>
    <row r="860" spans="2:7" ht="14.25" customHeight="1" x14ac:dyDescent="0.3">
      <c r="B860" s="489"/>
      <c r="C860" s="490"/>
      <c r="E860" s="491"/>
      <c r="G860" s="65"/>
    </row>
    <row r="861" spans="2:7" ht="14.25" customHeight="1" x14ac:dyDescent="0.3">
      <c r="B861" s="489"/>
      <c r="C861" s="490"/>
      <c r="E861" s="491"/>
      <c r="G861" s="65"/>
    </row>
    <row r="862" spans="2:7" ht="14.25" customHeight="1" x14ac:dyDescent="0.3">
      <c r="B862" s="489"/>
      <c r="C862" s="490"/>
      <c r="E862" s="491"/>
      <c r="G862" s="65"/>
    </row>
    <row r="863" spans="2:7" ht="14.25" customHeight="1" x14ac:dyDescent="0.3">
      <c r="B863" s="489"/>
      <c r="C863" s="490"/>
      <c r="E863" s="491"/>
      <c r="G863" s="65"/>
    </row>
    <row r="864" spans="2:7" ht="14.25" customHeight="1" x14ac:dyDescent="0.3">
      <c r="B864" s="489"/>
      <c r="C864" s="490"/>
      <c r="E864" s="491"/>
      <c r="G864" s="65"/>
    </row>
    <row r="865" spans="2:7" ht="14.25" customHeight="1" x14ac:dyDescent="0.3">
      <c r="B865" s="489"/>
      <c r="C865" s="490"/>
      <c r="E865" s="491"/>
      <c r="G865" s="65"/>
    </row>
    <row r="866" spans="2:7" ht="14.25" customHeight="1" x14ac:dyDescent="0.3">
      <c r="B866" s="489"/>
      <c r="C866" s="490"/>
      <c r="E866" s="491"/>
      <c r="G866" s="65"/>
    </row>
    <row r="867" spans="2:7" ht="14.25" customHeight="1" x14ac:dyDescent="0.3">
      <c r="B867" s="489"/>
      <c r="C867" s="490"/>
      <c r="E867" s="491"/>
      <c r="G867" s="65"/>
    </row>
    <row r="868" spans="2:7" ht="14.25" customHeight="1" x14ac:dyDescent="0.3">
      <c r="B868" s="489"/>
      <c r="C868" s="490"/>
      <c r="E868" s="491"/>
      <c r="G868" s="65"/>
    </row>
    <row r="869" spans="2:7" ht="14.25" customHeight="1" x14ac:dyDescent="0.3">
      <c r="B869" s="489"/>
      <c r="C869" s="490"/>
      <c r="E869" s="491"/>
      <c r="G869" s="65"/>
    </row>
    <row r="870" spans="2:7" ht="14.25" customHeight="1" x14ac:dyDescent="0.3">
      <c r="B870" s="489"/>
      <c r="C870" s="490"/>
      <c r="E870" s="491"/>
      <c r="G870" s="65"/>
    </row>
    <row r="871" spans="2:7" ht="14.25" customHeight="1" x14ac:dyDescent="0.3">
      <c r="B871" s="489"/>
      <c r="C871" s="490"/>
      <c r="E871" s="491"/>
      <c r="G871" s="65"/>
    </row>
    <row r="872" spans="2:7" ht="14.25" customHeight="1" x14ac:dyDescent="0.3">
      <c r="B872" s="489"/>
      <c r="C872" s="490"/>
      <c r="E872" s="491"/>
      <c r="G872" s="65"/>
    </row>
    <row r="873" spans="2:7" ht="14.25" customHeight="1" x14ac:dyDescent="0.3">
      <c r="B873" s="489"/>
      <c r="C873" s="490"/>
      <c r="E873" s="491"/>
      <c r="G873" s="65"/>
    </row>
    <row r="874" spans="2:7" ht="14.25" customHeight="1" x14ac:dyDescent="0.3">
      <c r="B874" s="489"/>
      <c r="C874" s="490"/>
      <c r="E874" s="491"/>
      <c r="G874" s="65"/>
    </row>
    <row r="875" spans="2:7" ht="14.25" customHeight="1" x14ac:dyDescent="0.3">
      <c r="B875" s="489"/>
      <c r="C875" s="490"/>
      <c r="E875" s="491"/>
      <c r="G875" s="65"/>
    </row>
    <row r="876" spans="2:7" ht="14.25" customHeight="1" x14ac:dyDescent="0.3">
      <c r="B876" s="489"/>
      <c r="C876" s="490"/>
      <c r="E876" s="491"/>
      <c r="G876" s="65"/>
    </row>
    <row r="877" spans="2:7" ht="14.25" customHeight="1" x14ac:dyDescent="0.3">
      <c r="B877" s="489"/>
      <c r="C877" s="490"/>
      <c r="E877" s="491"/>
      <c r="G877" s="65"/>
    </row>
    <row r="878" spans="2:7" ht="14.25" customHeight="1" x14ac:dyDescent="0.3">
      <c r="B878" s="489"/>
      <c r="C878" s="490"/>
      <c r="E878" s="491"/>
      <c r="G878" s="65"/>
    </row>
    <row r="879" spans="2:7" ht="14.25" customHeight="1" x14ac:dyDescent="0.3">
      <c r="B879" s="489"/>
      <c r="C879" s="490"/>
      <c r="E879" s="491"/>
      <c r="G879" s="65"/>
    </row>
    <row r="880" spans="2:7" ht="14.25" customHeight="1" x14ac:dyDescent="0.3">
      <c r="B880" s="489"/>
      <c r="C880" s="490"/>
      <c r="E880" s="491"/>
      <c r="G880" s="65"/>
    </row>
    <row r="881" spans="2:7" ht="14.25" customHeight="1" x14ac:dyDescent="0.3">
      <c r="B881" s="489"/>
      <c r="C881" s="490"/>
      <c r="E881" s="491"/>
      <c r="G881" s="65"/>
    </row>
    <row r="882" spans="2:7" ht="14.25" customHeight="1" x14ac:dyDescent="0.3">
      <c r="B882" s="489"/>
      <c r="C882" s="490"/>
      <c r="E882" s="491"/>
      <c r="G882" s="65"/>
    </row>
    <row r="883" spans="2:7" ht="14.25" customHeight="1" x14ac:dyDescent="0.3">
      <c r="B883" s="489"/>
      <c r="C883" s="490"/>
      <c r="E883" s="491"/>
      <c r="G883" s="65"/>
    </row>
    <row r="884" spans="2:7" ht="14.25" customHeight="1" x14ac:dyDescent="0.3">
      <c r="B884" s="489"/>
      <c r="C884" s="490"/>
      <c r="E884" s="491"/>
      <c r="G884" s="65"/>
    </row>
    <row r="885" spans="2:7" ht="14.25" customHeight="1" x14ac:dyDescent="0.3">
      <c r="B885" s="489"/>
      <c r="C885" s="490"/>
      <c r="E885" s="491"/>
      <c r="G885" s="65"/>
    </row>
    <row r="886" spans="2:7" ht="14.25" customHeight="1" x14ac:dyDescent="0.3">
      <c r="B886" s="489"/>
      <c r="C886" s="490"/>
      <c r="E886" s="491"/>
      <c r="G886" s="65"/>
    </row>
    <row r="887" spans="2:7" ht="14.25" customHeight="1" x14ac:dyDescent="0.3">
      <c r="B887" s="489"/>
      <c r="C887" s="490"/>
      <c r="E887" s="491"/>
      <c r="G887" s="65"/>
    </row>
    <row r="888" spans="2:7" ht="14.25" customHeight="1" x14ac:dyDescent="0.3">
      <c r="B888" s="489"/>
      <c r="C888" s="490"/>
      <c r="E888" s="491"/>
      <c r="G888" s="65"/>
    </row>
    <row r="889" spans="2:7" ht="14.25" customHeight="1" x14ac:dyDescent="0.3">
      <c r="B889" s="489"/>
      <c r="C889" s="490"/>
      <c r="E889" s="491"/>
      <c r="G889" s="65"/>
    </row>
    <row r="890" spans="2:7" ht="14.25" customHeight="1" x14ac:dyDescent="0.3">
      <c r="B890" s="489"/>
      <c r="C890" s="490"/>
      <c r="E890" s="491"/>
      <c r="G890" s="65"/>
    </row>
    <row r="891" spans="2:7" ht="14.25" customHeight="1" x14ac:dyDescent="0.3">
      <c r="B891" s="489"/>
      <c r="C891" s="490"/>
      <c r="E891" s="491"/>
      <c r="G891" s="65"/>
    </row>
    <row r="892" spans="2:7" ht="14.25" customHeight="1" x14ac:dyDescent="0.3">
      <c r="B892" s="489"/>
      <c r="C892" s="490"/>
      <c r="E892" s="491"/>
      <c r="G892" s="65"/>
    </row>
    <row r="893" spans="2:7" ht="14.25" customHeight="1" x14ac:dyDescent="0.3">
      <c r="B893" s="489"/>
      <c r="C893" s="490"/>
      <c r="E893" s="491"/>
      <c r="G893" s="65"/>
    </row>
    <row r="894" spans="2:7" ht="14.25" customHeight="1" x14ac:dyDescent="0.3">
      <c r="B894" s="489"/>
      <c r="C894" s="490"/>
      <c r="E894" s="491"/>
      <c r="G894" s="65"/>
    </row>
    <row r="895" spans="2:7" ht="14.25" customHeight="1" x14ac:dyDescent="0.3">
      <c r="B895" s="489"/>
      <c r="C895" s="490"/>
      <c r="E895" s="491"/>
      <c r="G895" s="65"/>
    </row>
    <row r="896" spans="2:7" ht="14.25" customHeight="1" x14ac:dyDescent="0.3">
      <c r="B896" s="489"/>
      <c r="C896" s="490"/>
      <c r="E896" s="491"/>
      <c r="G896" s="65"/>
    </row>
    <row r="897" spans="2:7" ht="14.25" customHeight="1" x14ac:dyDescent="0.3">
      <c r="B897" s="489"/>
      <c r="C897" s="490"/>
      <c r="E897" s="491"/>
      <c r="G897" s="65"/>
    </row>
    <row r="898" spans="2:7" ht="14.25" customHeight="1" x14ac:dyDescent="0.3">
      <c r="B898" s="489"/>
      <c r="C898" s="490"/>
      <c r="E898" s="491"/>
      <c r="G898" s="65"/>
    </row>
    <row r="899" spans="2:7" ht="14.25" customHeight="1" x14ac:dyDescent="0.3">
      <c r="B899" s="489"/>
      <c r="C899" s="490"/>
      <c r="E899" s="491"/>
      <c r="G899" s="65"/>
    </row>
    <row r="900" spans="2:7" ht="14.25" customHeight="1" x14ac:dyDescent="0.3">
      <c r="B900" s="489"/>
      <c r="C900" s="490"/>
      <c r="E900" s="491"/>
      <c r="G900" s="65"/>
    </row>
    <row r="901" spans="2:7" ht="14.25" customHeight="1" x14ac:dyDescent="0.3">
      <c r="B901" s="489"/>
      <c r="C901" s="490"/>
      <c r="E901" s="491"/>
      <c r="G901" s="65"/>
    </row>
    <row r="902" spans="2:7" ht="14.25" customHeight="1" x14ac:dyDescent="0.3">
      <c r="B902" s="489"/>
      <c r="C902" s="490"/>
      <c r="E902" s="491"/>
      <c r="G902" s="65"/>
    </row>
    <row r="903" spans="2:7" ht="14.25" customHeight="1" x14ac:dyDescent="0.3">
      <c r="B903" s="489"/>
      <c r="C903" s="490"/>
      <c r="E903" s="491"/>
      <c r="G903" s="65"/>
    </row>
    <row r="904" spans="2:7" ht="14.25" customHeight="1" x14ac:dyDescent="0.3">
      <c r="B904" s="489"/>
      <c r="C904" s="490"/>
      <c r="E904" s="491"/>
      <c r="G904" s="65"/>
    </row>
    <row r="905" spans="2:7" ht="14.25" customHeight="1" x14ac:dyDescent="0.3">
      <c r="B905" s="489"/>
      <c r="C905" s="490"/>
      <c r="E905" s="491"/>
      <c r="G905" s="65"/>
    </row>
    <row r="906" spans="2:7" ht="14.25" customHeight="1" x14ac:dyDescent="0.3">
      <c r="B906" s="489"/>
      <c r="C906" s="490"/>
      <c r="E906" s="491"/>
      <c r="G906" s="65"/>
    </row>
    <row r="907" spans="2:7" ht="14.25" customHeight="1" x14ac:dyDescent="0.3">
      <c r="B907" s="489"/>
      <c r="C907" s="490"/>
      <c r="E907" s="491"/>
      <c r="G907" s="65"/>
    </row>
    <row r="908" spans="2:7" ht="14.25" customHeight="1" x14ac:dyDescent="0.3">
      <c r="B908" s="489"/>
      <c r="C908" s="490"/>
      <c r="E908" s="491"/>
      <c r="G908" s="65"/>
    </row>
    <row r="909" spans="2:7" ht="14.25" customHeight="1" x14ac:dyDescent="0.3">
      <c r="B909" s="489"/>
      <c r="C909" s="490"/>
      <c r="E909" s="491"/>
      <c r="G909" s="65"/>
    </row>
    <row r="910" spans="2:7" ht="14.25" customHeight="1" x14ac:dyDescent="0.3">
      <c r="B910" s="489"/>
      <c r="C910" s="490"/>
      <c r="E910" s="491"/>
      <c r="G910" s="65"/>
    </row>
    <row r="911" spans="2:7" ht="14.25" customHeight="1" x14ac:dyDescent="0.3">
      <c r="B911" s="489"/>
      <c r="C911" s="490"/>
      <c r="E911" s="491"/>
      <c r="G911" s="65"/>
    </row>
    <row r="912" spans="2:7" ht="14.25" customHeight="1" x14ac:dyDescent="0.3">
      <c r="B912" s="489"/>
      <c r="C912" s="490"/>
      <c r="E912" s="491"/>
      <c r="G912" s="65"/>
    </row>
    <row r="913" spans="2:7" ht="14.25" customHeight="1" x14ac:dyDescent="0.3">
      <c r="B913" s="489"/>
      <c r="C913" s="490"/>
      <c r="E913" s="491"/>
      <c r="G913" s="65"/>
    </row>
    <row r="914" spans="2:7" ht="14.25" customHeight="1" x14ac:dyDescent="0.3">
      <c r="B914" s="489"/>
      <c r="C914" s="490"/>
      <c r="E914" s="491"/>
      <c r="G914" s="65"/>
    </row>
    <row r="915" spans="2:7" ht="14.25" customHeight="1" x14ac:dyDescent="0.3">
      <c r="B915" s="489"/>
      <c r="C915" s="490"/>
      <c r="E915" s="491"/>
      <c r="G915" s="65"/>
    </row>
    <row r="916" spans="2:7" ht="14.25" customHeight="1" x14ac:dyDescent="0.3">
      <c r="B916" s="489"/>
      <c r="C916" s="490"/>
      <c r="E916" s="491"/>
      <c r="G916" s="65"/>
    </row>
    <row r="917" spans="2:7" ht="14.25" customHeight="1" x14ac:dyDescent="0.3">
      <c r="B917" s="489"/>
      <c r="C917" s="490"/>
      <c r="E917" s="491"/>
      <c r="G917" s="65"/>
    </row>
    <row r="918" spans="2:7" ht="14.25" customHeight="1" x14ac:dyDescent="0.3">
      <c r="B918" s="489"/>
      <c r="C918" s="490"/>
      <c r="E918" s="491"/>
      <c r="G918" s="65"/>
    </row>
    <row r="919" spans="2:7" ht="14.25" customHeight="1" x14ac:dyDescent="0.3">
      <c r="B919" s="489"/>
      <c r="C919" s="490"/>
      <c r="E919" s="491"/>
      <c r="G919" s="65"/>
    </row>
    <row r="920" spans="2:7" ht="14.25" customHeight="1" x14ac:dyDescent="0.3">
      <c r="B920" s="489"/>
      <c r="C920" s="490"/>
      <c r="E920" s="491"/>
      <c r="G920" s="65"/>
    </row>
    <row r="921" spans="2:7" ht="14.25" customHeight="1" x14ac:dyDescent="0.3">
      <c r="B921" s="489"/>
      <c r="C921" s="490"/>
      <c r="E921" s="491"/>
      <c r="G921" s="65"/>
    </row>
    <row r="922" spans="2:7" ht="14.25" customHeight="1" x14ac:dyDescent="0.3">
      <c r="B922" s="489"/>
      <c r="C922" s="490"/>
      <c r="E922" s="491"/>
      <c r="G922" s="65"/>
    </row>
    <row r="923" spans="2:7" ht="14.25" customHeight="1" x14ac:dyDescent="0.3">
      <c r="B923" s="489"/>
      <c r="C923" s="490"/>
      <c r="E923" s="491"/>
      <c r="G923" s="65"/>
    </row>
    <row r="924" spans="2:7" ht="14.25" customHeight="1" x14ac:dyDescent="0.3">
      <c r="B924" s="489"/>
      <c r="C924" s="490"/>
      <c r="E924" s="491"/>
      <c r="G924" s="65"/>
    </row>
    <row r="925" spans="2:7" ht="14.25" customHeight="1" x14ac:dyDescent="0.3">
      <c r="B925" s="489"/>
      <c r="C925" s="490"/>
      <c r="E925" s="491"/>
      <c r="G925" s="65"/>
    </row>
    <row r="926" spans="2:7" ht="14.25" customHeight="1" x14ac:dyDescent="0.3">
      <c r="B926" s="489"/>
      <c r="C926" s="490"/>
      <c r="E926" s="491"/>
      <c r="G926" s="65"/>
    </row>
    <row r="927" spans="2:7" ht="14.25" customHeight="1" x14ac:dyDescent="0.3">
      <c r="B927" s="489"/>
      <c r="C927" s="490"/>
      <c r="E927" s="491"/>
      <c r="G927" s="65"/>
    </row>
    <row r="928" spans="2:7" ht="14.25" customHeight="1" x14ac:dyDescent="0.3">
      <c r="B928" s="489"/>
      <c r="C928" s="490"/>
      <c r="E928" s="491"/>
      <c r="G928" s="65"/>
    </row>
    <row r="929" spans="2:7" ht="14.25" customHeight="1" x14ac:dyDescent="0.3">
      <c r="B929" s="489"/>
      <c r="C929" s="490"/>
      <c r="E929" s="491"/>
      <c r="G929" s="65"/>
    </row>
    <row r="930" spans="2:7" ht="14.25" customHeight="1" x14ac:dyDescent="0.3">
      <c r="B930" s="489"/>
      <c r="C930" s="490"/>
      <c r="E930" s="491"/>
      <c r="G930" s="65"/>
    </row>
    <row r="931" spans="2:7" ht="14.25" customHeight="1" x14ac:dyDescent="0.3">
      <c r="B931" s="489"/>
      <c r="C931" s="490"/>
      <c r="E931" s="491"/>
      <c r="G931" s="65"/>
    </row>
    <row r="932" spans="2:7" ht="14.25" customHeight="1" x14ac:dyDescent="0.3">
      <c r="B932" s="489"/>
      <c r="C932" s="490"/>
      <c r="E932" s="491"/>
      <c r="G932" s="65"/>
    </row>
    <row r="933" spans="2:7" ht="14.25" customHeight="1" x14ac:dyDescent="0.3">
      <c r="B933" s="489"/>
      <c r="C933" s="490"/>
      <c r="E933" s="491"/>
      <c r="G933" s="65"/>
    </row>
    <row r="934" spans="2:7" ht="14.25" customHeight="1" x14ac:dyDescent="0.3">
      <c r="B934" s="489"/>
      <c r="C934" s="490"/>
      <c r="E934" s="491"/>
      <c r="G934" s="65"/>
    </row>
    <row r="935" spans="2:7" ht="14.25" customHeight="1" x14ac:dyDescent="0.3">
      <c r="B935" s="489"/>
      <c r="C935" s="490"/>
      <c r="E935" s="491"/>
      <c r="G935" s="65"/>
    </row>
    <row r="936" spans="2:7" ht="14.25" customHeight="1" x14ac:dyDescent="0.3">
      <c r="B936" s="489"/>
      <c r="C936" s="490"/>
      <c r="E936" s="491"/>
      <c r="G936" s="65"/>
    </row>
    <row r="937" spans="2:7" ht="14.25" customHeight="1" x14ac:dyDescent="0.3">
      <c r="B937" s="489"/>
      <c r="C937" s="490"/>
      <c r="E937" s="491"/>
      <c r="G937" s="65"/>
    </row>
    <row r="938" spans="2:7" ht="14.25" customHeight="1" x14ac:dyDescent="0.3">
      <c r="B938" s="489"/>
      <c r="C938" s="490"/>
      <c r="E938" s="491"/>
      <c r="G938" s="65"/>
    </row>
    <row r="939" spans="2:7" ht="14.25" customHeight="1" x14ac:dyDescent="0.3">
      <c r="B939" s="489"/>
      <c r="C939" s="490"/>
      <c r="E939" s="491"/>
      <c r="G939" s="65"/>
    </row>
    <row r="940" spans="2:7" ht="14.25" customHeight="1" x14ac:dyDescent="0.3">
      <c r="B940" s="489"/>
      <c r="C940" s="490"/>
      <c r="E940" s="491"/>
      <c r="G940" s="65"/>
    </row>
    <row r="941" spans="2:7" ht="14.25" customHeight="1" x14ac:dyDescent="0.3">
      <c r="B941" s="489"/>
      <c r="C941" s="490"/>
      <c r="E941" s="491"/>
      <c r="G941" s="65"/>
    </row>
    <row r="942" spans="2:7" ht="14.25" customHeight="1" x14ac:dyDescent="0.3">
      <c r="B942" s="489"/>
      <c r="C942" s="490"/>
      <c r="E942" s="491"/>
      <c r="G942" s="65"/>
    </row>
    <row r="943" spans="2:7" ht="14.25" customHeight="1" x14ac:dyDescent="0.3">
      <c r="B943" s="489"/>
      <c r="C943" s="490"/>
      <c r="E943" s="491"/>
      <c r="G943" s="65"/>
    </row>
    <row r="944" spans="2:7" ht="14.25" customHeight="1" x14ac:dyDescent="0.3">
      <c r="B944" s="489"/>
      <c r="C944" s="490"/>
      <c r="E944" s="491"/>
      <c r="G944" s="65"/>
    </row>
    <row r="945" spans="2:7" ht="14.25" customHeight="1" x14ac:dyDescent="0.3">
      <c r="B945" s="489"/>
      <c r="C945" s="490"/>
      <c r="E945" s="491"/>
      <c r="G945" s="65"/>
    </row>
    <row r="946" spans="2:7" ht="14.25" customHeight="1" x14ac:dyDescent="0.3">
      <c r="B946" s="489"/>
      <c r="C946" s="490"/>
      <c r="E946" s="491"/>
      <c r="G946" s="65"/>
    </row>
    <row r="947" spans="2:7" ht="14.25" customHeight="1" x14ac:dyDescent="0.3">
      <c r="B947" s="489"/>
      <c r="C947" s="490"/>
      <c r="E947" s="491"/>
      <c r="G947" s="65"/>
    </row>
    <row r="948" spans="2:7" ht="14.25" customHeight="1" x14ac:dyDescent="0.3">
      <c r="B948" s="489"/>
      <c r="C948" s="490"/>
      <c r="E948" s="491"/>
      <c r="G948" s="65"/>
    </row>
    <row r="949" spans="2:7" ht="14.25" customHeight="1" x14ac:dyDescent="0.3">
      <c r="B949" s="489"/>
      <c r="C949" s="490"/>
      <c r="E949" s="491"/>
      <c r="G949" s="65"/>
    </row>
    <row r="950" spans="2:7" ht="14.25" customHeight="1" x14ac:dyDescent="0.3">
      <c r="B950" s="489"/>
      <c r="C950" s="490"/>
      <c r="E950" s="491"/>
      <c r="G950" s="65"/>
    </row>
    <row r="951" spans="2:7" ht="14.25" customHeight="1" x14ac:dyDescent="0.3">
      <c r="B951" s="489"/>
      <c r="C951" s="490"/>
      <c r="E951" s="491"/>
      <c r="G951" s="65"/>
    </row>
    <row r="952" spans="2:7" ht="14.25" customHeight="1" x14ac:dyDescent="0.3">
      <c r="B952" s="489"/>
      <c r="C952" s="490"/>
      <c r="E952" s="491"/>
      <c r="G952" s="65"/>
    </row>
    <row r="953" spans="2:7" ht="14.25" customHeight="1" x14ac:dyDescent="0.3">
      <c r="B953" s="489"/>
      <c r="C953" s="490"/>
      <c r="E953" s="491"/>
      <c r="G953" s="65"/>
    </row>
    <row r="954" spans="2:7" ht="14.25" customHeight="1" x14ac:dyDescent="0.3">
      <c r="B954" s="489"/>
      <c r="C954" s="490"/>
      <c r="E954" s="491"/>
      <c r="G954" s="65"/>
    </row>
    <row r="955" spans="2:7" ht="14.25" customHeight="1" x14ac:dyDescent="0.3">
      <c r="B955" s="489"/>
      <c r="C955" s="490"/>
      <c r="E955" s="491"/>
      <c r="G955" s="65"/>
    </row>
    <row r="956" spans="2:7" ht="14.25" customHeight="1" x14ac:dyDescent="0.3">
      <c r="B956" s="489"/>
      <c r="C956" s="490"/>
      <c r="E956" s="491"/>
      <c r="G956" s="65"/>
    </row>
    <row r="957" spans="2:7" ht="14.25" customHeight="1" x14ac:dyDescent="0.3">
      <c r="B957" s="489"/>
      <c r="C957" s="490"/>
      <c r="E957" s="491"/>
      <c r="G957" s="65"/>
    </row>
    <row r="958" spans="2:7" ht="14.25" customHeight="1" x14ac:dyDescent="0.3">
      <c r="B958" s="489"/>
      <c r="C958" s="490"/>
      <c r="E958" s="491"/>
      <c r="G958" s="65"/>
    </row>
    <row r="959" spans="2:7" ht="14.25" customHeight="1" x14ac:dyDescent="0.3">
      <c r="B959" s="489"/>
      <c r="C959" s="490"/>
      <c r="E959" s="491"/>
      <c r="G959" s="65"/>
    </row>
    <row r="960" spans="2:7" ht="14.25" customHeight="1" x14ac:dyDescent="0.3">
      <c r="B960" s="489"/>
      <c r="C960" s="490"/>
      <c r="E960" s="491"/>
      <c r="G960" s="65"/>
    </row>
    <row r="961" spans="2:7" ht="14.25" customHeight="1" x14ac:dyDescent="0.3">
      <c r="B961" s="489"/>
      <c r="C961" s="490"/>
      <c r="E961" s="491"/>
      <c r="G961" s="65"/>
    </row>
    <row r="962" spans="2:7" ht="14.25" customHeight="1" x14ac:dyDescent="0.3">
      <c r="B962" s="489"/>
      <c r="C962" s="490"/>
      <c r="E962" s="491"/>
      <c r="G962" s="65"/>
    </row>
    <row r="963" spans="2:7" ht="14.25" customHeight="1" x14ac:dyDescent="0.3">
      <c r="B963" s="489"/>
      <c r="C963" s="490"/>
      <c r="E963" s="491"/>
      <c r="G963" s="65"/>
    </row>
    <row r="964" spans="2:7" ht="14.25" customHeight="1" x14ac:dyDescent="0.3">
      <c r="B964" s="489"/>
      <c r="C964" s="490"/>
      <c r="E964" s="491"/>
      <c r="G964" s="65"/>
    </row>
    <row r="965" spans="2:7" ht="14.25" customHeight="1" x14ac:dyDescent="0.3">
      <c r="B965" s="489"/>
      <c r="C965" s="490"/>
      <c r="E965" s="491"/>
      <c r="G965" s="65"/>
    </row>
    <row r="966" spans="2:7" ht="14.25" customHeight="1" x14ac:dyDescent="0.3">
      <c r="B966" s="489"/>
      <c r="C966" s="490"/>
      <c r="E966" s="491"/>
      <c r="G966" s="65"/>
    </row>
    <row r="967" spans="2:7" ht="14.25" customHeight="1" x14ac:dyDescent="0.3">
      <c r="B967" s="489"/>
      <c r="C967" s="490"/>
      <c r="E967" s="491"/>
      <c r="G967" s="65"/>
    </row>
    <row r="968" spans="2:7" ht="14.25" customHeight="1" x14ac:dyDescent="0.3">
      <c r="B968" s="489"/>
      <c r="C968" s="490"/>
      <c r="E968" s="491"/>
      <c r="G968" s="65"/>
    </row>
    <row r="969" spans="2:7" ht="14.25" customHeight="1" x14ac:dyDescent="0.3">
      <c r="B969" s="489"/>
      <c r="C969" s="490"/>
      <c r="E969" s="491"/>
      <c r="G969" s="65"/>
    </row>
    <row r="970" spans="2:7" ht="14.25" customHeight="1" x14ac:dyDescent="0.3">
      <c r="B970" s="489"/>
      <c r="C970" s="490"/>
      <c r="E970" s="491"/>
      <c r="G970" s="65"/>
    </row>
    <row r="971" spans="2:7" ht="14.25" customHeight="1" x14ac:dyDescent="0.3">
      <c r="B971" s="489"/>
      <c r="C971" s="490"/>
      <c r="E971" s="491"/>
      <c r="G971" s="65"/>
    </row>
    <row r="972" spans="2:7" ht="14.25" customHeight="1" x14ac:dyDescent="0.3">
      <c r="B972" s="489"/>
      <c r="C972" s="490"/>
      <c r="E972" s="491"/>
      <c r="G972" s="65"/>
    </row>
    <row r="973" spans="2:7" ht="14.25" customHeight="1" x14ac:dyDescent="0.3">
      <c r="B973" s="489"/>
      <c r="C973" s="490"/>
      <c r="E973" s="491"/>
      <c r="G973" s="65"/>
    </row>
    <row r="974" spans="2:7" ht="14.25" customHeight="1" x14ac:dyDescent="0.3">
      <c r="B974" s="489"/>
      <c r="C974" s="490"/>
      <c r="E974" s="491"/>
      <c r="G974" s="65"/>
    </row>
    <row r="975" spans="2:7" ht="14.25" customHeight="1" x14ac:dyDescent="0.3">
      <c r="B975" s="489"/>
      <c r="C975" s="490"/>
      <c r="E975" s="491"/>
      <c r="G975" s="65"/>
    </row>
    <row r="976" spans="2:7" ht="14.25" customHeight="1" x14ac:dyDescent="0.3">
      <c r="B976" s="489"/>
      <c r="C976" s="490"/>
      <c r="E976" s="491"/>
      <c r="G976" s="65"/>
    </row>
    <row r="977" spans="2:7" ht="14.25" customHeight="1" x14ac:dyDescent="0.3">
      <c r="B977" s="489"/>
      <c r="C977" s="490"/>
      <c r="E977" s="491"/>
      <c r="G977" s="65"/>
    </row>
    <row r="978" spans="2:7" ht="14.25" customHeight="1" x14ac:dyDescent="0.3">
      <c r="B978" s="489"/>
      <c r="C978" s="490"/>
      <c r="E978" s="491"/>
      <c r="G978" s="65"/>
    </row>
    <row r="979" spans="2:7" ht="14.25" customHeight="1" x14ac:dyDescent="0.3">
      <c r="B979" s="489"/>
      <c r="C979" s="490"/>
      <c r="E979" s="491"/>
      <c r="G979" s="65"/>
    </row>
    <row r="980" spans="2:7" ht="14.25" customHeight="1" x14ac:dyDescent="0.3">
      <c r="B980" s="489"/>
      <c r="C980" s="490"/>
      <c r="E980" s="491"/>
      <c r="G980" s="65"/>
    </row>
    <row r="981" spans="2:7" ht="14.25" customHeight="1" x14ac:dyDescent="0.3">
      <c r="B981" s="489"/>
      <c r="C981" s="490"/>
      <c r="E981" s="491"/>
      <c r="G981" s="65"/>
    </row>
    <row r="982" spans="2:7" ht="14.25" customHeight="1" x14ac:dyDescent="0.3">
      <c r="B982" s="489"/>
      <c r="C982" s="490"/>
      <c r="E982" s="491"/>
      <c r="G982" s="65"/>
    </row>
    <row r="983" spans="2:7" ht="14.25" customHeight="1" x14ac:dyDescent="0.3">
      <c r="B983" s="489"/>
      <c r="C983" s="490"/>
      <c r="E983" s="491"/>
      <c r="G983" s="65"/>
    </row>
    <row r="984" spans="2:7" ht="14.25" customHeight="1" x14ac:dyDescent="0.3">
      <c r="B984" s="489"/>
      <c r="C984" s="490"/>
      <c r="E984" s="491"/>
      <c r="G984" s="65"/>
    </row>
    <row r="985" spans="2:7" ht="14.25" customHeight="1" x14ac:dyDescent="0.3">
      <c r="B985" s="489"/>
      <c r="C985" s="490"/>
      <c r="E985" s="491"/>
      <c r="G985" s="65"/>
    </row>
    <row r="986" spans="2:7" ht="14.25" customHeight="1" x14ac:dyDescent="0.3">
      <c r="B986" s="489"/>
      <c r="C986" s="490"/>
      <c r="E986" s="491"/>
      <c r="G986" s="65"/>
    </row>
    <row r="987" spans="2:7" ht="14.25" customHeight="1" x14ac:dyDescent="0.3">
      <c r="B987" s="489"/>
      <c r="C987" s="490"/>
      <c r="E987" s="491"/>
      <c r="G987" s="65"/>
    </row>
    <row r="988" spans="2:7" ht="14.25" customHeight="1" x14ac:dyDescent="0.3">
      <c r="B988" s="489"/>
      <c r="C988" s="490"/>
      <c r="E988" s="491"/>
      <c r="G988" s="65"/>
    </row>
    <row r="989" spans="2:7" ht="14.25" customHeight="1" x14ac:dyDescent="0.3">
      <c r="B989" s="489"/>
      <c r="C989" s="490"/>
      <c r="E989" s="491"/>
      <c r="G989" s="65"/>
    </row>
    <row r="990" spans="2:7" ht="14.25" customHeight="1" x14ac:dyDescent="0.3">
      <c r="B990" s="489"/>
      <c r="C990" s="490"/>
      <c r="E990" s="491"/>
      <c r="G990" s="65"/>
    </row>
    <row r="991" spans="2:7" ht="14.25" customHeight="1" x14ac:dyDescent="0.3">
      <c r="B991" s="489"/>
      <c r="C991" s="490"/>
      <c r="E991" s="491"/>
      <c r="G991" s="65"/>
    </row>
    <row r="992" spans="2:7" ht="14.25" customHeight="1" x14ac:dyDescent="0.3">
      <c r="B992" s="489"/>
      <c r="C992" s="490"/>
      <c r="E992" s="491"/>
      <c r="G992" s="65"/>
    </row>
    <row r="993" spans="2:7" ht="14.25" customHeight="1" x14ac:dyDescent="0.3">
      <c r="B993" s="489"/>
      <c r="C993" s="490"/>
      <c r="E993" s="491"/>
      <c r="G993" s="65"/>
    </row>
    <row r="994" spans="2:7" ht="14.25" customHeight="1" x14ac:dyDescent="0.3">
      <c r="B994" s="489"/>
      <c r="C994" s="490"/>
      <c r="E994" s="491"/>
      <c r="G994" s="65"/>
    </row>
    <row r="995" spans="2:7" ht="14.25" customHeight="1" x14ac:dyDescent="0.3">
      <c r="B995" s="489"/>
      <c r="C995" s="490"/>
      <c r="E995" s="491"/>
      <c r="G995" s="65"/>
    </row>
    <row r="996" spans="2:7" ht="14.25" customHeight="1" x14ac:dyDescent="0.3">
      <c r="B996" s="489"/>
      <c r="C996" s="490"/>
      <c r="E996" s="491"/>
      <c r="G996" s="65"/>
    </row>
    <row r="997" spans="2:7" ht="14.25" customHeight="1" x14ac:dyDescent="0.3">
      <c r="B997" s="489"/>
      <c r="C997" s="490"/>
      <c r="E997" s="491"/>
      <c r="G997" s="65"/>
    </row>
    <row r="998" spans="2:7" ht="14.25" customHeight="1" x14ac:dyDescent="0.3">
      <c r="B998" s="489"/>
      <c r="C998" s="490"/>
      <c r="E998" s="491"/>
      <c r="G998" s="65"/>
    </row>
    <row r="999" spans="2:7" ht="14.25" customHeight="1" x14ac:dyDescent="0.3">
      <c r="B999" s="489"/>
      <c r="C999" s="490"/>
      <c r="E999" s="491"/>
      <c r="G999" s="65"/>
    </row>
    <row r="1000" spans="2:7" ht="14.25" customHeight="1" x14ac:dyDescent="0.3">
      <c r="B1000" s="489"/>
      <c r="C1000" s="490"/>
      <c r="E1000" s="491"/>
      <c r="G1000" s="65"/>
    </row>
  </sheetData>
  <pageMargins left="0.7" right="0.7" top="0.75" bottom="0.75" header="0" footer="0"/>
  <pageSetup orientation="landscape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Z1000"/>
  <sheetViews>
    <sheetView workbookViewId="0"/>
  </sheetViews>
  <sheetFormatPr defaultColWidth="14.44140625" defaultRowHeight="15" customHeight="1" x14ac:dyDescent="0.3"/>
  <cols>
    <col min="1" max="1" width="5" customWidth="1"/>
    <col min="2" max="2" width="12.6640625" customWidth="1"/>
    <col min="3" max="3" width="23.33203125" customWidth="1"/>
    <col min="4" max="4" width="17.5546875" customWidth="1"/>
    <col min="5" max="5" width="29" customWidth="1"/>
    <col min="6" max="6" width="24.88671875" customWidth="1"/>
    <col min="7" max="7" width="22" customWidth="1"/>
    <col min="8" max="8" width="15.5546875" customWidth="1"/>
    <col min="9" max="9" width="19.5546875" customWidth="1"/>
    <col min="10" max="10" width="20.109375" customWidth="1"/>
    <col min="11" max="11" width="16.6640625" customWidth="1"/>
    <col min="12" max="12" width="15.33203125" customWidth="1"/>
    <col min="13" max="13" width="19" customWidth="1"/>
    <col min="14" max="14" width="19.5546875" customWidth="1"/>
    <col min="15" max="15" width="16.6640625" customWidth="1"/>
    <col min="16" max="16" width="15.33203125" customWidth="1"/>
    <col min="17" max="17" width="8.6640625" customWidth="1"/>
    <col min="18" max="18" width="14.6640625" customWidth="1"/>
    <col min="19" max="19" width="11.88671875" customWidth="1"/>
    <col min="20" max="20" width="10.5546875" customWidth="1"/>
    <col min="21" max="21" width="9.109375" customWidth="1"/>
    <col min="22" max="26" width="8.6640625" customWidth="1"/>
  </cols>
  <sheetData>
    <row r="1" spans="1:26" ht="14.25" customHeight="1" x14ac:dyDescent="0.3">
      <c r="A1" s="495"/>
      <c r="C1" s="562" t="s">
        <v>802</v>
      </c>
      <c r="D1" s="563"/>
      <c r="E1" s="563"/>
      <c r="F1" s="563"/>
      <c r="G1" s="563"/>
      <c r="H1" s="564"/>
      <c r="I1" s="496"/>
      <c r="J1" s="496"/>
      <c r="K1" s="496"/>
      <c r="L1" s="496"/>
      <c r="M1" s="497"/>
      <c r="N1" s="497"/>
      <c r="O1" s="497"/>
      <c r="P1" s="497"/>
      <c r="R1" s="23"/>
      <c r="U1" s="11"/>
    </row>
    <row r="2" spans="1:26" ht="14.25" customHeight="1" x14ac:dyDescent="0.3">
      <c r="A2" s="498" t="s">
        <v>676</v>
      </c>
      <c r="B2" s="499" t="s">
        <v>791</v>
      </c>
      <c r="C2" s="500" t="s">
        <v>803</v>
      </c>
      <c r="D2" s="500" t="s">
        <v>804</v>
      </c>
      <c r="E2" s="500" t="s">
        <v>805</v>
      </c>
      <c r="F2" s="500" t="s">
        <v>806</v>
      </c>
      <c r="G2" s="500" t="s">
        <v>807</v>
      </c>
      <c r="H2" s="500" t="s">
        <v>808</v>
      </c>
      <c r="I2" s="501" t="s">
        <v>809</v>
      </c>
      <c r="J2" s="501" t="s">
        <v>810</v>
      </c>
      <c r="K2" s="501" t="s">
        <v>811</v>
      </c>
      <c r="L2" s="501" t="s">
        <v>812</v>
      </c>
      <c r="M2" s="502" t="s">
        <v>813</v>
      </c>
      <c r="N2" s="502" t="s">
        <v>814</v>
      </c>
      <c r="O2" s="502" t="s">
        <v>811</v>
      </c>
      <c r="P2" s="502" t="s">
        <v>812</v>
      </c>
      <c r="Q2" s="503"/>
      <c r="R2" s="504" t="s">
        <v>815</v>
      </c>
      <c r="S2" s="503"/>
      <c r="T2" s="503"/>
      <c r="U2" s="505"/>
      <c r="V2" s="503"/>
      <c r="W2" s="503"/>
      <c r="X2" s="503"/>
      <c r="Y2" s="503"/>
      <c r="Z2" s="503"/>
    </row>
    <row r="3" spans="1:26" ht="14.25" customHeight="1" x14ac:dyDescent="0.3">
      <c r="A3" s="506">
        <v>2020</v>
      </c>
      <c r="B3" s="507" t="s">
        <v>816</v>
      </c>
      <c r="C3" s="508">
        <v>19.149999999999999</v>
      </c>
      <c r="D3" s="508"/>
      <c r="E3" s="508"/>
      <c r="F3" s="508"/>
      <c r="G3" s="508"/>
      <c r="H3" s="508">
        <v>0</v>
      </c>
      <c r="I3" s="509">
        <v>12452.14</v>
      </c>
      <c r="J3" s="509">
        <v>12025.27</v>
      </c>
      <c r="K3" s="509">
        <v>45.04</v>
      </c>
      <c r="L3" s="509">
        <v>471.91</v>
      </c>
      <c r="M3" s="510">
        <v>0</v>
      </c>
      <c r="N3" s="510">
        <v>0</v>
      </c>
      <c r="O3" s="510">
        <v>0</v>
      </c>
      <c r="P3" s="511">
        <v>0</v>
      </c>
      <c r="R3" s="23"/>
      <c r="U3" s="11"/>
    </row>
    <row r="4" spans="1:26" ht="14.25" customHeight="1" x14ac:dyDescent="0.3">
      <c r="A4" s="512">
        <v>2020</v>
      </c>
      <c r="B4" s="47" t="s">
        <v>817</v>
      </c>
      <c r="C4" s="513">
        <v>0</v>
      </c>
      <c r="D4" s="513"/>
      <c r="E4" s="513"/>
      <c r="F4" s="513"/>
      <c r="G4" s="513"/>
      <c r="H4" s="513">
        <v>0</v>
      </c>
      <c r="I4" s="514">
        <v>3102.37</v>
      </c>
      <c r="J4" s="514">
        <v>2996.68</v>
      </c>
      <c r="K4" s="514">
        <v>4.3</v>
      </c>
      <c r="L4" s="514">
        <v>109.99</v>
      </c>
      <c r="M4" s="515">
        <v>0</v>
      </c>
      <c r="N4" s="515">
        <v>0</v>
      </c>
      <c r="O4" s="515">
        <v>0</v>
      </c>
      <c r="P4" s="516">
        <v>0</v>
      </c>
      <c r="R4" s="23"/>
      <c r="U4" s="11"/>
    </row>
    <row r="5" spans="1:26" ht="14.25" customHeight="1" x14ac:dyDescent="0.3">
      <c r="A5" s="512">
        <v>2020</v>
      </c>
      <c r="B5" s="47" t="s">
        <v>818</v>
      </c>
      <c r="C5" s="513">
        <v>0</v>
      </c>
      <c r="D5" s="513"/>
      <c r="E5" s="513"/>
      <c r="F5" s="513"/>
      <c r="G5" s="513"/>
      <c r="H5" s="513">
        <v>0</v>
      </c>
      <c r="I5" s="514">
        <v>6554.06</v>
      </c>
      <c r="J5" s="514">
        <v>6488.57</v>
      </c>
      <c r="K5" s="514">
        <v>2.2799999999999998</v>
      </c>
      <c r="L5" s="514">
        <v>67.77</v>
      </c>
      <c r="M5" s="515">
        <v>0</v>
      </c>
      <c r="N5" s="515">
        <v>0</v>
      </c>
      <c r="O5" s="515">
        <v>0</v>
      </c>
      <c r="P5" s="516">
        <v>0</v>
      </c>
      <c r="R5" s="23"/>
      <c r="U5" s="11"/>
    </row>
    <row r="6" spans="1:26" ht="14.25" customHeight="1" x14ac:dyDescent="0.3">
      <c r="A6" s="517">
        <v>2020</v>
      </c>
      <c r="B6" s="518" t="s">
        <v>68</v>
      </c>
      <c r="C6" s="519">
        <f t="shared" ref="C6:F6" si="0">SUM(C2:C5)</f>
        <v>19.149999999999999</v>
      </c>
      <c r="D6" s="519">
        <f t="shared" si="0"/>
        <v>0</v>
      </c>
      <c r="E6" s="519">
        <f t="shared" si="0"/>
        <v>0</v>
      </c>
      <c r="F6" s="519">
        <f t="shared" si="0"/>
        <v>0</v>
      </c>
      <c r="G6" s="519"/>
      <c r="H6" s="519">
        <f t="shared" ref="H6:P6" si="1">SUM(H2:H5)</f>
        <v>0</v>
      </c>
      <c r="I6" s="520">
        <f t="shared" si="1"/>
        <v>22108.57</v>
      </c>
      <c r="J6" s="520">
        <f t="shared" si="1"/>
        <v>21510.52</v>
      </c>
      <c r="K6" s="520">
        <f t="shared" si="1"/>
        <v>51.62</v>
      </c>
      <c r="L6" s="520">
        <f t="shared" si="1"/>
        <v>649.66999999999996</v>
      </c>
      <c r="M6" s="521">
        <f t="shared" si="1"/>
        <v>0</v>
      </c>
      <c r="N6" s="521">
        <f t="shared" si="1"/>
        <v>0</v>
      </c>
      <c r="O6" s="521">
        <f t="shared" si="1"/>
        <v>0</v>
      </c>
      <c r="P6" s="522">
        <f t="shared" si="1"/>
        <v>0</v>
      </c>
      <c r="Q6" s="503"/>
      <c r="R6" s="523">
        <f>L6+P6</f>
        <v>649.66999999999996</v>
      </c>
      <c r="S6" s="503"/>
      <c r="T6" s="503"/>
      <c r="U6" s="505"/>
      <c r="V6" s="503"/>
      <c r="W6" s="503"/>
      <c r="X6" s="503"/>
      <c r="Y6" s="503"/>
      <c r="Z6" s="503"/>
    </row>
    <row r="7" spans="1:26" ht="14.25" customHeight="1" x14ac:dyDescent="0.3">
      <c r="A7" s="495"/>
      <c r="C7" s="524"/>
      <c r="D7" s="524"/>
      <c r="E7" s="524"/>
      <c r="F7" s="524"/>
      <c r="G7" s="524"/>
      <c r="H7" s="524"/>
      <c r="I7" s="496"/>
      <c r="J7" s="496"/>
      <c r="K7" s="496"/>
      <c r="L7" s="496"/>
      <c r="M7" s="497"/>
      <c r="N7" s="497"/>
      <c r="O7" s="497"/>
      <c r="P7" s="497"/>
      <c r="R7" s="23"/>
      <c r="U7" s="11"/>
    </row>
    <row r="8" spans="1:26" ht="14.25" customHeight="1" x14ac:dyDescent="0.3">
      <c r="A8" s="506">
        <v>2021</v>
      </c>
      <c r="B8" s="507" t="s">
        <v>819</v>
      </c>
      <c r="C8" s="508">
        <v>45.14</v>
      </c>
      <c r="D8" s="508"/>
      <c r="E8" s="508"/>
      <c r="F8" s="508"/>
      <c r="G8" s="508"/>
      <c r="H8" s="508">
        <v>0.94</v>
      </c>
      <c r="I8" s="509">
        <v>75774.039999999994</v>
      </c>
      <c r="J8" s="509">
        <v>72656.539999999994</v>
      </c>
      <c r="K8" s="509">
        <v>395.57</v>
      </c>
      <c r="L8" s="509">
        <v>3513.07</v>
      </c>
      <c r="M8" s="510">
        <v>1617.32</v>
      </c>
      <c r="N8" s="510">
        <v>1052.6500000000001</v>
      </c>
      <c r="O8" s="510">
        <v>0</v>
      </c>
      <c r="P8" s="511">
        <v>564.66999999999996</v>
      </c>
      <c r="R8" s="23"/>
      <c r="U8" s="11"/>
    </row>
    <row r="9" spans="1:26" ht="14.25" customHeight="1" x14ac:dyDescent="0.3">
      <c r="A9" s="512">
        <v>2021</v>
      </c>
      <c r="B9" s="47" t="s">
        <v>817</v>
      </c>
      <c r="C9" s="513">
        <v>0</v>
      </c>
      <c r="D9" s="513"/>
      <c r="E9" s="513"/>
      <c r="F9" s="513"/>
      <c r="G9" s="513"/>
      <c r="H9" s="513">
        <v>0</v>
      </c>
      <c r="I9" s="514">
        <v>15051.2</v>
      </c>
      <c r="J9" s="514">
        <v>14175.95</v>
      </c>
      <c r="K9" s="514">
        <v>13.41</v>
      </c>
      <c r="L9" s="514">
        <v>888.66</v>
      </c>
      <c r="M9" s="515">
        <v>570.67999999999995</v>
      </c>
      <c r="N9" s="515">
        <v>339.23</v>
      </c>
      <c r="O9" s="515">
        <v>0</v>
      </c>
      <c r="P9" s="516">
        <v>231.45</v>
      </c>
      <c r="R9" s="23"/>
      <c r="U9" s="11"/>
    </row>
    <row r="10" spans="1:26" ht="14.25" customHeight="1" x14ac:dyDescent="0.3">
      <c r="A10" s="512">
        <v>2021</v>
      </c>
      <c r="B10" s="47" t="s">
        <v>818</v>
      </c>
      <c r="C10" s="513">
        <v>0</v>
      </c>
      <c r="D10" s="513"/>
      <c r="E10" s="513"/>
      <c r="F10" s="513"/>
      <c r="G10" s="513"/>
      <c r="H10" s="513">
        <v>0</v>
      </c>
      <c r="I10" s="514">
        <v>11202.69</v>
      </c>
      <c r="J10" s="514">
        <v>10564.64</v>
      </c>
      <c r="K10" s="514">
        <v>15.33</v>
      </c>
      <c r="L10" s="514">
        <v>653.38</v>
      </c>
      <c r="M10" s="515">
        <v>426.17</v>
      </c>
      <c r="N10" s="515">
        <v>253.66</v>
      </c>
      <c r="O10" s="515">
        <v>0</v>
      </c>
      <c r="P10" s="516">
        <v>172.51</v>
      </c>
      <c r="R10" s="23"/>
      <c r="U10" s="11"/>
    </row>
    <row r="11" spans="1:26" ht="14.25" customHeight="1" x14ac:dyDescent="0.3">
      <c r="A11" s="517">
        <v>2021</v>
      </c>
      <c r="B11" s="518" t="s">
        <v>68</v>
      </c>
      <c r="C11" s="519">
        <f t="shared" ref="C11:P11" si="2">SUM(C8:C10)</f>
        <v>45.14</v>
      </c>
      <c r="D11" s="519">
        <f t="shared" si="2"/>
        <v>0</v>
      </c>
      <c r="E11" s="519">
        <f t="shared" si="2"/>
        <v>0</v>
      </c>
      <c r="F11" s="519">
        <f t="shared" si="2"/>
        <v>0</v>
      </c>
      <c r="G11" s="519">
        <f t="shared" si="2"/>
        <v>0</v>
      </c>
      <c r="H11" s="519">
        <f t="shared" si="2"/>
        <v>0.94</v>
      </c>
      <c r="I11" s="520">
        <f t="shared" si="2"/>
        <v>102027.93</v>
      </c>
      <c r="J11" s="520">
        <f t="shared" si="2"/>
        <v>97397.12999999999</v>
      </c>
      <c r="K11" s="520">
        <f t="shared" si="2"/>
        <v>424.31</v>
      </c>
      <c r="L11" s="520">
        <f t="shared" si="2"/>
        <v>5055.1100000000006</v>
      </c>
      <c r="M11" s="521">
        <f t="shared" si="2"/>
        <v>2614.17</v>
      </c>
      <c r="N11" s="521">
        <f t="shared" si="2"/>
        <v>1645.5400000000002</v>
      </c>
      <c r="O11" s="521">
        <f t="shared" si="2"/>
        <v>0</v>
      </c>
      <c r="P11" s="522">
        <f t="shared" si="2"/>
        <v>968.62999999999988</v>
      </c>
      <c r="Q11" s="503"/>
      <c r="R11" s="523">
        <f>L11+P11</f>
        <v>6023.7400000000007</v>
      </c>
      <c r="S11" s="503"/>
      <c r="T11" s="503"/>
      <c r="U11" s="505"/>
      <c r="V11" s="503"/>
      <c r="W11" s="503"/>
      <c r="X11" s="503"/>
      <c r="Y11" s="503"/>
      <c r="Z11" s="503"/>
    </row>
    <row r="12" spans="1:26" ht="14.25" customHeight="1" x14ac:dyDescent="0.3">
      <c r="A12" s="495"/>
      <c r="C12" s="524"/>
      <c r="D12" s="524"/>
      <c r="E12" s="524"/>
      <c r="F12" s="524"/>
      <c r="G12" s="524"/>
      <c r="H12" s="524"/>
      <c r="I12" s="496"/>
      <c r="J12" s="496"/>
      <c r="K12" s="496"/>
      <c r="L12" s="496"/>
      <c r="M12" s="497"/>
      <c r="N12" s="497"/>
      <c r="O12" s="497"/>
      <c r="P12" s="497"/>
      <c r="R12" s="23"/>
      <c r="U12" s="11"/>
    </row>
    <row r="13" spans="1:26" ht="14.25" customHeight="1" x14ac:dyDescent="0.3">
      <c r="A13" s="506">
        <v>2022</v>
      </c>
      <c r="B13" s="507" t="s">
        <v>816</v>
      </c>
      <c r="C13" s="508">
        <v>220.65</v>
      </c>
      <c r="D13" s="508"/>
      <c r="E13" s="508"/>
      <c r="F13" s="508">
        <v>12.93</v>
      </c>
      <c r="G13" s="508">
        <v>0.32</v>
      </c>
      <c r="H13" s="508">
        <v>0</v>
      </c>
      <c r="I13" s="509">
        <v>94983.37</v>
      </c>
      <c r="J13" s="509">
        <v>112827.17</v>
      </c>
      <c r="K13" s="509">
        <v>1902.03</v>
      </c>
      <c r="L13" s="509">
        <v>-15941.77</v>
      </c>
      <c r="M13" s="510">
        <v>22406.02</v>
      </c>
      <c r="N13" s="510">
        <v>29089.68</v>
      </c>
      <c r="O13" s="510">
        <v>2107.16</v>
      </c>
      <c r="P13" s="511">
        <v>-4576.5</v>
      </c>
      <c r="R13" s="23"/>
      <c r="U13" s="11"/>
    </row>
    <row r="14" spans="1:26" ht="14.25" customHeight="1" x14ac:dyDescent="0.3">
      <c r="A14" s="512">
        <v>2022</v>
      </c>
      <c r="B14" s="47" t="s">
        <v>817</v>
      </c>
      <c r="C14" s="513">
        <v>22.14</v>
      </c>
      <c r="D14" s="513"/>
      <c r="E14" s="513"/>
      <c r="F14" s="513">
        <v>1.2</v>
      </c>
      <c r="G14" s="513">
        <v>0.03</v>
      </c>
      <c r="H14" s="513">
        <v>0</v>
      </c>
      <c r="I14" s="514">
        <v>10363.58</v>
      </c>
      <c r="J14" s="514">
        <v>12096.94</v>
      </c>
      <c r="K14" s="514">
        <v>194.48</v>
      </c>
      <c r="L14" s="514">
        <v>-1538.88</v>
      </c>
      <c r="M14" s="515">
        <v>2634.85</v>
      </c>
      <c r="N14" s="515">
        <v>3549.22</v>
      </c>
      <c r="O14" s="515">
        <v>228.25</v>
      </c>
      <c r="P14" s="516">
        <v>-686.12</v>
      </c>
      <c r="R14" s="23"/>
      <c r="U14" s="11"/>
    </row>
    <row r="15" spans="1:26" ht="14.25" customHeight="1" x14ac:dyDescent="0.3">
      <c r="A15" s="512">
        <v>2022</v>
      </c>
      <c r="B15" s="47" t="s">
        <v>818</v>
      </c>
      <c r="C15" s="513">
        <v>22.04</v>
      </c>
      <c r="D15" s="513"/>
      <c r="E15" s="513"/>
      <c r="F15" s="513">
        <v>1.23</v>
      </c>
      <c r="G15" s="513">
        <v>0.03</v>
      </c>
      <c r="H15" s="513">
        <v>0</v>
      </c>
      <c r="I15" s="514">
        <v>9690.0300000000007</v>
      </c>
      <c r="J15" s="514">
        <v>11200.65</v>
      </c>
      <c r="K15" s="514">
        <v>164.55</v>
      </c>
      <c r="L15" s="514">
        <v>-1346.07</v>
      </c>
      <c r="M15" s="515">
        <v>2439.35</v>
      </c>
      <c r="N15" s="515">
        <v>3222.21</v>
      </c>
      <c r="O15" s="515">
        <v>231.38</v>
      </c>
      <c r="P15" s="516">
        <v>-551.48</v>
      </c>
      <c r="R15" s="23"/>
      <c r="S15" s="495">
        <v>2022</v>
      </c>
      <c r="T15" s="495">
        <v>2023</v>
      </c>
      <c r="U15" s="495">
        <v>2024</v>
      </c>
    </row>
    <row r="16" spans="1:26" ht="14.25" customHeight="1" x14ac:dyDescent="0.3">
      <c r="A16" s="517">
        <v>2022</v>
      </c>
      <c r="B16" s="518" t="s">
        <v>68</v>
      </c>
      <c r="C16" s="519">
        <f t="shared" ref="C16:P16" si="3">SUM(C13:C15)</f>
        <v>264.83000000000004</v>
      </c>
      <c r="D16" s="519">
        <f t="shared" si="3"/>
        <v>0</v>
      </c>
      <c r="E16" s="519">
        <f t="shared" si="3"/>
        <v>0</v>
      </c>
      <c r="F16" s="519">
        <f t="shared" si="3"/>
        <v>15.36</v>
      </c>
      <c r="G16" s="519">
        <f t="shared" si="3"/>
        <v>0.38</v>
      </c>
      <c r="H16" s="519">
        <f t="shared" si="3"/>
        <v>0</v>
      </c>
      <c r="I16" s="520">
        <f t="shared" si="3"/>
        <v>115036.98</v>
      </c>
      <c r="J16" s="520">
        <f t="shared" si="3"/>
        <v>136124.76</v>
      </c>
      <c r="K16" s="520">
        <f t="shared" si="3"/>
        <v>2261.06</v>
      </c>
      <c r="L16" s="520">
        <f t="shared" si="3"/>
        <v>-18826.72</v>
      </c>
      <c r="M16" s="521">
        <f t="shared" si="3"/>
        <v>27480.219999999998</v>
      </c>
      <c r="N16" s="521">
        <f t="shared" si="3"/>
        <v>35861.11</v>
      </c>
      <c r="O16" s="521">
        <f t="shared" si="3"/>
        <v>2566.79</v>
      </c>
      <c r="P16" s="522">
        <f t="shared" si="3"/>
        <v>-5814.1</v>
      </c>
      <c r="Q16" s="503"/>
      <c r="R16" s="504">
        <f>L16+P16</f>
        <v>-24640.82</v>
      </c>
      <c r="S16" s="504">
        <v>3000</v>
      </c>
      <c r="T16" s="504">
        <v>1200.55</v>
      </c>
      <c r="U16" s="525">
        <v>3000</v>
      </c>
      <c r="V16" s="503"/>
      <c r="W16" s="503"/>
      <c r="X16" s="503"/>
      <c r="Y16" s="503"/>
      <c r="Z16" s="503"/>
    </row>
    <row r="17" spans="1:26" ht="14.25" customHeight="1" x14ac:dyDescent="0.3">
      <c r="A17" s="495"/>
      <c r="C17" s="524"/>
      <c r="D17" s="524"/>
      <c r="E17" s="524"/>
      <c r="F17" s="524"/>
      <c r="G17" s="524"/>
      <c r="H17" s="524"/>
      <c r="I17" s="496"/>
      <c r="J17" s="496"/>
      <c r="K17" s="496"/>
      <c r="L17" s="496"/>
      <c r="M17" s="497"/>
      <c r="N17" s="497"/>
      <c r="O17" s="497"/>
      <c r="P17" s="497"/>
      <c r="R17" s="23"/>
      <c r="U17" s="11"/>
    </row>
    <row r="18" spans="1:26" ht="14.25" customHeight="1" x14ac:dyDescent="0.3">
      <c r="A18" s="506">
        <v>2023</v>
      </c>
      <c r="B18" s="507" t="s">
        <v>816</v>
      </c>
      <c r="C18" s="508">
        <v>531.49</v>
      </c>
      <c r="D18" s="508"/>
      <c r="E18" s="508">
        <v>1.08</v>
      </c>
      <c r="F18" s="508">
        <v>1.38</v>
      </c>
      <c r="G18" s="508">
        <v>7.34</v>
      </c>
      <c r="H18" s="508">
        <v>1.65</v>
      </c>
      <c r="I18" s="509">
        <v>30169.67</v>
      </c>
      <c r="J18" s="509">
        <v>31517.34</v>
      </c>
      <c r="K18" s="509">
        <v>680.55</v>
      </c>
      <c r="L18" s="509">
        <v>-667.12</v>
      </c>
      <c r="M18" s="510">
        <v>4072.37</v>
      </c>
      <c r="N18" s="510">
        <v>5526.03</v>
      </c>
      <c r="O18" s="510">
        <v>451.77</v>
      </c>
      <c r="P18" s="511">
        <v>-1001.89</v>
      </c>
      <c r="R18" s="23"/>
      <c r="U18" s="11"/>
    </row>
    <row r="19" spans="1:26" ht="14.25" customHeight="1" x14ac:dyDescent="0.3">
      <c r="A19" s="512">
        <v>2023</v>
      </c>
      <c r="B19" s="47" t="s">
        <v>820</v>
      </c>
      <c r="C19" s="513">
        <v>366.19</v>
      </c>
      <c r="D19" s="513"/>
      <c r="E19" s="513"/>
      <c r="F19" s="513"/>
      <c r="G19" s="513">
        <v>3.11</v>
      </c>
      <c r="H19" s="513">
        <v>3.66</v>
      </c>
      <c r="I19" s="514">
        <v>3673.22</v>
      </c>
      <c r="J19" s="514">
        <v>3685.42</v>
      </c>
      <c r="K19" s="514">
        <v>10.91</v>
      </c>
      <c r="L19" s="514">
        <v>-1.29</v>
      </c>
      <c r="M19" s="515">
        <v>610.11</v>
      </c>
      <c r="N19" s="515">
        <v>701.93</v>
      </c>
      <c r="O19" s="515">
        <v>1.48</v>
      </c>
      <c r="P19" s="516">
        <v>-90.34</v>
      </c>
      <c r="R19" s="23"/>
      <c r="U19" s="11"/>
    </row>
    <row r="20" spans="1:26" ht="14.25" customHeight="1" x14ac:dyDescent="0.3">
      <c r="A20" s="512">
        <v>2023</v>
      </c>
      <c r="B20" s="47" t="s">
        <v>817</v>
      </c>
      <c r="C20" s="513">
        <v>36.15</v>
      </c>
      <c r="D20" s="513"/>
      <c r="E20" s="513">
        <v>0.1</v>
      </c>
      <c r="F20" s="513">
        <v>0.13</v>
      </c>
      <c r="G20" s="513">
        <v>0.64</v>
      </c>
      <c r="H20" s="513">
        <v>0.09</v>
      </c>
      <c r="I20" s="514">
        <v>6803.5</v>
      </c>
      <c r="J20" s="514">
        <v>6582.31</v>
      </c>
      <c r="K20" s="514">
        <v>50.59</v>
      </c>
      <c r="L20" s="514">
        <v>271.77999999999997</v>
      </c>
      <c r="M20" s="515">
        <v>830.72</v>
      </c>
      <c r="N20" s="515">
        <v>1041.3599999999999</v>
      </c>
      <c r="O20" s="515">
        <v>60.19</v>
      </c>
      <c r="P20" s="516">
        <v>-150.44999999999999</v>
      </c>
      <c r="R20" s="23"/>
      <c r="U20" s="11"/>
    </row>
    <row r="21" spans="1:26" ht="14.25" customHeight="1" x14ac:dyDescent="0.3">
      <c r="A21" s="512">
        <v>2023</v>
      </c>
      <c r="B21" s="47" t="s">
        <v>818</v>
      </c>
      <c r="C21" s="513">
        <v>56.85</v>
      </c>
      <c r="D21" s="513"/>
      <c r="E21" s="513">
        <v>0.11</v>
      </c>
      <c r="F21" s="513">
        <v>0.15</v>
      </c>
      <c r="G21" s="513">
        <v>0.77</v>
      </c>
      <c r="H21" s="513">
        <v>0.18</v>
      </c>
      <c r="I21" s="514">
        <v>2976.71</v>
      </c>
      <c r="J21" s="514">
        <v>3097.87</v>
      </c>
      <c r="K21" s="514">
        <v>58.34</v>
      </c>
      <c r="L21" s="514">
        <v>-62.82</v>
      </c>
      <c r="M21" s="515">
        <v>441.52</v>
      </c>
      <c r="N21" s="515">
        <v>587.78</v>
      </c>
      <c r="O21" s="515">
        <v>48.94</v>
      </c>
      <c r="P21" s="516">
        <v>-97.32</v>
      </c>
      <c r="R21" s="23"/>
      <c r="S21" s="495">
        <v>2023</v>
      </c>
      <c r="U21" s="11"/>
    </row>
    <row r="22" spans="1:26" ht="14.25" customHeight="1" x14ac:dyDescent="0.3">
      <c r="A22" s="517">
        <v>2023</v>
      </c>
      <c r="B22" s="518" t="s">
        <v>68</v>
      </c>
      <c r="C22" s="519">
        <f>SUM(C18:C21)</f>
        <v>990.68000000000006</v>
      </c>
      <c r="D22" s="519"/>
      <c r="E22" s="519">
        <f t="shared" ref="E22:P22" si="4">SUM(E18:E21)</f>
        <v>1.2900000000000003</v>
      </c>
      <c r="F22" s="519">
        <f t="shared" si="4"/>
        <v>1.6599999999999997</v>
      </c>
      <c r="G22" s="519">
        <f t="shared" si="4"/>
        <v>11.86</v>
      </c>
      <c r="H22" s="519">
        <f t="shared" si="4"/>
        <v>5.58</v>
      </c>
      <c r="I22" s="520">
        <f t="shared" si="4"/>
        <v>43623.1</v>
      </c>
      <c r="J22" s="520">
        <f t="shared" si="4"/>
        <v>44882.94</v>
      </c>
      <c r="K22" s="520">
        <f t="shared" si="4"/>
        <v>800.39</v>
      </c>
      <c r="L22" s="520">
        <f t="shared" si="4"/>
        <v>-459.45</v>
      </c>
      <c r="M22" s="521">
        <f t="shared" si="4"/>
        <v>5954.7199999999993</v>
      </c>
      <c r="N22" s="521">
        <f t="shared" si="4"/>
        <v>7857.0999999999995</v>
      </c>
      <c r="O22" s="521">
        <f t="shared" si="4"/>
        <v>562.38000000000011</v>
      </c>
      <c r="P22" s="522">
        <f t="shared" si="4"/>
        <v>-1340</v>
      </c>
      <c r="Q22" s="503"/>
      <c r="R22" s="523">
        <f>L22+P22</f>
        <v>-1799.45</v>
      </c>
      <c r="S22" s="523">
        <v>1799.45</v>
      </c>
      <c r="T22" s="503"/>
      <c r="U22" s="505"/>
      <c r="V22" s="503"/>
      <c r="W22" s="503"/>
      <c r="X22" s="503"/>
      <c r="Y22" s="503"/>
      <c r="Z22" s="503"/>
    </row>
    <row r="23" spans="1:26" ht="14.25" customHeight="1" x14ac:dyDescent="0.3">
      <c r="A23" s="495"/>
      <c r="C23" s="524"/>
      <c r="D23" s="524"/>
      <c r="E23" s="524"/>
      <c r="F23" s="524"/>
      <c r="G23" s="524"/>
      <c r="H23" s="524"/>
      <c r="I23" s="496"/>
      <c r="J23" s="496"/>
      <c r="K23" s="496"/>
      <c r="L23" s="496"/>
      <c r="M23" s="497"/>
      <c r="N23" s="497"/>
      <c r="O23" s="497"/>
      <c r="P23" s="497"/>
      <c r="R23" s="23"/>
      <c r="U23" s="11"/>
    </row>
    <row r="24" spans="1:26" ht="14.25" customHeight="1" x14ac:dyDescent="0.3">
      <c r="A24" s="526">
        <v>2024</v>
      </c>
      <c r="B24" s="527">
        <v>255006</v>
      </c>
      <c r="C24" s="528">
        <v>1017.8</v>
      </c>
      <c r="D24" s="528">
        <v>0.73</v>
      </c>
      <c r="E24" s="528">
        <v>0</v>
      </c>
      <c r="F24" s="528">
        <v>0</v>
      </c>
      <c r="G24" s="528">
        <v>15.21</v>
      </c>
      <c r="H24" s="528">
        <v>0.88</v>
      </c>
      <c r="I24" s="529">
        <v>14079.67</v>
      </c>
      <c r="J24" s="529">
        <v>13840.06</v>
      </c>
      <c r="K24" s="529">
        <v>106.57</v>
      </c>
      <c r="L24" s="529">
        <v>346.18</v>
      </c>
      <c r="M24" s="530">
        <v>31521.56</v>
      </c>
      <c r="N24" s="530">
        <v>25753.85</v>
      </c>
      <c r="O24" s="530">
        <v>4.93</v>
      </c>
      <c r="P24" s="531">
        <v>5772.64</v>
      </c>
      <c r="Q24" s="503"/>
      <c r="R24" s="504">
        <f>L24+P24</f>
        <v>6118.8200000000006</v>
      </c>
      <c r="S24" s="503"/>
      <c r="T24" s="503"/>
      <c r="U24" s="505"/>
      <c r="V24" s="503"/>
      <c r="W24" s="503"/>
      <c r="X24" s="503"/>
      <c r="Y24" s="503"/>
      <c r="Z24" s="503"/>
    </row>
    <row r="25" spans="1:26" ht="14.25" customHeight="1" x14ac:dyDescent="0.3">
      <c r="A25" s="49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R25" s="23"/>
      <c r="U25" s="11"/>
    </row>
    <row r="26" spans="1:26" ht="14.25" customHeight="1" x14ac:dyDescent="0.3">
      <c r="A26" s="49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R26" s="23"/>
      <c r="U26" s="11"/>
    </row>
    <row r="27" spans="1:26" ht="14.25" customHeight="1" x14ac:dyDescent="0.3">
      <c r="A27" s="49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R27" s="23"/>
      <c r="U27" s="11"/>
    </row>
    <row r="28" spans="1:26" ht="14.25" customHeight="1" x14ac:dyDescent="0.3">
      <c r="A28" s="49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R28" s="23"/>
      <c r="U28" s="11"/>
    </row>
    <row r="29" spans="1:26" ht="14.25" customHeight="1" x14ac:dyDescent="0.3">
      <c r="A29" s="49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R29" s="23"/>
      <c r="U29" s="11"/>
    </row>
    <row r="30" spans="1:26" ht="14.25" customHeight="1" x14ac:dyDescent="0.3">
      <c r="A30" s="49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R30" s="23"/>
      <c r="U30" s="11"/>
    </row>
    <row r="31" spans="1:26" ht="14.25" customHeight="1" x14ac:dyDescent="0.3">
      <c r="A31" s="49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R31" s="23"/>
      <c r="U31" s="11"/>
    </row>
    <row r="32" spans="1:26" ht="14.25" customHeight="1" x14ac:dyDescent="0.3">
      <c r="A32" s="49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R32" s="23"/>
      <c r="U32" s="11"/>
    </row>
    <row r="33" spans="1:21" ht="14.25" customHeight="1" x14ac:dyDescent="0.3">
      <c r="A33" s="49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R33" s="23"/>
      <c r="U33" s="11"/>
    </row>
    <row r="34" spans="1:21" ht="14.25" customHeight="1" x14ac:dyDescent="0.3">
      <c r="A34" s="49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R34" s="23"/>
      <c r="U34" s="11"/>
    </row>
    <row r="35" spans="1:21" ht="14.25" customHeight="1" x14ac:dyDescent="0.3">
      <c r="A35" s="49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R35" s="23"/>
      <c r="U35" s="11"/>
    </row>
    <row r="36" spans="1:21" ht="14.25" customHeight="1" x14ac:dyDescent="0.3">
      <c r="A36" s="49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R36" s="23"/>
      <c r="U36" s="11"/>
    </row>
    <row r="37" spans="1:21" ht="14.25" customHeight="1" x14ac:dyDescent="0.3">
      <c r="A37" s="49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R37" s="23"/>
      <c r="U37" s="11"/>
    </row>
    <row r="38" spans="1:21" ht="14.25" customHeight="1" x14ac:dyDescent="0.3">
      <c r="A38" s="49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R38" s="23"/>
      <c r="U38" s="11"/>
    </row>
    <row r="39" spans="1:21" ht="14.25" customHeight="1" x14ac:dyDescent="0.3">
      <c r="A39" s="49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R39" s="23"/>
      <c r="U39" s="11"/>
    </row>
    <row r="40" spans="1:21" ht="14.25" customHeight="1" x14ac:dyDescent="0.3">
      <c r="A40" s="49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R40" s="23"/>
      <c r="U40" s="11"/>
    </row>
    <row r="41" spans="1:21" ht="14.25" customHeight="1" x14ac:dyDescent="0.3">
      <c r="A41" s="49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R41" s="23"/>
      <c r="U41" s="11"/>
    </row>
    <row r="42" spans="1:21" ht="14.25" customHeight="1" x14ac:dyDescent="0.3">
      <c r="A42" s="49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R42" s="23"/>
      <c r="U42" s="11"/>
    </row>
    <row r="43" spans="1:21" ht="14.25" customHeight="1" x14ac:dyDescent="0.3">
      <c r="A43" s="49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R43" s="23"/>
      <c r="U43" s="11"/>
    </row>
    <row r="44" spans="1:21" ht="14.25" customHeight="1" x14ac:dyDescent="0.3">
      <c r="A44" s="49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R44" s="23"/>
      <c r="U44" s="11"/>
    </row>
    <row r="45" spans="1:21" ht="14.25" customHeight="1" x14ac:dyDescent="0.3">
      <c r="A45" s="49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R45" s="23"/>
      <c r="U45" s="11"/>
    </row>
    <row r="46" spans="1:21" ht="14.25" customHeight="1" x14ac:dyDescent="0.3">
      <c r="A46" s="49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R46" s="23"/>
      <c r="U46" s="11"/>
    </row>
    <row r="47" spans="1:21" ht="14.25" customHeight="1" x14ac:dyDescent="0.3">
      <c r="A47" s="49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R47" s="23"/>
      <c r="U47" s="11"/>
    </row>
    <row r="48" spans="1:21" ht="14.25" customHeight="1" x14ac:dyDescent="0.3">
      <c r="A48" s="49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R48" s="23"/>
      <c r="U48" s="11"/>
    </row>
    <row r="49" spans="1:21" ht="14.25" customHeight="1" x14ac:dyDescent="0.3">
      <c r="A49" s="49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R49" s="23"/>
      <c r="U49" s="11"/>
    </row>
    <row r="50" spans="1:21" ht="14.25" customHeight="1" x14ac:dyDescent="0.3">
      <c r="A50" s="49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R50" s="23"/>
      <c r="U50" s="11"/>
    </row>
    <row r="51" spans="1:21" ht="14.25" customHeight="1" x14ac:dyDescent="0.3">
      <c r="A51" s="49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R51" s="23"/>
      <c r="U51" s="11"/>
    </row>
    <row r="52" spans="1:21" ht="14.25" customHeight="1" x14ac:dyDescent="0.3">
      <c r="A52" s="49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R52" s="23"/>
      <c r="U52" s="11"/>
    </row>
    <row r="53" spans="1:21" ht="14.25" customHeight="1" x14ac:dyDescent="0.3">
      <c r="A53" s="49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R53" s="23"/>
      <c r="U53" s="11"/>
    </row>
    <row r="54" spans="1:21" ht="14.25" customHeight="1" x14ac:dyDescent="0.3">
      <c r="A54" s="49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R54" s="23"/>
      <c r="U54" s="11"/>
    </row>
    <row r="55" spans="1:21" ht="14.25" customHeight="1" x14ac:dyDescent="0.3">
      <c r="A55" s="49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R55" s="23"/>
      <c r="U55" s="11"/>
    </row>
    <row r="56" spans="1:21" ht="14.25" customHeight="1" x14ac:dyDescent="0.3">
      <c r="A56" s="49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R56" s="23"/>
      <c r="U56" s="11"/>
    </row>
    <row r="57" spans="1:21" ht="14.25" customHeight="1" x14ac:dyDescent="0.3">
      <c r="A57" s="49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R57" s="23"/>
      <c r="U57" s="11"/>
    </row>
    <row r="58" spans="1:21" ht="14.25" customHeight="1" x14ac:dyDescent="0.3">
      <c r="A58" s="49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R58" s="23"/>
      <c r="U58" s="11"/>
    </row>
    <row r="59" spans="1:21" ht="14.25" customHeight="1" x14ac:dyDescent="0.3">
      <c r="A59" s="49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R59" s="23"/>
      <c r="U59" s="11"/>
    </row>
    <row r="60" spans="1:21" ht="14.25" customHeight="1" x14ac:dyDescent="0.3">
      <c r="A60" s="49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R60" s="23"/>
      <c r="U60" s="11"/>
    </row>
    <row r="61" spans="1:21" ht="14.25" customHeight="1" x14ac:dyDescent="0.3">
      <c r="A61" s="49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R61" s="23"/>
      <c r="U61" s="11"/>
    </row>
    <row r="62" spans="1:21" ht="14.25" customHeight="1" x14ac:dyDescent="0.3">
      <c r="A62" s="49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R62" s="23"/>
      <c r="U62" s="11"/>
    </row>
    <row r="63" spans="1:21" ht="14.25" customHeight="1" x14ac:dyDescent="0.3">
      <c r="A63" s="49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R63" s="23"/>
      <c r="U63" s="11"/>
    </row>
    <row r="64" spans="1:21" ht="14.25" customHeight="1" x14ac:dyDescent="0.3">
      <c r="A64" s="49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R64" s="23"/>
      <c r="U64" s="11"/>
    </row>
    <row r="65" spans="1:21" ht="14.25" customHeight="1" x14ac:dyDescent="0.3">
      <c r="A65" s="49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R65" s="23"/>
      <c r="U65" s="11"/>
    </row>
    <row r="66" spans="1:21" ht="14.25" customHeight="1" x14ac:dyDescent="0.3">
      <c r="A66" s="49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R66" s="23"/>
      <c r="U66" s="11"/>
    </row>
    <row r="67" spans="1:21" ht="14.25" customHeight="1" x14ac:dyDescent="0.3">
      <c r="A67" s="49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R67" s="23"/>
      <c r="U67" s="11"/>
    </row>
    <row r="68" spans="1:21" ht="14.25" customHeight="1" x14ac:dyDescent="0.3">
      <c r="A68" s="49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R68" s="23"/>
      <c r="U68" s="11"/>
    </row>
    <row r="69" spans="1:21" ht="14.25" customHeight="1" x14ac:dyDescent="0.3">
      <c r="A69" s="49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R69" s="23"/>
      <c r="U69" s="11"/>
    </row>
    <row r="70" spans="1:21" ht="14.25" customHeight="1" x14ac:dyDescent="0.3">
      <c r="A70" s="49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R70" s="23"/>
      <c r="U70" s="11"/>
    </row>
    <row r="71" spans="1:21" ht="14.25" customHeight="1" x14ac:dyDescent="0.3">
      <c r="A71" s="49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R71" s="23"/>
      <c r="U71" s="11"/>
    </row>
    <row r="72" spans="1:21" ht="14.25" customHeight="1" x14ac:dyDescent="0.3">
      <c r="A72" s="49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R72" s="23"/>
      <c r="U72" s="11"/>
    </row>
    <row r="73" spans="1:21" ht="14.25" customHeight="1" x14ac:dyDescent="0.3">
      <c r="A73" s="49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R73" s="23"/>
      <c r="U73" s="11"/>
    </row>
    <row r="74" spans="1:21" ht="14.25" customHeight="1" x14ac:dyDescent="0.3">
      <c r="A74" s="49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R74" s="23"/>
      <c r="U74" s="11"/>
    </row>
    <row r="75" spans="1:21" ht="14.25" customHeight="1" x14ac:dyDescent="0.3">
      <c r="A75" s="49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R75" s="23"/>
      <c r="U75" s="11"/>
    </row>
    <row r="76" spans="1:21" ht="14.25" customHeight="1" x14ac:dyDescent="0.3">
      <c r="A76" s="49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R76" s="23"/>
      <c r="U76" s="11"/>
    </row>
    <row r="77" spans="1:21" ht="14.25" customHeight="1" x14ac:dyDescent="0.3">
      <c r="A77" s="49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R77" s="23"/>
      <c r="U77" s="11"/>
    </row>
    <row r="78" spans="1:21" ht="14.25" customHeight="1" x14ac:dyDescent="0.3">
      <c r="A78" s="49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R78" s="23"/>
      <c r="U78" s="11"/>
    </row>
    <row r="79" spans="1:21" ht="14.25" customHeight="1" x14ac:dyDescent="0.3">
      <c r="A79" s="49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R79" s="23"/>
      <c r="U79" s="11"/>
    </row>
    <row r="80" spans="1:21" ht="14.25" customHeight="1" x14ac:dyDescent="0.3">
      <c r="A80" s="49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R80" s="23"/>
      <c r="U80" s="11"/>
    </row>
    <row r="81" spans="1:21" ht="14.25" customHeight="1" x14ac:dyDescent="0.3">
      <c r="A81" s="49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R81" s="23"/>
      <c r="U81" s="11"/>
    </row>
    <row r="82" spans="1:21" ht="14.25" customHeight="1" x14ac:dyDescent="0.3">
      <c r="A82" s="49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R82" s="23"/>
      <c r="U82" s="11"/>
    </row>
    <row r="83" spans="1:21" ht="14.25" customHeight="1" x14ac:dyDescent="0.3">
      <c r="A83" s="49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R83" s="23"/>
      <c r="U83" s="11"/>
    </row>
    <row r="84" spans="1:21" ht="14.25" customHeight="1" x14ac:dyDescent="0.3">
      <c r="A84" s="49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R84" s="23"/>
      <c r="U84" s="11"/>
    </row>
    <row r="85" spans="1:21" ht="14.25" customHeight="1" x14ac:dyDescent="0.3">
      <c r="A85" s="49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R85" s="23"/>
      <c r="U85" s="11"/>
    </row>
    <row r="86" spans="1:21" ht="14.25" customHeight="1" x14ac:dyDescent="0.3">
      <c r="A86" s="49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R86" s="23"/>
      <c r="U86" s="11"/>
    </row>
    <row r="87" spans="1:21" ht="14.25" customHeight="1" x14ac:dyDescent="0.3">
      <c r="A87" s="49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R87" s="23"/>
      <c r="U87" s="11"/>
    </row>
    <row r="88" spans="1:21" ht="14.25" customHeight="1" x14ac:dyDescent="0.3">
      <c r="A88" s="49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R88" s="23"/>
      <c r="U88" s="11"/>
    </row>
    <row r="89" spans="1:21" ht="14.25" customHeight="1" x14ac:dyDescent="0.3">
      <c r="A89" s="49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R89" s="23"/>
      <c r="U89" s="11"/>
    </row>
    <row r="90" spans="1:21" ht="14.25" customHeight="1" x14ac:dyDescent="0.3">
      <c r="A90" s="49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R90" s="23"/>
      <c r="U90" s="11"/>
    </row>
    <row r="91" spans="1:21" ht="14.25" customHeight="1" x14ac:dyDescent="0.3">
      <c r="A91" s="49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R91" s="23"/>
      <c r="U91" s="11"/>
    </row>
    <row r="92" spans="1:21" ht="14.25" customHeight="1" x14ac:dyDescent="0.3">
      <c r="A92" s="49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R92" s="23"/>
      <c r="U92" s="11"/>
    </row>
    <row r="93" spans="1:21" ht="14.25" customHeight="1" x14ac:dyDescent="0.3">
      <c r="A93" s="49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R93" s="23"/>
      <c r="U93" s="11"/>
    </row>
    <row r="94" spans="1:21" ht="14.25" customHeight="1" x14ac:dyDescent="0.3">
      <c r="A94" s="49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R94" s="23"/>
      <c r="U94" s="11"/>
    </row>
    <row r="95" spans="1:21" ht="14.25" customHeight="1" x14ac:dyDescent="0.3">
      <c r="A95" s="49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R95" s="23"/>
      <c r="U95" s="11"/>
    </row>
    <row r="96" spans="1:21" ht="14.25" customHeight="1" x14ac:dyDescent="0.3">
      <c r="A96" s="49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R96" s="23"/>
      <c r="U96" s="11"/>
    </row>
    <row r="97" spans="1:21" ht="14.25" customHeight="1" x14ac:dyDescent="0.3">
      <c r="A97" s="49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R97" s="23"/>
      <c r="U97" s="11"/>
    </row>
    <row r="98" spans="1:21" ht="14.25" customHeight="1" x14ac:dyDescent="0.3">
      <c r="A98" s="49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R98" s="23"/>
      <c r="U98" s="11"/>
    </row>
    <row r="99" spans="1:21" ht="14.25" customHeight="1" x14ac:dyDescent="0.3">
      <c r="A99" s="49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R99" s="23"/>
      <c r="U99" s="11"/>
    </row>
    <row r="100" spans="1:21" ht="14.25" customHeight="1" x14ac:dyDescent="0.3">
      <c r="A100" s="49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R100" s="23"/>
      <c r="U100" s="11"/>
    </row>
    <row r="101" spans="1:21" ht="14.25" customHeight="1" x14ac:dyDescent="0.3">
      <c r="A101" s="49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R101" s="23"/>
      <c r="U101" s="11"/>
    </row>
    <row r="102" spans="1:21" ht="14.25" customHeight="1" x14ac:dyDescent="0.3">
      <c r="A102" s="49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R102" s="23"/>
      <c r="U102" s="11"/>
    </row>
    <row r="103" spans="1:21" ht="14.25" customHeight="1" x14ac:dyDescent="0.3">
      <c r="A103" s="49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R103" s="23"/>
      <c r="U103" s="11"/>
    </row>
    <row r="104" spans="1:21" ht="14.25" customHeight="1" x14ac:dyDescent="0.3">
      <c r="A104" s="49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R104" s="23"/>
      <c r="U104" s="11"/>
    </row>
    <row r="105" spans="1:21" ht="14.25" customHeight="1" x14ac:dyDescent="0.3">
      <c r="A105" s="49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R105" s="23"/>
      <c r="U105" s="11"/>
    </row>
    <row r="106" spans="1:21" ht="14.25" customHeight="1" x14ac:dyDescent="0.3">
      <c r="A106" s="49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R106" s="23"/>
      <c r="U106" s="11"/>
    </row>
    <row r="107" spans="1:21" ht="14.25" customHeight="1" x14ac:dyDescent="0.3">
      <c r="A107" s="49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R107" s="23"/>
      <c r="U107" s="11"/>
    </row>
    <row r="108" spans="1:21" ht="14.25" customHeight="1" x14ac:dyDescent="0.3">
      <c r="A108" s="49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R108" s="23"/>
      <c r="U108" s="11"/>
    </row>
    <row r="109" spans="1:21" ht="14.25" customHeight="1" x14ac:dyDescent="0.3">
      <c r="A109" s="49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R109" s="23"/>
      <c r="U109" s="11"/>
    </row>
    <row r="110" spans="1:21" ht="14.25" customHeight="1" x14ac:dyDescent="0.3">
      <c r="A110" s="49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R110" s="23"/>
      <c r="U110" s="11"/>
    </row>
    <row r="111" spans="1:21" ht="14.25" customHeight="1" x14ac:dyDescent="0.3">
      <c r="A111" s="49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R111" s="23"/>
      <c r="U111" s="11"/>
    </row>
    <row r="112" spans="1:21" ht="14.25" customHeight="1" x14ac:dyDescent="0.3">
      <c r="A112" s="49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R112" s="23"/>
      <c r="U112" s="11"/>
    </row>
    <row r="113" spans="1:21" ht="14.25" customHeight="1" x14ac:dyDescent="0.3">
      <c r="A113" s="49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R113" s="23"/>
      <c r="U113" s="11"/>
    </row>
    <row r="114" spans="1:21" ht="14.25" customHeight="1" x14ac:dyDescent="0.3">
      <c r="A114" s="49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R114" s="23"/>
      <c r="U114" s="11"/>
    </row>
    <row r="115" spans="1:21" ht="14.25" customHeight="1" x14ac:dyDescent="0.3">
      <c r="A115" s="49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R115" s="23"/>
      <c r="U115" s="11"/>
    </row>
    <row r="116" spans="1:21" ht="14.25" customHeight="1" x14ac:dyDescent="0.3">
      <c r="A116" s="49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R116" s="23"/>
      <c r="U116" s="11"/>
    </row>
    <row r="117" spans="1:21" ht="14.25" customHeight="1" x14ac:dyDescent="0.3">
      <c r="A117" s="49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R117" s="23"/>
      <c r="U117" s="11"/>
    </row>
    <row r="118" spans="1:21" ht="14.25" customHeight="1" x14ac:dyDescent="0.3">
      <c r="A118" s="49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R118" s="23"/>
      <c r="U118" s="11"/>
    </row>
    <row r="119" spans="1:21" ht="14.25" customHeight="1" x14ac:dyDescent="0.3">
      <c r="A119" s="49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R119" s="23"/>
      <c r="U119" s="11"/>
    </row>
    <row r="120" spans="1:21" ht="14.25" customHeight="1" x14ac:dyDescent="0.3">
      <c r="A120" s="49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R120" s="23"/>
      <c r="U120" s="11"/>
    </row>
    <row r="121" spans="1:21" ht="14.25" customHeight="1" x14ac:dyDescent="0.3">
      <c r="A121" s="49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R121" s="23"/>
      <c r="U121" s="11"/>
    </row>
    <row r="122" spans="1:21" ht="14.25" customHeight="1" x14ac:dyDescent="0.3">
      <c r="A122" s="49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R122" s="23"/>
      <c r="U122" s="11"/>
    </row>
    <row r="123" spans="1:21" ht="14.25" customHeight="1" x14ac:dyDescent="0.3">
      <c r="A123" s="49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R123" s="23"/>
      <c r="U123" s="11"/>
    </row>
    <row r="124" spans="1:21" ht="14.25" customHeight="1" x14ac:dyDescent="0.3">
      <c r="A124" s="49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R124" s="23"/>
      <c r="U124" s="11"/>
    </row>
    <row r="125" spans="1:21" ht="14.25" customHeight="1" x14ac:dyDescent="0.3">
      <c r="A125" s="49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R125" s="23"/>
      <c r="U125" s="11"/>
    </row>
    <row r="126" spans="1:21" ht="14.25" customHeight="1" x14ac:dyDescent="0.3">
      <c r="A126" s="49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R126" s="23"/>
      <c r="U126" s="11"/>
    </row>
    <row r="127" spans="1:21" ht="14.25" customHeight="1" x14ac:dyDescent="0.3">
      <c r="A127" s="49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R127" s="23"/>
      <c r="U127" s="11"/>
    </row>
    <row r="128" spans="1:21" ht="14.25" customHeight="1" x14ac:dyDescent="0.3">
      <c r="A128" s="49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R128" s="23"/>
      <c r="U128" s="11"/>
    </row>
    <row r="129" spans="1:21" ht="14.25" customHeight="1" x14ac:dyDescent="0.3">
      <c r="A129" s="49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R129" s="23"/>
      <c r="U129" s="11"/>
    </row>
    <row r="130" spans="1:21" ht="14.25" customHeight="1" x14ac:dyDescent="0.3">
      <c r="A130" s="49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R130" s="23"/>
      <c r="U130" s="11"/>
    </row>
    <row r="131" spans="1:21" ht="14.25" customHeight="1" x14ac:dyDescent="0.3">
      <c r="A131" s="49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R131" s="23"/>
      <c r="U131" s="11"/>
    </row>
    <row r="132" spans="1:21" ht="14.25" customHeight="1" x14ac:dyDescent="0.3">
      <c r="A132" s="49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R132" s="23"/>
      <c r="U132" s="11"/>
    </row>
    <row r="133" spans="1:21" ht="14.25" customHeight="1" x14ac:dyDescent="0.3">
      <c r="A133" s="49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R133" s="23"/>
      <c r="U133" s="11"/>
    </row>
    <row r="134" spans="1:21" ht="14.25" customHeight="1" x14ac:dyDescent="0.3">
      <c r="A134" s="49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R134" s="23"/>
      <c r="U134" s="11"/>
    </row>
    <row r="135" spans="1:21" ht="14.25" customHeight="1" x14ac:dyDescent="0.3">
      <c r="A135" s="49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R135" s="23"/>
      <c r="U135" s="11"/>
    </row>
    <row r="136" spans="1:21" ht="14.25" customHeight="1" x14ac:dyDescent="0.3">
      <c r="A136" s="49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R136" s="23"/>
      <c r="U136" s="11"/>
    </row>
    <row r="137" spans="1:21" ht="14.25" customHeight="1" x14ac:dyDescent="0.3">
      <c r="A137" s="49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R137" s="23"/>
      <c r="U137" s="11"/>
    </row>
    <row r="138" spans="1:21" ht="14.25" customHeight="1" x14ac:dyDescent="0.3">
      <c r="A138" s="49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R138" s="23"/>
      <c r="U138" s="11"/>
    </row>
    <row r="139" spans="1:21" ht="14.25" customHeight="1" x14ac:dyDescent="0.3">
      <c r="A139" s="49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R139" s="23"/>
      <c r="U139" s="11"/>
    </row>
    <row r="140" spans="1:21" ht="14.25" customHeight="1" x14ac:dyDescent="0.3">
      <c r="A140" s="49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R140" s="23"/>
      <c r="U140" s="11"/>
    </row>
    <row r="141" spans="1:21" ht="14.25" customHeight="1" x14ac:dyDescent="0.3">
      <c r="A141" s="49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R141" s="23"/>
      <c r="U141" s="11"/>
    </row>
    <row r="142" spans="1:21" ht="14.25" customHeight="1" x14ac:dyDescent="0.3">
      <c r="A142" s="49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R142" s="23"/>
      <c r="U142" s="11"/>
    </row>
    <row r="143" spans="1:21" ht="14.25" customHeight="1" x14ac:dyDescent="0.3">
      <c r="A143" s="49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R143" s="23"/>
      <c r="U143" s="11"/>
    </row>
    <row r="144" spans="1:21" ht="14.25" customHeight="1" x14ac:dyDescent="0.3">
      <c r="A144" s="49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R144" s="23"/>
      <c r="U144" s="11"/>
    </row>
    <row r="145" spans="1:21" ht="14.25" customHeight="1" x14ac:dyDescent="0.3">
      <c r="A145" s="49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R145" s="23"/>
      <c r="U145" s="11"/>
    </row>
    <row r="146" spans="1:21" ht="14.25" customHeight="1" x14ac:dyDescent="0.3">
      <c r="A146" s="49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R146" s="23"/>
      <c r="U146" s="11"/>
    </row>
    <row r="147" spans="1:21" ht="14.25" customHeight="1" x14ac:dyDescent="0.3">
      <c r="A147" s="49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R147" s="23"/>
      <c r="U147" s="11"/>
    </row>
    <row r="148" spans="1:21" ht="14.25" customHeight="1" x14ac:dyDescent="0.3">
      <c r="A148" s="49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R148" s="23"/>
      <c r="U148" s="11"/>
    </row>
    <row r="149" spans="1:21" ht="14.25" customHeight="1" x14ac:dyDescent="0.3">
      <c r="A149" s="49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R149" s="23"/>
      <c r="U149" s="11"/>
    </row>
    <row r="150" spans="1:21" ht="14.25" customHeight="1" x14ac:dyDescent="0.3">
      <c r="A150" s="49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R150" s="23"/>
      <c r="U150" s="11"/>
    </row>
    <row r="151" spans="1:21" ht="14.25" customHeight="1" x14ac:dyDescent="0.3">
      <c r="A151" s="49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R151" s="23"/>
      <c r="U151" s="11"/>
    </row>
    <row r="152" spans="1:21" ht="14.25" customHeight="1" x14ac:dyDescent="0.3">
      <c r="A152" s="49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R152" s="23"/>
      <c r="U152" s="11"/>
    </row>
    <row r="153" spans="1:21" ht="14.25" customHeight="1" x14ac:dyDescent="0.3">
      <c r="A153" s="49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R153" s="23"/>
      <c r="U153" s="11"/>
    </row>
    <row r="154" spans="1:21" ht="14.25" customHeight="1" x14ac:dyDescent="0.3">
      <c r="A154" s="49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R154" s="23"/>
      <c r="U154" s="11"/>
    </row>
    <row r="155" spans="1:21" ht="14.25" customHeight="1" x14ac:dyDescent="0.3">
      <c r="A155" s="49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R155" s="23"/>
      <c r="U155" s="11"/>
    </row>
    <row r="156" spans="1:21" ht="14.25" customHeight="1" x14ac:dyDescent="0.3">
      <c r="A156" s="49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R156" s="23"/>
      <c r="U156" s="11"/>
    </row>
    <row r="157" spans="1:21" ht="14.25" customHeight="1" x14ac:dyDescent="0.3">
      <c r="A157" s="49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R157" s="23"/>
      <c r="U157" s="11"/>
    </row>
    <row r="158" spans="1:21" ht="14.25" customHeight="1" x14ac:dyDescent="0.3">
      <c r="A158" s="49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R158" s="23"/>
      <c r="U158" s="11"/>
    </row>
    <row r="159" spans="1:21" ht="14.25" customHeight="1" x14ac:dyDescent="0.3">
      <c r="A159" s="49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R159" s="23"/>
      <c r="U159" s="11"/>
    </row>
    <row r="160" spans="1:21" ht="14.25" customHeight="1" x14ac:dyDescent="0.3">
      <c r="A160" s="49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R160" s="23"/>
      <c r="U160" s="11"/>
    </row>
    <row r="161" spans="1:21" ht="14.25" customHeight="1" x14ac:dyDescent="0.3">
      <c r="A161" s="49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R161" s="23"/>
      <c r="U161" s="11"/>
    </row>
    <row r="162" spans="1:21" ht="14.25" customHeight="1" x14ac:dyDescent="0.3">
      <c r="A162" s="49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R162" s="23"/>
      <c r="U162" s="11"/>
    </row>
    <row r="163" spans="1:21" ht="14.25" customHeight="1" x14ac:dyDescent="0.3">
      <c r="A163" s="49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R163" s="23"/>
      <c r="U163" s="11"/>
    </row>
    <row r="164" spans="1:21" ht="14.25" customHeight="1" x14ac:dyDescent="0.3">
      <c r="A164" s="49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R164" s="23"/>
      <c r="U164" s="11"/>
    </row>
    <row r="165" spans="1:21" ht="14.25" customHeight="1" x14ac:dyDescent="0.3">
      <c r="A165" s="49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R165" s="23"/>
      <c r="U165" s="11"/>
    </row>
    <row r="166" spans="1:21" ht="14.25" customHeight="1" x14ac:dyDescent="0.3">
      <c r="A166" s="49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R166" s="23"/>
      <c r="U166" s="11"/>
    </row>
    <row r="167" spans="1:21" ht="14.25" customHeight="1" x14ac:dyDescent="0.3">
      <c r="A167" s="49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R167" s="23"/>
      <c r="U167" s="11"/>
    </row>
    <row r="168" spans="1:21" ht="14.25" customHeight="1" x14ac:dyDescent="0.3">
      <c r="A168" s="49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R168" s="23"/>
      <c r="U168" s="11"/>
    </row>
    <row r="169" spans="1:21" ht="14.25" customHeight="1" x14ac:dyDescent="0.3">
      <c r="A169" s="49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R169" s="23"/>
      <c r="U169" s="11"/>
    </row>
    <row r="170" spans="1:21" ht="14.25" customHeight="1" x14ac:dyDescent="0.3">
      <c r="A170" s="49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R170" s="23"/>
      <c r="U170" s="11"/>
    </row>
    <row r="171" spans="1:21" ht="14.25" customHeight="1" x14ac:dyDescent="0.3">
      <c r="A171" s="49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R171" s="23"/>
      <c r="U171" s="11"/>
    </row>
    <row r="172" spans="1:21" ht="14.25" customHeight="1" x14ac:dyDescent="0.3">
      <c r="A172" s="49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R172" s="23"/>
      <c r="U172" s="11"/>
    </row>
    <row r="173" spans="1:21" ht="14.25" customHeight="1" x14ac:dyDescent="0.3">
      <c r="A173" s="49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R173" s="23"/>
      <c r="U173" s="11"/>
    </row>
    <row r="174" spans="1:21" ht="14.25" customHeight="1" x14ac:dyDescent="0.3">
      <c r="A174" s="49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R174" s="23"/>
      <c r="U174" s="11"/>
    </row>
    <row r="175" spans="1:21" ht="14.25" customHeight="1" x14ac:dyDescent="0.3">
      <c r="A175" s="49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R175" s="23"/>
      <c r="U175" s="11"/>
    </row>
    <row r="176" spans="1:21" ht="14.25" customHeight="1" x14ac:dyDescent="0.3">
      <c r="A176" s="49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R176" s="23"/>
      <c r="U176" s="11"/>
    </row>
    <row r="177" spans="1:21" ht="14.25" customHeight="1" x14ac:dyDescent="0.3">
      <c r="A177" s="49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R177" s="23"/>
      <c r="U177" s="11"/>
    </row>
    <row r="178" spans="1:21" ht="14.25" customHeight="1" x14ac:dyDescent="0.3">
      <c r="A178" s="49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R178" s="23"/>
      <c r="U178" s="11"/>
    </row>
    <row r="179" spans="1:21" ht="14.25" customHeight="1" x14ac:dyDescent="0.3">
      <c r="A179" s="49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R179" s="23"/>
      <c r="U179" s="11"/>
    </row>
    <row r="180" spans="1:21" ht="14.25" customHeight="1" x14ac:dyDescent="0.3">
      <c r="A180" s="49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R180" s="23"/>
      <c r="U180" s="11"/>
    </row>
    <row r="181" spans="1:21" ht="14.25" customHeight="1" x14ac:dyDescent="0.3">
      <c r="A181" s="49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R181" s="23"/>
      <c r="U181" s="11"/>
    </row>
    <row r="182" spans="1:21" ht="14.25" customHeight="1" x14ac:dyDescent="0.3">
      <c r="A182" s="49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R182" s="23"/>
      <c r="U182" s="11"/>
    </row>
    <row r="183" spans="1:21" ht="14.25" customHeight="1" x14ac:dyDescent="0.3">
      <c r="A183" s="49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R183" s="23"/>
      <c r="U183" s="11"/>
    </row>
    <row r="184" spans="1:21" ht="14.25" customHeight="1" x14ac:dyDescent="0.3">
      <c r="A184" s="49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R184" s="23"/>
      <c r="U184" s="11"/>
    </row>
    <row r="185" spans="1:21" ht="14.25" customHeight="1" x14ac:dyDescent="0.3">
      <c r="A185" s="49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R185" s="23"/>
      <c r="U185" s="11"/>
    </row>
    <row r="186" spans="1:21" ht="14.25" customHeight="1" x14ac:dyDescent="0.3">
      <c r="A186" s="49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R186" s="23"/>
      <c r="U186" s="11"/>
    </row>
    <row r="187" spans="1:21" ht="14.25" customHeight="1" x14ac:dyDescent="0.3">
      <c r="A187" s="49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R187" s="23"/>
      <c r="U187" s="11"/>
    </row>
    <row r="188" spans="1:21" ht="14.25" customHeight="1" x14ac:dyDescent="0.3">
      <c r="A188" s="49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R188" s="23"/>
      <c r="U188" s="11"/>
    </row>
    <row r="189" spans="1:21" ht="14.25" customHeight="1" x14ac:dyDescent="0.3">
      <c r="A189" s="49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R189" s="23"/>
      <c r="U189" s="11"/>
    </row>
    <row r="190" spans="1:21" ht="14.25" customHeight="1" x14ac:dyDescent="0.3">
      <c r="A190" s="49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R190" s="23"/>
      <c r="U190" s="11"/>
    </row>
    <row r="191" spans="1:21" ht="14.25" customHeight="1" x14ac:dyDescent="0.3">
      <c r="A191" s="49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R191" s="23"/>
      <c r="U191" s="11"/>
    </row>
    <row r="192" spans="1:21" ht="14.25" customHeight="1" x14ac:dyDescent="0.3">
      <c r="A192" s="49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R192" s="23"/>
      <c r="U192" s="11"/>
    </row>
    <row r="193" spans="1:21" ht="14.25" customHeight="1" x14ac:dyDescent="0.3">
      <c r="A193" s="49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R193" s="23"/>
      <c r="U193" s="11"/>
    </row>
    <row r="194" spans="1:21" ht="14.25" customHeight="1" x14ac:dyDescent="0.3">
      <c r="A194" s="49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R194" s="23"/>
      <c r="U194" s="11"/>
    </row>
    <row r="195" spans="1:21" ht="14.25" customHeight="1" x14ac:dyDescent="0.3">
      <c r="A195" s="49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R195" s="23"/>
      <c r="U195" s="11"/>
    </row>
    <row r="196" spans="1:21" ht="14.25" customHeight="1" x14ac:dyDescent="0.3">
      <c r="A196" s="49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R196" s="23"/>
      <c r="U196" s="11"/>
    </row>
    <row r="197" spans="1:21" ht="14.25" customHeight="1" x14ac:dyDescent="0.3">
      <c r="A197" s="49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R197" s="23"/>
      <c r="U197" s="11"/>
    </row>
    <row r="198" spans="1:21" ht="14.25" customHeight="1" x14ac:dyDescent="0.3">
      <c r="A198" s="49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R198" s="23"/>
      <c r="U198" s="11"/>
    </row>
    <row r="199" spans="1:21" ht="14.25" customHeight="1" x14ac:dyDescent="0.3">
      <c r="A199" s="49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R199" s="23"/>
      <c r="U199" s="11"/>
    </row>
    <row r="200" spans="1:21" ht="14.25" customHeight="1" x14ac:dyDescent="0.3">
      <c r="A200" s="49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R200" s="23"/>
      <c r="U200" s="11"/>
    </row>
    <row r="201" spans="1:21" ht="14.25" customHeight="1" x14ac:dyDescent="0.3">
      <c r="A201" s="49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R201" s="23"/>
      <c r="U201" s="11"/>
    </row>
    <row r="202" spans="1:21" ht="14.25" customHeight="1" x14ac:dyDescent="0.3">
      <c r="A202" s="49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R202" s="23"/>
      <c r="U202" s="11"/>
    </row>
    <row r="203" spans="1:21" ht="14.25" customHeight="1" x14ac:dyDescent="0.3">
      <c r="A203" s="49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R203" s="23"/>
      <c r="U203" s="11"/>
    </row>
    <row r="204" spans="1:21" ht="14.25" customHeight="1" x14ac:dyDescent="0.3">
      <c r="A204" s="49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R204" s="23"/>
      <c r="U204" s="11"/>
    </row>
    <row r="205" spans="1:21" ht="14.25" customHeight="1" x14ac:dyDescent="0.3">
      <c r="A205" s="49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R205" s="23"/>
      <c r="U205" s="11"/>
    </row>
    <row r="206" spans="1:21" ht="14.25" customHeight="1" x14ac:dyDescent="0.3">
      <c r="A206" s="49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R206" s="23"/>
      <c r="U206" s="11"/>
    </row>
    <row r="207" spans="1:21" ht="14.25" customHeight="1" x14ac:dyDescent="0.3">
      <c r="A207" s="49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R207" s="23"/>
      <c r="U207" s="11"/>
    </row>
    <row r="208" spans="1:21" ht="14.25" customHeight="1" x14ac:dyDescent="0.3">
      <c r="A208" s="49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R208" s="23"/>
      <c r="U208" s="11"/>
    </row>
    <row r="209" spans="1:21" ht="14.25" customHeight="1" x14ac:dyDescent="0.3">
      <c r="A209" s="49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R209" s="23"/>
      <c r="U209" s="11"/>
    </row>
    <row r="210" spans="1:21" ht="14.25" customHeight="1" x14ac:dyDescent="0.3">
      <c r="A210" s="49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R210" s="23"/>
      <c r="U210" s="11"/>
    </row>
    <row r="211" spans="1:21" ht="14.25" customHeight="1" x14ac:dyDescent="0.3">
      <c r="A211" s="49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R211" s="23"/>
      <c r="U211" s="11"/>
    </row>
    <row r="212" spans="1:21" ht="14.25" customHeight="1" x14ac:dyDescent="0.3">
      <c r="A212" s="49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R212" s="23"/>
      <c r="U212" s="11"/>
    </row>
    <row r="213" spans="1:21" ht="14.25" customHeight="1" x14ac:dyDescent="0.3">
      <c r="A213" s="49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R213" s="23"/>
      <c r="U213" s="11"/>
    </row>
    <row r="214" spans="1:21" ht="14.25" customHeight="1" x14ac:dyDescent="0.3">
      <c r="A214" s="49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R214" s="23"/>
      <c r="U214" s="11"/>
    </row>
    <row r="215" spans="1:21" ht="14.25" customHeight="1" x14ac:dyDescent="0.3">
      <c r="A215" s="49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R215" s="23"/>
      <c r="U215" s="11"/>
    </row>
    <row r="216" spans="1:21" ht="14.25" customHeight="1" x14ac:dyDescent="0.3">
      <c r="A216" s="49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R216" s="23"/>
      <c r="U216" s="11"/>
    </row>
    <row r="217" spans="1:21" ht="14.25" customHeight="1" x14ac:dyDescent="0.3">
      <c r="A217" s="49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R217" s="23"/>
      <c r="U217" s="11"/>
    </row>
    <row r="218" spans="1:21" ht="14.25" customHeight="1" x14ac:dyDescent="0.3">
      <c r="A218" s="49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R218" s="23"/>
      <c r="U218" s="11"/>
    </row>
    <row r="219" spans="1:21" ht="14.25" customHeight="1" x14ac:dyDescent="0.3">
      <c r="A219" s="49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R219" s="23"/>
      <c r="U219" s="11"/>
    </row>
    <row r="220" spans="1:21" ht="14.25" customHeight="1" x14ac:dyDescent="0.3">
      <c r="A220" s="49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R220" s="23"/>
      <c r="U220" s="11"/>
    </row>
    <row r="221" spans="1:21" ht="14.25" customHeight="1" x14ac:dyDescent="0.3">
      <c r="A221" s="49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R221" s="23"/>
      <c r="U221" s="11"/>
    </row>
    <row r="222" spans="1:21" ht="14.25" customHeight="1" x14ac:dyDescent="0.3">
      <c r="A222" s="49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R222" s="23"/>
      <c r="U222" s="11"/>
    </row>
    <row r="223" spans="1:21" ht="14.25" customHeight="1" x14ac:dyDescent="0.3">
      <c r="A223" s="49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R223" s="23"/>
      <c r="U223" s="11"/>
    </row>
    <row r="224" spans="1:21" ht="14.25" customHeight="1" x14ac:dyDescent="0.3">
      <c r="A224" s="49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R224" s="23"/>
      <c r="U224" s="11"/>
    </row>
    <row r="225" spans="1:21" ht="14.25" customHeight="1" x14ac:dyDescent="0.3">
      <c r="A225" s="49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R225" s="23"/>
      <c r="U225" s="11"/>
    </row>
    <row r="226" spans="1:21" ht="14.25" customHeight="1" x14ac:dyDescent="0.3">
      <c r="A226" s="49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R226" s="23"/>
      <c r="U226" s="11"/>
    </row>
    <row r="227" spans="1:21" ht="14.25" customHeight="1" x14ac:dyDescent="0.3">
      <c r="A227" s="49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R227" s="23"/>
      <c r="U227" s="11"/>
    </row>
    <row r="228" spans="1:21" ht="14.25" customHeight="1" x14ac:dyDescent="0.3">
      <c r="A228" s="49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R228" s="23"/>
      <c r="U228" s="11"/>
    </row>
    <row r="229" spans="1:21" ht="14.25" customHeight="1" x14ac:dyDescent="0.3">
      <c r="A229" s="49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R229" s="23"/>
      <c r="U229" s="11"/>
    </row>
    <row r="230" spans="1:21" ht="14.25" customHeight="1" x14ac:dyDescent="0.3">
      <c r="A230" s="49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R230" s="23"/>
      <c r="U230" s="11"/>
    </row>
    <row r="231" spans="1:21" ht="14.25" customHeight="1" x14ac:dyDescent="0.3">
      <c r="A231" s="49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R231" s="23"/>
      <c r="U231" s="11"/>
    </row>
    <row r="232" spans="1:21" ht="14.25" customHeight="1" x14ac:dyDescent="0.3">
      <c r="A232" s="49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R232" s="23"/>
      <c r="U232" s="11"/>
    </row>
    <row r="233" spans="1:21" ht="14.25" customHeight="1" x14ac:dyDescent="0.3">
      <c r="A233" s="49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R233" s="23"/>
      <c r="U233" s="11"/>
    </row>
    <row r="234" spans="1:21" ht="14.25" customHeight="1" x14ac:dyDescent="0.3">
      <c r="A234" s="49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R234" s="23"/>
      <c r="U234" s="11"/>
    </row>
    <row r="235" spans="1:21" ht="14.25" customHeight="1" x14ac:dyDescent="0.3">
      <c r="A235" s="49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R235" s="23"/>
      <c r="U235" s="11"/>
    </row>
    <row r="236" spans="1:21" ht="14.25" customHeight="1" x14ac:dyDescent="0.3">
      <c r="A236" s="49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R236" s="23"/>
      <c r="U236" s="11"/>
    </row>
    <row r="237" spans="1:21" ht="14.25" customHeight="1" x14ac:dyDescent="0.3">
      <c r="A237" s="49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R237" s="23"/>
      <c r="U237" s="11"/>
    </row>
    <row r="238" spans="1:21" ht="14.25" customHeight="1" x14ac:dyDescent="0.3">
      <c r="A238" s="49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R238" s="23"/>
      <c r="U238" s="11"/>
    </row>
    <row r="239" spans="1:21" ht="14.25" customHeight="1" x14ac:dyDescent="0.3">
      <c r="A239" s="49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R239" s="23"/>
      <c r="U239" s="11"/>
    </row>
    <row r="240" spans="1:21" ht="14.25" customHeight="1" x14ac:dyDescent="0.3">
      <c r="A240" s="49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R240" s="23"/>
      <c r="U240" s="11"/>
    </row>
    <row r="241" spans="1:21" ht="14.25" customHeight="1" x14ac:dyDescent="0.3">
      <c r="A241" s="49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R241" s="23"/>
      <c r="U241" s="11"/>
    </row>
    <row r="242" spans="1:21" ht="14.25" customHeight="1" x14ac:dyDescent="0.3">
      <c r="A242" s="49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R242" s="23"/>
      <c r="U242" s="11"/>
    </row>
    <row r="243" spans="1:21" ht="14.25" customHeight="1" x14ac:dyDescent="0.3">
      <c r="A243" s="49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R243" s="23"/>
      <c r="U243" s="11"/>
    </row>
    <row r="244" spans="1:21" ht="14.25" customHeight="1" x14ac:dyDescent="0.3">
      <c r="A244" s="49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R244" s="23"/>
      <c r="U244" s="11"/>
    </row>
    <row r="245" spans="1:21" ht="14.25" customHeight="1" x14ac:dyDescent="0.3">
      <c r="A245" s="49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R245" s="23"/>
      <c r="U245" s="11"/>
    </row>
    <row r="246" spans="1:21" ht="14.25" customHeight="1" x14ac:dyDescent="0.3">
      <c r="A246" s="49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R246" s="23"/>
      <c r="U246" s="11"/>
    </row>
    <row r="247" spans="1:21" ht="14.25" customHeight="1" x14ac:dyDescent="0.3">
      <c r="A247" s="49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R247" s="23"/>
      <c r="U247" s="11"/>
    </row>
    <row r="248" spans="1:21" ht="14.25" customHeight="1" x14ac:dyDescent="0.3">
      <c r="A248" s="49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R248" s="23"/>
      <c r="U248" s="11"/>
    </row>
    <row r="249" spans="1:21" ht="14.25" customHeight="1" x14ac:dyDescent="0.3">
      <c r="A249" s="49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R249" s="23"/>
      <c r="U249" s="11"/>
    </row>
    <row r="250" spans="1:21" ht="14.25" customHeight="1" x14ac:dyDescent="0.3">
      <c r="A250" s="49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R250" s="23"/>
      <c r="U250" s="11"/>
    </row>
    <row r="251" spans="1:21" ht="14.25" customHeight="1" x14ac:dyDescent="0.3">
      <c r="A251" s="49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R251" s="23"/>
      <c r="U251" s="11"/>
    </row>
    <row r="252" spans="1:21" ht="14.25" customHeight="1" x14ac:dyDescent="0.3">
      <c r="A252" s="49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R252" s="23"/>
      <c r="U252" s="11"/>
    </row>
    <row r="253" spans="1:21" ht="14.25" customHeight="1" x14ac:dyDescent="0.3">
      <c r="A253" s="49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R253" s="23"/>
      <c r="U253" s="11"/>
    </row>
    <row r="254" spans="1:21" ht="14.25" customHeight="1" x14ac:dyDescent="0.3">
      <c r="A254" s="49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R254" s="23"/>
      <c r="U254" s="11"/>
    </row>
    <row r="255" spans="1:21" ht="14.25" customHeight="1" x14ac:dyDescent="0.3">
      <c r="A255" s="49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R255" s="23"/>
      <c r="U255" s="11"/>
    </row>
    <row r="256" spans="1:21" ht="14.25" customHeight="1" x14ac:dyDescent="0.3">
      <c r="A256" s="49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R256" s="23"/>
      <c r="U256" s="11"/>
    </row>
    <row r="257" spans="1:21" ht="14.25" customHeight="1" x14ac:dyDescent="0.3">
      <c r="A257" s="49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R257" s="23"/>
      <c r="U257" s="11"/>
    </row>
    <row r="258" spans="1:21" ht="14.25" customHeight="1" x14ac:dyDescent="0.3">
      <c r="A258" s="49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R258" s="23"/>
      <c r="U258" s="11"/>
    </row>
    <row r="259" spans="1:21" ht="14.25" customHeight="1" x14ac:dyDescent="0.3">
      <c r="A259" s="49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R259" s="23"/>
      <c r="U259" s="11"/>
    </row>
    <row r="260" spans="1:21" ht="14.25" customHeight="1" x14ac:dyDescent="0.3">
      <c r="A260" s="49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R260" s="23"/>
      <c r="U260" s="11"/>
    </row>
    <row r="261" spans="1:21" ht="14.25" customHeight="1" x14ac:dyDescent="0.3">
      <c r="A261" s="49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R261" s="23"/>
      <c r="U261" s="11"/>
    </row>
    <row r="262" spans="1:21" ht="14.25" customHeight="1" x14ac:dyDescent="0.3">
      <c r="A262" s="49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R262" s="23"/>
      <c r="U262" s="11"/>
    </row>
    <row r="263" spans="1:21" ht="14.25" customHeight="1" x14ac:dyDescent="0.3">
      <c r="A263" s="49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R263" s="23"/>
      <c r="U263" s="11"/>
    </row>
    <row r="264" spans="1:21" ht="14.25" customHeight="1" x14ac:dyDescent="0.3">
      <c r="A264" s="49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R264" s="23"/>
      <c r="U264" s="11"/>
    </row>
    <row r="265" spans="1:21" ht="14.25" customHeight="1" x14ac:dyDescent="0.3">
      <c r="A265" s="49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R265" s="23"/>
      <c r="U265" s="11"/>
    </row>
    <row r="266" spans="1:21" ht="14.25" customHeight="1" x14ac:dyDescent="0.3">
      <c r="A266" s="49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R266" s="23"/>
      <c r="U266" s="11"/>
    </row>
    <row r="267" spans="1:21" ht="14.25" customHeight="1" x14ac:dyDescent="0.3">
      <c r="A267" s="49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R267" s="23"/>
      <c r="U267" s="11"/>
    </row>
    <row r="268" spans="1:21" ht="14.25" customHeight="1" x14ac:dyDescent="0.3">
      <c r="A268" s="49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R268" s="23"/>
      <c r="U268" s="11"/>
    </row>
    <row r="269" spans="1:21" ht="14.25" customHeight="1" x14ac:dyDescent="0.3">
      <c r="A269" s="49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R269" s="23"/>
      <c r="U269" s="11"/>
    </row>
    <row r="270" spans="1:21" ht="14.25" customHeight="1" x14ac:dyDescent="0.3">
      <c r="A270" s="49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R270" s="23"/>
      <c r="U270" s="11"/>
    </row>
    <row r="271" spans="1:21" ht="14.25" customHeight="1" x14ac:dyDescent="0.3">
      <c r="A271" s="49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R271" s="23"/>
      <c r="U271" s="11"/>
    </row>
    <row r="272" spans="1:21" ht="14.25" customHeight="1" x14ac:dyDescent="0.3">
      <c r="A272" s="49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R272" s="23"/>
      <c r="U272" s="11"/>
    </row>
    <row r="273" spans="1:21" ht="14.25" customHeight="1" x14ac:dyDescent="0.3">
      <c r="A273" s="49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R273" s="23"/>
      <c r="U273" s="11"/>
    </row>
    <row r="274" spans="1:21" ht="14.25" customHeight="1" x14ac:dyDescent="0.3">
      <c r="A274" s="49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R274" s="23"/>
      <c r="U274" s="11"/>
    </row>
    <row r="275" spans="1:21" ht="14.25" customHeight="1" x14ac:dyDescent="0.3">
      <c r="A275" s="49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R275" s="23"/>
      <c r="U275" s="11"/>
    </row>
    <row r="276" spans="1:21" ht="14.25" customHeight="1" x14ac:dyDescent="0.3">
      <c r="A276" s="49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R276" s="23"/>
      <c r="U276" s="11"/>
    </row>
    <row r="277" spans="1:21" ht="14.25" customHeight="1" x14ac:dyDescent="0.3">
      <c r="A277" s="49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R277" s="23"/>
      <c r="U277" s="11"/>
    </row>
    <row r="278" spans="1:21" ht="14.25" customHeight="1" x14ac:dyDescent="0.3">
      <c r="A278" s="49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R278" s="23"/>
      <c r="U278" s="11"/>
    </row>
    <row r="279" spans="1:21" ht="14.25" customHeight="1" x14ac:dyDescent="0.3">
      <c r="A279" s="49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R279" s="23"/>
      <c r="U279" s="11"/>
    </row>
    <row r="280" spans="1:21" ht="14.25" customHeight="1" x14ac:dyDescent="0.3">
      <c r="A280" s="49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R280" s="23"/>
      <c r="U280" s="11"/>
    </row>
    <row r="281" spans="1:21" ht="14.25" customHeight="1" x14ac:dyDescent="0.3">
      <c r="A281" s="49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R281" s="23"/>
      <c r="U281" s="11"/>
    </row>
    <row r="282" spans="1:21" ht="14.25" customHeight="1" x14ac:dyDescent="0.3">
      <c r="A282" s="49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R282" s="23"/>
      <c r="U282" s="11"/>
    </row>
    <row r="283" spans="1:21" ht="14.25" customHeight="1" x14ac:dyDescent="0.3">
      <c r="A283" s="49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R283" s="23"/>
      <c r="U283" s="11"/>
    </row>
    <row r="284" spans="1:21" ht="14.25" customHeight="1" x14ac:dyDescent="0.3">
      <c r="A284" s="49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R284" s="23"/>
      <c r="U284" s="11"/>
    </row>
    <row r="285" spans="1:21" ht="14.25" customHeight="1" x14ac:dyDescent="0.3">
      <c r="A285" s="49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R285" s="23"/>
      <c r="U285" s="11"/>
    </row>
    <row r="286" spans="1:21" ht="14.25" customHeight="1" x14ac:dyDescent="0.3">
      <c r="A286" s="49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R286" s="23"/>
      <c r="U286" s="11"/>
    </row>
    <row r="287" spans="1:21" ht="14.25" customHeight="1" x14ac:dyDescent="0.3">
      <c r="A287" s="49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R287" s="23"/>
      <c r="U287" s="11"/>
    </row>
    <row r="288" spans="1:21" ht="14.25" customHeight="1" x14ac:dyDescent="0.3">
      <c r="A288" s="49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R288" s="23"/>
      <c r="U288" s="11"/>
    </row>
    <row r="289" spans="1:21" ht="14.25" customHeight="1" x14ac:dyDescent="0.3">
      <c r="A289" s="49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R289" s="23"/>
      <c r="U289" s="11"/>
    </row>
    <row r="290" spans="1:21" ht="14.25" customHeight="1" x14ac:dyDescent="0.3">
      <c r="A290" s="49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R290" s="23"/>
      <c r="U290" s="11"/>
    </row>
    <row r="291" spans="1:21" ht="14.25" customHeight="1" x14ac:dyDescent="0.3">
      <c r="A291" s="49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R291" s="23"/>
      <c r="U291" s="11"/>
    </row>
    <row r="292" spans="1:21" ht="14.25" customHeight="1" x14ac:dyDescent="0.3">
      <c r="A292" s="49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R292" s="23"/>
      <c r="U292" s="11"/>
    </row>
    <row r="293" spans="1:21" ht="14.25" customHeight="1" x14ac:dyDescent="0.3">
      <c r="A293" s="49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R293" s="23"/>
      <c r="U293" s="11"/>
    </row>
    <row r="294" spans="1:21" ht="14.25" customHeight="1" x14ac:dyDescent="0.3">
      <c r="A294" s="49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R294" s="23"/>
      <c r="U294" s="11"/>
    </row>
    <row r="295" spans="1:21" ht="14.25" customHeight="1" x14ac:dyDescent="0.3">
      <c r="A295" s="49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R295" s="23"/>
      <c r="U295" s="11"/>
    </row>
    <row r="296" spans="1:21" ht="14.25" customHeight="1" x14ac:dyDescent="0.3">
      <c r="A296" s="49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R296" s="23"/>
      <c r="U296" s="11"/>
    </row>
    <row r="297" spans="1:21" ht="14.25" customHeight="1" x14ac:dyDescent="0.3">
      <c r="A297" s="49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R297" s="23"/>
      <c r="U297" s="11"/>
    </row>
    <row r="298" spans="1:21" ht="14.25" customHeight="1" x14ac:dyDescent="0.3">
      <c r="A298" s="49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R298" s="23"/>
      <c r="U298" s="11"/>
    </row>
    <row r="299" spans="1:21" ht="14.25" customHeight="1" x14ac:dyDescent="0.3">
      <c r="A299" s="49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R299" s="23"/>
      <c r="U299" s="11"/>
    </row>
    <row r="300" spans="1:21" ht="14.25" customHeight="1" x14ac:dyDescent="0.3">
      <c r="A300" s="49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R300" s="23"/>
      <c r="U300" s="11"/>
    </row>
    <row r="301" spans="1:21" ht="14.25" customHeight="1" x14ac:dyDescent="0.3">
      <c r="A301" s="49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R301" s="23"/>
      <c r="U301" s="11"/>
    </row>
    <row r="302" spans="1:21" ht="14.25" customHeight="1" x14ac:dyDescent="0.3">
      <c r="A302" s="49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R302" s="23"/>
      <c r="U302" s="11"/>
    </row>
    <row r="303" spans="1:21" ht="14.25" customHeight="1" x14ac:dyDescent="0.3">
      <c r="A303" s="49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R303" s="23"/>
      <c r="U303" s="11"/>
    </row>
    <row r="304" spans="1:21" ht="14.25" customHeight="1" x14ac:dyDescent="0.3">
      <c r="A304" s="49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R304" s="23"/>
      <c r="U304" s="11"/>
    </row>
    <row r="305" spans="1:21" ht="14.25" customHeight="1" x14ac:dyDescent="0.3">
      <c r="A305" s="49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R305" s="23"/>
      <c r="U305" s="11"/>
    </row>
    <row r="306" spans="1:21" ht="14.25" customHeight="1" x14ac:dyDescent="0.3">
      <c r="A306" s="49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R306" s="23"/>
      <c r="U306" s="11"/>
    </row>
    <row r="307" spans="1:21" ht="14.25" customHeight="1" x14ac:dyDescent="0.3">
      <c r="A307" s="49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R307" s="23"/>
      <c r="U307" s="11"/>
    </row>
    <row r="308" spans="1:21" ht="14.25" customHeight="1" x14ac:dyDescent="0.3">
      <c r="A308" s="49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R308" s="23"/>
      <c r="U308" s="11"/>
    </row>
    <row r="309" spans="1:21" ht="14.25" customHeight="1" x14ac:dyDescent="0.3">
      <c r="A309" s="49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R309" s="23"/>
      <c r="U309" s="11"/>
    </row>
    <row r="310" spans="1:21" ht="14.25" customHeight="1" x14ac:dyDescent="0.3">
      <c r="A310" s="49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R310" s="23"/>
      <c r="U310" s="11"/>
    </row>
    <row r="311" spans="1:21" ht="14.25" customHeight="1" x14ac:dyDescent="0.3">
      <c r="A311" s="49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R311" s="23"/>
      <c r="U311" s="11"/>
    </row>
    <row r="312" spans="1:21" ht="14.25" customHeight="1" x14ac:dyDescent="0.3">
      <c r="A312" s="49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R312" s="23"/>
      <c r="U312" s="11"/>
    </row>
    <row r="313" spans="1:21" ht="14.25" customHeight="1" x14ac:dyDescent="0.3">
      <c r="A313" s="49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R313" s="23"/>
      <c r="U313" s="11"/>
    </row>
    <row r="314" spans="1:21" ht="14.25" customHeight="1" x14ac:dyDescent="0.3">
      <c r="A314" s="49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R314" s="23"/>
      <c r="U314" s="11"/>
    </row>
    <row r="315" spans="1:21" ht="14.25" customHeight="1" x14ac:dyDescent="0.3">
      <c r="A315" s="49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R315" s="23"/>
      <c r="U315" s="11"/>
    </row>
    <row r="316" spans="1:21" ht="14.25" customHeight="1" x14ac:dyDescent="0.3">
      <c r="A316" s="49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R316" s="23"/>
      <c r="U316" s="11"/>
    </row>
    <row r="317" spans="1:21" ht="14.25" customHeight="1" x14ac:dyDescent="0.3">
      <c r="A317" s="49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R317" s="23"/>
      <c r="U317" s="11"/>
    </row>
    <row r="318" spans="1:21" ht="14.25" customHeight="1" x14ac:dyDescent="0.3">
      <c r="A318" s="49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R318" s="23"/>
      <c r="U318" s="11"/>
    </row>
    <row r="319" spans="1:21" ht="14.25" customHeight="1" x14ac:dyDescent="0.3">
      <c r="A319" s="49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R319" s="23"/>
      <c r="U319" s="11"/>
    </row>
    <row r="320" spans="1:21" ht="14.25" customHeight="1" x14ac:dyDescent="0.3">
      <c r="A320" s="49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R320" s="23"/>
      <c r="U320" s="11"/>
    </row>
    <row r="321" spans="1:21" ht="14.25" customHeight="1" x14ac:dyDescent="0.3">
      <c r="A321" s="49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R321" s="23"/>
      <c r="U321" s="11"/>
    </row>
    <row r="322" spans="1:21" ht="14.25" customHeight="1" x14ac:dyDescent="0.3">
      <c r="A322" s="49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R322" s="23"/>
      <c r="U322" s="11"/>
    </row>
    <row r="323" spans="1:21" ht="14.25" customHeight="1" x14ac:dyDescent="0.3">
      <c r="A323" s="49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R323" s="23"/>
      <c r="U323" s="11"/>
    </row>
    <row r="324" spans="1:21" ht="14.25" customHeight="1" x14ac:dyDescent="0.3">
      <c r="A324" s="49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R324" s="23"/>
      <c r="U324" s="11"/>
    </row>
    <row r="325" spans="1:21" ht="14.25" customHeight="1" x14ac:dyDescent="0.3">
      <c r="A325" s="49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R325" s="23"/>
      <c r="U325" s="11"/>
    </row>
    <row r="326" spans="1:21" ht="14.25" customHeight="1" x14ac:dyDescent="0.3">
      <c r="A326" s="49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R326" s="23"/>
      <c r="U326" s="11"/>
    </row>
    <row r="327" spans="1:21" ht="14.25" customHeight="1" x14ac:dyDescent="0.3">
      <c r="A327" s="49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R327" s="23"/>
      <c r="U327" s="11"/>
    </row>
    <row r="328" spans="1:21" ht="14.25" customHeight="1" x14ac:dyDescent="0.3">
      <c r="A328" s="49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R328" s="23"/>
      <c r="U328" s="11"/>
    </row>
    <row r="329" spans="1:21" ht="14.25" customHeight="1" x14ac:dyDescent="0.3">
      <c r="A329" s="49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R329" s="23"/>
      <c r="U329" s="11"/>
    </row>
    <row r="330" spans="1:21" ht="14.25" customHeight="1" x14ac:dyDescent="0.3">
      <c r="A330" s="49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R330" s="23"/>
      <c r="U330" s="11"/>
    </row>
    <row r="331" spans="1:21" ht="14.25" customHeight="1" x14ac:dyDescent="0.3">
      <c r="A331" s="49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R331" s="23"/>
      <c r="U331" s="11"/>
    </row>
    <row r="332" spans="1:21" ht="14.25" customHeight="1" x14ac:dyDescent="0.3">
      <c r="A332" s="49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R332" s="23"/>
      <c r="U332" s="11"/>
    </row>
    <row r="333" spans="1:21" ht="14.25" customHeight="1" x14ac:dyDescent="0.3">
      <c r="A333" s="49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R333" s="23"/>
      <c r="U333" s="11"/>
    </row>
    <row r="334" spans="1:21" ht="14.25" customHeight="1" x14ac:dyDescent="0.3">
      <c r="A334" s="49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R334" s="23"/>
      <c r="U334" s="11"/>
    </row>
    <row r="335" spans="1:21" ht="14.25" customHeight="1" x14ac:dyDescent="0.3">
      <c r="A335" s="49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R335" s="23"/>
      <c r="U335" s="11"/>
    </row>
    <row r="336" spans="1:21" ht="14.25" customHeight="1" x14ac:dyDescent="0.3">
      <c r="A336" s="49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R336" s="23"/>
      <c r="U336" s="11"/>
    </row>
    <row r="337" spans="1:21" ht="14.25" customHeight="1" x14ac:dyDescent="0.3">
      <c r="A337" s="49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R337" s="23"/>
      <c r="U337" s="11"/>
    </row>
    <row r="338" spans="1:21" ht="14.25" customHeight="1" x14ac:dyDescent="0.3">
      <c r="A338" s="49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R338" s="23"/>
      <c r="U338" s="11"/>
    </row>
    <row r="339" spans="1:21" ht="14.25" customHeight="1" x14ac:dyDescent="0.3">
      <c r="A339" s="49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R339" s="23"/>
      <c r="U339" s="11"/>
    </row>
    <row r="340" spans="1:21" ht="14.25" customHeight="1" x14ac:dyDescent="0.3">
      <c r="A340" s="49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R340" s="23"/>
      <c r="U340" s="11"/>
    </row>
    <row r="341" spans="1:21" ht="14.25" customHeight="1" x14ac:dyDescent="0.3">
      <c r="A341" s="49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R341" s="23"/>
      <c r="U341" s="11"/>
    </row>
    <row r="342" spans="1:21" ht="14.25" customHeight="1" x14ac:dyDescent="0.3">
      <c r="A342" s="49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R342" s="23"/>
      <c r="U342" s="11"/>
    </row>
    <row r="343" spans="1:21" ht="14.25" customHeight="1" x14ac:dyDescent="0.3">
      <c r="A343" s="49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R343" s="23"/>
      <c r="U343" s="11"/>
    </row>
    <row r="344" spans="1:21" ht="14.25" customHeight="1" x14ac:dyDescent="0.3">
      <c r="A344" s="49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R344" s="23"/>
      <c r="U344" s="11"/>
    </row>
    <row r="345" spans="1:21" ht="14.25" customHeight="1" x14ac:dyDescent="0.3">
      <c r="A345" s="49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R345" s="23"/>
      <c r="U345" s="11"/>
    </row>
    <row r="346" spans="1:21" ht="14.25" customHeight="1" x14ac:dyDescent="0.3">
      <c r="A346" s="49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R346" s="23"/>
      <c r="U346" s="11"/>
    </row>
    <row r="347" spans="1:21" ht="14.25" customHeight="1" x14ac:dyDescent="0.3">
      <c r="A347" s="49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R347" s="23"/>
      <c r="U347" s="11"/>
    </row>
    <row r="348" spans="1:21" ht="14.25" customHeight="1" x14ac:dyDescent="0.3">
      <c r="A348" s="49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R348" s="23"/>
      <c r="U348" s="11"/>
    </row>
    <row r="349" spans="1:21" ht="14.25" customHeight="1" x14ac:dyDescent="0.3">
      <c r="A349" s="49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R349" s="23"/>
      <c r="U349" s="11"/>
    </row>
    <row r="350" spans="1:21" ht="14.25" customHeight="1" x14ac:dyDescent="0.3">
      <c r="A350" s="49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R350" s="23"/>
      <c r="U350" s="11"/>
    </row>
    <row r="351" spans="1:21" ht="14.25" customHeight="1" x14ac:dyDescent="0.3">
      <c r="A351" s="49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R351" s="23"/>
      <c r="U351" s="11"/>
    </row>
    <row r="352" spans="1:21" ht="14.25" customHeight="1" x14ac:dyDescent="0.3">
      <c r="A352" s="49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R352" s="23"/>
      <c r="U352" s="11"/>
    </row>
    <row r="353" spans="1:21" ht="14.25" customHeight="1" x14ac:dyDescent="0.3">
      <c r="A353" s="49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R353" s="23"/>
      <c r="U353" s="11"/>
    </row>
    <row r="354" spans="1:21" ht="14.25" customHeight="1" x14ac:dyDescent="0.3">
      <c r="A354" s="49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R354" s="23"/>
      <c r="U354" s="11"/>
    </row>
    <row r="355" spans="1:21" ht="14.25" customHeight="1" x14ac:dyDescent="0.3">
      <c r="A355" s="49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R355" s="23"/>
      <c r="U355" s="11"/>
    </row>
    <row r="356" spans="1:21" ht="14.25" customHeight="1" x14ac:dyDescent="0.3">
      <c r="A356" s="49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R356" s="23"/>
      <c r="U356" s="11"/>
    </row>
    <row r="357" spans="1:21" ht="14.25" customHeight="1" x14ac:dyDescent="0.3">
      <c r="A357" s="49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R357" s="23"/>
      <c r="U357" s="11"/>
    </row>
    <row r="358" spans="1:21" ht="14.25" customHeight="1" x14ac:dyDescent="0.3">
      <c r="A358" s="49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R358" s="23"/>
      <c r="U358" s="11"/>
    </row>
    <row r="359" spans="1:21" ht="14.25" customHeight="1" x14ac:dyDescent="0.3">
      <c r="A359" s="49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R359" s="23"/>
      <c r="U359" s="11"/>
    </row>
    <row r="360" spans="1:21" ht="14.25" customHeight="1" x14ac:dyDescent="0.3">
      <c r="A360" s="49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R360" s="23"/>
      <c r="U360" s="11"/>
    </row>
    <row r="361" spans="1:21" ht="14.25" customHeight="1" x14ac:dyDescent="0.3">
      <c r="A361" s="49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R361" s="23"/>
      <c r="U361" s="11"/>
    </row>
    <row r="362" spans="1:21" ht="14.25" customHeight="1" x14ac:dyDescent="0.3">
      <c r="A362" s="49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R362" s="23"/>
      <c r="U362" s="11"/>
    </row>
    <row r="363" spans="1:21" ht="14.25" customHeight="1" x14ac:dyDescent="0.3">
      <c r="A363" s="49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R363" s="23"/>
      <c r="U363" s="11"/>
    </row>
    <row r="364" spans="1:21" ht="14.25" customHeight="1" x14ac:dyDescent="0.3">
      <c r="A364" s="49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R364" s="23"/>
      <c r="U364" s="11"/>
    </row>
    <row r="365" spans="1:21" ht="14.25" customHeight="1" x14ac:dyDescent="0.3">
      <c r="A365" s="49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R365" s="23"/>
      <c r="U365" s="11"/>
    </row>
    <row r="366" spans="1:21" ht="14.25" customHeight="1" x14ac:dyDescent="0.3">
      <c r="A366" s="49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R366" s="23"/>
      <c r="U366" s="11"/>
    </row>
    <row r="367" spans="1:21" ht="14.25" customHeight="1" x14ac:dyDescent="0.3">
      <c r="A367" s="49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R367" s="23"/>
      <c r="U367" s="11"/>
    </row>
    <row r="368" spans="1:21" ht="14.25" customHeight="1" x14ac:dyDescent="0.3">
      <c r="A368" s="49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R368" s="23"/>
      <c r="U368" s="11"/>
    </row>
    <row r="369" spans="1:21" ht="14.25" customHeight="1" x14ac:dyDescent="0.3">
      <c r="A369" s="49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R369" s="23"/>
      <c r="U369" s="11"/>
    </row>
    <row r="370" spans="1:21" ht="14.25" customHeight="1" x14ac:dyDescent="0.3">
      <c r="A370" s="49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R370" s="23"/>
      <c r="U370" s="11"/>
    </row>
    <row r="371" spans="1:21" ht="14.25" customHeight="1" x14ac:dyDescent="0.3">
      <c r="A371" s="49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R371" s="23"/>
      <c r="U371" s="11"/>
    </row>
    <row r="372" spans="1:21" ht="14.25" customHeight="1" x14ac:dyDescent="0.3">
      <c r="A372" s="49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R372" s="23"/>
      <c r="U372" s="11"/>
    </row>
    <row r="373" spans="1:21" ht="14.25" customHeight="1" x14ac:dyDescent="0.3">
      <c r="A373" s="49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R373" s="23"/>
      <c r="U373" s="11"/>
    </row>
    <row r="374" spans="1:21" ht="14.25" customHeight="1" x14ac:dyDescent="0.3">
      <c r="A374" s="49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R374" s="23"/>
      <c r="U374" s="11"/>
    </row>
    <row r="375" spans="1:21" ht="14.25" customHeight="1" x14ac:dyDescent="0.3">
      <c r="A375" s="49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R375" s="23"/>
      <c r="U375" s="11"/>
    </row>
    <row r="376" spans="1:21" ht="14.25" customHeight="1" x14ac:dyDescent="0.3">
      <c r="A376" s="49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R376" s="23"/>
      <c r="U376" s="11"/>
    </row>
    <row r="377" spans="1:21" ht="14.25" customHeight="1" x14ac:dyDescent="0.3">
      <c r="A377" s="49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R377" s="23"/>
      <c r="U377" s="11"/>
    </row>
    <row r="378" spans="1:21" ht="14.25" customHeight="1" x14ac:dyDescent="0.3">
      <c r="A378" s="49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R378" s="23"/>
      <c r="U378" s="11"/>
    </row>
    <row r="379" spans="1:21" ht="14.25" customHeight="1" x14ac:dyDescent="0.3">
      <c r="A379" s="49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R379" s="23"/>
      <c r="U379" s="11"/>
    </row>
    <row r="380" spans="1:21" ht="14.25" customHeight="1" x14ac:dyDescent="0.3">
      <c r="A380" s="49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R380" s="23"/>
      <c r="U380" s="11"/>
    </row>
    <row r="381" spans="1:21" ht="14.25" customHeight="1" x14ac:dyDescent="0.3">
      <c r="A381" s="49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R381" s="23"/>
      <c r="U381" s="11"/>
    </row>
    <row r="382" spans="1:21" ht="14.25" customHeight="1" x14ac:dyDescent="0.3">
      <c r="A382" s="49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R382" s="23"/>
      <c r="U382" s="11"/>
    </row>
    <row r="383" spans="1:21" ht="14.25" customHeight="1" x14ac:dyDescent="0.3">
      <c r="A383" s="49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R383" s="23"/>
      <c r="U383" s="11"/>
    </row>
    <row r="384" spans="1:21" ht="14.25" customHeight="1" x14ac:dyDescent="0.3">
      <c r="A384" s="49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R384" s="23"/>
      <c r="U384" s="11"/>
    </row>
    <row r="385" spans="1:21" ht="14.25" customHeight="1" x14ac:dyDescent="0.3">
      <c r="A385" s="49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R385" s="23"/>
      <c r="U385" s="11"/>
    </row>
    <row r="386" spans="1:21" ht="14.25" customHeight="1" x14ac:dyDescent="0.3">
      <c r="A386" s="49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R386" s="23"/>
      <c r="U386" s="11"/>
    </row>
    <row r="387" spans="1:21" ht="14.25" customHeight="1" x14ac:dyDescent="0.3">
      <c r="A387" s="49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R387" s="23"/>
      <c r="U387" s="11"/>
    </row>
    <row r="388" spans="1:21" ht="14.25" customHeight="1" x14ac:dyDescent="0.3">
      <c r="A388" s="49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R388" s="23"/>
      <c r="U388" s="11"/>
    </row>
    <row r="389" spans="1:21" ht="14.25" customHeight="1" x14ac:dyDescent="0.3">
      <c r="A389" s="49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R389" s="23"/>
      <c r="U389" s="11"/>
    </row>
    <row r="390" spans="1:21" ht="14.25" customHeight="1" x14ac:dyDescent="0.3">
      <c r="A390" s="49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R390" s="23"/>
      <c r="U390" s="11"/>
    </row>
    <row r="391" spans="1:21" ht="14.25" customHeight="1" x14ac:dyDescent="0.3">
      <c r="A391" s="49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R391" s="23"/>
      <c r="U391" s="11"/>
    </row>
    <row r="392" spans="1:21" ht="14.25" customHeight="1" x14ac:dyDescent="0.3">
      <c r="A392" s="49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R392" s="23"/>
      <c r="U392" s="11"/>
    </row>
    <row r="393" spans="1:21" ht="14.25" customHeight="1" x14ac:dyDescent="0.3">
      <c r="A393" s="49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R393" s="23"/>
      <c r="U393" s="11"/>
    </row>
    <row r="394" spans="1:21" ht="14.25" customHeight="1" x14ac:dyDescent="0.3">
      <c r="A394" s="49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R394" s="23"/>
      <c r="U394" s="11"/>
    </row>
    <row r="395" spans="1:21" ht="14.25" customHeight="1" x14ac:dyDescent="0.3">
      <c r="A395" s="49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R395" s="23"/>
      <c r="U395" s="11"/>
    </row>
    <row r="396" spans="1:21" ht="14.25" customHeight="1" x14ac:dyDescent="0.3">
      <c r="A396" s="49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R396" s="23"/>
      <c r="U396" s="11"/>
    </row>
    <row r="397" spans="1:21" ht="14.25" customHeight="1" x14ac:dyDescent="0.3">
      <c r="A397" s="49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R397" s="23"/>
      <c r="U397" s="11"/>
    </row>
    <row r="398" spans="1:21" ht="14.25" customHeight="1" x14ac:dyDescent="0.3">
      <c r="A398" s="49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R398" s="23"/>
      <c r="U398" s="11"/>
    </row>
    <row r="399" spans="1:21" ht="14.25" customHeight="1" x14ac:dyDescent="0.3">
      <c r="A399" s="49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R399" s="23"/>
      <c r="U399" s="11"/>
    </row>
    <row r="400" spans="1:21" ht="14.25" customHeight="1" x14ac:dyDescent="0.3">
      <c r="A400" s="49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R400" s="23"/>
      <c r="U400" s="11"/>
    </row>
    <row r="401" spans="1:21" ht="14.25" customHeight="1" x14ac:dyDescent="0.3">
      <c r="A401" s="49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R401" s="23"/>
      <c r="U401" s="11"/>
    </row>
    <row r="402" spans="1:21" ht="14.25" customHeight="1" x14ac:dyDescent="0.3">
      <c r="A402" s="49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R402" s="23"/>
      <c r="U402" s="11"/>
    </row>
    <row r="403" spans="1:21" ht="14.25" customHeight="1" x14ac:dyDescent="0.3">
      <c r="A403" s="49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R403" s="23"/>
      <c r="U403" s="11"/>
    </row>
    <row r="404" spans="1:21" ht="14.25" customHeight="1" x14ac:dyDescent="0.3">
      <c r="A404" s="49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R404" s="23"/>
      <c r="U404" s="11"/>
    </row>
    <row r="405" spans="1:21" ht="14.25" customHeight="1" x14ac:dyDescent="0.3">
      <c r="A405" s="49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R405" s="23"/>
      <c r="U405" s="11"/>
    </row>
    <row r="406" spans="1:21" ht="14.25" customHeight="1" x14ac:dyDescent="0.3">
      <c r="A406" s="49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R406" s="23"/>
      <c r="U406" s="11"/>
    </row>
    <row r="407" spans="1:21" ht="14.25" customHeight="1" x14ac:dyDescent="0.3">
      <c r="A407" s="49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R407" s="23"/>
      <c r="U407" s="11"/>
    </row>
    <row r="408" spans="1:21" ht="14.25" customHeight="1" x14ac:dyDescent="0.3">
      <c r="A408" s="49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R408" s="23"/>
      <c r="U408" s="11"/>
    </row>
    <row r="409" spans="1:21" ht="14.25" customHeight="1" x14ac:dyDescent="0.3">
      <c r="A409" s="49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R409" s="23"/>
      <c r="U409" s="11"/>
    </row>
    <row r="410" spans="1:21" ht="14.25" customHeight="1" x14ac:dyDescent="0.3">
      <c r="A410" s="49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R410" s="23"/>
      <c r="U410" s="11"/>
    </row>
    <row r="411" spans="1:21" ht="14.25" customHeight="1" x14ac:dyDescent="0.3">
      <c r="A411" s="49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R411" s="23"/>
      <c r="U411" s="11"/>
    </row>
    <row r="412" spans="1:21" ht="14.25" customHeight="1" x14ac:dyDescent="0.3">
      <c r="A412" s="49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R412" s="23"/>
      <c r="U412" s="11"/>
    </row>
    <row r="413" spans="1:21" ht="14.25" customHeight="1" x14ac:dyDescent="0.3">
      <c r="A413" s="49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R413" s="23"/>
      <c r="U413" s="11"/>
    </row>
    <row r="414" spans="1:21" ht="14.25" customHeight="1" x14ac:dyDescent="0.3">
      <c r="A414" s="49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R414" s="23"/>
      <c r="U414" s="11"/>
    </row>
    <row r="415" spans="1:21" ht="14.25" customHeight="1" x14ac:dyDescent="0.3">
      <c r="A415" s="49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R415" s="23"/>
      <c r="U415" s="11"/>
    </row>
    <row r="416" spans="1:21" ht="14.25" customHeight="1" x14ac:dyDescent="0.3">
      <c r="A416" s="49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R416" s="23"/>
      <c r="U416" s="11"/>
    </row>
    <row r="417" spans="1:21" ht="14.25" customHeight="1" x14ac:dyDescent="0.3">
      <c r="A417" s="49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R417" s="23"/>
      <c r="U417" s="11"/>
    </row>
    <row r="418" spans="1:21" ht="14.25" customHeight="1" x14ac:dyDescent="0.3">
      <c r="A418" s="49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R418" s="23"/>
      <c r="U418" s="11"/>
    </row>
    <row r="419" spans="1:21" ht="14.25" customHeight="1" x14ac:dyDescent="0.3">
      <c r="A419" s="49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R419" s="23"/>
      <c r="U419" s="11"/>
    </row>
    <row r="420" spans="1:21" ht="14.25" customHeight="1" x14ac:dyDescent="0.3">
      <c r="A420" s="49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R420" s="23"/>
      <c r="U420" s="11"/>
    </row>
    <row r="421" spans="1:21" ht="14.25" customHeight="1" x14ac:dyDescent="0.3">
      <c r="A421" s="49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R421" s="23"/>
      <c r="U421" s="11"/>
    </row>
    <row r="422" spans="1:21" ht="14.25" customHeight="1" x14ac:dyDescent="0.3">
      <c r="A422" s="49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R422" s="23"/>
      <c r="U422" s="11"/>
    </row>
    <row r="423" spans="1:21" ht="14.25" customHeight="1" x14ac:dyDescent="0.3">
      <c r="A423" s="49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R423" s="23"/>
      <c r="U423" s="11"/>
    </row>
    <row r="424" spans="1:21" ht="14.25" customHeight="1" x14ac:dyDescent="0.3">
      <c r="A424" s="49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R424" s="23"/>
      <c r="U424" s="11"/>
    </row>
    <row r="425" spans="1:21" ht="14.25" customHeight="1" x14ac:dyDescent="0.3">
      <c r="A425" s="49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R425" s="23"/>
      <c r="U425" s="11"/>
    </row>
    <row r="426" spans="1:21" ht="14.25" customHeight="1" x14ac:dyDescent="0.3">
      <c r="A426" s="49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R426" s="23"/>
      <c r="U426" s="11"/>
    </row>
    <row r="427" spans="1:21" ht="14.25" customHeight="1" x14ac:dyDescent="0.3">
      <c r="A427" s="49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R427" s="23"/>
      <c r="U427" s="11"/>
    </row>
    <row r="428" spans="1:21" ht="14.25" customHeight="1" x14ac:dyDescent="0.3">
      <c r="A428" s="49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R428" s="23"/>
      <c r="U428" s="11"/>
    </row>
    <row r="429" spans="1:21" ht="14.25" customHeight="1" x14ac:dyDescent="0.3">
      <c r="A429" s="49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R429" s="23"/>
      <c r="U429" s="11"/>
    </row>
    <row r="430" spans="1:21" ht="14.25" customHeight="1" x14ac:dyDescent="0.3">
      <c r="A430" s="49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R430" s="23"/>
      <c r="U430" s="11"/>
    </row>
    <row r="431" spans="1:21" ht="14.25" customHeight="1" x14ac:dyDescent="0.3">
      <c r="A431" s="49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R431" s="23"/>
      <c r="U431" s="11"/>
    </row>
    <row r="432" spans="1:21" ht="14.25" customHeight="1" x14ac:dyDescent="0.3">
      <c r="A432" s="49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R432" s="23"/>
      <c r="U432" s="11"/>
    </row>
    <row r="433" spans="1:21" ht="14.25" customHeight="1" x14ac:dyDescent="0.3">
      <c r="A433" s="49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R433" s="23"/>
      <c r="U433" s="11"/>
    </row>
    <row r="434" spans="1:21" ht="14.25" customHeight="1" x14ac:dyDescent="0.3">
      <c r="A434" s="49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R434" s="23"/>
      <c r="U434" s="11"/>
    </row>
    <row r="435" spans="1:21" ht="14.25" customHeight="1" x14ac:dyDescent="0.3">
      <c r="A435" s="49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R435" s="23"/>
      <c r="U435" s="11"/>
    </row>
    <row r="436" spans="1:21" ht="14.25" customHeight="1" x14ac:dyDescent="0.3">
      <c r="A436" s="49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R436" s="23"/>
      <c r="U436" s="11"/>
    </row>
    <row r="437" spans="1:21" ht="14.25" customHeight="1" x14ac:dyDescent="0.3">
      <c r="A437" s="49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R437" s="23"/>
      <c r="U437" s="11"/>
    </row>
    <row r="438" spans="1:21" ht="14.25" customHeight="1" x14ac:dyDescent="0.3">
      <c r="A438" s="49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R438" s="23"/>
      <c r="U438" s="11"/>
    </row>
    <row r="439" spans="1:21" ht="14.25" customHeight="1" x14ac:dyDescent="0.3">
      <c r="A439" s="49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R439" s="23"/>
      <c r="U439" s="11"/>
    </row>
    <row r="440" spans="1:21" ht="14.25" customHeight="1" x14ac:dyDescent="0.3">
      <c r="A440" s="49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R440" s="23"/>
      <c r="U440" s="11"/>
    </row>
    <row r="441" spans="1:21" ht="14.25" customHeight="1" x14ac:dyDescent="0.3">
      <c r="A441" s="49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R441" s="23"/>
      <c r="U441" s="11"/>
    </row>
    <row r="442" spans="1:21" ht="14.25" customHeight="1" x14ac:dyDescent="0.3">
      <c r="A442" s="49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R442" s="23"/>
      <c r="U442" s="11"/>
    </row>
    <row r="443" spans="1:21" ht="14.25" customHeight="1" x14ac:dyDescent="0.3">
      <c r="A443" s="49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R443" s="23"/>
      <c r="U443" s="11"/>
    </row>
    <row r="444" spans="1:21" ht="14.25" customHeight="1" x14ac:dyDescent="0.3">
      <c r="A444" s="49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R444" s="23"/>
      <c r="U444" s="11"/>
    </row>
    <row r="445" spans="1:21" ht="14.25" customHeight="1" x14ac:dyDescent="0.3">
      <c r="A445" s="49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R445" s="23"/>
      <c r="U445" s="11"/>
    </row>
    <row r="446" spans="1:21" ht="14.25" customHeight="1" x14ac:dyDescent="0.3">
      <c r="A446" s="49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R446" s="23"/>
      <c r="U446" s="11"/>
    </row>
    <row r="447" spans="1:21" ht="14.25" customHeight="1" x14ac:dyDescent="0.3">
      <c r="A447" s="49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R447" s="23"/>
      <c r="U447" s="11"/>
    </row>
    <row r="448" spans="1:21" ht="14.25" customHeight="1" x14ac:dyDescent="0.3">
      <c r="A448" s="49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R448" s="23"/>
      <c r="U448" s="11"/>
    </row>
    <row r="449" spans="1:21" ht="14.25" customHeight="1" x14ac:dyDescent="0.3">
      <c r="A449" s="49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R449" s="23"/>
      <c r="U449" s="11"/>
    </row>
    <row r="450" spans="1:21" ht="14.25" customHeight="1" x14ac:dyDescent="0.3">
      <c r="A450" s="49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R450" s="23"/>
      <c r="U450" s="11"/>
    </row>
    <row r="451" spans="1:21" ht="14.25" customHeight="1" x14ac:dyDescent="0.3">
      <c r="A451" s="49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R451" s="23"/>
      <c r="U451" s="11"/>
    </row>
    <row r="452" spans="1:21" ht="14.25" customHeight="1" x14ac:dyDescent="0.3">
      <c r="A452" s="49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R452" s="23"/>
      <c r="U452" s="11"/>
    </row>
    <row r="453" spans="1:21" ht="14.25" customHeight="1" x14ac:dyDescent="0.3">
      <c r="A453" s="49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R453" s="23"/>
      <c r="U453" s="11"/>
    </row>
    <row r="454" spans="1:21" ht="14.25" customHeight="1" x14ac:dyDescent="0.3">
      <c r="A454" s="49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R454" s="23"/>
      <c r="U454" s="11"/>
    </row>
    <row r="455" spans="1:21" ht="14.25" customHeight="1" x14ac:dyDescent="0.3">
      <c r="A455" s="49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R455" s="23"/>
      <c r="U455" s="11"/>
    </row>
    <row r="456" spans="1:21" ht="14.25" customHeight="1" x14ac:dyDescent="0.3">
      <c r="A456" s="49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R456" s="23"/>
      <c r="U456" s="11"/>
    </row>
    <row r="457" spans="1:21" ht="14.25" customHeight="1" x14ac:dyDescent="0.3">
      <c r="A457" s="49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R457" s="23"/>
      <c r="U457" s="11"/>
    </row>
    <row r="458" spans="1:21" ht="14.25" customHeight="1" x14ac:dyDescent="0.3">
      <c r="A458" s="49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R458" s="23"/>
      <c r="U458" s="11"/>
    </row>
    <row r="459" spans="1:21" ht="14.25" customHeight="1" x14ac:dyDescent="0.3">
      <c r="A459" s="49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R459" s="23"/>
      <c r="U459" s="11"/>
    </row>
    <row r="460" spans="1:21" ht="14.25" customHeight="1" x14ac:dyDescent="0.3">
      <c r="A460" s="49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R460" s="23"/>
      <c r="U460" s="11"/>
    </row>
    <row r="461" spans="1:21" ht="14.25" customHeight="1" x14ac:dyDescent="0.3">
      <c r="A461" s="49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R461" s="23"/>
      <c r="U461" s="11"/>
    </row>
    <row r="462" spans="1:21" ht="14.25" customHeight="1" x14ac:dyDescent="0.3">
      <c r="A462" s="49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R462" s="23"/>
      <c r="U462" s="11"/>
    </row>
    <row r="463" spans="1:21" ht="14.25" customHeight="1" x14ac:dyDescent="0.3">
      <c r="A463" s="49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R463" s="23"/>
      <c r="U463" s="11"/>
    </row>
    <row r="464" spans="1:21" ht="14.25" customHeight="1" x14ac:dyDescent="0.3">
      <c r="A464" s="49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R464" s="23"/>
      <c r="U464" s="11"/>
    </row>
    <row r="465" spans="1:21" ht="14.25" customHeight="1" x14ac:dyDescent="0.3">
      <c r="A465" s="49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R465" s="23"/>
      <c r="U465" s="11"/>
    </row>
    <row r="466" spans="1:21" ht="14.25" customHeight="1" x14ac:dyDescent="0.3">
      <c r="A466" s="49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R466" s="23"/>
      <c r="U466" s="11"/>
    </row>
    <row r="467" spans="1:21" ht="14.25" customHeight="1" x14ac:dyDescent="0.3">
      <c r="A467" s="49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R467" s="23"/>
      <c r="U467" s="11"/>
    </row>
    <row r="468" spans="1:21" ht="14.25" customHeight="1" x14ac:dyDescent="0.3">
      <c r="A468" s="49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R468" s="23"/>
      <c r="U468" s="11"/>
    </row>
    <row r="469" spans="1:21" ht="14.25" customHeight="1" x14ac:dyDescent="0.3">
      <c r="A469" s="49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R469" s="23"/>
      <c r="U469" s="11"/>
    </row>
    <row r="470" spans="1:21" ht="14.25" customHeight="1" x14ac:dyDescent="0.3">
      <c r="A470" s="49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R470" s="23"/>
      <c r="U470" s="11"/>
    </row>
    <row r="471" spans="1:21" ht="14.25" customHeight="1" x14ac:dyDescent="0.3">
      <c r="A471" s="49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R471" s="23"/>
      <c r="U471" s="11"/>
    </row>
    <row r="472" spans="1:21" ht="14.25" customHeight="1" x14ac:dyDescent="0.3">
      <c r="A472" s="49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R472" s="23"/>
      <c r="U472" s="11"/>
    </row>
    <row r="473" spans="1:21" ht="14.25" customHeight="1" x14ac:dyDescent="0.3">
      <c r="A473" s="49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R473" s="23"/>
      <c r="U473" s="11"/>
    </row>
    <row r="474" spans="1:21" ht="14.25" customHeight="1" x14ac:dyDescent="0.3">
      <c r="A474" s="49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R474" s="23"/>
      <c r="U474" s="11"/>
    </row>
    <row r="475" spans="1:21" ht="14.25" customHeight="1" x14ac:dyDescent="0.3">
      <c r="A475" s="49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R475" s="23"/>
      <c r="U475" s="11"/>
    </row>
    <row r="476" spans="1:21" ht="14.25" customHeight="1" x14ac:dyDescent="0.3">
      <c r="A476" s="49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R476" s="23"/>
      <c r="U476" s="11"/>
    </row>
    <row r="477" spans="1:21" ht="14.25" customHeight="1" x14ac:dyDescent="0.3">
      <c r="A477" s="49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R477" s="23"/>
      <c r="U477" s="11"/>
    </row>
    <row r="478" spans="1:21" ht="14.25" customHeight="1" x14ac:dyDescent="0.3">
      <c r="A478" s="49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R478" s="23"/>
      <c r="U478" s="11"/>
    </row>
    <row r="479" spans="1:21" ht="14.25" customHeight="1" x14ac:dyDescent="0.3">
      <c r="A479" s="49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R479" s="23"/>
      <c r="U479" s="11"/>
    </row>
    <row r="480" spans="1:21" ht="14.25" customHeight="1" x14ac:dyDescent="0.3">
      <c r="A480" s="49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R480" s="23"/>
      <c r="U480" s="11"/>
    </row>
    <row r="481" spans="1:21" ht="14.25" customHeight="1" x14ac:dyDescent="0.3">
      <c r="A481" s="49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R481" s="23"/>
      <c r="U481" s="11"/>
    </row>
    <row r="482" spans="1:21" ht="14.25" customHeight="1" x14ac:dyDescent="0.3">
      <c r="A482" s="49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R482" s="23"/>
      <c r="U482" s="11"/>
    </row>
    <row r="483" spans="1:21" ht="14.25" customHeight="1" x14ac:dyDescent="0.3">
      <c r="A483" s="49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R483" s="23"/>
      <c r="U483" s="11"/>
    </row>
    <row r="484" spans="1:21" ht="14.25" customHeight="1" x14ac:dyDescent="0.3">
      <c r="A484" s="49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R484" s="23"/>
      <c r="U484" s="11"/>
    </row>
    <row r="485" spans="1:21" ht="14.25" customHeight="1" x14ac:dyDescent="0.3">
      <c r="A485" s="49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R485" s="23"/>
      <c r="U485" s="11"/>
    </row>
    <row r="486" spans="1:21" ht="14.25" customHeight="1" x14ac:dyDescent="0.3">
      <c r="A486" s="49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R486" s="23"/>
      <c r="U486" s="11"/>
    </row>
    <row r="487" spans="1:21" ht="14.25" customHeight="1" x14ac:dyDescent="0.3">
      <c r="A487" s="49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R487" s="23"/>
      <c r="U487" s="11"/>
    </row>
    <row r="488" spans="1:21" ht="14.25" customHeight="1" x14ac:dyDescent="0.3">
      <c r="A488" s="49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R488" s="23"/>
      <c r="U488" s="11"/>
    </row>
    <row r="489" spans="1:21" ht="14.25" customHeight="1" x14ac:dyDescent="0.3">
      <c r="A489" s="49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R489" s="23"/>
      <c r="U489" s="11"/>
    </row>
    <row r="490" spans="1:21" ht="14.25" customHeight="1" x14ac:dyDescent="0.3">
      <c r="A490" s="49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R490" s="23"/>
      <c r="U490" s="11"/>
    </row>
    <row r="491" spans="1:21" ht="14.25" customHeight="1" x14ac:dyDescent="0.3">
      <c r="A491" s="49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R491" s="23"/>
      <c r="U491" s="11"/>
    </row>
    <row r="492" spans="1:21" ht="14.25" customHeight="1" x14ac:dyDescent="0.3">
      <c r="A492" s="49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R492" s="23"/>
      <c r="U492" s="11"/>
    </row>
    <row r="493" spans="1:21" ht="14.25" customHeight="1" x14ac:dyDescent="0.3">
      <c r="A493" s="49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R493" s="23"/>
      <c r="U493" s="11"/>
    </row>
    <row r="494" spans="1:21" ht="14.25" customHeight="1" x14ac:dyDescent="0.3">
      <c r="A494" s="49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R494" s="23"/>
      <c r="U494" s="11"/>
    </row>
    <row r="495" spans="1:21" ht="14.25" customHeight="1" x14ac:dyDescent="0.3">
      <c r="A495" s="49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R495" s="23"/>
      <c r="U495" s="11"/>
    </row>
    <row r="496" spans="1:21" ht="14.25" customHeight="1" x14ac:dyDescent="0.3">
      <c r="A496" s="49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R496" s="23"/>
      <c r="U496" s="11"/>
    </row>
    <row r="497" spans="1:21" ht="14.25" customHeight="1" x14ac:dyDescent="0.3">
      <c r="A497" s="49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R497" s="23"/>
      <c r="U497" s="11"/>
    </row>
    <row r="498" spans="1:21" ht="14.25" customHeight="1" x14ac:dyDescent="0.3">
      <c r="A498" s="49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R498" s="23"/>
      <c r="U498" s="11"/>
    </row>
    <row r="499" spans="1:21" ht="14.25" customHeight="1" x14ac:dyDescent="0.3">
      <c r="A499" s="49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R499" s="23"/>
      <c r="U499" s="11"/>
    </row>
    <row r="500" spans="1:21" ht="14.25" customHeight="1" x14ac:dyDescent="0.3">
      <c r="A500" s="49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R500" s="23"/>
      <c r="U500" s="11"/>
    </row>
    <row r="501" spans="1:21" ht="14.25" customHeight="1" x14ac:dyDescent="0.3">
      <c r="A501" s="49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R501" s="23"/>
      <c r="U501" s="11"/>
    </row>
    <row r="502" spans="1:21" ht="14.25" customHeight="1" x14ac:dyDescent="0.3">
      <c r="A502" s="49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R502" s="23"/>
      <c r="U502" s="11"/>
    </row>
    <row r="503" spans="1:21" ht="14.25" customHeight="1" x14ac:dyDescent="0.3">
      <c r="A503" s="49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R503" s="23"/>
      <c r="U503" s="11"/>
    </row>
    <row r="504" spans="1:21" ht="14.25" customHeight="1" x14ac:dyDescent="0.3">
      <c r="A504" s="49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R504" s="23"/>
      <c r="U504" s="11"/>
    </row>
    <row r="505" spans="1:21" ht="14.25" customHeight="1" x14ac:dyDescent="0.3">
      <c r="A505" s="49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R505" s="23"/>
      <c r="U505" s="11"/>
    </row>
    <row r="506" spans="1:21" ht="14.25" customHeight="1" x14ac:dyDescent="0.3">
      <c r="A506" s="49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R506" s="23"/>
      <c r="U506" s="11"/>
    </row>
    <row r="507" spans="1:21" ht="14.25" customHeight="1" x14ac:dyDescent="0.3">
      <c r="A507" s="49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R507" s="23"/>
      <c r="U507" s="11"/>
    </row>
    <row r="508" spans="1:21" ht="14.25" customHeight="1" x14ac:dyDescent="0.3">
      <c r="A508" s="49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R508" s="23"/>
      <c r="U508" s="11"/>
    </row>
    <row r="509" spans="1:21" ht="14.25" customHeight="1" x14ac:dyDescent="0.3">
      <c r="A509" s="49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R509" s="23"/>
      <c r="U509" s="11"/>
    </row>
    <row r="510" spans="1:21" ht="14.25" customHeight="1" x14ac:dyDescent="0.3">
      <c r="A510" s="49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R510" s="23"/>
      <c r="U510" s="11"/>
    </row>
    <row r="511" spans="1:21" ht="14.25" customHeight="1" x14ac:dyDescent="0.3">
      <c r="A511" s="49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R511" s="23"/>
      <c r="U511" s="11"/>
    </row>
    <row r="512" spans="1:21" ht="14.25" customHeight="1" x14ac:dyDescent="0.3">
      <c r="A512" s="49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R512" s="23"/>
      <c r="U512" s="11"/>
    </row>
    <row r="513" spans="1:21" ht="14.25" customHeight="1" x14ac:dyDescent="0.3">
      <c r="A513" s="49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R513" s="23"/>
      <c r="U513" s="11"/>
    </row>
    <row r="514" spans="1:21" ht="14.25" customHeight="1" x14ac:dyDescent="0.3">
      <c r="A514" s="49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R514" s="23"/>
      <c r="U514" s="11"/>
    </row>
    <row r="515" spans="1:21" ht="14.25" customHeight="1" x14ac:dyDescent="0.3">
      <c r="A515" s="49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R515" s="23"/>
      <c r="U515" s="11"/>
    </row>
    <row r="516" spans="1:21" ht="14.25" customHeight="1" x14ac:dyDescent="0.3">
      <c r="A516" s="49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R516" s="23"/>
      <c r="U516" s="11"/>
    </row>
    <row r="517" spans="1:21" ht="14.25" customHeight="1" x14ac:dyDescent="0.3">
      <c r="A517" s="49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R517" s="23"/>
      <c r="U517" s="11"/>
    </row>
    <row r="518" spans="1:21" ht="14.25" customHeight="1" x14ac:dyDescent="0.3">
      <c r="A518" s="49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R518" s="23"/>
      <c r="U518" s="11"/>
    </row>
    <row r="519" spans="1:21" ht="14.25" customHeight="1" x14ac:dyDescent="0.3">
      <c r="A519" s="49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R519" s="23"/>
      <c r="U519" s="11"/>
    </row>
    <row r="520" spans="1:21" ht="14.25" customHeight="1" x14ac:dyDescent="0.3">
      <c r="A520" s="49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R520" s="23"/>
      <c r="U520" s="11"/>
    </row>
    <row r="521" spans="1:21" ht="14.25" customHeight="1" x14ac:dyDescent="0.3">
      <c r="A521" s="49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R521" s="23"/>
      <c r="U521" s="11"/>
    </row>
    <row r="522" spans="1:21" ht="14.25" customHeight="1" x14ac:dyDescent="0.3">
      <c r="A522" s="49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R522" s="23"/>
      <c r="U522" s="11"/>
    </row>
    <row r="523" spans="1:21" ht="14.25" customHeight="1" x14ac:dyDescent="0.3">
      <c r="A523" s="49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R523" s="23"/>
      <c r="U523" s="11"/>
    </row>
    <row r="524" spans="1:21" ht="14.25" customHeight="1" x14ac:dyDescent="0.3">
      <c r="A524" s="49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R524" s="23"/>
      <c r="U524" s="11"/>
    </row>
    <row r="525" spans="1:21" ht="14.25" customHeight="1" x14ac:dyDescent="0.3">
      <c r="A525" s="49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R525" s="23"/>
      <c r="U525" s="11"/>
    </row>
    <row r="526" spans="1:21" ht="14.25" customHeight="1" x14ac:dyDescent="0.3">
      <c r="A526" s="49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R526" s="23"/>
      <c r="U526" s="11"/>
    </row>
    <row r="527" spans="1:21" ht="14.25" customHeight="1" x14ac:dyDescent="0.3">
      <c r="A527" s="49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R527" s="23"/>
      <c r="U527" s="11"/>
    </row>
    <row r="528" spans="1:21" ht="14.25" customHeight="1" x14ac:dyDescent="0.3">
      <c r="A528" s="49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R528" s="23"/>
      <c r="U528" s="11"/>
    </row>
    <row r="529" spans="1:21" ht="14.25" customHeight="1" x14ac:dyDescent="0.3">
      <c r="A529" s="49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R529" s="23"/>
      <c r="U529" s="11"/>
    </row>
    <row r="530" spans="1:21" ht="14.25" customHeight="1" x14ac:dyDescent="0.3">
      <c r="A530" s="49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R530" s="23"/>
      <c r="U530" s="11"/>
    </row>
    <row r="531" spans="1:21" ht="14.25" customHeight="1" x14ac:dyDescent="0.3">
      <c r="A531" s="49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R531" s="23"/>
      <c r="U531" s="11"/>
    </row>
    <row r="532" spans="1:21" ht="14.25" customHeight="1" x14ac:dyDescent="0.3">
      <c r="A532" s="49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R532" s="23"/>
      <c r="U532" s="11"/>
    </row>
    <row r="533" spans="1:21" ht="14.25" customHeight="1" x14ac:dyDescent="0.3">
      <c r="A533" s="49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R533" s="23"/>
      <c r="U533" s="11"/>
    </row>
    <row r="534" spans="1:21" ht="14.25" customHeight="1" x14ac:dyDescent="0.3">
      <c r="A534" s="49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R534" s="23"/>
      <c r="U534" s="11"/>
    </row>
    <row r="535" spans="1:21" ht="14.25" customHeight="1" x14ac:dyDescent="0.3">
      <c r="A535" s="49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R535" s="23"/>
      <c r="U535" s="11"/>
    </row>
    <row r="536" spans="1:21" ht="14.25" customHeight="1" x14ac:dyDescent="0.3">
      <c r="A536" s="49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R536" s="23"/>
      <c r="U536" s="11"/>
    </row>
    <row r="537" spans="1:21" ht="14.25" customHeight="1" x14ac:dyDescent="0.3">
      <c r="A537" s="49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R537" s="23"/>
      <c r="U537" s="11"/>
    </row>
    <row r="538" spans="1:21" ht="14.25" customHeight="1" x14ac:dyDescent="0.3">
      <c r="A538" s="49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R538" s="23"/>
      <c r="U538" s="11"/>
    </row>
    <row r="539" spans="1:21" ht="14.25" customHeight="1" x14ac:dyDescent="0.3">
      <c r="A539" s="49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R539" s="23"/>
      <c r="U539" s="11"/>
    </row>
    <row r="540" spans="1:21" ht="14.25" customHeight="1" x14ac:dyDescent="0.3">
      <c r="A540" s="49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R540" s="23"/>
      <c r="U540" s="11"/>
    </row>
    <row r="541" spans="1:21" ht="14.25" customHeight="1" x14ac:dyDescent="0.3">
      <c r="A541" s="49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R541" s="23"/>
      <c r="U541" s="11"/>
    </row>
    <row r="542" spans="1:21" ht="14.25" customHeight="1" x14ac:dyDescent="0.3">
      <c r="A542" s="49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R542" s="23"/>
      <c r="U542" s="11"/>
    </row>
    <row r="543" spans="1:21" ht="14.25" customHeight="1" x14ac:dyDescent="0.3">
      <c r="A543" s="49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R543" s="23"/>
      <c r="U543" s="11"/>
    </row>
    <row r="544" spans="1:21" ht="14.25" customHeight="1" x14ac:dyDescent="0.3">
      <c r="A544" s="49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R544" s="23"/>
      <c r="U544" s="11"/>
    </row>
    <row r="545" spans="1:21" ht="14.25" customHeight="1" x14ac:dyDescent="0.3">
      <c r="A545" s="49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R545" s="23"/>
      <c r="U545" s="11"/>
    </row>
    <row r="546" spans="1:21" ht="14.25" customHeight="1" x14ac:dyDescent="0.3">
      <c r="A546" s="49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R546" s="23"/>
      <c r="U546" s="11"/>
    </row>
    <row r="547" spans="1:21" ht="14.25" customHeight="1" x14ac:dyDescent="0.3">
      <c r="A547" s="49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R547" s="23"/>
      <c r="U547" s="11"/>
    </row>
    <row r="548" spans="1:21" ht="14.25" customHeight="1" x14ac:dyDescent="0.3">
      <c r="A548" s="49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R548" s="23"/>
      <c r="U548" s="11"/>
    </row>
    <row r="549" spans="1:21" ht="14.25" customHeight="1" x14ac:dyDescent="0.3">
      <c r="A549" s="49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R549" s="23"/>
      <c r="U549" s="11"/>
    </row>
    <row r="550" spans="1:21" ht="14.25" customHeight="1" x14ac:dyDescent="0.3">
      <c r="A550" s="49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R550" s="23"/>
      <c r="U550" s="11"/>
    </row>
    <row r="551" spans="1:21" ht="14.25" customHeight="1" x14ac:dyDescent="0.3">
      <c r="A551" s="49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R551" s="23"/>
      <c r="U551" s="11"/>
    </row>
    <row r="552" spans="1:21" ht="14.25" customHeight="1" x14ac:dyDescent="0.3">
      <c r="A552" s="49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R552" s="23"/>
      <c r="U552" s="11"/>
    </row>
    <row r="553" spans="1:21" ht="14.25" customHeight="1" x14ac:dyDescent="0.3">
      <c r="A553" s="49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R553" s="23"/>
      <c r="U553" s="11"/>
    </row>
    <row r="554" spans="1:21" ht="14.25" customHeight="1" x14ac:dyDescent="0.3">
      <c r="A554" s="49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R554" s="23"/>
      <c r="U554" s="11"/>
    </row>
    <row r="555" spans="1:21" ht="14.25" customHeight="1" x14ac:dyDescent="0.3">
      <c r="A555" s="49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R555" s="23"/>
      <c r="U555" s="11"/>
    </row>
    <row r="556" spans="1:21" ht="14.25" customHeight="1" x14ac:dyDescent="0.3">
      <c r="A556" s="49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R556" s="23"/>
      <c r="U556" s="11"/>
    </row>
    <row r="557" spans="1:21" ht="14.25" customHeight="1" x14ac:dyDescent="0.3">
      <c r="A557" s="49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R557" s="23"/>
      <c r="U557" s="11"/>
    </row>
    <row r="558" spans="1:21" ht="14.25" customHeight="1" x14ac:dyDescent="0.3">
      <c r="A558" s="49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R558" s="23"/>
      <c r="U558" s="11"/>
    </row>
    <row r="559" spans="1:21" ht="14.25" customHeight="1" x14ac:dyDescent="0.3">
      <c r="A559" s="49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R559" s="23"/>
      <c r="U559" s="11"/>
    </row>
    <row r="560" spans="1:21" ht="14.25" customHeight="1" x14ac:dyDescent="0.3">
      <c r="A560" s="49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R560" s="23"/>
      <c r="U560" s="11"/>
    </row>
    <row r="561" spans="1:21" ht="14.25" customHeight="1" x14ac:dyDescent="0.3">
      <c r="A561" s="49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R561" s="23"/>
      <c r="U561" s="11"/>
    </row>
    <row r="562" spans="1:21" ht="14.25" customHeight="1" x14ac:dyDescent="0.3">
      <c r="A562" s="49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R562" s="23"/>
      <c r="U562" s="11"/>
    </row>
    <row r="563" spans="1:21" ht="14.25" customHeight="1" x14ac:dyDescent="0.3">
      <c r="A563" s="49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R563" s="23"/>
      <c r="U563" s="11"/>
    </row>
    <row r="564" spans="1:21" ht="14.25" customHeight="1" x14ac:dyDescent="0.3">
      <c r="A564" s="49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R564" s="23"/>
      <c r="U564" s="11"/>
    </row>
    <row r="565" spans="1:21" ht="14.25" customHeight="1" x14ac:dyDescent="0.3">
      <c r="A565" s="49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R565" s="23"/>
      <c r="U565" s="11"/>
    </row>
    <row r="566" spans="1:21" ht="14.25" customHeight="1" x14ac:dyDescent="0.3">
      <c r="A566" s="49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R566" s="23"/>
      <c r="U566" s="11"/>
    </row>
    <row r="567" spans="1:21" ht="14.25" customHeight="1" x14ac:dyDescent="0.3">
      <c r="A567" s="49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R567" s="23"/>
      <c r="U567" s="11"/>
    </row>
    <row r="568" spans="1:21" ht="14.25" customHeight="1" x14ac:dyDescent="0.3">
      <c r="A568" s="49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R568" s="23"/>
      <c r="U568" s="11"/>
    </row>
    <row r="569" spans="1:21" ht="14.25" customHeight="1" x14ac:dyDescent="0.3">
      <c r="A569" s="49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R569" s="23"/>
      <c r="U569" s="11"/>
    </row>
    <row r="570" spans="1:21" ht="14.25" customHeight="1" x14ac:dyDescent="0.3">
      <c r="A570" s="49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R570" s="23"/>
      <c r="U570" s="11"/>
    </row>
    <row r="571" spans="1:21" ht="14.25" customHeight="1" x14ac:dyDescent="0.3">
      <c r="A571" s="49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R571" s="23"/>
      <c r="U571" s="11"/>
    </row>
    <row r="572" spans="1:21" ht="14.25" customHeight="1" x14ac:dyDescent="0.3">
      <c r="A572" s="49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R572" s="23"/>
      <c r="U572" s="11"/>
    </row>
    <row r="573" spans="1:21" ht="14.25" customHeight="1" x14ac:dyDescent="0.3">
      <c r="A573" s="49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R573" s="23"/>
      <c r="U573" s="11"/>
    </row>
    <row r="574" spans="1:21" ht="14.25" customHeight="1" x14ac:dyDescent="0.3">
      <c r="A574" s="49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R574" s="23"/>
      <c r="U574" s="11"/>
    </row>
    <row r="575" spans="1:21" ht="14.25" customHeight="1" x14ac:dyDescent="0.3">
      <c r="A575" s="49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R575" s="23"/>
      <c r="U575" s="11"/>
    </row>
    <row r="576" spans="1:21" ht="14.25" customHeight="1" x14ac:dyDescent="0.3">
      <c r="A576" s="49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R576" s="23"/>
      <c r="U576" s="11"/>
    </row>
    <row r="577" spans="1:21" ht="14.25" customHeight="1" x14ac:dyDescent="0.3">
      <c r="A577" s="49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R577" s="23"/>
      <c r="U577" s="11"/>
    </row>
    <row r="578" spans="1:21" ht="14.25" customHeight="1" x14ac:dyDescent="0.3">
      <c r="A578" s="49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R578" s="23"/>
      <c r="U578" s="11"/>
    </row>
    <row r="579" spans="1:21" ht="14.25" customHeight="1" x14ac:dyDescent="0.3">
      <c r="A579" s="49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R579" s="23"/>
      <c r="U579" s="11"/>
    </row>
    <row r="580" spans="1:21" ht="14.25" customHeight="1" x14ac:dyDescent="0.3">
      <c r="A580" s="49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R580" s="23"/>
      <c r="U580" s="11"/>
    </row>
    <row r="581" spans="1:21" ht="14.25" customHeight="1" x14ac:dyDescent="0.3">
      <c r="A581" s="49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R581" s="23"/>
      <c r="U581" s="11"/>
    </row>
    <row r="582" spans="1:21" ht="14.25" customHeight="1" x14ac:dyDescent="0.3">
      <c r="A582" s="49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R582" s="23"/>
      <c r="U582" s="11"/>
    </row>
    <row r="583" spans="1:21" ht="14.25" customHeight="1" x14ac:dyDescent="0.3">
      <c r="A583" s="49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R583" s="23"/>
      <c r="U583" s="11"/>
    </row>
    <row r="584" spans="1:21" ht="14.25" customHeight="1" x14ac:dyDescent="0.3">
      <c r="A584" s="49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R584" s="23"/>
      <c r="U584" s="11"/>
    </row>
    <row r="585" spans="1:21" ht="14.25" customHeight="1" x14ac:dyDescent="0.3">
      <c r="A585" s="49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R585" s="23"/>
      <c r="U585" s="11"/>
    </row>
    <row r="586" spans="1:21" ht="14.25" customHeight="1" x14ac:dyDescent="0.3">
      <c r="A586" s="49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R586" s="23"/>
      <c r="U586" s="11"/>
    </row>
    <row r="587" spans="1:21" ht="14.25" customHeight="1" x14ac:dyDescent="0.3">
      <c r="A587" s="49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R587" s="23"/>
      <c r="U587" s="11"/>
    </row>
    <row r="588" spans="1:21" ht="14.25" customHeight="1" x14ac:dyDescent="0.3">
      <c r="A588" s="49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R588" s="23"/>
      <c r="U588" s="11"/>
    </row>
    <row r="589" spans="1:21" ht="14.25" customHeight="1" x14ac:dyDescent="0.3">
      <c r="A589" s="49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R589" s="23"/>
      <c r="U589" s="11"/>
    </row>
    <row r="590" spans="1:21" ht="14.25" customHeight="1" x14ac:dyDescent="0.3">
      <c r="A590" s="49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R590" s="23"/>
      <c r="U590" s="11"/>
    </row>
    <row r="591" spans="1:21" ht="14.25" customHeight="1" x14ac:dyDescent="0.3">
      <c r="A591" s="49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R591" s="23"/>
      <c r="U591" s="11"/>
    </row>
    <row r="592" spans="1:21" ht="14.25" customHeight="1" x14ac:dyDescent="0.3">
      <c r="A592" s="49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R592" s="23"/>
      <c r="U592" s="11"/>
    </row>
    <row r="593" spans="1:21" ht="14.25" customHeight="1" x14ac:dyDescent="0.3">
      <c r="A593" s="49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R593" s="23"/>
      <c r="U593" s="11"/>
    </row>
    <row r="594" spans="1:21" ht="14.25" customHeight="1" x14ac:dyDescent="0.3">
      <c r="A594" s="49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R594" s="23"/>
      <c r="U594" s="11"/>
    </row>
    <row r="595" spans="1:21" ht="14.25" customHeight="1" x14ac:dyDescent="0.3">
      <c r="A595" s="49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R595" s="23"/>
      <c r="U595" s="11"/>
    </row>
    <row r="596" spans="1:21" ht="14.25" customHeight="1" x14ac:dyDescent="0.3">
      <c r="A596" s="49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R596" s="23"/>
      <c r="U596" s="11"/>
    </row>
    <row r="597" spans="1:21" ht="14.25" customHeight="1" x14ac:dyDescent="0.3">
      <c r="A597" s="49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R597" s="23"/>
      <c r="U597" s="11"/>
    </row>
    <row r="598" spans="1:21" ht="14.25" customHeight="1" x14ac:dyDescent="0.3">
      <c r="A598" s="49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R598" s="23"/>
      <c r="U598" s="11"/>
    </row>
    <row r="599" spans="1:21" ht="14.25" customHeight="1" x14ac:dyDescent="0.3">
      <c r="A599" s="49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R599" s="23"/>
      <c r="U599" s="11"/>
    </row>
    <row r="600" spans="1:21" ht="14.25" customHeight="1" x14ac:dyDescent="0.3">
      <c r="A600" s="49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R600" s="23"/>
      <c r="U600" s="11"/>
    </row>
    <row r="601" spans="1:21" ht="14.25" customHeight="1" x14ac:dyDescent="0.3">
      <c r="A601" s="49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R601" s="23"/>
      <c r="U601" s="11"/>
    </row>
    <row r="602" spans="1:21" ht="14.25" customHeight="1" x14ac:dyDescent="0.3">
      <c r="A602" s="49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R602" s="23"/>
      <c r="U602" s="11"/>
    </row>
    <row r="603" spans="1:21" ht="14.25" customHeight="1" x14ac:dyDescent="0.3">
      <c r="A603" s="49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R603" s="23"/>
      <c r="U603" s="11"/>
    </row>
    <row r="604" spans="1:21" ht="14.25" customHeight="1" x14ac:dyDescent="0.3">
      <c r="A604" s="49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R604" s="23"/>
      <c r="U604" s="11"/>
    </row>
    <row r="605" spans="1:21" ht="14.25" customHeight="1" x14ac:dyDescent="0.3">
      <c r="A605" s="49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R605" s="23"/>
      <c r="U605" s="11"/>
    </row>
    <row r="606" spans="1:21" ht="14.25" customHeight="1" x14ac:dyDescent="0.3">
      <c r="A606" s="49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R606" s="23"/>
      <c r="U606" s="11"/>
    </row>
    <row r="607" spans="1:21" ht="14.25" customHeight="1" x14ac:dyDescent="0.3">
      <c r="A607" s="49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R607" s="23"/>
      <c r="U607" s="11"/>
    </row>
    <row r="608" spans="1:21" ht="14.25" customHeight="1" x14ac:dyDescent="0.3">
      <c r="A608" s="49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R608" s="23"/>
      <c r="U608" s="11"/>
    </row>
    <row r="609" spans="1:21" ht="14.25" customHeight="1" x14ac:dyDescent="0.3">
      <c r="A609" s="49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R609" s="23"/>
      <c r="U609" s="11"/>
    </row>
    <row r="610" spans="1:21" ht="14.25" customHeight="1" x14ac:dyDescent="0.3">
      <c r="A610" s="49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R610" s="23"/>
      <c r="U610" s="11"/>
    </row>
    <row r="611" spans="1:21" ht="14.25" customHeight="1" x14ac:dyDescent="0.3">
      <c r="A611" s="49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R611" s="23"/>
      <c r="U611" s="11"/>
    </row>
    <row r="612" spans="1:21" ht="14.25" customHeight="1" x14ac:dyDescent="0.3">
      <c r="A612" s="49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R612" s="23"/>
      <c r="U612" s="11"/>
    </row>
    <row r="613" spans="1:21" ht="14.25" customHeight="1" x14ac:dyDescent="0.3">
      <c r="A613" s="49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R613" s="23"/>
      <c r="U613" s="11"/>
    </row>
    <row r="614" spans="1:21" ht="14.25" customHeight="1" x14ac:dyDescent="0.3">
      <c r="A614" s="49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R614" s="23"/>
      <c r="U614" s="11"/>
    </row>
    <row r="615" spans="1:21" ht="14.25" customHeight="1" x14ac:dyDescent="0.3">
      <c r="A615" s="49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R615" s="23"/>
      <c r="U615" s="11"/>
    </row>
    <row r="616" spans="1:21" ht="14.25" customHeight="1" x14ac:dyDescent="0.3">
      <c r="A616" s="49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R616" s="23"/>
      <c r="U616" s="11"/>
    </row>
    <row r="617" spans="1:21" ht="14.25" customHeight="1" x14ac:dyDescent="0.3">
      <c r="A617" s="49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R617" s="23"/>
      <c r="U617" s="11"/>
    </row>
    <row r="618" spans="1:21" ht="14.25" customHeight="1" x14ac:dyDescent="0.3">
      <c r="A618" s="49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R618" s="23"/>
      <c r="U618" s="11"/>
    </row>
    <row r="619" spans="1:21" ht="14.25" customHeight="1" x14ac:dyDescent="0.3">
      <c r="A619" s="49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R619" s="23"/>
      <c r="U619" s="11"/>
    </row>
    <row r="620" spans="1:21" ht="14.25" customHeight="1" x14ac:dyDescent="0.3">
      <c r="A620" s="49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R620" s="23"/>
      <c r="U620" s="11"/>
    </row>
    <row r="621" spans="1:21" ht="14.25" customHeight="1" x14ac:dyDescent="0.3">
      <c r="A621" s="49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R621" s="23"/>
      <c r="U621" s="11"/>
    </row>
    <row r="622" spans="1:21" ht="14.25" customHeight="1" x14ac:dyDescent="0.3">
      <c r="A622" s="49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R622" s="23"/>
      <c r="U622" s="11"/>
    </row>
    <row r="623" spans="1:21" ht="14.25" customHeight="1" x14ac:dyDescent="0.3">
      <c r="A623" s="49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R623" s="23"/>
      <c r="U623" s="11"/>
    </row>
    <row r="624" spans="1:21" ht="14.25" customHeight="1" x14ac:dyDescent="0.3">
      <c r="A624" s="49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R624" s="23"/>
      <c r="U624" s="11"/>
    </row>
    <row r="625" spans="1:21" ht="14.25" customHeight="1" x14ac:dyDescent="0.3">
      <c r="A625" s="49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R625" s="23"/>
      <c r="U625" s="11"/>
    </row>
    <row r="626" spans="1:21" ht="14.25" customHeight="1" x14ac:dyDescent="0.3">
      <c r="A626" s="49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R626" s="23"/>
      <c r="U626" s="11"/>
    </row>
    <row r="627" spans="1:21" ht="14.25" customHeight="1" x14ac:dyDescent="0.3">
      <c r="A627" s="49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R627" s="23"/>
      <c r="U627" s="11"/>
    </row>
    <row r="628" spans="1:21" ht="14.25" customHeight="1" x14ac:dyDescent="0.3">
      <c r="A628" s="49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R628" s="23"/>
      <c r="U628" s="11"/>
    </row>
    <row r="629" spans="1:21" ht="14.25" customHeight="1" x14ac:dyDescent="0.3">
      <c r="A629" s="49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R629" s="23"/>
      <c r="U629" s="11"/>
    </row>
    <row r="630" spans="1:21" ht="14.25" customHeight="1" x14ac:dyDescent="0.3">
      <c r="A630" s="49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R630" s="23"/>
      <c r="U630" s="11"/>
    </row>
    <row r="631" spans="1:21" ht="14.25" customHeight="1" x14ac:dyDescent="0.3">
      <c r="A631" s="49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R631" s="23"/>
      <c r="U631" s="11"/>
    </row>
    <row r="632" spans="1:21" ht="14.25" customHeight="1" x14ac:dyDescent="0.3">
      <c r="A632" s="49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R632" s="23"/>
      <c r="U632" s="11"/>
    </row>
    <row r="633" spans="1:21" ht="14.25" customHeight="1" x14ac:dyDescent="0.3">
      <c r="A633" s="49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R633" s="23"/>
      <c r="U633" s="11"/>
    </row>
    <row r="634" spans="1:21" ht="14.25" customHeight="1" x14ac:dyDescent="0.3">
      <c r="A634" s="49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R634" s="23"/>
      <c r="U634" s="11"/>
    </row>
    <row r="635" spans="1:21" ht="14.25" customHeight="1" x14ac:dyDescent="0.3">
      <c r="A635" s="49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R635" s="23"/>
      <c r="U635" s="11"/>
    </row>
    <row r="636" spans="1:21" ht="14.25" customHeight="1" x14ac:dyDescent="0.3">
      <c r="A636" s="49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R636" s="23"/>
      <c r="U636" s="11"/>
    </row>
    <row r="637" spans="1:21" ht="14.25" customHeight="1" x14ac:dyDescent="0.3">
      <c r="A637" s="49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R637" s="23"/>
      <c r="U637" s="11"/>
    </row>
    <row r="638" spans="1:21" ht="14.25" customHeight="1" x14ac:dyDescent="0.3">
      <c r="A638" s="49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R638" s="23"/>
      <c r="U638" s="11"/>
    </row>
    <row r="639" spans="1:21" ht="14.25" customHeight="1" x14ac:dyDescent="0.3">
      <c r="A639" s="49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R639" s="23"/>
      <c r="U639" s="11"/>
    </row>
    <row r="640" spans="1:21" ht="14.25" customHeight="1" x14ac:dyDescent="0.3">
      <c r="A640" s="49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R640" s="23"/>
      <c r="U640" s="11"/>
    </row>
    <row r="641" spans="1:21" ht="14.25" customHeight="1" x14ac:dyDescent="0.3">
      <c r="A641" s="49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R641" s="23"/>
      <c r="U641" s="11"/>
    </row>
    <row r="642" spans="1:21" ht="14.25" customHeight="1" x14ac:dyDescent="0.3">
      <c r="A642" s="49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R642" s="23"/>
      <c r="U642" s="11"/>
    </row>
    <row r="643" spans="1:21" ht="14.25" customHeight="1" x14ac:dyDescent="0.3">
      <c r="A643" s="49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R643" s="23"/>
      <c r="U643" s="11"/>
    </row>
    <row r="644" spans="1:21" ht="14.25" customHeight="1" x14ac:dyDescent="0.3">
      <c r="A644" s="49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R644" s="23"/>
      <c r="U644" s="11"/>
    </row>
    <row r="645" spans="1:21" ht="14.25" customHeight="1" x14ac:dyDescent="0.3">
      <c r="A645" s="49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R645" s="23"/>
      <c r="U645" s="11"/>
    </row>
    <row r="646" spans="1:21" ht="14.25" customHeight="1" x14ac:dyDescent="0.3">
      <c r="A646" s="49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R646" s="23"/>
      <c r="U646" s="11"/>
    </row>
    <row r="647" spans="1:21" ht="14.25" customHeight="1" x14ac:dyDescent="0.3">
      <c r="A647" s="49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R647" s="23"/>
      <c r="U647" s="11"/>
    </row>
    <row r="648" spans="1:21" ht="14.25" customHeight="1" x14ac:dyDescent="0.3">
      <c r="A648" s="49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R648" s="23"/>
      <c r="U648" s="11"/>
    </row>
    <row r="649" spans="1:21" ht="14.25" customHeight="1" x14ac:dyDescent="0.3">
      <c r="A649" s="49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R649" s="23"/>
      <c r="U649" s="11"/>
    </row>
    <row r="650" spans="1:21" ht="14.25" customHeight="1" x14ac:dyDescent="0.3">
      <c r="A650" s="49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R650" s="23"/>
      <c r="U650" s="11"/>
    </row>
    <row r="651" spans="1:21" ht="14.25" customHeight="1" x14ac:dyDescent="0.3">
      <c r="A651" s="49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R651" s="23"/>
      <c r="U651" s="11"/>
    </row>
    <row r="652" spans="1:21" ht="14.25" customHeight="1" x14ac:dyDescent="0.3">
      <c r="A652" s="49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R652" s="23"/>
      <c r="U652" s="11"/>
    </row>
    <row r="653" spans="1:21" ht="14.25" customHeight="1" x14ac:dyDescent="0.3">
      <c r="A653" s="49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R653" s="23"/>
      <c r="U653" s="11"/>
    </row>
    <row r="654" spans="1:21" ht="14.25" customHeight="1" x14ac:dyDescent="0.3">
      <c r="A654" s="49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R654" s="23"/>
      <c r="U654" s="11"/>
    </row>
    <row r="655" spans="1:21" ht="14.25" customHeight="1" x14ac:dyDescent="0.3">
      <c r="A655" s="49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R655" s="23"/>
      <c r="U655" s="11"/>
    </row>
    <row r="656" spans="1:21" ht="14.25" customHeight="1" x14ac:dyDescent="0.3">
      <c r="A656" s="49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R656" s="23"/>
      <c r="U656" s="11"/>
    </row>
    <row r="657" spans="1:21" ht="14.25" customHeight="1" x14ac:dyDescent="0.3">
      <c r="A657" s="49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R657" s="23"/>
      <c r="U657" s="11"/>
    </row>
    <row r="658" spans="1:21" ht="14.25" customHeight="1" x14ac:dyDescent="0.3">
      <c r="A658" s="49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R658" s="23"/>
      <c r="U658" s="11"/>
    </row>
    <row r="659" spans="1:21" ht="14.25" customHeight="1" x14ac:dyDescent="0.3">
      <c r="A659" s="49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R659" s="23"/>
      <c r="U659" s="11"/>
    </row>
    <row r="660" spans="1:21" ht="14.25" customHeight="1" x14ac:dyDescent="0.3">
      <c r="A660" s="49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R660" s="23"/>
      <c r="U660" s="11"/>
    </row>
    <row r="661" spans="1:21" ht="14.25" customHeight="1" x14ac:dyDescent="0.3">
      <c r="A661" s="49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R661" s="23"/>
      <c r="U661" s="11"/>
    </row>
    <row r="662" spans="1:21" ht="14.25" customHeight="1" x14ac:dyDescent="0.3">
      <c r="A662" s="49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R662" s="23"/>
      <c r="U662" s="11"/>
    </row>
    <row r="663" spans="1:21" ht="14.25" customHeight="1" x14ac:dyDescent="0.3">
      <c r="A663" s="49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R663" s="23"/>
      <c r="U663" s="11"/>
    </row>
    <row r="664" spans="1:21" ht="14.25" customHeight="1" x14ac:dyDescent="0.3">
      <c r="A664" s="49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R664" s="23"/>
      <c r="U664" s="11"/>
    </row>
    <row r="665" spans="1:21" ht="14.25" customHeight="1" x14ac:dyDescent="0.3">
      <c r="A665" s="49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R665" s="23"/>
      <c r="U665" s="11"/>
    </row>
    <row r="666" spans="1:21" ht="14.25" customHeight="1" x14ac:dyDescent="0.3">
      <c r="A666" s="49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R666" s="23"/>
      <c r="U666" s="11"/>
    </row>
    <row r="667" spans="1:21" ht="14.25" customHeight="1" x14ac:dyDescent="0.3">
      <c r="A667" s="49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R667" s="23"/>
      <c r="U667" s="11"/>
    </row>
    <row r="668" spans="1:21" ht="14.25" customHeight="1" x14ac:dyDescent="0.3">
      <c r="A668" s="49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R668" s="23"/>
      <c r="U668" s="11"/>
    </row>
    <row r="669" spans="1:21" ht="14.25" customHeight="1" x14ac:dyDescent="0.3">
      <c r="A669" s="49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R669" s="23"/>
      <c r="U669" s="11"/>
    </row>
    <row r="670" spans="1:21" ht="14.25" customHeight="1" x14ac:dyDescent="0.3">
      <c r="A670" s="49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R670" s="23"/>
      <c r="U670" s="11"/>
    </row>
    <row r="671" spans="1:21" ht="14.25" customHeight="1" x14ac:dyDescent="0.3">
      <c r="A671" s="49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R671" s="23"/>
      <c r="U671" s="11"/>
    </row>
    <row r="672" spans="1:21" ht="14.25" customHeight="1" x14ac:dyDescent="0.3">
      <c r="A672" s="49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R672" s="23"/>
      <c r="U672" s="11"/>
    </row>
    <row r="673" spans="1:21" ht="14.25" customHeight="1" x14ac:dyDescent="0.3">
      <c r="A673" s="49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R673" s="23"/>
      <c r="U673" s="11"/>
    </row>
    <row r="674" spans="1:21" ht="14.25" customHeight="1" x14ac:dyDescent="0.3">
      <c r="A674" s="49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R674" s="23"/>
      <c r="U674" s="11"/>
    </row>
    <row r="675" spans="1:21" ht="14.25" customHeight="1" x14ac:dyDescent="0.3">
      <c r="A675" s="49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R675" s="23"/>
      <c r="U675" s="11"/>
    </row>
    <row r="676" spans="1:21" ht="14.25" customHeight="1" x14ac:dyDescent="0.3">
      <c r="A676" s="49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R676" s="23"/>
      <c r="U676" s="11"/>
    </row>
    <row r="677" spans="1:21" ht="14.25" customHeight="1" x14ac:dyDescent="0.3">
      <c r="A677" s="49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R677" s="23"/>
      <c r="U677" s="11"/>
    </row>
    <row r="678" spans="1:21" ht="14.25" customHeight="1" x14ac:dyDescent="0.3">
      <c r="A678" s="49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R678" s="23"/>
      <c r="U678" s="11"/>
    </row>
    <row r="679" spans="1:21" ht="14.25" customHeight="1" x14ac:dyDescent="0.3">
      <c r="A679" s="49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R679" s="23"/>
      <c r="U679" s="11"/>
    </row>
    <row r="680" spans="1:21" ht="14.25" customHeight="1" x14ac:dyDescent="0.3">
      <c r="A680" s="49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R680" s="23"/>
      <c r="U680" s="11"/>
    </row>
    <row r="681" spans="1:21" ht="14.25" customHeight="1" x14ac:dyDescent="0.3">
      <c r="A681" s="49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R681" s="23"/>
      <c r="U681" s="11"/>
    </row>
    <row r="682" spans="1:21" ht="14.25" customHeight="1" x14ac:dyDescent="0.3">
      <c r="A682" s="49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R682" s="23"/>
      <c r="U682" s="11"/>
    </row>
    <row r="683" spans="1:21" ht="14.25" customHeight="1" x14ac:dyDescent="0.3">
      <c r="A683" s="49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R683" s="23"/>
      <c r="U683" s="11"/>
    </row>
    <row r="684" spans="1:21" ht="14.25" customHeight="1" x14ac:dyDescent="0.3">
      <c r="A684" s="49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R684" s="23"/>
      <c r="U684" s="11"/>
    </row>
    <row r="685" spans="1:21" ht="14.25" customHeight="1" x14ac:dyDescent="0.3">
      <c r="A685" s="49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R685" s="23"/>
      <c r="U685" s="11"/>
    </row>
    <row r="686" spans="1:21" ht="14.25" customHeight="1" x14ac:dyDescent="0.3">
      <c r="A686" s="49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R686" s="23"/>
      <c r="U686" s="11"/>
    </row>
    <row r="687" spans="1:21" ht="14.25" customHeight="1" x14ac:dyDescent="0.3">
      <c r="A687" s="49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R687" s="23"/>
      <c r="U687" s="11"/>
    </row>
    <row r="688" spans="1:21" ht="14.25" customHeight="1" x14ac:dyDescent="0.3">
      <c r="A688" s="49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R688" s="23"/>
      <c r="U688" s="11"/>
    </row>
    <row r="689" spans="1:21" ht="14.25" customHeight="1" x14ac:dyDescent="0.3">
      <c r="A689" s="49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R689" s="23"/>
      <c r="U689" s="11"/>
    </row>
    <row r="690" spans="1:21" ht="14.25" customHeight="1" x14ac:dyDescent="0.3">
      <c r="A690" s="49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R690" s="23"/>
      <c r="U690" s="11"/>
    </row>
    <row r="691" spans="1:21" ht="14.25" customHeight="1" x14ac:dyDescent="0.3">
      <c r="A691" s="49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R691" s="23"/>
      <c r="U691" s="11"/>
    </row>
    <row r="692" spans="1:21" ht="14.25" customHeight="1" x14ac:dyDescent="0.3">
      <c r="A692" s="49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R692" s="23"/>
      <c r="U692" s="11"/>
    </row>
    <row r="693" spans="1:21" ht="14.25" customHeight="1" x14ac:dyDescent="0.3">
      <c r="A693" s="49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R693" s="23"/>
      <c r="U693" s="11"/>
    </row>
    <row r="694" spans="1:21" ht="14.25" customHeight="1" x14ac:dyDescent="0.3">
      <c r="A694" s="49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R694" s="23"/>
      <c r="U694" s="11"/>
    </row>
    <row r="695" spans="1:21" ht="14.25" customHeight="1" x14ac:dyDescent="0.3">
      <c r="A695" s="49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R695" s="23"/>
      <c r="U695" s="11"/>
    </row>
    <row r="696" spans="1:21" ht="14.25" customHeight="1" x14ac:dyDescent="0.3">
      <c r="A696" s="49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R696" s="23"/>
      <c r="U696" s="11"/>
    </row>
    <row r="697" spans="1:21" ht="14.25" customHeight="1" x14ac:dyDescent="0.3">
      <c r="A697" s="49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R697" s="23"/>
      <c r="U697" s="11"/>
    </row>
    <row r="698" spans="1:21" ht="14.25" customHeight="1" x14ac:dyDescent="0.3">
      <c r="A698" s="49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R698" s="23"/>
      <c r="U698" s="11"/>
    </row>
    <row r="699" spans="1:21" ht="14.25" customHeight="1" x14ac:dyDescent="0.3">
      <c r="A699" s="49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R699" s="23"/>
      <c r="U699" s="11"/>
    </row>
    <row r="700" spans="1:21" ht="14.25" customHeight="1" x14ac:dyDescent="0.3">
      <c r="A700" s="49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R700" s="23"/>
      <c r="U700" s="11"/>
    </row>
    <row r="701" spans="1:21" ht="14.25" customHeight="1" x14ac:dyDescent="0.3">
      <c r="A701" s="49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R701" s="23"/>
      <c r="U701" s="11"/>
    </row>
    <row r="702" spans="1:21" ht="14.25" customHeight="1" x14ac:dyDescent="0.3">
      <c r="A702" s="49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R702" s="23"/>
      <c r="U702" s="11"/>
    </row>
    <row r="703" spans="1:21" ht="14.25" customHeight="1" x14ac:dyDescent="0.3">
      <c r="A703" s="49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R703" s="23"/>
      <c r="U703" s="11"/>
    </row>
    <row r="704" spans="1:21" ht="14.25" customHeight="1" x14ac:dyDescent="0.3">
      <c r="A704" s="49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R704" s="23"/>
      <c r="U704" s="11"/>
    </row>
    <row r="705" spans="1:21" ht="14.25" customHeight="1" x14ac:dyDescent="0.3">
      <c r="A705" s="49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R705" s="23"/>
      <c r="U705" s="11"/>
    </row>
    <row r="706" spans="1:21" ht="14.25" customHeight="1" x14ac:dyDescent="0.3">
      <c r="A706" s="49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R706" s="23"/>
      <c r="U706" s="11"/>
    </row>
    <row r="707" spans="1:21" ht="14.25" customHeight="1" x14ac:dyDescent="0.3">
      <c r="A707" s="49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R707" s="23"/>
      <c r="U707" s="11"/>
    </row>
    <row r="708" spans="1:21" ht="14.25" customHeight="1" x14ac:dyDescent="0.3">
      <c r="A708" s="49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R708" s="23"/>
      <c r="U708" s="11"/>
    </row>
    <row r="709" spans="1:21" ht="14.25" customHeight="1" x14ac:dyDescent="0.3">
      <c r="A709" s="49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R709" s="23"/>
      <c r="U709" s="11"/>
    </row>
    <row r="710" spans="1:21" ht="14.25" customHeight="1" x14ac:dyDescent="0.3">
      <c r="A710" s="49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R710" s="23"/>
      <c r="U710" s="11"/>
    </row>
    <row r="711" spans="1:21" ht="14.25" customHeight="1" x14ac:dyDescent="0.3">
      <c r="A711" s="49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R711" s="23"/>
      <c r="U711" s="11"/>
    </row>
    <row r="712" spans="1:21" ht="14.25" customHeight="1" x14ac:dyDescent="0.3">
      <c r="A712" s="49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R712" s="23"/>
      <c r="U712" s="11"/>
    </row>
    <row r="713" spans="1:21" ht="14.25" customHeight="1" x14ac:dyDescent="0.3">
      <c r="A713" s="49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R713" s="23"/>
      <c r="U713" s="11"/>
    </row>
    <row r="714" spans="1:21" ht="14.25" customHeight="1" x14ac:dyDescent="0.3">
      <c r="A714" s="49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R714" s="23"/>
      <c r="U714" s="11"/>
    </row>
    <row r="715" spans="1:21" ht="14.25" customHeight="1" x14ac:dyDescent="0.3">
      <c r="A715" s="49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R715" s="23"/>
      <c r="U715" s="11"/>
    </row>
    <row r="716" spans="1:21" ht="14.25" customHeight="1" x14ac:dyDescent="0.3">
      <c r="A716" s="49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R716" s="23"/>
      <c r="U716" s="11"/>
    </row>
    <row r="717" spans="1:21" ht="14.25" customHeight="1" x14ac:dyDescent="0.3">
      <c r="A717" s="49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R717" s="23"/>
      <c r="U717" s="11"/>
    </row>
    <row r="718" spans="1:21" ht="14.25" customHeight="1" x14ac:dyDescent="0.3">
      <c r="A718" s="49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R718" s="23"/>
      <c r="U718" s="11"/>
    </row>
    <row r="719" spans="1:21" ht="14.25" customHeight="1" x14ac:dyDescent="0.3">
      <c r="A719" s="49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R719" s="23"/>
      <c r="U719" s="11"/>
    </row>
    <row r="720" spans="1:21" ht="14.25" customHeight="1" x14ac:dyDescent="0.3">
      <c r="A720" s="49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R720" s="23"/>
      <c r="U720" s="11"/>
    </row>
    <row r="721" spans="1:21" ht="14.25" customHeight="1" x14ac:dyDescent="0.3">
      <c r="A721" s="49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R721" s="23"/>
      <c r="U721" s="11"/>
    </row>
    <row r="722" spans="1:21" ht="14.25" customHeight="1" x14ac:dyDescent="0.3">
      <c r="A722" s="49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R722" s="23"/>
      <c r="U722" s="11"/>
    </row>
    <row r="723" spans="1:21" ht="14.25" customHeight="1" x14ac:dyDescent="0.3">
      <c r="A723" s="49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R723" s="23"/>
      <c r="U723" s="11"/>
    </row>
    <row r="724" spans="1:21" ht="14.25" customHeight="1" x14ac:dyDescent="0.3">
      <c r="A724" s="49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R724" s="23"/>
      <c r="U724" s="11"/>
    </row>
    <row r="725" spans="1:21" ht="14.25" customHeight="1" x14ac:dyDescent="0.3">
      <c r="A725" s="49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R725" s="23"/>
      <c r="U725" s="11"/>
    </row>
    <row r="726" spans="1:21" ht="14.25" customHeight="1" x14ac:dyDescent="0.3">
      <c r="A726" s="49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R726" s="23"/>
      <c r="U726" s="11"/>
    </row>
    <row r="727" spans="1:21" ht="14.25" customHeight="1" x14ac:dyDescent="0.3">
      <c r="A727" s="49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R727" s="23"/>
      <c r="U727" s="11"/>
    </row>
    <row r="728" spans="1:21" ht="14.25" customHeight="1" x14ac:dyDescent="0.3">
      <c r="A728" s="49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R728" s="23"/>
      <c r="U728" s="11"/>
    </row>
    <row r="729" spans="1:21" ht="14.25" customHeight="1" x14ac:dyDescent="0.3">
      <c r="A729" s="49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R729" s="23"/>
      <c r="U729" s="11"/>
    </row>
    <row r="730" spans="1:21" ht="14.25" customHeight="1" x14ac:dyDescent="0.3">
      <c r="A730" s="49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R730" s="23"/>
      <c r="U730" s="11"/>
    </row>
    <row r="731" spans="1:21" ht="14.25" customHeight="1" x14ac:dyDescent="0.3">
      <c r="A731" s="49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R731" s="23"/>
      <c r="U731" s="11"/>
    </row>
    <row r="732" spans="1:21" ht="14.25" customHeight="1" x14ac:dyDescent="0.3">
      <c r="A732" s="49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R732" s="23"/>
      <c r="U732" s="11"/>
    </row>
    <row r="733" spans="1:21" ht="14.25" customHeight="1" x14ac:dyDescent="0.3">
      <c r="A733" s="49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R733" s="23"/>
      <c r="U733" s="11"/>
    </row>
    <row r="734" spans="1:21" ht="14.25" customHeight="1" x14ac:dyDescent="0.3">
      <c r="A734" s="49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R734" s="23"/>
      <c r="U734" s="11"/>
    </row>
    <row r="735" spans="1:21" ht="14.25" customHeight="1" x14ac:dyDescent="0.3">
      <c r="A735" s="49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R735" s="23"/>
      <c r="U735" s="11"/>
    </row>
    <row r="736" spans="1:21" ht="14.25" customHeight="1" x14ac:dyDescent="0.3">
      <c r="A736" s="49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R736" s="23"/>
      <c r="U736" s="11"/>
    </row>
    <row r="737" spans="1:21" ht="14.25" customHeight="1" x14ac:dyDescent="0.3">
      <c r="A737" s="49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R737" s="23"/>
      <c r="U737" s="11"/>
    </row>
    <row r="738" spans="1:21" ht="14.25" customHeight="1" x14ac:dyDescent="0.3">
      <c r="A738" s="49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R738" s="23"/>
      <c r="U738" s="11"/>
    </row>
    <row r="739" spans="1:21" ht="14.25" customHeight="1" x14ac:dyDescent="0.3">
      <c r="A739" s="49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R739" s="23"/>
      <c r="U739" s="11"/>
    </row>
    <row r="740" spans="1:21" ht="14.25" customHeight="1" x14ac:dyDescent="0.3">
      <c r="A740" s="49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R740" s="23"/>
      <c r="U740" s="11"/>
    </row>
    <row r="741" spans="1:21" ht="14.25" customHeight="1" x14ac:dyDescent="0.3">
      <c r="A741" s="49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R741" s="23"/>
      <c r="U741" s="11"/>
    </row>
    <row r="742" spans="1:21" ht="14.25" customHeight="1" x14ac:dyDescent="0.3">
      <c r="A742" s="49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R742" s="23"/>
      <c r="U742" s="11"/>
    </row>
    <row r="743" spans="1:21" ht="14.25" customHeight="1" x14ac:dyDescent="0.3">
      <c r="A743" s="49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R743" s="23"/>
      <c r="U743" s="11"/>
    </row>
    <row r="744" spans="1:21" ht="14.25" customHeight="1" x14ac:dyDescent="0.3">
      <c r="A744" s="49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R744" s="23"/>
      <c r="U744" s="11"/>
    </row>
    <row r="745" spans="1:21" ht="14.25" customHeight="1" x14ac:dyDescent="0.3">
      <c r="A745" s="49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R745" s="23"/>
      <c r="U745" s="11"/>
    </row>
    <row r="746" spans="1:21" ht="14.25" customHeight="1" x14ac:dyDescent="0.3">
      <c r="A746" s="49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R746" s="23"/>
      <c r="U746" s="11"/>
    </row>
    <row r="747" spans="1:21" ht="14.25" customHeight="1" x14ac:dyDescent="0.3">
      <c r="A747" s="49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R747" s="23"/>
      <c r="U747" s="11"/>
    </row>
    <row r="748" spans="1:21" ht="14.25" customHeight="1" x14ac:dyDescent="0.3">
      <c r="A748" s="49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R748" s="23"/>
      <c r="U748" s="11"/>
    </row>
    <row r="749" spans="1:21" ht="14.25" customHeight="1" x14ac:dyDescent="0.3">
      <c r="A749" s="49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R749" s="23"/>
      <c r="U749" s="11"/>
    </row>
    <row r="750" spans="1:21" ht="14.25" customHeight="1" x14ac:dyDescent="0.3">
      <c r="A750" s="49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R750" s="23"/>
      <c r="U750" s="11"/>
    </row>
    <row r="751" spans="1:21" ht="14.25" customHeight="1" x14ac:dyDescent="0.3">
      <c r="A751" s="49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R751" s="23"/>
      <c r="U751" s="11"/>
    </row>
    <row r="752" spans="1:21" ht="14.25" customHeight="1" x14ac:dyDescent="0.3">
      <c r="A752" s="49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R752" s="23"/>
      <c r="U752" s="11"/>
    </row>
    <row r="753" spans="1:21" ht="14.25" customHeight="1" x14ac:dyDescent="0.3">
      <c r="A753" s="49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R753" s="23"/>
      <c r="U753" s="11"/>
    </row>
    <row r="754" spans="1:21" ht="14.25" customHeight="1" x14ac:dyDescent="0.3">
      <c r="A754" s="49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R754" s="23"/>
      <c r="U754" s="11"/>
    </row>
    <row r="755" spans="1:21" ht="14.25" customHeight="1" x14ac:dyDescent="0.3">
      <c r="A755" s="49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R755" s="23"/>
      <c r="U755" s="11"/>
    </row>
    <row r="756" spans="1:21" ht="14.25" customHeight="1" x14ac:dyDescent="0.3">
      <c r="A756" s="49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R756" s="23"/>
      <c r="U756" s="11"/>
    </row>
    <row r="757" spans="1:21" ht="14.25" customHeight="1" x14ac:dyDescent="0.3">
      <c r="A757" s="49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R757" s="23"/>
      <c r="U757" s="11"/>
    </row>
    <row r="758" spans="1:21" ht="14.25" customHeight="1" x14ac:dyDescent="0.3">
      <c r="A758" s="49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R758" s="23"/>
      <c r="U758" s="11"/>
    </row>
    <row r="759" spans="1:21" ht="14.25" customHeight="1" x14ac:dyDescent="0.3">
      <c r="A759" s="49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R759" s="23"/>
      <c r="U759" s="11"/>
    </row>
    <row r="760" spans="1:21" ht="14.25" customHeight="1" x14ac:dyDescent="0.3">
      <c r="A760" s="49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R760" s="23"/>
      <c r="U760" s="11"/>
    </row>
    <row r="761" spans="1:21" ht="14.25" customHeight="1" x14ac:dyDescent="0.3">
      <c r="A761" s="49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R761" s="23"/>
      <c r="U761" s="11"/>
    </row>
    <row r="762" spans="1:21" ht="14.25" customHeight="1" x14ac:dyDescent="0.3">
      <c r="A762" s="49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R762" s="23"/>
      <c r="U762" s="11"/>
    </row>
    <row r="763" spans="1:21" ht="14.25" customHeight="1" x14ac:dyDescent="0.3">
      <c r="A763" s="49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R763" s="23"/>
      <c r="U763" s="11"/>
    </row>
    <row r="764" spans="1:21" ht="14.25" customHeight="1" x14ac:dyDescent="0.3">
      <c r="A764" s="49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R764" s="23"/>
      <c r="U764" s="11"/>
    </row>
    <row r="765" spans="1:21" ht="14.25" customHeight="1" x14ac:dyDescent="0.3">
      <c r="A765" s="49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R765" s="23"/>
      <c r="U765" s="11"/>
    </row>
    <row r="766" spans="1:21" ht="14.25" customHeight="1" x14ac:dyDescent="0.3">
      <c r="A766" s="49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R766" s="23"/>
      <c r="U766" s="11"/>
    </row>
    <row r="767" spans="1:21" ht="14.25" customHeight="1" x14ac:dyDescent="0.3">
      <c r="A767" s="49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R767" s="23"/>
      <c r="U767" s="11"/>
    </row>
    <row r="768" spans="1:21" ht="14.25" customHeight="1" x14ac:dyDescent="0.3">
      <c r="A768" s="49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R768" s="23"/>
      <c r="U768" s="11"/>
    </row>
    <row r="769" spans="1:21" ht="14.25" customHeight="1" x14ac:dyDescent="0.3">
      <c r="A769" s="49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R769" s="23"/>
      <c r="U769" s="11"/>
    </row>
    <row r="770" spans="1:21" ht="14.25" customHeight="1" x14ac:dyDescent="0.3">
      <c r="A770" s="49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R770" s="23"/>
      <c r="U770" s="11"/>
    </row>
    <row r="771" spans="1:21" ht="14.25" customHeight="1" x14ac:dyDescent="0.3">
      <c r="A771" s="49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R771" s="23"/>
      <c r="U771" s="11"/>
    </row>
    <row r="772" spans="1:21" ht="14.25" customHeight="1" x14ac:dyDescent="0.3">
      <c r="A772" s="49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R772" s="23"/>
      <c r="U772" s="11"/>
    </row>
    <row r="773" spans="1:21" ht="14.25" customHeight="1" x14ac:dyDescent="0.3">
      <c r="A773" s="49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R773" s="23"/>
      <c r="U773" s="11"/>
    </row>
    <row r="774" spans="1:21" ht="14.25" customHeight="1" x14ac:dyDescent="0.3">
      <c r="A774" s="49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R774" s="23"/>
      <c r="U774" s="11"/>
    </row>
    <row r="775" spans="1:21" ht="14.25" customHeight="1" x14ac:dyDescent="0.3">
      <c r="A775" s="49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R775" s="23"/>
      <c r="U775" s="11"/>
    </row>
    <row r="776" spans="1:21" ht="14.25" customHeight="1" x14ac:dyDescent="0.3">
      <c r="A776" s="49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R776" s="23"/>
      <c r="U776" s="11"/>
    </row>
    <row r="777" spans="1:21" ht="14.25" customHeight="1" x14ac:dyDescent="0.3">
      <c r="A777" s="49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R777" s="23"/>
      <c r="U777" s="11"/>
    </row>
    <row r="778" spans="1:21" ht="14.25" customHeight="1" x14ac:dyDescent="0.3">
      <c r="A778" s="49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R778" s="23"/>
      <c r="U778" s="11"/>
    </row>
    <row r="779" spans="1:21" ht="14.25" customHeight="1" x14ac:dyDescent="0.3">
      <c r="A779" s="49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R779" s="23"/>
      <c r="U779" s="11"/>
    </row>
    <row r="780" spans="1:21" ht="14.25" customHeight="1" x14ac:dyDescent="0.3">
      <c r="A780" s="49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R780" s="23"/>
      <c r="U780" s="11"/>
    </row>
    <row r="781" spans="1:21" ht="14.25" customHeight="1" x14ac:dyDescent="0.3">
      <c r="A781" s="49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R781" s="23"/>
      <c r="U781" s="11"/>
    </row>
    <row r="782" spans="1:21" ht="14.25" customHeight="1" x14ac:dyDescent="0.3">
      <c r="A782" s="49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R782" s="23"/>
      <c r="U782" s="11"/>
    </row>
    <row r="783" spans="1:21" ht="14.25" customHeight="1" x14ac:dyDescent="0.3">
      <c r="A783" s="49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R783" s="23"/>
      <c r="U783" s="11"/>
    </row>
    <row r="784" spans="1:21" ht="14.25" customHeight="1" x14ac:dyDescent="0.3">
      <c r="A784" s="49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R784" s="23"/>
      <c r="U784" s="11"/>
    </row>
    <row r="785" spans="1:21" ht="14.25" customHeight="1" x14ac:dyDescent="0.3">
      <c r="A785" s="49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R785" s="23"/>
      <c r="U785" s="11"/>
    </row>
    <row r="786" spans="1:21" ht="14.25" customHeight="1" x14ac:dyDescent="0.3">
      <c r="A786" s="49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R786" s="23"/>
      <c r="U786" s="11"/>
    </row>
    <row r="787" spans="1:21" ht="14.25" customHeight="1" x14ac:dyDescent="0.3">
      <c r="A787" s="49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R787" s="23"/>
      <c r="U787" s="11"/>
    </row>
    <row r="788" spans="1:21" ht="14.25" customHeight="1" x14ac:dyDescent="0.3">
      <c r="A788" s="49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R788" s="23"/>
      <c r="U788" s="11"/>
    </row>
    <row r="789" spans="1:21" ht="14.25" customHeight="1" x14ac:dyDescent="0.3">
      <c r="A789" s="49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R789" s="23"/>
      <c r="U789" s="11"/>
    </row>
    <row r="790" spans="1:21" ht="14.25" customHeight="1" x14ac:dyDescent="0.3">
      <c r="A790" s="49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R790" s="23"/>
      <c r="U790" s="11"/>
    </row>
    <row r="791" spans="1:21" ht="14.25" customHeight="1" x14ac:dyDescent="0.3">
      <c r="A791" s="49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R791" s="23"/>
      <c r="U791" s="11"/>
    </row>
    <row r="792" spans="1:21" ht="14.25" customHeight="1" x14ac:dyDescent="0.3">
      <c r="A792" s="49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R792" s="23"/>
      <c r="U792" s="11"/>
    </row>
    <row r="793" spans="1:21" ht="14.25" customHeight="1" x14ac:dyDescent="0.3">
      <c r="A793" s="49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R793" s="23"/>
      <c r="U793" s="11"/>
    </row>
    <row r="794" spans="1:21" ht="14.25" customHeight="1" x14ac:dyDescent="0.3">
      <c r="A794" s="49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R794" s="23"/>
      <c r="U794" s="11"/>
    </row>
    <row r="795" spans="1:21" ht="14.25" customHeight="1" x14ac:dyDescent="0.3">
      <c r="A795" s="49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R795" s="23"/>
      <c r="U795" s="11"/>
    </row>
    <row r="796" spans="1:21" ht="14.25" customHeight="1" x14ac:dyDescent="0.3">
      <c r="A796" s="49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R796" s="23"/>
      <c r="U796" s="11"/>
    </row>
    <row r="797" spans="1:21" ht="14.25" customHeight="1" x14ac:dyDescent="0.3">
      <c r="A797" s="49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R797" s="23"/>
      <c r="U797" s="11"/>
    </row>
    <row r="798" spans="1:21" ht="14.25" customHeight="1" x14ac:dyDescent="0.3">
      <c r="A798" s="49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R798" s="23"/>
      <c r="U798" s="11"/>
    </row>
    <row r="799" spans="1:21" ht="14.25" customHeight="1" x14ac:dyDescent="0.3">
      <c r="A799" s="49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R799" s="23"/>
      <c r="U799" s="11"/>
    </row>
    <row r="800" spans="1:21" ht="14.25" customHeight="1" x14ac:dyDescent="0.3">
      <c r="A800" s="49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R800" s="23"/>
      <c r="U800" s="11"/>
    </row>
    <row r="801" spans="1:21" ht="14.25" customHeight="1" x14ac:dyDescent="0.3">
      <c r="A801" s="49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R801" s="23"/>
      <c r="U801" s="11"/>
    </row>
    <row r="802" spans="1:21" ht="14.25" customHeight="1" x14ac:dyDescent="0.3">
      <c r="A802" s="49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R802" s="23"/>
      <c r="U802" s="11"/>
    </row>
    <row r="803" spans="1:21" ht="14.25" customHeight="1" x14ac:dyDescent="0.3">
      <c r="A803" s="49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R803" s="23"/>
      <c r="U803" s="11"/>
    </row>
    <row r="804" spans="1:21" ht="14.25" customHeight="1" x14ac:dyDescent="0.3">
      <c r="A804" s="49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R804" s="23"/>
      <c r="U804" s="11"/>
    </row>
    <row r="805" spans="1:21" ht="14.25" customHeight="1" x14ac:dyDescent="0.3">
      <c r="A805" s="49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R805" s="23"/>
      <c r="U805" s="11"/>
    </row>
    <row r="806" spans="1:21" ht="14.25" customHeight="1" x14ac:dyDescent="0.3">
      <c r="A806" s="49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R806" s="23"/>
      <c r="U806" s="11"/>
    </row>
    <row r="807" spans="1:21" ht="14.25" customHeight="1" x14ac:dyDescent="0.3">
      <c r="A807" s="49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R807" s="23"/>
      <c r="U807" s="11"/>
    </row>
    <row r="808" spans="1:21" ht="14.25" customHeight="1" x14ac:dyDescent="0.3">
      <c r="A808" s="49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R808" s="23"/>
      <c r="U808" s="11"/>
    </row>
    <row r="809" spans="1:21" ht="14.25" customHeight="1" x14ac:dyDescent="0.3">
      <c r="A809" s="49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R809" s="23"/>
      <c r="U809" s="11"/>
    </row>
    <row r="810" spans="1:21" ht="14.25" customHeight="1" x14ac:dyDescent="0.3">
      <c r="A810" s="49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R810" s="23"/>
      <c r="U810" s="11"/>
    </row>
    <row r="811" spans="1:21" ht="14.25" customHeight="1" x14ac:dyDescent="0.3">
      <c r="A811" s="49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R811" s="23"/>
      <c r="U811" s="11"/>
    </row>
    <row r="812" spans="1:21" ht="14.25" customHeight="1" x14ac:dyDescent="0.3">
      <c r="A812" s="49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R812" s="23"/>
      <c r="U812" s="11"/>
    </row>
    <row r="813" spans="1:21" ht="14.25" customHeight="1" x14ac:dyDescent="0.3">
      <c r="A813" s="49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R813" s="23"/>
      <c r="U813" s="11"/>
    </row>
    <row r="814" spans="1:21" ht="14.25" customHeight="1" x14ac:dyDescent="0.3">
      <c r="A814" s="49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R814" s="23"/>
      <c r="U814" s="11"/>
    </row>
    <row r="815" spans="1:21" ht="14.25" customHeight="1" x14ac:dyDescent="0.3">
      <c r="A815" s="49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R815" s="23"/>
      <c r="U815" s="11"/>
    </row>
    <row r="816" spans="1:21" ht="14.25" customHeight="1" x14ac:dyDescent="0.3">
      <c r="A816" s="49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R816" s="23"/>
      <c r="U816" s="11"/>
    </row>
    <row r="817" spans="1:21" ht="14.25" customHeight="1" x14ac:dyDescent="0.3">
      <c r="A817" s="49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R817" s="23"/>
      <c r="U817" s="11"/>
    </row>
    <row r="818" spans="1:21" ht="14.25" customHeight="1" x14ac:dyDescent="0.3">
      <c r="A818" s="49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R818" s="23"/>
      <c r="U818" s="11"/>
    </row>
    <row r="819" spans="1:21" ht="14.25" customHeight="1" x14ac:dyDescent="0.3">
      <c r="A819" s="49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R819" s="23"/>
      <c r="U819" s="11"/>
    </row>
    <row r="820" spans="1:21" ht="14.25" customHeight="1" x14ac:dyDescent="0.3">
      <c r="A820" s="49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R820" s="23"/>
      <c r="U820" s="11"/>
    </row>
    <row r="821" spans="1:21" ht="14.25" customHeight="1" x14ac:dyDescent="0.3">
      <c r="A821" s="49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R821" s="23"/>
      <c r="U821" s="11"/>
    </row>
    <row r="822" spans="1:21" ht="14.25" customHeight="1" x14ac:dyDescent="0.3">
      <c r="A822" s="49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R822" s="23"/>
      <c r="U822" s="11"/>
    </row>
    <row r="823" spans="1:21" ht="14.25" customHeight="1" x14ac:dyDescent="0.3">
      <c r="A823" s="49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R823" s="23"/>
      <c r="U823" s="11"/>
    </row>
    <row r="824" spans="1:21" ht="14.25" customHeight="1" x14ac:dyDescent="0.3">
      <c r="A824" s="49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R824" s="23"/>
      <c r="U824" s="11"/>
    </row>
    <row r="825" spans="1:21" ht="14.25" customHeight="1" x14ac:dyDescent="0.3">
      <c r="A825" s="49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R825" s="23"/>
      <c r="U825" s="11"/>
    </row>
    <row r="826" spans="1:21" ht="14.25" customHeight="1" x14ac:dyDescent="0.3">
      <c r="A826" s="49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R826" s="23"/>
      <c r="U826" s="11"/>
    </row>
    <row r="827" spans="1:21" ht="14.25" customHeight="1" x14ac:dyDescent="0.3">
      <c r="A827" s="49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R827" s="23"/>
      <c r="U827" s="11"/>
    </row>
    <row r="828" spans="1:21" ht="14.25" customHeight="1" x14ac:dyDescent="0.3">
      <c r="A828" s="49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R828" s="23"/>
      <c r="U828" s="11"/>
    </row>
    <row r="829" spans="1:21" ht="14.25" customHeight="1" x14ac:dyDescent="0.3">
      <c r="A829" s="49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R829" s="23"/>
      <c r="U829" s="11"/>
    </row>
    <row r="830" spans="1:21" ht="14.25" customHeight="1" x14ac:dyDescent="0.3">
      <c r="A830" s="49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R830" s="23"/>
      <c r="U830" s="11"/>
    </row>
    <row r="831" spans="1:21" ht="14.25" customHeight="1" x14ac:dyDescent="0.3">
      <c r="A831" s="49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R831" s="23"/>
      <c r="U831" s="11"/>
    </row>
    <row r="832" spans="1:21" ht="14.25" customHeight="1" x14ac:dyDescent="0.3">
      <c r="A832" s="49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R832" s="23"/>
      <c r="U832" s="11"/>
    </row>
    <row r="833" spans="1:21" ht="14.25" customHeight="1" x14ac:dyDescent="0.3">
      <c r="A833" s="49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R833" s="23"/>
      <c r="U833" s="11"/>
    </row>
    <row r="834" spans="1:21" ht="14.25" customHeight="1" x14ac:dyDescent="0.3">
      <c r="A834" s="49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R834" s="23"/>
      <c r="U834" s="11"/>
    </row>
    <row r="835" spans="1:21" ht="14.25" customHeight="1" x14ac:dyDescent="0.3">
      <c r="A835" s="49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R835" s="23"/>
      <c r="U835" s="11"/>
    </row>
    <row r="836" spans="1:21" ht="14.25" customHeight="1" x14ac:dyDescent="0.3">
      <c r="A836" s="49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R836" s="23"/>
      <c r="U836" s="11"/>
    </row>
    <row r="837" spans="1:21" ht="14.25" customHeight="1" x14ac:dyDescent="0.3">
      <c r="A837" s="49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R837" s="23"/>
      <c r="U837" s="11"/>
    </row>
    <row r="838" spans="1:21" ht="14.25" customHeight="1" x14ac:dyDescent="0.3">
      <c r="A838" s="49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R838" s="23"/>
      <c r="U838" s="11"/>
    </row>
    <row r="839" spans="1:21" ht="14.25" customHeight="1" x14ac:dyDescent="0.3">
      <c r="A839" s="49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R839" s="23"/>
      <c r="U839" s="11"/>
    </row>
    <row r="840" spans="1:21" ht="14.25" customHeight="1" x14ac:dyDescent="0.3">
      <c r="A840" s="49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R840" s="23"/>
      <c r="U840" s="11"/>
    </row>
    <row r="841" spans="1:21" ht="14.25" customHeight="1" x14ac:dyDescent="0.3">
      <c r="A841" s="49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R841" s="23"/>
      <c r="U841" s="11"/>
    </row>
    <row r="842" spans="1:21" ht="14.25" customHeight="1" x14ac:dyDescent="0.3">
      <c r="A842" s="49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R842" s="23"/>
      <c r="U842" s="11"/>
    </row>
    <row r="843" spans="1:21" ht="14.25" customHeight="1" x14ac:dyDescent="0.3">
      <c r="A843" s="49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R843" s="23"/>
      <c r="U843" s="11"/>
    </row>
    <row r="844" spans="1:21" ht="14.25" customHeight="1" x14ac:dyDescent="0.3">
      <c r="A844" s="49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R844" s="23"/>
      <c r="U844" s="11"/>
    </row>
    <row r="845" spans="1:21" ht="14.25" customHeight="1" x14ac:dyDescent="0.3">
      <c r="A845" s="49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R845" s="23"/>
      <c r="U845" s="11"/>
    </row>
    <row r="846" spans="1:21" ht="14.25" customHeight="1" x14ac:dyDescent="0.3">
      <c r="A846" s="49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R846" s="23"/>
      <c r="U846" s="11"/>
    </row>
    <row r="847" spans="1:21" ht="14.25" customHeight="1" x14ac:dyDescent="0.3">
      <c r="A847" s="49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R847" s="23"/>
      <c r="U847" s="11"/>
    </row>
    <row r="848" spans="1:21" ht="14.25" customHeight="1" x14ac:dyDescent="0.3">
      <c r="A848" s="49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R848" s="23"/>
      <c r="U848" s="11"/>
    </row>
    <row r="849" spans="1:21" ht="14.25" customHeight="1" x14ac:dyDescent="0.3">
      <c r="A849" s="49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R849" s="23"/>
      <c r="U849" s="11"/>
    </row>
    <row r="850" spans="1:21" ht="14.25" customHeight="1" x14ac:dyDescent="0.3">
      <c r="A850" s="49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R850" s="23"/>
      <c r="U850" s="11"/>
    </row>
    <row r="851" spans="1:21" ht="14.25" customHeight="1" x14ac:dyDescent="0.3">
      <c r="A851" s="49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R851" s="23"/>
      <c r="U851" s="11"/>
    </row>
    <row r="852" spans="1:21" ht="14.25" customHeight="1" x14ac:dyDescent="0.3">
      <c r="A852" s="49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R852" s="23"/>
      <c r="U852" s="11"/>
    </row>
    <row r="853" spans="1:21" ht="14.25" customHeight="1" x14ac:dyDescent="0.3">
      <c r="A853" s="49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R853" s="23"/>
      <c r="U853" s="11"/>
    </row>
    <row r="854" spans="1:21" ht="14.25" customHeight="1" x14ac:dyDescent="0.3">
      <c r="A854" s="49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R854" s="23"/>
      <c r="U854" s="11"/>
    </row>
    <row r="855" spans="1:21" ht="14.25" customHeight="1" x14ac:dyDescent="0.3">
      <c r="A855" s="49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R855" s="23"/>
      <c r="U855" s="11"/>
    </row>
    <row r="856" spans="1:21" ht="14.25" customHeight="1" x14ac:dyDescent="0.3">
      <c r="A856" s="49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R856" s="23"/>
      <c r="U856" s="11"/>
    </row>
    <row r="857" spans="1:21" ht="14.25" customHeight="1" x14ac:dyDescent="0.3">
      <c r="A857" s="49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R857" s="23"/>
      <c r="U857" s="11"/>
    </row>
    <row r="858" spans="1:21" ht="14.25" customHeight="1" x14ac:dyDescent="0.3">
      <c r="A858" s="49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R858" s="23"/>
      <c r="U858" s="11"/>
    </row>
    <row r="859" spans="1:21" ht="14.25" customHeight="1" x14ac:dyDescent="0.3">
      <c r="A859" s="49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R859" s="23"/>
      <c r="U859" s="11"/>
    </row>
    <row r="860" spans="1:21" ht="14.25" customHeight="1" x14ac:dyDescent="0.3">
      <c r="A860" s="49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R860" s="23"/>
      <c r="U860" s="11"/>
    </row>
    <row r="861" spans="1:21" ht="14.25" customHeight="1" x14ac:dyDescent="0.3">
      <c r="A861" s="49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R861" s="23"/>
      <c r="U861" s="11"/>
    </row>
    <row r="862" spans="1:21" ht="14.25" customHeight="1" x14ac:dyDescent="0.3">
      <c r="A862" s="49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R862" s="23"/>
      <c r="U862" s="11"/>
    </row>
    <row r="863" spans="1:21" ht="14.25" customHeight="1" x14ac:dyDescent="0.3">
      <c r="A863" s="49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R863" s="23"/>
      <c r="U863" s="11"/>
    </row>
    <row r="864" spans="1:21" ht="14.25" customHeight="1" x14ac:dyDescent="0.3">
      <c r="A864" s="49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R864" s="23"/>
      <c r="U864" s="11"/>
    </row>
    <row r="865" spans="1:21" ht="14.25" customHeight="1" x14ac:dyDescent="0.3">
      <c r="A865" s="49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R865" s="23"/>
      <c r="U865" s="11"/>
    </row>
    <row r="866" spans="1:21" ht="14.25" customHeight="1" x14ac:dyDescent="0.3">
      <c r="A866" s="49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R866" s="23"/>
      <c r="U866" s="11"/>
    </row>
    <row r="867" spans="1:21" ht="14.25" customHeight="1" x14ac:dyDescent="0.3">
      <c r="A867" s="49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R867" s="23"/>
      <c r="U867" s="11"/>
    </row>
    <row r="868" spans="1:21" ht="14.25" customHeight="1" x14ac:dyDescent="0.3">
      <c r="A868" s="49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R868" s="23"/>
      <c r="U868" s="11"/>
    </row>
    <row r="869" spans="1:21" ht="14.25" customHeight="1" x14ac:dyDescent="0.3">
      <c r="A869" s="49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R869" s="23"/>
      <c r="U869" s="11"/>
    </row>
    <row r="870" spans="1:21" ht="14.25" customHeight="1" x14ac:dyDescent="0.3">
      <c r="A870" s="49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R870" s="23"/>
      <c r="U870" s="11"/>
    </row>
    <row r="871" spans="1:21" ht="14.25" customHeight="1" x14ac:dyDescent="0.3">
      <c r="A871" s="49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R871" s="23"/>
      <c r="U871" s="11"/>
    </row>
    <row r="872" spans="1:21" ht="14.25" customHeight="1" x14ac:dyDescent="0.3">
      <c r="A872" s="49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R872" s="23"/>
      <c r="U872" s="11"/>
    </row>
    <row r="873" spans="1:21" ht="14.25" customHeight="1" x14ac:dyDescent="0.3">
      <c r="A873" s="49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R873" s="23"/>
      <c r="U873" s="11"/>
    </row>
    <row r="874" spans="1:21" ht="14.25" customHeight="1" x14ac:dyDescent="0.3">
      <c r="A874" s="49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R874" s="23"/>
      <c r="U874" s="11"/>
    </row>
    <row r="875" spans="1:21" ht="14.25" customHeight="1" x14ac:dyDescent="0.3">
      <c r="A875" s="49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R875" s="23"/>
      <c r="U875" s="11"/>
    </row>
    <row r="876" spans="1:21" ht="14.25" customHeight="1" x14ac:dyDescent="0.3">
      <c r="A876" s="49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R876" s="23"/>
      <c r="U876" s="11"/>
    </row>
    <row r="877" spans="1:21" ht="14.25" customHeight="1" x14ac:dyDescent="0.3">
      <c r="A877" s="49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R877" s="23"/>
      <c r="U877" s="11"/>
    </row>
    <row r="878" spans="1:21" ht="14.25" customHeight="1" x14ac:dyDescent="0.3">
      <c r="A878" s="49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R878" s="23"/>
      <c r="U878" s="11"/>
    </row>
    <row r="879" spans="1:21" ht="14.25" customHeight="1" x14ac:dyDescent="0.3">
      <c r="A879" s="49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R879" s="23"/>
      <c r="U879" s="11"/>
    </row>
    <row r="880" spans="1:21" ht="14.25" customHeight="1" x14ac:dyDescent="0.3">
      <c r="A880" s="49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R880" s="23"/>
      <c r="U880" s="11"/>
    </row>
    <row r="881" spans="1:21" ht="14.25" customHeight="1" x14ac:dyDescent="0.3">
      <c r="A881" s="49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R881" s="23"/>
      <c r="U881" s="11"/>
    </row>
    <row r="882" spans="1:21" ht="14.25" customHeight="1" x14ac:dyDescent="0.3">
      <c r="A882" s="49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R882" s="23"/>
      <c r="U882" s="11"/>
    </row>
    <row r="883" spans="1:21" ht="14.25" customHeight="1" x14ac:dyDescent="0.3">
      <c r="A883" s="49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R883" s="23"/>
      <c r="U883" s="11"/>
    </row>
    <row r="884" spans="1:21" ht="14.25" customHeight="1" x14ac:dyDescent="0.3">
      <c r="A884" s="49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R884" s="23"/>
      <c r="U884" s="11"/>
    </row>
    <row r="885" spans="1:21" ht="14.25" customHeight="1" x14ac:dyDescent="0.3">
      <c r="A885" s="49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R885" s="23"/>
      <c r="U885" s="11"/>
    </row>
    <row r="886" spans="1:21" ht="14.25" customHeight="1" x14ac:dyDescent="0.3">
      <c r="A886" s="49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R886" s="23"/>
      <c r="U886" s="11"/>
    </row>
    <row r="887" spans="1:21" ht="14.25" customHeight="1" x14ac:dyDescent="0.3">
      <c r="A887" s="49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R887" s="23"/>
      <c r="U887" s="11"/>
    </row>
    <row r="888" spans="1:21" ht="14.25" customHeight="1" x14ac:dyDescent="0.3">
      <c r="A888" s="49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R888" s="23"/>
      <c r="U888" s="11"/>
    </row>
    <row r="889" spans="1:21" ht="14.25" customHeight="1" x14ac:dyDescent="0.3">
      <c r="A889" s="49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R889" s="23"/>
      <c r="U889" s="11"/>
    </row>
    <row r="890" spans="1:21" ht="14.25" customHeight="1" x14ac:dyDescent="0.3">
      <c r="A890" s="49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R890" s="23"/>
      <c r="U890" s="11"/>
    </row>
    <row r="891" spans="1:21" ht="14.25" customHeight="1" x14ac:dyDescent="0.3">
      <c r="A891" s="49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R891" s="23"/>
      <c r="U891" s="11"/>
    </row>
    <row r="892" spans="1:21" ht="14.25" customHeight="1" x14ac:dyDescent="0.3">
      <c r="A892" s="49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R892" s="23"/>
      <c r="U892" s="11"/>
    </row>
    <row r="893" spans="1:21" ht="14.25" customHeight="1" x14ac:dyDescent="0.3">
      <c r="A893" s="49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R893" s="23"/>
      <c r="U893" s="11"/>
    </row>
    <row r="894" spans="1:21" ht="14.25" customHeight="1" x14ac:dyDescent="0.3">
      <c r="A894" s="49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R894" s="23"/>
      <c r="U894" s="11"/>
    </row>
    <row r="895" spans="1:21" ht="14.25" customHeight="1" x14ac:dyDescent="0.3">
      <c r="A895" s="49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R895" s="23"/>
      <c r="U895" s="11"/>
    </row>
    <row r="896" spans="1:21" ht="14.25" customHeight="1" x14ac:dyDescent="0.3">
      <c r="A896" s="49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R896" s="23"/>
      <c r="U896" s="11"/>
    </row>
    <row r="897" spans="1:21" ht="14.25" customHeight="1" x14ac:dyDescent="0.3">
      <c r="A897" s="49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R897" s="23"/>
      <c r="U897" s="11"/>
    </row>
    <row r="898" spans="1:21" ht="14.25" customHeight="1" x14ac:dyDescent="0.3">
      <c r="A898" s="49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R898" s="23"/>
      <c r="U898" s="11"/>
    </row>
    <row r="899" spans="1:21" ht="14.25" customHeight="1" x14ac:dyDescent="0.3">
      <c r="A899" s="49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R899" s="23"/>
      <c r="U899" s="11"/>
    </row>
    <row r="900" spans="1:21" ht="14.25" customHeight="1" x14ac:dyDescent="0.3">
      <c r="A900" s="49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R900" s="23"/>
      <c r="U900" s="11"/>
    </row>
    <row r="901" spans="1:21" ht="14.25" customHeight="1" x14ac:dyDescent="0.3">
      <c r="A901" s="49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R901" s="23"/>
      <c r="U901" s="11"/>
    </row>
    <row r="902" spans="1:21" ht="14.25" customHeight="1" x14ac:dyDescent="0.3">
      <c r="A902" s="49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R902" s="23"/>
      <c r="U902" s="11"/>
    </row>
    <row r="903" spans="1:21" ht="14.25" customHeight="1" x14ac:dyDescent="0.3">
      <c r="A903" s="49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R903" s="23"/>
      <c r="U903" s="11"/>
    </row>
    <row r="904" spans="1:21" ht="14.25" customHeight="1" x14ac:dyDescent="0.3">
      <c r="A904" s="49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R904" s="23"/>
      <c r="U904" s="11"/>
    </row>
    <row r="905" spans="1:21" ht="14.25" customHeight="1" x14ac:dyDescent="0.3">
      <c r="A905" s="49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R905" s="23"/>
      <c r="U905" s="11"/>
    </row>
    <row r="906" spans="1:21" ht="14.25" customHeight="1" x14ac:dyDescent="0.3">
      <c r="A906" s="49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R906" s="23"/>
      <c r="U906" s="11"/>
    </row>
    <row r="907" spans="1:21" ht="14.25" customHeight="1" x14ac:dyDescent="0.3">
      <c r="A907" s="49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R907" s="23"/>
      <c r="U907" s="11"/>
    </row>
    <row r="908" spans="1:21" ht="14.25" customHeight="1" x14ac:dyDescent="0.3">
      <c r="A908" s="49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R908" s="23"/>
      <c r="U908" s="11"/>
    </row>
    <row r="909" spans="1:21" ht="14.25" customHeight="1" x14ac:dyDescent="0.3">
      <c r="A909" s="49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R909" s="23"/>
      <c r="U909" s="11"/>
    </row>
    <row r="910" spans="1:21" ht="14.25" customHeight="1" x14ac:dyDescent="0.3">
      <c r="A910" s="49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R910" s="23"/>
      <c r="U910" s="11"/>
    </row>
    <row r="911" spans="1:21" ht="14.25" customHeight="1" x14ac:dyDescent="0.3">
      <c r="A911" s="49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R911" s="23"/>
      <c r="U911" s="11"/>
    </row>
    <row r="912" spans="1:21" ht="14.25" customHeight="1" x14ac:dyDescent="0.3">
      <c r="A912" s="49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R912" s="23"/>
      <c r="U912" s="11"/>
    </row>
    <row r="913" spans="1:21" ht="14.25" customHeight="1" x14ac:dyDescent="0.3">
      <c r="A913" s="49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R913" s="23"/>
      <c r="U913" s="11"/>
    </row>
    <row r="914" spans="1:21" ht="14.25" customHeight="1" x14ac:dyDescent="0.3">
      <c r="A914" s="49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R914" s="23"/>
      <c r="U914" s="11"/>
    </row>
    <row r="915" spans="1:21" ht="14.25" customHeight="1" x14ac:dyDescent="0.3">
      <c r="A915" s="49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R915" s="23"/>
      <c r="U915" s="11"/>
    </row>
    <row r="916" spans="1:21" ht="14.25" customHeight="1" x14ac:dyDescent="0.3">
      <c r="A916" s="49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R916" s="23"/>
      <c r="U916" s="11"/>
    </row>
    <row r="917" spans="1:21" ht="14.25" customHeight="1" x14ac:dyDescent="0.3">
      <c r="A917" s="49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R917" s="23"/>
      <c r="U917" s="11"/>
    </row>
    <row r="918" spans="1:21" ht="14.25" customHeight="1" x14ac:dyDescent="0.3">
      <c r="A918" s="49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R918" s="23"/>
      <c r="U918" s="11"/>
    </row>
    <row r="919" spans="1:21" ht="14.25" customHeight="1" x14ac:dyDescent="0.3">
      <c r="A919" s="49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R919" s="23"/>
      <c r="U919" s="11"/>
    </row>
    <row r="920" spans="1:21" ht="14.25" customHeight="1" x14ac:dyDescent="0.3">
      <c r="A920" s="49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R920" s="23"/>
      <c r="U920" s="11"/>
    </row>
    <row r="921" spans="1:21" ht="14.25" customHeight="1" x14ac:dyDescent="0.3">
      <c r="A921" s="49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R921" s="23"/>
      <c r="U921" s="11"/>
    </row>
    <row r="922" spans="1:21" ht="14.25" customHeight="1" x14ac:dyDescent="0.3">
      <c r="A922" s="49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R922" s="23"/>
      <c r="U922" s="11"/>
    </row>
    <row r="923" spans="1:21" ht="14.25" customHeight="1" x14ac:dyDescent="0.3">
      <c r="A923" s="49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R923" s="23"/>
      <c r="U923" s="11"/>
    </row>
    <row r="924" spans="1:21" ht="14.25" customHeight="1" x14ac:dyDescent="0.3">
      <c r="A924" s="49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R924" s="23"/>
      <c r="U924" s="11"/>
    </row>
    <row r="925" spans="1:21" ht="14.25" customHeight="1" x14ac:dyDescent="0.3">
      <c r="A925" s="49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R925" s="23"/>
      <c r="U925" s="11"/>
    </row>
    <row r="926" spans="1:21" ht="14.25" customHeight="1" x14ac:dyDescent="0.3">
      <c r="A926" s="49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R926" s="23"/>
      <c r="U926" s="11"/>
    </row>
    <row r="927" spans="1:21" ht="14.25" customHeight="1" x14ac:dyDescent="0.3">
      <c r="A927" s="49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R927" s="23"/>
      <c r="U927" s="11"/>
    </row>
    <row r="928" spans="1:21" ht="14.25" customHeight="1" x14ac:dyDescent="0.3">
      <c r="A928" s="49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R928" s="23"/>
      <c r="U928" s="11"/>
    </row>
    <row r="929" spans="1:21" ht="14.25" customHeight="1" x14ac:dyDescent="0.3">
      <c r="A929" s="49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R929" s="23"/>
      <c r="U929" s="11"/>
    </row>
    <row r="930" spans="1:21" ht="14.25" customHeight="1" x14ac:dyDescent="0.3">
      <c r="A930" s="49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R930" s="23"/>
      <c r="U930" s="11"/>
    </row>
    <row r="931" spans="1:21" ht="14.25" customHeight="1" x14ac:dyDescent="0.3">
      <c r="A931" s="49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R931" s="23"/>
      <c r="U931" s="11"/>
    </row>
    <row r="932" spans="1:21" ht="14.25" customHeight="1" x14ac:dyDescent="0.3">
      <c r="A932" s="49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R932" s="23"/>
      <c r="U932" s="11"/>
    </row>
    <row r="933" spans="1:21" ht="14.25" customHeight="1" x14ac:dyDescent="0.3">
      <c r="A933" s="49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R933" s="23"/>
      <c r="U933" s="11"/>
    </row>
    <row r="934" spans="1:21" ht="14.25" customHeight="1" x14ac:dyDescent="0.3">
      <c r="A934" s="49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R934" s="23"/>
      <c r="U934" s="11"/>
    </row>
    <row r="935" spans="1:21" ht="14.25" customHeight="1" x14ac:dyDescent="0.3">
      <c r="A935" s="49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R935" s="23"/>
      <c r="U935" s="11"/>
    </row>
    <row r="936" spans="1:21" ht="14.25" customHeight="1" x14ac:dyDescent="0.3">
      <c r="A936" s="49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R936" s="23"/>
      <c r="U936" s="11"/>
    </row>
    <row r="937" spans="1:21" ht="14.25" customHeight="1" x14ac:dyDescent="0.3">
      <c r="A937" s="49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R937" s="23"/>
      <c r="U937" s="11"/>
    </row>
    <row r="938" spans="1:21" ht="14.25" customHeight="1" x14ac:dyDescent="0.3">
      <c r="A938" s="49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R938" s="23"/>
      <c r="U938" s="11"/>
    </row>
    <row r="939" spans="1:21" ht="14.25" customHeight="1" x14ac:dyDescent="0.3">
      <c r="A939" s="49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R939" s="23"/>
      <c r="U939" s="11"/>
    </row>
    <row r="940" spans="1:21" ht="14.25" customHeight="1" x14ac:dyDescent="0.3">
      <c r="A940" s="49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R940" s="23"/>
      <c r="U940" s="11"/>
    </row>
    <row r="941" spans="1:21" ht="14.25" customHeight="1" x14ac:dyDescent="0.3">
      <c r="A941" s="49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R941" s="23"/>
      <c r="U941" s="11"/>
    </row>
    <row r="942" spans="1:21" ht="14.25" customHeight="1" x14ac:dyDescent="0.3">
      <c r="A942" s="49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R942" s="23"/>
      <c r="U942" s="11"/>
    </row>
    <row r="943" spans="1:21" ht="14.25" customHeight="1" x14ac:dyDescent="0.3">
      <c r="A943" s="49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R943" s="23"/>
      <c r="U943" s="11"/>
    </row>
    <row r="944" spans="1:21" ht="14.25" customHeight="1" x14ac:dyDescent="0.3">
      <c r="A944" s="49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R944" s="23"/>
      <c r="U944" s="11"/>
    </row>
    <row r="945" spans="1:21" ht="14.25" customHeight="1" x14ac:dyDescent="0.3">
      <c r="A945" s="49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R945" s="23"/>
      <c r="U945" s="11"/>
    </row>
    <row r="946" spans="1:21" ht="14.25" customHeight="1" x14ac:dyDescent="0.3">
      <c r="A946" s="49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R946" s="23"/>
      <c r="U946" s="11"/>
    </row>
    <row r="947" spans="1:21" ht="14.25" customHeight="1" x14ac:dyDescent="0.3">
      <c r="A947" s="49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R947" s="23"/>
      <c r="U947" s="11"/>
    </row>
    <row r="948" spans="1:21" ht="14.25" customHeight="1" x14ac:dyDescent="0.3">
      <c r="A948" s="49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R948" s="23"/>
      <c r="U948" s="11"/>
    </row>
    <row r="949" spans="1:21" ht="14.25" customHeight="1" x14ac:dyDescent="0.3">
      <c r="A949" s="49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R949" s="23"/>
      <c r="U949" s="11"/>
    </row>
    <row r="950" spans="1:21" ht="14.25" customHeight="1" x14ac:dyDescent="0.3">
      <c r="A950" s="49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R950" s="23"/>
      <c r="U950" s="11"/>
    </row>
    <row r="951" spans="1:21" ht="14.25" customHeight="1" x14ac:dyDescent="0.3">
      <c r="A951" s="49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R951" s="23"/>
      <c r="U951" s="11"/>
    </row>
    <row r="952" spans="1:21" ht="14.25" customHeight="1" x14ac:dyDescent="0.3">
      <c r="A952" s="49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R952" s="23"/>
      <c r="U952" s="11"/>
    </row>
    <row r="953" spans="1:21" ht="14.25" customHeight="1" x14ac:dyDescent="0.3">
      <c r="A953" s="49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R953" s="23"/>
      <c r="U953" s="11"/>
    </row>
    <row r="954" spans="1:21" ht="14.25" customHeight="1" x14ac:dyDescent="0.3">
      <c r="A954" s="49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R954" s="23"/>
      <c r="U954" s="11"/>
    </row>
    <row r="955" spans="1:21" ht="14.25" customHeight="1" x14ac:dyDescent="0.3">
      <c r="A955" s="49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R955" s="23"/>
      <c r="U955" s="11"/>
    </row>
    <row r="956" spans="1:21" ht="14.25" customHeight="1" x14ac:dyDescent="0.3">
      <c r="A956" s="49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R956" s="23"/>
      <c r="U956" s="11"/>
    </row>
    <row r="957" spans="1:21" ht="14.25" customHeight="1" x14ac:dyDescent="0.3">
      <c r="A957" s="49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R957" s="23"/>
      <c r="U957" s="11"/>
    </row>
    <row r="958" spans="1:21" ht="14.25" customHeight="1" x14ac:dyDescent="0.3">
      <c r="A958" s="49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R958" s="23"/>
      <c r="U958" s="11"/>
    </row>
    <row r="959" spans="1:21" ht="14.25" customHeight="1" x14ac:dyDescent="0.3">
      <c r="A959" s="49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R959" s="23"/>
      <c r="U959" s="11"/>
    </row>
    <row r="960" spans="1:21" ht="14.25" customHeight="1" x14ac:dyDescent="0.3">
      <c r="A960" s="49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R960" s="23"/>
      <c r="U960" s="11"/>
    </row>
    <row r="961" spans="1:21" ht="14.25" customHeight="1" x14ac:dyDescent="0.3">
      <c r="A961" s="49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R961" s="23"/>
      <c r="U961" s="11"/>
    </row>
    <row r="962" spans="1:21" ht="14.25" customHeight="1" x14ac:dyDescent="0.3">
      <c r="A962" s="49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R962" s="23"/>
      <c r="U962" s="11"/>
    </row>
    <row r="963" spans="1:21" ht="14.25" customHeight="1" x14ac:dyDescent="0.3">
      <c r="A963" s="49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R963" s="23"/>
      <c r="U963" s="11"/>
    </row>
    <row r="964" spans="1:21" ht="14.25" customHeight="1" x14ac:dyDescent="0.3">
      <c r="A964" s="49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R964" s="23"/>
      <c r="U964" s="11"/>
    </row>
    <row r="965" spans="1:21" ht="14.25" customHeight="1" x14ac:dyDescent="0.3">
      <c r="A965" s="49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R965" s="23"/>
      <c r="U965" s="11"/>
    </row>
    <row r="966" spans="1:21" ht="14.25" customHeight="1" x14ac:dyDescent="0.3">
      <c r="A966" s="49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R966" s="23"/>
      <c r="U966" s="11"/>
    </row>
    <row r="967" spans="1:21" ht="14.25" customHeight="1" x14ac:dyDescent="0.3">
      <c r="A967" s="49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R967" s="23"/>
      <c r="U967" s="11"/>
    </row>
    <row r="968" spans="1:21" ht="14.25" customHeight="1" x14ac:dyDescent="0.3">
      <c r="A968" s="49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R968" s="23"/>
      <c r="U968" s="11"/>
    </row>
    <row r="969" spans="1:21" ht="14.25" customHeight="1" x14ac:dyDescent="0.3">
      <c r="A969" s="49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R969" s="23"/>
      <c r="U969" s="11"/>
    </row>
    <row r="970" spans="1:21" ht="14.25" customHeight="1" x14ac:dyDescent="0.3">
      <c r="A970" s="49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R970" s="23"/>
      <c r="U970" s="11"/>
    </row>
    <row r="971" spans="1:21" ht="14.25" customHeight="1" x14ac:dyDescent="0.3">
      <c r="A971" s="49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R971" s="23"/>
      <c r="U971" s="11"/>
    </row>
    <row r="972" spans="1:21" ht="14.25" customHeight="1" x14ac:dyDescent="0.3">
      <c r="A972" s="49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R972" s="23"/>
      <c r="U972" s="11"/>
    </row>
    <row r="973" spans="1:21" ht="14.25" customHeight="1" x14ac:dyDescent="0.3">
      <c r="A973" s="49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R973" s="23"/>
      <c r="U973" s="11"/>
    </row>
    <row r="974" spans="1:21" ht="14.25" customHeight="1" x14ac:dyDescent="0.3">
      <c r="A974" s="49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R974" s="23"/>
      <c r="U974" s="11"/>
    </row>
    <row r="975" spans="1:21" ht="14.25" customHeight="1" x14ac:dyDescent="0.3">
      <c r="A975" s="49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R975" s="23"/>
      <c r="U975" s="11"/>
    </row>
    <row r="976" spans="1:21" ht="14.25" customHeight="1" x14ac:dyDescent="0.3">
      <c r="A976" s="49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R976" s="23"/>
      <c r="U976" s="11"/>
    </row>
    <row r="977" spans="1:21" ht="14.25" customHeight="1" x14ac:dyDescent="0.3">
      <c r="A977" s="49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R977" s="23"/>
      <c r="U977" s="11"/>
    </row>
    <row r="978" spans="1:21" ht="14.25" customHeight="1" x14ac:dyDescent="0.3">
      <c r="A978" s="49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R978" s="23"/>
      <c r="U978" s="11"/>
    </row>
    <row r="979" spans="1:21" ht="14.25" customHeight="1" x14ac:dyDescent="0.3">
      <c r="A979" s="49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R979" s="23"/>
      <c r="U979" s="11"/>
    </row>
    <row r="980" spans="1:21" ht="14.25" customHeight="1" x14ac:dyDescent="0.3">
      <c r="A980" s="49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R980" s="23"/>
      <c r="U980" s="11"/>
    </row>
    <row r="981" spans="1:21" ht="14.25" customHeight="1" x14ac:dyDescent="0.3">
      <c r="A981" s="49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R981" s="23"/>
      <c r="U981" s="11"/>
    </row>
    <row r="982" spans="1:21" ht="14.25" customHeight="1" x14ac:dyDescent="0.3">
      <c r="A982" s="49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R982" s="23"/>
      <c r="U982" s="11"/>
    </row>
    <row r="983" spans="1:21" ht="14.25" customHeight="1" x14ac:dyDescent="0.3">
      <c r="A983" s="49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R983" s="23"/>
      <c r="U983" s="11"/>
    </row>
    <row r="984" spans="1:21" ht="14.25" customHeight="1" x14ac:dyDescent="0.3">
      <c r="A984" s="49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R984" s="23"/>
      <c r="U984" s="11"/>
    </row>
    <row r="985" spans="1:21" ht="14.25" customHeight="1" x14ac:dyDescent="0.3">
      <c r="A985" s="49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R985" s="23"/>
      <c r="U985" s="11"/>
    </row>
    <row r="986" spans="1:21" ht="14.25" customHeight="1" x14ac:dyDescent="0.3">
      <c r="A986" s="49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R986" s="23"/>
      <c r="U986" s="11"/>
    </row>
    <row r="987" spans="1:21" ht="14.25" customHeight="1" x14ac:dyDescent="0.3">
      <c r="A987" s="49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R987" s="23"/>
      <c r="U987" s="11"/>
    </row>
    <row r="988" spans="1:21" ht="14.25" customHeight="1" x14ac:dyDescent="0.3">
      <c r="A988" s="49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R988" s="23"/>
      <c r="U988" s="11"/>
    </row>
    <row r="989" spans="1:21" ht="14.25" customHeight="1" x14ac:dyDescent="0.3">
      <c r="A989" s="49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R989" s="23"/>
      <c r="U989" s="11"/>
    </row>
    <row r="990" spans="1:21" ht="14.25" customHeight="1" x14ac:dyDescent="0.3">
      <c r="A990" s="49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R990" s="23"/>
      <c r="U990" s="11"/>
    </row>
    <row r="991" spans="1:21" ht="14.25" customHeight="1" x14ac:dyDescent="0.3">
      <c r="A991" s="49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R991" s="23"/>
      <c r="U991" s="11"/>
    </row>
    <row r="992" spans="1:21" ht="14.25" customHeight="1" x14ac:dyDescent="0.3">
      <c r="A992" s="49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R992" s="23"/>
      <c r="U992" s="11"/>
    </row>
    <row r="993" spans="1:21" ht="14.25" customHeight="1" x14ac:dyDescent="0.3">
      <c r="A993" s="49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R993" s="23"/>
      <c r="U993" s="11"/>
    </row>
    <row r="994" spans="1:21" ht="14.25" customHeight="1" x14ac:dyDescent="0.3">
      <c r="A994" s="49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R994" s="23"/>
      <c r="U994" s="11"/>
    </row>
    <row r="995" spans="1:21" ht="14.25" customHeight="1" x14ac:dyDescent="0.3">
      <c r="A995" s="49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R995" s="23"/>
      <c r="U995" s="11"/>
    </row>
    <row r="996" spans="1:21" ht="14.25" customHeight="1" x14ac:dyDescent="0.3">
      <c r="A996" s="49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R996" s="23"/>
      <c r="U996" s="11"/>
    </row>
    <row r="997" spans="1:21" ht="14.25" customHeight="1" x14ac:dyDescent="0.3">
      <c r="A997" s="49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R997" s="23"/>
      <c r="U997" s="11"/>
    </row>
    <row r="998" spans="1:21" ht="14.25" customHeight="1" x14ac:dyDescent="0.3">
      <c r="A998" s="49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R998" s="23"/>
      <c r="U998" s="11"/>
    </row>
    <row r="999" spans="1:21" ht="14.25" customHeight="1" x14ac:dyDescent="0.3">
      <c r="A999" s="49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R999" s="23"/>
      <c r="U999" s="11"/>
    </row>
    <row r="1000" spans="1:21" ht="14.25" customHeight="1" x14ac:dyDescent="0.3">
      <c r="A1000" s="49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R1000" s="23"/>
      <c r="U1000" s="11"/>
    </row>
  </sheetData>
  <mergeCells count="1">
    <mergeCell ref="C1:H1"/>
  </mergeCell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Sheet1</vt:lpstr>
      <vt:lpstr>Share Count</vt:lpstr>
      <vt:lpstr>Net Worth</vt:lpstr>
      <vt:lpstr>50-30-20</vt:lpstr>
      <vt:lpstr>Proposed Budget</vt:lpstr>
      <vt:lpstr>Budget Breakdown</vt:lpstr>
      <vt:lpstr>Monthly Breakdown</vt:lpstr>
      <vt:lpstr>Checking Transaction Log</vt:lpstr>
      <vt:lpstr>Savings Transaction Log</vt:lpstr>
      <vt:lpstr>Rental Breakdown</vt:lpstr>
      <vt:lpstr>Retirement Calculator</vt:lpstr>
      <vt:lpstr>TSP-401K</vt:lpstr>
      <vt:lpstr>Combined Retirement</vt:lpstr>
      <vt:lpstr>Isaac 401k</vt:lpstr>
      <vt:lpstr>Lorri 401b</vt:lpstr>
      <vt:lpstr>Guard Ret Calc</vt:lpstr>
      <vt:lpstr>Accounts</vt:lpstr>
      <vt:lpstr>Electric-Gas</vt:lpstr>
      <vt:lpstr>Investment Tax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isaac.martin</dc:creator>
  <cp:lastModifiedBy>Isaac Martin</cp:lastModifiedBy>
  <dcterms:created xsi:type="dcterms:W3CDTF">2010-12-01T13:47:18Z</dcterms:created>
  <dcterms:modified xsi:type="dcterms:W3CDTF">2026-05-14T02:21:57Z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68ff4326-c609-4f4a-9628-f2d96af0a99d</vt:lpwstr>
  </property>
</Properties>
</file>